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0.xml" ContentType="application/vnd.openxmlformats-officedocument.drawingml.chart+xml"/>
  <Override PartName="/xl/drawings/drawing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5.xml" ContentType="application/vnd.openxmlformats-officedocument.drawingml.chart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1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53.xml" ContentType="application/vnd.openxmlformats-officedocument.drawingml.chart+xml"/>
  <Override PartName="/xl/drawings/drawing1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5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58.xml" ContentType="application/vnd.openxmlformats-officedocument.drawingml.chart+xml"/>
  <Override PartName="/xl/drawings/drawing13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63.xml" ContentType="application/vnd.openxmlformats-officedocument.drawingml.chart+xml"/>
  <Override PartName="/xl/drawings/drawing1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68.xml" ContentType="application/vnd.openxmlformats-officedocument.drawingml.chart+xml"/>
  <Override PartName="/xl/drawings/drawing1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6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7.xml" ContentType="application/vnd.openxmlformats-officedocument.drawing+xml"/>
  <Override PartName="/xl/charts/chart8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8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8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8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8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89.xml" ContentType="application/vnd.openxmlformats-officedocument.drawingml.chart+xml"/>
  <Override PartName="/xl/drawings/drawing19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97.xml" ContentType="application/vnd.openxmlformats-officedocument.drawingml.chart+xml"/>
  <Override PartName="/xl/drawings/drawing21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0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03.xml" ContentType="application/vnd.openxmlformats-officedocument.drawingml.chart+xml"/>
  <Override PartName="/xl/drawings/drawing22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0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108.xml" ContentType="application/vnd.openxmlformats-officedocument.drawingml.chart+xml"/>
  <Override PartName="/xl/drawings/drawing23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1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13.xml" ContentType="application/vnd.openxmlformats-officedocument.drawingml.chart+xml"/>
  <Override PartName="/xl/drawings/drawing24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2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2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2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3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35.xml" ContentType="application/vnd.openxmlformats-officedocument.drawingml.chart+xml"/>
  <Override PartName="/xl/drawings/drawing28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40.xml" ContentType="application/vnd.openxmlformats-officedocument.drawingml.chart+xml"/>
  <Override PartName="/xl/drawings/drawing29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0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4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4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5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5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5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5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5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5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5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31.xml" ContentType="application/vnd.openxmlformats-officedocument.drawing+xml"/>
  <Override PartName="/xl/charts/chart15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6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16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32.xml" ContentType="application/vnd.openxmlformats-officedocument.drawing+xml"/>
  <Override PartName="/xl/charts/chart16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163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16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16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16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33.xml" ContentType="application/vnd.openxmlformats-officedocument.drawing+xml"/>
  <Override PartName="/xl/charts/chart167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168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169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34.xml" ContentType="application/vnd.openxmlformats-officedocument.drawing+xml"/>
  <Override PartName="/xl/charts/chart170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35.xml" ContentType="application/vnd.openxmlformats-officedocument.drawing+xml"/>
  <Override PartName="/xl/charts/chart171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36.xml" ContentType="application/vnd.openxmlformats-officedocument.drawing+xml"/>
  <Override PartName="/xl/charts/chart172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&amp;R\BITRE\Transport &amp; Infrastructure\Transport Activity Forecasting\Time Series Modelling\Electric Vehicles\"/>
    </mc:Choice>
  </mc:AlternateContent>
  <bookViews>
    <workbookView xWindow="120" yWindow="120" windowWidth="19440" windowHeight="11280" tabRatio="942" firstSheet="4" activeTab="4"/>
  </bookViews>
  <sheets>
    <sheet name="Oil Price reg" sheetId="636" r:id="rId1"/>
    <sheet name="World Oil Price analysis" sheetId="542" r:id="rId2"/>
    <sheet name="Oil -Petrol Price elasticities" sheetId="641" r:id="rId3"/>
    <sheet name="OzReg" sheetId="610" r:id="rId4"/>
    <sheet name="Australia" sheetId="1" r:id="rId5"/>
    <sheet name="AustriaReg" sheetId="650" r:id="rId6"/>
    <sheet name="Austria" sheetId="3" r:id="rId7"/>
    <sheet name="BelgiumReg" sheetId="651" r:id="rId8"/>
    <sheet name="Belgium" sheetId="51" r:id="rId9"/>
    <sheet name="BritainReg" sheetId="649" r:id="rId10"/>
    <sheet name="Britain" sheetId="18" r:id="rId11"/>
    <sheet name="CanadaReg" sheetId="615" r:id="rId12"/>
    <sheet name="Canada" sheetId="63" r:id="rId13"/>
    <sheet name="Canada Prov's" sheetId="2" r:id="rId14"/>
    <sheet name="ChinaReg" sheetId="640" r:id="rId15"/>
    <sheet name="China" sheetId="323" r:id="rId16"/>
    <sheet name="CzechReg" sheetId="409" r:id="rId17"/>
    <sheet name="Czech Rep" sheetId="16" r:id="rId18"/>
    <sheet name="DenmarkReg" sheetId="617" r:id="rId19"/>
    <sheet name="Denmark" sheetId="29" r:id="rId20"/>
    <sheet name="FinlandReg" sheetId="608" r:id="rId21"/>
    <sheet name="Finland" sheetId="19" r:id="rId22"/>
    <sheet name="FranceReg" sheetId="618" r:id="rId23"/>
    <sheet name="France" sheetId="20" r:id="rId24"/>
    <sheet name="GermanyReg" sheetId="619" r:id="rId25"/>
    <sheet name="Germany" sheetId="21" r:id="rId26"/>
    <sheet name="GreeceReg" sheetId="637" r:id="rId27"/>
    <sheet name="Greece" sheetId="129" r:id="rId28"/>
    <sheet name="HungaryReg" sheetId="621" r:id="rId29"/>
    <sheet name="Hungary" sheetId="22" r:id="rId30"/>
    <sheet name="IndiaReg" sheetId="607" r:id="rId31"/>
    <sheet name="India" sheetId="314" r:id="rId32"/>
    <sheet name=" India data" sheetId="258" r:id="rId33"/>
    <sheet name="IrelandReg" sheetId="622" r:id="rId34"/>
    <sheet name="Ireland" sheetId="23" r:id="rId35"/>
    <sheet name="IsraelReg" sheetId="228" r:id="rId36"/>
    <sheet name="Israel" sheetId="24" r:id="rId37"/>
    <sheet name="ItalyReg" sheetId="623" r:id="rId38"/>
    <sheet name="Italy" sheetId="131" r:id="rId39"/>
    <sheet name="JapanReg" sheetId="624" r:id="rId40"/>
    <sheet name="Japan" sheetId="25" r:id="rId41"/>
    <sheet name="KoreaReg" sheetId="625" r:id="rId42"/>
    <sheet name="Korea" sheetId="26" r:id="rId43"/>
    <sheet name="NethReg" sheetId="626" r:id="rId44"/>
    <sheet name="Netherlands" sheetId="27" r:id="rId45"/>
    <sheet name="NZreg" sheetId="627" r:id="rId46"/>
    <sheet name="New Zealand" sheetId="101" r:id="rId47"/>
    <sheet name="NorwayReg" sheetId="628" r:id="rId48"/>
    <sheet name="Norway" sheetId="102" r:id="rId49"/>
    <sheet name="SpainReg" sheetId="605" r:id="rId50"/>
    <sheet name="Spain" sheetId="133" r:id="rId51"/>
    <sheet name="SwedenReg" sheetId="629" r:id="rId52"/>
    <sheet name="Sweden" sheetId="103" r:id="rId53"/>
    <sheet name="SwissReg" sheetId="630" r:id="rId54"/>
    <sheet name="Swiss" sheetId="104" r:id="rId55"/>
    <sheet name="TurkeyReg" sheetId="243" r:id="rId56"/>
    <sheet name="Turkey" sheetId="105" r:id="rId57"/>
    <sheet name="USreg(litre)" sheetId="633" r:id="rId58"/>
    <sheet name="USreg(gallon)" sheetId="634" r:id="rId59"/>
    <sheet name="USA" sheetId="4" r:id="rId60"/>
    <sheet name="24 country oil price scenarios" sheetId="639" r:id="rId61"/>
    <sheet name="WTI reg" sheetId="638" r:id="rId62"/>
    <sheet name="WTI from OPEC " sheetId="464" r:id="rId63"/>
    <sheet name="Tapis reg" sheetId="512" r:id="rId64"/>
    <sheet name="Tapis from OPEC" sheetId="500" r:id="rId65"/>
    <sheet name="Country forecasts" sheetId="491" r:id="rId66"/>
    <sheet name="2017 Country petrol prices" sheetId="490" r:id="rId67"/>
    <sheet name="Country petrol prices nominal" sheetId="193" r:id="rId68"/>
    <sheet name="EU total tax" sheetId="274" r:id="rId69"/>
    <sheet name=" EU base prices (less tax)" sheetId="256" r:id="rId70"/>
    <sheet name="EU petrol prices nominal" sheetId="257" r:id="rId71"/>
    <sheet name="Country Petrol Prices 2010 US$" sheetId="135" r:id="rId72"/>
    <sheet name="%Tax" sheetId="195" r:id="rId73"/>
    <sheet name="CPIs" sheetId="194" r:id="rId74"/>
    <sheet name="Exchange Rates" sheetId="196" r:id="rId75"/>
  </sheets>
  <externalReferences>
    <externalReference r:id="rId76"/>
    <externalReference r:id="rId77"/>
  </externalReferences>
  <calcPr calcId="162913"/>
</workbook>
</file>

<file path=xl/calcChain.xml><?xml version="1.0" encoding="utf-8"?>
<calcChain xmlns="http://schemas.openxmlformats.org/spreadsheetml/2006/main">
  <c r="Z143" i="1" l="1"/>
  <c r="AA143" i="1"/>
  <c r="AB143" i="1"/>
  <c r="Z144" i="1"/>
  <c r="AA144" i="1"/>
  <c r="AB144" i="1"/>
  <c r="Z145" i="1"/>
  <c r="AA145" i="1"/>
  <c r="AB145" i="1"/>
  <c r="Z146" i="1"/>
  <c r="AA146" i="1"/>
  <c r="AB146" i="1"/>
  <c r="Z147" i="1"/>
  <c r="AA147" i="1"/>
  <c r="AB147" i="1"/>
  <c r="Z148" i="1"/>
  <c r="AA148" i="1"/>
  <c r="AB148" i="1"/>
  <c r="Z149" i="1"/>
  <c r="AA149" i="1"/>
  <c r="AB149" i="1"/>
  <c r="Z150" i="1"/>
  <c r="AA150" i="1"/>
  <c r="AB150" i="1"/>
  <c r="Z151" i="1"/>
  <c r="AA151" i="1"/>
  <c r="AB151" i="1"/>
  <c r="Z152" i="1"/>
  <c r="AA152" i="1"/>
  <c r="AB152" i="1"/>
  <c r="V143" i="1"/>
  <c r="W143" i="1"/>
  <c r="X143" i="1"/>
  <c r="V144" i="1"/>
  <c r="W144" i="1"/>
  <c r="X144" i="1"/>
  <c r="V145" i="1"/>
  <c r="W145" i="1"/>
  <c r="X145" i="1"/>
  <c r="V146" i="1"/>
  <c r="W146" i="1"/>
  <c r="X146" i="1"/>
  <c r="V147" i="1"/>
  <c r="W147" i="1"/>
  <c r="X147" i="1"/>
  <c r="V148" i="1"/>
  <c r="W148" i="1"/>
  <c r="X148" i="1"/>
  <c r="V149" i="1"/>
  <c r="W149" i="1"/>
  <c r="X149" i="1"/>
  <c r="V150" i="1"/>
  <c r="W150" i="1"/>
  <c r="X150" i="1"/>
  <c r="V151" i="1"/>
  <c r="W151" i="1"/>
  <c r="X151" i="1"/>
  <c r="V152" i="1"/>
  <c r="W152" i="1"/>
  <c r="X15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P143" i="1"/>
  <c r="P144" i="1"/>
  <c r="P145" i="1" s="1"/>
  <c r="P146" i="1" s="1"/>
  <c r="P147" i="1" s="1"/>
  <c r="P148" i="1" s="1"/>
  <c r="P149" i="1" s="1"/>
  <c r="P150" i="1" s="1"/>
  <c r="P151" i="1" s="1"/>
  <c r="P152" i="1" s="1"/>
  <c r="L143" i="1"/>
  <c r="M143" i="1"/>
  <c r="N143" i="1"/>
  <c r="L144" i="1"/>
  <c r="M144" i="1"/>
  <c r="N144" i="1"/>
  <c r="L145" i="1"/>
  <c r="M145" i="1"/>
  <c r="N145" i="1"/>
  <c r="L146" i="1"/>
  <c r="M146" i="1"/>
  <c r="N146" i="1"/>
  <c r="L147" i="1"/>
  <c r="M147" i="1"/>
  <c r="N147" i="1"/>
  <c r="L148" i="1"/>
  <c r="M148" i="1"/>
  <c r="N148" i="1"/>
  <c r="L149" i="1"/>
  <c r="M149" i="1"/>
  <c r="N149" i="1"/>
  <c r="L150" i="1"/>
  <c r="M150" i="1"/>
  <c r="N150" i="1"/>
  <c r="L151" i="1"/>
  <c r="M151" i="1"/>
  <c r="N151" i="1"/>
  <c r="L152" i="1"/>
  <c r="M152" i="1"/>
  <c r="N152" i="1"/>
  <c r="BC110" i="1"/>
  <c r="H143" i="1" s="1"/>
  <c r="BC111" i="1"/>
  <c r="BC112" i="1" s="1"/>
  <c r="F143" i="1"/>
  <c r="F144" i="1"/>
  <c r="F145" i="1"/>
  <c r="F146" i="1"/>
  <c r="F147" i="1"/>
  <c r="F148" i="1"/>
  <c r="F149" i="1"/>
  <c r="F150" i="1"/>
  <c r="F151" i="1"/>
  <c r="F152" i="1"/>
  <c r="C143" i="1"/>
  <c r="D143" i="1"/>
  <c r="E143" i="1"/>
  <c r="C144" i="1"/>
  <c r="D144" i="1"/>
  <c r="E144" i="1"/>
  <c r="C145" i="1"/>
  <c r="D145" i="1"/>
  <c r="E145" i="1"/>
  <c r="C146" i="1"/>
  <c r="D146" i="1"/>
  <c r="E146" i="1"/>
  <c r="C147" i="1"/>
  <c r="D147" i="1"/>
  <c r="E147" i="1"/>
  <c r="C148" i="1"/>
  <c r="D148" i="1"/>
  <c r="E148" i="1"/>
  <c r="C149" i="1"/>
  <c r="D149" i="1"/>
  <c r="E149" i="1"/>
  <c r="C150" i="1"/>
  <c r="D150" i="1"/>
  <c r="E150" i="1"/>
  <c r="C151" i="1"/>
  <c r="D151" i="1"/>
  <c r="E151" i="1"/>
  <c r="C152" i="1"/>
  <c r="D152" i="1"/>
  <c r="E152" i="1"/>
  <c r="AA142" i="1"/>
  <c r="Z142" i="1"/>
  <c r="J145" i="1" l="1"/>
  <c r="BC113" i="1"/>
  <c r="H145" i="1"/>
  <c r="I145" i="1"/>
  <c r="J144" i="1"/>
  <c r="I144" i="1"/>
  <c r="H144" i="1"/>
  <c r="J143" i="1"/>
  <c r="I143" i="1"/>
  <c r="AC130" i="18"/>
  <c r="AC130" i="63"/>
  <c r="AC130" i="323"/>
  <c r="AC130" i="29"/>
  <c r="AE143" i="4"/>
  <c r="AF143" i="4"/>
  <c r="AE144" i="4"/>
  <c r="AF144" i="4"/>
  <c r="AE145" i="4"/>
  <c r="AF145" i="4"/>
  <c r="AE146" i="4"/>
  <c r="AF146" i="4"/>
  <c r="AE147" i="4"/>
  <c r="AF147" i="4"/>
  <c r="AE148" i="4"/>
  <c r="AF148" i="4"/>
  <c r="AE149" i="4"/>
  <c r="AF149" i="4"/>
  <c r="AE150" i="4"/>
  <c r="AF150" i="4"/>
  <c r="AE151" i="4"/>
  <c r="AF151" i="4"/>
  <c r="AE152" i="4"/>
  <c r="AF152" i="4"/>
  <c r="AE153" i="4"/>
  <c r="AF153" i="4"/>
  <c r="AE154" i="4"/>
  <c r="AF154" i="4"/>
  <c r="AE155" i="4"/>
  <c r="AF155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43" i="4"/>
  <c r="AC136" i="4"/>
  <c r="AC137" i="4"/>
  <c r="AC138" i="4"/>
  <c r="AC139" i="4"/>
  <c r="AC140" i="4"/>
  <c r="AC141" i="4"/>
  <c r="AC142" i="4"/>
  <c r="AC143" i="4"/>
  <c r="AC135" i="4"/>
  <c r="AD130" i="103"/>
  <c r="AE130" i="103"/>
  <c r="AF130" i="103"/>
  <c r="AC130" i="103"/>
  <c r="AC130" i="133"/>
  <c r="AC130" i="26"/>
  <c r="AC130" i="25"/>
  <c r="AC130" i="131"/>
  <c r="AC130" i="314"/>
  <c r="AC130" i="20"/>
  <c r="AD132" i="51"/>
  <c r="AE132" i="51"/>
  <c r="AF132" i="51"/>
  <c r="AD133" i="51"/>
  <c r="AE133" i="51"/>
  <c r="AF133" i="51"/>
  <c r="AD134" i="51"/>
  <c r="AE134" i="51"/>
  <c r="AF134" i="51"/>
  <c r="AD135" i="51"/>
  <c r="AE135" i="51"/>
  <c r="AF135" i="51"/>
  <c r="AD136" i="51"/>
  <c r="AE136" i="51"/>
  <c r="AF136" i="51"/>
  <c r="AD137" i="51"/>
  <c r="AE137" i="51"/>
  <c r="AF137" i="51"/>
  <c r="AD138" i="51"/>
  <c r="AE138" i="51"/>
  <c r="AF138" i="51"/>
  <c r="AD139" i="51"/>
  <c r="AE139" i="51"/>
  <c r="AF139" i="51"/>
  <c r="AD140" i="51"/>
  <c r="AE140" i="51"/>
  <c r="AF140" i="51"/>
  <c r="AD141" i="51"/>
  <c r="AE141" i="51"/>
  <c r="AF141" i="51"/>
  <c r="AD142" i="51"/>
  <c r="AE142" i="51"/>
  <c r="AF142" i="51"/>
  <c r="AE131" i="51"/>
  <c r="AF131" i="51"/>
  <c r="AD131" i="51"/>
  <c r="AC123" i="51"/>
  <c r="AC124" i="51"/>
  <c r="AC125" i="51"/>
  <c r="AC126" i="51"/>
  <c r="AC127" i="51"/>
  <c r="AC128" i="51"/>
  <c r="AC129" i="51"/>
  <c r="AC130" i="51"/>
  <c r="AC122" i="51"/>
  <c r="H146" i="1" l="1"/>
  <c r="BC114" i="1"/>
  <c r="I146" i="1"/>
  <c r="J146" i="1"/>
  <c r="B106" i="639"/>
  <c r="AA106" i="639"/>
  <c r="L56" i="542"/>
  <c r="BC115" i="1" l="1"/>
  <c r="H147" i="1"/>
  <c r="I147" i="1"/>
  <c r="J147" i="1"/>
  <c r="J8" i="641"/>
  <c r="I8" i="641"/>
  <c r="G8" i="641"/>
  <c r="H6" i="641"/>
  <c r="W142" i="1"/>
  <c r="I6" i="641"/>
  <c r="I5" i="641"/>
  <c r="G6" i="641"/>
  <c r="G5" i="641"/>
  <c r="D6" i="641"/>
  <c r="D5" i="641"/>
  <c r="B6" i="641"/>
  <c r="B5" i="641"/>
  <c r="I18" i="641"/>
  <c r="I17" i="641"/>
  <c r="G18" i="641"/>
  <c r="G17" i="641"/>
  <c r="D18" i="641"/>
  <c r="D17" i="641"/>
  <c r="B18" i="641"/>
  <c r="B17" i="641"/>
  <c r="D131" i="51"/>
  <c r="D131" i="3"/>
  <c r="D131" i="1"/>
  <c r="C59" i="542"/>
  <c r="Y59" i="542"/>
  <c r="O8" i="641"/>
  <c r="O10" i="641"/>
  <c r="AT24" i="641"/>
  <c r="AT23" i="641"/>
  <c r="AT22" i="641"/>
  <c r="AT21" i="641"/>
  <c r="AT20" i="641"/>
  <c r="AT19" i="641"/>
  <c r="AT18" i="641"/>
  <c r="AT17" i="641"/>
  <c r="AT16" i="641"/>
  <c r="AT15" i="641"/>
  <c r="AT14" i="641"/>
  <c r="AT13" i="641"/>
  <c r="AT12" i="641"/>
  <c r="AT11" i="641"/>
  <c r="AT10" i="641"/>
  <c r="AT9" i="641"/>
  <c r="AT8" i="641"/>
  <c r="AT7" i="641"/>
  <c r="AT6" i="641"/>
  <c r="AT5" i="641"/>
  <c r="O45" i="464"/>
  <c r="I148" i="1" l="1"/>
  <c r="J148" i="1"/>
  <c r="BC116" i="1"/>
  <c r="H148" i="1"/>
  <c r="AF80" i="542"/>
  <c r="AG58" i="542"/>
  <c r="AF58" i="542"/>
  <c r="E60" i="542"/>
  <c r="E61" i="542"/>
  <c r="E62" i="542"/>
  <c r="E63" i="542"/>
  <c r="E64" i="542"/>
  <c r="E65" i="542"/>
  <c r="E66" i="542"/>
  <c r="E67" i="542"/>
  <c r="E68" i="542"/>
  <c r="E69" i="542"/>
  <c r="E70" i="542"/>
  <c r="E71" i="542"/>
  <c r="E72" i="542"/>
  <c r="E73" i="542"/>
  <c r="E74" i="542"/>
  <c r="E75" i="542"/>
  <c r="E76" i="542"/>
  <c r="E77" i="542"/>
  <c r="E78" i="542"/>
  <c r="E79" i="542"/>
  <c r="E80" i="542"/>
  <c r="E59" i="542"/>
  <c r="D60" i="542"/>
  <c r="D61" i="542"/>
  <c r="D62" i="542"/>
  <c r="D63" i="542"/>
  <c r="D64" i="542"/>
  <c r="D65" i="542"/>
  <c r="D66" i="542"/>
  <c r="D67" i="542"/>
  <c r="D68" i="542"/>
  <c r="D69" i="542"/>
  <c r="D70" i="542"/>
  <c r="D71" i="542"/>
  <c r="D72" i="542"/>
  <c r="D73" i="542"/>
  <c r="D74" i="542"/>
  <c r="D75" i="542"/>
  <c r="D76" i="542"/>
  <c r="D77" i="542"/>
  <c r="D78" i="542"/>
  <c r="D79" i="542"/>
  <c r="D80" i="542"/>
  <c r="D59" i="542"/>
  <c r="H149" i="1" l="1"/>
  <c r="I149" i="1"/>
  <c r="J149" i="1"/>
  <c r="BC117" i="1"/>
  <c r="C62" i="542"/>
  <c r="AS5" i="641"/>
  <c r="AS6" i="641"/>
  <c r="AS10" i="641"/>
  <c r="AS11" i="641"/>
  <c r="AS15" i="641"/>
  <c r="AU16" i="542"/>
  <c r="AU76" i="542"/>
  <c r="H150" i="1" l="1"/>
  <c r="BC118" i="1"/>
  <c r="I150" i="1"/>
  <c r="J150" i="1"/>
  <c r="AS25" i="641"/>
  <c r="AR25" i="641"/>
  <c r="AP25" i="641"/>
  <c r="AO25" i="641"/>
  <c r="AS9" i="641"/>
  <c r="AR9" i="641"/>
  <c r="R149" i="19"/>
  <c r="M174" i="4"/>
  <c r="R148" i="104"/>
  <c r="R148" i="103"/>
  <c r="R149" i="133"/>
  <c r="R149" i="102"/>
  <c r="Q149" i="101"/>
  <c r="R149" i="27"/>
  <c r="R149" i="26"/>
  <c r="R149" i="25"/>
  <c r="R149" i="131"/>
  <c r="R149" i="23"/>
  <c r="R149" i="314"/>
  <c r="O149" i="22"/>
  <c r="P150" i="129"/>
  <c r="X8" i="641"/>
  <c r="S148" i="21"/>
  <c r="S148" i="29"/>
  <c r="Q149" i="323"/>
  <c r="N150" i="63"/>
  <c r="C130" i="18"/>
  <c r="R8" i="641"/>
  <c r="M149" i="18"/>
  <c r="P10" i="641"/>
  <c r="Q10" i="641"/>
  <c r="R10" i="641"/>
  <c r="S10" i="641"/>
  <c r="T10" i="641"/>
  <c r="U10" i="641"/>
  <c r="V10" i="641"/>
  <c r="W10" i="641"/>
  <c r="X10" i="641"/>
  <c r="Y10" i="641"/>
  <c r="Z10" i="641"/>
  <c r="P8" i="641"/>
  <c r="Q8" i="641"/>
  <c r="S8" i="641"/>
  <c r="T8" i="641"/>
  <c r="U8" i="641"/>
  <c r="V8" i="641"/>
  <c r="W8" i="641"/>
  <c r="Y8" i="641"/>
  <c r="Z8" i="641"/>
  <c r="R148" i="51"/>
  <c r="P149" i="3"/>
  <c r="AP24" i="641"/>
  <c r="AP23" i="641"/>
  <c r="AP22" i="641"/>
  <c r="AP21" i="641"/>
  <c r="AR21" i="641" s="1"/>
  <c r="AP20" i="641"/>
  <c r="AP19" i="641"/>
  <c r="AR19" i="641" s="1"/>
  <c r="AP18" i="641"/>
  <c r="AR18" i="641" s="1"/>
  <c r="AP17" i="641"/>
  <c r="AP16" i="641"/>
  <c r="AP15" i="641"/>
  <c r="AR15" i="641" s="1"/>
  <c r="AP14" i="641"/>
  <c r="AP13" i="641"/>
  <c r="AP12" i="641"/>
  <c r="AR12" i="641" s="1"/>
  <c r="AP11" i="641"/>
  <c r="AP10" i="641"/>
  <c r="AP9" i="641"/>
  <c r="AP8" i="641"/>
  <c r="AP7" i="641"/>
  <c r="AP6" i="641"/>
  <c r="AP5" i="641"/>
  <c r="AR5" i="641" s="1"/>
  <c r="AP4" i="641"/>
  <c r="AP3" i="641"/>
  <c r="AR3" i="641" s="1"/>
  <c r="AP2" i="641"/>
  <c r="AR2" i="641" s="1"/>
  <c r="AS2" i="641" s="1"/>
  <c r="AO24" i="641"/>
  <c r="AO23" i="641"/>
  <c r="AR23" i="641" s="1"/>
  <c r="AO22" i="641"/>
  <c r="AR22" i="641" s="1"/>
  <c r="AO21" i="641"/>
  <c r="AO20" i="641"/>
  <c r="AR20" i="641" s="1"/>
  <c r="AO19" i="641"/>
  <c r="AO18" i="641"/>
  <c r="AO17" i="641"/>
  <c r="AR17" i="641" s="1"/>
  <c r="AO16" i="641"/>
  <c r="AR16" i="641" s="1"/>
  <c r="AO15" i="641"/>
  <c r="AO14" i="641"/>
  <c r="AO13" i="641"/>
  <c r="AR13" i="641" s="1"/>
  <c r="AO12" i="641"/>
  <c r="AO11" i="641"/>
  <c r="AR11" i="641" s="1"/>
  <c r="AO10" i="641"/>
  <c r="AR10" i="641" s="1"/>
  <c r="AO9" i="641"/>
  <c r="AO8" i="641"/>
  <c r="AR8" i="641" s="1"/>
  <c r="AO7" i="641"/>
  <c r="AR7" i="641" s="1"/>
  <c r="AO6" i="641"/>
  <c r="AR6" i="641" s="1"/>
  <c r="AO5" i="641"/>
  <c r="AO4" i="641"/>
  <c r="AO27" i="641" s="1"/>
  <c r="AO3" i="641"/>
  <c r="AO2" i="641"/>
  <c r="R148" i="20"/>
  <c r="P3" i="641"/>
  <c r="Q3" i="641"/>
  <c r="R3" i="641"/>
  <c r="S3" i="641"/>
  <c r="T3" i="641"/>
  <c r="U3" i="641"/>
  <c r="V3" i="641"/>
  <c r="W3" i="641"/>
  <c r="X3" i="641"/>
  <c r="Y3" i="641"/>
  <c r="Z3" i="641"/>
  <c r="AA3" i="641"/>
  <c r="AB3" i="641"/>
  <c r="AC3" i="641"/>
  <c r="AD3" i="641"/>
  <c r="AE3" i="641"/>
  <c r="AF3" i="641"/>
  <c r="AG3" i="641"/>
  <c r="AH3" i="641"/>
  <c r="AI3" i="641"/>
  <c r="AJ3" i="641"/>
  <c r="AK3" i="641"/>
  <c r="AL3" i="641"/>
  <c r="O3" i="641"/>
  <c r="AR24" i="641"/>
  <c r="AR14" i="641"/>
  <c r="H58" i="542"/>
  <c r="BC59" i="542"/>
  <c r="C81" i="639"/>
  <c r="D81" i="639"/>
  <c r="C82" i="639"/>
  <c r="D82" i="639"/>
  <c r="C83" i="639"/>
  <c r="D83" i="639"/>
  <c r="C84" i="639"/>
  <c r="D84" i="639"/>
  <c r="C85" i="639"/>
  <c r="D85" i="639"/>
  <c r="C86" i="639"/>
  <c r="D86" i="639"/>
  <c r="C87" i="639"/>
  <c r="D87" i="639"/>
  <c r="C88" i="639"/>
  <c r="D88" i="639"/>
  <c r="C89" i="639"/>
  <c r="D89" i="639"/>
  <c r="AD6" i="639"/>
  <c r="AE6" i="639"/>
  <c r="AD7" i="639"/>
  <c r="AE7" i="639"/>
  <c r="AD8" i="639"/>
  <c r="AE8" i="639"/>
  <c r="AD9" i="639"/>
  <c r="AE9" i="639"/>
  <c r="AD10" i="639"/>
  <c r="AE10" i="639"/>
  <c r="AD11" i="639"/>
  <c r="AE11" i="639"/>
  <c r="AD12" i="639"/>
  <c r="AE12" i="639"/>
  <c r="AD13" i="639"/>
  <c r="AE13" i="639"/>
  <c r="AD14" i="639"/>
  <c r="AE14" i="639"/>
  <c r="C6" i="639"/>
  <c r="D6" i="639"/>
  <c r="C7" i="639"/>
  <c r="D7" i="639"/>
  <c r="C8" i="639"/>
  <c r="D8" i="639"/>
  <c r="C9" i="639"/>
  <c r="D9" i="639"/>
  <c r="C10" i="639"/>
  <c r="D10" i="639"/>
  <c r="C11" i="639"/>
  <c r="D11" i="639"/>
  <c r="C12" i="639"/>
  <c r="D12" i="639"/>
  <c r="C13" i="639"/>
  <c r="D13" i="639"/>
  <c r="C14" i="639"/>
  <c r="D14" i="639"/>
  <c r="Q110" i="51"/>
  <c r="R110" i="51"/>
  <c r="R109" i="51"/>
  <c r="Q109" i="51"/>
  <c r="P123" i="51"/>
  <c r="P124" i="51"/>
  <c r="P125" i="51"/>
  <c r="P126" i="51"/>
  <c r="P127" i="51"/>
  <c r="P128" i="51"/>
  <c r="P129" i="51"/>
  <c r="P130" i="51"/>
  <c r="P122" i="51"/>
  <c r="P123" i="3"/>
  <c r="P124" i="3"/>
  <c r="P125" i="3"/>
  <c r="P126" i="3"/>
  <c r="P127" i="3"/>
  <c r="P128" i="3"/>
  <c r="P129" i="3"/>
  <c r="P130" i="3"/>
  <c r="P122" i="3"/>
  <c r="AP27" i="641"/>
  <c r="AQ27" i="641"/>
  <c r="AO44" i="51"/>
  <c r="AQ44" i="51"/>
  <c r="AO45" i="51"/>
  <c r="AQ45" i="51"/>
  <c r="AO46" i="51"/>
  <c r="AQ46" i="51"/>
  <c r="AO47" i="51"/>
  <c r="AQ47" i="51"/>
  <c r="AO48" i="51"/>
  <c r="AQ48" i="51"/>
  <c r="AO49" i="51"/>
  <c r="AQ49" i="51"/>
  <c r="AO50" i="51"/>
  <c r="AQ50" i="51"/>
  <c r="AO51" i="51"/>
  <c r="AQ51" i="51"/>
  <c r="AO52" i="51"/>
  <c r="AQ52" i="51"/>
  <c r="AO53" i="51"/>
  <c r="AQ53" i="51"/>
  <c r="AO54" i="51"/>
  <c r="AQ54" i="51"/>
  <c r="AO55" i="51"/>
  <c r="AQ55" i="51"/>
  <c r="AO56" i="51"/>
  <c r="AQ56" i="51"/>
  <c r="AO57" i="51"/>
  <c r="AQ57" i="51"/>
  <c r="AO58" i="51"/>
  <c r="AQ58" i="51"/>
  <c r="AO59" i="51"/>
  <c r="AQ59" i="51"/>
  <c r="AO60" i="51"/>
  <c r="AQ60" i="51"/>
  <c r="AO61" i="51"/>
  <c r="AQ61" i="51"/>
  <c r="AO62" i="51"/>
  <c r="AQ62" i="51"/>
  <c r="AO63" i="51"/>
  <c r="AQ63" i="51"/>
  <c r="AO64" i="51"/>
  <c r="AQ64" i="51"/>
  <c r="AO65" i="51"/>
  <c r="AQ65" i="51"/>
  <c r="AO66" i="51"/>
  <c r="AQ66" i="51"/>
  <c r="AO67" i="51"/>
  <c r="AQ67" i="51"/>
  <c r="AO68" i="51"/>
  <c r="AS68" i="51" s="1"/>
  <c r="AP68" i="51"/>
  <c r="AQ68" i="51"/>
  <c r="AR68" i="51"/>
  <c r="AO69" i="51"/>
  <c r="AP69" i="51"/>
  <c r="AQ69" i="51"/>
  <c r="AR69" i="51"/>
  <c r="AS69" i="51" s="1"/>
  <c r="AO70" i="51"/>
  <c r="AP70" i="51"/>
  <c r="AQ70" i="51"/>
  <c r="AR70" i="51"/>
  <c r="AS70" i="51"/>
  <c r="AO71" i="51"/>
  <c r="AP71" i="51"/>
  <c r="AQ71" i="51"/>
  <c r="AR71" i="51"/>
  <c r="AS71" i="51"/>
  <c r="AO72" i="51"/>
  <c r="AP72" i="51"/>
  <c r="AQ72" i="51"/>
  <c r="AR72" i="51"/>
  <c r="AS72" i="51"/>
  <c r="AO73" i="51"/>
  <c r="AS73" i="51" s="1"/>
  <c r="AP73" i="51"/>
  <c r="AQ73" i="51"/>
  <c r="AR73" i="51"/>
  <c r="AO74" i="51"/>
  <c r="AS74" i="51" s="1"/>
  <c r="AP74" i="51"/>
  <c r="AQ74" i="51"/>
  <c r="AR74" i="51"/>
  <c r="AO75" i="51"/>
  <c r="AS75" i="51" s="1"/>
  <c r="AP75" i="51"/>
  <c r="AQ75" i="51"/>
  <c r="AR75" i="51"/>
  <c r="AO76" i="51"/>
  <c r="AS76" i="51" s="1"/>
  <c r="AP76" i="51"/>
  <c r="AQ76" i="51"/>
  <c r="AR76" i="51"/>
  <c r="AO77" i="51"/>
  <c r="AP77" i="51"/>
  <c r="AQ77" i="51"/>
  <c r="AR77" i="51"/>
  <c r="AS77" i="51" s="1"/>
  <c r="AO78" i="51"/>
  <c r="AP78" i="51"/>
  <c r="AQ78" i="51"/>
  <c r="AR78" i="51"/>
  <c r="AS78" i="51"/>
  <c r="AO79" i="51"/>
  <c r="AP79" i="51"/>
  <c r="AQ79" i="51"/>
  <c r="AR79" i="51"/>
  <c r="AS79" i="51"/>
  <c r="AO80" i="51"/>
  <c r="AP80" i="51"/>
  <c r="AQ80" i="51"/>
  <c r="AR80" i="51"/>
  <c r="AS80" i="51"/>
  <c r="AO81" i="51"/>
  <c r="AS81" i="51" s="1"/>
  <c r="AP81" i="51"/>
  <c r="AQ81" i="51"/>
  <c r="AR81" i="51"/>
  <c r="AO82" i="51"/>
  <c r="AS82" i="51" s="1"/>
  <c r="AP82" i="51"/>
  <c r="AQ82" i="51"/>
  <c r="AR82" i="51"/>
  <c r="AO83" i="51"/>
  <c r="AS83" i="51" s="1"/>
  <c r="AP83" i="51"/>
  <c r="AQ83" i="51"/>
  <c r="AR83" i="51"/>
  <c r="AO84" i="51"/>
  <c r="AS84" i="51" s="1"/>
  <c r="AP84" i="51"/>
  <c r="AQ84" i="51"/>
  <c r="AR84" i="51"/>
  <c r="AO85" i="51"/>
  <c r="AP85" i="51"/>
  <c r="AQ85" i="51"/>
  <c r="AR85" i="51"/>
  <c r="AS85" i="51" s="1"/>
  <c r="AO86" i="51"/>
  <c r="AP86" i="51"/>
  <c r="AQ86" i="51"/>
  <c r="AR86" i="51"/>
  <c r="AS86" i="51"/>
  <c r="AO87" i="51"/>
  <c r="AP87" i="51"/>
  <c r="AQ87" i="51"/>
  <c r="AR87" i="51"/>
  <c r="AS87" i="51"/>
  <c r="AO88" i="51"/>
  <c r="AP88" i="51"/>
  <c r="AQ88" i="51"/>
  <c r="AR88" i="51"/>
  <c r="AS88" i="51"/>
  <c r="AO89" i="51"/>
  <c r="AS89" i="51" s="1"/>
  <c r="AP89" i="51"/>
  <c r="AQ89" i="51"/>
  <c r="AR89" i="51"/>
  <c r="AO90" i="51"/>
  <c r="AS90" i="51" s="1"/>
  <c r="AP90" i="51"/>
  <c r="AQ90" i="51"/>
  <c r="AR90" i="51"/>
  <c r="AO91" i="51"/>
  <c r="AS91" i="51" s="1"/>
  <c r="AP91" i="51"/>
  <c r="AQ91" i="51"/>
  <c r="AR91" i="51"/>
  <c r="AO92" i="51"/>
  <c r="AS92" i="51" s="1"/>
  <c r="AP92" i="51"/>
  <c r="AQ92" i="51"/>
  <c r="AR92" i="51"/>
  <c r="AO93" i="51"/>
  <c r="AP93" i="51"/>
  <c r="AQ93" i="51"/>
  <c r="AR93" i="51"/>
  <c r="AS93" i="51" s="1"/>
  <c r="AO94" i="51"/>
  <c r="AP94" i="51"/>
  <c r="AQ94" i="51"/>
  <c r="AR94" i="51"/>
  <c r="AS94" i="51"/>
  <c r="AO95" i="51"/>
  <c r="AP95" i="51"/>
  <c r="AQ95" i="51"/>
  <c r="AR95" i="51"/>
  <c r="AS95" i="51"/>
  <c r="AO96" i="51"/>
  <c r="AP96" i="51"/>
  <c r="AQ96" i="51"/>
  <c r="AR96" i="51"/>
  <c r="AS96" i="51"/>
  <c r="AR97" i="51"/>
  <c r="AQ97" i="51"/>
  <c r="AP97" i="51"/>
  <c r="AO97" i="51"/>
  <c r="AO44" i="3"/>
  <c r="AQ44" i="3"/>
  <c r="AO45" i="3"/>
  <c r="AQ45" i="3"/>
  <c r="AO46" i="3"/>
  <c r="AQ46" i="3"/>
  <c r="AO47" i="3"/>
  <c r="AQ47" i="3"/>
  <c r="AO48" i="3"/>
  <c r="AQ48" i="3"/>
  <c r="AO49" i="3"/>
  <c r="AQ49" i="3"/>
  <c r="AO50" i="3"/>
  <c r="AQ50" i="3"/>
  <c r="AO51" i="3"/>
  <c r="AQ51" i="3"/>
  <c r="AO52" i="3"/>
  <c r="AQ52" i="3"/>
  <c r="AO53" i="3"/>
  <c r="AQ53" i="3"/>
  <c r="AO54" i="3"/>
  <c r="AQ54" i="3"/>
  <c r="AO55" i="3"/>
  <c r="AQ55" i="3"/>
  <c r="AO56" i="3"/>
  <c r="AQ56" i="3"/>
  <c r="AO57" i="3"/>
  <c r="AQ57" i="3"/>
  <c r="AO58" i="3"/>
  <c r="AQ58" i="3"/>
  <c r="AO59" i="3"/>
  <c r="AQ59" i="3"/>
  <c r="AO60" i="3"/>
  <c r="AQ60" i="3"/>
  <c r="AO61" i="3"/>
  <c r="AQ61" i="3"/>
  <c r="AO62" i="3"/>
  <c r="AQ62" i="3"/>
  <c r="AO63" i="3"/>
  <c r="AQ63" i="3"/>
  <c r="AO64" i="3"/>
  <c r="AQ64" i="3"/>
  <c r="AO65" i="3"/>
  <c r="AQ65" i="3"/>
  <c r="AO66" i="3"/>
  <c r="AQ66" i="3"/>
  <c r="AO67" i="3"/>
  <c r="AQ67" i="3"/>
  <c r="AO68" i="3"/>
  <c r="AQ68" i="3"/>
  <c r="AO69" i="3"/>
  <c r="AQ69" i="3"/>
  <c r="AO70" i="3"/>
  <c r="AQ70" i="3"/>
  <c r="AO71" i="3"/>
  <c r="AQ71" i="3"/>
  <c r="AO72" i="3"/>
  <c r="AQ72" i="3"/>
  <c r="AO73" i="3"/>
  <c r="AQ73" i="3"/>
  <c r="AO74" i="3"/>
  <c r="AS74" i="3" s="1"/>
  <c r="AP74" i="3"/>
  <c r="AQ74" i="3"/>
  <c r="AR74" i="3"/>
  <c r="AO75" i="3"/>
  <c r="AP75" i="3"/>
  <c r="AQ75" i="3"/>
  <c r="AR75" i="3"/>
  <c r="AS75" i="3"/>
  <c r="AO76" i="3"/>
  <c r="AS76" i="3" s="1"/>
  <c r="AP76" i="3"/>
  <c r="AQ76" i="3"/>
  <c r="AR76" i="3"/>
  <c r="AO77" i="3"/>
  <c r="AP77" i="3"/>
  <c r="AQ77" i="3"/>
  <c r="AR77" i="3"/>
  <c r="AS77" i="3"/>
  <c r="AO78" i="3"/>
  <c r="AP78" i="3"/>
  <c r="AQ78" i="3"/>
  <c r="AR78" i="3"/>
  <c r="AS78" i="3"/>
  <c r="AO79" i="3"/>
  <c r="AS79" i="3" s="1"/>
  <c r="AP79" i="3"/>
  <c r="AQ79" i="3"/>
  <c r="AR79" i="3"/>
  <c r="AO80" i="3"/>
  <c r="AP80" i="3"/>
  <c r="AQ80" i="3"/>
  <c r="AR80" i="3"/>
  <c r="AS80" i="3"/>
  <c r="AO81" i="3"/>
  <c r="AS81" i="3" s="1"/>
  <c r="AP81" i="3"/>
  <c r="AQ81" i="3"/>
  <c r="AR81" i="3"/>
  <c r="AO82" i="3"/>
  <c r="AS82" i="3" s="1"/>
  <c r="AP82" i="3"/>
  <c r="AQ82" i="3"/>
  <c r="AR82" i="3"/>
  <c r="AO83" i="3"/>
  <c r="AP83" i="3"/>
  <c r="AQ83" i="3"/>
  <c r="AR83" i="3"/>
  <c r="AS83" i="3"/>
  <c r="AO84" i="3"/>
  <c r="AS84" i="3" s="1"/>
  <c r="AP84" i="3"/>
  <c r="AQ84" i="3"/>
  <c r="AR84" i="3"/>
  <c r="AO85" i="3"/>
  <c r="AP85" i="3"/>
  <c r="AQ85" i="3"/>
  <c r="AR85" i="3"/>
  <c r="AS85" i="3"/>
  <c r="AO86" i="3"/>
  <c r="AP86" i="3"/>
  <c r="AQ86" i="3"/>
  <c r="AR86" i="3"/>
  <c r="AS86" i="3"/>
  <c r="AO87" i="3"/>
  <c r="AS87" i="3" s="1"/>
  <c r="AP87" i="3"/>
  <c r="AQ87" i="3"/>
  <c r="AR87" i="3"/>
  <c r="AO88" i="3"/>
  <c r="AP88" i="3"/>
  <c r="AQ88" i="3"/>
  <c r="AR88" i="3"/>
  <c r="AS88" i="3"/>
  <c r="AO89" i="3"/>
  <c r="AS89" i="3" s="1"/>
  <c r="AP89" i="3"/>
  <c r="AQ89" i="3"/>
  <c r="AR89" i="3"/>
  <c r="AO90" i="3"/>
  <c r="AS90" i="3" s="1"/>
  <c r="AP90" i="3"/>
  <c r="AQ90" i="3"/>
  <c r="AR90" i="3"/>
  <c r="AO91" i="3"/>
  <c r="AP91" i="3"/>
  <c r="AQ91" i="3"/>
  <c r="AR91" i="3"/>
  <c r="AS91" i="3"/>
  <c r="AO92" i="3"/>
  <c r="AS92" i="3" s="1"/>
  <c r="AP92" i="3"/>
  <c r="AQ92" i="3"/>
  <c r="AR92" i="3"/>
  <c r="AO93" i="3"/>
  <c r="AP93" i="3"/>
  <c r="AQ93" i="3"/>
  <c r="AR93" i="3"/>
  <c r="AS93" i="3"/>
  <c r="AO94" i="3"/>
  <c r="AP94" i="3"/>
  <c r="AQ94" i="3"/>
  <c r="AR94" i="3"/>
  <c r="AS94" i="3"/>
  <c r="AO95" i="3"/>
  <c r="AS95" i="3" s="1"/>
  <c r="AP95" i="3"/>
  <c r="AQ95" i="3"/>
  <c r="AR95" i="3"/>
  <c r="AO96" i="3"/>
  <c r="AP96" i="3"/>
  <c r="AQ96" i="3"/>
  <c r="AR96" i="3"/>
  <c r="AS96" i="3"/>
  <c r="AR97" i="3"/>
  <c r="AQ97" i="3"/>
  <c r="AP97" i="3"/>
  <c r="AO97" i="3"/>
  <c r="N123" i="131"/>
  <c r="K124" i="51"/>
  <c r="BB97" i="21"/>
  <c r="S97" i="129"/>
  <c r="AY97" i="129" s="1"/>
  <c r="BD44" i="18"/>
  <c r="BD45" i="18"/>
  <c r="BD46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8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4" i="18"/>
  <c r="BD95" i="18"/>
  <c r="BD96" i="18"/>
  <c r="BD97" i="18"/>
  <c r="H151" i="1" l="1"/>
  <c r="I151" i="1"/>
  <c r="J151" i="1"/>
  <c r="BC119" i="1"/>
  <c r="AR4" i="641"/>
  <c r="H152" i="1" l="1"/>
  <c r="I152" i="1"/>
  <c r="J152" i="1"/>
  <c r="Y106" i="4"/>
  <c r="BA58" i="542"/>
  <c r="I97" i="18" l="1"/>
  <c r="I97" i="63"/>
  <c r="Y59" i="257" l="1"/>
  <c r="Z59" i="257"/>
  <c r="AA59" i="257"/>
  <c r="AB59" i="257"/>
  <c r="AC59" i="257"/>
  <c r="AD59" i="257"/>
  <c r="AE59" i="257"/>
  <c r="AF59" i="257"/>
  <c r="AG59" i="257"/>
  <c r="AH59" i="257"/>
  <c r="AI59" i="257"/>
  <c r="AJ59" i="257"/>
  <c r="AK59" i="257"/>
  <c r="AL59" i="257"/>
  <c r="Y60" i="257"/>
  <c r="Z60" i="257"/>
  <c r="AA60" i="257"/>
  <c r="AB60" i="257"/>
  <c r="AC60" i="257"/>
  <c r="AD60" i="257"/>
  <c r="AE60" i="257"/>
  <c r="AF60" i="257"/>
  <c r="AG60" i="257"/>
  <c r="AH60" i="257"/>
  <c r="AI60" i="257"/>
  <c r="AJ60" i="257"/>
  <c r="AK60" i="257"/>
  <c r="AL60" i="257"/>
  <c r="X60" i="257"/>
  <c r="X59" i="257"/>
  <c r="G40" i="257"/>
  <c r="I97" i="133"/>
  <c r="W44" i="18" l="1"/>
  <c r="E5" i="641"/>
  <c r="AC130" i="19" l="1"/>
  <c r="Y130" i="19"/>
  <c r="U130" i="19"/>
  <c r="AS3" i="641"/>
  <c r="AR27" i="641"/>
  <c r="AS7" i="641"/>
  <c r="AS8" i="641"/>
  <c r="AS12" i="641"/>
  <c r="AS13" i="641"/>
  <c r="AS14" i="641"/>
  <c r="AS16" i="641"/>
  <c r="AS17" i="641"/>
  <c r="AS18" i="641"/>
  <c r="AS19" i="641"/>
  <c r="AS20" i="641"/>
  <c r="AS21" i="641"/>
  <c r="AS22" i="641"/>
  <c r="AS23" i="641"/>
  <c r="AS24" i="641"/>
  <c r="AC130" i="104"/>
  <c r="Y130" i="104"/>
  <c r="U130" i="104"/>
  <c r="Q130" i="104"/>
  <c r="C143" i="4"/>
  <c r="AS4" i="641" l="1"/>
  <c r="AS27" i="641" s="1"/>
  <c r="H18" i="641"/>
  <c r="H17" i="641"/>
  <c r="C18" i="641"/>
  <c r="C17" i="641"/>
  <c r="E18" i="641"/>
  <c r="E17" i="641"/>
  <c r="E6" i="641"/>
  <c r="H5" i="641"/>
  <c r="C6" i="641"/>
  <c r="C5" i="641"/>
  <c r="P142" i="1"/>
  <c r="K123" i="1"/>
  <c r="G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23" i="1"/>
  <c r="H19" i="641" l="1"/>
  <c r="E19" i="641"/>
  <c r="E7" i="641"/>
  <c r="G130" i="1"/>
  <c r="P122" i="1"/>
  <c r="S97" i="103"/>
  <c r="BD97" i="103" s="1"/>
  <c r="AD97" i="1"/>
  <c r="BJ97" i="1" s="1"/>
  <c r="Y81" i="639"/>
  <c r="Y82" i="639"/>
  <c r="Y83" i="639"/>
  <c r="Y84" i="639"/>
  <c r="Y85" i="639"/>
  <c r="Y86" i="639"/>
  <c r="Y87" i="639"/>
  <c r="Y88" i="639"/>
  <c r="AZ7" i="639" l="1"/>
  <c r="AZ8" i="639"/>
  <c r="AZ9" i="639"/>
  <c r="AZ10" i="639"/>
  <c r="AZ11" i="639"/>
  <c r="AZ12" i="639"/>
  <c r="AZ13" i="639"/>
  <c r="AZ14" i="639"/>
  <c r="AZ15" i="639"/>
  <c r="AZ16" i="639"/>
  <c r="AZ17" i="639"/>
  <c r="AZ18" i="639"/>
  <c r="AZ19" i="639"/>
  <c r="AZ20" i="639"/>
  <c r="AZ21" i="639"/>
  <c r="AZ22" i="639"/>
  <c r="AZ23" i="639"/>
  <c r="AZ24" i="639"/>
  <c r="AZ25" i="639"/>
  <c r="AZ26" i="639"/>
  <c r="AZ6" i="639"/>
  <c r="AN7" i="639"/>
  <c r="AN8" i="639"/>
  <c r="AN9" i="639"/>
  <c r="AN10" i="639"/>
  <c r="AN11" i="639"/>
  <c r="AN12" i="639"/>
  <c r="AN13" i="639"/>
  <c r="AN14" i="639"/>
  <c r="AN15" i="639"/>
  <c r="AN16" i="639"/>
  <c r="AN17" i="639"/>
  <c r="AN18" i="639"/>
  <c r="AN19" i="639"/>
  <c r="AN20" i="639"/>
  <c r="AN21" i="639"/>
  <c r="AN22" i="639"/>
  <c r="AN23" i="639"/>
  <c r="AN24" i="639"/>
  <c r="AN25" i="639"/>
  <c r="AN26" i="639"/>
  <c r="AN6" i="639"/>
  <c r="Y7" i="639"/>
  <c r="Y8" i="639"/>
  <c r="Y9" i="639"/>
  <c r="Y10" i="639"/>
  <c r="Y11" i="639"/>
  <c r="Y12" i="639"/>
  <c r="Y13" i="639"/>
  <c r="Y14" i="639"/>
  <c r="Y6" i="639"/>
  <c r="X193" i="4" l="1"/>
  <c r="L189" i="4"/>
  <c r="Y190" i="4"/>
  <c r="Y191" i="4"/>
  <c r="Y192" i="4"/>
  <c r="Y193" i="4"/>
  <c r="Y194" i="4"/>
  <c r="Y195" i="4"/>
  <c r="Y196" i="4"/>
  <c r="Y197" i="4"/>
  <c r="Y189" i="4"/>
  <c r="V189" i="4"/>
  <c r="B190" i="4"/>
  <c r="G190" i="4" s="1"/>
  <c r="C190" i="4"/>
  <c r="D190" i="4"/>
  <c r="E190" i="4"/>
  <c r="B191" i="4"/>
  <c r="C191" i="4"/>
  <c r="D191" i="4"/>
  <c r="I191" i="4" s="1"/>
  <c r="E191" i="4"/>
  <c r="J191" i="4" s="1"/>
  <c r="B192" i="4"/>
  <c r="G192" i="4" s="1"/>
  <c r="C192" i="4"/>
  <c r="D192" i="4"/>
  <c r="E192" i="4"/>
  <c r="B193" i="4"/>
  <c r="C193" i="4"/>
  <c r="D193" i="4"/>
  <c r="I193" i="4" s="1"/>
  <c r="E193" i="4"/>
  <c r="J193" i="4" s="1"/>
  <c r="B194" i="4"/>
  <c r="G194" i="4" s="1"/>
  <c r="C194" i="4"/>
  <c r="D194" i="4"/>
  <c r="E194" i="4"/>
  <c r="B195" i="4"/>
  <c r="C195" i="4"/>
  <c r="D195" i="4"/>
  <c r="I195" i="4" s="1"/>
  <c r="E195" i="4"/>
  <c r="J195" i="4" s="1"/>
  <c r="B196" i="4"/>
  <c r="G196" i="4" s="1"/>
  <c r="C196" i="4"/>
  <c r="D196" i="4"/>
  <c r="E196" i="4"/>
  <c r="B197" i="4"/>
  <c r="C197" i="4"/>
  <c r="D197" i="4"/>
  <c r="I197" i="4" s="1"/>
  <c r="E197" i="4"/>
  <c r="J197" i="4" s="1"/>
  <c r="C189" i="4"/>
  <c r="H189" i="4" s="1"/>
  <c r="D189" i="4"/>
  <c r="E189" i="4"/>
  <c r="B189" i="4"/>
  <c r="Z190" i="4"/>
  <c r="AA190" i="4"/>
  <c r="AB190" i="4"/>
  <c r="Z191" i="4"/>
  <c r="AA191" i="4"/>
  <c r="AB191" i="4"/>
  <c r="Z192" i="4"/>
  <c r="AA192" i="4"/>
  <c r="AB192" i="4"/>
  <c r="Z193" i="4"/>
  <c r="AA193" i="4"/>
  <c r="AB193" i="4"/>
  <c r="Z194" i="4"/>
  <c r="AA194" i="4"/>
  <c r="AB194" i="4"/>
  <c r="Z195" i="4"/>
  <c r="AA195" i="4"/>
  <c r="AB195" i="4"/>
  <c r="Z196" i="4"/>
  <c r="AA196" i="4"/>
  <c r="AB196" i="4"/>
  <c r="AA197" i="4"/>
  <c r="AB197" i="4"/>
  <c r="AB189" i="4"/>
  <c r="AA189" i="4"/>
  <c r="Z189" i="4"/>
  <c r="U189" i="4"/>
  <c r="V190" i="4"/>
  <c r="W190" i="4"/>
  <c r="X190" i="4"/>
  <c r="V191" i="4"/>
  <c r="W191" i="4"/>
  <c r="X191" i="4"/>
  <c r="V192" i="4"/>
  <c r="W192" i="4"/>
  <c r="X192" i="4"/>
  <c r="V193" i="4"/>
  <c r="W193" i="4"/>
  <c r="V194" i="4"/>
  <c r="W194" i="4"/>
  <c r="X194" i="4"/>
  <c r="V195" i="4"/>
  <c r="W195" i="4"/>
  <c r="X195" i="4"/>
  <c r="V196" i="4"/>
  <c r="W196" i="4"/>
  <c r="X196" i="4"/>
  <c r="W197" i="4"/>
  <c r="X197" i="4"/>
  <c r="U190" i="4"/>
  <c r="U191" i="4"/>
  <c r="U192" i="4"/>
  <c r="U193" i="4"/>
  <c r="U194" i="4"/>
  <c r="U195" i="4"/>
  <c r="U196" i="4"/>
  <c r="U197" i="4"/>
  <c r="P189" i="4"/>
  <c r="X189" i="4"/>
  <c r="W189" i="4"/>
  <c r="Q190" i="4"/>
  <c r="R190" i="4"/>
  <c r="S190" i="4"/>
  <c r="T190" i="4"/>
  <c r="Q191" i="4"/>
  <c r="R191" i="4"/>
  <c r="S191" i="4"/>
  <c r="T191" i="4"/>
  <c r="Q192" i="4"/>
  <c r="R192" i="4"/>
  <c r="S192" i="4"/>
  <c r="T192" i="4"/>
  <c r="Q193" i="4"/>
  <c r="R193" i="4"/>
  <c r="S193" i="4"/>
  <c r="T193" i="4"/>
  <c r="Q194" i="4"/>
  <c r="R194" i="4"/>
  <c r="S194" i="4"/>
  <c r="T194" i="4"/>
  <c r="Q195" i="4"/>
  <c r="R195" i="4"/>
  <c r="S195" i="4"/>
  <c r="T195" i="4"/>
  <c r="Q196" i="4"/>
  <c r="R196" i="4"/>
  <c r="S196" i="4"/>
  <c r="T196" i="4"/>
  <c r="Q197" i="4"/>
  <c r="S197" i="4"/>
  <c r="T197" i="4"/>
  <c r="R189" i="4"/>
  <c r="S189" i="4"/>
  <c r="T189" i="4"/>
  <c r="Q189" i="4"/>
  <c r="P199" i="4"/>
  <c r="P200" i="4"/>
  <c r="P201" i="4"/>
  <c r="P202" i="4"/>
  <c r="P203" i="4"/>
  <c r="P204" i="4"/>
  <c r="P205" i="4"/>
  <c r="P206" i="4"/>
  <c r="P207" i="4"/>
  <c r="P208" i="4"/>
  <c r="P209" i="4"/>
  <c r="P198" i="4"/>
  <c r="P190" i="4"/>
  <c r="P191" i="4"/>
  <c r="P192" i="4"/>
  <c r="P193" i="4"/>
  <c r="P194" i="4"/>
  <c r="P195" i="4"/>
  <c r="P196" i="4"/>
  <c r="P197" i="4"/>
  <c r="BN105" i="4"/>
  <c r="BH105" i="4"/>
  <c r="K190" i="4"/>
  <c r="L190" i="4"/>
  <c r="M190" i="4"/>
  <c r="N190" i="4"/>
  <c r="K191" i="4"/>
  <c r="L191" i="4"/>
  <c r="M191" i="4"/>
  <c r="N191" i="4"/>
  <c r="K192" i="4"/>
  <c r="L192" i="4"/>
  <c r="M192" i="4"/>
  <c r="N192" i="4"/>
  <c r="K193" i="4"/>
  <c r="L193" i="4"/>
  <c r="M193" i="4"/>
  <c r="N193" i="4"/>
  <c r="K194" i="4"/>
  <c r="L194" i="4"/>
  <c r="M194" i="4"/>
  <c r="N194" i="4"/>
  <c r="K195" i="4"/>
  <c r="L195" i="4"/>
  <c r="M195" i="4"/>
  <c r="N195" i="4"/>
  <c r="K196" i="4"/>
  <c r="L196" i="4"/>
  <c r="M196" i="4"/>
  <c r="N196" i="4"/>
  <c r="K197" i="4"/>
  <c r="M197" i="4"/>
  <c r="N197" i="4"/>
  <c r="M189" i="4"/>
  <c r="N189" i="4"/>
  <c r="K189" i="4"/>
  <c r="H190" i="4"/>
  <c r="I190" i="4"/>
  <c r="J190" i="4"/>
  <c r="G191" i="4"/>
  <c r="H191" i="4"/>
  <c r="H192" i="4"/>
  <c r="I192" i="4"/>
  <c r="J192" i="4"/>
  <c r="G193" i="4"/>
  <c r="H193" i="4"/>
  <c r="H194" i="4"/>
  <c r="I194" i="4"/>
  <c r="J194" i="4"/>
  <c r="G195" i="4"/>
  <c r="H195" i="4"/>
  <c r="H196" i="4"/>
  <c r="I196" i="4"/>
  <c r="J196" i="4"/>
  <c r="G197" i="4"/>
  <c r="H197" i="4"/>
  <c r="I189" i="4"/>
  <c r="J189" i="4"/>
  <c r="G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189" i="4"/>
  <c r="U130" i="103"/>
  <c r="T3" i="257"/>
  <c r="BT111" i="103"/>
  <c r="Y122" i="22"/>
  <c r="Y130" i="22"/>
  <c r="Y129" i="22"/>
  <c r="Y128" i="22"/>
  <c r="Y127" i="22"/>
  <c r="Y126" i="22"/>
  <c r="Y125" i="22"/>
  <c r="Y124" i="22"/>
  <c r="Y123" i="22"/>
  <c r="M6" i="4" l="1"/>
  <c r="G6" i="4" s="1"/>
  <c r="M7" i="4"/>
  <c r="G7" i="4" s="1"/>
  <c r="M8" i="4"/>
  <c r="G8" i="4" s="1"/>
  <c r="M9" i="4"/>
  <c r="G9" i="4" s="1"/>
  <c r="M10" i="4"/>
  <c r="G10" i="4" s="1"/>
  <c r="G11" i="4"/>
  <c r="M11" i="4"/>
  <c r="M12" i="4"/>
  <c r="G12" i="4" s="1"/>
  <c r="P122" i="129"/>
  <c r="R112" i="22"/>
  <c r="S112" i="22"/>
  <c r="R113" i="22"/>
  <c r="S113" i="22"/>
  <c r="R114" i="22"/>
  <c r="S114" i="22"/>
  <c r="R115" i="22"/>
  <c r="S115" i="22"/>
  <c r="R116" i="22"/>
  <c r="S116" i="22"/>
  <c r="R117" i="22"/>
  <c r="S117" i="22"/>
  <c r="S111" i="22"/>
  <c r="R111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23" i="22"/>
  <c r="F124" i="22"/>
  <c r="F125" i="22"/>
  <c r="F126" i="22"/>
  <c r="F127" i="22"/>
  <c r="F128" i="22"/>
  <c r="F129" i="22"/>
  <c r="F130" i="22"/>
  <c r="R113" i="129"/>
  <c r="S113" i="129"/>
  <c r="R114" i="129"/>
  <c r="S114" i="129"/>
  <c r="R115" i="129"/>
  <c r="S115" i="129"/>
  <c r="R116" i="129"/>
  <c r="S116" i="129"/>
  <c r="R117" i="129"/>
  <c r="S117" i="129"/>
  <c r="R112" i="129"/>
  <c r="S112" i="129"/>
  <c r="S111" i="129"/>
  <c r="R111" i="129"/>
  <c r="F132" i="129"/>
  <c r="F133" i="129"/>
  <c r="F134" i="129"/>
  <c r="F135" i="129"/>
  <c r="F136" i="129"/>
  <c r="F137" i="129"/>
  <c r="F138" i="129"/>
  <c r="F139" i="129"/>
  <c r="F140" i="129"/>
  <c r="F141" i="129"/>
  <c r="F142" i="129"/>
  <c r="F131" i="129"/>
  <c r="F123" i="129"/>
  <c r="F124" i="129"/>
  <c r="F125" i="129"/>
  <c r="F126" i="129"/>
  <c r="F127" i="129"/>
  <c r="F128" i="129"/>
  <c r="F129" i="129"/>
  <c r="F130" i="129"/>
  <c r="P122" i="63"/>
  <c r="Q104" i="63"/>
  <c r="R104" i="63"/>
  <c r="Q105" i="63"/>
  <c r="R105" i="63"/>
  <c r="Q106" i="63"/>
  <c r="R106" i="63"/>
  <c r="Q107" i="63"/>
  <c r="R107" i="63"/>
  <c r="Q108" i="63"/>
  <c r="R108" i="63"/>
  <c r="Q109" i="63"/>
  <c r="R109" i="63"/>
  <c r="Q104" i="323"/>
  <c r="R104" i="323"/>
  <c r="Q105" i="323"/>
  <c r="R105" i="323"/>
  <c r="Q106" i="323"/>
  <c r="R106" i="323"/>
  <c r="Q107" i="323"/>
  <c r="R107" i="323"/>
  <c r="Q108" i="323"/>
  <c r="R108" i="323"/>
  <c r="R103" i="323"/>
  <c r="V111" i="314"/>
  <c r="R112" i="131"/>
  <c r="V112" i="314"/>
  <c r="V113" i="314"/>
  <c r="V114" i="314"/>
  <c r="V115" i="314"/>
  <c r="V116" i="314"/>
  <c r="U112" i="314"/>
  <c r="U113" i="314"/>
  <c r="U114" i="314"/>
  <c r="U115" i="314"/>
  <c r="U116" i="314"/>
  <c r="U111" i="314"/>
  <c r="AL149" i="4"/>
  <c r="AM136" i="101" s="1"/>
  <c r="E136" i="101" s="1"/>
  <c r="AL150" i="4"/>
  <c r="AM137" i="131" s="1"/>
  <c r="E137" i="131" s="1"/>
  <c r="AL151" i="4"/>
  <c r="AM138" i="25" s="1"/>
  <c r="E138" i="25" s="1"/>
  <c r="AL152" i="4"/>
  <c r="AM139" i="102" s="1"/>
  <c r="E139" i="102" s="1"/>
  <c r="AL153" i="4"/>
  <c r="AM140" i="26" s="1"/>
  <c r="E140" i="26" s="1"/>
  <c r="AL154" i="4"/>
  <c r="AM141" i="103" s="1"/>
  <c r="E141" i="103" s="1"/>
  <c r="AL155" i="4"/>
  <c r="AL156" i="4"/>
  <c r="AM143" i="102" s="1"/>
  <c r="AL157" i="4"/>
  <c r="AM144" i="101" s="1"/>
  <c r="AL158" i="4"/>
  <c r="AM145" i="102" s="1"/>
  <c r="AL159" i="4"/>
  <c r="AM146" i="133" s="1"/>
  <c r="AL160" i="4"/>
  <c r="AM147" i="103" s="1"/>
  <c r="AL161" i="4"/>
  <c r="AM148" i="26" s="1"/>
  <c r="AL162" i="4"/>
  <c r="AM149" i="131" s="1"/>
  <c r="AL163" i="4"/>
  <c r="AM150" i="103" s="1"/>
  <c r="AL164" i="4"/>
  <c r="AM151" i="103" s="1"/>
  <c r="AL165" i="4"/>
  <c r="AM152" i="23" s="1"/>
  <c r="AJ149" i="4"/>
  <c r="AK136" i="26" s="1"/>
  <c r="C136" i="26" s="1"/>
  <c r="AJ150" i="4"/>
  <c r="AK137" i="102" s="1"/>
  <c r="C137" i="102" s="1"/>
  <c r="AJ151" i="4"/>
  <c r="AK138" i="133" s="1"/>
  <c r="C138" i="133" s="1"/>
  <c r="AJ152" i="4"/>
  <c r="AK139" i="131" s="1"/>
  <c r="C139" i="131" s="1"/>
  <c r="AJ153" i="4"/>
  <c r="AJ154" i="4"/>
  <c r="AJ155" i="4"/>
  <c r="AK142" i="101" s="1"/>
  <c r="C142" i="101" s="1"/>
  <c r="AJ156" i="4"/>
  <c r="AK143" i="133" s="1"/>
  <c r="AJ157" i="4"/>
  <c r="AK144" i="26" s="1"/>
  <c r="AJ158" i="4"/>
  <c r="AK145" i="25" s="1"/>
  <c r="AJ159" i="4"/>
  <c r="AK146" i="25" s="1"/>
  <c r="AJ160" i="4"/>
  <c r="AK147" i="26" s="1"/>
  <c r="AJ161" i="4"/>
  <c r="AK148" i="133" s="1"/>
  <c r="AJ162" i="4"/>
  <c r="AJ163" i="4"/>
  <c r="AK150" i="101" s="1"/>
  <c r="AJ164" i="4"/>
  <c r="AJ165" i="4"/>
  <c r="AK152" i="131" s="1"/>
  <c r="AK144" i="4"/>
  <c r="BA144" i="4" s="1"/>
  <c r="AL131" i="133" l="1"/>
  <c r="D131" i="133" s="1"/>
  <c r="F32" i="464"/>
  <c r="AM145" i="131"/>
  <c r="AK146" i="133"/>
  <c r="AK143" i="323"/>
  <c r="AM149" i="103"/>
  <c r="AM136" i="103"/>
  <c r="E136" i="103" s="1"/>
  <c r="AK138" i="102"/>
  <c r="C138" i="102" s="1"/>
  <c r="AM145" i="103"/>
  <c r="AM144" i="103"/>
  <c r="AK147" i="27"/>
  <c r="AK138" i="25"/>
  <c r="C138" i="25" s="1"/>
  <c r="AM143" i="103"/>
  <c r="AM137" i="133"/>
  <c r="E137" i="133" s="1"/>
  <c r="AK146" i="102"/>
  <c r="AM141" i="27"/>
  <c r="E141" i="27" s="1"/>
  <c r="AK139" i="26"/>
  <c r="C139" i="26" s="1"/>
  <c r="AM152" i="133"/>
  <c r="AM136" i="133"/>
  <c r="E136" i="133" s="1"/>
  <c r="AK145" i="102"/>
  <c r="AK138" i="26"/>
  <c r="C138" i="26" s="1"/>
  <c r="AM152" i="103"/>
  <c r="AM139" i="103"/>
  <c r="E139" i="103" s="1"/>
  <c r="AK137" i="101"/>
  <c r="C137" i="101" s="1"/>
  <c r="AM137" i="103"/>
  <c r="E137" i="103" s="1"/>
  <c r="AJ142" i="22"/>
  <c r="E142" i="22" s="1"/>
  <c r="AJ142" i="129"/>
  <c r="E142" i="129" s="1"/>
  <c r="AK142" i="3"/>
  <c r="E142" i="3" s="1"/>
  <c r="AM142" i="29"/>
  <c r="E142" i="29" s="1"/>
  <c r="AM142" i="18"/>
  <c r="E142" i="18" s="1"/>
  <c r="AL142" i="20"/>
  <c r="E142" i="20" s="1"/>
  <c r="AM142" i="1"/>
  <c r="E142" i="1" s="1"/>
  <c r="AM142" i="323"/>
  <c r="E142" i="323" s="1"/>
  <c r="AM142" i="51"/>
  <c r="E142" i="51" s="1"/>
  <c r="AM142" i="63"/>
  <c r="E142" i="63" s="1"/>
  <c r="AM142" i="19"/>
  <c r="E142" i="19" s="1"/>
  <c r="AM142" i="21"/>
  <c r="E142" i="21" s="1"/>
  <c r="AL142" i="314"/>
  <c r="E142" i="314" s="1"/>
  <c r="AM142" i="25"/>
  <c r="E142" i="25" s="1"/>
  <c r="AM142" i="101"/>
  <c r="E142" i="101" s="1"/>
  <c r="AM142" i="23"/>
  <c r="E142" i="23" s="1"/>
  <c r="AM142" i="26"/>
  <c r="E142" i="26" s="1"/>
  <c r="AM142" i="27"/>
  <c r="E142" i="27" s="1"/>
  <c r="AM142" i="102"/>
  <c r="E142" i="102" s="1"/>
  <c r="AM146" i="101"/>
  <c r="AK144" i="27"/>
  <c r="AK152" i="25"/>
  <c r="AL140" i="314"/>
  <c r="E140" i="314" s="1"/>
  <c r="AI131" i="22"/>
  <c r="D131" i="22" s="1"/>
  <c r="AJ131" i="3"/>
  <c r="AL131" i="18"/>
  <c r="D131" i="18" s="1"/>
  <c r="AI131" i="129"/>
  <c r="D131" i="129" s="1"/>
  <c r="AL131" i="323"/>
  <c r="D131" i="323" s="1"/>
  <c r="AL131" i="19"/>
  <c r="D131" i="19" s="1"/>
  <c r="AL131" i="51"/>
  <c r="AL131" i="1"/>
  <c r="AL131" i="63"/>
  <c r="D131" i="63" s="1"/>
  <c r="AL131" i="21"/>
  <c r="D131" i="21" s="1"/>
  <c r="AL131" i="131"/>
  <c r="D131" i="131" s="1"/>
  <c r="AL131" i="26"/>
  <c r="D131" i="26" s="1"/>
  <c r="AL131" i="27"/>
  <c r="D131" i="27" s="1"/>
  <c r="AK131" i="20"/>
  <c r="D131" i="20" s="1"/>
  <c r="AK131" i="314"/>
  <c r="D131" i="314" s="1"/>
  <c r="AL131" i="102"/>
  <c r="D131" i="102" s="1"/>
  <c r="AL131" i="29"/>
  <c r="D131" i="29" s="1"/>
  <c r="AL131" i="25"/>
  <c r="D131" i="25" s="1"/>
  <c r="AH151" i="22"/>
  <c r="AH151" i="129"/>
  <c r="AK151" i="51"/>
  <c r="AK151" i="63"/>
  <c r="AK151" i="18"/>
  <c r="AJ151" i="20"/>
  <c r="AI151" i="3"/>
  <c r="AK151" i="29"/>
  <c r="AK151" i="323"/>
  <c r="AK151" i="19"/>
  <c r="AK151" i="23"/>
  <c r="AK151" i="21"/>
  <c r="AK151" i="1"/>
  <c r="AJ151" i="314"/>
  <c r="AK151" i="25"/>
  <c r="AK151" i="101"/>
  <c r="AK151" i="131"/>
  <c r="AK151" i="26"/>
  <c r="AK151" i="27"/>
  <c r="AH143" i="22"/>
  <c r="AK143" i="63"/>
  <c r="AH143" i="129"/>
  <c r="AK143" i="18"/>
  <c r="AJ143" i="20"/>
  <c r="AK143" i="1"/>
  <c r="AK143" i="51"/>
  <c r="AI143" i="3"/>
  <c r="AK143" i="23"/>
  <c r="AK143" i="19"/>
  <c r="AK143" i="21"/>
  <c r="AJ143" i="314"/>
  <c r="AK143" i="131"/>
  <c r="AK143" i="101"/>
  <c r="AK143" i="29"/>
  <c r="AK143" i="26"/>
  <c r="AK143" i="27"/>
  <c r="AJ149" i="22"/>
  <c r="AJ149" i="129"/>
  <c r="AM149" i="51"/>
  <c r="AK149" i="3"/>
  <c r="AM149" i="1"/>
  <c r="AM149" i="18"/>
  <c r="AL149" i="20"/>
  <c r="AM149" i="19"/>
  <c r="AM149" i="63"/>
  <c r="AL149" i="314"/>
  <c r="AM149" i="25"/>
  <c r="AM149" i="21"/>
  <c r="AM149" i="23"/>
  <c r="AM149" i="323"/>
  <c r="AM149" i="102"/>
  <c r="AM149" i="133"/>
  <c r="AM149" i="29"/>
  <c r="AM149" i="101"/>
  <c r="AM141" i="51"/>
  <c r="E141" i="51" s="1"/>
  <c r="AM141" i="1"/>
  <c r="E141" i="1" s="1"/>
  <c r="AK141" i="3"/>
  <c r="E141" i="3" s="1"/>
  <c r="AJ141" i="129"/>
  <c r="E141" i="129" s="1"/>
  <c r="AM141" i="18"/>
  <c r="E141" i="18" s="1"/>
  <c r="AL141" i="20"/>
  <c r="E141" i="20" s="1"/>
  <c r="AM141" i="63"/>
  <c r="E141" i="63" s="1"/>
  <c r="AM141" i="323"/>
  <c r="E141" i="323" s="1"/>
  <c r="AM141" i="29"/>
  <c r="E141" i="29" s="1"/>
  <c r="AL141" i="314"/>
  <c r="E141" i="314" s="1"/>
  <c r="AM141" i="25"/>
  <c r="E141" i="25" s="1"/>
  <c r="AJ141" i="22"/>
  <c r="E141" i="22" s="1"/>
  <c r="AM141" i="23"/>
  <c r="E141" i="23" s="1"/>
  <c r="AM141" i="19"/>
  <c r="E141" i="19" s="1"/>
  <c r="AM141" i="102"/>
  <c r="E141" i="102" s="1"/>
  <c r="AM141" i="133"/>
  <c r="E141" i="133" s="1"/>
  <c r="AM141" i="21"/>
  <c r="E141" i="21" s="1"/>
  <c r="AM141" i="131"/>
  <c r="E141" i="131" s="1"/>
  <c r="AM141" i="101"/>
  <c r="E141" i="101" s="1"/>
  <c r="AK131" i="104"/>
  <c r="D131" i="104" s="1"/>
  <c r="AK152" i="133"/>
  <c r="AK151" i="102"/>
  <c r="AM152" i="101"/>
  <c r="AK145" i="101"/>
  <c r="AM138" i="101"/>
  <c r="E138" i="101" s="1"/>
  <c r="AL131" i="101"/>
  <c r="D131" i="101" s="1"/>
  <c r="AM149" i="27"/>
  <c r="AK136" i="27"/>
  <c r="C136" i="27" s="1"/>
  <c r="AK150" i="25"/>
  <c r="AL136" i="314"/>
  <c r="E136" i="314" s="1"/>
  <c r="AJ148" i="22"/>
  <c r="AM148" i="1"/>
  <c r="AJ148" i="129"/>
  <c r="AM148" i="51"/>
  <c r="AK148" i="3"/>
  <c r="AM148" i="29"/>
  <c r="AM148" i="63"/>
  <c r="AM148" i="18"/>
  <c r="AM148" i="19"/>
  <c r="AM148" i="323"/>
  <c r="AM148" i="101"/>
  <c r="AL148" i="314"/>
  <c r="AL148" i="20"/>
  <c r="AM148" i="21"/>
  <c r="AM148" i="131"/>
  <c r="AK152" i="101"/>
  <c r="AM146" i="26"/>
  <c r="AM138" i="131"/>
  <c r="E138" i="131" s="1"/>
  <c r="AM148" i="23"/>
  <c r="AK149" i="1"/>
  <c r="AI149" i="3"/>
  <c r="AH149" i="22"/>
  <c r="AK149" i="51"/>
  <c r="AK149" i="29"/>
  <c r="AH149" i="129"/>
  <c r="AK149" i="63"/>
  <c r="AK149" i="323"/>
  <c r="AK149" i="19"/>
  <c r="AJ149" i="314"/>
  <c r="AJ149" i="20"/>
  <c r="AK149" i="131"/>
  <c r="AK149" i="21"/>
  <c r="AK149" i="133"/>
  <c r="AK149" i="18"/>
  <c r="AK149" i="101"/>
  <c r="AK149" i="23"/>
  <c r="AK149" i="25"/>
  <c r="AK149" i="26"/>
  <c r="AK149" i="27"/>
  <c r="AH141" i="22"/>
  <c r="C141" i="22" s="1"/>
  <c r="AH141" i="129"/>
  <c r="C141" i="129" s="1"/>
  <c r="AI141" i="3"/>
  <c r="C141" i="3" s="1"/>
  <c r="AK141" i="51"/>
  <c r="C141" i="51" s="1"/>
  <c r="AK141" i="1"/>
  <c r="C141" i="1" s="1"/>
  <c r="AK141" i="29"/>
  <c r="C141" i="29" s="1"/>
  <c r="AK141" i="63"/>
  <c r="C141" i="63" s="1"/>
  <c r="AK141" i="323"/>
  <c r="C141" i="323" s="1"/>
  <c r="AK141" i="19"/>
  <c r="C141" i="19" s="1"/>
  <c r="AJ141" i="314"/>
  <c r="C141" i="314" s="1"/>
  <c r="AK141" i="131"/>
  <c r="C141" i="131" s="1"/>
  <c r="AK141" i="18"/>
  <c r="C141" i="18" s="1"/>
  <c r="AJ141" i="20"/>
  <c r="C141" i="20" s="1"/>
  <c r="AK141" i="21"/>
  <c r="C141" i="21" s="1"/>
  <c r="AK141" i="23"/>
  <c r="C141" i="23" s="1"/>
  <c r="AK141" i="133"/>
  <c r="C141" i="133" s="1"/>
  <c r="AK141" i="25"/>
  <c r="C141" i="25" s="1"/>
  <c r="AK141" i="101"/>
  <c r="C141" i="101" s="1"/>
  <c r="AK141" i="26"/>
  <c r="C141" i="26" s="1"/>
  <c r="AK141" i="27"/>
  <c r="C141" i="27" s="1"/>
  <c r="AJ147" i="22"/>
  <c r="AJ147" i="129"/>
  <c r="AM147" i="1"/>
  <c r="AM147" i="51"/>
  <c r="AM147" i="63"/>
  <c r="AM147" i="323"/>
  <c r="AM147" i="19"/>
  <c r="AK147" i="3"/>
  <c r="AM147" i="29"/>
  <c r="AL147" i="20"/>
  <c r="AM147" i="23"/>
  <c r="AM147" i="18"/>
  <c r="AL147" i="314"/>
  <c r="AM147" i="26"/>
  <c r="AM147" i="27"/>
  <c r="AM147" i="131"/>
  <c r="AM147" i="25"/>
  <c r="AM147" i="133"/>
  <c r="AJ139" i="22"/>
  <c r="E139" i="22" s="1"/>
  <c r="AJ139" i="129"/>
  <c r="E139" i="129" s="1"/>
  <c r="AM139" i="1"/>
  <c r="E139" i="1" s="1"/>
  <c r="AK139" i="3"/>
  <c r="E139" i="3" s="1"/>
  <c r="AM139" i="63"/>
  <c r="E139" i="63" s="1"/>
  <c r="AM139" i="323"/>
  <c r="E139" i="323" s="1"/>
  <c r="AM139" i="19"/>
  <c r="E139" i="19" s="1"/>
  <c r="AM139" i="29"/>
  <c r="E139" i="29" s="1"/>
  <c r="AM139" i="51"/>
  <c r="E139" i="51" s="1"/>
  <c r="AM139" i="23"/>
  <c r="E139" i="23" s="1"/>
  <c r="AM139" i="18"/>
  <c r="E139" i="18" s="1"/>
  <c r="AL139" i="20"/>
  <c r="E139" i="20" s="1"/>
  <c r="AM139" i="131"/>
  <c r="E139" i="131" s="1"/>
  <c r="AM139" i="25"/>
  <c r="E139" i="25" s="1"/>
  <c r="AM139" i="26"/>
  <c r="E139" i="26" s="1"/>
  <c r="AM139" i="27"/>
  <c r="E139" i="27" s="1"/>
  <c r="AL139" i="314"/>
  <c r="E139" i="314" s="1"/>
  <c r="AM139" i="21"/>
  <c r="E139" i="21" s="1"/>
  <c r="AM139" i="133"/>
  <c r="E139" i="133" s="1"/>
  <c r="AK151" i="133"/>
  <c r="AM142" i="133"/>
  <c r="E142" i="133" s="1"/>
  <c r="AK149" i="102"/>
  <c r="AK144" i="101"/>
  <c r="AM148" i="27"/>
  <c r="AK146" i="26"/>
  <c r="AM138" i="26"/>
  <c r="E138" i="26" s="1"/>
  <c r="AM148" i="25"/>
  <c r="AK146" i="131"/>
  <c r="AJ140" i="22"/>
  <c r="E140" i="22" s="1"/>
  <c r="AM140" i="1"/>
  <c r="E140" i="1" s="1"/>
  <c r="AJ140" i="129"/>
  <c r="E140" i="129" s="1"/>
  <c r="AM140" i="51"/>
  <c r="E140" i="51" s="1"/>
  <c r="AK140" i="3"/>
  <c r="E140" i="3" s="1"/>
  <c r="AM140" i="29"/>
  <c r="E140" i="29" s="1"/>
  <c r="AM140" i="63"/>
  <c r="E140" i="63" s="1"/>
  <c r="AM140" i="18"/>
  <c r="E140" i="18" s="1"/>
  <c r="AL140" i="20"/>
  <c r="E140" i="20" s="1"/>
  <c r="AM140" i="19"/>
  <c r="E140" i="19" s="1"/>
  <c r="AM140" i="25"/>
  <c r="E140" i="25" s="1"/>
  <c r="AM140" i="101"/>
  <c r="E140" i="101" s="1"/>
  <c r="AM140" i="323"/>
  <c r="E140" i="323" s="1"/>
  <c r="AM140" i="131"/>
  <c r="E140" i="131" s="1"/>
  <c r="AM140" i="23"/>
  <c r="E140" i="23" s="1"/>
  <c r="AI140" i="3"/>
  <c r="C140" i="3" s="1"/>
  <c r="AH140" i="22"/>
  <c r="C140" i="22" s="1"/>
  <c r="AK140" i="29"/>
  <c r="C140" i="29" s="1"/>
  <c r="AK140" i="1"/>
  <c r="C140" i="1" s="1"/>
  <c r="AK140" i="18"/>
  <c r="C140" i="18" s="1"/>
  <c r="AJ140" i="20"/>
  <c r="C140" i="20" s="1"/>
  <c r="AK140" i="323"/>
  <c r="C140" i="323" s="1"/>
  <c r="AH140" i="129"/>
  <c r="C140" i="129" s="1"/>
  <c r="AK140" i="51"/>
  <c r="C140" i="51" s="1"/>
  <c r="AK140" i="63"/>
  <c r="C140" i="63" s="1"/>
  <c r="AK140" i="21"/>
  <c r="C140" i="21" s="1"/>
  <c r="AK140" i="19"/>
  <c r="C140" i="19" s="1"/>
  <c r="AJ140" i="314"/>
  <c r="C140" i="314" s="1"/>
  <c r="AK140" i="25"/>
  <c r="C140" i="25" s="1"/>
  <c r="AK140" i="101"/>
  <c r="C140" i="101" s="1"/>
  <c r="AK140" i="131"/>
  <c r="C140" i="131" s="1"/>
  <c r="AK140" i="26"/>
  <c r="C140" i="26" s="1"/>
  <c r="AK140" i="27"/>
  <c r="C140" i="27" s="1"/>
  <c r="AK140" i="102"/>
  <c r="C140" i="102" s="1"/>
  <c r="AK140" i="23"/>
  <c r="C140" i="23" s="1"/>
  <c r="AH150" i="22"/>
  <c r="AI150" i="3"/>
  <c r="AK150" i="18"/>
  <c r="AK150" i="323"/>
  <c r="AK150" i="19"/>
  <c r="AH150" i="129"/>
  <c r="AK150" i="1"/>
  <c r="AK150" i="51"/>
  <c r="AK150" i="63"/>
  <c r="AK150" i="21"/>
  <c r="AK150" i="29"/>
  <c r="AK150" i="131"/>
  <c r="AJ150" i="20"/>
  <c r="AK150" i="23"/>
  <c r="AK150" i="26"/>
  <c r="AK150" i="27"/>
  <c r="AK150" i="102"/>
  <c r="AJ150" i="314"/>
  <c r="AM148" i="103"/>
  <c r="AJ146" i="129"/>
  <c r="AJ146" i="22"/>
  <c r="AM146" i="1"/>
  <c r="AM146" i="323"/>
  <c r="AM146" i="29"/>
  <c r="AK146" i="3"/>
  <c r="AL146" i="20"/>
  <c r="AM146" i="21"/>
  <c r="AM146" i="51"/>
  <c r="AM146" i="18"/>
  <c r="AM146" i="19"/>
  <c r="AM146" i="63"/>
  <c r="AM146" i="23"/>
  <c r="AL146" i="314"/>
  <c r="AM146" i="131"/>
  <c r="AM146" i="25"/>
  <c r="AM146" i="102"/>
  <c r="AM150" i="133"/>
  <c r="AK142" i="133"/>
  <c r="C142" i="133" s="1"/>
  <c r="AH147" i="22"/>
  <c r="AH147" i="129"/>
  <c r="AK147" i="51"/>
  <c r="AK147" i="1"/>
  <c r="AK147" i="18"/>
  <c r="AJ147" i="20"/>
  <c r="AK147" i="63"/>
  <c r="AK147" i="323"/>
  <c r="AK147" i="29"/>
  <c r="AI147" i="3"/>
  <c r="AJ147" i="314"/>
  <c r="AK147" i="25"/>
  <c r="AK147" i="19"/>
  <c r="AK147" i="23"/>
  <c r="AK147" i="131"/>
  <c r="AK147" i="102"/>
  <c r="AK147" i="21"/>
  <c r="AK147" i="133"/>
  <c r="AK147" i="101"/>
  <c r="AH139" i="22"/>
  <c r="C139" i="22" s="1"/>
  <c r="AK139" i="51"/>
  <c r="C139" i="51" s="1"/>
  <c r="AH139" i="129"/>
  <c r="C139" i="129" s="1"/>
  <c r="AK139" i="1"/>
  <c r="C139" i="1" s="1"/>
  <c r="AI139" i="3"/>
  <c r="C139" i="3" s="1"/>
  <c r="AK139" i="18"/>
  <c r="C139" i="18" s="1"/>
  <c r="AJ139" i="20"/>
  <c r="C139" i="20" s="1"/>
  <c r="AJ139" i="314"/>
  <c r="C139" i="314" s="1"/>
  <c r="AK139" i="25"/>
  <c r="C139" i="25" s="1"/>
  <c r="AK139" i="63"/>
  <c r="C139" i="63" s="1"/>
  <c r="AK139" i="323"/>
  <c r="C139" i="323" s="1"/>
  <c r="AK139" i="29"/>
  <c r="C139" i="29" s="1"/>
  <c r="AK139" i="19"/>
  <c r="C139" i="19" s="1"/>
  <c r="AK139" i="21"/>
  <c r="C139" i="21" s="1"/>
  <c r="AK139" i="23"/>
  <c r="C139" i="23" s="1"/>
  <c r="AK139" i="102"/>
  <c r="C139" i="102" s="1"/>
  <c r="AK139" i="133"/>
  <c r="C139" i="133" s="1"/>
  <c r="AK139" i="101"/>
  <c r="C139" i="101" s="1"/>
  <c r="AJ145" i="22"/>
  <c r="AJ145" i="129"/>
  <c r="AM145" i="1"/>
  <c r="AM145" i="63"/>
  <c r="AK145" i="3"/>
  <c r="AM145" i="18"/>
  <c r="AL145" i="20"/>
  <c r="AM145" i="51"/>
  <c r="AM145" i="19"/>
  <c r="AM145" i="23"/>
  <c r="AM145" i="21"/>
  <c r="AM145" i="101"/>
  <c r="AM145" i="29"/>
  <c r="AM145" i="26"/>
  <c r="AM145" i="27"/>
  <c r="AM145" i="323"/>
  <c r="AL145" i="314"/>
  <c r="AM145" i="25"/>
  <c r="AM137" i="1"/>
  <c r="E137" i="1" s="1"/>
  <c r="AJ137" i="22"/>
  <c r="E137" i="22" s="1"/>
  <c r="AJ137" i="129"/>
  <c r="E137" i="129" s="1"/>
  <c r="AM137" i="51"/>
  <c r="E137" i="51" s="1"/>
  <c r="AM137" i="63"/>
  <c r="E137" i="63" s="1"/>
  <c r="AM137" i="18"/>
  <c r="E137" i="18" s="1"/>
  <c r="AL137" i="20"/>
  <c r="E137" i="20" s="1"/>
  <c r="AK137" i="3"/>
  <c r="E137" i="3" s="1"/>
  <c r="AM137" i="29"/>
  <c r="E137" i="29" s="1"/>
  <c r="AM137" i="23"/>
  <c r="E137" i="23" s="1"/>
  <c r="AM137" i="323"/>
  <c r="E137" i="323" s="1"/>
  <c r="AM137" i="21"/>
  <c r="E137" i="21" s="1"/>
  <c r="AL137" i="314"/>
  <c r="E137" i="314" s="1"/>
  <c r="AM137" i="19"/>
  <c r="E137" i="19" s="1"/>
  <c r="AM137" i="101"/>
  <c r="E137" i="101" s="1"/>
  <c r="AM137" i="25"/>
  <c r="E137" i="25" s="1"/>
  <c r="AM137" i="26"/>
  <c r="E137" i="26" s="1"/>
  <c r="AM137" i="27"/>
  <c r="E137" i="27" s="1"/>
  <c r="AL131" i="103"/>
  <c r="D131" i="103" s="1"/>
  <c r="AK150" i="133"/>
  <c r="AM145" i="133"/>
  <c r="AM140" i="133"/>
  <c r="E140" i="133" s="1"/>
  <c r="AK143" i="102"/>
  <c r="AM137" i="102"/>
  <c r="E137" i="102" s="1"/>
  <c r="AM146" i="27"/>
  <c r="AK139" i="27"/>
  <c r="C139" i="27" s="1"/>
  <c r="AK145" i="131"/>
  <c r="AH148" i="22"/>
  <c r="AH148" i="129"/>
  <c r="AK148" i="1"/>
  <c r="AI148" i="3"/>
  <c r="AK148" i="29"/>
  <c r="AK148" i="51"/>
  <c r="AK148" i="18"/>
  <c r="AJ148" i="20"/>
  <c r="AK148" i="323"/>
  <c r="AK148" i="63"/>
  <c r="AK148" i="21"/>
  <c r="AJ148" i="314"/>
  <c r="AK148" i="25"/>
  <c r="AK148" i="19"/>
  <c r="AK148" i="101"/>
  <c r="AK148" i="26"/>
  <c r="AK148" i="27"/>
  <c r="AK148" i="23"/>
  <c r="AK148" i="131"/>
  <c r="AK148" i="102"/>
  <c r="AJ138" i="129"/>
  <c r="E138" i="129" s="1"/>
  <c r="AM138" i="1"/>
  <c r="E138" i="1" s="1"/>
  <c r="AJ138" i="22"/>
  <c r="E138" i="22" s="1"/>
  <c r="AM138" i="323"/>
  <c r="E138" i="323" s="1"/>
  <c r="AM138" i="51"/>
  <c r="E138" i="51" s="1"/>
  <c r="AM138" i="29"/>
  <c r="E138" i="29" s="1"/>
  <c r="AM138" i="21"/>
  <c r="E138" i="21" s="1"/>
  <c r="AK138" i="3"/>
  <c r="E138" i="3" s="1"/>
  <c r="AM138" i="18"/>
  <c r="E138" i="18" s="1"/>
  <c r="AM138" i="19"/>
  <c r="E138" i="19" s="1"/>
  <c r="AM138" i="23"/>
  <c r="E138" i="23" s="1"/>
  <c r="AL138" i="20"/>
  <c r="E138" i="20" s="1"/>
  <c r="AL138" i="314"/>
  <c r="E138" i="314" s="1"/>
  <c r="AM138" i="63"/>
  <c r="E138" i="63" s="1"/>
  <c r="AM138" i="102"/>
  <c r="E138" i="102" s="1"/>
  <c r="AM138" i="133"/>
  <c r="E138" i="133" s="1"/>
  <c r="AM148" i="102"/>
  <c r="AK136" i="101"/>
  <c r="C136" i="101" s="1"/>
  <c r="AK152" i="26"/>
  <c r="AH146" i="22"/>
  <c r="AK146" i="1"/>
  <c r="AH146" i="129"/>
  <c r="AK146" i="51"/>
  <c r="AK146" i="29"/>
  <c r="AK146" i="63"/>
  <c r="AI146" i="3"/>
  <c r="AK146" i="18"/>
  <c r="AK146" i="323"/>
  <c r="AJ146" i="314"/>
  <c r="AK146" i="23"/>
  <c r="AK146" i="21"/>
  <c r="AK146" i="101"/>
  <c r="AJ146" i="20"/>
  <c r="AK146" i="19"/>
  <c r="AJ152" i="22"/>
  <c r="AK152" i="3"/>
  <c r="AJ152" i="129"/>
  <c r="AM152" i="1"/>
  <c r="AM152" i="18"/>
  <c r="AM152" i="323"/>
  <c r="AM152" i="19"/>
  <c r="AM152" i="51"/>
  <c r="AM152" i="63"/>
  <c r="AM152" i="21"/>
  <c r="AM152" i="131"/>
  <c r="AM152" i="29"/>
  <c r="AL152" i="20"/>
  <c r="AM152" i="26"/>
  <c r="AM152" i="27"/>
  <c r="AL152" i="314"/>
  <c r="AM152" i="102"/>
  <c r="AM152" i="25"/>
  <c r="AJ144" i="22"/>
  <c r="AK144" i="3"/>
  <c r="AM144" i="1"/>
  <c r="AM144" i="18"/>
  <c r="AJ144" i="129"/>
  <c r="AM144" i="51"/>
  <c r="AM144" i="323"/>
  <c r="AM144" i="19"/>
  <c r="AM144" i="63"/>
  <c r="AM144" i="29"/>
  <c r="AM144" i="21"/>
  <c r="AL144" i="20"/>
  <c r="AM144" i="131"/>
  <c r="AM144" i="26"/>
  <c r="AM144" i="27"/>
  <c r="AL144" i="314"/>
  <c r="AM144" i="25"/>
  <c r="AM144" i="102"/>
  <c r="AM144" i="23"/>
  <c r="AJ136" i="22"/>
  <c r="E136" i="22" s="1"/>
  <c r="AK136" i="3"/>
  <c r="E136" i="3" s="1"/>
  <c r="AJ136" i="129"/>
  <c r="E136" i="129" s="1"/>
  <c r="AM136" i="18"/>
  <c r="E136" i="18" s="1"/>
  <c r="AM136" i="323"/>
  <c r="E136" i="323" s="1"/>
  <c r="AM136" i="19"/>
  <c r="E136" i="19" s="1"/>
  <c r="AM136" i="1"/>
  <c r="E136" i="1" s="1"/>
  <c r="AM136" i="51"/>
  <c r="E136" i="51" s="1"/>
  <c r="AM136" i="63"/>
  <c r="E136" i="63" s="1"/>
  <c r="AM136" i="21"/>
  <c r="E136" i="21" s="1"/>
  <c r="AL136" i="20"/>
  <c r="E136" i="20" s="1"/>
  <c r="AM136" i="29"/>
  <c r="E136" i="29" s="1"/>
  <c r="AM136" i="131"/>
  <c r="E136" i="131" s="1"/>
  <c r="AM136" i="23"/>
  <c r="E136" i="23" s="1"/>
  <c r="AM136" i="26"/>
  <c r="E136" i="26" s="1"/>
  <c r="AM136" i="27"/>
  <c r="E136" i="27" s="1"/>
  <c r="AM136" i="25"/>
  <c r="E136" i="25" s="1"/>
  <c r="AM136" i="102"/>
  <c r="E136" i="102" s="1"/>
  <c r="AM146" i="103"/>
  <c r="AM142" i="103"/>
  <c r="E142" i="103" s="1"/>
  <c r="AM138" i="103"/>
  <c r="E138" i="103" s="1"/>
  <c r="AM147" i="102"/>
  <c r="AM147" i="101"/>
  <c r="AK146" i="27"/>
  <c r="AM138" i="27"/>
  <c r="E138" i="27" s="1"/>
  <c r="AM149" i="26"/>
  <c r="AM142" i="131"/>
  <c r="E142" i="131" s="1"/>
  <c r="AL131" i="23"/>
  <c r="D131" i="23" s="1"/>
  <c r="AM147" i="21"/>
  <c r="AH142" i="22"/>
  <c r="C142" i="22" s="1"/>
  <c r="AI142" i="3"/>
  <c r="C142" i="3" s="1"/>
  <c r="AK142" i="1"/>
  <c r="C142" i="1" s="1"/>
  <c r="AK142" i="18"/>
  <c r="C142" i="18" s="1"/>
  <c r="AK142" i="323"/>
  <c r="C142" i="323" s="1"/>
  <c r="AK142" i="19"/>
  <c r="C142" i="19" s="1"/>
  <c r="AK142" i="51"/>
  <c r="C142" i="51" s="1"/>
  <c r="AH142" i="129"/>
  <c r="C142" i="129" s="1"/>
  <c r="AK142" i="63"/>
  <c r="C142" i="63" s="1"/>
  <c r="AK142" i="21"/>
  <c r="C142" i="21" s="1"/>
  <c r="AK142" i="29"/>
  <c r="C142" i="29" s="1"/>
  <c r="AJ142" i="20"/>
  <c r="C142" i="20" s="1"/>
  <c r="AK142" i="131"/>
  <c r="C142" i="131" s="1"/>
  <c r="AJ142" i="314"/>
  <c r="C142" i="314" s="1"/>
  <c r="AK142" i="23"/>
  <c r="C142" i="23" s="1"/>
  <c r="AK142" i="26"/>
  <c r="C142" i="26" s="1"/>
  <c r="AK142" i="27"/>
  <c r="C142" i="27" s="1"/>
  <c r="AK142" i="102"/>
  <c r="C142" i="102" s="1"/>
  <c r="AK142" i="25"/>
  <c r="C142" i="25" s="1"/>
  <c r="AM140" i="103"/>
  <c r="E140" i="103" s="1"/>
  <c r="AM140" i="27"/>
  <c r="E140" i="27" s="1"/>
  <c r="AH138" i="22"/>
  <c r="C138" i="22" s="1"/>
  <c r="AK138" i="1"/>
  <c r="C138" i="1" s="1"/>
  <c r="AH138" i="129"/>
  <c r="C138" i="129" s="1"/>
  <c r="AK138" i="51"/>
  <c r="C138" i="51" s="1"/>
  <c r="AK138" i="29"/>
  <c r="C138" i="29" s="1"/>
  <c r="AK138" i="63"/>
  <c r="C138" i="63" s="1"/>
  <c r="AK138" i="18"/>
  <c r="C138" i="18" s="1"/>
  <c r="AI138" i="3"/>
  <c r="C138" i="3" s="1"/>
  <c r="AK138" i="19"/>
  <c r="C138" i="19" s="1"/>
  <c r="AJ138" i="20"/>
  <c r="C138" i="20" s="1"/>
  <c r="AJ138" i="314"/>
  <c r="C138" i="314" s="1"/>
  <c r="AK138" i="23"/>
  <c r="C138" i="23" s="1"/>
  <c r="AK138" i="21"/>
  <c r="C138" i="21" s="1"/>
  <c r="AK138" i="323"/>
  <c r="C138" i="323" s="1"/>
  <c r="AK138" i="101"/>
  <c r="C138" i="101" s="1"/>
  <c r="AK138" i="131"/>
  <c r="C138" i="131" s="1"/>
  <c r="AH145" i="22"/>
  <c r="AH145" i="129"/>
  <c r="AK145" i="1"/>
  <c r="AK145" i="63"/>
  <c r="AI145" i="3"/>
  <c r="AK145" i="51"/>
  <c r="AK145" i="323"/>
  <c r="AK145" i="19"/>
  <c r="AK145" i="29"/>
  <c r="AK145" i="18"/>
  <c r="AK145" i="23"/>
  <c r="AJ145" i="20"/>
  <c r="AK145" i="21"/>
  <c r="AK145" i="26"/>
  <c r="AK145" i="27"/>
  <c r="AK145" i="133"/>
  <c r="AH137" i="22"/>
  <c r="C137" i="22" s="1"/>
  <c r="AH137" i="129"/>
  <c r="C137" i="129" s="1"/>
  <c r="AK137" i="1"/>
  <c r="C137" i="1" s="1"/>
  <c r="AK137" i="51"/>
  <c r="C137" i="51" s="1"/>
  <c r="AK137" i="63"/>
  <c r="C137" i="63" s="1"/>
  <c r="AI137" i="3"/>
  <c r="C137" i="3" s="1"/>
  <c r="AK137" i="323"/>
  <c r="C137" i="323" s="1"/>
  <c r="AK137" i="19"/>
  <c r="C137" i="19" s="1"/>
  <c r="AK137" i="29"/>
  <c r="C137" i="29" s="1"/>
  <c r="AK137" i="18"/>
  <c r="C137" i="18" s="1"/>
  <c r="AK137" i="23"/>
  <c r="C137" i="23" s="1"/>
  <c r="AK137" i="21"/>
  <c r="C137" i="21" s="1"/>
  <c r="AK137" i="26"/>
  <c r="C137" i="26" s="1"/>
  <c r="AK137" i="27"/>
  <c r="C137" i="27" s="1"/>
  <c r="AK137" i="131"/>
  <c r="C137" i="131" s="1"/>
  <c r="AK137" i="25"/>
  <c r="C137" i="25" s="1"/>
  <c r="AJ137" i="20"/>
  <c r="C137" i="20" s="1"/>
  <c r="AJ137" i="314"/>
  <c r="C137" i="314" s="1"/>
  <c r="AK137" i="133"/>
  <c r="C137" i="133" s="1"/>
  <c r="AK151" i="3"/>
  <c r="AJ151" i="129"/>
  <c r="AM151" i="51"/>
  <c r="AM151" i="29"/>
  <c r="AM151" i="63"/>
  <c r="AJ151" i="22"/>
  <c r="AM151" i="1"/>
  <c r="AM151" i="323"/>
  <c r="AM151" i="19"/>
  <c r="AM151" i="18"/>
  <c r="AL151" i="314"/>
  <c r="AM151" i="131"/>
  <c r="AM151" i="21"/>
  <c r="AL151" i="20"/>
  <c r="AM151" i="133"/>
  <c r="AM151" i="23"/>
  <c r="AM151" i="25"/>
  <c r="AM151" i="101"/>
  <c r="AM151" i="26"/>
  <c r="AM151" i="27"/>
  <c r="AJ143" i="22"/>
  <c r="AJ143" i="129"/>
  <c r="AM143" i="1"/>
  <c r="AK143" i="3"/>
  <c r="AM143" i="29"/>
  <c r="AM143" i="63"/>
  <c r="AM143" i="51"/>
  <c r="AM143" i="323"/>
  <c r="AM143" i="19"/>
  <c r="AM143" i="18"/>
  <c r="AL143" i="20"/>
  <c r="AL143" i="314"/>
  <c r="AM143" i="131"/>
  <c r="AM143" i="21"/>
  <c r="AM143" i="25"/>
  <c r="AM143" i="133"/>
  <c r="AM143" i="23"/>
  <c r="AM143" i="101"/>
  <c r="AM143" i="26"/>
  <c r="AM143" i="27"/>
  <c r="AM148" i="133"/>
  <c r="AM144" i="133"/>
  <c r="AK140" i="133"/>
  <c r="C140" i="133" s="1"/>
  <c r="AM151" i="102"/>
  <c r="AK141" i="102"/>
  <c r="C141" i="102" s="1"/>
  <c r="AM139" i="101"/>
  <c r="E139" i="101" s="1"/>
  <c r="AK152" i="27"/>
  <c r="AK138" i="27"/>
  <c r="C138" i="27" s="1"/>
  <c r="AM141" i="26"/>
  <c r="E141" i="26" s="1"/>
  <c r="AK143" i="25"/>
  <c r="AJ145" i="314"/>
  <c r="AM140" i="21"/>
  <c r="E140" i="21" s="1"/>
  <c r="AH152" i="22"/>
  <c r="AH152" i="129"/>
  <c r="AK152" i="1"/>
  <c r="AK152" i="323"/>
  <c r="AK152" i="51"/>
  <c r="AI152" i="3"/>
  <c r="AK152" i="21"/>
  <c r="AK152" i="18"/>
  <c r="AJ152" i="20"/>
  <c r="AK152" i="63"/>
  <c r="AK152" i="23"/>
  <c r="AK152" i="29"/>
  <c r="AK152" i="19"/>
  <c r="AJ152" i="314"/>
  <c r="AK152" i="102"/>
  <c r="AH144" i="129"/>
  <c r="AK144" i="1"/>
  <c r="AI144" i="3"/>
  <c r="AK144" i="51"/>
  <c r="AK144" i="323"/>
  <c r="AK144" i="29"/>
  <c r="AH144" i="22"/>
  <c r="AK144" i="21"/>
  <c r="AK144" i="18"/>
  <c r="AK144" i="63"/>
  <c r="AK144" i="19"/>
  <c r="AK144" i="23"/>
  <c r="AK144" i="102"/>
  <c r="AJ144" i="20"/>
  <c r="AJ144" i="314"/>
  <c r="AK144" i="131"/>
  <c r="AK144" i="25"/>
  <c r="AH136" i="129"/>
  <c r="C136" i="129" s="1"/>
  <c r="AK136" i="1"/>
  <c r="C136" i="1" s="1"/>
  <c r="AH136" i="22"/>
  <c r="C136" i="22" s="1"/>
  <c r="AK136" i="323"/>
  <c r="C136" i="323" s="1"/>
  <c r="AI136" i="3"/>
  <c r="C136" i="3" s="1"/>
  <c r="AK136" i="29"/>
  <c r="C136" i="29" s="1"/>
  <c r="AK136" i="18"/>
  <c r="C136" i="18" s="1"/>
  <c r="AK136" i="19"/>
  <c r="C136" i="19" s="1"/>
  <c r="AK136" i="21"/>
  <c r="C136" i="21" s="1"/>
  <c r="AK136" i="63"/>
  <c r="C136" i="63" s="1"/>
  <c r="AJ136" i="20"/>
  <c r="C136" i="20" s="1"/>
  <c r="AK136" i="51"/>
  <c r="C136" i="51" s="1"/>
  <c r="AK136" i="23"/>
  <c r="C136" i="23" s="1"/>
  <c r="AK136" i="131"/>
  <c r="C136" i="131" s="1"/>
  <c r="AK136" i="25"/>
  <c r="C136" i="25" s="1"/>
  <c r="AK136" i="102"/>
  <c r="C136" i="102" s="1"/>
  <c r="AK136" i="133"/>
  <c r="C136" i="133" s="1"/>
  <c r="AJ136" i="314"/>
  <c r="C136" i="314" s="1"/>
  <c r="AK150" i="3"/>
  <c r="AM150" i="1"/>
  <c r="AJ150" i="22"/>
  <c r="AM150" i="29"/>
  <c r="AJ150" i="129"/>
  <c r="AM150" i="18"/>
  <c r="AL150" i="20"/>
  <c r="AM150" i="323"/>
  <c r="AM150" i="51"/>
  <c r="AM150" i="63"/>
  <c r="AM150" i="21"/>
  <c r="AL150" i="314"/>
  <c r="AM150" i="25"/>
  <c r="AM150" i="19"/>
  <c r="AM150" i="23"/>
  <c r="AM150" i="101"/>
  <c r="AM150" i="131"/>
  <c r="AM150" i="26"/>
  <c r="AM150" i="27"/>
  <c r="AM150" i="102"/>
  <c r="AK144" i="133"/>
  <c r="AM140" i="102"/>
  <c r="E140" i="102" s="1"/>
  <c r="D155" i="542"/>
  <c r="D156" i="542"/>
  <c r="D159" i="542"/>
  <c r="D160" i="542"/>
  <c r="BD65" i="542"/>
  <c r="BD66" i="542" s="1"/>
  <c r="BD67" i="542" s="1"/>
  <c r="BD68" i="542" s="1"/>
  <c r="BD69" i="542" s="1"/>
  <c r="BD70" i="542" s="1"/>
  <c r="H65" i="542"/>
  <c r="D161" i="542" s="1"/>
  <c r="H61" i="542"/>
  <c r="H62" i="542" s="1"/>
  <c r="H63" i="542" s="1"/>
  <c r="BF65" i="542"/>
  <c r="BF66" i="542" s="1"/>
  <c r="BF67" i="542" s="1"/>
  <c r="BF68" i="542" s="1"/>
  <c r="BF69" i="542" s="1"/>
  <c r="BF70" i="542" s="1"/>
  <c r="BD61" i="542"/>
  <c r="BD62" i="542" s="1"/>
  <c r="BD63" i="542" s="1"/>
  <c r="BE65" i="542"/>
  <c r="BE66" i="542" s="1"/>
  <c r="BE67" i="542" s="1"/>
  <c r="BE68" i="542" s="1"/>
  <c r="BE69" i="542" s="1"/>
  <c r="BE70" i="542" s="1"/>
  <c r="H66" i="542" l="1"/>
  <c r="H67" i="542" s="1"/>
  <c r="H68" i="542" s="1"/>
  <c r="H69" i="542" s="1"/>
  <c r="H70" i="542" s="1"/>
  <c r="D166" i="542" s="1"/>
  <c r="H142" i="1"/>
  <c r="D164" i="542"/>
  <c r="D163" i="542"/>
  <c r="D162" i="542"/>
  <c r="D158" i="542"/>
  <c r="D165" i="542"/>
  <c r="D157" i="542"/>
  <c r="L142" i="1" l="1"/>
  <c r="R142" i="1" l="1"/>
  <c r="F18" i="641" l="1"/>
  <c r="J18" i="641"/>
  <c r="K18" i="641" s="1"/>
  <c r="L18" i="641" s="1"/>
  <c r="F6" i="641"/>
  <c r="BE59" i="542"/>
  <c r="BF59" i="542" s="1"/>
  <c r="BE60" i="542"/>
  <c r="BE61" i="542" s="1"/>
  <c r="BE62" i="542" s="1"/>
  <c r="BE63" i="542" s="1"/>
  <c r="BF60" i="542"/>
  <c r="BF61" i="542" s="1"/>
  <c r="BF62" i="542" s="1"/>
  <c r="BF63" i="542" s="1"/>
  <c r="U12" i="542"/>
  <c r="U13" i="542"/>
  <c r="U14" i="542"/>
  <c r="U15" i="542"/>
  <c r="U16" i="542"/>
  <c r="U17" i="542"/>
  <c r="U18" i="542"/>
  <c r="U19" i="542"/>
  <c r="U20" i="542"/>
  <c r="U21" i="542"/>
  <c r="U22" i="542"/>
  <c r="U23" i="542"/>
  <c r="U24" i="542"/>
  <c r="U25" i="542"/>
  <c r="U26" i="542"/>
  <c r="U27" i="542"/>
  <c r="U28" i="542"/>
  <c r="U29" i="542"/>
  <c r="U30" i="542"/>
  <c r="U31" i="542"/>
  <c r="U32" i="542"/>
  <c r="U33" i="542"/>
  <c r="U34" i="542"/>
  <c r="U35" i="542"/>
  <c r="U36" i="542"/>
  <c r="U37" i="542"/>
  <c r="U38" i="542"/>
  <c r="U39" i="542"/>
  <c r="U40" i="542"/>
  <c r="U41" i="542"/>
  <c r="U42" i="542"/>
  <c r="U43" i="542"/>
  <c r="U44" i="542"/>
  <c r="U45" i="542"/>
  <c r="U46" i="542"/>
  <c r="U47" i="542"/>
  <c r="U48" i="542"/>
  <c r="U49" i="542"/>
  <c r="U50" i="542"/>
  <c r="U11" i="542"/>
  <c r="U10" i="542"/>
  <c r="J6" i="641" l="1"/>
  <c r="W51" i="4"/>
  <c r="W52" i="4"/>
  <c r="W53" i="4"/>
  <c r="W54" i="4"/>
  <c r="W55" i="4"/>
  <c r="W50" i="4"/>
  <c r="K6" i="641" l="1"/>
  <c r="Q34" i="46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L6" i="641" l="1"/>
  <c r="BS45" i="102"/>
  <c r="BS46" i="102"/>
  <c r="BS47" i="102"/>
  <c r="BS48" i="102"/>
  <c r="BS49" i="102"/>
  <c r="BS50" i="102"/>
  <c r="BS51" i="102"/>
  <c r="BS52" i="102"/>
  <c r="BS53" i="102"/>
  <c r="BS54" i="102"/>
  <c r="BS55" i="102"/>
  <c r="BS56" i="102"/>
  <c r="BS57" i="102"/>
  <c r="BS58" i="102"/>
  <c r="BS59" i="102"/>
  <c r="BS60" i="102"/>
  <c r="BS61" i="102"/>
  <c r="BS62" i="102"/>
  <c r="BS63" i="102"/>
  <c r="BS64" i="102"/>
  <c r="BS65" i="102"/>
  <c r="BS66" i="102"/>
  <c r="BS67" i="102"/>
  <c r="BS68" i="102"/>
  <c r="BS69" i="102"/>
  <c r="BS70" i="102"/>
  <c r="BS71" i="102"/>
  <c r="BS72" i="102"/>
  <c r="BS73" i="102"/>
  <c r="BS74" i="102"/>
  <c r="BS75" i="102"/>
  <c r="BS76" i="102"/>
  <c r="BS77" i="102"/>
  <c r="BS78" i="102"/>
  <c r="BS79" i="102"/>
  <c r="BS80" i="102"/>
  <c r="BS81" i="102"/>
  <c r="BS82" i="102"/>
  <c r="BS83" i="102"/>
  <c r="BS84" i="102"/>
  <c r="BS85" i="102"/>
  <c r="BS86" i="102"/>
  <c r="BS87" i="102"/>
  <c r="BS88" i="102"/>
  <c r="BS89" i="102"/>
  <c r="BS90" i="102"/>
  <c r="BS91" i="102"/>
  <c r="BS92" i="102"/>
  <c r="BS93" i="102"/>
  <c r="BS94" i="102"/>
  <c r="BS95" i="102"/>
  <c r="BS96" i="102"/>
  <c r="BS97" i="102"/>
  <c r="BS44" i="102"/>
  <c r="CF93" i="102"/>
  <c r="CF94" i="102"/>
  <c r="CF95" i="102"/>
  <c r="CF96" i="102"/>
  <c r="CF97" i="102"/>
  <c r="CC70" i="102"/>
  <c r="CC71" i="102"/>
  <c r="CC72" i="102"/>
  <c r="CC73" i="102"/>
  <c r="CC74" i="102"/>
  <c r="CC75" i="102"/>
  <c r="CC76" i="102"/>
  <c r="CC77" i="102"/>
  <c r="CC78" i="102"/>
  <c r="CC79" i="102"/>
  <c r="CC80" i="102"/>
  <c r="CC81" i="102"/>
  <c r="CC82" i="102"/>
  <c r="CC83" i="102"/>
  <c r="CC84" i="102"/>
  <c r="CC85" i="102"/>
  <c r="CC86" i="102"/>
  <c r="CC87" i="102"/>
  <c r="CC88" i="102"/>
  <c r="CC89" i="102"/>
  <c r="CC90" i="102"/>
  <c r="CC91" i="102"/>
  <c r="CC92" i="102"/>
  <c r="CC93" i="102"/>
  <c r="CC94" i="102"/>
  <c r="CC95" i="102"/>
  <c r="CC96" i="102"/>
  <c r="CC97" i="102"/>
  <c r="CC69" i="102"/>
  <c r="AR97" i="22" l="1"/>
  <c r="AR98" i="22" s="1"/>
  <c r="AG97" i="22"/>
  <c r="AH97" i="22"/>
  <c r="AI97" i="22"/>
  <c r="AF97" i="22" s="1"/>
  <c r="I97" i="22" s="1"/>
  <c r="AN97" i="22" s="1"/>
  <c r="G97" i="22"/>
  <c r="AC97" i="22" s="1"/>
  <c r="AR97" i="129"/>
  <c r="AR98" i="129" s="1"/>
  <c r="I97" i="129"/>
  <c r="AA97" i="129" s="1"/>
  <c r="G97" i="129"/>
  <c r="G97" i="16"/>
  <c r="V97" i="16" s="1"/>
  <c r="N57" i="194"/>
  <c r="M57" i="194"/>
  <c r="H57" i="194"/>
  <c r="AW97" i="16" s="1"/>
  <c r="G57" i="194"/>
  <c r="K97" i="16"/>
  <c r="M97" i="16"/>
  <c r="BO117" i="51"/>
  <c r="BP118" i="51" s="1"/>
  <c r="BP105" i="51"/>
  <c r="BP117" i="51" s="1"/>
  <c r="I97" i="51" s="1"/>
  <c r="BP106" i="51"/>
  <c r="BP107" i="51"/>
  <c r="BP108" i="51"/>
  <c r="BP109" i="51"/>
  <c r="BP110" i="51"/>
  <c r="BP111" i="51"/>
  <c r="BP112" i="51"/>
  <c r="BP113" i="51"/>
  <c r="BP114" i="51"/>
  <c r="BP115" i="51"/>
  <c r="BP104" i="51"/>
  <c r="AR99" i="22" l="1"/>
  <c r="AR99" i="129"/>
  <c r="AT97" i="22"/>
  <c r="U130" i="22" s="1"/>
  <c r="AN97" i="129"/>
  <c r="L84" i="133"/>
  <c r="L85" i="133"/>
  <c r="L86" i="133"/>
  <c r="L87" i="133"/>
  <c r="L88" i="133"/>
  <c r="L89" i="133"/>
  <c r="L90" i="133"/>
  <c r="L91" i="133"/>
  <c r="L92" i="133"/>
  <c r="L93" i="133"/>
  <c r="L94" i="133"/>
  <c r="L95" i="133"/>
  <c r="L96" i="133"/>
  <c r="BS105" i="51"/>
  <c r="BS106" i="51"/>
  <c r="BS107" i="51"/>
  <c r="BS108" i="51"/>
  <c r="BS109" i="51"/>
  <c r="BS110" i="51"/>
  <c r="BS111" i="51"/>
  <c r="BS112" i="51"/>
  <c r="BS113" i="51"/>
  <c r="BS114" i="51"/>
  <c r="BS115" i="51"/>
  <c r="BS104" i="51"/>
  <c r="BR117" i="51"/>
  <c r="AJ172" i="19"/>
  <c r="I97" i="19" s="1"/>
  <c r="BQ116" i="133"/>
  <c r="AK172" i="104"/>
  <c r="AQ187" i="4"/>
  <c r="M105" i="4" s="1"/>
  <c r="I97" i="27"/>
  <c r="AM171" i="27"/>
  <c r="AL172" i="25"/>
  <c r="AK171" i="131"/>
  <c r="AK173" i="23"/>
  <c r="AM173" i="21"/>
  <c r="AK172" i="20"/>
  <c r="AL172" i="29"/>
  <c r="AK173" i="63"/>
  <c r="AK171" i="18"/>
  <c r="AI172" i="19"/>
  <c r="AK173" i="1"/>
  <c r="AI175" i="3"/>
  <c r="BN117" i="51"/>
  <c r="G97" i="323"/>
  <c r="AN172" i="323"/>
  <c r="F97" i="323" s="1"/>
  <c r="R97" i="314"/>
  <c r="S97" i="314"/>
  <c r="AI97" i="314" s="1"/>
  <c r="T97" i="314"/>
  <c r="D97" i="314"/>
  <c r="AQ171" i="314"/>
  <c r="AO97" i="26"/>
  <c r="G97" i="26"/>
  <c r="BR107" i="26"/>
  <c r="I97" i="26" s="1"/>
  <c r="AN97" i="26" s="1"/>
  <c r="G97" i="102"/>
  <c r="AJ173" i="102"/>
  <c r="G97" i="101"/>
  <c r="BX109" i="101"/>
  <c r="I97" i="101" s="1"/>
  <c r="AV97" i="101" s="1"/>
  <c r="AH97" i="314" l="1"/>
  <c r="AR100" i="22"/>
  <c r="AR100" i="129"/>
  <c r="BF97" i="22"/>
  <c r="AT97" i="129"/>
  <c r="I97" i="102"/>
  <c r="AN97" i="102" s="1"/>
  <c r="H97" i="323"/>
  <c r="I97" i="323" s="1"/>
  <c r="AO97" i="323" s="1"/>
  <c r="BS117" i="51"/>
  <c r="K118" i="103"/>
  <c r="L118" i="103"/>
  <c r="K116" i="103"/>
  <c r="L116" i="103"/>
  <c r="K117" i="103"/>
  <c r="L117" i="103"/>
  <c r="K111" i="103"/>
  <c r="L111" i="103"/>
  <c r="K112" i="103"/>
  <c r="L112" i="103"/>
  <c r="K113" i="103"/>
  <c r="L113" i="103"/>
  <c r="K114" i="103"/>
  <c r="L114" i="103"/>
  <c r="K115" i="103"/>
  <c r="L115" i="103"/>
  <c r="L110" i="103"/>
  <c r="K110" i="103"/>
  <c r="G97" i="103"/>
  <c r="I97" i="103" s="1"/>
  <c r="AQ97" i="103" s="1"/>
  <c r="AP97" i="133"/>
  <c r="G97" i="133"/>
  <c r="AO97" i="133" s="1"/>
  <c r="AN97" i="27"/>
  <c r="AO97" i="27"/>
  <c r="G97" i="27"/>
  <c r="I97" i="131"/>
  <c r="AO97" i="131" s="1"/>
  <c r="G97" i="131"/>
  <c r="AP97" i="23"/>
  <c r="K97" i="23"/>
  <c r="I97" i="23" s="1"/>
  <c r="G97" i="23"/>
  <c r="L39" i="257"/>
  <c r="L38" i="257"/>
  <c r="L37" i="257" s="1"/>
  <c r="L36" i="257" s="1"/>
  <c r="L35" i="257" s="1"/>
  <c r="L34" i="257" s="1"/>
  <c r="L33" i="257" s="1"/>
  <c r="L32" i="257" s="1"/>
  <c r="L3" i="257" s="1"/>
  <c r="AO97" i="19"/>
  <c r="AP97" i="19"/>
  <c r="AC97" i="19"/>
  <c r="AD97" i="19" s="1"/>
  <c r="AR97" i="19" s="1"/>
  <c r="K97" i="19"/>
  <c r="G97" i="19"/>
  <c r="AS97" i="29"/>
  <c r="L97" i="29"/>
  <c r="M97" i="18"/>
  <c r="L97" i="16" s="1"/>
  <c r="J97" i="16" s="1"/>
  <c r="I97" i="16" s="1"/>
  <c r="N97" i="29"/>
  <c r="G97" i="29"/>
  <c r="G97" i="51"/>
  <c r="AA97" i="51"/>
  <c r="K97" i="51"/>
  <c r="H3" i="257"/>
  <c r="I3" i="257"/>
  <c r="J3" i="257"/>
  <c r="K3" i="257"/>
  <c r="M3" i="257"/>
  <c r="N3" i="257"/>
  <c r="O3" i="257"/>
  <c r="P3" i="257"/>
  <c r="Q3" i="257"/>
  <c r="R3" i="257"/>
  <c r="S3" i="257"/>
  <c r="U3" i="257"/>
  <c r="G3" i="257"/>
  <c r="H23" i="257"/>
  <c r="I23" i="257"/>
  <c r="J23" i="257"/>
  <c r="K23" i="257"/>
  <c r="L23" i="257"/>
  <c r="M23" i="257"/>
  <c r="N23" i="257"/>
  <c r="O23" i="257"/>
  <c r="P23" i="257"/>
  <c r="Q23" i="257"/>
  <c r="R23" i="257"/>
  <c r="S23" i="257"/>
  <c r="T23" i="257"/>
  <c r="U23" i="257"/>
  <c r="H24" i="257"/>
  <c r="I24" i="257"/>
  <c r="J24" i="257"/>
  <c r="K24" i="257"/>
  <c r="L24" i="257"/>
  <c r="M24" i="257"/>
  <c r="N24" i="257"/>
  <c r="O24" i="257"/>
  <c r="P24" i="257"/>
  <c r="Q24" i="257"/>
  <c r="R24" i="257"/>
  <c r="S24" i="257"/>
  <c r="T24" i="257"/>
  <c r="U24" i="257"/>
  <c r="H25" i="257"/>
  <c r="I25" i="257"/>
  <c r="J25" i="257"/>
  <c r="K25" i="257"/>
  <c r="L25" i="257"/>
  <c r="M25" i="257"/>
  <c r="N25" i="257"/>
  <c r="O25" i="257"/>
  <c r="P25" i="257"/>
  <c r="Q25" i="257"/>
  <c r="R25" i="257"/>
  <c r="S25" i="257"/>
  <c r="T25" i="257"/>
  <c r="U25" i="257"/>
  <c r="H26" i="257"/>
  <c r="I26" i="257"/>
  <c r="J26" i="257"/>
  <c r="K26" i="257"/>
  <c r="L26" i="257"/>
  <c r="M26" i="257"/>
  <c r="N26" i="257"/>
  <c r="O26" i="257"/>
  <c r="P26" i="257"/>
  <c r="Q26" i="257"/>
  <c r="R26" i="257"/>
  <c r="S26" i="257"/>
  <c r="T26" i="257"/>
  <c r="U26" i="257"/>
  <c r="H27" i="257"/>
  <c r="I27" i="257"/>
  <c r="J27" i="257"/>
  <c r="K27" i="257"/>
  <c r="L27" i="257"/>
  <c r="M27" i="257"/>
  <c r="N27" i="257"/>
  <c r="O27" i="257"/>
  <c r="P27" i="257"/>
  <c r="Q27" i="257"/>
  <c r="R27" i="257"/>
  <c r="S27" i="257"/>
  <c r="T27" i="257"/>
  <c r="U27" i="257"/>
  <c r="H28" i="257"/>
  <c r="I28" i="257"/>
  <c r="J28" i="257"/>
  <c r="K28" i="257"/>
  <c r="L28" i="257"/>
  <c r="M28" i="257"/>
  <c r="N28" i="257"/>
  <c r="O28" i="257"/>
  <c r="P28" i="257"/>
  <c r="Q28" i="257"/>
  <c r="R28" i="257"/>
  <c r="S28" i="257"/>
  <c r="T28" i="257"/>
  <c r="U28" i="257"/>
  <c r="H29" i="257"/>
  <c r="I29" i="257"/>
  <c r="J29" i="257"/>
  <c r="K29" i="257"/>
  <c r="L29" i="257"/>
  <c r="M29" i="257"/>
  <c r="N29" i="257"/>
  <c r="O29" i="257"/>
  <c r="P29" i="257"/>
  <c r="Q29" i="257"/>
  <c r="R29" i="257"/>
  <c r="S29" i="257"/>
  <c r="T29" i="257"/>
  <c r="U29" i="257"/>
  <c r="H30" i="257"/>
  <c r="I30" i="257"/>
  <c r="J30" i="257"/>
  <c r="K30" i="257"/>
  <c r="L30" i="257"/>
  <c r="M30" i="257"/>
  <c r="N30" i="257"/>
  <c r="O30" i="257"/>
  <c r="P30" i="257"/>
  <c r="Q30" i="257"/>
  <c r="R30" i="257"/>
  <c r="S30" i="257"/>
  <c r="T30" i="257"/>
  <c r="U30" i="257"/>
  <c r="H31" i="257"/>
  <c r="I31" i="257"/>
  <c r="J31" i="257"/>
  <c r="K31" i="257"/>
  <c r="L31" i="257"/>
  <c r="M31" i="257"/>
  <c r="N31" i="257"/>
  <c r="O31" i="257"/>
  <c r="P31" i="257"/>
  <c r="Q31" i="257"/>
  <c r="R31" i="257"/>
  <c r="S31" i="257"/>
  <c r="T31" i="257"/>
  <c r="U31" i="257"/>
  <c r="K37" i="257"/>
  <c r="K36" i="257" s="1"/>
  <c r="K35" i="257" s="1"/>
  <c r="K34" i="257" s="1"/>
  <c r="K33" i="257" s="1"/>
  <c r="K32" i="257" s="1"/>
  <c r="S37" i="257"/>
  <c r="S36" i="257" s="1"/>
  <c r="S35" i="257" s="1"/>
  <c r="S34" i="257" s="1"/>
  <c r="S33" i="257" s="1"/>
  <c r="S32" i="257" s="1"/>
  <c r="K38" i="257"/>
  <c r="M38" i="257"/>
  <c r="M37" i="257" s="1"/>
  <c r="M36" i="257" s="1"/>
  <c r="M35" i="257" s="1"/>
  <c r="M34" i="257" s="1"/>
  <c r="M33" i="257" s="1"/>
  <c r="M32" i="257" s="1"/>
  <c r="S38" i="257"/>
  <c r="T38" i="257"/>
  <c r="T37" i="257" s="1"/>
  <c r="T36" i="257" s="1"/>
  <c r="T35" i="257" s="1"/>
  <c r="T34" i="257" s="1"/>
  <c r="T33" i="257" s="1"/>
  <c r="T32" i="257" s="1"/>
  <c r="U38" i="257"/>
  <c r="U37" i="257" s="1"/>
  <c r="U36" i="257" s="1"/>
  <c r="U35" i="257" s="1"/>
  <c r="U34" i="257" s="1"/>
  <c r="U33" i="257" s="1"/>
  <c r="U32" i="257" s="1"/>
  <c r="H39" i="257"/>
  <c r="H38" i="257" s="1"/>
  <c r="H37" i="257" s="1"/>
  <c r="H36" i="257" s="1"/>
  <c r="H35" i="257" s="1"/>
  <c r="H34" i="257" s="1"/>
  <c r="H33" i="257" s="1"/>
  <c r="H32" i="257" s="1"/>
  <c r="I39" i="257"/>
  <c r="I38" i="257" s="1"/>
  <c r="I37" i="257" s="1"/>
  <c r="I36" i="257" s="1"/>
  <c r="I35" i="257" s="1"/>
  <c r="I34" i="257" s="1"/>
  <c r="I33" i="257" s="1"/>
  <c r="I32" i="257" s="1"/>
  <c r="J39" i="257"/>
  <c r="J38" i="257" s="1"/>
  <c r="J37" i="257" s="1"/>
  <c r="J36" i="257" s="1"/>
  <c r="J35" i="257" s="1"/>
  <c r="J34" i="257" s="1"/>
  <c r="J33" i="257" s="1"/>
  <c r="J32" i="257" s="1"/>
  <c r="K39" i="257"/>
  <c r="M39" i="257"/>
  <c r="N39" i="257"/>
  <c r="N38" i="257" s="1"/>
  <c r="N37" i="257" s="1"/>
  <c r="N36" i="257" s="1"/>
  <c r="N35" i="257" s="1"/>
  <c r="N34" i="257" s="1"/>
  <c r="N33" i="257" s="1"/>
  <c r="N32" i="257" s="1"/>
  <c r="O39" i="257"/>
  <c r="O38" i="257" s="1"/>
  <c r="O37" i="257" s="1"/>
  <c r="O36" i="257" s="1"/>
  <c r="O35" i="257" s="1"/>
  <c r="O34" i="257" s="1"/>
  <c r="O33" i="257" s="1"/>
  <c r="O32" i="257" s="1"/>
  <c r="P39" i="257"/>
  <c r="P38" i="257" s="1"/>
  <c r="P37" i="257" s="1"/>
  <c r="P36" i="257" s="1"/>
  <c r="P35" i="257" s="1"/>
  <c r="P34" i="257" s="1"/>
  <c r="P33" i="257" s="1"/>
  <c r="P32" i="257" s="1"/>
  <c r="Q39" i="257"/>
  <c r="Q38" i="257" s="1"/>
  <c r="Q37" i="257" s="1"/>
  <c r="Q36" i="257" s="1"/>
  <c r="Q35" i="257" s="1"/>
  <c r="Q34" i="257" s="1"/>
  <c r="Q33" i="257" s="1"/>
  <c r="Q32" i="257" s="1"/>
  <c r="R39" i="257"/>
  <c r="R38" i="257" s="1"/>
  <c r="R37" i="257" s="1"/>
  <c r="R36" i="257" s="1"/>
  <c r="R35" i="257" s="1"/>
  <c r="R34" i="257" s="1"/>
  <c r="R33" i="257" s="1"/>
  <c r="R32" i="257" s="1"/>
  <c r="S39" i="257"/>
  <c r="T39" i="257"/>
  <c r="U39" i="257"/>
  <c r="G23" i="257"/>
  <c r="G24" i="257"/>
  <c r="G25" i="257"/>
  <c r="G26" i="257"/>
  <c r="G27" i="257"/>
  <c r="G28" i="257"/>
  <c r="G29" i="257"/>
  <c r="G30" i="257"/>
  <c r="G31" i="257"/>
  <c r="G37" i="257"/>
  <c r="G36" i="257" s="1"/>
  <c r="G35" i="257" s="1"/>
  <c r="G34" i="257" s="1"/>
  <c r="G33" i="257" s="1"/>
  <c r="G32" i="257" s="1"/>
  <c r="G38" i="257"/>
  <c r="G39" i="257"/>
  <c r="G16" i="257"/>
  <c r="H40" i="257"/>
  <c r="I40" i="257"/>
  <c r="J40" i="257"/>
  <c r="K40" i="257"/>
  <c r="L40" i="257"/>
  <c r="M40" i="257"/>
  <c r="N40" i="257"/>
  <c r="O40" i="257"/>
  <c r="P40" i="257"/>
  <c r="Q40" i="257"/>
  <c r="R40" i="257"/>
  <c r="S40" i="257"/>
  <c r="T40" i="257"/>
  <c r="U40" i="257"/>
  <c r="H41" i="257"/>
  <c r="I41" i="257"/>
  <c r="J41" i="257"/>
  <c r="K41" i="257"/>
  <c r="L41" i="257"/>
  <c r="M41" i="257"/>
  <c r="N41" i="257"/>
  <c r="O41" i="257"/>
  <c r="P41" i="257"/>
  <c r="Q41" i="257"/>
  <c r="R41" i="257"/>
  <c r="S41" i="257"/>
  <c r="T41" i="257"/>
  <c r="U41" i="257"/>
  <c r="H42" i="257"/>
  <c r="I42" i="257"/>
  <c r="J42" i="257"/>
  <c r="K42" i="257"/>
  <c r="L42" i="257"/>
  <c r="M42" i="257"/>
  <c r="N42" i="257"/>
  <c r="O42" i="257"/>
  <c r="P42" i="257"/>
  <c r="Q42" i="257"/>
  <c r="R42" i="257"/>
  <c r="S42" i="257"/>
  <c r="T42" i="257"/>
  <c r="U42" i="257"/>
  <c r="H43" i="257"/>
  <c r="I43" i="257"/>
  <c r="J43" i="257"/>
  <c r="K43" i="257"/>
  <c r="L43" i="257"/>
  <c r="M43" i="257"/>
  <c r="N43" i="257"/>
  <c r="O43" i="257"/>
  <c r="P43" i="257"/>
  <c r="Q43" i="257"/>
  <c r="R43" i="257"/>
  <c r="S43" i="257"/>
  <c r="T43" i="257"/>
  <c r="U43" i="257"/>
  <c r="H44" i="257"/>
  <c r="I44" i="257"/>
  <c r="J44" i="257"/>
  <c r="K44" i="257"/>
  <c r="L44" i="257"/>
  <c r="M44" i="257"/>
  <c r="N44" i="257"/>
  <c r="O44" i="257"/>
  <c r="P44" i="257"/>
  <c r="Q44" i="257"/>
  <c r="R44" i="257"/>
  <c r="S44" i="257"/>
  <c r="T44" i="257"/>
  <c r="U44" i="257"/>
  <c r="H45" i="257"/>
  <c r="I45" i="257"/>
  <c r="J45" i="257"/>
  <c r="K45" i="257"/>
  <c r="L45" i="257"/>
  <c r="M45" i="257"/>
  <c r="N45" i="257"/>
  <c r="O45" i="257"/>
  <c r="P45" i="257"/>
  <c r="Q45" i="257"/>
  <c r="R45" i="257"/>
  <c r="S45" i="257"/>
  <c r="T45" i="257"/>
  <c r="U45" i="257"/>
  <c r="H46" i="257"/>
  <c r="I46" i="257"/>
  <c r="J46" i="257"/>
  <c r="K46" i="257"/>
  <c r="L46" i="257"/>
  <c r="M46" i="257"/>
  <c r="N46" i="257"/>
  <c r="O46" i="257"/>
  <c r="P46" i="257"/>
  <c r="Q46" i="257"/>
  <c r="R46" i="257"/>
  <c r="S46" i="257"/>
  <c r="T46" i="257"/>
  <c r="U46" i="257"/>
  <c r="H47" i="257"/>
  <c r="I47" i="257"/>
  <c r="J47" i="257"/>
  <c r="K47" i="257"/>
  <c r="L47" i="257"/>
  <c r="M47" i="257"/>
  <c r="N47" i="257"/>
  <c r="O47" i="257"/>
  <c r="P47" i="257"/>
  <c r="Q47" i="257"/>
  <c r="R47" i="257"/>
  <c r="S47" i="257"/>
  <c r="T47" i="257"/>
  <c r="U47" i="257"/>
  <c r="H48" i="257"/>
  <c r="I48" i="257"/>
  <c r="J48" i="257"/>
  <c r="K48" i="257"/>
  <c r="L48" i="257"/>
  <c r="M48" i="257"/>
  <c r="N48" i="257"/>
  <c r="O48" i="257"/>
  <c r="P48" i="257"/>
  <c r="Q48" i="257"/>
  <c r="R48" i="257"/>
  <c r="S48" i="257"/>
  <c r="T48" i="257"/>
  <c r="U48" i="257"/>
  <c r="H49" i="257"/>
  <c r="I49" i="257"/>
  <c r="J49" i="257"/>
  <c r="K49" i="257"/>
  <c r="L49" i="257"/>
  <c r="M49" i="257"/>
  <c r="N49" i="257"/>
  <c r="O49" i="257"/>
  <c r="P49" i="257"/>
  <c r="Q49" i="257"/>
  <c r="R49" i="257"/>
  <c r="S49" i="257"/>
  <c r="T49" i="257"/>
  <c r="U49" i="257"/>
  <c r="H50" i="257"/>
  <c r="I50" i="257"/>
  <c r="J50" i="257"/>
  <c r="K50" i="257"/>
  <c r="L50" i="257"/>
  <c r="M50" i="257"/>
  <c r="N50" i="257"/>
  <c r="O50" i="257"/>
  <c r="P50" i="257"/>
  <c r="Q50" i="257"/>
  <c r="R50" i="257"/>
  <c r="S50" i="257"/>
  <c r="T50" i="257"/>
  <c r="U50" i="257"/>
  <c r="H51" i="257"/>
  <c r="I51" i="257"/>
  <c r="J51" i="257"/>
  <c r="K51" i="257"/>
  <c r="L51" i="257"/>
  <c r="M51" i="257"/>
  <c r="N51" i="257"/>
  <c r="O51" i="257"/>
  <c r="P51" i="257"/>
  <c r="Q51" i="257"/>
  <c r="R51" i="257"/>
  <c r="S51" i="257"/>
  <c r="T51" i="257"/>
  <c r="U51" i="257"/>
  <c r="H52" i="257"/>
  <c r="I52" i="257"/>
  <c r="J52" i="257"/>
  <c r="K52" i="257"/>
  <c r="L52" i="257"/>
  <c r="M52" i="257"/>
  <c r="N52" i="257"/>
  <c r="O52" i="257"/>
  <c r="P52" i="257"/>
  <c r="Q52" i="257"/>
  <c r="R52" i="257"/>
  <c r="S52" i="257"/>
  <c r="T52" i="257"/>
  <c r="U52" i="257"/>
  <c r="H53" i="257"/>
  <c r="I53" i="257"/>
  <c r="J53" i="257"/>
  <c r="K53" i="257"/>
  <c r="L53" i="257"/>
  <c r="M53" i="257"/>
  <c r="N53" i="257"/>
  <c r="O53" i="257"/>
  <c r="P53" i="257"/>
  <c r="Q53" i="257"/>
  <c r="R53" i="257"/>
  <c r="S53" i="257"/>
  <c r="T53" i="257"/>
  <c r="U53" i="257"/>
  <c r="G41" i="257"/>
  <c r="G42" i="257"/>
  <c r="G43" i="257"/>
  <c r="G44" i="257"/>
  <c r="G45" i="257"/>
  <c r="G46" i="257"/>
  <c r="G47" i="257"/>
  <c r="G48" i="257"/>
  <c r="G49" i="257"/>
  <c r="G50" i="257"/>
  <c r="G51" i="257"/>
  <c r="G52" i="257"/>
  <c r="G54" i="257"/>
  <c r="G53" i="257"/>
  <c r="W106" i="4"/>
  <c r="Z106" i="4"/>
  <c r="G97" i="104"/>
  <c r="AJ172" i="104"/>
  <c r="I97" i="104" s="1"/>
  <c r="AN97" i="104" s="1"/>
  <c r="AR101" i="22" l="1"/>
  <c r="AR101" i="129"/>
  <c r="Y130" i="129"/>
  <c r="U130" i="129"/>
  <c r="M97" i="29"/>
  <c r="K97" i="29" s="1"/>
  <c r="I97" i="29" s="1"/>
  <c r="AR97" i="29" s="1"/>
  <c r="BF97" i="129"/>
  <c r="AS97" i="16"/>
  <c r="AI97" i="16"/>
  <c r="AJ97" i="16" s="1"/>
  <c r="AT97" i="16" s="1"/>
  <c r="BA97" i="16" s="1"/>
  <c r="AO97" i="23"/>
  <c r="AB97" i="23"/>
  <c r="AQ97" i="19"/>
  <c r="AS97" i="19"/>
  <c r="AB97" i="51"/>
  <c r="AO97" i="25"/>
  <c r="G97" i="25"/>
  <c r="AN97" i="25"/>
  <c r="AP97" i="21"/>
  <c r="G97" i="21"/>
  <c r="AO97" i="21" s="1"/>
  <c r="AO97" i="20"/>
  <c r="AP97" i="20"/>
  <c r="G97" i="20"/>
  <c r="G97" i="18"/>
  <c r="AR97" i="18" s="1"/>
  <c r="AS97" i="18"/>
  <c r="AQ97" i="63"/>
  <c r="AD97" i="63"/>
  <c r="AR102" i="22" l="1"/>
  <c r="AR102" i="129"/>
  <c r="AU97" i="16"/>
  <c r="AY97" i="16"/>
  <c r="BB97" i="16" s="1"/>
  <c r="AB97" i="21"/>
  <c r="AC97" i="21" s="1"/>
  <c r="AR97" i="21" s="1"/>
  <c r="AS97" i="21" s="1"/>
  <c r="AC97" i="23"/>
  <c r="AR97" i="23" s="1"/>
  <c r="AS97" i="23" s="1"/>
  <c r="AQ97" i="23"/>
  <c r="AS97" i="51"/>
  <c r="AJ104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90" i="4"/>
  <c r="AE97" i="18"/>
  <c r="AT97" i="18" s="1"/>
  <c r="S112" i="104"/>
  <c r="S113" i="104"/>
  <c r="S114" i="104"/>
  <c r="S115" i="104"/>
  <c r="S116" i="104"/>
  <c r="S117" i="104"/>
  <c r="S118" i="104"/>
  <c r="R117" i="104"/>
  <c r="R118" i="104"/>
  <c r="R112" i="104"/>
  <c r="R113" i="104"/>
  <c r="R114" i="104"/>
  <c r="R115" i="104"/>
  <c r="R116" i="104"/>
  <c r="AA97" i="104"/>
  <c r="AP97" i="104" s="1"/>
  <c r="AN97" i="103"/>
  <c r="Y97" i="103" s="1"/>
  <c r="AN96" i="103"/>
  <c r="Y96" i="103" s="1"/>
  <c r="AN95" i="103"/>
  <c r="Y95" i="103" s="1"/>
  <c r="AN94" i="103"/>
  <c r="Y94" i="103" s="1"/>
  <c r="AN93" i="103"/>
  <c r="Y93" i="103" s="1"/>
  <c r="AN92" i="103"/>
  <c r="Y92" i="103" s="1"/>
  <c r="AN91" i="103"/>
  <c r="Y91" i="103" s="1"/>
  <c r="AN90" i="103"/>
  <c r="Y90" i="103" s="1"/>
  <c r="AA97" i="103"/>
  <c r="AS97" i="103" s="1"/>
  <c r="AB97" i="133"/>
  <c r="AA97" i="102"/>
  <c r="Y97" i="102"/>
  <c r="C95" i="102"/>
  <c r="G95" i="102"/>
  <c r="C96" i="102"/>
  <c r="G96" i="102"/>
  <c r="AQ57" i="101"/>
  <c r="AQ63" i="101"/>
  <c r="AR72" i="101"/>
  <c r="AQ90" i="101"/>
  <c r="AR90" i="101" s="1"/>
  <c r="AQ91" i="101"/>
  <c r="AR91" i="101" s="1"/>
  <c r="AQ92" i="101"/>
  <c r="AR92" i="101" s="1"/>
  <c r="AQ93" i="101"/>
  <c r="AR93" i="101" s="1"/>
  <c r="AQ94" i="101"/>
  <c r="Y94" i="101" s="1"/>
  <c r="AQ95" i="101"/>
  <c r="Y95" i="101" s="1"/>
  <c r="AQ96" i="101"/>
  <c r="Y96" i="101" s="1"/>
  <c r="AQ97" i="101"/>
  <c r="Y97" i="101" s="1"/>
  <c r="AQ89" i="101"/>
  <c r="AA97" i="101"/>
  <c r="AX97" i="101" s="1"/>
  <c r="AA97" i="27"/>
  <c r="AA97" i="26"/>
  <c r="AA97" i="25"/>
  <c r="AB97" i="131"/>
  <c r="AP97" i="131"/>
  <c r="AR97" i="103" l="1"/>
  <c r="AO97" i="102"/>
  <c r="AW97" i="101"/>
  <c r="AR103" i="22"/>
  <c r="AR103" i="129"/>
  <c r="AQ97" i="21"/>
  <c r="AC97" i="131"/>
  <c r="AR97" i="131" s="1"/>
  <c r="AQ97" i="131"/>
  <c r="AB97" i="25"/>
  <c r="AQ97" i="25" s="1"/>
  <c r="AP97" i="25"/>
  <c r="AB97" i="26"/>
  <c r="AQ97" i="26" s="1"/>
  <c r="AP97" i="26"/>
  <c r="AR96" i="101"/>
  <c r="AR95" i="101"/>
  <c r="Y90" i="101"/>
  <c r="AR97" i="101"/>
  <c r="Y91" i="101"/>
  <c r="Y92" i="101"/>
  <c r="AR94" i="101"/>
  <c r="Y93" i="101"/>
  <c r="B95" i="102"/>
  <c r="B96" i="102"/>
  <c r="J96" i="102"/>
  <c r="AB97" i="27"/>
  <c r="AQ97" i="27" s="1"/>
  <c r="AP97" i="27"/>
  <c r="AF97" i="18"/>
  <c r="AU97" i="18" s="1"/>
  <c r="AC97" i="133"/>
  <c r="AR97" i="133" s="1"/>
  <c r="AQ97" i="133"/>
  <c r="AB97" i="102"/>
  <c r="AQ97" i="102" s="1"/>
  <c r="AP97" i="102"/>
  <c r="AB97" i="103"/>
  <c r="AT97" i="103" s="1"/>
  <c r="AB97" i="101"/>
  <c r="AY97" i="101" s="1"/>
  <c r="G97" i="63"/>
  <c r="AR104" i="22" l="1"/>
  <c r="AR104" i="129"/>
  <c r="AP97" i="63"/>
  <c r="AE97" i="63"/>
  <c r="AS97" i="131"/>
  <c r="AR97" i="25"/>
  <c r="AR97" i="26"/>
  <c r="AZ97" i="101"/>
  <c r="AR97" i="27"/>
  <c r="AV97" i="18"/>
  <c r="AU97" i="103"/>
  <c r="AS97" i="133"/>
  <c r="AR97" i="102"/>
  <c r="AD96" i="63"/>
  <c r="AE96" i="63" s="1"/>
  <c r="AD45" i="63"/>
  <c r="AD46" i="63"/>
  <c r="AD47" i="63"/>
  <c r="AD48" i="63"/>
  <c r="AD49" i="63"/>
  <c r="AD50" i="63"/>
  <c r="AD51" i="63"/>
  <c r="AD52" i="63"/>
  <c r="AD53" i="63"/>
  <c r="AD54" i="63"/>
  <c r="AD55" i="63"/>
  <c r="AD56" i="63"/>
  <c r="AD57" i="63"/>
  <c r="AD58" i="63"/>
  <c r="AD59" i="63"/>
  <c r="AD60" i="63"/>
  <c r="AD61" i="63"/>
  <c r="AD62" i="63"/>
  <c r="AD63" i="63"/>
  <c r="AD64" i="63"/>
  <c r="AD65" i="63"/>
  <c r="AD66" i="63"/>
  <c r="AD67" i="63"/>
  <c r="AD68" i="63"/>
  <c r="AD69" i="63"/>
  <c r="AD70" i="63"/>
  <c r="AD71" i="63"/>
  <c r="AD72" i="63"/>
  <c r="AD73" i="63"/>
  <c r="AD74" i="63"/>
  <c r="AD75" i="63"/>
  <c r="AD76" i="63"/>
  <c r="AD77" i="63"/>
  <c r="AD78" i="63"/>
  <c r="AD79" i="63"/>
  <c r="AD80" i="63"/>
  <c r="AD81" i="63"/>
  <c r="AD82" i="63"/>
  <c r="AD83" i="63"/>
  <c r="AD84" i="63"/>
  <c r="AD85" i="63"/>
  <c r="AD86" i="63"/>
  <c r="AD87" i="63"/>
  <c r="AD88" i="63"/>
  <c r="AD89" i="63"/>
  <c r="AD90" i="63"/>
  <c r="AD91" i="63"/>
  <c r="AD92" i="63"/>
  <c r="AD93" i="63"/>
  <c r="AD94" i="63"/>
  <c r="AD95" i="63"/>
  <c r="AD44" i="63"/>
  <c r="AD58" i="2"/>
  <c r="BY51" i="2"/>
  <c r="BY52" i="2"/>
  <c r="BY53" i="2"/>
  <c r="BY54" i="2"/>
  <c r="BY55" i="2"/>
  <c r="BY56" i="2"/>
  <c r="BY57" i="2"/>
  <c r="BY58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A41" i="2"/>
  <c r="CA42" i="2" s="1"/>
  <c r="CA43" i="2" s="1"/>
  <c r="CA44" i="2" s="1"/>
  <c r="CA45" i="2" s="1"/>
  <c r="CA46" i="2" s="1"/>
  <c r="CA47" i="2" s="1"/>
  <c r="CA48" i="2" s="1"/>
  <c r="CA49" i="2" s="1"/>
  <c r="CA40" i="2"/>
  <c r="BZ40" i="2"/>
  <c r="BZ41" i="2" s="1"/>
  <c r="BZ42" i="2" s="1"/>
  <c r="BZ43" i="2" s="1"/>
  <c r="BZ44" i="2" s="1"/>
  <c r="BZ45" i="2" s="1"/>
  <c r="BZ46" i="2" s="1"/>
  <c r="BZ47" i="2" s="1"/>
  <c r="BZ48" i="2" s="1"/>
  <c r="BZ49" i="2" s="1"/>
  <c r="AR105" i="22" l="1"/>
  <c r="AR105" i="129"/>
  <c r="AS97" i="63"/>
  <c r="CA51" i="2"/>
  <c r="CA52" i="2"/>
  <c r="CA53" i="2"/>
  <c r="CA54" i="2"/>
  <c r="CA55" i="2"/>
  <c r="AD55" i="2" s="1"/>
  <c r="CA56" i="2"/>
  <c r="AD56" i="2" s="1"/>
  <c r="CA57" i="2"/>
  <c r="AD57" i="2" s="1"/>
  <c r="CA58" i="2"/>
  <c r="CA50" i="2"/>
  <c r="AD40" i="2"/>
  <c r="AD41" i="2"/>
  <c r="AD42" i="2"/>
  <c r="AD43" i="2"/>
  <c r="AD44" i="2"/>
  <c r="AD45" i="2"/>
  <c r="AD46" i="2"/>
  <c r="AD47" i="2"/>
  <c r="AD48" i="2"/>
  <c r="AD49" i="2"/>
  <c r="AD51" i="2"/>
  <c r="AD52" i="2"/>
  <c r="AD53" i="2"/>
  <c r="AD54" i="2"/>
  <c r="AD39" i="2"/>
  <c r="S61" i="2"/>
  <c r="T61" i="2"/>
  <c r="U61" i="2"/>
  <c r="V61" i="2"/>
  <c r="W61" i="2"/>
  <c r="X61" i="2"/>
  <c r="Y61" i="2"/>
  <c r="Z61" i="2"/>
  <c r="AA61" i="2"/>
  <c r="AB61" i="2"/>
  <c r="AC61" i="2"/>
  <c r="R61" i="2"/>
  <c r="AD35" i="2"/>
  <c r="AG5" i="2"/>
  <c r="AF104" i="1"/>
  <c r="AF103" i="1"/>
  <c r="AF102" i="1"/>
  <c r="AF101" i="1"/>
  <c r="AR106" i="22" l="1"/>
  <c r="AR106" i="129"/>
  <c r="G97" i="3"/>
  <c r="I97" i="3" s="1"/>
  <c r="B58" i="193"/>
  <c r="AV97" i="1"/>
  <c r="W58" i="193"/>
  <c r="AP187" i="4"/>
  <c r="AQ105" i="4" s="1"/>
  <c r="AR107" i="22" l="1"/>
  <c r="AR107" i="129"/>
  <c r="K97" i="3"/>
  <c r="AC97" i="3"/>
  <c r="AD97" i="3"/>
  <c r="AR108" i="22" l="1"/>
  <c r="AR108" i="129"/>
  <c r="AS97" i="3"/>
  <c r="AR109" i="22" l="1"/>
  <c r="AR109" i="129"/>
  <c r="H25" i="542"/>
  <c r="D121" i="542" s="1"/>
  <c r="BD72" i="542"/>
  <c r="BD73" i="542"/>
  <c r="BD74" i="542"/>
  <c r="BD75" i="542"/>
  <c r="BD76" i="542"/>
  <c r="BD77" i="542"/>
  <c r="BD78" i="542"/>
  <c r="BD79" i="542"/>
  <c r="BD80" i="542"/>
  <c r="H12" i="542"/>
  <c r="D108" i="542" s="1"/>
  <c r="H13" i="542"/>
  <c r="D109" i="542" s="1"/>
  <c r="H14" i="542"/>
  <c r="D110" i="542" s="1"/>
  <c r="H15" i="542"/>
  <c r="D111" i="542" s="1"/>
  <c r="H16" i="542"/>
  <c r="D112" i="542" s="1"/>
  <c r="H17" i="542"/>
  <c r="D113" i="542" s="1"/>
  <c r="H18" i="542"/>
  <c r="D114" i="542" s="1"/>
  <c r="H19" i="542"/>
  <c r="D115" i="542" s="1"/>
  <c r="H20" i="542"/>
  <c r="D116" i="542" s="1"/>
  <c r="H21" i="542"/>
  <c r="D117" i="542" s="1"/>
  <c r="H22" i="542"/>
  <c r="D118" i="542" s="1"/>
  <c r="H23" i="542"/>
  <c r="D119" i="542" s="1"/>
  <c r="H24" i="542"/>
  <c r="D120" i="542" s="1"/>
  <c r="H11" i="542"/>
  <c r="D107" i="542" s="1"/>
  <c r="H10" i="542"/>
  <c r="D106" i="542" s="1"/>
  <c r="BB26" i="542"/>
  <c r="BB27" i="542" l="1"/>
  <c r="BB28" i="542" l="1"/>
  <c r="BB29" i="542" l="1"/>
  <c r="BB30" i="542" l="1"/>
  <c r="BA55" i="542"/>
  <c r="BC55" i="542" s="1"/>
  <c r="BD55" i="542" s="1"/>
  <c r="H55" i="542" s="1"/>
  <c r="D151" i="542" s="1"/>
  <c r="BC56" i="542"/>
  <c r="BD56" i="542" s="1"/>
  <c r="H56" i="542" s="1"/>
  <c r="D152" i="542" s="1"/>
  <c r="BA57" i="542"/>
  <c r="BC58" i="542" l="1"/>
  <c r="BD58" i="542" s="1"/>
  <c r="BB31" i="542"/>
  <c r="BA54" i="542"/>
  <c r="BA53" i="542" s="1"/>
  <c r="BA52" i="542" s="1"/>
  <c r="BA51" i="542" s="1"/>
  <c r="BA50" i="542" s="1"/>
  <c r="BA49" i="542" s="1"/>
  <c r="BA48" i="542" s="1"/>
  <c r="BA47" i="542" s="1"/>
  <c r="BA46" i="542" s="1"/>
  <c r="BA45" i="542" s="1"/>
  <c r="BA44" i="542" s="1"/>
  <c r="BA43" i="542" s="1"/>
  <c r="BA42" i="542" s="1"/>
  <c r="BA41" i="542" s="1"/>
  <c r="BA40" i="542" s="1"/>
  <c r="BA39" i="542" s="1"/>
  <c r="BA38" i="542" s="1"/>
  <c r="BA37" i="542" s="1"/>
  <c r="BA36" i="542" s="1"/>
  <c r="BA35" i="542" s="1"/>
  <c r="BA34" i="542" s="1"/>
  <c r="BA33" i="542" s="1"/>
  <c r="BA32" i="542" s="1"/>
  <c r="BA31" i="542" s="1"/>
  <c r="BA30" i="542" s="1"/>
  <c r="BA29" i="542" s="1"/>
  <c r="BC54" i="542"/>
  <c r="BD54" i="542" s="1"/>
  <c r="H54" i="542" s="1"/>
  <c r="D150" i="542" s="1"/>
  <c r="BC53" i="542"/>
  <c r="BD53" i="542" s="1"/>
  <c r="H53" i="542" s="1"/>
  <c r="D149" i="542" s="1"/>
  <c r="BC52" i="542"/>
  <c r="BD52" i="542" s="1"/>
  <c r="H52" i="542" s="1"/>
  <c r="D148" i="542" s="1"/>
  <c r="BC51" i="542"/>
  <c r="BD51" i="542" s="1"/>
  <c r="H51" i="542" s="1"/>
  <c r="D147" i="542" s="1"/>
  <c r="BC57" i="542"/>
  <c r="BD57" i="542" s="1"/>
  <c r="H57" i="542" s="1"/>
  <c r="D153" i="542" s="1"/>
  <c r="BE58" i="542" l="1"/>
  <c r="BF58" i="542" s="1"/>
  <c r="BA59" i="542"/>
  <c r="BA28" i="542"/>
  <c r="BC29" i="542"/>
  <c r="BD30" i="542" s="1"/>
  <c r="H30" i="542" s="1"/>
  <c r="D126" i="542" s="1"/>
  <c r="BB32" i="542"/>
  <c r="BC31" i="542"/>
  <c r="BD32" i="542" s="1"/>
  <c r="H32" i="542" s="1"/>
  <c r="D128" i="542" s="1"/>
  <c r="BC30" i="542"/>
  <c r="BD31" i="542" s="1"/>
  <c r="H31" i="542" s="1"/>
  <c r="D127" i="542" s="1"/>
  <c r="BC50" i="542"/>
  <c r="BD50" i="542" s="1"/>
  <c r="H50" i="542" s="1"/>
  <c r="D146" i="542" s="1"/>
  <c r="BC49" i="542"/>
  <c r="BD49" i="542" s="1"/>
  <c r="H49" i="542" s="1"/>
  <c r="D145" i="542" s="1"/>
  <c r="D154" i="542" l="1"/>
  <c r="BB33" i="542"/>
  <c r="BC32" i="542"/>
  <c r="BD33" i="542" s="1"/>
  <c r="H33" i="542" s="1"/>
  <c r="D129" i="542" s="1"/>
  <c r="BA27" i="542"/>
  <c r="BC28" i="542"/>
  <c r="BD29" i="542" s="1"/>
  <c r="H29" i="542" s="1"/>
  <c r="D125" i="542" s="1"/>
  <c r="BA26" i="542" l="1"/>
  <c r="BC27" i="542"/>
  <c r="BD28" i="542" s="1"/>
  <c r="H28" i="542" s="1"/>
  <c r="D124" i="542" s="1"/>
  <c r="BB34" i="542"/>
  <c r="BC33" i="542"/>
  <c r="BD34" i="542" s="1"/>
  <c r="H34" i="542" s="1"/>
  <c r="D130" i="542" s="1"/>
  <c r="BB35" i="542" l="1"/>
  <c r="BC34" i="542"/>
  <c r="BD35" i="542" s="1"/>
  <c r="H35" i="542" s="1"/>
  <c r="D131" i="542" s="1"/>
  <c r="BA25" i="542"/>
  <c r="BC26" i="542"/>
  <c r="BD27" i="542" s="1"/>
  <c r="H27" i="542" s="1"/>
  <c r="D123" i="542" s="1"/>
  <c r="BA24" i="542" l="1"/>
  <c r="BA23" i="542" s="1"/>
  <c r="BC25" i="542"/>
  <c r="BD26" i="542" s="1"/>
  <c r="H26" i="542" s="1"/>
  <c r="D122" i="542" s="1"/>
  <c r="BB36" i="542"/>
  <c r="BC35" i="542"/>
  <c r="BD36" i="542" s="1"/>
  <c r="H36" i="542" s="1"/>
  <c r="D132" i="542" s="1"/>
  <c r="AQ6" i="542"/>
  <c r="AQ7" i="542" s="1"/>
  <c r="AQ8" i="542" s="1"/>
  <c r="AQ9" i="542" s="1"/>
  <c r="AQ10" i="542" s="1"/>
  <c r="AQ11" i="542" s="1"/>
  <c r="AQ12" i="542" s="1"/>
  <c r="AQ13" i="542" s="1"/>
  <c r="AQ14" i="542" s="1"/>
  <c r="AQ15" i="542" s="1"/>
  <c r="AQ16" i="542" s="1"/>
  <c r="AQ17" i="542" s="1"/>
  <c r="AQ18" i="542" s="1"/>
  <c r="AQ19" i="542" s="1"/>
  <c r="AQ20" i="542" s="1"/>
  <c r="AQ21" i="542" s="1"/>
  <c r="AQ22" i="542" s="1"/>
  <c r="AQ23" i="542" s="1"/>
  <c r="AQ24" i="542" s="1"/>
  <c r="AQ25" i="542" s="1"/>
  <c r="AQ26" i="542" s="1"/>
  <c r="AQ27" i="542" s="1"/>
  <c r="AQ28" i="542" s="1"/>
  <c r="AQ29" i="542" s="1"/>
  <c r="AQ30" i="542" s="1"/>
  <c r="AQ31" i="542" s="1"/>
  <c r="AQ32" i="542" s="1"/>
  <c r="AQ33" i="542" s="1"/>
  <c r="AQ34" i="542" s="1"/>
  <c r="AQ35" i="542" s="1"/>
  <c r="AQ36" i="542" s="1"/>
  <c r="AQ37" i="542" s="1"/>
  <c r="AQ38" i="542" s="1"/>
  <c r="AQ39" i="542" s="1"/>
  <c r="AQ40" i="542" s="1"/>
  <c r="AQ41" i="542" s="1"/>
  <c r="AQ42" i="542" s="1"/>
  <c r="AQ43" i="542" s="1"/>
  <c r="AQ44" i="542" s="1"/>
  <c r="AQ45" i="542" s="1"/>
  <c r="AQ46" i="542" s="1"/>
  <c r="AQ47" i="542" s="1"/>
  <c r="AQ48" i="542" s="1"/>
  <c r="AQ49" i="542" s="1"/>
  <c r="AQ50" i="542" s="1"/>
  <c r="AQ51" i="542" s="1"/>
  <c r="AQ52" i="542" s="1"/>
  <c r="AQ53" i="542" s="1"/>
  <c r="AQ54" i="542" s="1"/>
  <c r="AQ55" i="542" s="1"/>
  <c r="AQ56" i="542" s="1"/>
  <c r="AQ57" i="542" s="1"/>
  <c r="AQ58" i="542" s="1"/>
  <c r="AQ59" i="542" s="1"/>
  <c r="AQ60" i="542" s="1"/>
  <c r="AQ61" i="542" s="1"/>
  <c r="AQ62" i="542" s="1"/>
  <c r="AQ63" i="542" s="1"/>
  <c r="AQ64" i="542" s="1"/>
  <c r="AQ65" i="542" s="1"/>
  <c r="AQ66" i="542" s="1"/>
  <c r="AQ67" i="542" s="1"/>
  <c r="AQ68" i="542" s="1"/>
  <c r="AQ69" i="542" s="1"/>
  <c r="AQ70" i="542" s="1"/>
  <c r="AQ71" i="542" s="1"/>
  <c r="AQ72" i="542" s="1"/>
  <c r="AQ73" i="542" s="1"/>
  <c r="AQ74" i="542" s="1"/>
  <c r="AQ75" i="542" s="1"/>
  <c r="AQ76" i="542" s="1"/>
  <c r="AQ77" i="542" s="1"/>
  <c r="AQ78" i="542" s="1"/>
  <c r="AQ79" i="542" s="1"/>
  <c r="AQ80" i="542" s="1"/>
  <c r="AM6" i="542"/>
  <c r="AM7" i="542"/>
  <c r="AM8" i="542"/>
  <c r="AM9" i="542"/>
  <c r="AM10" i="542"/>
  <c r="AM11" i="542"/>
  <c r="AM12" i="542"/>
  <c r="AM13" i="542"/>
  <c r="AM14" i="542"/>
  <c r="AM15" i="542"/>
  <c r="AM16" i="542"/>
  <c r="AM17" i="542"/>
  <c r="AM18" i="542"/>
  <c r="AM19" i="542"/>
  <c r="AM20" i="542"/>
  <c r="AM21" i="542"/>
  <c r="AM22" i="542"/>
  <c r="AM23" i="542"/>
  <c r="AM24" i="542"/>
  <c r="AM25" i="542"/>
  <c r="AM26" i="542"/>
  <c r="AM27" i="542"/>
  <c r="AM28" i="542"/>
  <c r="AM29" i="542"/>
  <c r="AM30" i="542"/>
  <c r="AM31" i="542"/>
  <c r="AM32" i="542"/>
  <c r="AM33" i="542"/>
  <c r="AM34" i="542"/>
  <c r="AM35" i="542"/>
  <c r="AM36" i="542"/>
  <c r="AM37" i="542"/>
  <c r="AM38" i="542"/>
  <c r="AM39" i="542"/>
  <c r="AM40" i="542"/>
  <c r="AM41" i="542"/>
  <c r="AM42" i="542"/>
  <c r="AM43" i="542"/>
  <c r="AM44" i="542"/>
  <c r="AM45" i="542"/>
  <c r="AM46" i="542"/>
  <c r="AM47" i="542"/>
  <c r="AM48" i="542"/>
  <c r="AM49" i="542"/>
  <c r="AM50" i="542"/>
  <c r="AM51" i="542"/>
  <c r="AM52" i="542"/>
  <c r="AM53" i="542"/>
  <c r="AM54" i="542"/>
  <c r="AM55" i="542"/>
  <c r="AM56" i="542"/>
  <c r="AM57" i="542"/>
  <c r="AM58" i="542"/>
  <c r="AM59" i="542"/>
  <c r="AM60" i="542"/>
  <c r="AM61" i="542"/>
  <c r="AM62" i="542"/>
  <c r="AM63" i="542"/>
  <c r="AM64" i="542"/>
  <c r="AM65" i="542"/>
  <c r="AM66" i="542"/>
  <c r="AM67" i="542"/>
  <c r="AM68" i="542"/>
  <c r="AM69" i="542"/>
  <c r="AM70" i="542"/>
  <c r="AM71" i="542"/>
  <c r="AM72" i="542"/>
  <c r="AM73" i="542"/>
  <c r="AM74" i="542"/>
  <c r="AM75" i="542"/>
  <c r="AM76" i="542"/>
  <c r="AM77" i="542"/>
  <c r="AM78" i="542"/>
  <c r="AM79" i="542"/>
  <c r="AM80" i="542"/>
  <c r="AM5" i="542"/>
  <c r="AR11" i="542" l="1"/>
  <c r="AN12" i="542"/>
  <c r="BB37" i="542"/>
  <c r="BC36" i="542"/>
  <c r="BD37" i="542" s="1"/>
  <c r="H37" i="542" s="1"/>
  <c r="D133" i="542" s="1"/>
  <c r="AN7" i="542"/>
  <c r="AR49" i="542"/>
  <c r="AN60" i="542"/>
  <c r="AN28" i="542"/>
  <c r="AR8" i="542"/>
  <c r="AR7" i="542"/>
  <c r="AN51" i="542"/>
  <c r="AR12" i="542"/>
  <c r="AN75" i="542"/>
  <c r="AN67" i="542"/>
  <c r="AN59" i="542"/>
  <c r="AN43" i="542"/>
  <c r="AN35" i="542"/>
  <c r="AN27" i="542"/>
  <c r="AN19" i="542"/>
  <c r="AR19" i="542"/>
  <c r="AR22" i="542"/>
  <c r="AN11" i="542"/>
  <c r="AT11" i="542" s="1"/>
  <c r="AN73" i="542"/>
  <c r="AN41" i="542"/>
  <c r="AN17" i="542"/>
  <c r="AN9" i="542"/>
  <c r="AR24" i="542"/>
  <c r="AR35" i="542"/>
  <c r="AN74" i="542"/>
  <c r="AN50" i="542"/>
  <c r="AN34" i="542"/>
  <c r="AN10" i="542"/>
  <c r="AR37" i="542"/>
  <c r="AR50" i="542"/>
  <c r="AR65" i="542"/>
  <c r="AR13" i="542"/>
  <c r="AR25" i="542"/>
  <c r="AR38" i="542"/>
  <c r="AR52" i="542"/>
  <c r="AR68" i="542"/>
  <c r="AR63" i="542"/>
  <c r="AN58" i="542"/>
  <c r="AN26" i="542"/>
  <c r="AN80" i="542"/>
  <c r="AN64" i="542"/>
  <c r="AN56" i="542"/>
  <c r="AN48" i="542"/>
  <c r="AN40" i="542"/>
  <c r="AN32" i="542"/>
  <c r="AN24" i="542"/>
  <c r="AN16" i="542"/>
  <c r="AR14" i="542"/>
  <c r="AR27" i="542"/>
  <c r="AR40" i="542"/>
  <c r="AR54" i="542"/>
  <c r="AR70" i="542"/>
  <c r="AN49" i="542"/>
  <c r="AN66" i="542"/>
  <c r="AN42" i="542"/>
  <c r="AN18" i="542"/>
  <c r="AN72" i="542"/>
  <c r="AR16" i="542"/>
  <c r="AR29" i="542"/>
  <c r="AR41" i="542"/>
  <c r="AT41" i="542" s="1"/>
  <c r="AR55" i="542"/>
  <c r="AR71" i="542"/>
  <c r="AR17" i="542"/>
  <c r="AT17" i="542" s="1"/>
  <c r="AR30" i="542"/>
  <c r="AR43" i="542"/>
  <c r="AR57" i="542"/>
  <c r="AR73" i="542"/>
  <c r="AN68" i="542"/>
  <c r="AT68" i="542" s="1"/>
  <c r="AR76" i="542"/>
  <c r="AN76" i="542"/>
  <c r="AT76" i="542" s="1"/>
  <c r="AN44" i="542"/>
  <c r="AN36" i="542"/>
  <c r="AR32" i="542"/>
  <c r="AR46" i="542"/>
  <c r="AR60" i="542"/>
  <c r="AT60" i="542" s="1"/>
  <c r="AR9" i="542"/>
  <c r="AT9" i="542" s="1"/>
  <c r="AR21" i="542"/>
  <c r="AR33" i="542"/>
  <c r="AR47" i="542"/>
  <c r="AR62" i="542"/>
  <c r="AR78" i="542"/>
  <c r="AN33" i="542"/>
  <c r="AN65" i="542"/>
  <c r="AN79" i="542"/>
  <c r="AN71" i="542"/>
  <c r="AN63" i="542"/>
  <c r="AT63" i="542" s="1"/>
  <c r="AN55" i="542"/>
  <c r="AN47" i="542"/>
  <c r="AN39" i="542"/>
  <c r="AN31" i="542"/>
  <c r="AN23" i="542"/>
  <c r="AN15" i="542"/>
  <c r="AN8" i="542"/>
  <c r="AT8" i="542" s="1"/>
  <c r="AT7" i="542"/>
  <c r="AN78" i="542"/>
  <c r="AN70" i="542"/>
  <c r="AN62" i="542"/>
  <c r="AN54" i="542"/>
  <c r="AN46" i="542"/>
  <c r="AT46" i="542" s="1"/>
  <c r="AN38" i="542"/>
  <c r="AN30" i="542"/>
  <c r="AN22" i="542"/>
  <c r="AN14" i="542"/>
  <c r="AN77" i="542"/>
  <c r="AN69" i="542"/>
  <c r="AN61" i="542"/>
  <c r="AN53" i="542"/>
  <c r="AN45" i="542"/>
  <c r="AN37" i="542"/>
  <c r="AT37" i="542" s="1"/>
  <c r="AN29" i="542"/>
  <c r="AN21" i="542"/>
  <c r="AT21" i="542" s="1"/>
  <c r="AN13" i="542"/>
  <c r="AN20" i="542"/>
  <c r="AN52" i="542"/>
  <c r="AN25" i="542"/>
  <c r="AT25" i="542" s="1"/>
  <c r="AN57" i="542"/>
  <c r="AR58" i="542"/>
  <c r="AR66" i="542"/>
  <c r="AR74" i="542"/>
  <c r="AT74" i="542" s="1"/>
  <c r="AR10" i="542"/>
  <c r="AT10" i="542" s="1"/>
  <c r="AR18" i="542"/>
  <c r="AR26" i="542"/>
  <c r="AR34" i="542"/>
  <c r="AR42" i="542"/>
  <c r="AR51" i="542"/>
  <c r="AT51" i="542" s="1"/>
  <c r="AR59" i="542"/>
  <c r="AR67" i="542"/>
  <c r="AR75" i="542"/>
  <c r="AR20" i="542"/>
  <c r="AR28" i="542"/>
  <c r="AR36" i="542"/>
  <c r="AR45" i="542"/>
  <c r="AR53" i="542"/>
  <c r="AR61" i="542"/>
  <c r="AR69" i="542"/>
  <c r="AR77" i="542"/>
  <c r="AR79" i="542"/>
  <c r="AR44" i="542"/>
  <c r="AR15" i="542"/>
  <c r="AR23" i="542"/>
  <c r="AR31" i="542"/>
  <c r="AR39" i="542"/>
  <c r="AR48" i="542"/>
  <c r="AR56" i="542"/>
  <c r="AR64" i="542"/>
  <c r="AT64" i="542" s="1"/>
  <c r="AR72" i="542"/>
  <c r="AR80" i="542"/>
  <c r="X125" i="4"/>
  <c r="AT24" i="542" l="1"/>
  <c r="AU25" i="542" s="1"/>
  <c r="AT43" i="542"/>
  <c r="AT54" i="542"/>
  <c r="AT70" i="542"/>
  <c r="AT12" i="542"/>
  <c r="AU12" i="542" s="1"/>
  <c r="L13" i="542" s="1"/>
  <c r="AT48" i="542"/>
  <c r="AU48" i="542" s="1"/>
  <c r="AT67" i="542"/>
  <c r="AU67" i="542" s="1"/>
  <c r="AT42" i="542"/>
  <c r="BB38" i="542"/>
  <c r="BC37" i="542"/>
  <c r="BD38" i="542" s="1"/>
  <c r="H38" i="542" s="1"/>
  <c r="D134" i="542" s="1"/>
  <c r="AT29" i="542"/>
  <c r="AT58" i="542"/>
  <c r="AT30" i="542"/>
  <c r="AT71" i="542"/>
  <c r="AT19" i="542"/>
  <c r="AT44" i="542"/>
  <c r="AT28" i="542"/>
  <c r="AT49" i="542"/>
  <c r="AT18" i="542"/>
  <c r="AU18" i="542" s="1"/>
  <c r="AT69" i="542"/>
  <c r="AU69" i="542" s="1"/>
  <c r="AT62" i="542"/>
  <c r="AU63" i="542" s="1"/>
  <c r="AT31" i="542"/>
  <c r="AU31" i="542" s="1"/>
  <c r="AT33" i="542"/>
  <c r="AT35" i="542"/>
  <c r="AU9" i="542"/>
  <c r="AT80" i="542"/>
  <c r="AU64" i="542"/>
  <c r="AT75" i="542"/>
  <c r="AU75" i="542" s="1"/>
  <c r="AT13" i="542"/>
  <c r="AU13" i="542" s="1"/>
  <c r="AT73" i="542"/>
  <c r="AU74" i="542" s="1"/>
  <c r="AT14" i="542"/>
  <c r="AT47" i="542"/>
  <c r="AU47" i="542" s="1"/>
  <c r="AT50" i="542"/>
  <c r="AT59" i="542"/>
  <c r="AT66" i="542"/>
  <c r="AT22" i="542"/>
  <c r="AU22" i="542" s="1"/>
  <c r="AT55" i="542"/>
  <c r="AU55" i="542" s="1"/>
  <c r="AT27" i="542"/>
  <c r="AU42" i="542"/>
  <c r="AT78" i="542"/>
  <c r="AT56" i="542"/>
  <c r="AT16" i="542"/>
  <c r="AU17" i="542" s="1"/>
  <c r="AT45" i="542"/>
  <c r="AT38" i="542"/>
  <c r="AU38" i="542" s="1"/>
  <c r="AU71" i="542"/>
  <c r="L72" i="542" s="1"/>
  <c r="AT32" i="542"/>
  <c r="AU32" i="542" s="1"/>
  <c r="L33" i="542" s="1"/>
  <c r="AT34" i="542"/>
  <c r="AU35" i="542" s="1"/>
  <c r="AT53" i="542"/>
  <c r="AT40" i="542"/>
  <c r="AU41" i="542" s="1"/>
  <c r="AT57" i="542"/>
  <c r="AT36" i="542"/>
  <c r="AT72" i="542"/>
  <c r="AT26" i="542"/>
  <c r="AU26" i="542" s="1"/>
  <c r="AT52" i="542"/>
  <c r="AU52" i="542" s="1"/>
  <c r="AT61" i="542"/>
  <c r="AU61" i="542" s="1"/>
  <c r="AT65" i="542"/>
  <c r="AU10" i="542"/>
  <c r="AU11" i="542"/>
  <c r="AV11" i="542" s="1"/>
  <c r="AT39" i="542"/>
  <c r="AT20" i="542"/>
  <c r="AT77" i="542"/>
  <c r="AU77" i="542" s="1"/>
  <c r="L78" i="542" s="1"/>
  <c r="AT15" i="542"/>
  <c r="AT79" i="542"/>
  <c r="AU79" i="542" s="1"/>
  <c r="AU60" i="542"/>
  <c r="AU43" i="542"/>
  <c r="L44" i="542" s="1"/>
  <c r="AU30" i="542"/>
  <c r="AU8" i="542"/>
  <c r="AV8" i="542" s="1"/>
  <c r="AT23" i="542"/>
  <c r="AR90" i="103"/>
  <c r="AR91" i="103"/>
  <c r="AR92" i="103"/>
  <c r="AR93" i="103"/>
  <c r="AR94" i="103"/>
  <c r="AR95" i="103"/>
  <c r="AR96" i="103"/>
  <c r="AP79" i="133"/>
  <c r="AP80" i="133"/>
  <c r="AP81" i="133"/>
  <c r="AP82" i="133"/>
  <c r="AP83" i="133"/>
  <c r="AP84" i="133"/>
  <c r="AP85" i="133"/>
  <c r="AP86" i="133"/>
  <c r="AP87" i="133"/>
  <c r="AP88" i="133"/>
  <c r="AP89" i="133"/>
  <c r="AP90" i="133"/>
  <c r="AP91" i="133"/>
  <c r="AP92" i="133"/>
  <c r="AP93" i="133"/>
  <c r="AP94" i="133"/>
  <c r="AP95" i="133"/>
  <c r="AP96" i="133"/>
  <c r="AO92" i="102"/>
  <c r="AO93" i="102"/>
  <c r="AO94" i="102"/>
  <c r="AW79" i="101"/>
  <c r="AW80" i="101"/>
  <c r="AW81" i="101"/>
  <c r="AW82" i="101"/>
  <c r="AW83" i="101"/>
  <c r="AW84" i="101"/>
  <c r="AW85" i="101"/>
  <c r="AW86" i="101"/>
  <c r="AW87" i="101"/>
  <c r="AW88" i="101"/>
  <c r="AW89" i="101"/>
  <c r="AW90" i="101"/>
  <c r="AW91" i="101"/>
  <c r="AW92" i="101"/>
  <c r="AW93" i="101"/>
  <c r="AW94" i="101"/>
  <c r="AW95" i="101"/>
  <c r="AW96" i="101"/>
  <c r="AO69" i="27"/>
  <c r="AO70" i="27"/>
  <c r="AO71" i="27"/>
  <c r="AO72" i="27"/>
  <c r="AO73" i="27"/>
  <c r="AO74" i="27"/>
  <c r="AO75" i="27"/>
  <c r="AO76" i="27"/>
  <c r="AO77" i="27"/>
  <c r="AO78" i="27"/>
  <c r="AO79" i="27"/>
  <c r="AO80" i="27"/>
  <c r="AO81" i="27"/>
  <c r="AO82" i="27"/>
  <c r="AO83" i="27"/>
  <c r="AO84" i="27"/>
  <c r="AO85" i="27"/>
  <c r="AO86" i="27"/>
  <c r="AO87" i="27"/>
  <c r="AO88" i="27"/>
  <c r="AO89" i="27"/>
  <c r="AO90" i="27"/>
  <c r="AO91" i="27"/>
  <c r="AO92" i="27"/>
  <c r="AO93" i="27"/>
  <c r="AO94" i="27"/>
  <c r="AO95" i="27"/>
  <c r="AO96" i="27"/>
  <c r="AO79" i="26"/>
  <c r="AP79" i="26"/>
  <c r="AO80" i="26"/>
  <c r="AP80" i="26"/>
  <c r="AO81" i="26"/>
  <c r="AP81" i="26"/>
  <c r="AO82" i="26"/>
  <c r="AP82" i="26"/>
  <c r="AO83" i="26"/>
  <c r="AP83" i="26"/>
  <c r="AO84" i="26"/>
  <c r="AP84" i="26"/>
  <c r="AO85" i="26"/>
  <c r="AP85" i="26"/>
  <c r="AO86" i="26"/>
  <c r="AP86" i="26"/>
  <c r="AP87" i="26"/>
  <c r="AO88" i="26"/>
  <c r="AP88" i="26"/>
  <c r="AO89" i="26"/>
  <c r="AP89" i="26"/>
  <c r="AO90" i="26"/>
  <c r="AO91" i="26"/>
  <c r="AO92" i="26"/>
  <c r="AO93" i="26"/>
  <c r="AO94" i="26"/>
  <c r="AO95" i="26"/>
  <c r="AO96" i="26"/>
  <c r="AO79" i="25"/>
  <c r="AO80" i="25"/>
  <c r="AO81" i="25"/>
  <c r="AO82" i="25"/>
  <c r="AO83" i="25"/>
  <c r="AO84" i="25"/>
  <c r="AO85" i="25"/>
  <c r="AO86" i="25"/>
  <c r="AO87" i="25"/>
  <c r="AO88" i="25"/>
  <c r="AO89" i="25"/>
  <c r="AO90" i="25"/>
  <c r="AO91" i="25"/>
  <c r="AO92" i="25"/>
  <c r="AO93" i="25"/>
  <c r="AO94" i="25"/>
  <c r="AO95" i="25"/>
  <c r="AO96" i="25"/>
  <c r="AP79" i="131"/>
  <c r="AP80" i="131"/>
  <c r="AP81" i="131"/>
  <c r="AP82" i="131"/>
  <c r="AP83" i="131"/>
  <c r="AP84" i="131"/>
  <c r="AP85" i="131"/>
  <c r="AP86" i="131"/>
  <c r="AP87" i="131"/>
  <c r="AP88" i="131"/>
  <c r="AP89" i="131"/>
  <c r="AP90" i="131"/>
  <c r="AP91" i="131"/>
  <c r="AP92" i="131"/>
  <c r="AP93" i="131"/>
  <c r="AP94" i="131"/>
  <c r="AP95" i="131"/>
  <c r="AP96" i="131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60" i="21"/>
  <c r="AP61" i="21"/>
  <c r="AP62" i="21"/>
  <c r="AP63" i="21"/>
  <c r="AP64" i="21"/>
  <c r="AP65" i="21"/>
  <c r="AP66" i="21"/>
  <c r="AP67" i="21"/>
  <c r="AP68" i="21"/>
  <c r="AP69" i="21"/>
  <c r="AP70" i="21"/>
  <c r="AP71" i="21"/>
  <c r="AP72" i="21"/>
  <c r="AP73" i="21"/>
  <c r="AP74" i="21"/>
  <c r="AP75" i="21"/>
  <c r="AP76" i="21"/>
  <c r="AP77" i="21"/>
  <c r="AP78" i="21"/>
  <c r="AP79" i="21"/>
  <c r="AP80" i="21"/>
  <c r="AP81" i="21"/>
  <c r="AP82" i="21"/>
  <c r="AP83" i="21"/>
  <c r="AP84" i="21"/>
  <c r="AP85" i="21"/>
  <c r="AP86" i="21"/>
  <c r="AP87" i="21"/>
  <c r="AP88" i="21"/>
  <c r="AP89" i="21"/>
  <c r="AP90" i="21"/>
  <c r="AP91" i="21"/>
  <c r="AP92" i="21"/>
  <c r="AP93" i="21"/>
  <c r="AP94" i="21"/>
  <c r="AP95" i="21"/>
  <c r="AP96" i="21"/>
  <c r="AP72" i="20"/>
  <c r="AP73" i="20"/>
  <c r="AP74" i="20"/>
  <c r="AP75" i="20"/>
  <c r="AP76" i="20"/>
  <c r="AP77" i="20"/>
  <c r="AP78" i="20"/>
  <c r="AP79" i="20"/>
  <c r="AP80" i="20"/>
  <c r="AP81" i="20"/>
  <c r="AP82" i="20"/>
  <c r="AP83" i="20"/>
  <c r="AP84" i="20"/>
  <c r="AP85" i="20"/>
  <c r="AP86" i="20"/>
  <c r="AP87" i="20"/>
  <c r="AP88" i="20"/>
  <c r="AP89" i="20"/>
  <c r="AP90" i="20"/>
  <c r="AP91" i="20"/>
  <c r="AP92" i="20"/>
  <c r="AP93" i="20"/>
  <c r="AP94" i="20"/>
  <c r="AP95" i="20"/>
  <c r="AP96" i="20"/>
  <c r="AP66" i="19"/>
  <c r="AP67" i="19"/>
  <c r="AP68" i="19"/>
  <c r="AP69" i="19"/>
  <c r="AP70" i="19"/>
  <c r="AP71" i="19"/>
  <c r="AP72" i="19"/>
  <c r="AP73" i="19"/>
  <c r="AP74" i="19"/>
  <c r="AP75" i="19"/>
  <c r="AP76" i="19"/>
  <c r="AP77" i="19"/>
  <c r="AP78" i="19"/>
  <c r="AP79" i="19"/>
  <c r="AP80" i="19"/>
  <c r="AP81" i="19"/>
  <c r="AP82" i="19"/>
  <c r="AP83" i="19"/>
  <c r="AP84" i="19"/>
  <c r="AP85" i="19"/>
  <c r="AP86" i="19"/>
  <c r="AP87" i="19"/>
  <c r="AP88" i="19"/>
  <c r="AP89" i="19"/>
  <c r="AP90" i="19"/>
  <c r="AP91" i="19"/>
  <c r="AP92" i="19"/>
  <c r="AP93" i="19"/>
  <c r="AP94" i="19"/>
  <c r="AP95" i="19"/>
  <c r="AP96" i="19"/>
  <c r="AS69" i="29"/>
  <c r="AS70" i="29"/>
  <c r="AS71" i="29"/>
  <c r="AS72" i="29"/>
  <c r="AS73" i="29"/>
  <c r="AS74" i="29"/>
  <c r="AS75" i="29"/>
  <c r="AS76" i="29"/>
  <c r="AS77" i="29"/>
  <c r="AS78" i="29"/>
  <c r="AS79" i="29"/>
  <c r="AS80" i="29"/>
  <c r="AS81" i="29"/>
  <c r="AS82" i="29"/>
  <c r="AS83" i="29"/>
  <c r="AS84" i="29"/>
  <c r="AS85" i="29"/>
  <c r="AS86" i="29"/>
  <c r="AS87" i="29"/>
  <c r="AS88" i="29"/>
  <c r="AS89" i="29"/>
  <c r="AS90" i="29"/>
  <c r="AS91" i="29"/>
  <c r="AS92" i="29"/>
  <c r="AS93" i="29"/>
  <c r="AS94" i="29"/>
  <c r="AS95" i="29"/>
  <c r="AS96" i="29"/>
  <c r="AP75" i="323"/>
  <c r="AP76" i="323"/>
  <c r="AP77" i="323"/>
  <c r="AP78" i="323"/>
  <c r="AP79" i="323"/>
  <c r="AP80" i="323"/>
  <c r="AP81" i="323"/>
  <c r="AP82" i="323"/>
  <c r="AP83" i="323"/>
  <c r="AP84" i="323"/>
  <c r="AP85" i="323"/>
  <c r="AP86" i="323"/>
  <c r="AP87" i="323"/>
  <c r="AP88" i="323"/>
  <c r="AP94" i="323"/>
  <c r="AP74" i="323"/>
  <c r="AR45" i="63"/>
  <c r="AR46" i="63"/>
  <c r="AR47" i="63"/>
  <c r="AR48" i="63"/>
  <c r="AR49" i="63"/>
  <c r="AR50" i="63"/>
  <c r="AR51" i="63"/>
  <c r="AR52" i="63"/>
  <c r="AR53" i="63"/>
  <c r="AR54" i="63"/>
  <c r="AR55" i="63"/>
  <c r="AR56" i="63"/>
  <c r="AR57" i="63"/>
  <c r="AR58" i="63"/>
  <c r="AR59" i="63"/>
  <c r="AR60" i="63"/>
  <c r="AR61" i="63"/>
  <c r="AR62" i="63"/>
  <c r="AR63" i="63"/>
  <c r="AR64" i="63"/>
  <c r="AR65" i="63"/>
  <c r="AR66" i="63"/>
  <c r="AR67" i="63"/>
  <c r="AR68" i="63"/>
  <c r="AR69" i="63"/>
  <c r="AQ70" i="63"/>
  <c r="AR70" i="63"/>
  <c r="AQ71" i="63"/>
  <c r="AR71" i="63"/>
  <c r="AQ72" i="63"/>
  <c r="AR72" i="63"/>
  <c r="AQ73" i="63"/>
  <c r="AR73" i="63"/>
  <c r="AQ74" i="63"/>
  <c r="AR74" i="63"/>
  <c r="AQ75" i="63"/>
  <c r="AR75" i="63"/>
  <c r="AQ76" i="63"/>
  <c r="AR76" i="63"/>
  <c r="AQ77" i="63"/>
  <c r="AR77" i="63"/>
  <c r="AQ78" i="63"/>
  <c r="AR78" i="63"/>
  <c r="AQ79" i="63"/>
  <c r="AR79" i="63"/>
  <c r="AQ80" i="63"/>
  <c r="AR80" i="63"/>
  <c r="AQ81" i="63"/>
  <c r="AR81" i="63"/>
  <c r="AQ82" i="63"/>
  <c r="AR82" i="63"/>
  <c r="AQ83" i="63"/>
  <c r="AR83" i="63"/>
  <c r="AQ84" i="63"/>
  <c r="AR84" i="63"/>
  <c r="AQ85" i="63"/>
  <c r="AR85" i="63"/>
  <c r="AQ86" i="63"/>
  <c r="AR86" i="63"/>
  <c r="AQ87" i="63"/>
  <c r="AR87" i="63"/>
  <c r="AQ88" i="63"/>
  <c r="AR88" i="63"/>
  <c r="AQ89" i="63"/>
  <c r="AR89" i="63"/>
  <c r="AQ90" i="63"/>
  <c r="AR90" i="63"/>
  <c r="AQ91" i="63"/>
  <c r="AQ92" i="63"/>
  <c r="AQ93" i="63"/>
  <c r="AQ94" i="63"/>
  <c r="AQ95" i="63"/>
  <c r="AQ96" i="63"/>
  <c r="AR44" i="63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8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4" i="18"/>
  <c r="AS95" i="18"/>
  <c r="AS96" i="18"/>
  <c r="AX44" i="1"/>
  <c r="AY44" i="1"/>
  <c r="AX45" i="1"/>
  <c r="AY45" i="1"/>
  <c r="AX46" i="1"/>
  <c r="AY46" i="1"/>
  <c r="AX47" i="1"/>
  <c r="AY47" i="1"/>
  <c r="AX48" i="1"/>
  <c r="AY48" i="1"/>
  <c r="AW50" i="1"/>
  <c r="AX50" i="1"/>
  <c r="AY50" i="1"/>
  <c r="AW51" i="1"/>
  <c r="AZ51" i="1" s="1"/>
  <c r="AX51" i="1"/>
  <c r="AY51" i="1"/>
  <c r="AW52" i="1"/>
  <c r="AX52" i="1"/>
  <c r="AY52" i="1"/>
  <c r="AW53" i="1"/>
  <c r="AZ53" i="1" s="1"/>
  <c r="AX53" i="1"/>
  <c r="AY53" i="1"/>
  <c r="AW54" i="1"/>
  <c r="AZ54" i="1" s="1"/>
  <c r="AX54" i="1"/>
  <c r="AY54" i="1"/>
  <c r="AW55" i="1"/>
  <c r="AX55" i="1"/>
  <c r="AY55" i="1"/>
  <c r="AW56" i="1"/>
  <c r="AX56" i="1"/>
  <c r="AY56" i="1"/>
  <c r="AW57" i="1"/>
  <c r="AX57" i="1"/>
  <c r="AY57" i="1"/>
  <c r="AW58" i="1"/>
  <c r="AX58" i="1"/>
  <c r="AY58" i="1"/>
  <c r="AW59" i="1"/>
  <c r="AZ59" i="1" s="1"/>
  <c r="AX59" i="1"/>
  <c r="AY59" i="1"/>
  <c r="AW60" i="1"/>
  <c r="AX60" i="1"/>
  <c r="AY60" i="1"/>
  <c r="AW61" i="1"/>
  <c r="AZ61" i="1" s="1"/>
  <c r="AX61" i="1"/>
  <c r="AY61" i="1"/>
  <c r="AW62" i="1"/>
  <c r="AZ62" i="1" s="1"/>
  <c r="AX62" i="1"/>
  <c r="AY62" i="1"/>
  <c r="AW63" i="1"/>
  <c r="AX63" i="1"/>
  <c r="AY63" i="1"/>
  <c r="AW64" i="1"/>
  <c r="AX64" i="1"/>
  <c r="AY64" i="1"/>
  <c r="AW65" i="1"/>
  <c r="AX65" i="1"/>
  <c r="AY65" i="1"/>
  <c r="AW66" i="1"/>
  <c r="AX66" i="1"/>
  <c r="AY66" i="1"/>
  <c r="AW67" i="1"/>
  <c r="AX67" i="1"/>
  <c r="AY67" i="1"/>
  <c r="AW68" i="1"/>
  <c r="AX68" i="1"/>
  <c r="AY68" i="1"/>
  <c r="AW69" i="1"/>
  <c r="AZ69" i="1" s="1"/>
  <c r="AX69" i="1"/>
  <c r="AY69" i="1"/>
  <c r="AW70" i="1"/>
  <c r="AZ70" i="1" s="1"/>
  <c r="AX70" i="1"/>
  <c r="AY70" i="1"/>
  <c r="AW71" i="1"/>
  <c r="AX71" i="1"/>
  <c r="AY71" i="1"/>
  <c r="AW72" i="1"/>
  <c r="AZ72" i="1" s="1"/>
  <c r="AX72" i="1"/>
  <c r="AY72" i="1"/>
  <c r="AW73" i="1"/>
  <c r="AX73" i="1"/>
  <c r="AY73" i="1"/>
  <c r="AW74" i="1"/>
  <c r="AX74" i="1"/>
  <c r="AY74" i="1"/>
  <c r="AW75" i="1"/>
  <c r="AZ75" i="1" s="1"/>
  <c r="AX75" i="1"/>
  <c r="AY75" i="1"/>
  <c r="AW76" i="1"/>
  <c r="AX76" i="1"/>
  <c r="AY76" i="1"/>
  <c r="AW77" i="1"/>
  <c r="AZ77" i="1" s="1"/>
  <c r="AX77" i="1"/>
  <c r="AY77" i="1"/>
  <c r="AW78" i="1"/>
  <c r="AZ78" i="1" s="1"/>
  <c r="AX78" i="1"/>
  <c r="AY78" i="1"/>
  <c r="AW79" i="1"/>
  <c r="AX79" i="1"/>
  <c r="AW80" i="1"/>
  <c r="AX80" i="1"/>
  <c r="AW81" i="1"/>
  <c r="AX81" i="1"/>
  <c r="AW82" i="1"/>
  <c r="AX82" i="1"/>
  <c r="AW83" i="1"/>
  <c r="AX83" i="1"/>
  <c r="AW84" i="1"/>
  <c r="AX84" i="1"/>
  <c r="AW85" i="1"/>
  <c r="AX85" i="1"/>
  <c r="AW86" i="1"/>
  <c r="AX86" i="1"/>
  <c r="AW87" i="1"/>
  <c r="AX87" i="1"/>
  <c r="AW88" i="1"/>
  <c r="AX88" i="1"/>
  <c r="AW89" i="1"/>
  <c r="AX89" i="1"/>
  <c r="AW90" i="1"/>
  <c r="AX90" i="1"/>
  <c r="AW91" i="1"/>
  <c r="AX91" i="1"/>
  <c r="AW92" i="1"/>
  <c r="AX92" i="1"/>
  <c r="AW93" i="1"/>
  <c r="AX93" i="1"/>
  <c r="AW94" i="1"/>
  <c r="AX94" i="1"/>
  <c r="AX95" i="1"/>
  <c r="AX96" i="1"/>
  <c r="AX97" i="1"/>
  <c r="AX49" i="1"/>
  <c r="AY49" i="1"/>
  <c r="AW49" i="1"/>
  <c r="AZ49" i="1" s="1"/>
  <c r="AZ71" i="1" l="1"/>
  <c r="AZ63" i="1"/>
  <c r="AZ55" i="1"/>
  <c r="AZ67" i="1"/>
  <c r="AZ50" i="1"/>
  <c r="AZ76" i="1"/>
  <c r="AZ68" i="1"/>
  <c r="AZ60" i="1"/>
  <c r="AZ52" i="1"/>
  <c r="AZ66" i="1"/>
  <c r="AZ73" i="1"/>
  <c r="AZ65" i="1"/>
  <c r="AZ57" i="1"/>
  <c r="AZ74" i="1"/>
  <c r="AZ58" i="1"/>
  <c r="AZ64" i="1"/>
  <c r="AZ56" i="1"/>
  <c r="AU49" i="542"/>
  <c r="L50" i="542" s="1"/>
  <c r="AU72" i="542"/>
  <c r="L75" i="542" s="1"/>
  <c r="G11" i="542"/>
  <c r="H107" i="542"/>
  <c r="L80" i="542"/>
  <c r="AU54" i="542"/>
  <c r="L55" i="542" s="1"/>
  <c r="AU44" i="542"/>
  <c r="L45" i="542" s="1"/>
  <c r="AV60" i="542"/>
  <c r="G60" i="542" s="1"/>
  <c r="C156" i="542" s="1"/>
  <c r="AV47" i="542"/>
  <c r="L53" i="542"/>
  <c r="AU33" i="542"/>
  <c r="L34" i="542" s="1"/>
  <c r="AU68" i="542"/>
  <c r="AV12" i="542"/>
  <c r="L14" i="542"/>
  <c r="AV63" i="542"/>
  <c r="G63" i="542" s="1"/>
  <c r="L64" i="542"/>
  <c r="L23" i="542"/>
  <c r="L70" i="542"/>
  <c r="AU36" i="542"/>
  <c r="AU45" i="542"/>
  <c r="L46" i="542" s="1"/>
  <c r="AU20" i="542"/>
  <c r="L21" i="542" s="1"/>
  <c r="AU58" i="542"/>
  <c r="AU59" i="542"/>
  <c r="L60" i="542" s="1"/>
  <c r="AV41" i="542"/>
  <c r="AU29" i="542"/>
  <c r="BB39" i="542"/>
  <c r="BC38" i="542"/>
  <c r="BD39" i="542" s="1"/>
  <c r="H39" i="542" s="1"/>
  <c r="D135" i="542" s="1"/>
  <c r="AU37" i="542"/>
  <c r="AV68" i="542"/>
  <c r="G68" i="542" s="1"/>
  <c r="AU27" i="542"/>
  <c r="AU56" i="542"/>
  <c r="L57" i="542" s="1"/>
  <c r="AV55" i="542"/>
  <c r="AU66" i="542"/>
  <c r="AV66" i="542" s="1"/>
  <c r="AU50" i="542"/>
  <c r="AU70" i="542"/>
  <c r="L71" i="542" s="1"/>
  <c r="AV76" i="542"/>
  <c r="G76" i="542" s="1"/>
  <c r="AV35" i="542"/>
  <c r="AU14" i="542"/>
  <c r="AU19" i="542"/>
  <c r="AV27" i="542"/>
  <c r="AV30" i="542"/>
  <c r="AV10" i="542"/>
  <c r="AU28" i="542"/>
  <c r="L31" i="542" s="1"/>
  <c r="AU62" i="542"/>
  <c r="L65" i="542" s="1"/>
  <c r="AU21" i="542"/>
  <c r="AU53" i="542"/>
  <c r="AU34" i="542"/>
  <c r="AV34" i="542" s="1"/>
  <c r="AU51" i="542"/>
  <c r="L52" i="542" s="1"/>
  <c r="AU57" i="542"/>
  <c r="AV71" i="542"/>
  <c r="G71" i="542" s="1"/>
  <c r="AU65" i="542"/>
  <c r="L66" i="542" s="1"/>
  <c r="AV70" i="542"/>
  <c r="G70" i="542" s="1"/>
  <c r="AU73" i="542"/>
  <c r="AU78" i="542"/>
  <c r="AU46" i="542"/>
  <c r="L49" i="542" s="1"/>
  <c r="AV42" i="542"/>
  <c r="AV74" i="542"/>
  <c r="G74" i="542" s="1"/>
  <c r="AV25" i="542"/>
  <c r="AU15" i="542"/>
  <c r="L16" i="542" s="1"/>
  <c r="AU23" i="542"/>
  <c r="AU24" i="542"/>
  <c r="AU80" i="542"/>
  <c r="AV80" i="542" s="1"/>
  <c r="G80" i="542" s="1"/>
  <c r="AV54" i="542"/>
  <c r="AU39" i="542"/>
  <c r="L40" i="542" s="1"/>
  <c r="AU40" i="542"/>
  <c r="L43" i="542" s="1"/>
  <c r="AV9" i="542"/>
  <c r="AV31" i="542"/>
  <c r="AV48" i="542"/>
  <c r="AV67" i="542"/>
  <c r="G67" i="542" s="1"/>
  <c r="AV17" i="542"/>
  <c r="T51" i="193"/>
  <c r="T52" i="193"/>
  <c r="T53" i="193"/>
  <c r="T54" i="193"/>
  <c r="T55" i="193"/>
  <c r="T56" i="193"/>
  <c r="T57" i="193"/>
  <c r="Q51" i="193"/>
  <c r="Q52" i="193"/>
  <c r="Q53" i="193"/>
  <c r="Q54" i="193"/>
  <c r="Q55" i="193"/>
  <c r="Q56" i="193"/>
  <c r="Q57" i="193"/>
  <c r="G34" i="542" l="1"/>
  <c r="H130" i="542"/>
  <c r="G31" i="542"/>
  <c r="H127" i="542"/>
  <c r="G27" i="542"/>
  <c r="C123" i="542" s="1"/>
  <c r="H123" i="542"/>
  <c r="G55" i="542"/>
  <c r="H151" i="542"/>
  <c r="L42" i="542"/>
  <c r="G41" i="542"/>
  <c r="C137" i="542" s="1"/>
  <c r="H137" i="542"/>
  <c r="AV43" i="542"/>
  <c r="C159" i="542"/>
  <c r="G47" i="542"/>
  <c r="C143" i="542" s="1"/>
  <c r="H143" i="542"/>
  <c r="G54" i="542"/>
  <c r="C150" i="542" s="1"/>
  <c r="H150" i="542"/>
  <c r="C11" i="542"/>
  <c r="C107" i="542"/>
  <c r="C80" i="542"/>
  <c r="AE80" i="542" s="1"/>
  <c r="G12" i="542"/>
  <c r="H108" i="542"/>
  <c r="G42" i="542"/>
  <c r="C138" i="542" s="1"/>
  <c r="H138" i="542"/>
  <c r="C70" i="542"/>
  <c r="C166" i="542"/>
  <c r="G35" i="542"/>
  <c r="C131" i="542" s="1"/>
  <c r="H131" i="542"/>
  <c r="G17" i="542"/>
  <c r="C113" i="542" s="1"/>
  <c r="H113" i="542"/>
  <c r="AV51" i="542"/>
  <c r="G10" i="542"/>
  <c r="H106" i="542"/>
  <c r="G25" i="542"/>
  <c r="C121" i="542" s="1"/>
  <c r="H121" i="542"/>
  <c r="C164" i="542"/>
  <c r="C163" i="542"/>
  <c r="G48" i="542"/>
  <c r="C144" i="542" s="1"/>
  <c r="H144" i="542"/>
  <c r="AV69" i="542"/>
  <c r="G69" i="542" s="1"/>
  <c r="G30" i="542"/>
  <c r="C126" i="542" s="1"/>
  <c r="H126" i="542"/>
  <c r="L37" i="542"/>
  <c r="AV78" i="542"/>
  <c r="G78" i="542" s="1"/>
  <c r="L79" i="542"/>
  <c r="AV33" i="542"/>
  <c r="L35" i="542"/>
  <c r="C35" i="542" s="1"/>
  <c r="G66" i="542"/>
  <c r="L67" i="542"/>
  <c r="C67" i="542" s="1"/>
  <c r="AV29" i="542"/>
  <c r="L30" i="542"/>
  <c r="C30" i="542" s="1"/>
  <c r="L73" i="542"/>
  <c r="L32" i="542"/>
  <c r="L48" i="542"/>
  <c r="AV73" i="542"/>
  <c r="G73" i="542" s="1"/>
  <c r="L74" i="542"/>
  <c r="C74" i="542" s="1"/>
  <c r="AV44" i="542"/>
  <c r="AV59" i="542"/>
  <c r="G59" i="542" s="1"/>
  <c r="C155" i="542" s="1"/>
  <c r="AV13" i="542"/>
  <c r="L15" i="542"/>
  <c r="AV24" i="542"/>
  <c r="L25" i="542"/>
  <c r="AV72" i="542"/>
  <c r="G72" i="542" s="1"/>
  <c r="AV32" i="542"/>
  <c r="AV21" i="542"/>
  <c r="L22" i="542"/>
  <c r="AV26" i="542"/>
  <c r="L28" i="542"/>
  <c r="L36" i="542"/>
  <c r="AV53" i="542"/>
  <c r="L54" i="542"/>
  <c r="C54" i="542" s="1"/>
  <c r="AV16" i="542"/>
  <c r="L17" i="542"/>
  <c r="C17" i="542" s="1"/>
  <c r="C71" i="542"/>
  <c r="AV28" i="542"/>
  <c r="L29" i="542"/>
  <c r="AV75" i="542"/>
  <c r="G75" i="542" s="1"/>
  <c r="L77" i="542"/>
  <c r="AV37" i="542"/>
  <c r="L38" i="542"/>
  <c r="L18" i="542"/>
  <c r="L76" i="542"/>
  <c r="L62" i="542"/>
  <c r="AV19" i="542"/>
  <c r="L20" i="542"/>
  <c r="AV40" i="542"/>
  <c r="L41" i="542"/>
  <c r="AV22" i="542"/>
  <c r="L24" i="542"/>
  <c r="L26" i="542"/>
  <c r="AV61" i="542"/>
  <c r="G61" i="542" s="1"/>
  <c r="L63" i="542"/>
  <c r="AV45" i="542"/>
  <c r="AV56" i="542"/>
  <c r="L58" i="542"/>
  <c r="AV58" i="542"/>
  <c r="L59" i="542"/>
  <c r="L27" i="542"/>
  <c r="L61" i="542"/>
  <c r="L19" i="542"/>
  <c r="AV18" i="542"/>
  <c r="AV57" i="542"/>
  <c r="AV36" i="542"/>
  <c r="AV46" i="542"/>
  <c r="L47" i="542"/>
  <c r="AV49" i="542"/>
  <c r="L51" i="542"/>
  <c r="BB40" i="542"/>
  <c r="BC39" i="542"/>
  <c r="BD40" i="542" s="1"/>
  <c r="H40" i="542" s="1"/>
  <c r="D136" i="542" s="1"/>
  <c r="L39" i="542"/>
  <c r="L69" i="542"/>
  <c r="C69" i="542" s="1"/>
  <c r="C60" i="542"/>
  <c r="Y60" i="542" s="1"/>
  <c r="AK145" i="4" s="1"/>
  <c r="L68" i="542"/>
  <c r="C68" i="542" s="1"/>
  <c r="AV65" i="542"/>
  <c r="G65" i="542" s="1"/>
  <c r="AV20" i="542"/>
  <c r="AV62" i="542"/>
  <c r="G62" i="542" s="1"/>
  <c r="AV52" i="542"/>
  <c r="AV50" i="542"/>
  <c r="AV64" i="542"/>
  <c r="G64" i="542" s="1"/>
  <c r="AV77" i="542"/>
  <c r="G77" i="542" s="1"/>
  <c r="AV15" i="542"/>
  <c r="AV14" i="542"/>
  <c r="AV39" i="542"/>
  <c r="AV38" i="542"/>
  <c r="AV23" i="542"/>
  <c r="AV79" i="542"/>
  <c r="G79" i="542" s="1"/>
  <c r="P122" i="20"/>
  <c r="Y80" i="542" l="1"/>
  <c r="AK165" i="4" s="1"/>
  <c r="AL132" i="102"/>
  <c r="D132" i="102" s="1"/>
  <c r="AL132" i="133"/>
  <c r="D132" i="133" s="1"/>
  <c r="AK132" i="314"/>
  <c r="D132" i="314" s="1"/>
  <c r="AL132" i="29"/>
  <c r="D132" i="29" s="1"/>
  <c r="AL132" i="27"/>
  <c r="D132" i="27" s="1"/>
  <c r="AK132" i="104"/>
  <c r="D132" i="104" s="1"/>
  <c r="AI132" i="22"/>
  <c r="D132" i="22" s="1"/>
  <c r="AL132" i="131"/>
  <c r="D132" i="131" s="1"/>
  <c r="AL132" i="51"/>
  <c r="D132" i="51" s="1"/>
  <c r="AL132" i="103"/>
  <c r="D132" i="103" s="1"/>
  <c r="AJ132" i="3"/>
  <c r="D132" i="3" s="1"/>
  <c r="AL132" i="323"/>
  <c r="D132" i="323" s="1"/>
  <c r="AL132" i="25"/>
  <c r="D132" i="25" s="1"/>
  <c r="AK132" i="20"/>
  <c r="D132" i="20" s="1"/>
  <c r="AL132" i="26"/>
  <c r="D132" i="26" s="1"/>
  <c r="AL132" i="63"/>
  <c r="D132" i="63" s="1"/>
  <c r="AL132" i="18"/>
  <c r="D132" i="18" s="1"/>
  <c r="AL132" i="23"/>
  <c r="D132" i="23" s="1"/>
  <c r="AL132" i="21"/>
  <c r="D132" i="21" s="1"/>
  <c r="AI132" i="129"/>
  <c r="D132" i="129" s="1"/>
  <c r="AL132" i="1"/>
  <c r="D132" i="1" s="1"/>
  <c r="BA145" i="4"/>
  <c r="AL132" i="101"/>
  <c r="D132" i="101" s="1"/>
  <c r="AL132" i="19"/>
  <c r="D132" i="19" s="1"/>
  <c r="AL148" i="4"/>
  <c r="C77" i="542"/>
  <c r="Y77" i="542" s="1"/>
  <c r="AK162" i="4" s="1"/>
  <c r="G26" i="542"/>
  <c r="C122" i="542" s="1"/>
  <c r="H122" i="542"/>
  <c r="G13" i="542"/>
  <c r="H109" i="542"/>
  <c r="C165" i="542"/>
  <c r="G46" i="542"/>
  <c r="C142" i="542" s="1"/>
  <c r="H142" i="542"/>
  <c r="G36" i="542"/>
  <c r="H132" i="542"/>
  <c r="G16" i="542"/>
  <c r="H112" i="542"/>
  <c r="G21" i="542"/>
  <c r="H117" i="542"/>
  <c r="G44" i="542"/>
  <c r="C140" i="542" s="1"/>
  <c r="H140" i="542"/>
  <c r="G29" i="542"/>
  <c r="C125" i="542" s="1"/>
  <c r="H125" i="542"/>
  <c r="Y70" i="542"/>
  <c r="AK155" i="4" s="1"/>
  <c r="G43" i="542"/>
  <c r="C139" i="542" s="1"/>
  <c r="H139" i="542"/>
  <c r="G58" i="542"/>
  <c r="H154" i="542"/>
  <c r="C79" i="542"/>
  <c r="G52" i="542"/>
  <c r="H148" i="542"/>
  <c r="G40" i="542"/>
  <c r="C136" i="542" s="1"/>
  <c r="H136" i="542"/>
  <c r="G37" i="542"/>
  <c r="H133" i="542"/>
  <c r="C76" i="542"/>
  <c r="Y76" i="542" s="1"/>
  <c r="AK161" i="4" s="1"/>
  <c r="G32" i="542"/>
  <c r="C128" i="542" s="1"/>
  <c r="H128" i="542"/>
  <c r="C31" i="542"/>
  <c r="C127" i="542"/>
  <c r="G23" i="542"/>
  <c r="H119" i="542"/>
  <c r="G38" i="542"/>
  <c r="H134" i="542"/>
  <c r="G45" i="542"/>
  <c r="C141" i="542" s="1"/>
  <c r="H141" i="542"/>
  <c r="C72" i="542"/>
  <c r="Y72" i="542" s="1"/>
  <c r="AK157" i="4" s="1"/>
  <c r="C66" i="542"/>
  <c r="Y66" i="542" s="1"/>
  <c r="AK151" i="4" s="1"/>
  <c r="C162" i="542"/>
  <c r="G50" i="542"/>
  <c r="H146" i="542"/>
  <c r="G56" i="542"/>
  <c r="C152" i="542" s="1"/>
  <c r="H152" i="542"/>
  <c r="G39" i="542"/>
  <c r="C135" i="542" s="1"/>
  <c r="H135" i="542"/>
  <c r="G20" i="542"/>
  <c r="H116" i="542"/>
  <c r="G19" i="542"/>
  <c r="C115" i="542" s="1"/>
  <c r="H115" i="542"/>
  <c r="C75" i="542"/>
  <c r="Y75" i="542" s="1"/>
  <c r="AK160" i="4" s="1"/>
  <c r="G53" i="542"/>
  <c r="H149" i="542"/>
  <c r="C25" i="542"/>
  <c r="C27" i="542"/>
  <c r="C12" i="542"/>
  <c r="C108" i="542"/>
  <c r="C34" i="542"/>
  <c r="C130" i="542"/>
  <c r="G51" i="542"/>
  <c r="C147" i="542" s="1"/>
  <c r="H147" i="542"/>
  <c r="C158" i="542"/>
  <c r="G18" i="542"/>
  <c r="H114" i="542"/>
  <c r="G14" i="542"/>
  <c r="H110" i="542"/>
  <c r="G49" i="542"/>
  <c r="H145" i="542"/>
  <c r="C157" i="542"/>
  <c r="G24" i="542"/>
  <c r="C120" i="542" s="1"/>
  <c r="H120" i="542"/>
  <c r="C63" i="542"/>
  <c r="C106" i="542"/>
  <c r="C10" i="542"/>
  <c r="C64" i="542"/>
  <c r="Y64" i="542" s="1"/>
  <c r="AK149" i="4" s="1"/>
  <c r="C160" i="542"/>
  <c r="G22" i="542"/>
  <c r="C118" i="542" s="1"/>
  <c r="H118" i="542"/>
  <c r="C78" i="542"/>
  <c r="Y78" i="542" s="1"/>
  <c r="AK163" i="4" s="1"/>
  <c r="G57" i="542"/>
  <c r="H153" i="542"/>
  <c r="C65" i="542"/>
  <c r="C161" i="542"/>
  <c r="G15" i="542"/>
  <c r="H111" i="542"/>
  <c r="G28" i="542"/>
  <c r="H124" i="542"/>
  <c r="G33" i="542"/>
  <c r="H129" i="542"/>
  <c r="C55" i="542"/>
  <c r="C151" i="542"/>
  <c r="Y79" i="542"/>
  <c r="AK164" i="4" s="1"/>
  <c r="Y74" i="542"/>
  <c r="AK159" i="4" s="1"/>
  <c r="Y71" i="542"/>
  <c r="AK156" i="4" s="1"/>
  <c r="Y69" i="542"/>
  <c r="AK154" i="4" s="1"/>
  <c r="Y68" i="542"/>
  <c r="AK153" i="4" s="1"/>
  <c r="Y67" i="542"/>
  <c r="AK152" i="4" s="1"/>
  <c r="C22" i="542"/>
  <c r="C32" i="542"/>
  <c r="BB41" i="542"/>
  <c r="BC40" i="542"/>
  <c r="BD41" i="542" s="1"/>
  <c r="H41" i="542" s="1"/>
  <c r="C40" i="542"/>
  <c r="C39" i="542"/>
  <c r="C29" i="542"/>
  <c r="C19" i="542"/>
  <c r="C24" i="542"/>
  <c r="C73" i="542"/>
  <c r="C61" i="542"/>
  <c r="X97" i="4"/>
  <c r="BB97" i="4"/>
  <c r="B135" i="4"/>
  <c r="AL152" i="21" l="1"/>
  <c r="AL152" i="63"/>
  <c r="AK152" i="20"/>
  <c r="AL152" i="102"/>
  <c r="AL152" i="29"/>
  <c r="AK152" i="104"/>
  <c r="AK152" i="314"/>
  <c r="AL152" i="101"/>
  <c r="AL152" i="27"/>
  <c r="AL152" i="23"/>
  <c r="AI152" i="129"/>
  <c r="AL152" i="103"/>
  <c r="AI152" i="22"/>
  <c r="AL152" i="133"/>
  <c r="AL152" i="323"/>
  <c r="AL152" i="18"/>
  <c r="AL152" i="51"/>
  <c r="AL152" i="19"/>
  <c r="AL152" i="26"/>
  <c r="AL152" i="1"/>
  <c r="BA165" i="4"/>
  <c r="AL152" i="25"/>
  <c r="AL152" i="131"/>
  <c r="AJ152" i="3"/>
  <c r="AL144" i="19"/>
  <c r="AL144" i="102"/>
  <c r="AK144" i="314"/>
  <c r="AL144" i="131"/>
  <c r="AJ144" i="3"/>
  <c r="AL144" i="63"/>
  <c r="AL144" i="101"/>
  <c r="AL144" i="23"/>
  <c r="AI144" i="129"/>
  <c r="AL144" i="323"/>
  <c r="BA157" i="4"/>
  <c r="AK144" i="20"/>
  <c r="AL144" i="21"/>
  <c r="AL144" i="27"/>
  <c r="AL144" i="133"/>
  <c r="AL144" i="51"/>
  <c r="AI144" i="22"/>
  <c r="AL144" i="1"/>
  <c r="AL144" i="18"/>
  <c r="AK144" i="104"/>
  <c r="AL144" i="25"/>
  <c r="AL144" i="103"/>
  <c r="AL144" i="29"/>
  <c r="AL144" i="26"/>
  <c r="AL147" i="103"/>
  <c r="AL147" i="51"/>
  <c r="AL147" i="25"/>
  <c r="AL147" i="29"/>
  <c r="AL147" i="63"/>
  <c r="AL147" i="23"/>
  <c r="AL147" i="18"/>
  <c r="AL147" i="131"/>
  <c r="AL147" i="133"/>
  <c r="AK147" i="104"/>
  <c r="AL147" i="19"/>
  <c r="AL147" i="27"/>
  <c r="AL147" i="1"/>
  <c r="AL147" i="323"/>
  <c r="AK147" i="20"/>
  <c r="AL147" i="21"/>
  <c r="AI147" i="129"/>
  <c r="AL147" i="102"/>
  <c r="AK147" i="314"/>
  <c r="BA160" i="4"/>
  <c r="AL147" i="26"/>
  <c r="AL147" i="101"/>
  <c r="AI147" i="22"/>
  <c r="AJ147" i="3"/>
  <c r="AL136" i="103"/>
  <c r="D136" i="103" s="1"/>
  <c r="AI136" i="129"/>
  <c r="D136" i="129" s="1"/>
  <c r="AL136" i="29"/>
  <c r="D136" i="29" s="1"/>
  <c r="AL136" i="18"/>
  <c r="D136" i="18" s="1"/>
  <c r="AL136" i="21"/>
  <c r="D136" i="21" s="1"/>
  <c r="AK136" i="104"/>
  <c r="D136" i="104" s="1"/>
  <c r="AL136" i="63"/>
  <c r="D136" i="63" s="1"/>
  <c r="AL136" i="102"/>
  <c r="D136" i="102" s="1"/>
  <c r="AL136" i="26"/>
  <c r="D136" i="26" s="1"/>
  <c r="BA149" i="4"/>
  <c r="AI136" i="22"/>
  <c r="D136" i="22" s="1"/>
  <c r="AL136" i="323"/>
  <c r="D136" i="323" s="1"/>
  <c r="AL136" i="133"/>
  <c r="D136" i="133" s="1"/>
  <c r="AL136" i="27"/>
  <c r="D136" i="27" s="1"/>
  <c r="AJ136" i="3"/>
  <c r="D136" i="3" s="1"/>
  <c r="AL136" i="19"/>
  <c r="D136" i="19" s="1"/>
  <c r="AL136" i="101"/>
  <c r="D136" i="101" s="1"/>
  <c r="AL136" i="1"/>
  <c r="D136" i="1" s="1"/>
  <c r="AL136" i="51"/>
  <c r="D136" i="51" s="1"/>
  <c r="AK136" i="20"/>
  <c r="D136" i="20" s="1"/>
  <c r="AK136" i="314"/>
  <c r="D136" i="314" s="1"/>
  <c r="AL136" i="23"/>
  <c r="D136" i="23" s="1"/>
  <c r="AL136" i="25"/>
  <c r="D136" i="25" s="1"/>
  <c r="AL136" i="131"/>
  <c r="D136" i="131" s="1"/>
  <c r="AL149" i="131"/>
  <c r="AL149" i="51"/>
  <c r="AL149" i="102"/>
  <c r="AL149" i="21"/>
  <c r="AL149" i="133"/>
  <c r="AL149" i="26"/>
  <c r="AI149" i="129"/>
  <c r="AL149" i="29"/>
  <c r="AL149" i="27"/>
  <c r="AL149" i="1"/>
  <c r="AK149" i="20"/>
  <c r="AL149" i="25"/>
  <c r="AL149" i="103"/>
  <c r="AJ149" i="3"/>
  <c r="AL149" i="19"/>
  <c r="BA162" i="4"/>
  <c r="AL149" i="323"/>
  <c r="AL149" i="63"/>
  <c r="AL149" i="101"/>
  <c r="AK149" i="314"/>
  <c r="AL149" i="18"/>
  <c r="AK149" i="104"/>
  <c r="AL149" i="23"/>
  <c r="AI149" i="22"/>
  <c r="AL140" i="103"/>
  <c r="D140" i="103" s="1"/>
  <c r="AI140" i="22"/>
  <c r="D140" i="22" s="1"/>
  <c r="AL140" i="19"/>
  <c r="D140" i="19" s="1"/>
  <c r="AK140" i="314"/>
  <c r="D140" i="314" s="1"/>
  <c r="AL140" i="1"/>
  <c r="D140" i="1" s="1"/>
  <c r="AI140" i="129"/>
  <c r="D140" i="129" s="1"/>
  <c r="AL140" i="26"/>
  <c r="D140" i="26" s="1"/>
  <c r="AL140" i="63"/>
  <c r="D140" i="63" s="1"/>
  <c r="AL140" i="29"/>
  <c r="D140" i="29" s="1"/>
  <c r="BA153" i="4"/>
  <c r="AK140" i="104"/>
  <c r="D140" i="104" s="1"/>
  <c r="AL140" i="323"/>
  <c r="D140" i="323" s="1"/>
  <c r="AL140" i="131"/>
  <c r="D140" i="131" s="1"/>
  <c r="AL140" i="101"/>
  <c r="D140" i="101" s="1"/>
  <c r="AL140" i="102"/>
  <c r="D140" i="102" s="1"/>
  <c r="AL140" i="51"/>
  <c r="D140" i="51" s="1"/>
  <c r="AL140" i="27"/>
  <c r="D140" i="27" s="1"/>
  <c r="AJ140" i="3"/>
  <c r="D140" i="3" s="1"/>
  <c r="AL140" i="18"/>
  <c r="D140" i="18" s="1"/>
  <c r="AL140" i="25"/>
  <c r="D140" i="25" s="1"/>
  <c r="AK140" i="20"/>
  <c r="D140" i="20" s="1"/>
  <c r="AL140" i="23"/>
  <c r="D140" i="23" s="1"/>
  <c r="AL140" i="21"/>
  <c r="D140" i="21" s="1"/>
  <c r="AL140" i="133"/>
  <c r="D140" i="133" s="1"/>
  <c r="AL141" i="27"/>
  <c r="D141" i="27" s="1"/>
  <c r="AL141" i="21"/>
  <c r="D141" i="21" s="1"/>
  <c r="AK141" i="314"/>
  <c r="D141" i="314" s="1"/>
  <c r="BA154" i="4"/>
  <c r="AL141" i="101"/>
  <c r="D141" i="101" s="1"/>
  <c r="AI141" i="129"/>
  <c r="D141" i="129" s="1"/>
  <c r="AL141" i="63"/>
  <c r="D141" i="63" s="1"/>
  <c r="AL141" i="323"/>
  <c r="D141" i="323" s="1"/>
  <c r="AL141" i="23"/>
  <c r="D141" i="23" s="1"/>
  <c r="AL141" i="51"/>
  <c r="D141" i="51" s="1"/>
  <c r="AK141" i="20"/>
  <c r="D141" i="20" s="1"/>
  <c r="AL141" i="26"/>
  <c r="D141" i="26" s="1"/>
  <c r="AL141" i="131"/>
  <c r="D141" i="131" s="1"/>
  <c r="AL141" i="103"/>
  <c r="D141" i="103" s="1"/>
  <c r="AL141" i="25"/>
  <c r="D141" i="25" s="1"/>
  <c r="AI141" i="22"/>
  <c r="D141" i="22" s="1"/>
  <c r="AL141" i="133"/>
  <c r="D141" i="133" s="1"/>
  <c r="AL141" i="18"/>
  <c r="D141" i="18" s="1"/>
  <c r="AL141" i="102"/>
  <c r="D141" i="102" s="1"/>
  <c r="AK141" i="104"/>
  <c r="D141" i="104" s="1"/>
  <c r="AL141" i="1"/>
  <c r="D141" i="1" s="1"/>
  <c r="AL141" i="19"/>
  <c r="D141" i="19" s="1"/>
  <c r="AJ141" i="3"/>
  <c r="D141" i="3" s="1"/>
  <c r="AL141" i="29"/>
  <c r="D141" i="29" s="1"/>
  <c r="AL150" i="101"/>
  <c r="AL150" i="19"/>
  <c r="AL150" i="21"/>
  <c r="AL150" i="103"/>
  <c r="AJ150" i="3"/>
  <c r="AL150" i="131"/>
  <c r="AK150" i="104"/>
  <c r="AL150" i="102"/>
  <c r="AI150" i="129"/>
  <c r="AL150" i="23"/>
  <c r="AL150" i="27"/>
  <c r="BA163" i="4"/>
  <c r="AL150" i="323"/>
  <c r="AK150" i="314"/>
  <c r="AL150" i="1"/>
  <c r="AL150" i="133"/>
  <c r="AL150" i="63"/>
  <c r="AL150" i="29"/>
  <c r="AL150" i="18"/>
  <c r="AL150" i="51"/>
  <c r="AK150" i="20"/>
  <c r="AI150" i="22"/>
  <c r="AL150" i="25"/>
  <c r="AL150" i="26"/>
  <c r="AL143" i="27"/>
  <c r="AL143" i="18"/>
  <c r="AL143" i="23"/>
  <c r="AL143" i="102"/>
  <c r="AJ143" i="3"/>
  <c r="AL143" i="101"/>
  <c r="AL143" i="133"/>
  <c r="AL143" i="1"/>
  <c r="AL143" i="21"/>
  <c r="AL143" i="103"/>
  <c r="AI143" i="129"/>
  <c r="AL143" i="25"/>
  <c r="AL143" i="63"/>
  <c r="AL143" i="131"/>
  <c r="AL143" i="19"/>
  <c r="AI143" i="22"/>
  <c r="AL143" i="51"/>
  <c r="AK143" i="104"/>
  <c r="AL143" i="29"/>
  <c r="BA156" i="4"/>
  <c r="AL143" i="323"/>
  <c r="AL143" i="26"/>
  <c r="AK143" i="314"/>
  <c r="AK143" i="20"/>
  <c r="AL151" i="133"/>
  <c r="AK151" i="20"/>
  <c r="AL151" i="101"/>
  <c r="AI151" i="22"/>
  <c r="AJ151" i="3"/>
  <c r="AL151" i="131"/>
  <c r="AL151" i="102"/>
  <c r="AI151" i="129"/>
  <c r="AL151" i="19"/>
  <c r="AL151" i="51"/>
  <c r="AL151" i="21"/>
  <c r="AK151" i="104"/>
  <c r="AL151" i="27"/>
  <c r="AL151" i="18"/>
  <c r="AL151" i="25"/>
  <c r="AK151" i="314"/>
  <c r="AL151" i="23"/>
  <c r="AL151" i="103"/>
  <c r="BA164" i="4"/>
  <c r="AL151" i="1"/>
  <c r="AL151" i="29"/>
  <c r="AL151" i="26"/>
  <c r="AL151" i="63"/>
  <c r="AL151" i="323"/>
  <c r="AL142" i="102"/>
  <c r="D142" i="102" s="1"/>
  <c r="AL142" i="1"/>
  <c r="D142" i="1" s="1"/>
  <c r="AL142" i="23"/>
  <c r="D142" i="23" s="1"/>
  <c r="AL142" i="63"/>
  <c r="D142" i="63" s="1"/>
  <c r="AL142" i="18"/>
  <c r="D142" i="18" s="1"/>
  <c r="AL142" i="51"/>
  <c r="D142" i="51" s="1"/>
  <c r="AL142" i="26"/>
  <c r="D142" i="26" s="1"/>
  <c r="AI142" i="129"/>
  <c r="D142" i="129" s="1"/>
  <c r="AK142" i="20"/>
  <c r="D142" i="20" s="1"/>
  <c r="AK142" i="314"/>
  <c r="D142" i="314" s="1"/>
  <c r="AL142" i="27"/>
  <c r="D142" i="27" s="1"/>
  <c r="AI142" i="22"/>
  <c r="D142" i="22" s="1"/>
  <c r="AL142" i="133"/>
  <c r="D142" i="133" s="1"/>
  <c r="AL142" i="323"/>
  <c r="D142" i="323" s="1"/>
  <c r="AL142" i="19"/>
  <c r="D142" i="19" s="1"/>
  <c r="BA155" i="4"/>
  <c r="BA167" i="4" s="1"/>
  <c r="AJ142" i="3"/>
  <c r="D142" i="3" s="1"/>
  <c r="AL142" i="25"/>
  <c r="D142" i="25" s="1"/>
  <c r="AL142" i="21"/>
  <c r="D142" i="21" s="1"/>
  <c r="AL142" i="131"/>
  <c r="D142" i="131" s="1"/>
  <c r="AK142" i="104"/>
  <c r="D142" i="104" s="1"/>
  <c r="AL142" i="101"/>
  <c r="D142" i="101" s="1"/>
  <c r="AL142" i="29"/>
  <c r="D142" i="29" s="1"/>
  <c r="AL142" i="103"/>
  <c r="D142" i="103" s="1"/>
  <c r="BA161" i="4"/>
  <c r="AK148" i="104"/>
  <c r="AI148" i="22"/>
  <c r="AL148" i="23"/>
  <c r="AL148" i="27"/>
  <c r="AL148" i="103"/>
  <c r="AL148" i="51"/>
  <c r="AL148" i="21"/>
  <c r="AL148" i="18"/>
  <c r="AL148" i="101"/>
  <c r="AL148" i="133"/>
  <c r="AL148" i="131"/>
  <c r="AJ148" i="3"/>
  <c r="AL148" i="29"/>
  <c r="AL148" i="26"/>
  <c r="AK148" i="20"/>
  <c r="AI148" i="129"/>
  <c r="AL148" i="19"/>
  <c r="AL148" i="1"/>
  <c r="AL148" i="323"/>
  <c r="AK148" i="314"/>
  <c r="AL148" i="102"/>
  <c r="AL148" i="25"/>
  <c r="AL148" i="63"/>
  <c r="AL138" i="103"/>
  <c r="D138" i="103" s="1"/>
  <c r="AL138" i="102"/>
  <c r="D138" i="102" s="1"/>
  <c r="AL138" i="63"/>
  <c r="D138" i="63" s="1"/>
  <c r="AL138" i="21"/>
  <c r="D138" i="21" s="1"/>
  <c r="AK138" i="104"/>
  <c r="D138" i="104" s="1"/>
  <c r="AL138" i="29"/>
  <c r="D138" i="29" s="1"/>
  <c r="AL138" i="131"/>
  <c r="D138" i="131" s="1"/>
  <c r="AL138" i="19"/>
  <c r="D138" i="19" s="1"/>
  <c r="AL138" i="26"/>
  <c r="D138" i="26" s="1"/>
  <c r="AL138" i="27"/>
  <c r="D138" i="27" s="1"/>
  <c r="AK138" i="20"/>
  <c r="D138" i="20" s="1"/>
  <c r="AI138" i="22"/>
  <c r="D138" i="22" s="1"/>
  <c r="AL138" i="18"/>
  <c r="D138" i="18" s="1"/>
  <c r="AI138" i="129"/>
  <c r="D138" i="129" s="1"/>
  <c r="AK138" i="314"/>
  <c r="D138" i="314" s="1"/>
  <c r="AL138" i="101"/>
  <c r="D138" i="101" s="1"/>
  <c r="AL138" i="323"/>
  <c r="D138" i="323" s="1"/>
  <c r="AJ138" i="3"/>
  <c r="D138" i="3" s="1"/>
  <c r="AL138" i="23"/>
  <c r="D138" i="23" s="1"/>
  <c r="AL138" i="51"/>
  <c r="D138" i="51" s="1"/>
  <c r="AL138" i="133"/>
  <c r="D138" i="133" s="1"/>
  <c r="AL138" i="1"/>
  <c r="D138" i="1" s="1"/>
  <c r="AL138" i="25"/>
  <c r="D138" i="25" s="1"/>
  <c r="BA151" i="4"/>
  <c r="BA159" i="4"/>
  <c r="AL146" i="51"/>
  <c r="AL146" i="21"/>
  <c r="AL146" i="102"/>
  <c r="AI146" i="129"/>
  <c r="AL146" i="23"/>
  <c r="AL146" i="103"/>
  <c r="AL146" i="1"/>
  <c r="AL146" i="19"/>
  <c r="AL146" i="101"/>
  <c r="AJ146" i="3"/>
  <c r="AK146" i="314"/>
  <c r="AL146" i="26"/>
  <c r="AL146" i="63"/>
  <c r="AK146" i="20"/>
  <c r="AL146" i="25"/>
  <c r="AL146" i="131"/>
  <c r="AK146" i="104"/>
  <c r="AL146" i="133"/>
  <c r="AL146" i="27"/>
  <c r="AL146" i="18"/>
  <c r="AI146" i="22"/>
  <c r="AL146" i="29"/>
  <c r="AL146" i="323"/>
  <c r="AM135" i="23"/>
  <c r="E135" i="23" s="1"/>
  <c r="AM135" i="51"/>
  <c r="E135" i="51" s="1"/>
  <c r="AM135" i="101"/>
  <c r="E135" i="101" s="1"/>
  <c r="AM135" i="323"/>
  <c r="E135" i="323" s="1"/>
  <c r="AM135" i="26"/>
  <c r="E135" i="26" s="1"/>
  <c r="AL135" i="20"/>
  <c r="E135" i="20" s="1"/>
  <c r="AM135" i="25"/>
  <c r="E135" i="25" s="1"/>
  <c r="AM135" i="103"/>
  <c r="E135" i="103" s="1"/>
  <c r="AM135" i="63"/>
  <c r="E135" i="63" s="1"/>
  <c r="AM135" i="133"/>
  <c r="E135" i="133" s="1"/>
  <c r="AJ135" i="22"/>
  <c r="E135" i="22" s="1"/>
  <c r="AM135" i="29"/>
  <c r="E135" i="29" s="1"/>
  <c r="AM135" i="27"/>
  <c r="E135" i="27" s="1"/>
  <c r="AJ135" i="129"/>
  <c r="E135" i="129" s="1"/>
  <c r="AM135" i="1"/>
  <c r="E135" i="1" s="1"/>
  <c r="AK135" i="3"/>
  <c r="E135" i="3" s="1"/>
  <c r="AM135" i="19"/>
  <c r="E135" i="19" s="1"/>
  <c r="AM135" i="18"/>
  <c r="E135" i="18" s="1"/>
  <c r="AL135" i="314"/>
  <c r="E135" i="314" s="1"/>
  <c r="AM135" i="102"/>
  <c r="E135" i="102" s="1"/>
  <c r="AM135" i="21"/>
  <c r="E135" i="21" s="1"/>
  <c r="AM135" i="131"/>
  <c r="E135" i="131" s="1"/>
  <c r="AL139" i="103"/>
  <c r="D139" i="103" s="1"/>
  <c r="AK139" i="104"/>
  <c r="D139" i="104" s="1"/>
  <c r="AL139" i="323"/>
  <c r="D139" i="323" s="1"/>
  <c r="AL139" i="26"/>
  <c r="D139" i="26" s="1"/>
  <c r="AL139" i="19"/>
  <c r="D139" i="19" s="1"/>
  <c r="AL139" i="27"/>
  <c r="D139" i="27" s="1"/>
  <c r="AL139" i="133"/>
  <c r="D139" i="133" s="1"/>
  <c r="AL139" i="101"/>
  <c r="D139" i="101" s="1"/>
  <c r="AI139" i="129"/>
  <c r="D139" i="129" s="1"/>
  <c r="AL139" i="29"/>
  <c r="D139" i="29" s="1"/>
  <c r="AL139" i="102"/>
  <c r="D139" i="102" s="1"/>
  <c r="AL139" i="25"/>
  <c r="D139" i="25" s="1"/>
  <c r="AL139" i="18"/>
  <c r="D139" i="18" s="1"/>
  <c r="AL139" i="131"/>
  <c r="D139" i="131" s="1"/>
  <c r="BA152" i="4"/>
  <c r="AI139" i="22"/>
  <c r="D139" i="22" s="1"/>
  <c r="AL139" i="1"/>
  <c r="D139" i="1" s="1"/>
  <c r="AJ139" i="3"/>
  <c r="D139" i="3" s="1"/>
  <c r="AL139" i="51"/>
  <c r="D139" i="51" s="1"/>
  <c r="AK139" i="314"/>
  <c r="D139" i="314" s="1"/>
  <c r="AL139" i="23"/>
  <c r="D139" i="23" s="1"/>
  <c r="AL139" i="63"/>
  <c r="D139" i="63" s="1"/>
  <c r="AK139" i="20"/>
  <c r="D139" i="20" s="1"/>
  <c r="AL139" i="21"/>
  <c r="D139" i="21" s="1"/>
  <c r="C16" i="542"/>
  <c r="C112" i="542"/>
  <c r="AJ147" i="4"/>
  <c r="AL146" i="4"/>
  <c r="C56" i="542"/>
  <c r="C28" i="542"/>
  <c r="C124" i="542"/>
  <c r="C57" i="542"/>
  <c r="C153" i="542"/>
  <c r="C51" i="542"/>
  <c r="C50" i="542"/>
  <c r="C146" i="542"/>
  <c r="C23" i="542"/>
  <c r="C119" i="542"/>
  <c r="C37" i="542"/>
  <c r="C133" i="542"/>
  <c r="C36" i="542"/>
  <c r="C132" i="542"/>
  <c r="C33" i="542"/>
  <c r="C129" i="542"/>
  <c r="C38" i="542"/>
  <c r="C134" i="542"/>
  <c r="C49" i="542"/>
  <c r="C145" i="542"/>
  <c r="AL147" i="4"/>
  <c r="C53" i="542"/>
  <c r="C149" i="542"/>
  <c r="C20" i="542"/>
  <c r="C116" i="542"/>
  <c r="C15" i="542"/>
  <c r="C111" i="542"/>
  <c r="Y65" i="542"/>
  <c r="AK150" i="4" s="1"/>
  <c r="C14" i="542"/>
  <c r="C110" i="542"/>
  <c r="C58" i="542"/>
  <c r="C154" i="542"/>
  <c r="AJ148" i="4"/>
  <c r="C52" i="542"/>
  <c r="C148" i="542"/>
  <c r="C21" i="542"/>
  <c r="C117" i="542"/>
  <c r="C13" i="542"/>
  <c r="C109" i="542"/>
  <c r="C26" i="542"/>
  <c r="C41" i="542"/>
  <c r="D137" i="542"/>
  <c r="Y63" i="542"/>
  <c r="AK148" i="4" s="1"/>
  <c r="AJ146" i="4"/>
  <c r="C18" i="542"/>
  <c r="C114" i="542"/>
  <c r="Y73" i="542"/>
  <c r="AK158" i="4" s="1"/>
  <c r="Y62" i="542"/>
  <c r="AK147" i="4" s="1"/>
  <c r="Y61" i="542"/>
  <c r="AK146" i="4" s="1"/>
  <c r="AJ145" i="4"/>
  <c r="BS97" i="4"/>
  <c r="BR97" i="4" s="1"/>
  <c r="BB42" i="542"/>
  <c r="BC41" i="542"/>
  <c r="BD42" i="542" s="1"/>
  <c r="H42" i="542" s="1"/>
  <c r="S112" i="3"/>
  <c r="AK132" i="133" l="1"/>
  <c r="C132" i="133" s="1"/>
  <c r="AH132" i="22"/>
  <c r="C132" i="22" s="1"/>
  <c r="AK132" i="19"/>
  <c r="C132" i="19" s="1"/>
  <c r="AK132" i="27"/>
  <c r="C132" i="27" s="1"/>
  <c r="AK132" i="1"/>
  <c r="C132" i="1" s="1"/>
  <c r="AK132" i="21"/>
  <c r="C132" i="21" s="1"/>
  <c r="AK132" i="23"/>
  <c r="C132" i="23" s="1"/>
  <c r="AK132" i="29"/>
  <c r="C132" i="29" s="1"/>
  <c r="AK132" i="25"/>
  <c r="C132" i="25" s="1"/>
  <c r="AK132" i="51"/>
  <c r="C132" i="51" s="1"/>
  <c r="AK132" i="323"/>
  <c r="C132" i="323" s="1"/>
  <c r="AK132" i="26"/>
  <c r="C132" i="26" s="1"/>
  <c r="AK132" i="131"/>
  <c r="C132" i="131" s="1"/>
  <c r="AK132" i="101"/>
  <c r="C132" i="101" s="1"/>
  <c r="AI132" i="3"/>
  <c r="C132" i="3" s="1"/>
  <c r="AK132" i="102"/>
  <c r="C132" i="102" s="1"/>
  <c r="AK132" i="63"/>
  <c r="C132" i="63" s="1"/>
  <c r="AH132" i="129"/>
  <c r="C132" i="129" s="1"/>
  <c r="AK132" i="18"/>
  <c r="C132" i="18" s="1"/>
  <c r="AJ132" i="20"/>
  <c r="C132" i="20" s="1"/>
  <c r="AJ132" i="314"/>
  <c r="C132" i="314" s="1"/>
  <c r="AM133" i="26"/>
  <c r="E133" i="26" s="1"/>
  <c r="AM133" i="21"/>
  <c r="E133" i="21" s="1"/>
  <c r="AK133" i="3"/>
  <c r="E133" i="3" s="1"/>
  <c r="AM133" i="29"/>
  <c r="E133" i="29" s="1"/>
  <c r="AM133" i="18"/>
  <c r="E133" i="18" s="1"/>
  <c r="AM133" i="323"/>
  <c r="E133" i="323" s="1"/>
  <c r="AM133" i="103"/>
  <c r="E133" i="103" s="1"/>
  <c r="AM133" i="63"/>
  <c r="E133" i="63" s="1"/>
  <c r="AM133" i="102"/>
  <c r="E133" i="102" s="1"/>
  <c r="AM133" i="19"/>
  <c r="E133" i="19" s="1"/>
  <c r="AM133" i="131"/>
  <c r="E133" i="131" s="1"/>
  <c r="AM133" i="27"/>
  <c r="E133" i="27" s="1"/>
  <c r="AJ133" i="22"/>
  <c r="E133" i="22" s="1"/>
  <c r="AL133" i="314"/>
  <c r="E133" i="314" s="1"/>
  <c r="AM133" i="133"/>
  <c r="E133" i="133" s="1"/>
  <c r="AM133" i="51"/>
  <c r="E133" i="51" s="1"/>
  <c r="AJ133" i="129"/>
  <c r="E133" i="129" s="1"/>
  <c r="AL133" i="20"/>
  <c r="E133" i="20" s="1"/>
  <c r="AM133" i="25"/>
  <c r="E133" i="25" s="1"/>
  <c r="AM133" i="23"/>
  <c r="E133" i="23" s="1"/>
  <c r="AM133" i="101"/>
  <c r="E133" i="101" s="1"/>
  <c r="AM133" i="1"/>
  <c r="E133" i="1" s="1"/>
  <c r="AK133" i="51"/>
  <c r="C133" i="51" s="1"/>
  <c r="AK133" i="25"/>
  <c r="C133" i="25" s="1"/>
  <c r="AK133" i="323"/>
  <c r="C133" i="323" s="1"/>
  <c r="AK133" i="133"/>
  <c r="C133" i="133" s="1"/>
  <c r="AK133" i="102"/>
  <c r="C133" i="102" s="1"/>
  <c r="AK133" i="1"/>
  <c r="C133" i="1" s="1"/>
  <c r="AJ133" i="314"/>
  <c r="C133" i="314" s="1"/>
  <c r="AK133" i="101"/>
  <c r="C133" i="101" s="1"/>
  <c r="AK133" i="29"/>
  <c r="C133" i="29" s="1"/>
  <c r="AK133" i="18"/>
  <c r="C133" i="18" s="1"/>
  <c r="AK133" i="26"/>
  <c r="C133" i="26" s="1"/>
  <c r="AH133" i="129"/>
  <c r="C133" i="129" s="1"/>
  <c r="AK133" i="23"/>
  <c r="C133" i="23" s="1"/>
  <c r="AH133" i="22"/>
  <c r="C133" i="22" s="1"/>
  <c r="AK133" i="19"/>
  <c r="C133" i="19" s="1"/>
  <c r="AK133" i="131"/>
  <c r="C133" i="131" s="1"/>
  <c r="AK133" i="21"/>
  <c r="C133" i="21" s="1"/>
  <c r="AJ133" i="20"/>
  <c r="C133" i="20" s="1"/>
  <c r="AK133" i="63"/>
  <c r="C133" i="63" s="1"/>
  <c r="AK133" i="27"/>
  <c r="C133" i="27" s="1"/>
  <c r="AI133" i="3"/>
  <c r="C133" i="3" s="1"/>
  <c r="AL133" i="26"/>
  <c r="D133" i="26" s="1"/>
  <c r="AL133" i="63"/>
  <c r="D133" i="63" s="1"/>
  <c r="AL133" i="25"/>
  <c r="D133" i="25" s="1"/>
  <c r="AL133" i="103"/>
  <c r="D133" i="103" s="1"/>
  <c r="AI133" i="129"/>
  <c r="D133" i="129" s="1"/>
  <c r="AL133" i="21"/>
  <c r="D133" i="21" s="1"/>
  <c r="AL133" i="133"/>
  <c r="D133" i="133" s="1"/>
  <c r="BA146" i="4"/>
  <c r="AL133" i="27"/>
  <c r="D133" i="27" s="1"/>
  <c r="AI133" i="22"/>
  <c r="D133" i="22" s="1"/>
  <c r="AK133" i="20"/>
  <c r="D133" i="20" s="1"/>
  <c r="AL133" i="51"/>
  <c r="D133" i="51" s="1"/>
  <c r="AL133" i="23"/>
  <c r="D133" i="23" s="1"/>
  <c r="AL133" i="19"/>
  <c r="D133" i="19" s="1"/>
  <c r="AL133" i="29"/>
  <c r="D133" i="29" s="1"/>
  <c r="AL133" i="131"/>
  <c r="D133" i="131" s="1"/>
  <c r="AL133" i="1"/>
  <c r="D133" i="1" s="1"/>
  <c r="AL133" i="323"/>
  <c r="D133" i="323" s="1"/>
  <c r="AL133" i="101"/>
  <c r="D133" i="101" s="1"/>
  <c r="AJ133" i="3"/>
  <c r="D133" i="3" s="1"/>
  <c r="AK133" i="104"/>
  <c r="D133" i="104" s="1"/>
  <c r="AL133" i="18"/>
  <c r="D133" i="18" s="1"/>
  <c r="AL133" i="102"/>
  <c r="D133" i="102" s="1"/>
  <c r="AK133" i="314"/>
  <c r="D133" i="314" s="1"/>
  <c r="AL135" i="27"/>
  <c r="D135" i="27" s="1"/>
  <c r="AL135" i="29"/>
  <c r="D135" i="29" s="1"/>
  <c r="AL135" i="101"/>
  <c r="D135" i="101" s="1"/>
  <c r="AL135" i="63"/>
  <c r="D135" i="63" s="1"/>
  <c r="AL135" i="23"/>
  <c r="D135" i="23" s="1"/>
  <c r="AL135" i="133"/>
  <c r="D135" i="133" s="1"/>
  <c r="AI135" i="22"/>
  <c r="D135" i="22" s="1"/>
  <c r="AK135" i="20"/>
  <c r="D135" i="20" s="1"/>
  <c r="AL135" i="102"/>
  <c r="D135" i="102" s="1"/>
  <c r="AL135" i="1"/>
  <c r="D135" i="1" s="1"/>
  <c r="AL135" i="19"/>
  <c r="D135" i="19" s="1"/>
  <c r="AL135" i="103"/>
  <c r="D135" i="103" s="1"/>
  <c r="AL135" i="131"/>
  <c r="D135" i="131" s="1"/>
  <c r="AJ135" i="3"/>
  <c r="D135" i="3" s="1"/>
  <c r="AK135" i="314"/>
  <c r="D135" i="314" s="1"/>
  <c r="BA148" i="4"/>
  <c r="AK135" i="104"/>
  <c r="D135" i="104" s="1"/>
  <c r="AI135" i="129"/>
  <c r="D135" i="129" s="1"/>
  <c r="AL135" i="51"/>
  <c r="D135" i="51" s="1"/>
  <c r="AL135" i="18"/>
  <c r="D135" i="18" s="1"/>
  <c r="AL135" i="21"/>
  <c r="D135" i="21" s="1"/>
  <c r="AL135" i="26"/>
  <c r="D135" i="26" s="1"/>
  <c r="AL135" i="323"/>
  <c r="D135" i="323" s="1"/>
  <c r="AL135" i="25"/>
  <c r="D135" i="25" s="1"/>
  <c r="AK135" i="1"/>
  <c r="C135" i="1" s="1"/>
  <c r="AK135" i="29"/>
  <c r="C135" i="29" s="1"/>
  <c r="AK135" i="63"/>
  <c r="C135" i="63" s="1"/>
  <c r="AK135" i="21"/>
  <c r="C135" i="21" s="1"/>
  <c r="AJ135" i="20"/>
  <c r="C135" i="20" s="1"/>
  <c r="AK135" i="101"/>
  <c r="C135" i="101" s="1"/>
  <c r="AK135" i="51"/>
  <c r="C135" i="51" s="1"/>
  <c r="AK135" i="26"/>
  <c r="C135" i="26" s="1"/>
  <c r="AK135" i="133"/>
  <c r="C135" i="133" s="1"/>
  <c r="AI135" i="3"/>
  <c r="C135" i="3" s="1"/>
  <c r="AK135" i="27"/>
  <c r="C135" i="27" s="1"/>
  <c r="AH135" i="129"/>
  <c r="C135" i="129" s="1"/>
  <c r="AK135" i="23"/>
  <c r="C135" i="23" s="1"/>
  <c r="AK135" i="25"/>
  <c r="C135" i="25" s="1"/>
  <c r="AK135" i="102"/>
  <c r="C135" i="102" s="1"/>
  <c r="AJ135" i="314"/>
  <c r="C135" i="314" s="1"/>
  <c r="AK135" i="19"/>
  <c r="C135" i="19" s="1"/>
  <c r="AK135" i="323"/>
  <c r="C135" i="323" s="1"/>
  <c r="AK135" i="131"/>
  <c r="C135" i="131" s="1"/>
  <c r="AH135" i="22"/>
  <c r="C135" i="22" s="1"/>
  <c r="AK135" i="18"/>
  <c r="C135" i="18" s="1"/>
  <c r="AM134" i="133"/>
  <c r="E134" i="133" s="1"/>
  <c r="AM134" i="103"/>
  <c r="E134" i="103" s="1"/>
  <c r="AL134" i="20"/>
  <c r="E134" i="20" s="1"/>
  <c r="AM134" i="19"/>
  <c r="E134" i="19" s="1"/>
  <c r="AM134" i="18"/>
  <c r="E134" i="18" s="1"/>
  <c r="AK134" i="3"/>
  <c r="E134" i="3" s="1"/>
  <c r="AM134" i="21"/>
  <c r="E134" i="21" s="1"/>
  <c r="AM134" i="102"/>
  <c r="E134" i="102" s="1"/>
  <c r="AL134" i="314"/>
  <c r="E134" i="314" s="1"/>
  <c r="AM134" i="1"/>
  <c r="E134" i="1" s="1"/>
  <c r="AM134" i="25"/>
  <c r="E134" i="25" s="1"/>
  <c r="AM134" i="131"/>
  <c r="E134" i="131" s="1"/>
  <c r="AM134" i="51"/>
  <c r="E134" i="51" s="1"/>
  <c r="AM134" i="101"/>
  <c r="E134" i="101" s="1"/>
  <c r="AJ134" i="129"/>
  <c r="E134" i="129" s="1"/>
  <c r="AJ134" i="22"/>
  <c r="E134" i="22" s="1"/>
  <c r="AM134" i="23"/>
  <c r="E134" i="23" s="1"/>
  <c r="AM134" i="63"/>
  <c r="E134" i="63" s="1"/>
  <c r="AM134" i="29"/>
  <c r="E134" i="29" s="1"/>
  <c r="AM134" i="323"/>
  <c r="E134" i="323" s="1"/>
  <c r="AM134" i="26"/>
  <c r="E134" i="26" s="1"/>
  <c r="AM134" i="27"/>
  <c r="E134" i="27" s="1"/>
  <c r="AL134" i="102"/>
  <c r="D134" i="102" s="1"/>
  <c r="AL134" i="51"/>
  <c r="D134" i="51" s="1"/>
  <c r="AL134" i="26"/>
  <c r="D134" i="26" s="1"/>
  <c r="AL134" i="131"/>
  <c r="D134" i="131" s="1"/>
  <c r="AL134" i="323"/>
  <c r="D134" i="323" s="1"/>
  <c r="AL134" i="27"/>
  <c r="D134" i="27" s="1"/>
  <c r="AL134" i="29"/>
  <c r="D134" i="29" s="1"/>
  <c r="AL134" i="21"/>
  <c r="D134" i="21" s="1"/>
  <c r="AI134" i="22"/>
  <c r="D134" i="22" s="1"/>
  <c r="AJ134" i="3"/>
  <c r="D134" i="3" s="1"/>
  <c r="AL134" i="133"/>
  <c r="D134" i="133" s="1"/>
  <c r="AL134" i="63"/>
  <c r="D134" i="63" s="1"/>
  <c r="AK134" i="314"/>
  <c r="D134" i="314" s="1"/>
  <c r="BA147" i="4"/>
  <c r="AL134" i="18"/>
  <c r="D134" i="18" s="1"/>
  <c r="AK134" i="20"/>
  <c r="D134" i="20" s="1"/>
  <c r="AK134" i="104"/>
  <c r="D134" i="104" s="1"/>
  <c r="AL134" i="101"/>
  <c r="D134" i="101" s="1"/>
  <c r="AI134" i="129"/>
  <c r="D134" i="129" s="1"/>
  <c r="AL134" i="1"/>
  <c r="D134" i="1" s="1"/>
  <c r="AL134" i="23"/>
  <c r="D134" i="23" s="1"/>
  <c r="AL134" i="19"/>
  <c r="D134" i="19" s="1"/>
  <c r="AL134" i="25"/>
  <c r="D134" i="25" s="1"/>
  <c r="AL134" i="103"/>
  <c r="D134" i="103" s="1"/>
  <c r="AL137" i="51"/>
  <c r="D137" i="51" s="1"/>
  <c r="AL137" i="1"/>
  <c r="D137" i="1" s="1"/>
  <c r="AL137" i="131"/>
  <c r="D137" i="131" s="1"/>
  <c r="AL137" i="103"/>
  <c r="D137" i="103" s="1"/>
  <c r="AI137" i="22"/>
  <c r="D137" i="22" s="1"/>
  <c r="AL137" i="63"/>
  <c r="D137" i="63" s="1"/>
  <c r="AL137" i="102"/>
  <c r="D137" i="102" s="1"/>
  <c r="AL137" i="18"/>
  <c r="D137" i="18" s="1"/>
  <c r="AL137" i="25"/>
  <c r="D137" i="25" s="1"/>
  <c r="AK137" i="20"/>
  <c r="D137" i="20" s="1"/>
  <c r="AL137" i="23"/>
  <c r="D137" i="23" s="1"/>
  <c r="BA150" i="4"/>
  <c r="AK137" i="104"/>
  <c r="D137" i="104" s="1"/>
  <c r="AL137" i="323"/>
  <c r="D137" i="323" s="1"/>
  <c r="AL137" i="101"/>
  <c r="D137" i="101" s="1"/>
  <c r="AL137" i="29"/>
  <c r="D137" i="29" s="1"/>
  <c r="AL137" i="21"/>
  <c r="D137" i="21" s="1"/>
  <c r="AL137" i="27"/>
  <c r="D137" i="27" s="1"/>
  <c r="AL137" i="26"/>
  <c r="D137" i="26" s="1"/>
  <c r="AL137" i="133"/>
  <c r="D137" i="133" s="1"/>
  <c r="AJ137" i="3"/>
  <c r="D137" i="3" s="1"/>
  <c r="AI137" i="129"/>
  <c r="D137" i="129" s="1"/>
  <c r="AK137" i="314"/>
  <c r="D137" i="314" s="1"/>
  <c r="AL137" i="19"/>
  <c r="D137" i="19" s="1"/>
  <c r="AK145" i="20"/>
  <c r="AL145" i="101"/>
  <c r="AL145" i="51"/>
  <c r="AL145" i="63"/>
  <c r="AI145" i="22"/>
  <c r="AL145" i="1"/>
  <c r="AL145" i="27"/>
  <c r="BA158" i="4"/>
  <c r="AK145" i="104"/>
  <c r="AJ145" i="3"/>
  <c r="AL145" i="21"/>
  <c r="AL145" i="131"/>
  <c r="AI145" i="129"/>
  <c r="AK145" i="314"/>
  <c r="AL145" i="102"/>
  <c r="AL145" i="29"/>
  <c r="AL145" i="25"/>
  <c r="AL145" i="18"/>
  <c r="AL145" i="23"/>
  <c r="AL145" i="19"/>
  <c r="AL145" i="323"/>
  <c r="AL145" i="26"/>
  <c r="AL145" i="133"/>
  <c r="AL145" i="103"/>
  <c r="AK134" i="133"/>
  <c r="C134" i="133" s="1"/>
  <c r="AH134" i="22"/>
  <c r="C134" i="22" s="1"/>
  <c r="AK134" i="63"/>
  <c r="C134" i="63" s="1"/>
  <c r="AK134" i="23"/>
  <c r="C134" i="23" s="1"/>
  <c r="AI134" i="3"/>
  <c r="C134" i="3" s="1"/>
  <c r="AJ134" i="20"/>
  <c r="C134" i="20" s="1"/>
  <c r="AK134" i="25"/>
  <c r="C134" i="25" s="1"/>
  <c r="AK134" i="101"/>
  <c r="C134" i="101" s="1"/>
  <c r="AK134" i="18"/>
  <c r="C134" i="18" s="1"/>
  <c r="AK134" i="29"/>
  <c r="C134" i="29" s="1"/>
  <c r="AK134" i="51"/>
  <c r="C134" i="51" s="1"/>
  <c r="AK134" i="131"/>
  <c r="C134" i="131" s="1"/>
  <c r="AK134" i="19"/>
  <c r="C134" i="19" s="1"/>
  <c r="AK134" i="27"/>
  <c r="C134" i="27" s="1"/>
  <c r="AH134" i="129"/>
  <c r="C134" i="129" s="1"/>
  <c r="AK134" i="1"/>
  <c r="C134" i="1" s="1"/>
  <c r="AK134" i="323"/>
  <c r="C134" i="323" s="1"/>
  <c r="AK134" i="21"/>
  <c r="C134" i="21" s="1"/>
  <c r="AJ134" i="314"/>
  <c r="C134" i="314" s="1"/>
  <c r="AK134" i="26"/>
  <c r="C134" i="26" s="1"/>
  <c r="AK134" i="102"/>
  <c r="C134" i="102" s="1"/>
  <c r="C42" i="542"/>
  <c r="D138" i="542"/>
  <c r="Y58" i="542"/>
  <c r="D58" i="542"/>
  <c r="AL145" i="4"/>
  <c r="AJ144" i="4"/>
  <c r="BB43" i="542"/>
  <c r="BC42" i="542"/>
  <c r="BD43" i="542" s="1"/>
  <c r="H43" i="542" s="1"/>
  <c r="AK131" i="27" l="1"/>
  <c r="C131" i="27" s="1"/>
  <c r="AK131" i="131"/>
  <c r="C131" i="131" s="1"/>
  <c r="AK131" i="26"/>
  <c r="C131" i="26" s="1"/>
  <c r="AI131" i="3"/>
  <c r="C131" i="3" s="1"/>
  <c r="AK131" i="63"/>
  <c r="C131" i="63" s="1"/>
  <c r="AK131" i="18"/>
  <c r="C131" i="18" s="1"/>
  <c r="AK131" i="21"/>
  <c r="C131" i="21" s="1"/>
  <c r="AJ131" i="314"/>
  <c r="C131" i="314" s="1"/>
  <c r="AK131" i="51"/>
  <c r="C131" i="51" s="1"/>
  <c r="AK131" i="323"/>
  <c r="C131" i="323" s="1"/>
  <c r="AH131" i="129"/>
  <c r="C131" i="129" s="1"/>
  <c r="AK131" i="133"/>
  <c r="C131" i="133" s="1"/>
  <c r="AK131" i="1"/>
  <c r="AH131" i="22"/>
  <c r="C131" i="22" s="1"/>
  <c r="AJ131" i="20"/>
  <c r="C131" i="20" s="1"/>
  <c r="AK131" i="101"/>
  <c r="C131" i="101" s="1"/>
  <c r="AK131" i="29"/>
  <c r="C131" i="29" s="1"/>
  <c r="AK131" i="23"/>
  <c r="C131" i="23" s="1"/>
  <c r="AK131" i="25"/>
  <c r="C131" i="25" s="1"/>
  <c r="AK131" i="102"/>
  <c r="C131" i="102" s="1"/>
  <c r="AK131" i="19"/>
  <c r="C131" i="19" s="1"/>
  <c r="AM132" i="26"/>
  <c r="E132" i="26" s="1"/>
  <c r="AJ132" i="22"/>
  <c r="E132" i="22" s="1"/>
  <c r="AM132" i="323"/>
  <c r="E132" i="323" s="1"/>
  <c r="AL132" i="314"/>
  <c r="E132" i="314" s="1"/>
  <c r="AM132" i="1"/>
  <c r="E132" i="1" s="1"/>
  <c r="AM132" i="19"/>
  <c r="E132" i="19" s="1"/>
  <c r="AM132" i="27"/>
  <c r="E132" i="27" s="1"/>
  <c r="AM132" i="51"/>
  <c r="E132" i="51" s="1"/>
  <c r="AM132" i="23"/>
  <c r="E132" i="23" s="1"/>
  <c r="AM132" i="103"/>
  <c r="E132" i="103" s="1"/>
  <c r="AM132" i="133"/>
  <c r="E132" i="133" s="1"/>
  <c r="AM132" i="29"/>
  <c r="E132" i="29" s="1"/>
  <c r="AM132" i="25"/>
  <c r="E132" i="25" s="1"/>
  <c r="AM132" i="102"/>
  <c r="E132" i="102" s="1"/>
  <c r="AM132" i="18"/>
  <c r="E132" i="18" s="1"/>
  <c r="AM132" i="21"/>
  <c r="E132" i="21" s="1"/>
  <c r="AL132" i="20"/>
  <c r="E132" i="20" s="1"/>
  <c r="AM132" i="131"/>
  <c r="E132" i="131" s="1"/>
  <c r="AM132" i="101"/>
  <c r="E132" i="101" s="1"/>
  <c r="AM132" i="63"/>
  <c r="E132" i="63" s="1"/>
  <c r="AJ132" i="129"/>
  <c r="E132" i="129" s="1"/>
  <c r="AK132" i="3"/>
  <c r="E132" i="3" s="1"/>
  <c r="E58" i="542"/>
  <c r="AA58" i="542" s="1"/>
  <c r="Z58" i="542"/>
  <c r="C43" i="542"/>
  <c r="D139" i="542"/>
  <c r="AL144" i="4"/>
  <c r="BB44" i="542"/>
  <c r="BC43" i="542"/>
  <c r="BD44" i="542" s="1"/>
  <c r="H44" i="542" s="1"/>
  <c r="C131" i="1" l="1"/>
  <c r="AM131" i="25"/>
  <c r="E131" i="25" s="1"/>
  <c r="AJ131" i="129"/>
  <c r="E131" i="129" s="1"/>
  <c r="AM131" i="23"/>
  <c r="E131" i="23" s="1"/>
  <c r="AM131" i="103"/>
  <c r="E131" i="103" s="1"/>
  <c r="AM131" i="1"/>
  <c r="E131" i="1" s="1"/>
  <c r="AM131" i="18"/>
  <c r="E131" i="18" s="1"/>
  <c r="AK131" i="3"/>
  <c r="E131" i="3" s="1"/>
  <c r="AM131" i="26"/>
  <c r="E131" i="26" s="1"/>
  <c r="AM131" i="323"/>
  <c r="E131" i="323" s="1"/>
  <c r="AM131" i="27"/>
  <c r="E131" i="27" s="1"/>
  <c r="AM131" i="101"/>
  <c r="E131" i="101" s="1"/>
  <c r="AJ131" i="22"/>
  <c r="E131" i="22" s="1"/>
  <c r="AM131" i="29"/>
  <c r="E131" i="29" s="1"/>
  <c r="AM131" i="133"/>
  <c r="E131" i="133" s="1"/>
  <c r="AM131" i="131"/>
  <c r="E131" i="131" s="1"/>
  <c r="AL131" i="20"/>
  <c r="E131" i="20" s="1"/>
  <c r="AM131" i="102"/>
  <c r="E131" i="102" s="1"/>
  <c r="AM131" i="21"/>
  <c r="E131" i="21" s="1"/>
  <c r="AL131" i="314"/>
  <c r="E131" i="314" s="1"/>
  <c r="AM131" i="51"/>
  <c r="E131" i="51" s="1"/>
  <c r="AM131" i="63"/>
  <c r="E131" i="63" s="1"/>
  <c r="AM131" i="19"/>
  <c r="E131" i="19" s="1"/>
  <c r="C44" i="542"/>
  <c r="D140" i="542"/>
  <c r="BB45" i="542"/>
  <c r="BC44" i="542"/>
  <c r="BD45" i="542" s="1"/>
  <c r="H45" i="542" s="1"/>
  <c r="AD64" i="2"/>
  <c r="AB96" i="63" s="1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6" i="2"/>
  <c r="AD37" i="2"/>
  <c r="AD38" i="2"/>
  <c r="AD5" i="2"/>
  <c r="AE64" i="2"/>
  <c r="AE39" i="2"/>
  <c r="AR96" i="63" l="1"/>
  <c r="AB97" i="63"/>
  <c r="C45" i="542"/>
  <c r="D141" i="542"/>
  <c r="BB46" i="542"/>
  <c r="BC45" i="542"/>
  <c r="BD46" i="542" s="1"/>
  <c r="H46" i="542" s="1"/>
  <c r="AT97" i="104"/>
  <c r="AU97" i="133"/>
  <c r="AT97" i="102"/>
  <c r="BB97" i="101"/>
  <c r="AT97" i="27"/>
  <c r="AT97" i="26"/>
  <c r="AT97" i="25"/>
  <c r="AU97" i="131"/>
  <c r="AU97" i="23"/>
  <c r="AN97" i="314"/>
  <c r="AU97" i="21"/>
  <c r="AU98" i="21" s="1"/>
  <c r="AU97" i="20"/>
  <c r="AU98" i="20" s="1"/>
  <c r="AU97" i="19"/>
  <c r="AX97" i="29"/>
  <c r="AU97" i="323"/>
  <c r="AU98" i="323" s="1"/>
  <c r="AU74" i="323"/>
  <c r="AU75" i="323"/>
  <c r="AU76" i="323"/>
  <c r="AU77" i="323"/>
  <c r="AU78" i="323"/>
  <c r="AU79" i="323"/>
  <c r="AU80" i="323"/>
  <c r="AU81" i="323"/>
  <c r="AU82" i="323"/>
  <c r="AU83" i="323"/>
  <c r="AU84" i="323"/>
  <c r="AU85" i="323"/>
  <c r="AU86" i="323"/>
  <c r="AU87" i="323"/>
  <c r="AU88" i="323"/>
  <c r="AU89" i="323"/>
  <c r="AU90" i="323"/>
  <c r="AU91" i="323"/>
  <c r="AU92" i="323"/>
  <c r="AU93" i="323"/>
  <c r="AU94" i="323"/>
  <c r="AU95" i="323"/>
  <c r="AU96" i="323"/>
  <c r="AW97" i="63"/>
  <c r="AX97" i="18"/>
  <c r="AU97" i="51"/>
  <c r="AU97" i="3"/>
  <c r="AV97" i="104" l="1"/>
  <c r="BI97" i="104" s="1"/>
  <c r="AT98" i="104"/>
  <c r="AT99" i="104" s="1"/>
  <c r="AT100" i="104" s="1"/>
  <c r="AT101" i="104" s="1"/>
  <c r="AT102" i="104" s="1"/>
  <c r="AT103" i="104" s="1"/>
  <c r="AT104" i="104" s="1"/>
  <c r="AT105" i="104" s="1"/>
  <c r="AT106" i="104" s="1"/>
  <c r="AT107" i="104" s="1"/>
  <c r="AT108" i="104" s="1"/>
  <c r="AT109" i="104" s="1"/>
  <c r="AW97" i="133"/>
  <c r="AU98" i="133"/>
  <c r="AU99" i="133" s="1"/>
  <c r="AU100" i="133" s="1"/>
  <c r="AU101" i="133" s="1"/>
  <c r="AU102" i="133" s="1"/>
  <c r="AU103" i="133" s="1"/>
  <c r="AU104" i="133" s="1"/>
  <c r="AU105" i="133" s="1"/>
  <c r="AU106" i="133" s="1"/>
  <c r="AU107" i="133" s="1"/>
  <c r="AU108" i="133" s="1"/>
  <c r="AU109" i="133" s="1"/>
  <c r="P130" i="133"/>
  <c r="AT98" i="102"/>
  <c r="P130" i="102"/>
  <c r="BB98" i="101"/>
  <c r="P130" i="101"/>
  <c r="AT98" i="27"/>
  <c r="P130" i="27"/>
  <c r="AT98" i="26"/>
  <c r="P130" i="26"/>
  <c r="AT98" i="25"/>
  <c r="P130" i="25"/>
  <c r="AU98" i="131"/>
  <c r="P130" i="131"/>
  <c r="AU98" i="23"/>
  <c r="P130" i="23"/>
  <c r="AN98" i="314"/>
  <c r="P130" i="314"/>
  <c r="AU99" i="21"/>
  <c r="AU99" i="20"/>
  <c r="AU98" i="19"/>
  <c r="P130" i="19"/>
  <c r="AZ97" i="29"/>
  <c r="AX98" i="29"/>
  <c r="P130" i="29"/>
  <c r="AU99" i="323"/>
  <c r="P130" i="63"/>
  <c r="AY97" i="63"/>
  <c r="AW98" i="63"/>
  <c r="AX98" i="18"/>
  <c r="P130" i="18"/>
  <c r="AU98" i="51"/>
  <c r="AU98" i="3"/>
  <c r="AW97" i="3"/>
  <c r="U130" i="3" s="1"/>
  <c r="AY97" i="3"/>
  <c r="AW97" i="51"/>
  <c r="Y130" i="51" s="1"/>
  <c r="AY97" i="51"/>
  <c r="AZ97" i="18"/>
  <c r="BB97" i="18"/>
  <c r="BJ97" i="29"/>
  <c r="Y130" i="29"/>
  <c r="U130" i="29"/>
  <c r="BK97" i="63"/>
  <c r="AR97" i="63"/>
  <c r="AF97" i="63"/>
  <c r="AT97" i="63" s="1"/>
  <c r="AW97" i="19"/>
  <c r="AY97" i="19"/>
  <c r="P130" i="20"/>
  <c r="P131" i="20" s="1"/>
  <c r="AW97" i="20"/>
  <c r="AW97" i="21"/>
  <c r="AY97" i="21"/>
  <c r="AW97" i="23"/>
  <c r="AY97" i="23"/>
  <c r="AW97" i="131"/>
  <c r="AY97" i="131"/>
  <c r="AV97" i="25"/>
  <c r="AX97" i="25"/>
  <c r="AV97" i="26"/>
  <c r="AX97" i="26"/>
  <c r="AY97" i="26" s="1"/>
  <c r="AV97" i="27"/>
  <c r="AX97" i="27"/>
  <c r="BD97" i="101"/>
  <c r="U130" i="101" s="1"/>
  <c r="BF97" i="101"/>
  <c r="C46" i="542"/>
  <c r="D142" i="542"/>
  <c r="AV97" i="102"/>
  <c r="AX97" i="102"/>
  <c r="AW97" i="323"/>
  <c r="AY97" i="133"/>
  <c r="BB47" i="542"/>
  <c r="BC46" i="542"/>
  <c r="B57" i="196"/>
  <c r="H85" i="196"/>
  <c r="Y130" i="3" l="1"/>
  <c r="AC130" i="3"/>
  <c r="BK97" i="133"/>
  <c r="U130" i="133"/>
  <c r="Y130" i="133"/>
  <c r="BF97" i="102"/>
  <c r="Y130" i="102"/>
  <c r="AT99" i="102"/>
  <c r="BB99" i="101"/>
  <c r="Y130" i="27"/>
  <c r="U130" i="27"/>
  <c r="AT99" i="27"/>
  <c r="BG97" i="26"/>
  <c r="U130" i="26"/>
  <c r="Y130" i="26"/>
  <c r="AT99" i="26"/>
  <c r="BG97" i="25"/>
  <c r="Y130" i="25"/>
  <c r="U130" i="25"/>
  <c r="AY97" i="25"/>
  <c r="AT99" i="25"/>
  <c r="Y130" i="131"/>
  <c r="U130" i="131"/>
  <c r="AU99" i="131"/>
  <c r="U130" i="23"/>
  <c r="Y130" i="23"/>
  <c r="AU99" i="23"/>
  <c r="AN99" i="314"/>
  <c r="Y130" i="21"/>
  <c r="U130" i="21"/>
  <c r="AC130" i="21" s="1"/>
  <c r="AU100" i="21"/>
  <c r="BJ97" i="20"/>
  <c r="U130" i="20"/>
  <c r="Y130" i="20"/>
  <c r="AU100" i="20"/>
  <c r="AU99" i="19"/>
  <c r="AX99" i="29"/>
  <c r="BH97" i="323"/>
  <c r="Y130" i="323"/>
  <c r="U130" i="323"/>
  <c r="AU100" i="323"/>
  <c r="AW99" i="63"/>
  <c r="Y130" i="63"/>
  <c r="U130" i="63"/>
  <c r="U130" i="18"/>
  <c r="Y130" i="18"/>
  <c r="AX99" i="18"/>
  <c r="AU99" i="51"/>
  <c r="AU99" i="3"/>
  <c r="Y130" i="101"/>
  <c r="BH97" i="3"/>
  <c r="AZ97" i="3"/>
  <c r="BG97" i="51"/>
  <c r="AZ97" i="51"/>
  <c r="BN97" i="18"/>
  <c r="BC97" i="18"/>
  <c r="BA97" i="63"/>
  <c r="BB97" i="63" s="1"/>
  <c r="AU97" i="63"/>
  <c r="AZ97" i="19"/>
  <c r="BG97" i="19"/>
  <c r="BG97" i="21"/>
  <c r="AZ97" i="21"/>
  <c r="AZ97" i="23"/>
  <c r="BJ97" i="23"/>
  <c r="AZ97" i="131"/>
  <c r="BI97" i="131"/>
  <c r="BG97" i="27"/>
  <c r="AY97" i="27"/>
  <c r="BP97" i="101"/>
  <c r="BG97" i="101"/>
  <c r="AY97" i="102"/>
  <c r="AZ97" i="133"/>
  <c r="BB48" i="542"/>
  <c r="BC48" i="542" s="1"/>
  <c r="BD48" i="542" s="1"/>
  <c r="H48" i="542" s="1"/>
  <c r="BC47" i="542"/>
  <c r="BD47" i="542" s="1"/>
  <c r="H47" i="542" s="1"/>
  <c r="AH97" i="1"/>
  <c r="AY97" i="1" s="1"/>
  <c r="AH96" i="1"/>
  <c r="AY96" i="1" s="1"/>
  <c r="AT100" i="102" l="1"/>
  <c r="BB100" i="101"/>
  <c r="AT100" i="27"/>
  <c r="AT100" i="26"/>
  <c r="AT100" i="25"/>
  <c r="AU100" i="131"/>
  <c r="AU100" i="23"/>
  <c r="AN100" i="314"/>
  <c r="AU101" i="21"/>
  <c r="AU101" i="20"/>
  <c r="AU100" i="19"/>
  <c r="AX100" i="29"/>
  <c r="AU101" i="323"/>
  <c r="AW100" i="63"/>
  <c r="AX100" i="18"/>
  <c r="AU100" i="51"/>
  <c r="AU100" i="3"/>
  <c r="C47" i="542"/>
  <c r="D143" i="542"/>
  <c r="C48" i="542"/>
  <c r="D144" i="542"/>
  <c r="F96" i="1"/>
  <c r="BC97" i="1"/>
  <c r="BC98" i="1" s="1"/>
  <c r="O13" i="464"/>
  <c r="O14" i="464"/>
  <c r="O15" i="464"/>
  <c r="O16" i="464"/>
  <c r="O17" i="464"/>
  <c r="O18" i="464"/>
  <c r="O19" i="464"/>
  <c r="O20" i="464"/>
  <c r="O21" i="464"/>
  <c r="O22" i="464"/>
  <c r="O23" i="464"/>
  <c r="O24" i="464"/>
  <c r="O25" i="464"/>
  <c r="O26" i="464"/>
  <c r="O27" i="464"/>
  <c r="O28" i="464"/>
  <c r="O29" i="464"/>
  <c r="O30" i="464"/>
  <c r="O31" i="464"/>
  <c r="O32" i="464"/>
  <c r="C144" i="4" s="1"/>
  <c r="C198" i="4" s="1"/>
  <c r="H198" i="4" s="1"/>
  <c r="O33" i="464"/>
  <c r="O34" i="464"/>
  <c r="O35" i="464"/>
  <c r="O36" i="464"/>
  <c r="O37" i="464"/>
  <c r="O38" i="464"/>
  <c r="O39" i="464"/>
  <c r="O40" i="464"/>
  <c r="O41" i="464"/>
  <c r="O42" i="464"/>
  <c r="O43" i="464"/>
  <c r="O44" i="464"/>
  <c r="O46" i="464"/>
  <c r="O47" i="464"/>
  <c r="O48" i="464"/>
  <c r="O49" i="464"/>
  <c r="O50" i="464"/>
  <c r="O51" i="464"/>
  <c r="O52" i="464"/>
  <c r="O53" i="464"/>
  <c r="O54" i="464"/>
  <c r="O55" i="464"/>
  <c r="O56" i="464"/>
  <c r="O57" i="464"/>
  <c r="O58" i="464"/>
  <c r="O59" i="464"/>
  <c r="O60" i="464"/>
  <c r="O12" i="464"/>
  <c r="E13" i="500"/>
  <c r="E14" i="500"/>
  <c r="E15" i="500"/>
  <c r="E16" i="500"/>
  <c r="E17" i="500"/>
  <c r="E18" i="500"/>
  <c r="E19" i="500"/>
  <c r="E20" i="500"/>
  <c r="E21" i="500"/>
  <c r="E22" i="500"/>
  <c r="E23" i="500"/>
  <c r="E24" i="500"/>
  <c r="E25" i="500"/>
  <c r="E26" i="500"/>
  <c r="E27" i="500"/>
  <c r="E28" i="500"/>
  <c r="E29" i="500"/>
  <c r="E30" i="500"/>
  <c r="E31" i="500"/>
  <c r="E32" i="500"/>
  <c r="E33" i="500"/>
  <c r="E34" i="500"/>
  <c r="E35" i="500"/>
  <c r="E36" i="500"/>
  <c r="E37" i="500"/>
  <c r="E38" i="500"/>
  <c r="E39" i="500"/>
  <c r="E40" i="500"/>
  <c r="E41" i="500"/>
  <c r="E42" i="500"/>
  <c r="E43" i="500"/>
  <c r="E44" i="500"/>
  <c r="E45" i="500"/>
  <c r="E46" i="500"/>
  <c r="E47" i="500"/>
  <c r="E48" i="500"/>
  <c r="E49" i="500"/>
  <c r="E50" i="500"/>
  <c r="E51" i="500"/>
  <c r="E52" i="500"/>
  <c r="E53" i="500"/>
  <c r="E54" i="500"/>
  <c r="E55" i="500"/>
  <c r="E56" i="500"/>
  <c r="E57" i="500"/>
  <c r="E58" i="500"/>
  <c r="E59" i="500"/>
  <c r="E60" i="500"/>
  <c r="E61" i="500"/>
  <c r="E62" i="500"/>
  <c r="E63" i="500"/>
  <c r="E12" i="500"/>
  <c r="AQ136" i="4"/>
  <c r="AQ137" i="4"/>
  <c r="AQ138" i="4"/>
  <c r="AQ139" i="4"/>
  <c r="AQ140" i="4"/>
  <c r="AQ141" i="4"/>
  <c r="AQ142" i="4"/>
  <c r="AQ135" i="4"/>
  <c r="AW97" i="103"/>
  <c r="AW98" i="103" l="1"/>
  <c r="P130" i="103"/>
  <c r="AT101" i="102"/>
  <c r="BB101" i="101"/>
  <c r="AT101" i="27"/>
  <c r="AT101" i="26"/>
  <c r="AT101" i="25"/>
  <c r="AU101" i="131"/>
  <c r="AU101" i="23"/>
  <c r="AN101" i="314"/>
  <c r="AU102" i="21"/>
  <c r="AU102" i="20"/>
  <c r="AU101" i="19"/>
  <c r="AX101" i="29"/>
  <c r="AU102" i="323"/>
  <c r="AW101" i="63"/>
  <c r="AX101" i="18"/>
  <c r="AU101" i="51"/>
  <c r="AU101" i="3"/>
  <c r="BC99" i="1"/>
  <c r="C165" i="4"/>
  <c r="E165" i="4"/>
  <c r="D165" i="4"/>
  <c r="C157" i="4"/>
  <c r="E157" i="4"/>
  <c r="D157" i="4"/>
  <c r="C149" i="4"/>
  <c r="C203" i="4" s="1"/>
  <c r="H203" i="4" s="1"/>
  <c r="D149" i="4"/>
  <c r="D203" i="4" s="1"/>
  <c r="I203" i="4" s="1"/>
  <c r="E149" i="4"/>
  <c r="E203" i="4" s="1"/>
  <c r="J203" i="4" s="1"/>
  <c r="C150" i="4"/>
  <c r="C204" i="4" s="1"/>
  <c r="H204" i="4" s="1"/>
  <c r="D150" i="4"/>
  <c r="D204" i="4" s="1"/>
  <c r="I204" i="4" s="1"/>
  <c r="E150" i="4"/>
  <c r="E204" i="4" s="1"/>
  <c r="J204" i="4" s="1"/>
  <c r="C148" i="4"/>
  <c r="C202" i="4" s="1"/>
  <c r="H202" i="4" s="1"/>
  <c r="D148" i="4"/>
  <c r="D202" i="4" s="1"/>
  <c r="I202" i="4" s="1"/>
  <c r="E148" i="4"/>
  <c r="E202" i="4" s="1"/>
  <c r="J202" i="4" s="1"/>
  <c r="D163" i="4"/>
  <c r="E163" i="4"/>
  <c r="C163" i="4"/>
  <c r="D155" i="4"/>
  <c r="D209" i="4" s="1"/>
  <c r="I209" i="4" s="1"/>
  <c r="E155" i="4"/>
  <c r="E209" i="4" s="1"/>
  <c r="J209" i="4" s="1"/>
  <c r="C155" i="4"/>
  <c r="C209" i="4" s="1"/>
  <c r="H209" i="4" s="1"/>
  <c r="C156" i="4"/>
  <c r="D156" i="4"/>
  <c r="E156" i="4"/>
  <c r="C162" i="4"/>
  <c r="D162" i="4"/>
  <c r="E162" i="4"/>
  <c r="C154" i="4"/>
  <c r="C208" i="4" s="1"/>
  <c r="H208" i="4" s="1"/>
  <c r="D154" i="4"/>
  <c r="D208" i="4" s="1"/>
  <c r="I208" i="4" s="1"/>
  <c r="E154" i="4"/>
  <c r="E208" i="4" s="1"/>
  <c r="J208" i="4" s="1"/>
  <c r="C158" i="4"/>
  <c r="D158" i="4"/>
  <c r="E158" i="4"/>
  <c r="C164" i="4"/>
  <c r="D164" i="4"/>
  <c r="E164" i="4"/>
  <c r="C161" i="4"/>
  <c r="D161" i="4"/>
  <c r="E161" i="4"/>
  <c r="C153" i="4"/>
  <c r="C207" i="4" s="1"/>
  <c r="H207" i="4" s="1"/>
  <c r="D153" i="4"/>
  <c r="D207" i="4" s="1"/>
  <c r="I207" i="4" s="1"/>
  <c r="E153" i="4"/>
  <c r="E207" i="4" s="1"/>
  <c r="J207" i="4" s="1"/>
  <c r="E160" i="4"/>
  <c r="D160" i="4"/>
  <c r="C160" i="4"/>
  <c r="E152" i="4"/>
  <c r="E206" i="4" s="1"/>
  <c r="J206" i="4" s="1"/>
  <c r="D152" i="4"/>
  <c r="D206" i="4" s="1"/>
  <c r="I206" i="4" s="1"/>
  <c r="C152" i="4"/>
  <c r="C206" i="4" s="1"/>
  <c r="H206" i="4" s="1"/>
  <c r="C159" i="4"/>
  <c r="D159" i="4"/>
  <c r="E159" i="4"/>
  <c r="C151" i="4"/>
  <c r="C205" i="4" s="1"/>
  <c r="H205" i="4" s="1"/>
  <c r="D151" i="4"/>
  <c r="D205" i="4" s="1"/>
  <c r="I205" i="4" s="1"/>
  <c r="E151" i="4"/>
  <c r="E205" i="4" s="1"/>
  <c r="J205" i="4" s="1"/>
  <c r="C147" i="4"/>
  <c r="C201" i="4" s="1"/>
  <c r="H201" i="4" s="1"/>
  <c r="D147" i="4"/>
  <c r="D201" i="4" s="1"/>
  <c r="I201" i="4" s="1"/>
  <c r="E147" i="4"/>
  <c r="E201" i="4" s="1"/>
  <c r="J201" i="4" s="1"/>
  <c r="C146" i="4"/>
  <c r="C200" i="4" s="1"/>
  <c r="H200" i="4" s="1"/>
  <c r="E146" i="4"/>
  <c r="E200" i="4" s="1"/>
  <c r="J200" i="4" s="1"/>
  <c r="D146" i="4"/>
  <c r="D200" i="4" s="1"/>
  <c r="I200" i="4" s="1"/>
  <c r="C145" i="4"/>
  <c r="C199" i="4" s="1"/>
  <c r="H199" i="4" s="1"/>
  <c r="D145" i="4"/>
  <c r="D199" i="4" s="1"/>
  <c r="I199" i="4" s="1"/>
  <c r="E145" i="4"/>
  <c r="E199" i="4" s="1"/>
  <c r="J199" i="4" s="1"/>
  <c r="D144" i="4"/>
  <c r="AP135" i="4"/>
  <c r="AZ135" i="4"/>
  <c r="AY97" i="103"/>
  <c r="Y130" i="103" s="1"/>
  <c r="BA97" i="103"/>
  <c r="BE97" i="1"/>
  <c r="AB106" i="4"/>
  <c r="D198" i="4" l="1"/>
  <c r="I198" i="4" s="1"/>
  <c r="BH144" i="4"/>
  <c r="AW99" i="103"/>
  <c r="AT102" i="102"/>
  <c r="BB102" i="101"/>
  <c r="AT102" i="27"/>
  <c r="AT102" i="26"/>
  <c r="AT102" i="25"/>
  <c r="AU102" i="131"/>
  <c r="AU102" i="23"/>
  <c r="AN102" i="314"/>
  <c r="AU103" i="21"/>
  <c r="AU103" i="20"/>
  <c r="AU102" i="19"/>
  <c r="AX102" i="29"/>
  <c r="AU103" i="323"/>
  <c r="AW102" i="63"/>
  <c r="AX102" i="18"/>
  <c r="AU102" i="51"/>
  <c r="AU102" i="3"/>
  <c r="BC100" i="1"/>
  <c r="U130" i="1"/>
  <c r="BP97" i="1"/>
  <c r="BO97" i="103"/>
  <c r="BB97" i="103"/>
  <c r="C32" i="500"/>
  <c r="B32" i="500"/>
  <c r="B19" i="500"/>
  <c r="B20" i="500"/>
  <c r="B21" i="500"/>
  <c r="B22" i="500"/>
  <c r="B23" i="500"/>
  <c r="B24" i="500"/>
  <c r="B25" i="500"/>
  <c r="B26" i="500"/>
  <c r="B27" i="500"/>
  <c r="B28" i="500"/>
  <c r="B29" i="500"/>
  <c r="B30" i="500"/>
  <c r="B14" i="500"/>
  <c r="B15" i="500"/>
  <c r="B16" i="500"/>
  <c r="B17" i="500"/>
  <c r="B18" i="500"/>
  <c r="B13" i="500"/>
  <c r="B12" i="500"/>
  <c r="C30" i="500"/>
  <c r="C29" i="500"/>
  <c r="C28" i="500"/>
  <c r="C27" i="500"/>
  <c r="C26" i="500"/>
  <c r="C25" i="500"/>
  <c r="C24" i="500"/>
  <c r="C23" i="500"/>
  <c r="C22" i="500"/>
  <c r="C21" i="500"/>
  <c r="C20" i="500"/>
  <c r="C19" i="500"/>
  <c r="C18" i="500"/>
  <c r="C17" i="500"/>
  <c r="C16" i="500"/>
  <c r="C15" i="500"/>
  <c r="C14" i="500"/>
  <c r="C13" i="500"/>
  <c r="C12" i="500"/>
  <c r="D32" i="500" l="1"/>
  <c r="AW100" i="103"/>
  <c r="AT103" i="102"/>
  <c r="BB103" i="101"/>
  <c r="AT103" i="27"/>
  <c r="AT103" i="26"/>
  <c r="AT103" i="25"/>
  <c r="AU103" i="131"/>
  <c r="AU103" i="23"/>
  <c r="AN103" i="314"/>
  <c r="AU104" i="21"/>
  <c r="AU104" i="20"/>
  <c r="AU103" i="19"/>
  <c r="AX103" i="29"/>
  <c r="AU104" i="323"/>
  <c r="AW103" i="63"/>
  <c r="AX103" i="18"/>
  <c r="AU103" i="51"/>
  <c r="AU103" i="3"/>
  <c r="BC101" i="1"/>
  <c r="Y130" i="1"/>
  <c r="D14" i="500"/>
  <c r="D25" i="500"/>
  <c r="D13" i="500"/>
  <c r="D28" i="500"/>
  <c r="D20" i="500"/>
  <c r="D17" i="500"/>
  <c r="D18" i="500"/>
  <c r="D27" i="500"/>
  <c r="D19" i="500"/>
  <c r="D16" i="500"/>
  <c r="D26" i="500"/>
  <c r="D15" i="500"/>
  <c r="D24" i="500"/>
  <c r="D23" i="500"/>
  <c r="D30" i="500"/>
  <c r="D22" i="500"/>
  <c r="D12" i="500"/>
  <c r="D29" i="500"/>
  <c r="D21" i="500"/>
  <c r="AW101" i="103" l="1"/>
  <c r="AT104" i="102"/>
  <c r="BB104" i="101"/>
  <c r="AT104" i="27"/>
  <c r="AT104" i="26"/>
  <c r="AT104" i="25"/>
  <c r="AU104" i="131"/>
  <c r="AU104" i="23"/>
  <c r="AN104" i="314"/>
  <c r="AU105" i="21"/>
  <c r="AU105" i="20"/>
  <c r="AU104" i="19"/>
  <c r="AX104" i="29"/>
  <c r="AU105" i="323"/>
  <c r="AW104" i="63"/>
  <c r="AX104" i="18"/>
  <c r="AU104" i="51"/>
  <c r="AU104" i="3"/>
  <c r="BC102" i="1"/>
  <c r="BA135" i="4"/>
  <c r="BB135" i="4" s="1"/>
  <c r="BC135" i="4" s="1"/>
  <c r="AZ136" i="4"/>
  <c r="BA136" i="4" s="1"/>
  <c r="BB136" i="4" s="1"/>
  <c r="BC136" i="4" s="1"/>
  <c r="AZ137" i="4"/>
  <c r="BA137" i="4" s="1"/>
  <c r="BB137" i="4" s="1"/>
  <c r="BC137" i="4" s="1"/>
  <c r="AZ138" i="4"/>
  <c r="BA138" i="4" s="1"/>
  <c r="BB138" i="4" s="1"/>
  <c r="BC138" i="4" s="1"/>
  <c r="AZ139" i="4"/>
  <c r="BA139" i="4" s="1"/>
  <c r="BB139" i="4" s="1"/>
  <c r="BC139" i="4" s="1"/>
  <c r="AZ140" i="4"/>
  <c r="BA140" i="4" s="1"/>
  <c r="BB140" i="4" s="1"/>
  <c r="BC140" i="4" s="1"/>
  <c r="AZ141" i="4"/>
  <c r="BA141" i="4" s="1"/>
  <c r="BB141" i="4" s="1"/>
  <c r="BC141" i="4" s="1"/>
  <c r="AZ142" i="4"/>
  <c r="BA142" i="4" s="1"/>
  <c r="BB142" i="4" s="1"/>
  <c r="BC142" i="4" s="1"/>
  <c r="O56" i="194"/>
  <c r="O57" i="194" s="1"/>
  <c r="P56" i="194"/>
  <c r="P57" i="194" s="1"/>
  <c r="C56" i="194"/>
  <c r="C57" i="194" s="1"/>
  <c r="B57" i="194"/>
  <c r="AP136" i="4"/>
  <c r="AP137" i="4"/>
  <c r="AP138" i="4"/>
  <c r="AP139" i="4"/>
  <c r="AP140" i="4"/>
  <c r="AP141" i="4"/>
  <c r="AP142" i="4"/>
  <c r="AW102" i="103" l="1"/>
  <c r="AT105" i="102"/>
  <c r="BB105" i="101"/>
  <c r="AT105" i="27"/>
  <c r="AT105" i="26"/>
  <c r="AT105" i="25"/>
  <c r="AU105" i="131"/>
  <c r="AU105" i="23"/>
  <c r="AN105" i="314"/>
  <c r="AU106" i="21"/>
  <c r="AU106" i="20"/>
  <c r="AU105" i="19"/>
  <c r="AX105" i="29"/>
  <c r="AU106" i="323"/>
  <c r="AW105" i="63"/>
  <c r="AX105" i="18"/>
  <c r="AU105" i="51"/>
  <c r="AU105" i="3"/>
  <c r="BC103" i="1"/>
  <c r="D3" i="491"/>
  <c r="E3" i="491"/>
  <c r="C3" i="491"/>
  <c r="AW103" i="103" l="1"/>
  <c r="AT106" i="102"/>
  <c r="BB106" i="101"/>
  <c r="AT106" i="27"/>
  <c r="AT106" i="26"/>
  <c r="AT106" i="25"/>
  <c r="AU106" i="131"/>
  <c r="AU106" i="23"/>
  <c r="AN106" i="314"/>
  <c r="AU107" i="21"/>
  <c r="AU107" i="20"/>
  <c r="AU106" i="19"/>
  <c r="AX106" i="29"/>
  <c r="AU107" i="323"/>
  <c r="AW106" i="63"/>
  <c r="AX106" i="18"/>
  <c r="AU106" i="51"/>
  <c r="AU106" i="3"/>
  <c r="BC104" i="1"/>
  <c r="G33" i="490"/>
  <c r="AW104" i="103" l="1"/>
  <c r="AT107" i="102"/>
  <c r="BB107" i="101"/>
  <c r="AT107" i="27"/>
  <c r="AT107" i="26"/>
  <c r="AT107" i="25"/>
  <c r="AU107" i="131"/>
  <c r="AU107" i="23"/>
  <c r="AN107" i="314"/>
  <c r="AU108" i="21"/>
  <c r="AU108" i="20"/>
  <c r="AU107" i="19"/>
  <c r="AX107" i="29"/>
  <c r="AU108" i="323"/>
  <c r="AW107" i="63"/>
  <c r="AX107" i="18"/>
  <c r="AU107" i="51"/>
  <c r="AU107" i="3"/>
  <c r="BC105" i="1"/>
  <c r="L124" i="4"/>
  <c r="M124" i="4"/>
  <c r="L125" i="4"/>
  <c r="M125" i="4"/>
  <c r="L126" i="4"/>
  <c r="M126" i="4"/>
  <c r="L127" i="4"/>
  <c r="M127" i="4"/>
  <c r="M123" i="4"/>
  <c r="L123" i="4"/>
  <c r="AN142" i="4"/>
  <c r="S111" i="104"/>
  <c r="R111" i="104"/>
  <c r="F123" i="104"/>
  <c r="F124" i="104"/>
  <c r="F125" i="104"/>
  <c r="F126" i="104"/>
  <c r="F127" i="104"/>
  <c r="F128" i="104"/>
  <c r="F129" i="104"/>
  <c r="F130" i="104"/>
  <c r="F131" i="104"/>
  <c r="F132" i="104"/>
  <c r="F133" i="104"/>
  <c r="F134" i="104"/>
  <c r="F135" i="104"/>
  <c r="F136" i="104"/>
  <c r="F137" i="104"/>
  <c r="F138" i="104"/>
  <c r="F139" i="104"/>
  <c r="F140" i="104"/>
  <c r="F141" i="104"/>
  <c r="F142" i="104"/>
  <c r="AW105" i="103" l="1"/>
  <c r="AT108" i="102"/>
  <c r="BB108" i="101"/>
  <c r="AT108" i="27"/>
  <c r="AT108" i="26"/>
  <c r="AT108" i="25"/>
  <c r="AU108" i="131"/>
  <c r="AU108" i="23"/>
  <c r="AN108" i="314"/>
  <c r="AU109" i="21"/>
  <c r="AU109" i="20"/>
  <c r="AU108" i="19"/>
  <c r="AX108" i="29"/>
  <c r="AU109" i="323"/>
  <c r="AW108" i="63"/>
  <c r="AX108" i="18"/>
  <c r="AU108" i="51"/>
  <c r="AU108" i="3"/>
  <c r="BC106" i="1"/>
  <c r="F123" i="103"/>
  <c r="F124" i="103"/>
  <c r="F125" i="103"/>
  <c r="F126" i="103"/>
  <c r="F127" i="103"/>
  <c r="F128" i="103"/>
  <c r="F129" i="103"/>
  <c r="F130" i="103"/>
  <c r="F131" i="103"/>
  <c r="F132" i="103"/>
  <c r="F133" i="103"/>
  <c r="F134" i="103"/>
  <c r="F135" i="103"/>
  <c r="F136" i="103"/>
  <c r="F137" i="103"/>
  <c r="F138" i="103"/>
  <c r="F139" i="103"/>
  <c r="F140" i="103"/>
  <c r="F141" i="103"/>
  <c r="F142" i="103"/>
  <c r="P122" i="133"/>
  <c r="S112" i="133"/>
  <c r="T112" i="133"/>
  <c r="S113" i="133"/>
  <c r="T113" i="133"/>
  <c r="S114" i="133"/>
  <c r="T114" i="133"/>
  <c r="S115" i="133"/>
  <c r="T115" i="133"/>
  <c r="S116" i="133"/>
  <c r="T116" i="133"/>
  <c r="S117" i="133"/>
  <c r="T117" i="133"/>
  <c r="T111" i="133"/>
  <c r="S111" i="133"/>
  <c r="F123" i="133"/>
  <c r="F124" i="133"/>
  <c r="F125" i="133"/>
  <c r="F126" i="133"/>
  <c r="F127" i="133"/>
  <c r="F128" i="133"/>
  <c r="F129" i="133"/>
  <c r="F130" i="133"/>
  <c r="F131" i="133"/>
  <c r="F132" i="133"/>
  <c r="F133" i="133"/>
  <c r="F134" i="133"/>
  <c r="F135" i="133"/>
  <c r="F136" i="133"/>
  <c r="F137" i="133"/>
  <c r="F138" i="133"/>
  <c r="F139" i="133"/>
  <c r="F140" i="133"/>
  <c r="F141" i="133"/>
  <c r="F142" i="133"/>
  <c r="AW106" i="103" l="1"/>
  <c r="AT109" i="102"/>
  <c r="BB109" i="101"/>
  <c r="AT109" i="27"/>
  <c r="AT109" i="26"/>
  <c r="AT109" i="25"/>
  <c r="AU109" i="131"/>
  <c r="AU109" i="23"/>
  <c r="AN109" i="314"/>
  <c r="AU109" i="19"/>
  <c r="AX109" i="29"/>
  <c r="AW109" i="63"/>
  <c r="AX109" i="18"/>
  <c r="AU109" i="51"/>
  <c r="AU109" i="3"/>
  <c r="BC107" i="1"/>
  <c r="L112" i="102"/>
  <c r="M112" i="102"/>
  <c r="L113" i="102"/>
  <c r="M113" i="102"/>
  <c r="L114" i="102"/>
  <c r="M114" i="102"/>
  <c r="L115" i="102"/>
  <c r="M115" i="102"/>
  <c r="M111" i="102"/>
  <c r="L111" i="102"/>
  <c r="F123" i="102"/>
  <c r="F124" i="102"/>
  <c r="F125" i="102"/>
  <c r="F126" i="102"/>
  <c r="F127" i="102"/>
  <c r="F128" i="102"/>
  <c r="F129" i="102"/>
  <c r="F130" i="102"/>
  <c r="F131" i="102"/>
  <c r="F132" i="102"/>
  <c r="F133" i="102"/>
  <c r="F134" i="102"/>
  <c r="F135" i="102"/>
  <c r="F136" i="102"/>
  <c r="F137" i="102"/>
  <c r="F138" i="102"/>
  <c r="F139" i="102"/>
  <c r="F140" i="102"/>
  <c r="F141" i="102"/>
  <c r="F142" i="102"/>
  <c r="P122" i="101"/>
  <c r="F123" i="101"/>
  <c r="F124" i="101"/>
  <c r="F125" i="101"/>
  <c r="F126" i="101"/>
  <c r="F127" i="101"/>
  <c r="F128" i="101"/>
  <c r="F129" i="101"/>
  <c r="F130" i="101"/>
  <c r="F131" i="101"/>
  <c r="F132" i="101"/>
  <c r="F133" i="101"/>
  <c r="F134" i="101"/>
  <c r="F135" i="101"/>
  <c r="F136" i="101"/>
  <c r="F137" i="101"/>
  <c r="F138" i="101"/>
  <c r="F139" i="101"/>
  <c r="F140" i="101"/>
  <c r="F141" i="101"/>
  <c r="F142" i="101"/>
  <c r="S112" i="101"/>
  <c r="S113" i="101"/>
  <c r="S114" i="101"/>
  <c r="S115" i="101"/>
  <c r="S116" i="101"/>
  <c r="S117" i="101"/>
  <c r="S111" i="101"/>
  <c r="R111" i="101"/>
  <c r="P122" i="27"/>
  <c r="AW107" i="103" l="1"/>
  <c r="BC108" i="1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R112" i="27"/>
  <c r="S112" i="27"/>
  <c r="S111" i="27"/>
  <c r="R111" i="27"/>
  <c r="R112" i="26"/>
  <c r="S112" i="26"/>
  <c r="S111" i="26"/>
  <c r="R111" i="26"/>
  <c r="P104" i="25"/>
  <c r="Q104" i="25"/>
  <c r="Q103" i="25"/>
  <c r="P103" i="25"/>
  <c r="P122" i="131"/>
  <c r="P122" i="23"/>
  <c r="S112" i="23"/>
  <c r="T112" i="23"/>
  <c r="T111" i="23"/>
  <c r="S111" i="23"/>
  <c r="S112" i="21"/>
  <c r="T112" i="21"/>
  <c r="S113" i="21"/>
  <c r="T113" i="21"/>
  <c r="S114" i="21"/>
  <c r="T114" i="21"/>
  <c r="S115" i="21"/>
  <c r="T115" i="21"/>
  <c r="T111" i="21"/>
  <c r="S111" i="21"/>
  <c r="S112" i="19"/>
  <c r="T112" i="19"/>
  <c r="T111" i="19"/>
  <c r="S111" i="19"/>
  <c r="AE97" i="29"/>
  <c r="R103" i="63"/>
  <c r="Q103" i="63"/>
  <c r="T104" i="18"/>
  <c r="U104" i="18"/>
  <c r="T105" i="18"/>
  <c r="U105" i="18"/>
  <c r="T106" i="18"/>
  <c r="U106" i="18"/>
  <c r="T107" i="18"/>
  <c r="U107" i="18"/>
  <c r="T108" i="18"/>
  <c r="U108" i="18"/>
  <c r="T109" i="18"/>
  <c r="U109" i="18"/>
  <c r="U103" i="18"/>
  <c r="T103" i="18"/>
  <c r="T112" i="3"/>
  <c r="T111" i="3"/>
  <c r="S111" i="3"/>
  <c r="R103" i="1"/>
  <c r="R104" i="1"/>
  <c r="R105" i="1"/>
  <c r="R106" i="1"/>
  <c r="R107" i="1"/>
  <c r="R108" i="1"/>
  <c r="Q104" i="1"/>
  <c r="Q105" i="1"/>
  <c r="Q106" i="1"/>
  <c r="Q107" i="1"/>
  <c r="Q108" i="1"/>
  <c r="Q103" i="1"/>
  <c r="Q103" i="323"/>
  <c r="AB89" i="323"/>
  <c r="AQ89" i="323" s="1"/>
  <c r="AA90" i="25"/>
  <c r="AP90" i="25" s="1"/>
  <c r="AA91" i="25"/>
  <c r="AP91" i="25" s="1"/>
  <c r="AA92" i="25"/>
  <c r="AP92" i="25" s="1"/>
  <c r="AA93" i="25"/>
  <c r="AP93" i="25" s="1"/>
  <c r="AA94" i="25"/>
  <c r="AP94" i="25" s="1"/>
  <c r="AA95" i="25"/>
  <c r="AP95" i="25" s="1"/>
  <c r="AA96" i="25"/>
  <c r="AP96" i="25" s="1"/>
  <c r="P122" i="25"/>
  <c r="P122" i="26"/>
  <c r="F123" i="131"/>
  <c r="F124" i="131"/>
  <c r="F125" i="131"/>
  <c r="F126" i="131"/>
  <c r="F127" i="131"/>
  <c r="F128" i="131"/>
  <c r="F129" i="131"/>
  <c r="F130" i="131"/>
  <c r="F131" i="131"/>
  <c r="F132" i="131"/>
  <c r="F133" i="131"/>
  <c r="F134" i="131"/>
  <c r="F135" i="131"/>
  <c r="F136" i="131"/>
  <c r="F137" i="131"/>
  <c r="F138" i="131"/>
  <c r="F139" i="131"/>
  <c r="F140" i="131"/>
  <c r="F141" i="131"/>
  <c r="F142" i="131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22" i="131"/>
  <c r="R113" i="131"/>
  <c r="F123" i="23"/>
  <c r="F124" i="23"/>
  <c r="F125" i="23"/>
  <c r="F126" i="23"/>
  <c r="F127" i="23"/>
  <c r="F128" i="23"/>
  <c r="F129" i="23"/>
  <c r="F130" i="23"/>
  <c r="F131" i="23"/>
  <c r="F132" i="23"/>
  <c r="F133" i="23"/>
  <c r="F134" i="23"/>
  <c r="F135" i="23"/>
  <c r="F136" i="23"/>
  <c r="F137" i="23"/>
  <c r="F138" i="23"/>
  <c r="F139" i="23"/>
  <c r="F140" i="23"/>
  <c r="F141" i="23"/>
  <c r="F142" i="23"/>
  <c r="F122" i="23"/>
  <c r="F123" i="314"/>
  <c r="F124" i="314"/>
  <c r="F125" i="314"/>
  <c r="F126" i="314"/>
  <c r="F127" i="314"/>
  <c r="F128" i="314"/>
  <c r="F129" i="314"/>
  <c r="F130" i="314"/>
  <c r="F131" i="314"/>
  <c r="F132" i="314"/>
  <c r="F133" i="314"/>
  <c r="F134" i="314"/>
  <c r="F135" i="314"/>
  <c r="F136" i="314"/>
  <c r="F137" i="314"/>
  <c r="F138" i="314"/>
  <c r="F139" i="314"/>
  <c r="F140" i="314"/>
  <c r="F141" i="314"/>
  <c r="F142" i="314"/>
  <c r="F122" i="314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P122" i="21"/>
  <c r="P122" i="19"/>
  <c r="P122" i="29"/>
  <c r="L112" i="20"/>
  <c r="L111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23" i="20"/>
  <c r="F124" i="20"/>
  <c r="F125" i="20"/>
  <c r="F126" i="20"/>
  <c r="F127" i="20"/>
  <c r="F128" i="20"/>
  <c r="F129" i="20"/>
  <c r="F130" i="20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23" i="29"/>
  <c r="F124" i="29"/>
  <c r="F125" i="29"/>
  <c r="F126" i="29"/>
  <c r="F127" i="29"/>
  <c r="F128" i="29"/>
  <c r="F129" i="29"/>
  <c r="F130" i="29"/>
  <c r="F131" i="29"/>
  <c r="F132" i="29"/>
  <c r="F133" i="29"/>
  <c r="F134" i="29"/>
  <c r="F135" i="29"/>
  <c r="F136" i="29"/>
  <c r="F137" i="29"/>
  <c r="F138" i="29"/>
  <c r="F139" i="29"/>
  <c r="F140" i="29"/>
  <c r="F141" i="29"/>
  <c r="F142" i="29"/>
  <c r="W112" i="29"/>
  <c r="W111" i="29"/>
  <c r="K124" i="3" l="1"/>
  <c r="AW108" i="103"/>
  <c r="BC109" i="1"/>
  <c r="AF97" i="29"/>
  <c r="AU97" i="29" s="1"/>
  <c r="AT97" i="29"/>
  <c r="AB96" i="25"/>
  <c r="F123" i="323"/>
  <c r="F124" i="323"/>
  <c r="F125" i="323"/>
  <c r="F126" i="323"/>
  <c r="F127" i="323"/>
  <c r="F128" i="323"/>
  <c r="F129" i="323"/>
  <c r="F130" i="323"/>
  <c r="F131" i="323"/>
  <c r="F132" i="323"/>
  <c r="F133" i="323"/>
  <c r="F134" i="323"/>
  <c r="F135" i="323"/>
  <c r="F136" i="323"/>
  <c r="F137" i="323"/>
  <c r="F138" i="323"/>
  <c r="F139" i="323"/>
  <c r="F140" i="323"/>
  <c r="F141" i="323"/>
  <c r="F142" i="323"/>
  <c r="F122" i="323"/>
  <c r="F129" i="63"/>
  <c r="F130" i="63"/>
  <c r="F131" i="63"/>
  <c r="F132" i="63"/>
  <c r="F133" i="63"/>
  <c r="F134" i="63"/>
  <c r="F135" i="63"/>
  <c r="F136" i="63"/>
  <c r="F137" i="63"/>
  <c r="F138" i="63"/>
  <c r="F139" i="63"/>
  <c r="F140" i="63"/>
  <c r="F141" i="63"/>
  <c r="F142" i="63"/>
  <c r="F123" i="63"/>
  <c r="F124" i="63"/>
  <c r="F125" i="63"/>
  <c r="F126" i="63"/>
  <c r="F127" i="63"/>
  <c r="F128" i="63"/>
  <c r="P122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24" i="18"/>
  <c r="F123" i="18"/>
  <c r="F123" i="51"/>
  <c r="F124" i="51"/>
  <c r="F125" i="51"/>
  <c r="F126" i="51"/>
  <c r="F127" i="51"/>
  <c r="F128" i="51"/>
  <c r="F129" i="51"/>
  <c r="F130" i="51"/>
  <c r="F131" i="51"/>
  <c r="F132" i="51"/>
  <c r="F133" i="51"/>
  <c r="F134" i="51"/>
  <c r="F135" i="51"/>
  <c r="F136" i="51"/>
  <c r="F137" i="51"/>
  <c r="F138" i="51"/>
  <c r="F139" i="51"/>
  <c r="F140" i="51"/>
  <c r="F141" i="51"/>
  <c r="F142" i="51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AW109" i="103" l="1"/>
  <c r="BB97" i="29"/>
  <c r="AV97" i="29"/>
  <c r="Q31" i="464"/>
  <c r="Q39" i="464"/>
  <c r="Q40" i="464"/>
  <c r="Q41" i="464"/>
  <c r="Q42" i="464"/>
  <c r="Q43" i="464"/>
  <c r="Q44" i="464"/>
  <c r="Q45" i="464"/>
  <c r="Q46" i="464"/>
  <c r="Q47" i="464"/>
  <c r="Q48" i="464"/>
  <c r="Q49" i="464"/>
  <c r="Q50" i="464"/>
  <c r="Q51" i="464"/>
  <c r="Q52" i="464"/>
  <c r="Q53" i="464"/>
  <c r="Q54" i="464"/>
  <c r="Q55" i="464"/>
  <c r="Q56" i="464"/>
  <c r="Q57" i="464"/>
  <c r="Q58" i="464"/>
  <c r="Q59" i="464"/>
  <c r="Q60" i="464"/>
  <c r="BC97" i="29" l="1"/>
  <c r="Q35" i="464"/>
  <c r="Q36" i="464"/>
  <c r="Q37" i="464"/>
  <c r="Q38" i="464"/>
  <c r="Q13" i="464"/>
  <c r="Q14" i="464"/>
  <c r="Q15" i="464"/>
  <c r="Q16" i="464"/>
  <c r="Q17" i="464"/>
  <c r="Q18" i="464"/>
  <c r="Q19" i="464"/>
  <c r="Q20" i="464"/>
  <c r="Q21" i="464"/>
  <c r="Q22" i="464"/>
  <c r="Q23" i="464"/>
  <c r="Q24" i="464"/>
  <c r="Q25" i="464"/>
  <c r="Q26" i="464"/>
  <c r="Q27" i="464"/>
  <c r="Q28" i="464"/>
  <c r="Q29" i="464"/>
  <c r="Q30" i="464"/>
  <c r="Q32" i="464"/>
  <c r="Q33" i="464"/>
  <c r="Q12" i="464"/>
  <c r="K10" i="464"/>
  <c r="K11" i="464"/>
  <c r="J7" i="464"/>
  <c r="J8" i="464"/>
  <c r="J9" i="464"/>
  <c r="J10" i="464"/>
  <c r="K12" i="464"/>
  <c r="K13" i="464"/>
  <c r="J11" i="464"/>
  <c r="K14" i="464"/>
  <c r="K15" i="464"/>
  <c r="K16" i="464"/>
  <c r="K17" i="464"/>
  <c r="K18" i="464"/>
  <c r="K19" i="464"/>
  <c r="K20" i="464"/>
  <c r="K21" i="464"/>
  <c r="K22" i="464"/>
  <c r="K23" i="464"/>
  <c r="K24" i="464"/>
  <c r="K25" i="464"/>
  <c r="K26" i="464"/>
  <c r="K27" i="464"/>
  <c r="K28" i="464"/>
  <c r="K29" i="464"/>
  <c r="K30" i="464"/>
  <c r="K31" i="464"/>
  <c r="K32" i="464"/>
  <c r="K33" i="464"/>
  <c r="K34" i="464"/>
  <c r="K35" i="464"/>
  <c r="K36" i="464"/>
  <c r="K37" i="464"/>
  <c r="K38" i="464"/>
  <c r="K39" i="464"/>
  <c r="K40" i="464"/>
  <c r="K41" i="464"/>
  <c r="K42" i="464"/>
  <c r="K43" i="464"/>
  <c r="K44" i="464"/>
  <c r="K45" i="464"/>
  <c r="K46" i="464"/>
  <c r="K47" i="464"/>
  <c r="K48" i="464"/>
  <c r="K49" i="464"/>
  <c r="K50" i="464"/>
  <c r="K51" i="464"/>
  <c r="K52" i="464"/>
  <c r="K53" i="464"/>
  <c r="K54" i="464"/>
  <c r="K55" i="464"/>
  <c r="K56" i="464"/>
  <c r="K57" i="464"/>
  <c r="K58" i="464"/>
  <c r="K59" i="464"/>
  <c r="K60" i="464"/>
  <c r="K61" i="464"/>
  <c r="J13" i="464"/>
  <c r="J14" i="464"/>
  <c r="J15" i="464"/>
  <c r="J16" i="464"/>
  <c r="J17" i="464"/>
  <c r="J18" i="464"/>
  <c r="J19" i="464"/>
  <c r="J20" i="464"/>
  <c r="J21" i="464"/>
  <c r="J22" i="464"/>
  <c r="J23" i="464"/>
  <c r="J24" i="464"/>
  <c r="J25" i="464"/>
  <c r="J26" i="464"/>
  <c r="J27" i="464"/>
  <c r="J28" i="464"/>
  <c r="J29" i="464"/>
  <c r="J30" i="464"/>
  <c r="J31" i="464"/>
  <c r="J32" i="464"/>
  <c r="J33" i="464"/>
  <c r="J34" i="464"/>
  <c r="J35" i="464"/>
  <c r="J36" i="464"/>
  <c r="J37" i="464"/>
  <c r="J38" i="464"/>
  <c r="J39" i="464"/>
  <c r="J40" i="464"/>
  <c r="J41" i="464"/>
  <c r="J42" i="464"/>
  <c r="J43" i="464"/>
  <c r="J44" i="464"/>
  <c r="J45" i="464"/>
  <c r="J46" i="464"/>
  <c r="J47" i="464"/>
  <c r="J48" i="464"/>
  <c r="J49" i="464"/>
  <c r="J50" i="464"/>
  <c r="J51" i="464"/>
  <c r="J52" i="464"/>
  <c r="J53" i="464"/>
  <c r="J54" i="464"/>
  <c r="J55" i="464"/>
  <c r="J56" i="464"/>
  <c r="J57" i="464"/>
  <c r="J58" i="464"/>
  <c r="J59" i="464"/>
  <c r="J60" i="464"/>
  <c r="J61" i="464"/>
  <c r="J12" i="464"/>
  <c r="F13" i="464" l="1"/>
  <c r="C13" i="464" s="1"/>
  <c r="F14" i="464"/>
  <c r="C14" i="464" s="1"/>
  <c r="F15" i="464"/>
  <c r="C15" i="464" s="1"/>
  <c r="F16" i="464"/>
  <c r="C16" i="464" s="1"/>
  <c r="F17" i="464"/>
  <c r="C17" i="464" s="1"/>
  <c r="F18" i="464"/>
  <c r="C18" i="464" s="1"/>
  <c r="F19" i="464"/>
  <c r="C19" i="464" s="1"/>
  <c r="F20" i="464"/>
  <c r="C20" i="464" s="1"/>
  <c r="F21" i="464"/>
  <c r="C21" i="464" s="1"/>
  <c r="F22" i="464"/>
  <c r="C22" i="464" s="1"/>
  <c r="F23" i="464"/>
  <c r="C23" i="464" s="1"/>
  <c r="F24" i="464"/>
  <c r="C24" i="464" s="1"/>
  <c r="F25" i="464"/>
  <c r="C25" i="464" s="1"/>
  <c r="F26" i="464"/>
  <c r="C26" i="464" s="1"/>
  <c r="F27" i="464"/>
  <c r="C27" i="464" s="1"/>
  <c r="F28" i="464"/>
  <c r="C28" i="464" s="1"/>
  <c r="F29" i="464"/>
  <c r="C29" i="464" s="1"/>
  <c r="F30" i="464"/>
  <c r="C30" i="464" s="1"/>
  <c r="F12" i="464"/>
  <c r="C12" i="464" s="1"/>
  <c r="B13" i="464"/>
  <c r="B14" i="464"/>
  <c r="B15" i="464"/>
  <c r="B16" i="464"/>
  <c r="B17" i="464"/>
  <c r="B18" i="464"/>
  <c r="B19" i="464"/>
  <c r="B20" i="464"/>
  <c r="B21" i="464"/>
  <c r="B22" i="464"/>
  <c r="B23" i="464"/>
  <c r="B24" i="464"/>
  <c r="B25" i="464"/>
  <c r="B26" i="464"/>
  <c r="B27" i="464"/>
  <c r="B28" i="464"/>
  <c r="B29" i="464"/>
  <c r="B30" i="464"/>
  <c r="B12" i="464"/>
  <c r="D23" i="464" l="1"/>
  <c r="G27" i="464"/>
  <c r="G19" i="464"/>
  <c r="G18" i="464"/>
  <c r="G22" i="464"/>
  <c r="G14" i="464"/>
  <c r="D15" i="464"/>
  <c r="G26" i="464"/>
  <c r="D18" i="464"/>
  <c r="D26" i="464"/>
  <c r="D20" i="464"/>
  <c r="D22" i="464"/>
  <c r="D14" i="464"/>
  <c r="D29" i="464"/>
  <c r="D21" i="464"/>
  <c r="G13" i="464"/>
  <c r="G12" i="464"/>
  <c r="G25" i="464"/>
  <c r="G17" i="464"/>
  <c r="D28" i="464"/>
  <c r="G24" i="464"/>
  <c r="G16" i="464"/>
  <c r="D27" i="464"/>
  <c r="D19" i="464"/>
  <c r="N19" i="464" s="1"/>
  <c r="G23" i="464"/>
  <c r="N23" i="464" s="1"/>
  <c r="G15" i="464"/>
  <c r="D12" i="464"/>
  <c r="D13" i="464"/>
  <c r="D25" i="464"/>
  <c r="D17" i="464"/>
  <c r="G29" i="464"/>
  <c r="G21" i="464"/>
  <c r="D24" i="464"/>
  <c r="D16" i="464"/>
  <c r="G28" i="464"/>
  <c r="G20" i="464"/>
  <c r="N18" i="464" l="1"/>
  <c r="N22" i="464"/>
  <c r="N14" i="464"/>
  <c r="N12" i="464"/>
  <c r="N26" i="464"/>
  <c r="N27" i="464"/>
  <c r="N16" i="464"/>
  <c r="N15" i="464"/>
  <c r="N20" i="464"/>
  <c r="N24" i="464"/>
  <c r="N28" i="464"/>
  <c r="N17" i="464"/>
  <c r="N21" i="464"/>
  <c r="N25" i="464"/>
  <c r="N29" i="464"/>
  <c r="N13" i="464"/>
  <c r="G97" i="1" l="1"/>
  <c r="N97" i="1" s="1"/>
  <c r="AC97" i="1" s="1"/>
  <c r="BB96" i="4" l="1"/>
  <c r="BB95" i="4"/>
  <c r="BB94" i="4"/>
  <c r="BB93" i="4"/>
  <c r="BB92" i="4"/>
  <c r="BB91" i="4"/>
  <c r="BB90" i="4"/>
  <c r="BB89" i="4"/>
  <c r="BB88" i="4"/>
  <c r="BB87" i="4"/>
  <c r="BB86" i="4"/>
  <c r="BB85" i="4"/>
  <c r="BB84" i="4"/>
  <c r="BB83" i="4"/>
  <c r="BB82" i="4"/>
  <c r="BB81" i="4"/>
  <c r="BB80" i="4"/>
  <c r="BB79" i="4"/>
  <c r="BB78" i="4"/>
  <c r="BB77" i="4"/>
  <c r="BB76" i="4"/>
  <c r="BB75" i="4"/>
  <c r="BB74" i="4"/>
  <c r="BB73" i="4"/>
  <c r="BB72" i="4"/>
  <c r="BB71" i="4"/>
  <c r="BB70" i="4"/>
  <c r="BB69" i="4"/>
  <c r="BB68" i="4"/>
  <c r="BB67" i="4"/>
  <c r="BB66" i="4"/>
  <c r="BB65" i="4"/>
  <c r="BB64" i="4"/>
  <c r="BB63" i="4"/>
  <c r="BB62" i="4"/>
  <c r="BB61" i="4"/>
  <c r="BB60" i="4"/>
  <c r="BB59" i="4"/>
  <c r="BB58" i="4"/>
  <c r="BB57" i="4"/>
  <c r="BB56" i="4"/>
  <c r="BB55" i="4"/>
  <c r="BB54" i="4"/>
  <c r="BB53" i="4"/>
  <c r="BB52" i="4"/>
  <c r="AG68" i="194"/>
  <c r="AH68" i="194" s="1"/>
  <c r="AI68" i="194" s="1"/>
  <c r="AJ68" i="194" s="1"/>
  <c r="BA80" i="4" l="1"/>
  <c r="BS80" i="4"/>
  <c r="BR80" i="4" s="1"/>
  <c r="BA88" i="4"/>
  <c r="BS88" i="4"/>
  <c r="BR88" i="4" s="1"/>
  <c r="BA96" i="4"/>
  <c r="BS96" i="4"/>
  <c r="BR96" i="4" s="1"/>
  <c r="BA57" i="4"/>
  <c r="BS57" i="4"/>
  <c r="BR57" i="4" s="1"/>
  <c r="BA65" i="4"/>
  <c r="BS65" i="4"/>
  <c r="BR65" i="4" s="1"/>
  <c r="BA73" i="4"/>
  <c r="BS73" i="4"/>
  <c r="BR73" i="4" s="1"/>
  <c r="BA81" i="4"/>
  <c r="BS81" i="4"/>
  <c r="BR81" i="4" s="1"/>
  <c r="BA89" i="4"/>
  <c r="BS89" i="4"/>
  <c r="BR89" i="4" s="1"/>
  <c r="BA64" i="4"/>
  <c r="BS64" i="4"/>
  <c r="BR64" i="4" s="1"/>
  <c r="BA58" i="4"/>
  <c r="BS58" i="4"/>
  <c r="BR58" i="4" s="1"/>
  <c r="BA59" i="4"/>
  <c r="BS59" i="4"/>
  <c r="BR59" i="4" s="1"/>
  <c r="BA83" i="4"/>
  <c r="BS83" i="4"/>
  <c r="BR83" i="4" s="1"/>
  <c r="BA91" i="4"/>
  <c r="BS91" i="4"/>
  <c r="BR91" i="4" s="1"/>
  <c r="BA92" i="4"/>
  <c r="BS92" i="4"/>
  <c r="BR92" i="4" s="1"/>
  <c r="BA56" i="4"/>
  <c r="BS56" i="4"/>
  <c r="BR56" i="4" s="1"/>
  <c r="BA74" i="4"/>
  <c r="BS74" i="4"/>
  <c r="BR74" i="4" s="1"/>
  <c r="BA90" i="4"/>
  <c r="BS90" i="4"/>
  <c r="BR90" i="4" s="1"/>
  <c r="BA67" i="4"/>
  <c r="BS67" i="4"/>
  <c r="BR67" i="4" s="1"/>
  <c r="BA60" i="4"/>
  <c r="BS60" i="4"/>
  <c r="BR60" i="4" s="1"/>
  <c r="BA76" i="4"/>
  <c r="BS76" i="4"/>
  <c r="BR76" i="4" s="1"/>
  <c r="BA84" i="4"/>
  <c r="BS84" i="4"/>
  <c r="BR84" i="4" s="1"/>
  <c r="BA61" i="4"/>
  <c r="BS61" i="4"/>
  <c r="BR61" i="4" s="1"/>
  <c r="BA85" i="4"/>
  <c r="BS85" i="4"/>
  <c r="BR85" i="4" s="1"/>
  <c r="BA62" i="4"/>
  <c r="BS62" i="4"/>
  <c r="BR62" i="4" s="1"/>
  <c r="BA78" i="4"/>
  <c r="BS78" i="4"/>
  <c r="BR78" i="4" s="1"/>
  <c r="BA86" i="4"/>
  <c r="BS86" i="4"/>
  <c r="BR86" i="4" s="1"/>
  <c r="BA94" i="4"/>
  <c r="BS94" i="4"/>
  <c r="BR94" i="4" s="1"/>
  <c r="BA72" i="4"/>
  <c r="BS72" i="4"/>
  <c r="BR72" i="4" s="1"/>
  <c r="BA66" i="4"/>
  <c r="BS66" i="4"/>
  <c r="BR66" i="4" s="1"/>
  <c r="BA82" i="4"/>
  <c r="BS82" i="4"/>
  <c r="BR82" i="4" s="1"/>
  <c r="BA75" i="4"/>
  <c r="BS75" i="4"/>
  <c r="BR75" i="4" s="1"/>
  <c r="BA68" i="4"/>
  <c r="BS68" i="4"/>
  <c r="BR68" i="4" s="1"/>
  <c r="BA69" i="4"/>
  <c r="BS69" i="4"/>
  <c r="BR69" i="4" s="1"/>
  <c r="BA77" i="4"/>
  <c r="BS77" i="4"/>
  <c r="BR77" i="4" s="1"/>
  <c r="BA93" i="4"/>
  <c r="BS93" i="4"/>
  <c r="BR93" i="4" s="1"/>
  <c r="BA70" i="4"/>
  <c r="BS70" i="4"/>
  <c r="BR70" i="4" s="1"/>
  <c r="BA63" i="4"/>
  <c r="BS63" i="4"/>
  <c r="BR63" i="4" s="1"/>
  <c r="BA71" i="4"/>
  <c r="BS71" i="4"/>
  <c r="BR71" i="4" s="1"/>
  <c r="BA79" i="4"/>
  <c r="BS79" i="4"/>
  <c r="BR79" i="4" s="1"/>
  <c r="BA87" i="4"/>
  <c r="BS87" i="4"/>
  <c r="BR87" i="4" s="1"/>
  <c r="BA95" i="4"/>
  <c r="BS95" i="4"/>
  <c r="BR95" i="4" s="1"/>
  <c r="BA54" i="4"/>
  <c r="BS54" i="4"/>
  <c r="BR54" i="4" s="1"/>
  <c r="BA52" i="4"/>
  <c r="BS52" i="4"/>
  <c r="BR52" i="4" s="1"/>
  <c r="BA53" i="4"/>
  <c r="BS53" i="4"/>
  <c r="BR53" i="4" s="1"/>
  <c r="BA55" i="4"/>
  <c r="BS55" i="4"/>
  <c r="BR55" i="4" s="1"/>
  <c r="AL68" i="194"/>
  <c r="AM68" i="194" s="1"/>
  <c r="AB63" i="194" s="1"/>
  <c r="BA97" i="4"/>
  <c r="C99" i="4"/>
  <c r="Z57" i="4"/>
  <c r="B10" i="542" s="1"/>
  <c r="Z58" i="4"/>
  <c r="B11" i="542" s="1"/>
  <c r="Z59" i="4"/>
  <c r="B12" i="542" s="1"/>
  <c r="Z60" i="4"/>
  <c r="B13" i="542" s="1"/>
  <c r="Z61" i="4"/>
  <c r="B14" i="542" s="1"/>
  <c r="Z62" i="4"/>
  <c r="B15" i="542" s="1"/>
  <c r="Z63" i="4"/>
  <c r="B16" i="542" s="1"/>
  <c r="Z64" i="4"/>
  <c r="B17" i="542" s="1"/>
  <c r="Z65" i="4"/>
  <c r="B18" i="542" s="1"/>
  <c r="Z66" i="4"/>
  <c r="B19" i="542" s="1"/>
  <c r="Z67" i="4"/>
  <c r="B20" i="542" s="1"/>
  <c r="Z68" i="4"/>
  <c r="B21" i="542" s="1"/>
  <c r="Z69" i="4"/>
  <c r="B22" i="542" s="1"/>
  <c r="Z70" i="4"/>
  <c r="B23" i="542" s="1"/>
  <c r="Z71" i="4"/>
  <c r="B24" i="542" s="1"/>
  <c r="Z72" i="4"/>
  <c r="B25" i="542" s="1"/>
  <c r="Z74" i="4"/>
  <c r="B27" i="542" s="1"/>
  <c r="Z75" i="4"/>
  <c r="B28" i="542" s="1"/>
  <c r="Z76" i="4"/>
  <c r="B29" i="542" s="1"/>
  <c r="Z77" i="4"/>
  <c r="B30" i="542" s="1"/>
  <c r="Z78" i="4"/>
  <c r="B31" i="542" s="1"/>
  <c r="Z79" i="4"/>
  <c r="B32" i="542" s="1"/>
  <c r="Z80" i="4"/>
  <c r="B33" i="542" s="1"/>
  <c r="Z81" i="4"/>
  <c r="B34" i="542" s="1"/>
  <c r="Z82" i="4"/>
  <c r="B35" i="542" s="1"/>
  <c r="Z83" i="4"/>
  <c r="B36" i="542" s="1"/>
  <c r="Z84" i="4"/>
  <c r="B37" i="542" s="1"/>
  <c r="Z85" i="4"/>
  <c r="B38" i="542" s="1"/>
  <c r="Z73" i="4"/>
  <c r="B26" i="542" s="1"/>
  <c r="X12" i="542" l="1"/>
  <c r="X18" i="542"/>
  <c r="X37" i="542"/>
  <c r="X28" i="542"/>
  <c r="X27" i="542"/>
  <c r="X34" i="542"/>
  <c r="X25" i="542"/>
  <c r="X17" i="542"/>
  <c r="X29" i="542"/>
  <c r="X24" i="542"/>
  <c r="X16" i="542"/>
  <c r="X23" i="542"/>
  <c r="X15" i="542"/>
  <c r="X20" i="542"/>
  <c r="X19" i="542"/>
  <c r="X10" i="542"/>
  <c r="X33" i="542"/>
  <c r="X31" i="542"/>
  <c r="X14" i="542"/>
  <c r="X36" i="542"/>
  <c r="X11" i="542"/>
  <c r="X35" i="542"/>
  <c r="X32" i="542"/>
  <c r="X26" i="542"/>
  <c r="X22" i="542"/>
  <c r="X38" i="542"/>
  <c r="X30" i="542"/>
  <c r="X21" i="542"/>
  <c r="X13" i="542"/>
  <c r="T52" i="63"/>
  <c r="T76" i="63"/>
  <c r="T63" i="63"/>
  <c r="T55" i="63"/>
  <c r="T71" i="63"/>
  <c r="T62" i="63"/>
  <c r="T54" i="63"/>
  <c r="T70" i="63"/>
  <c r="T77" i="63"/>
  <c r="T51" i="63"/>
  <c r="T58" i="63"/>
  <c r="T61" i="63"/>
  <c r="T69" i="63"/>
  <c r="T68" i="63"/>
  <c r="T50" i="63"/>
  <c r="T74" i="63"/>
  <c r="T57" i="63"/>
  <c r="T49" i="63"/>
  <c r="T59" i="63"/>
  <c r="T75" i="63"/>
  <c r="T66" i="63"/>
  <c r="T73" i="63"/>
  <c r="T64" i="63"/>
  <c r="T56" i="63"/>
  <c r="T65" i="63"/>
  <c r="T53" i="63"/>
  <c r="T72" i="63"/>
  <c r="T60" i="63"/>
  <c r="S60" i="22"/>
  <c r="AY60" i="22" s="1"/>
  <c r="T67" i="63"/>
  <c r="Q75" i="4"/>
  <c r="Z87" i="4"/>
  <c r="B40" i="542" s="1"/>
  <c r="Z88" i="4"/>
  <c r="B41" i="542" s="1"/>
  <c r="Z89" i="4"/>
  <c r="B42" i="542" s="1"/>
  <c r="Z90" i="4"/>
  <c r="B43" i="542" s="1"/>
  <c r="Z91" i="4"/>
  <c r="B44" i="542" s="1"/>
  <c r="Z92" i="4"/>
  <c r="B45" i="542" s="1"/>
  <c r="Z93" i="4"/>
  <c r="B46" i="542" s="1"/>
  <c r="Z94" i="4"/>
  <c r="B47" i="542" s="1"/>
  <c r="Z95" i="4"/>
  <c r="B48" i="542" s="1"/>
  <c r="Z96" i="4"/>
  <c r="B49" i="542" s="1"/>
  <c r="Z97" i="4"/>
  <c r="B122" i="27" s="1"/>
  <c r="Z98" i="4"/>
  <c r="Z99" i="4"/>
  <c r="Z100" i="4"/>
  <c r="Z101" i="4"/>
  <c r="Z102" i="4"/>
  <c r="Z103" i="4"/>
  <c r="Z104" i="4"/>
  <c r="Z86" i="4"/>
  <c r="B39" i="542" s="1"/>
  <c r="Z51" i="4"/>
  <c r="Z52" i="4"/>
  <c r="Z53" i="4"/>
  <c r="Z54" i="4"/>
  <c r="Z55" i="4"/>
  <c r="Z56" i="4"/>
  <c r="Z50" i="4"/>
  <c r="AJ105" i="4"/>
  <c r="AI105" i="4"/>
  <c r="AK104" i="4"/>
  <c r="AK105" i="4" s="1"/>
  <c r="AL105" i="4" s="1"/>
  <c r="O105" i="4" s="1"/>
  <c r="X45" i="542" l="1"/>
  <c r="X46" i="542"/>
  <c r="X44" i="542"/>
  <c r="X39" i="542"/>
  <c r="AH135" i="4"/>
  <c r="B50" i="542"/>
  <c r="X42" i="542"/>
  <c r="X41" i="542"/>
  <c r="X43" i="542"/>
  <c r="X49" i="542"/>
  <c r="X48" i="542"/>
  <c r="X40" i="542"/>
  <c r="X47" i="542"/>
  <c r="T78" i="63"/>
  <c r="T82" i="63"/>
  <c r="T81" i="63"/>
  <c r="T79" i="63"/>
  <c r="T86" i="63"/>
  <c r="T88" i="63"/>
  <c r="T48" i="63"/>
  <c r="T85" i="63"/>
  <c r="T80" i="63"/>
  <c r="T87" i="63"/>
  <c r="T47" i="63"/>
  <c r="T45" i="63"/>
  <c r="T84" i="63"/>
  <c r="T83" i="63"/>
  <c r="B122" i="1"/>
  <c r="BD96" i="16"/>
  <c r="S96" i="102"/>
  <c r="BQ96" i="102" s="1"/>
  <c r="BT96" i="102" s="1"/>
  <c r="S95" i="102"/>
  <c r="BQ95" i="102" s="1"/>
  <c r="BT95" i="102" s="1"/>
  <c r="T46" i="63"/>
  <c r="V46" i="3"/>
  <c r="T44" i="63"/>
  <c r="V44" i="3"/>
  <c r="BB44" i="3" s="1"/>
  <c r="T44" i="51"/>
  <c r="BB44" i="51" s="1"/>
  <c r="W44" i="29"/>
  <c r="AR105" i="4"/>
  <c r="BI105" i="4" s="1"/>
  <c r="T89" i="63"/>
  <c r="E122" i="104"/>
  <c r="B122" i="133"/>
  <c r="B122" i="25"/>
  <c r="B122" i="101"/>
  <c r="B122" i="103"/>
  <c r="G122" i="103" s="1"/>
  <c r="K122" i="103" s="1"/>
  <c r="B122" i="23"/>
  <c r="B122" i="314"/>
  <c r="B122" i="131"/>
  <c r="C122" i="104"/>
  <c r="B122" i="26"/>
  <c r="B122" i="104"/>
  <c r="B122" i="102"/>
  <c r="B122" i="20"/>
  <c r="B122" i="21"/>
  <c r="B122" i="19"/>
  <c r="B122" i="29"/>
  <c r="B122" i="323"/>
  <c r="G122" i="323" s="1"/>
  <c r="K122" i="323" s="1"/>
  <c r="B122" i="51"/>
  <c r="B122" i="63"/>
  <c r="B122" i="18"/>
  <c r="B122" i="3"/>
  <c r="Q97" i="4"/>
  <c r="AL104" i="4"/>
  <c r="D122" i="104" l="1"/>
  <c r="AS105" i="4"/>
  <c r="G122" i="23"/>
  <c r="K122" i="23" s="1"/>
  <c r="Q122" i="23" s="1"/>
  <c r="G122" i="131"/>
  <c r="K122" i="131" s="1"/>
  <c r="Q122" i="131" s="1"/>
  <c r="X50" i="542"/>
  <c r="AK135" i="4" s="1"/>
  <c r="U97" i="16"/>
  <c r="W97" i="16" s="1"/>
  <c r="BJ105" i="4"/>
  <c r="AD58" i="196"/>
  <c r="AD57" i="196"/>
  <c r="X57" i="196"/>
  <c r="X58" i="196"/>
  <c r="X59" i="196"/>
  <c r="X60" i="196"/>
  <c r="X61" i="196"/>
  <c r="X62" i="196"/>
  <c r="X63" i="196"/>
  <c r="X64" i="196"/>
  <c r="X65" i="196"/>
  <c r="X66" i="196"/>
  <c r="X67" i="196"/>
  <c r="X68" i="196"/>
  <c r="X69" i="196"/>
  <c r="X70" i="196"/>
  <c r="X71" i="196"/>
  <c r="X72" i="196"/>
  <c r="X73" i="196"/>
  <c r="X74" i="196"/>
  <c r="X75" i="196"/>
  <c r="X76" i="196"/>
  <c r="X77" i="196"/>
  <c r="X78" i="196"/>
  <c r="X79" i="196"/>
  <c r="X56" i="196"/>
  <c r="U57" i="196"/>
  <c r="U58" i="196"/>
  <c r="U59" i="196"/>
  <c r="U60" i="196"/>
  <c r="U61" i="196"/>
  <c r="U62" i="196"/>
  <c r="U63" i="196"/>
  <c r="U64" i="196"/>
  <c r="U65" i="196"/>
  <c r="U66" i="196"/>
  <c r="U67" i="196"/>
  <c r="U68" i="196"/>
  <c r="U69" i="196"/>
  <c r="U70" i="196"/>
  <c r="U71" i="196"/>
  <c r="U72" i="196"/>
  <c r="U73" i="196"/>
  <c r="U74" i="196"/>
  <c r="U75" i="196"/>
  <c r="U76" i="196"/>
  <c r="U77" i="196"/>
  <c r="U78" i="196"/>
  <c r="U79" i="196"/>
  <c r="U56" i="196"/>
  <c r="R57" i="196"/>
  <c r="R58" i="196"/>
  <c r="R59" i="196"/>
  <c r="R60" i="196"/>
  <c r="R61" i="196"/>
  <c r="R62" i="196"/>
  <c r="R63" i="196"/>
  <c r="R64" i="196"/>
  <c r="R65" i="196"/>
  <c r="R66" i="196"/>
  <c r="R67" i="196"/>
  <c r="R68" i="196"/>
  <c r="R69" i="196"/>
  <c r="R70" i="196"/>
  <c r="R71" i="196"/>
  <c r="R72" i="196"/>
  <c r="R73" i="196"/>
  <c r="R74" i="196"/>
  <c r="R75" i="196"/>
  <c r="R76" i="196"/>
  <c r="R77" i="196"/>
  <c r="R78" i="196"/>
  <c r="R79" i="196"/>
  <c r="R56" i="196"/>
  <c r="P57" i="196"/>
  <c r="P58" i="196"/>
  <c r="P59" i="196"/>
  <c r="P60" i="196"/>
  <c r="P61" i="196"/>
  <c r="P62" i="196"/>
  <c r="P63" i="196"/>
  <c r="P64" i="196"/>
  <c r="P65" i="196"/>
  <c r="P66" i="196"/>
  <c r="P67" i="196"/>
  <c r="P68" i="196"/>
  <c r="P69" i="196"/>
  <c r="P70" i="196"/>
  <c r="P71" i="196"/>
  <c r="P72" i="196"/>
  <c r="P73" i="196"/>
  <c r="P74" i="196"/>
  <c r="P75" i="196"/>
  <c r="P76" i="196"/>
  <c r="P77" i="196"/>
  <c r="P78" i="196"/>
  <c r="P79" i="196"/>
  <c r="P56" i="196"/>
  <c r="J57" i="196"/>
  <c r="K57" i="196"/>
  <c r="L57" i="196"/>
  <c r="M57" i="196"/>
  <c r="J58" i="196"/>
  <c r="K58" i="196"/>
  <c r="L58" i="196"/>
  <c r="M58" i="196"/>
  <c r="J59" i="196"/>
  <c r="K59" i="196"/>
  <c r="L59" i="196"/>
  <c r="M59" i="196"/>
  <c r="J60" i="196"/>
  <c r="K60" i="196"/>
  <c r="L60" i="196"/>
  <c r="M60" i="196"/>
  <c r="J61" i="196"/>
  <c r="K61" i="196"/>
  <c r="L61" i="196"/>
  <c r="M61" i="196"/>
  <c r="J62" i="196"/>
  <c r="K62" i="196"/>
  <c r="L62" i="196"/>
  <c r="M62" i="196"/>
  <c r="J63" i="196"/>
  <c r="K63" i="196"/>
  <c r="L63" i="196"/>
  <c r="M63" i="196"/>
  <c r="J64" i="196"/>
  <c r="K64" i="196"/>
  <c r="L64" i="196"/>
  <c r="M64" i="196"/>
  <c r="J65" i="196"/>
  <c r="K65" i="196"/>
  <c r="L65" i="196"/>
  <c r="M65" i="196"/>
  <c r="J66" i="196"/>
  <c r="K66" i="196"/>
  <c r="L66" i="196"/>
  <c r="M66" i="196"/>
  <c r="J67" i="196"/>
  <c r="K67" i="196"/>
  <c r="L67" i="196"/>
  <c r="M67" i="196"/>
  <c r="J68" i="196"/>
  <c r="K68" i="196"/>
  <c r="L68" i="196"/>
  <c r="M68" i="196"/>
  <c r="J69" i="196"/>
  <c r="K69" i="196"/>
  <c r="L69" i="196"/>
  <c r="M69" i="196"/>
  <c r="J70" i="196"/>
  <c r="K70" i="196"/>
  <c r="L70" i="196"/>
  <c r="M70" i="196"/>
  <c r="J71" i="196"/>
  <c r="K71" i="196"/>
  <c r="L71" i="196"/>
  <c r="M71" i="196"/>
  <c r="J72" i="196"/>
  <c r="K72" i="196"/>
  <c r="L72" i="196"/>
  <c r="M72" i="196"/>
  <c r="J73" i="196"/>
  <c r="K73" i="196"/>
  <c r="L73" i="196"/>
  <c r="M73" i="196"/>
  <c r="J74" i="196"/>
  <c r="K74" i="196"/>
  <c r="L74" i="196"/>
  <c r="M74" i="196"/>
  <c r="J75" i="196"/>
  <c r="K75" i="196"/>
  <c r="L75" i="196"/>
  <c r="M75" i="196"/>
  <c r="J76" i="196"/>
  <c r="K76" i="196"/>
  <c r="L76" i="196"/>
  <c r="M76" i="196"/>
  <c r="J77" i="196"/>
  <c r="K77" i="196"/>
  <c r="L77" i="196"/>
  <c r="M77" i="196"/>
  <c r="J78" i="196"/>
  <c r="K78" i="196"/>
  <c r="L78" i="196"/>
  <c r="M78" i="196"/>
  <c r="J79" i="196"/>
  <c r="K79" i="196"/>
  <c r="L79" i="196"/>
  <c r="M79" i="196"/>
  <c r="K56" i="196"/>
  <c r="L56" i="196"/>
  <c r="M56" i="196"/>
  <c r="J56" i="196"/>
  <c r="C57" i="196"/>
  <c r="D57" i="196"/>
  <c r="C58" i="196"/>
  <c r="D58" i="196"/>
  <c r="C59" i="196"/>
  <c r="D59" i="196"/>
  <c r="C60" i="196"/>
  <c r="D60" i="196"/>
  <c r="C61" i="196"/>
  <c r="D61" i="196"/>
  <c r="C62" i="196"/>
  <c r="D62" i="196"/>
  <c r="C63" i="196"/>
  <c r="D63" i="196"/>
  <c r="C64" i="196"/>
  <c r="D64" i="196"/>
  <c r="C65" i="196"/>
  <c r="D65" i="196"/>
  <c r="C66" i="196"/>
  <c r="D66" i="196"/>
  <c r="C67" i="196"/>
  <c r="D67" i="196"/>
  <c r="C68" i="196"/>
  <c r="D68" i="196"/>
  <c r="C69" i="196"/>
  <c r="D69" i="196"/>
  <c r="C70" i="196"/>
  <c r="D70" i="196"/>
  <c r="C71" i="196"/>
  <c r="D71" i="196"/>
  <c r="C72" i="196"/>
  <c r="D72" i="196"/>
  <c r="C73" i="196"/>
  <c r="D73" i="196"/>
  <c r="C74" i="196"/>
  <c r="D74" i="196"/>
  <c r="C75" i="196"/>
  <c r="D75" i="196"/>
  <c r="C76" i="196"/>
  <c r="D76" i="196"/>
  <c r="C77" i="196"/>
  <c r="D77" i="196"/>
  <c r="C78" i="196"/>
  <c r="D78" i="196"/>
  <c r="C79" i="196"/>
  <c r="D79" i="196"/>
  <c r="D56" i="196"/>
  <c r="C56" i="196"/>
  <c r="AB60" i="196"/>
  <c r="AB61" i="196" s="1"/>
  <c r="AB62" i="196" s="1"/>
  <c r="AB63" i="196" s="1"/>
  <c r="AB64" i="196" s="1"/>
  <c r="AB65" i="196" s="1"/>
  <c r="AB66" i="196" s="1"/>
  <c r="AB67" i="196" s="1"/>
  <c r="AB68" i="196" s="1"/>
  <c r="AB69" i="196" s="1"/>
  <c r="AB70" i="196" s="1"/>
  <c r="AB71" i="196" s="1"/>
  <c r="AB72" i="196" s="1"/>
  <c r="AB73" i="196" s="1"/>
  <c r="AB74" i="196" s="1"/>
  <c r="AB75" i="196" s="1"/>
  <c r="AB76" i="196" s="1"/>
  <c r="AB77" i="196" s="1"/>
  <c r="AB78" i="196" s="1"/>
  <c r="AB79" i="196" s="1"/>
  <c r="AB59" i="196"/>
  <c r="B60" i="196"/>
  <c r="B61" i="196" s="1"/>
  <c r="B62" i="196" s="1"/>
  <c r="B63" i="196" s="1"/>
  <c r="B64" i="196" s="1"/>
  <c r="B65" i="196" s="1"/>
  <c r="B66" i="196" s="1"/>
  <c r="B67" i="196" s="1"/>
  <c r="B68" i="196" s="1"/>
  <c r="B69" i="196" s="1"/>
  <c r="B70" i="196" s="1"/>
  <c r="B71" i="196" s="1"/>
  <c r="B72" i="196" s="1"/>
  <c r="B73" i="196" s="1"/>
  <c r="B74" i="196" s="1"/>
  <c r="B75" i="196" s="1"/>
  <c r="B76" i="196" s="1"/>
  <c r="B77" i="196" s="1"/>
  <c r="B78" i="196" s="1"/>
  <c r="B79" i="196" s="1"/>
  <c r="B59" i="196"/>
  <c r="AI122" i="22" l="1"/>
  <c r="AL122" i="1"/>
  <c r="D122" i="1" s="1"/>
  <c r="AI122" i="129"/>
  <c r="D122" i="129" s="1"/>
  <c r="AL122" i="63"/>
  <c r="D122" i="63" s="1"/>
  <c r="AJ122" i="3"/>
  <c r="D122" i="3" s="1"/>
  <c r="AL122" i="323"/>
  <c r="D122" i="323" s="1"/>
  <c r="I122" i="323" s="1"/>
  <c r="M122" i="323" s="1"/>
  <c r="AL122" i="19"/>
  <c r="D122" i="19" s="1"/>
  <c r="AL122" i="51"/>
  <c r="D122" i="51" s="1"/>
  <c r="AL122" i="29"/>
  <c r="D122" i="29" s="1"/>
  <c r="AL122" i="23"/>
  <c r="D122" i="23" s="1"/>
  <c r="I122" i="23" s="1"/>
  <c r="M122" i="23" s="1"/>
  <c r="S122" i="23" s="1"/>
  <c r="AL122" i="18"/>
  <c r="D122" i="18" s="1"/>
  <c r="AK122" i="20"/>
  <c r="D122" i="20" s="1"/>
  <c r="AL122" i="26"/>
  <c r="D122" i="26" s="1"/>
  <c r="AL122" i="27"/>
  <c r="D122" i="27" s="1"/>
  <c r="AL122" i="101"/>
  <c r="D122" i="101" s="1"/>
  <c r="AL122" i="21"/>
  <c r="D122" i="21" s="1"/>
  <c r="AK122" i="314"/>
  <c r="D122" i="314" s="1"/>
  <c r="AL122" i="133"/>
  <c r="D122" i="133" s="1"/>
  <c r="AL122" i="25"/>
  <c r="D122" i="25" s="1"/>
  <c r="AJ135" i="4"/>
  <c r="AL135" i="4"/>
  <c r="AL122" i="131"/>
  <c r="D122" i="131" s="1"/>
  <c r="I122" i="131" s="1"/>
  <c r="M122" i="131" s="1"/>
  <c r="S122" i="131" s="1"/>
  <c r="AQ6" i="639" s="1"/>
  <c r="AL122" i="102"/>
  <c r="D122" i="102" s="1"/>
  <c r="AL122" i="103"/>
  <c r="D122" i="103" s="1"/>
  <c r="Z95" i="323"/>
  <c r="AP95" i="323" s="1"/>
  <c r="AJ122" i="129" l="1"/>
  <c r="E122" i="129" s="1"/>
  <c r="AM122" i="1"/>
  <c r="E122" i="1" s="1"/>
  <c r="AK122" i="3"/>
  <c r="E122" i="3" s="1"/>
  <c r="AJ122" i="22"/>
  <c r="E122" i="22" s="1"/>
  <c r="J122" i="22" s="1"/>
  <c r="AM122" i="29"/>
  <c r="E122" i="29" s="1"/>
  <c r="AM122" i="18"/>
  <c r="E122" i="18" s="1"/>
  <c r="AL122" i="20"/>
  <c r="E122" i="20" s="1"/>
  <c r="AM122" i="323"/>
  <c r="E122" i="323" s="1"/>
  <c r="J122" i="323" s="1"/>
  <c r="N122" i="323" s="1"/>
  <c r="AM122" i="51"/>
  <c r="E122" i="51" s="1"/>
  <c r="AM122" i="19"/>
  <c r="E122" i="19" s="1"/>
  <c r="AM122" i="21"/>
  <c r="E122" i="21" s="1"/>
  <c r="AM122" i="63"/>
  <c r="E122" i="63" s="1"/>
  <c r="AL122" i="314"/>
  <c r="E122" i="314" s="1"/>
  <c r="AM122" i="25"/>
  <c r="E122" i="25" s="1"/>
  <c r="AM122" i="26"/>
  <c r="E122" i="26" s="1"/>
  <c r="AM122" i="27"/>
  <c r="E122" i="27" s="1"/>
  <c r="AM122" i="101"/>
  <c r="E122" i="101" s="1"/>
  <c r="AM122" i="23"/>
  <c r="E122" i="23" s="1"/>
  <c r="J122" i="23" s="1"/>
  <c r="N122" i="23" s="1"/>
  <c r="T122" i="23" s="1"/>
  <c r="AM122" i="133"/>
  <c r="E122" i="133" s="1"/>
  <c r="AM122" i="103"/>
  <c r="E122" i="103" s="1"/>
  <c r="AM122" i="131"/>
  <c r="E122" i="131" s="1"/>
  <c r="J122" i="131" s="1"/>
  <c r="N122" i="131" s="1"/>
  <c r="T122" i="131" s="1"/>
  <c r="AM122" i="102"/>
  <c r="E122" i="102" s="1"/>
  <c r="AH122" i="22"/>
  <c r="C122" i="22" s="1"/>
  <c r="H122" i="22" s="1"/>
  <c r="L122" i="22" s="1"/>
  <c r="AH122" i="129"/>
  <c r="AI122" i="3"/>
  <c r="C122" i="3" s="1"/>
  <c r="AK122" i="63"/>
  <c r="C122" i="63" s="1"/>
  <c r="AK122" i="18"/>
  <c r="C122" i="18" s="1"/>
  <c r="AJ122" i="20"/>
  <c r="C122" i="20" s="1"/>
  <c r="AK122" i="51"/>
  <c r="C122" i="51" s="1"/>
  <c r="AK122" i="29"/>
  <c r="C122" i="29" s="1"/>
  <c r="AK122" i="23"/>
  <c r="C122" i="23" s="1"/>
  <c r="H122" i="23" s="1"/>
  <c r="L122" i="23" s="1"/>
  <c r="R122" i="23" s="1"/>
  <c r="AP6" i="639" s="1"/>
  <c r="AK122" i="21"/>
  <c r="C122" i="21" s="1"/>
  <c r="AK122" i="323"/>
  <c r="C122" i="323" s="1"/>
  <c r="H122" i="323" s="1"/>
  <c r="L122" i="323" s="1"/>
  <c r="AK122" i="131"/>
  <c r="C122" i="131" s="1"/>
  <c r="H122" i="131" s="1"/>
  <c r="L122" i="131" s="1"/>
  <c r="R122" i="131" s="1"/>
  <c r="AK122" i="19"/>
  <c r="C122" i="19" s="1"/>
  <c r="AK122" i="26"/>
  <c r="C122" i="26" s="1"/>
  <c r="AK122" i="27"/>
  <c r="C122" i="27" s="1"/>
  <c r="AK122" i="101"/>
  <c r="C122" i="101" s="1"/>
  <c r="AK122" i="25"/>
  <c r="C122" i="25" s="1"/>
  <c r="AK122" i="133"/>
  <c r="C122" i="133" s="1"/>
  <c r="AJ122" i="314"/>
  <c r="C122" i="314" s="1"/>
  <c r="AK122" i="102"/>
  <c r="C122" i="102" s="1"/>
  <c r="AK122" i="103"/>
  <c r="C122" i="103" s="1"/>
  <c r="B122" i="22"/>
  <c r="D122" i="22"/>
  <c r="I122" i="22" s="1"/>
  <c r="Z96" i="323"/>
  <c r="B122" i="129" l="1"/>
  <c r="C122" i="129"/>
  <c r="AP96" i="323"/>
  <c r="Z97" i="323"/>
  <c r="AB92" i="323"/>
  <c r="Z93" i="323"/>
  <c r="AP93" i="323" s="1"/>
  <c r="AD21" i="196"/>
  <c r="AD22" i="196"/>
  <c r="AD23" i="196"/>
  <c r="AD24" i="196"/>
  <c r="AD25" i="196"/>
  <c r="AD26" i="196"/>
  <c r="AD27" i="196"/>
  <c r="AD28" i="196"/>
  <c r="AD29" i="196"/>
  <c r="AD30" i="196"/>
  <c r="AD31" i="196"/>
  <c r="AD32" i="196"/>
  <c r="AD33" i="196"/>
  <c r="AD34" i="196"/>
  <c r="AD35" i="196"/>
  <c r="AD36" i="196"/>
  <c r="AD37" i="196"/>
  <c r="AD38" i="196"/>
  <c r="AD39" i="196"/>
  <c r="AD40" i="196"/>
  <c r="AD41" i="196"/>
  <c r="AD42" i="196"/>
  <c r="AD43" i="196"/>
  <c r="AD44" i="196"/>
  <c r="AD45" i="196"/>
  <c r="AD46" i="196"/>
  <c r="AD47" i="196"/>
  <c r="AD48" i="196"/>
  <c r="AD49" i="196"/>
  <c r="AD50" i="196"/>
  <c r="AD51" i="196"/>
  <c r="AD52" i="196"/>
  <c r="AD53" i="196"/>
  <c r="AD54" i="196"/>
  <c r="AD55" i="196"/>
  <c r="AD56" i="196"/>
  <c r="AD20" i="196"/>
  <c r="T61" i="323"/>
  <c r="T64" i="323"/>
  <c r="G74" i="323"/>
  <c r="T74" i="323" s="1"/>
  <c r="G75" i="323"/>
  <c r="H75" i="323" s="1"/>
  <c r="I75" i="323" s="1"/>
  <c r="G76" i="323"/>
  <c r="H76" i="323" s="1"/>
  <c r="I76" i="323" s="1"/>
  <c r="AB76" i="323" s="1"/>
  <c r="G77" i="323"/>
  <c r="H77" i="323" s="1"/>
  <c r="I77" i="323" s="1"/>
  <c r="G78" i="323"/>
  <c r="H78" i="323" s="1"/>
  <c r="I78" i="323" s="1"/>
  <c r="G79" i="323"/>
  <c r="T79" i="323" s="1"/>
  <c r="G80" i="323"/>
  <c r="H80" i="323" s="1"/>
  <c r="I80" i="323" s="1"/>
  <c r="G81" i="323"/>
  <c r="T81" i="323" s="1"/>
  <c r="BB81" i="323" s="1"/>
  <c r="BA81" i="323" s="1"/>
  <c r="G82" i="323"/>
  <c r="T82" i="323" s="1"/>
  <c r="BB82" i="323" s="1"/>
  <c r="BA82" i="323" s="1"/>
  <c r="G83" i="323"/>
  <c r="H83" i="323" s="1"/>
  <c r="I83" i="323" s="1"/>
  <c r="G84" i="323"/>
  <c r="H84" i="323" s="1"/>
  <c r="I84" i="323" s="1"/>
  <c r="G85" i="323"/>
  <c r="H85" i="323" s="1"/>
  <c r="I85" i="323" s="1"/>
  <c r="G86" i="323"/>
  <c r="H86" i="323" s="1"/>
  <c r="G87" i="323"/>
  <c r="T87" i="323" s="1"/>
  <c r="G88" i="323"/>
  <c r="G89" i="323"/>
  <c r="T89" i="323" s="1"/>
  <c r="BB89" i="323" s="1"/>
  <c r="BA89" i="323" s="1"/>
  <c r="G90" i="323"/>
  <c r="T90" i="323" s="1"/>
  <c r="G91" i="323"/>
  <c r="H91" i="323" s="1"/>
  <c r="G92" i="323"/>
  <c r="H92" i="323" s="1"/>
  <c r="G93" i="323"/>
  <c r="T93" i="323" s="1"/>
  <c r="G94" i="323"/>
  <c r="T94" i="323" s="1"/>
  <c r="G95" i="323"/>
  <c r="T95" i="323" s="1"/>
  <c r="G96" i="323"/>
  <c r="T96" i="323" s="1"/>
  <c r="T60" i="323"/>
  <c r="AB97" i="323"/>
  <c r="C95" i="323"/>
  <c r="C94" i="323"/>
  <c r="C93" i="323"/>
  <c r="C92" i="323"/>
  <c r="C91" i="323"/>
  <c r="C90" i="323"/>
  <c r="C89" i="323"/>
  <c r="T73" i="323"/>
  <c r="T71" i="323"/>
  <c r="T70" i="323"/>
  <c r="T69" i="323"/>
  <c r="T68" i="323"/>
  <c r="T67" i="323"/>
  <c r="T66" i="323"/>
  <c r="T65" i="323"/>
  <c r="T63" i="323"/>
  <c r="T62" i="323"/>
  <c r="T59" i="323"/>
  <c r="T58" i="323"/>
  <c r="T57" i="323"/>
  <c r="T56" i="323"/>
  <c r="T55" i="323"/>
  <c r="T54" i="323"/>
  <c r="T53" i="323"/>
  <c r="T52" i="323"/>
  <c r="T51" i="323"/>
  <c r="T50" i="323"/>
  <c r="T49" i="323"/>
  <c r="T48" i="323"/>
  <c r="T47" i="323"/>
  <c r="T46" i="323"/>
  <c r="T45" i="323"/>
  <c r="T44" i="323"/>
  <c r="AP97" i="323" l="1"/>
  <c r="P130" i="323"/>
  <c r="AQ97" i="323"/>
  <c r="AC97" i="323"/>
  <c r="AR97" i="323" s="1"/>
  <c r="AC76" i="323"/>
  <c r="AR76" i="323" s="1"/>
  <c r="AY76" i="323" s="1"/>
  <c r="AQ76" i="323"/>
  <c r="Z92" i="323"/>
  <c r="AP92" i="323" s="1"/>
  <c r="AQ92" i="323"/>
  <c r="BB95" i="323"/>
  <c r="BA95" i="323" s="1"/>
  <c r="P128" i="323"/>
  <c r="BB94" i="323"/>
  <c r="BA94" i="323" s="1"/>
  <c r="BB93" i="323"/>
  <c r="BA93" i="323" s="1"/>
  <c r="BB90" i="323"/>
  <c r="BA90" i="323" s="1"/>
  <c r="P126" i="323"/>
  <c r="P127" i="323"/>
  <c r="BB96" i="323"/>
  <c r="BA96" i="323" s="1"/>
  <c r="H88" i="323"/>
  <c r="P129" i="323"/>
  <c r="BB79" i="323"/>
  <c r="BA79" i="323" s="1"/>
  <c r="BB74" i="323"/>
  <c r="BA74" i="323" s="1"/>
  <c r="BB87" i="323"/>
  <c r="BA87" i="323" s="1"/>
  <c r="H95" i="323"/>
  <c r="H87" i="323"/>
  <c r="H89" i="323"/>
  <c r="H79" i="323"/>
  <c r="I79" i="323" s="1"/>
  <c r="AB79" i="323" s="1"/>
  <c r="AB84" i="323"/>
  <c r="AB91" i="323"/>
  <c r="AQ91" i="323" s="1"/>
  <c r="AO91" i="323"/>
  <c r="I86" i="323"/>
  <c r="AB86" i="323" s="1"/>
  <c r="H90" i="323"/>
  <c r="AO90" i="323" s="1"/>
  <c r="G51" i="193" s="1"/>
  <c r="G50" i="490" s="1"/>
  <c r="J5" i="491" s="1"/>
  <c r="H82" i="323"/>
  <c r="I82" i="323" s="1"/>
  <c r="H74" i="323"/>
  <c r="I74" i="323" s="1"/>
  <c r="AO74" i="323" s="1"/>
  <c r="G35" i="193" s="1"/>
  <c r="G34" i="490" s="1"/>
  <c r="T88" i="323"/>
  <c r="T80" i="323"/>
  <c r="H81" i="323"/>
  <c r="I81" i="323" s="1"/>
  <c r="AO81" i="323" s="1"/>
  <c r="T92" i="323"/>
  <c r="H96" i="323"/>
  <c r="I96" i="323" s="1"/>
  <c r="T86" i="323"/>
  <c r="T78" i="323"/>
  <c r="T91" i="323"/>
  <c r="T77" i="323"/>
  <c r="T85" i="323"/>
  <c r="H94" i="323"/>
  <c r="T84" i="323"/>
  <c r="T76" i="323"/>
  <c r="H93" i="323"/>
  <c r="T75" i="323"/>
  <c r="T83" i="323"/>
  <c r="B91" i="323"/>
  <c r="B89" i="323"/>
  <c r="AO85" i="323"/>
  <c r="AB85" i="323"/>
  <c r="AB77" i="323"/>
  <c r="AO77" i="323"/>
  <c r="AO83" i="323"/>
  <c r="AO84" i="323"/>
  <c r="T72" i="323"/>
  <c r="AO78" i="323"/>
  <c r="G39" i="193" s="1"/>
  <c r="G38" i="490" s="1"/>
  <c r="AB78" i="323"/>
  <c r="AO75" i="323"/>
  <c r="G36" i="193" s="1"/>
  <c r="G35" i="490" s="1"/>
  <c r="AB75" i="323"/>
  <c r="AO76" i="323"/>
  <c r="G37" i="193" s="1"/>
  <c r="G36" i="490" s="1"/>
  <c r="AB80" i="323"/>
  <c r="AO88" i="323"/>
  <c r="G49" i="193" s="1"/>
  <c r="G48" i="490" s="1"/>
  <c r="AO80" i="323"/>
  <c r="G41" i="193" s="1"/>
  <c r="G40" i="490" s="1"/>
  <c r="AB83" i="323"/>
  <c r="AB88" i="323"/>
  <c r="AO87" i="323"/>
  <c r="G48" i="193" s="1"/>
  <c r="G47" i="490" s="1"/>
  <c r="AB87" i="323"/>
  <c r="AO89" i="323"/>
  <c r="K98" i="4"/>
  <c r="K99" i="4"/>
  <c r="K100" i="4"/>
  <c r="K101" i="4"/>
  <c r="K102" i="4"/>
  <c r="K103" i="4"/>
  <c r="K97" i="4"/>
  <c r="C90" i="104"/>
  <c r="C91" i="104"/>
  <c r="C92" i="104"/>
  <c r="C93" i="104"/>
  <c r="C94" i="104"/>
  <c r="C95" i="104"/>
  <c r="C89" i="104"/>
  <c r="C90" i="103"/>
  <c r="C91" i="103"/>
  <c r="C92" i="103"/>
  <c r="C93" i="103"/>
  <c r="C94" i="103"/>
  <c r="C95" i="103"/>
  <c r="C89" i="103"/>
  <c r="C90" i="133"/>
  <c r="C91" i="133"/>
  <c r="C92" i="133"/>
  <c r="C93" i="133"/>
  <c r="C94" i="133"/>
  <c r="C95" i="133"/>
  <c r="C89" i="133"/>
  <c r="C90" i="102"/>
  <c r="C91" i="102"/>
  <c r="C92" i="102"/>
  <c r="C93" i="102"/>
  <c r="C94" i="102"/>
  <c r="C89" i="102"/>
  <c r="C90" i="101"/>
  <c r="C91" i="101"/>
  <c r="C92" i="101"/>
  <c r="C93" i="101"/>
  <c r="C94" i="101"/>
  <c r="C95" i="101"/>
  <c r="C89" i="101"/>
  <c r="C90" i="27"/>
  <c r="C91" i="27"/>
  <c r="C92" i="27"/>
  <c r="C93" i="27"/>
  <c r="C94" i="27"/>
  <c r="C95" i="27"/>
  <c r="C89" i="27"/>
  <c r="C90" i="26"/>
  <c r="C91" i="26"/>
  <c r="C92" i="26"/>
  <c r="C93" i="26"/>
  <c r="C94" i="26"/>
  <c r="C95" i="26"/>
  <c r="C89" i="26"/>
  <c r="C90" i="25"/>
  <c r="C91" i="25"/>
  <c r="C92" i="25"/>
  <c r="C93" i="25"/>
  <c r="C94" i="25"/>
  <c r="C95" i="25"/>
  <c r="C89" i="25"/>
  <c r="C90" i="131"/>
  <c r="C91" i="131"/>
  <c r="C92" i="131"/>
  <c r="C93" i="131"/>
  <c r="C94" i="131"/>
  <c r="C95" i="131"/>
  <c r="C89" i="131"/>
  <c r="C90" i="23"/>
  <c r="C91" i="23"/>
  <c r="C92" i="23"/>
  <c r="C93" i="23"/>
  <c r="C94" i="23"/>
  <c r="C95" i="23"/>
  <c r="C89" i="23"/>
  <c r="C89" i="314"/>
  <c r="C90" i="314"/>
  <c r="C91" i="314"/>
  <c r="C92" i="314"/>
  <c r="C93" i="314"/>
  <c r="C94" i="314"/>
  <c r="C95" i="314"/>
  <c r="C90" i="22"/>
  <c r="C91" i="22"/>
  <c r="C92" i="22"/>
  <c r="C93" i="22"/>
  <c r="C94" i="22"/>
  <c r="C95" i="22"/>
  <c r="C89" i="22"/>
  <c r="C90" i="129"/>
  <c r="C91" i="129"/>
  <c r="C92" i="129"/>
  <c r="C93" i="129"/>
  <c r="C94" i="129"/>
  <c r="C95" i="129"/>
  <c r="C89" i="129"/>
  <c r="C90" i="21"/>
  <c r="C91" i="21"/>
  <c r="C92" i="21"/>
  <c r="C93" i="21"/>
  <c r="C94" i="21"/>
  <c r="C95" i="21"/>
  <c r="C89" i="21"/>
  <c r="C90" i="20"/>
  <c r="C91" i="20"/>
  <c r="C92" i="20"/>
  <c r="C93" i="20"/>
  <c r="C94" i="20"/>
  <c r="C95" i="20"/>
  <c r="C89" i="20"/>
  <c r="C90" i="19"/>
  <c r="C91" i="19"/>
  <c r="C92" i="19"/>
  <c r="C93" i="19"/>
  <c r="C94" i="19"/>
  <c r="C95" i="19"/>
  <c r="C89" i="19"/>
  <c r="C90" i="29"/>
  <c r="C91" i="29"/>
  <c r="C92" i="29"/>
  <c r="C93" i="29"/>
  <c r="C94" i="29"/>
  <c r="C95" i="29"/>
  <c r="C89" i="29"/>
  <c r="C90" i="16"/>
  <c r="C91" i="16"/>
  <c r="C92" i="16"/>
  <c r="C93" i="16"/>
  <c r="C94" i="16"/>
  <c r="C95" i="16"/>
  <c r="C89" i="16"/>
  <c r="C90" i="63"/>
  <c r="C91" i="63"/>
  <c r="C92" i="63"/>
  <c r="C93" i="63"/>
  <c r="C94" i="63"/>
  <c r="C95" i="63"/>
  <c r="C89" i="63"/>
  <c r="C90" i="18"/>
  <c r="C91" i="18"/>
  <c r="C92" i="18"/>
  <c r="C93" i="18"/>
  <c r="C94" i="18"/>
  <c r="C95" i="18"/>
  <c r="C89" i="18"/>
  <c r="C90" i="51"/>
  <c r="C91" i="51"/>
  <c r="C92" i="51"/>
  <c r="C93" i="51"/>
  <c r="C94" i="51"/>
  <c r="C95" i="51"/>
  <c r="C89" i="51"/>
  <c r="C90" i="3"/>
  <c r="C91" i="3"/>
  <c r="C92" i="3"/>
  <c r="C93" i="3"/>
  <c r="C94" i="3"/>
  <c r="C95" i="3"/>
  <c r="C89" i="3"/>
  <c r="P125" i="323" l="1"/>
  <c r="Z89" i="323"/>
  <c r="AY97" i="323"/>
  <c r="AS97" i="323"/>
  <c r="AC83" i="323"/>
  <c r="AQ83" i="323"/>
  <c r="AC75" i="323"/>
  <c r="AR75" i="323" s="1"/>
  <c r="AY75" i="323" s="1"/>
  <c r="AQ75" i="323"/>
  <c r="AC77" i="323"/>
  <c r="AR77" i="323" s="1"/>
  <c r="AY77" i="323" s="1"/>
  <c r="AQ77" i="323"/>
  <c r="AC86" i="323"/>
  <c r="AR86" i="323" s="1"/>
  <c r="AY86" i="323" s="1"/>
  <c r="AQ86" i="323"/>
  <c r="AC80" i="323"/>
  <c r="AQ80" i="323"/>
  <c r="AC79" i="323"/>
  <c r="AR79" i="323" s="1"/>
  <c r="AY79" i="323" s="1"/>
  <c r="AX79" i="323" s="1"/>
  <c r="BI79" i="323" s="1"/>
  <c r="AQ79" i="323"/>
  <c r="AC85" i="323"/>
  <c r="AR85" i="323" s="1"/>
  <c r="AS85" i="323" s="1"/>
  <c r="AQ85" i="323"/>
  <c r="AC78" i="323"/>
  <c r="AR78" i="323" s="1"/>
  <c r="AY78" i="323" s="1"/>
  <c r="AQ78" i="323"/>
  <c r="AC84" i="323"/>
  <c r="AR84" i="323" s="1"/>
  <c r="AY84" i="323" s="1"/>
  <c r="AQ84" i="323"/>
  <c r="P122" i="323"/>
  <c r="T122" i="323" s="1"/>
  <c r="X122" i="323" s="1"/>
  <c r="AB122" i="323" s="1"/>
  <c r="AP89" i="323"/>
  <c r="AC88" i="323"/>
  <c r="AQ88" i="323"/>
  <c r="AC87" i="323"/>
  <c r="AQ87" i="323"/>
  <c r="AO86" i="323"/>
  <c r="G47" i="193" s="1"/>
  <c r="G46" i="490" s="1"/>
  <c r="G50" i="193"/>
  <c r="G49" i="490" s="1"/>
  <c r="J4" i="491" s="1"/>
  <c r="AW89" i="323"/>
  <c r="AW85" i="323"/>
  <c r="BH85" i="323" s="1"/>
  <c r="G46" i="193"/>
  <c r="G45" i="490" s="1"/>
  <c r="AW81" i="323"/>
  <c r="BH81" i="323" s="1"/>
  <c r="G42" i="193"/>
  <c r="G41" i="490" s="1"/>
  <c r="AW77" i="323"/>
  <c r="BH77" i="323" s="1"/>
  <c r="G38" i="193"/>
  <c r="G37" i="490" s="1"/>
  <c r="AW91" i="323"/>
  <c r="G52" i="193"/>
  <c r="G51" i="490" s="1"/>
  <c r="J6" i="491" s="1"/>
  <c r="G45" i="193"/>
  <c r="G44" i="490" s="1"/>
  <c r="AW84" i="323"/>
  <c r="BH84" i="323" s="1"/>
  <c r="AW83" i="323"/>
  <c r="BH83" i="323" s="1"/>
  <c r="G44" i="193"/>
  <c r="G43" i="490" s="1"/>
  <c r="AC89" i="323"/>
  <c r="AR89" i="323" s="1"/>
  <c r="AY89" i="323" s="1"/>
  <c r="Z90" i="323"/>
  <c r="I93" i="323"/>
  <c r="AO93" i="323" s="1"/>
  <c r="G54" i="193" s="1"/>
  <c r="G53" i="490" s="1"/>
  <c r="J8" i="491" s="1"/>
  <c r="AB81" i="323"/>
  <c r="I94" i="323"/>
  <c r="I95" i="323" s="1"/>
  <c r="BB76" i="323"/>
  <c r="BB75" i="323"/>
  <c r="BB78" i="323"/>
  <c r="BA78" i="323" s="1"/>
  <c r="BB88" i="323"/>
  <c r="BA88" i="323" s="1"/>
  <c r="BB84" i="323"/>
  <c r="BB92" i="323"/>
  <c r="BA92" i="323" s="1"/>
  <c r="BB86" i="323"/>
  <c r="BB85" i="323"/>
  <c r="BA85" i="323" s="1"/>
  <c r="BB77" i="323"/>
  <c r="BB83" i="323"/>
  <c r="BA83" i="323" s="1"/>
  <c r="BB91" i="323"/>
  <c r="BA91" i="323" s="1"/>
  <c r="BB80" i="323"/>
  <c r="BA80" i="323" s="1"/>
  <c r="S122" i="323"/>
  <c r="P131" i="323"/>
  <c r="AO79" i="323"/>
  <c r="AB82" i="323"/>
  <c r="AB74" i="323"/>
  <c r="AO82" i="323"/>
  <c r="B90" i="323"/>
  <c r="AB90" i="323"/>
  <c r="AZ77" i="323"/>
  <c r="AR83" i="323"/>
  <c r="AW88" i="323"/>
  <c r="BH88" i="323" s="1"/>
  <c r="AW75" i="323"/>
  <c r="AS75" i="323"/>
  <c r="AO96" i="323"/>
  <c r="G57" i="193" s="1"/>
  <c r="G56" i="490" s="1"/>
  <c r="J11" i="491" s="1"/>
  <c r="AB96" i="323"/>
  <c r="AW80" i="323"/>
  <c r="BH80" i="323" s="1"/>
  <c r="AW76" i="323"/>
  <c r="AS76" i="323"/>
  <c r="B92" i="323"/>
  <c r="AC92" i="323"/>
  <c r="AR92" i="323" s="1"/>
  <c r="AY92" i="323" s="1"/>
  <c r="AO92" i="323"/>
  <c r="AW78" i="323"/>
  <c r="BH78" i="323" s="1"/>
  <c r="AR87" i="323"/>
  <c r="AY87" i="323" s="1"/>
  <c r="AW74" i="323"/>
  <c r="BH74" i="323" s="1"/>
  <c r="AW87" i="323"/>
  <c r="BH87" i="323" s="1"/>
  <c r="AR88" i="323"/>
  <c r="AY88" i="323" s="1"/>
  <c r="AR80" i="323"/>
  <c r="AY80" i="323" s="1"/>
  <c r="AW90" i="323"/>
  <c r="P6" i="258"/>
  <c r="W122" i="323" l="1"/>
  <c r="AA122" i="323" s="1"/>
  <c r="G6" i="639" s="1"/>
  <c r="AH6" i="639"/>
  <c r="AW86" i="323"/>
  <c r="AS84" i="323"/>
  <c r="AB94" i="323"/>
  <c r="R122" i="323"/>
  <c r="V122" i="323" s="1"/>
  <c r="Z122" i="323" s="1"/>
  <c r="G81" i="639" s="1"/>
  <c r="Q122" i="323"/>
  <c r="Y89" i="323" s="1"/>
  <c r="Y122" i="323"/>
  <c r="BH89" i="323"/>
  <c r="Y124" i="323"/>
  <c r="BH91" i="323"/>
  <c r="Y123" i="323"/>
  <c r="BH90" i="323"/>
  <c r="AZ75" i="323"/>
  <c r="BH75" i="323"/>
  <c r="AS86" i="323"/>
  <c r="AS79" i="323"/>
  <c r="AZ76" i="323"/>
  <c r="BH76" i="323"/>
  <c r="AZ86" i="323"/>
  <c r="BH86" i="323"/>
  <c r="B94" i="323"/>
  <c r="BA86" i="323"/>
  <c r="AX86" i="323" s="1"/>
  <c r="BI86" i="323" s="1"/>
  <c r="BA84" i="323"/>
  <c r="AX84" i="323" s="1"/>
  <c r="BI84" i="323" s="1"/>
  <c r="AX87" i="323"/>
  <c r="BI87" i="323" s="1"/>
  <c r="AS77" i="323"/>
  <c r="AY85" i="323"/>
  <c r="BA77" i="323"/>
  <c r="AX77" i="323" s="1"/>
  <c r="BI77" i="323" s="1"/>
  <c r="BA75" i="323"/>
  <c r="AX75" i="323" s="1"/>
  <c r="BI75" i="323" s="1"/>
  <c r="U124" i="323"/>
  <c r="AC124" i="323" s="1"/>
  <c r="AD124" i="323" s="1"/>
  <c r="AE124" i="323" s="1"/>
  <c r="AF124" i="323" s="1"/>
  <c r="BA76" i="323"/>
  <c r="AX76" i="323" s="1"/>
  <c r="BI76" i="323" s="1"/>
  <c r="AX89" i="323"/>
  <c r="BI89" i="323" s="1"/>
  <c r="AZ84" i="323"/>
  <c r="AZ97" i="323"/>
  <c r="P123" i="323"/>
  <c r="AP90" i="323"/>
  <c r="AS89" i="323"/>
  <c r="AS78" i="323"/>
  <c r="AC90" i="323"/>
  <c r="AR90" i="323" s="1"/>
  <c r="AY90" i="323" s="1"/>
  <c r="AQ90" i="323"/>
  <c r="AZ78" i="323"/>
  <c r="AC74" i="323"/>
  <c r="AR74" i="323" s="1"/>
  <c r="AY74" i="323" s="1"/>
  <c r="AQ74" i="323"/>
  <c r="AC82" i="323"/>
  <c r="AR82" i="323" s="1"/>
  <c r="AY82" i="323" s="1"/>
  <c r="AQ82" i="323"/>
  <c r="AC81" i="323"/>
  <c r="AR81" i="323" s="1"/>
  <c r="AQ81" i="323"/>
  <c r="AC94" i="323"/>
  <c r="AR94" i="323" s="1"/>
  <c r="AY94" i="323" s="1"/>
  <c r="AQ94" i="323"/>
  <c r="AC96" i="323"/>
  <c r="AR96" i="323" s="1"/>
  <c r="AY96" i="323" s="1"/>
  <c r="AQ96" i="323"/>
  <c r="AX78" i="323"/>
  <c r="BI78" i="323" s="1"/>
  <c r="AW82" i="323"/>
  <c r="BH82" i="323" s="1"/>
  <c r="G43" i="193"/>
  <c r="G42" i="490" s="1"/>
  <c r="B93" i="323"/>
  <c r="Z91" i="323"/>
  <c r="AP91" i="323" s="1"/>
  <c r="G53" i="193"/>
  <c r="G52" i="490" s="1"/>
  <c r="J7" i="491" s="1"/>
  <c r="AW92" i="323"/>
  <c r="AW93" i="323"/>
  <c r="AW79" i="323"/>
  <c r="G40" i="193"/>
  <c r="G39" i="490" s="1"/>
  <c r="AK122" i="1"/>
  <c r="C122" i="1" s="1"/>
  <c r="U123" i="323"/>
  <c r="AC123" i="323" s="1"/>
  <c r="AD123" i="323" s="1"/>
  <c r="AE123" i="323" s="1"/>
  <c r="AF123" i="323" s="1"/>
  <c r="AO95" i="323"/>
  <c r="G56" i="193" s="1"/>
  <c r="G55" i="490" s="1"/>
  <c r="J10" i="491" s="1"/>
  <c r="B95" i="323"/>
  <c r="AB95" i="323"/>
  <c r="AO94" i="323"/>
  <c r="AB93" i="323"/>
  <c r="AZ89" i="323"/>
  <c r="U122" i="323"/>
  <c r="AC122" i="323" s="1"/>
  <c r="AD122" i="323" s="1"/>
  <c r="AE122" i="323" s="1"/>
  <c r="AF122" i="323" s="1"/>
  <c r="AX88" i="323"/>
  <c r="BI88" i="323" s="1"/>
  <c r="AX80" i="323"/>
  <c r="BI80" i="323" s="1"/>
  <c r="AX92" i="323"/>
  <c r="BI92" i="323" s="1"/>
  <c r="AX85" i="323"/>
  <c r="BI85" i="323" s="1"/>
  <c r="P132" i="323"/>
  <c r="AS87" i="323"/>
  <c r="AS90" i="323"/>
  <c r="AZ90" i="323"/>
  <c r="AZ85" i="323"/>
  <c r="AZ87" i="323"/>
  <c r="AZ88" i="323"/>
  <c r="AY83" i="323"/>
  <c r="AS83" i="323"/>
  <c r="AW96" i="323"/>
  <c r="AS96" i="323"/>
  <c r="AS92" i="323"/>
  <c r="AS80" i="323"/>
  <c r="AZ80" i="323"/>
  <c r="AS88" i="323"/>
  <c r="AN45" i="314"/>
  <c r="AN46" i="314"/>
  <c r="AN47" i="314"/>
  <c r="AN48" i="314"/>
  <c r="AN49" i="314"/>
  <c r="AN50" i="314"/>
  <c r="AN51" i="314"/>
  <c r="AN52" i="314"/>
  <c r="AN53" i="314"/>
  <c r="AN54" i="314"/>
  <c r="AN55" i="314"/>
  <c r="AN56" i="314"/>
  <c r="AN57" i="314"/>
  <c r="AN58" i="314"/>
  <c r="AN59" i="314"/>
  <c r="AN60" i="314"/>
  <c r="AN61" i="314"/>
  <c r="AN62" i="314"/>
  <c r="AN63" i="314"/>
  <c r="AN64" i="314"/>
  <c r="AN65" i="314"/>
  <c r="AN66" i="314"/>
  <c r="AN67" i="314"/>
  <c r="AN68" i="314"/>
  <c r="AN69" i="314"/>
  <c r="AN70" i="314"/>
  <c r="AN71" i="314"/>
  <c r="AN72" i="314"/>
  <c r="AN73" i="314"/>
  <c r="AN74" i="314"/>
  <c r="AN75" i="314"/>
  <c r="AN78" i="314"/>
  <c r="AN79" i="314"/>
  <c r="AN80" i="314"/>
  <c r="AN81" i="314"/>
  <c r="AN82" i="314"/>
  <c r="AN83" i="314"/>
  <c r="AN84" i="314"/>
  <c r="AN85" i="314"/>
  <c r="AN86" i="314"/>
  <c r="AN87" i="314"/>
  <c r="AN88" i="314"/>
  <c r="AN89" i="314"/>
  <c r="G122" i="314" s="1"/>
  <c r="K122" i="314" s="1"/>
  <c r="AN90" i="314"/>
  <c r="AN91" i="314"/>
  <c r="AN92" i="314"/>
  <c r="AN93" i="314"/>
  <c r="AN94" i="314"/>
  <c r="AN95" i="314"/>
  <c r="AN96" i="314"/>
  <c r="AN44" i="314"/>
  <c r="R79" i="314"/>
  <c r="AH79" i="314" s="1"/>
  <c r="R80" i="314"/>
  <c r="AH80" i="314" s="1"/>
  <c r="R81" i="314"/>
  <c r="AH81" i="314" s="1"/>
  <c r="R82" i="314"/>
  <c r="AH82" i="314" s="1"/>
  <c r="R83" i="314"/>
  <c r="AH83" i="314" s="1"/>
  <c r="S83" i="314"/>
  <c r="AI83" i="314" s="1"/>
  <c r="R84" i="314"/>
  <c r="AH84" i="314" s="1"/>
  <c r="S84" i="314"/>
  <c r="AI84" i="314" s="1"/>
  <c r="T84" i="314"/>
  <c r="R85" i="314"/>
  <c r="AH85" i="314" s="1"/>
  <c r="S85" i="314"/>
  <c r="AI85" i="314" s="1"/>
  <c r="T85" i="314"/>
  <c r="R86" i="314"/>
  <c r="AH86" i="314" s="1"/>
  <c r="S86" i="314"/>
  <c r="AI86" i="314" s="1"/>
  <c r="T86" i="314"/>
  <c r="R87" i="314"/>
  <c r="AH87" i="314" s="1"/>
  <c r="S87" i="314"/>
  <c r="AI87" i="314" s="1"/>
  <c r="T87" i="314"/>
  <c r="R88" i="314"/>
  <c r="AH88" i="314" s="1"/>
  <c r="S88" i="314"/>
  <c r="AI88" i="314" s="1"/>
  <c r="T88" i="314"/>
  <c r="R89" i="314"/>
  <c r="AH89" i="314" s="1"/>
  <c r="S89" i="314"/>
  <c r="AI89" i="314" s="1"/>
  <c r="T89" i="314"/>
  <c r="R90" i="314"/>
  <c r="AH90" i="314" s="1"/>
  <c r="S90" i="314"/>
  <c r="AI90" i="314" s="1"/>
  <c r="T90" i="314"/>
  <c r="R91" i="314"/>
  <c r="AH91" i="314" s="1"/>
  <c r="S91" i="314"/>
  <c r="AI91" i="314" s="1"/>
  <c r="T91" i="314"/>
  <c r="R92" i="314"/>
  <c r="AH92" i="314" s="1"/>
  <c r="S92" i="314"/>
  <c r="AI92" i="314" s="1"/>
  <c r="T92" i="314"/>
  <c r="R93" i="314"/>
  <c r="AH93" i="314" s="1"/>
  <c r="S93" i="314"/>
  <c r="AI93" i="314" s="1"/>
  <c r="T93" i="314"/>
  <c r="R94" i="314"/>
  <c r="AH94" i="314" s="1"/>
  <c r="S94" i="314"/>
  <c r="AI94" i="314" s="1"/>
  <c r="T94" i="314"/>
  <c r="R95" i="314"/>
  <c r="AH95" i="314" s="1"/>
  <c r="S95" i="314"/>
  <c r="AI95" i="314" s="1"/>
  <c r="T95" i="314"/>
  <c r="R96" i="314"/>
  <c r="AH96" i="314" s="1"/>
  <c r="S96" i="314"/>
  <c r="AI96" i="314" s="1"/>
  <c r="T96" i="314"/>
  <c r="R78" i="314"/>
  <c r="E97" i="314"/>
  <c r="E79" i="314"/>
  <c r="E80" i="314"/>
  <c r="E81" i="314"/>
  <c r="E82" i="314"/>
  <c r="E83" i="314"/>
  <c r="E84" i="314"/>
  <c r="E85" i="314"/>
  <c r="E86" i="314"/>
  <c r="E87" i="314"/>
  <c r="E88" i="314"/>
  <c r="E89" i="314"/>
  <c r="E90" i="314"/>
  <c r="E91" i="314"/>
  <c r="E92" i="314"/>
  <c r="E93" i="314"/>
  <c r="E94" i="314"/>
  <c r="E95" i="314"/>
  <c r="E96" i="314"/>
  <c r="E68" i="314"/>
  <c r="E69" i="314"/>
  <c r="E70" i="314"/>
  <c r="E71" i="314"/>
  <c r="E72" i="314"/>
  <c r="E73" i="314"/>
  <c r="E74" i="314"/>
  <c r="E75" i="314"/>
  <c r="E76" i="314"/>
  <c r="E77" i="314"/>
  <c r="E78" i="314"/>
  <c r="D53" i="314"/>
  <c r="D54" i="314"/>
  <c r="D55" i="314"/>
  <c r="D56" i="314"/>
  <c r="D57" i="314"/>
  <c r="D58" i="314"/>
  <c r="D59" i="314"/>
  <c r="D60" i="314"/>
  <c r="D61" i="314"/>
  <c r="D62" i="314"/>
  <c r="D63" i="314"/>
  <c r="D64" i="314"/>
  <c r="D65" i="314"/>
  <c r="D66" i="314"/>
  <c r="D67" i="314"/>
  <c r="D68" i="314"/>
  <c r="D69" i="314"/>
  <c r="D70" i="314"/>
  <c r="D71" i="314"/>
  <c r="D72" i="314"/>
  <c r="D73" i="314"/>
  <c r="D74" i="314"/>
  <c r="D75" i="314"/>
  <c r="D76" i="314"/>
  <c r="D77" i="314"/>
  <c r="D78" i="314"/>
  <c r="D79" i="314"/>
  <c r="D80" i="314"/>
  <c r="D81" i="314"/>
  <c r="D82" i="314"/>
  <c r="D83" i="314"/>
  <c r="D84" i="314"/>
  <c r="D85" i="314"/>
  <c r="D86" i="314"/>
  <c r="D87" i="314"/>
  <c r="D88" i="314"/>
  <c r="D89" i="314"/>
  <c r="D90" i="314"/>
  <c r="B90" i="314" s="1"/>
  <c r="D91" i="314"/>
  <c r="B91" i="314" s="1"/>
  <c r="D92" i="314"/>
  <c r="D93" i="314"/>
  <c r="D94" i="314"/>
  <c r="D95" i="314"/>
  <c r="D96" i="314"/>
  <c r="D52" i="314"/>
  <c r="J22" i="258"/>
  <c r="B92" i="314" l="1"/>
  <c r="Y129" i="323"/>
  <c r="BH96" i="323"/>
  <c r="AZ79" i="323"/>
  <c r="BH79" i="323"/>
  <c r="Y126" i="323"/>
  <c r="BH93" i="323"/>
  <c r="Y125" i="323"/>
  <c r="BH92" i="323"/>
  <c r="AG97" i="314"/>
  <c r="U97" i="314"/>
  <c r="AS82" i="323"/>
  <c r="AX96" i="323"/>
  <c r="BI96" i="323" s="1"/>
  <c r="AX94" i="323"/>
  <c r="BI94" i="323" s="1"/>
  <c r="AX90" i="323"/>
  <c r="BI90" i="323" s="1"/>
  <c r="B94" i="314"/>
  <c r="B93" i="314"/>
  <c r="AH78" i="314"/>
  <c r="P123" i="314"/>
  <c r="AX74" i="323"/>
  <c r="BI74" i="323" s="1"/>
  <c r="AZ74" i="323"/>
  <c r="AS74" i="323"/>
  <c r="AC93" i="323"/>
  <c r="AR93" i="323" s="1"/>
  <c r="AY93" i="323" s="1"/>
  <c r="AQ93" i="323"/>
  <c r="AY81" i="323"/>
  <c r="AS81" i="323"/>
  <c r="AC95" i="323"/>
  <c r="AR95" i="323" s="1"/>
  <c r="AY95" i="323" s="1"/>
  <c r="AQ95" i="323"/>
  <c r="U126" i="323"/>
  <c r="AC126" i="323" s="1"/>
  <c r="AD126" i="323" s="1"/>
  <c r="AE126" i="323" s="1"/>
  <c r="AF126" i="323" s="1"/>
  <c r="AW95" i="323"/>
  <c r="P124" i="323"/>
  <c r="AC91" i="323"/>
  <c r="AR91" i="323" s="1"/>
  <c r="AW94" i="323"/>
  <c r="BH94" i="323" s="1"/>
  <c r="G55" i="193"/>
  <c r="G54" i="490" s="1"/>
  <c r="J9" i="491" s="1"/>
  <c r="AS94" i="323"/>
  <c r="P126" i="314"/>
  <c r="P128" i="314"/>
  <c r="P125" i="314"/>
  <c r="P122" i="314"/>
  <c r="P129" i="314"/>
  <c r="B89" i="314"/>
  <c r="K89" i="314"/>
  <c r="J122" i="314"/>
  <c r="N122" i="314" s="1"/>
  <c r="I122" i="314"/>
  <c r="M122" i="314" s="1"/>
  <c r="H122" i="314"/>
  <c r="L122" i="314" s="1"/>
  <c r="P127" i="314"/>
  <c r="P124" i="314"/>
  <c r="AZ92" i="323"/>
  <c r="U125" i="323"/>
  <c r="AC125" i="323" s="1"/>
  <c r="AD125" i="323" s="1"/>
  <c r="AE125" i="323" s="1"/>
  <c r="AF125" i="323" s="1"/>
  <c r="AZ96" i="323"/>
  <c r="U129" i="323"/>
  <c r="AC129" i="323" s="1"/>
  <c r="AD129" i="323" s="1"/>
  <c r="AE129" i="323" s="1"/>
  <c r="AF129" i="323" s="1"/>
  <c r="B95" i="314"/>
  <c r="U93" i="314"/>
  <c r="U85" i="314"/>
  <c r="P133" i="323"/>
  <c r="AX82" i="323"/>
  <c r="BI82" i="323" s="1"/>
  <c r="AZ82" i="323"/>
  <c r="AZ83" i="323"/>
  <c r="AX83" i="323"/>
  <c r="BI83" i="323" s="1"/>
  <c r="U89" i="314"/>
  <c r="U95" i="314"/>
  <c r="U92" i="314"/>
  <c r="U87" i="314"/>
  <c r="U84" i="314"/>
  <c r="U94" i="314"/>
  <c r="U91" i="314"/>
  <c r="U86" i="314"/>
  <c r="U96" i="314"/>
  <c r="U88" i="314"/>
  <c r="U90" i="314"/>
  <c r="AU89" i="314" l="1"/>
  <c r="AT89" i="314" s="1"/>
  <c r="Y128" i="323"/>
  <c r="BH95" i="323"/>
  <c r="AS93" i="323"/>
  <c r="R122" i="314"/>
  <c r="S122" i="314"/>
  <c r="AO6" i="639" s="1"/>
  <c r="T122" i="314"/>
  <c r="AJ97" i="314"/>
  <c r="V97" i="314"/>
  <c r="AK97" i="314" s="1"/>
  <c r="AR97" i="314" s="1"/>
  <c r="AP97" i="314"/>
  <c r="AL97" i="314"/>
  <c r="AX95" i="323"/>
  <c r="BI95" i="323" s="1"/>
  <c r="V95" i="314"/>
  <c r="AJ95" i="314"/>
  <c r="V93" i="314"/>
  <c r="AJ93" i="314"/>
  <c r="V91" i="314"/>
  <c r="AJ91" i="314"/>
  <c r="V86" i="314"/>
  <c r="AJ86" i="314"/>
  <c r="V96" i="314"/>
  <c r="AJ96" i="314"/>
  <c r="V89" i="314"/>
  <c r="AJ89" i="314"/>
  <c r="V94" i="314"/>
  <c r="AJ94" i="314"/>
  <c r="V87" i="314"/>
  <c r="AJ87" i="314"/>
  <c r="V88" i="314"/>
  <c r="AJ88" i="314"/>
  <c r="V84" i="314"/>
  <c r="AJ84" i="314"/>
  <c r="V90" i="314"/>
  <c r="AJ90" i="314"/>
  <c r="V92" i="314"/>
  <c r="AJ92" i="314"/>
  <c r="V85" i="314"/>
  <c r="AJ85" i="314"/>
  <c r="AZ95" i="323"/>
  <c r="AX81" i="323"/>
  <c r="BI81" i="323" s="1"/>
  <c r="AZ81" i="323"/>
  <c r="AS95" i="323"/>
  <c r="U128" i="323"/>
  <c r="AC128" i="323" s="1"/>
  <c r="AD128" i="323" s="1"/>
  <c r="AE128" i="323" s="1"/>
  <c r="AF128" i="323" s="1"/>
  <c r="Y127" i="323"/>
  <c r="U127" i="323"/>
  <c r="AC127" i="323" s="1"/>
  <c r="AD127" i="323" s="1"/>
  <c r="AE127" i="323" s="1"/>
  <c r="AF127" i="323" s="1"/>
  <c r="AZ94" i="323"/>
  <c r="AY91" i="323"/>
  <c r="AS91" i="323"/>
  <c r="AX93" i="323"/>
  <c r="BI93" i="323" s="1"/>
  <c r="AZ93" i="323"/>
  <c r="P134" i="323"/>
  <c r="L10" i="258"/>
  <c r="I26" i="258"/>
  <c r="I34" i="258"/>
  <c r="I35" i="258"/>
  <c r="P25" i="258"/>
  <c r="T83" i="314" s="1"/>
  <c r="U83" i="314" s="1"/>
  <c r="L34" i="258"/>
  <c r="R34" i="258" s="1"/>
  <c r="L35" i="258"/>
  <c r="R35" i="258" s="1"/>
  <c r="L36" i="258"/>
  <c r="R36" i="258" s="1"/>
  <c r="L26" i="258"/>
  <c r="L27" i="258"/>
  <c r="I27" i="258" s="1"/>
  <c r="L28" i="258"/>
  <c r="I28" i="258" s="1"/>
  <c r="L29" i="258"/>
  <c r="R29" i="258" s="1"/>
  <c r="L30" i="258"/>
  <c r="R30" i="258" s="1"/>
  <c r="L31" i="258"/>
  <c r="R31" i="258" s="1"/>
  <c r="L32" i="258"/>
  <c r="R32" i="258" s="1"/>
  <c r="L33" i="258"/>
  <c r="I33" i="258" s="1"/>
  <c r="L37" i="258"/>
  <c r="R37" i="258" s="1"/>
  <c r="L38" i="258"/>
  <c r="P7" i="258"/>
  <c r="P8" i="258"/>
  <c r="P9" i="258"/>
  <c r="P10" i="258"/>
  <c r="P11" i="258"/>
  <c r="L11" i="258" s="1"/>
  <c r="P12" i="258"/>
  <c r="L12" i="258" s="1"/>
  <c r="P13" i="258"/>
  <c r="L13" i="258" s="1"/>
  <c r="P14" i="258"/>
  <c r="L14" i="258" s="1"/>
  <c r="P15" i="258"/>
  <c r="L15" i="258" s="1"/>
  <c r="P16" i="258"/>
  <c r="L16" i="258" s="1"/>
  <c r="P17" i="258"/>
  <c r="L17" i="258" s="1"/>
  <c r="P18" i="258"/>
  <c r="L18" i="258" s="1"/>
  <c r="P19" i="258"/>
  <c r="L19" i="258" s="1"/>
  <c r="P20" i="258"/>
  <c r="T78" i="314" s="1"/>
  <c r="U78" i="314" s="1"/>
  <c r="AJ78" i="314" s="1"/>
  <c r="P21" i="258"/>
  <c r="T79" i="314" s="1"/>
  <c r="U79" i="314" s="1"/>
  <c r="AJ79" i="314" s="1"/>
  <c r="P22" i="258"/>
  <c r="T80" i="314" s="1"/>
  <c r="U80" i="314" s="1"/>
  <c r="AJ80" i="314" s="1"/>
  <c r="P23" i="258"/>
  <c r="P24" i="258"/>
  <c r="AJ62" i="258"/>
  <c r="AJ53" i="258"/>
  <c r="AJ52" i="258" s="1"/>
  <c r="AJ51" i="258" s="1"/>
  <c r="AJ50" i="258" s="1"/>
  <c r="AJ49" i="258" s="1"/>
  <c r="AJ48" i="258" s="1"/>
  <c r="AJ47" i="258" s="1"/>
  <c r="AJ46" i="258" s="1"/>
  <c r="AJ45" i="258" s="1"/>
  <c r="AJ44" i="258" s="1"/>
  <c r="AJ43" i="258" s="1"/>
  <c r="AJ42" i="258" s="1"/>
  <c r="AJ41" i="258" s="1"/>
  <c r="AJ40" i="258" s="1"/>
  <c r="AJ39" i="258" s="1"/>
  <c r="AJ38" i="258" s="1"/>
  <c r="AJ37" i="258" s="1"/>
  <c r="AJ36" i="258" s="1"/>
  <c r="AJ35" i="258" s="1"/>
  <c r="AJ34" i="258" s="1"/>
  <c r="AJ33" i="258" s="1"/>
  <c r="AJ32" i="258" s="1"/>
  <c r="AJ31" i="258" s="1"/>
  <c r="AJ30" i="258" s="1"/>
  <c r="AJ29" i="258" s="1"/>
  <c r="AJ28" i="258" s="1"/>
  <c r="AJ27" i="258" s="1"/>
  <c r="AJ26" i="258" s="1"/>
  <c r="AJ25" i="258" s="1"/>
  <c r="AJ24" i="258" s="1"/>
  <c r="AJ23" i="258" s="1"/>
  <c r="AJ22" i="258" s="1"/>
  <c r="AJ21" i="258" s="1"/>
  <c r="AJ20" i="258" s="1"/>
  <c r="AJ19" i="258" s="1"/>
  <c r="AJ18" i="258" s="1"/>
  <c r="AJ17" i="258" s="1"/>
  <c r="AJ16" i="258" s="1"/>
  <c r="AJ15" i="258" s="1"/>
  <c r="AJ14" i="258" s="1"/>
  <c r="AJ13" i="258" s="1"/>
  <c r="AJ12" i="258" s="1"/>
  <c r="AJ11" i="258" s="1"/>
  <c r="AJ10" i="258" s="1"/>
  <c r="AJ9" i="258" s="1"/>
  <c r="AJ8" i="258" s="1"/>
  <c r="AJ7" i="258" s="1"/>
  <c r="AJ6" i="258" s="1"/>
  <c r="AJ5" i="258" s="1"/>
  <c r="AJ54" i="258"/>
  <c r="AJ56" i="258"/>
  <c r="AJ57" i="258"/>
  <c r="AJ58" i="258"/>
  <c r="AJ59" i="258" s="1"/>
  <c r="AJ60" i="258" s="1"/>
  <c r="AJ61" i="258" s="1"/>
  <c r="R38" i="258"/>
  <c r="R39" i="258"/>
  <c r="M38" i="258"/>
  <c r="J24" i="258"/>
  <c r="J25" i="258" s="1"/>
  <c r="U130" i="314" l="1"/>
  <c r="Y130" i="314"/>
  <c r="AS97" i="314"/>
  <c r="BA97" i="314"/>
  <c r="V83" i="314"/>
  <c r="AJ83" i="314"/>
  <c r="AZ91" i="323"/>
  <c r="AX91" i="323"/>
  <c r="BI91" i="323" s="1"/>
  <c r="P135" i="323"/>
  <c r="I29" i="258"/>
  <c r="L24" i="258"/>
  <c r="T82" i="314"/>
  <c r="U82" i="314" s="1"/>
  <c r="AJ82" i="314" s="1"/>
  <c r="L23" i="258"/>
  <c r="T81" i="314"/>
  <c r="U81" i="314" s="1"/>
  <c r="AJ81" i="314" s="1"/>
  <c r="I32" i="258"/>
  <c r="L22" i="258"/>
  <c r="L25" i="258"/>
  <c r="K15" i="258" s="1"/>
  <c r="I31" i="258"/>
  <c r="L21" i="258"/>
  <c r="I30" i="258"/>
  <c r="L20" i="258"/>
  <c r="R33" i="258"/>
  <c r="I37" i="258"/>
  <c r="I36" i="258"/>
  <c r="P136" i="323" l="1"/>
  <c r="K21" i="258"/>
  <c r="S79" i="314" s="1"/>
  <c r="K17" i="258"/>
  <c r="K22" i="258"/>
  <c r="S80" i="314" s="1"/>
  <c r="I25" i="258"/>
  <c r="K10" i="258"/>
  <c r="K18" i="258"/>
  <c r="K12" i="258"/>
  <c r="K16" i="258"/>
  <c r="K24" i="258"/>
  <c r="K11" i="258"/>
  <c r="K19" i="258"/>
  <c r="K13" i="258"/>
  <c r="K20" i="258"/>
  <c r="S78" i="314" s="1"/>
  <c r="K23" i="258"/>
  <c r="K14" i="258"/>
  <c r="M39" i="258"/>
  <c r="L39" i="258"/>
  <c r="V78" i="314" l="1"/>
  <c r="AI78" i="314"/>
  <c r="V80" i="314"/>
  <c r="AI80" i="314"/>
  <c r="V79" i="314"/>
  <c r="AI79" i="314"/>
  <c r="P137" i="323"/>
  <c r="I20" i="258"/>
  <c r="I22" i="258"/>
  <c r="I24" i="258"/>
  <c r="S82" i="314"/>
  <c r="S81" i="314"/>
  <c r="I23" i="258"/>
  <c r="I21" i="258"/>
  <c r="I74" i="258"/>
  <c r="I75" i="258"/>
  <c r="I76" i="258"/>
  <c r="I77" i="258"/>
  <c r="I78" i="258"/>
  <c r="I73" i="258"/>
  <c r="I64" i="258"/>
  <c r="I65" i="258"/>
  <c r="I66" i="258"/>
  <c r="I67" i="258"/>
  <c r="I68" i="258"/>
  <c r="I69" i="258"/>
  <c r="I70" i="258"/>
  <c r="I51" i="258"/>
  <c r="I52" i="258"/>
  <c r="I53" i="258"/>
  <c r="I54" i="258"/>
  <c r="I55" i="258"/>
  <c r="I56" i="258"/>
  <c r="I57" i="258"/>
  <c r="I58" i="258"/>
  <c r="I59" i="258"/>
  <c r="I60" i="258"/>
  <c r="I61" i="258"/>
  <c r="I62" i="258"/>
  <c r="I63" i="258"/>
  <c r="I50" i="258"/>
  <c r="V81" i="314" l="1"/>
  <c r="AI81" i="314"/>
  <c r="V82" i="314"/>
  <c r="AI82" i="314"/>
  <c r="P138" i="323"/>
  <c r="K96" i="314"/>
  <c r="AU96" i="314" s="1"/>
  <c r="AT96" i="314" s="1"/>
  <c r="K95" i="314"/>
  <c r="AU95" i="314" s="1"/>
  <c r="AT95" i="314" s="1"/>
  <c r="AG94" i="314"/>
  <c r="L55" i="193" s="1"/>
  <c r="L54" i="490" s="1"/>
  <c r="O9" i="491" s="1"/>
  <c r="K94" i="314"/>
  <c r="AU94" i="314" s="1"/>
  <c r="AT94" i="314" s="1"/>
  <c r="K93" i="314"/>
  <c r="AU93" i="314" s="1"/>
  <c r="AT93" i="314" s="1"/>
  <c r="AG92" i="314"/>
  <c r="L53" i="193" s="1"/>
  <c r="L52" i="490" s="1"/>
  <c r="O7" i="491" s="1"/>
  <c r="K92" i="314"/>
  <c r="AU92" i="314" s="1"/>
  <c r="AT92" i="314" s="1"/>
  <c r="K91" i="314"/>
  <c r="AU91" i="314" s="1"/>
  <c r="AT91" i="314" s="1"/>
  <c r="AG90" i="314"/>
  <c r="L51" i="193" s="1"/>
  <c r="L50" i="490" s="1"/>
  <c r="O5" i="491" s="1"/>
  <c r="K90" i="314"/>
  <c r="AU90" i="314" s="1"/>
  <c r="AT90" i="314" s="1"/>
  <c r="K88" i="314"/>
  <c r="AU88" i="314" s="1"/>
  <c r="AT88" i="314" s="1"/>
  <c r="AG87" i="314"/>
  <c r="K87" i="314"/>
  <c r="AU87" i="314" s="1"/>
  <c r="AT87" i="314" s="1"/>
  <c r="K86" i="314"/>
  <c r="AU86" i="314" s="1"/>
  <c r="AT86" i="314" s="1"/>
  <c r="AK86" i="314"/>
  <c r="AR86" i="314" s="1"/>
  <c r="K85" i="314"/>
  <c r="AU85" i="314" s="1"/>
  <c r="AT85" i="314" s="1"/>
  <c r="K84" i="314"/>
  <c r="K83" i="314"/>
  <c r="K82" i="314"/>
  <c r="AU82" i="314" s="1"/>
  <c r="AT82" i="314" s="1"/>
  <c r="AG82" i="314"/>
  <c r="L43" i="193" s="1"/>
  <c r="L42" i="490" s="1"/>
  <c r="K81" i="314"/>
  <c r="AG81" i="314"/>
  <c r="L42" i="193" s="1"/>
  <c r="L41" i="490" s="1"/>
  <c r="K80" i="314"/>
  <c r="AU80" i="314" s="1"/>
  <c r="AT80" i="314" s="1"/>
  <c r="AG80" i="314"/>
  <c r="L41" i="193" s="1"/>
  <c r="L40" i="490" s="1"/>
  <c r="K79" i="314"/>
  <c r="AG79" i="314"/>
  <c r="K78" i="314"/>
  <c r="AU78" i="314" s="1"/>
  <c r="AT78" i="314" s="1"/>
  <c r="K77" i="314"/>
  <c r="K76" i="314"/>
  <c r="K75" i="314"/>
  <c r="K74" i="314"/>
  <c r="K73" i="314"/>
  <c r="V73" i="314"/>
  <c r="K72" i="314"/>
  <c r="K71" i="314"/>
  <c r="K70" i="314"/>
  <c r="K69" i="314"/>
  <c r="K68" i="314"/>
  <c r="V68" i="314"/>
  <c r="V67" i="314"/>
  <c r="K67" i="314"/>
  <c r="K66" i="314"/>
  <c r="K65" i="314"/>
  <c r="K64" i="314"/>
  <c r="K63" i="314"/>
  <c r="K62" i="314"/>
  <c r="V62" i="314"/>
  <c r="K61" i="314"/>
  <c r="V60" i="314"/>
  <c r="K60" i="314"/>
  <c r="K59" i="314"/>
  <c r="K58" i="314"/>
  <c r="K57" i="314"/>
  <c r="K56" i="314"/>
  <c r="V56" i="314"/>
  <c r="K55" i="314"/>
  <c r="K54" i="314"/>
  <c r="K53" i="314"/>
  <c r="K52" i="314"/>
  <c r="X77" i="24"/>
  <c r="AM74" i="24"/>
  <c r="AM75" i="24"/>
  <c r="AM76" i="24"/>
  <c r="AM77" i="24" s="1"/>
  <c r="AM78" i="24"/>
  <c r="AM89" i="24"/>
  <c r="F86" i="24"/>
  <c r="D86" i="24"/>
  <c r="AP87" i="314" l="1"/>
  <c r="L48" i="193"/>
  <c r="L47" i="490" s="1"/>
  <c r="AP79" i="314"/>
  <c r="L40" i="193"/>
  <c r="L39" i="490" s="1"/>
  <c r="AU79" i="314"/>
  <c r="AT79" i="314" s="1"/>
  <c r="AU84" i="314"/>
  <c r="AT84" i="314" s="1"/>
  <c r="AU83" i="314"/>
  <c r="AT83" i="314" s="1"/>
  <c r="AU81" i="314"/>
  <c r="AT81" i="314" s="1"/>
  <c r="P139" i="323"/>
  <c r="AK82" i="314"/>
  <c r="AR82" i="314" s="1"/>
  <c r="V76" i="314"/>
  <c r="V53" i="314"/>
  <c r="AG96" i="314"/>
  <c r="AK96" i="314"/>
  <c r="AR96" i="314" s="1"/>
  <c r="AK95" i="314"/>
  <c r="AR95" i="314" s="1"/>
  <c r="AG95" i="314"/>
  <c r="AK92" i="314"/>
  <c r="AR92" i="314" s="1"/>
  <c r="AK94" i="314"/>
  <c r="AR94" i="314" s="1"/>
  <c r="AG84" i="314"/>
  <c r="AP92" i="314"/>
  <c r="V50" i="314"/>
  <c r="V57" i="314"/>
  <c r="V48" i="314"/>
  <c r="V59" i="314"/>
  <c r="V46" i="314"/>
  <c r="V45" i="314"/>
  <c r="V47" i="314"/>
  <c r="V44" i="314"/>
  <c r="V66" i="314"/>
  <c r="V49" i="314"/>
  <c r="V51" i="314"/>
  <c r="V55" i="314"/>
  <c r="V52" i="314"/>
  <c r="V61" i="314"/>
  <c r="AG83" i="314"/>
  <c r="L44" i="193" s="1"/>
  <c r="L43" i="490" s="1"/>
  <c r="V64" i="314"/>
  <c r="V70" i="314"/>
  <c r="V58" i="314"/>
  <c r="AK91" i="314"/>
  <c r="AR91" i="314" s="1"/>
  <c r="AG91" i="314"/>
  <c r="L52" i="193" s="1"/>
  <c r="L51" i="490" s="1"/>
  <c r="O6" i="491" s="1"/>
  <c r="AK79" i="314"/>
  <c r="AR79" i="314" s="1"/>
  <c r="V65" i="314"/>
  <c r="V72" i="314"/>
  <c r="AP80" i="314"/>
  <c r="AP82" i="314"/>
  <c r="V54" i="314"/>
  <c r="V71" i="314"/>
  <c r="V74" i="314"/>
  <c r="AQ86" i="314"/>
  <c r="BB86" i="314" s="1"/>
  <c r="AG88" i="314"/>
  <c r="L49" i="193" s="1"/>
  <c r="L48" i="490" s="1"/>
  <c r="AG93" i="314"/>
  <c r="L54" i="193" s="1"/>
  <c r="L53" i="490" s="1"/>
  <c r="O8" i="491" s="1"/>
  <c r="AK93" i="314"/>
  <c r="AR93" i="314" s="1"/>
  <c r="V63" i="314"/>
  <c r="V69" i="314"/>
  <c r="V75" i="314"/>
  <c r="V77" i="314"/>
  <c r="AG78" i="314"/>
  <c r="AK78" i="314"/>
  <c r="AR78" i="314" s="1"/>
  <c r="AP81" i="314"/>
  <c r="AG89" i="314"/>
  <c r="L50" i="193" s="1"/>
  <c r="L49" i="490" s="1"/>
  <c r="O4" i="491" s="1"/>
  <c r="AG85" i="314"/>
  <c r="L46" i="193" s="1"/>
  <c r="L45" i="490" s="1"/>
  <c r="AP90" i="314"/>
  <c r="Q122" i="314"/>
  <c r="AK84" i="314"/>
  <c r="AR84" i="314" s="1"/>
  <c r="AK87" i="314"/>
  <c r="AK90" i="314"/>
  <c r="AP94" i="314"/>
  <c r="AG86" i="314"/>
  <c r="L47" i="193" s="1"/>
  <c r="L46" i="490" s="1"/>
  <c r="AR91" i="22"/>
  <c r="AR92" i="22"/>
  <c r="AR93" i="22"/>
  <c r="AR94" i="22"/>
  <c r="AR95" i="22"/>
  <c r="AR90" i="22"/>
  <c r="G90" i="22"/>
  <c r="S90" i="22" s="1"/>
  <c r="AY90" i="22" s="1"/>
  <c r="G91" i="22"/>
  <c r="S91" i="22" s="1"/>
  <c r="AY91" i="22" s="1"/>
  <c r="G92" i="22"/>
  <c r="G93" i="22"/>
  <c r="S93" i="22" s="1"/>
  <c r="G94" i="22"/>
  <c r="S94" i="22" s="1"/>
  <c r="AY94" i="22" s="1"/>
  <c r="G95" i="22"/>
  <c r="S95" i="22" s="1"/>
  <c r="AY95" i="22" s="1"/>
  <c r="G96" i="22"/>
  <c r="G89" i="22"/>
  <c r="AY93" i="22" l="1"/>
  <c r="Y123" i="314"/>
  <c r="BA90" i="314"/>
  <c r="F82" i="314"/>
  <c r="BA82" i="314"/>
  <c r="F80" i="314"/>
  <c r="BA80" i="314"/>
  <c r="Y125" i="314"/>
  <c r="BA92" i="314"/>
  <c r="F79" i="314"/>
  <c r="BA79" i="314"/>
  <c r="F81" i="314"/>
  <c r="BA81" i="314"/>
  <c r="Y127" i="314"/>
  <c r="BA94" i="314"/>
  <c r="F87" i="314"/>
  <c r="BA87" i="314"/>
  <c r="AP84" i="314"/>
  <c r="L45" i="193"/>
  <c r="L44" i="490" s="1"/>
  <c r="AP96" i="314"/>
  <c r="Y129" i="314" s="1"/>
  <c r="L57" i="193"/>
  <c r="L56" i="490" s="1"/>
  <c r="O11" i="491" s="1"/>
  <c r="AP78" i="314"/>
  <c r="L39" i="193"/>
  <c r="L38" i="490" s="1"/>
  <c r="AP95" i="314"/>
  <c r="L56" i="193"/>
  <c r="L55" i="490" s="1"/>
  <c r="O10" i="491" s="1"/>
  <c r="F90" i="314"/>
  <c r="U123" i="314"/>
  <c r="AC123" i="314" s="1"/>
  <c r="AD123" i="314" s="1"/>
  <c r="AE123" i="314" s="1"/>
  <c r="AF123" i="314" s="1"/>
  <c r="F92" i="314"/>
  <c r="U125" i="314"/>
  <c r="AC125" i="314" s="1"/>
  <c r="AD125" i="314" s="1"/>
  <c r="AE125" i="314" s="1"/>
  <c r="AF125" i="314" s="1"/>
  <c r="F94" i="314"/>
  <c r="U127" i="314"/>
  <c r="AC127" i="314" s="1"/>
  <c r="AD127" i="314" s="1"/>
  <c r="AE127" i="314" s="1"/>
  <c r="AF127" i="314" s="1"/>
  <c r="F96" i="314"/>
  <c r="AQ84" i="314"/>
  <c r="BB84" i="314" s="1"/>
  <c r="AQ79" i="314"/>
  <c r="BB79" i="314" s="1"/>
  <c r="P140" i="323"/>
  <c r="S96" i="22"/>
  <c r="AX91" i="22"/>
  <c r="AX90" i="22"/>
  <c r="AX93" i="22"/>
  <c r="AS82" i="314"/>
  <c r="AL82" i="314"/>
  <c r="AQ82" i="314"/>
  <c r="BB82" i="314" s="1"/>
  <c r="AL92" i="314"/>
  <c r="AS92" i="314"/>
  <c r="AL79" i="314"/>
  <c r="AQ92" i="314"/>
  <c r="BB92" i="314" s="1"/>
  <c r="AL96" i="314"/>
  <c r="AQ91" i="314"/>
  <c r="BB91" i="314" s="1"/>
  <c r="AL95" i="314"/>
  <c r="AL94" i="314"/>
  <c r="AS84" i="314"/>
  <c r="AS79" i="314"/>
  <c r="AQ95" i="314"/>
  <c r="BB95" i="314" s="1"/>
  <c r="AQ96" i="314"/>
  <c r="BB96" i="314" s="1"/>
  <c r="AS94" i="314"/>
  <c r="AQ93" i="314"/>
  <c r="BB93" i="314" s="1"/>
  <c r="AX95" i="22"/>
  <c r="AQ94" i="314"/>
  <c r="BB94" i="314" s="1"/>
  <c r="AX94" i="22"/>
  <c r="S92" i="22"/>
  <c r="AK88" i="314"/>
  <c r="AR88" i="314" s="1"/>
  <c r="AQ88" i="314" s="1"/>
  <c r="BB88" i="314" s="1"/>
  <c r="AP86" i="314"/>
  <c r="BA86" i="314" s="1"/>
  <c r="AL86" i="314"/>
  <c r="AQ78" i="314"/>
  <c r="BB78" i="314" s="1"/>
  <c r="AR90" i="314"/>
  <c r="AQ90" i="314" s="1"/>
  <c r="BB90" i="314" s="1"/>
  <c r="AL90" i="314"/>
  <c r="AK89" i="314"/>
  <c r="AR89" i="314" s="1"/>
  <c r="AQ89" i="314" s="1"/>
  <c r="BB89" i="314" s="1"/>
  <c r="X122" i="314"/>
  <c r="AB122" i="314" s="1"/>
  <c r="AP88" i="314"/>
  <c r="AR87" i="314"/>
  <c r="AS87" i="314" s="1"/>
  <c r="AL87" i="314"/>
  <c r="AK85" i="314"/>
  <c r="AR85" i="314" s="1"/>
  <c r="AQ85" i="314" s="1"/>
  <c r="BB85" i="314" s="1"/>
  <c r="AL91" i="314"/>
  <c r="AP91" i="314"/>
  <c r="AK83" i="314"/>
  <c r="AR83" i="314" s="1"/>
  <c r="AQ83" i="314" s="1"/>
  <c r="BB83" i="314" s="1"/>
  <c r="AK81" i="314"/>
  <c r="AP85" i="314"/>
  <c r="V122" i="314"/>
  <c r="Z122" i="314" s="1"/>
  <c r="N81" i="639" s="1"/>
  <c r="AP83" i="314"/>
  <c r="W122" i="314"/>
  <c r="AA122" i="314" s="1"/>
  <c r="N6" i="639" s="1"/>
  <c r="AL84" i="314"/>
  <c r="AP93" i="314"/>
  <c r="AL93" i="314"/>
  <c r="AK80" i="314"/>
  <c r="AP89" i="314"/>
  <c r="AL78" i="314"/>
  <c r="AS96" i="314" l="1"/>
  <c r="Y128" i="314"/>
  <c r="BA95" i="314"/>
  <c r="F85" i="314"/>
  <c r="BA85" i="314"/>
  <c r="F78" i="314"/>
  <c r="BA78" i="314"/>
  <c r="Y122" i="314"/>
  <c r="BA89" i="314"/>
  <c r="BA96" i="314"/>
  <c r="F83" i="314"/>
  <c r="BA83" i="314"/>
  <c r="F88" i="314"/>
  <c r="BA88" i="314"/>
  <c r="Y126" i="314"/>
  <c r="BA93" i="314"/>
  <c r="Y124" i="314"/>
  <c r="BA91" i="314"/>
  <c r="F84" i="314"/>
  <c r="BA84" i="314"/>
  <c r="AY92" i="22"/>
  <c r="AX92" i="22" s="1"/>
  <c r="F95" i="314"/>
  <c r="AS78" i="314"/>
  <c r="AS95" i="314"/>
  <c r="U128" i="314"/>
  <c r="AC128" i="314" s="1"/>
  <c r="AD128" i="314" s="1"/>
  <c r="AE128" i="314" s="1"/>
  <c r="AF128" i="314" s="1"/>
  <c r="U129" i="314"/>
  <c r="AC129" i="314" s="1"/>
  <c r="AD129" i="314" s="1"/>
  <c r="AE129" i="314" s="1"/>
  <c r="AF129" i="314" s="1"/>
  <c r="U124" i="314"/>
  <c r="AC124" i="314" s="1"/>
  <c r="AD124" i="314" s="1"/>
  <c r="AE124" i="314" s="1"/>
  <c r="AF124" i="314" s="1"/>
  <c r="U126" i="314"/>
  <c r="AC126" i="314" s="1"/>
  <c r="AD126" i="314" s="1"/>
  <c r="AE126" i="314" s="1"/>
  <c r="AF126" i="314" s="1"/>
  <c r="F89" i="314"/>
  <c r="U122" i="314"/>
  <c r="AC122" i="314" s="1"/>
  <c r="AD122" i="314" s="1"/>
  <c r="AE122" i="314" s="1"/>
  <c r="AF122" i="314" s="1"/>
  <c r="P141" i="323"/>
  <c r="AS86" i="314"/>
  <c r="F86" i="314"/>
  <c r="AS91" i="314"/>
  <c r="F91" i="314"/>
  <c r="AS93" i="314"/>
  <c r="F93" i="314"/>
  <c r="AL89" i="314"/>
  <c r="AL83" i="314"/>
  <c r="AQ87" i="314"/>
  <c r="BB87" i="314" s="1"/>
  <c r="AS88" i="314"/>
  <c r="AL88" i="314"/>
  <c r="AS83" i="314"/>
  <c r="AS90" i="314"/>
  <c r="AR81" i="314"/>
  <c r="AL81" i="314"/>
  <c r="AR80" i="314"/>
  <c r="AL80" i="314"/>
  <c r="AL85" i="314"/>
  <c r="AS89" i="314"/>
  <c r="AS85" i="314"/>
  <c r="P131" i="314"/>
  <c r="P142" i="323" l="1"/>
  <c r="AS80" i="314"/>
  <c r="AQ80" i="314"/>
  <c r="BB80" i="314" s="1"/>
  <c r="AQ81" i="314"/>
  <c r="BB81" i="314" s="1"/>
  <c r="AS81" i="314"/>
  <c r="P132" i="314"/>
  <c r="P133" i="314" l="1"/>
  <c r="AR91" i="129"/>
  <c r="AR92" i="129"/>
  <c r="AR93" i="129"/>
  <c r="AR94" i="129"/>
  <c r="AR95" i="129"/>
  <c r="AR90" i="129"/>
  <c r="G91" i="129"/>
  <c r="G92" i="129"/>
  <c r="G93" i="129"/>
  <c r="G94" i="129"/>
  <c r="G95" i="129"/>
  <c r="G96" i="129"/>
  <c r="G88" i="129"/>
  <c r="G89" i="129"/>
  <c r="G90" i="129"/>
  <c r="S95" i="129" l="1"/>
  <c r="AY95" i="129" s="1"/>
  <c r="G128" i="129" s="1"/>
  <c r="S93" i="129"/>
  <c r="AY93" i="129" s="1"/>
  <c r="G126" i="129" s="1"/>
  <c r="S92" i="129"/>
  <c r="AY92" i="129" s="1"/>
  <c r="G125" i="129" s="1"/>
  <c r="S90" i="129"/>
  <c r="S91" i="129"/>
  <c r="AY91" i="129" s="1"/>
  <c r="G124" i="129" s="1"/>
  <c r="S94" i="129"/>
  <c r="AY94" i="129" s="1"/>
  <c r="G127" i="129" s="1"/>
  <c r="S96" i="129"/>
  <c r="P134" i="314"/>
  <c r="AY90" i="129" l="1"/>
  <c r="G123" i="129" s="1"/>
  <c r="AX93" i="129"/>
  <c r="AX92" i="129"/>
  <c r="AX94" i="129"/>
  <c r="AX95" i="129"/>
  <c r="AX91" i="129"/>
  <c r="P135" i="314"/>
  <c r="BD59" i="16"/>
  <c r="BD60" i="16"/>
  <c r="BD61" i="16"/>
  <c r="BD62" i="16"/>
  <c r="BD63" i="16"/>
  <c r="BD64" i="16"/>
  <c r="BD65" i="16"/>
  <c r="BD66" i="16"/>
  <c r="BD67" i="16"/>
  <c r="BD68" i="16"/>
  <c r="BD69" i="16"/>
  <c r="BD70" i="16"/>
  <c r="BD71" i="16"/>
  <c r="BD72" i="16"/>
  <c r="BD73" i="16"/>
  <c r="BD74" i="16"/>
  <c r="BD75" i="16"/>
  <c r="BD76" i="16"/>
  <c r="BD77" i="16"/>
  <c r="BD78" i="16"/>
  <c r="BD79" i="16"/>
  <c r="BD80" i="16"/>
  <c r="BD81" i="16"/>
  <c r="BD82" i="16"/>
  <c r="BD83" i="16"/>
  <c r="BD84" i="16"/>
  <c r="BD85" i="16"/>
  <c r="BD86" i="16"/>
  <c r="BD87" i="16"/>
  <c r="BD88" i="16"/>
  <c r="BD89" i="16"/>
  <c r="AQ87" i="101"/>
  <c r="AR87" i="101" s="1"/>
  <c r="AR86" i="101"/>
  <c r="AQ86" i="101"/>
  <c r="AR78" i="101"/>
  <c r="AX90" i="129" l="1"/>
  <c r="Y78" i="101"/>
  <c r="AW78" i="101" s="1"/>
  <c r="P136" i="314"/>
  <c r="Y95" i="102"/>
  <c r="AO95" i="102" s="1"/>
  <c r="M101" i="4"/>
  <c r="M102" i="4"/>
  <c r="M103" i="4"/>
  <c r="M104" i="4"/>
  <c r="M100" i="4"/>
  <c r="M99" i="4"/>
  <c r="M98" i="4"/>
  <c r="M97" i="4"/>
  <c r="W50" i="193" s="1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W48" i="193" s="1"/>
  <c r="M96" i="4"/>
  <c r="W49" i="193" s="1"/>
  <c r="AJ84" i="103"/>
  <c r="AJ85" i="103"/>
  <c r="AJ86" i="103"/>
  <c r="AJ87" i="103"/>
  <c r="AJ88" i="103"/>
  <c r="AH89" i="103"/>
  <c r="AJ89" i="103"/>
  <c r="AH90" i="103"/>
  <c r="AJ90" i="103"/>
  <c r="AH91" i="103"/>
  <c r="AJ91" i="103"/>
  <c r="AH92" i="103"/>
  <c r="AJ92" i="103"/>
  <c r="AH93" i="103"/>
  <c r="AJ93" i="103"/>
  <c r="AH94" i="103"/>
  <c r="AJ94" i="103"/>
  <c r="AH95" i="103"/>
  <c r="AJ95" i="103"/>
  <c r="AH96" i="103"/>
  <c r="AJ96" i="103"/>
  <c r="AH84" i="22"/>
  <c r="AI84" i="103" s="1"/>
  <c r="AI84" i="22"/>
  <c r="AH85" i="22"/>
  <c r="AI85" i="103" s="1"/>
  <c r="AI85" i="22"/>
  <c r="AH86" i="22"/>
  <c r="AI86" i="103" s="1"/>
  <c r="AI86" i="22"/>
  <c r="AH87" i="22"/>
  <c r="AI87" i="103" s="1"/>
  <c r="AI87" i="22"/>
  <c r="AH88" i="22"/>
  <c r="AI88" i="103" s="1"/>
  <c r="AI88" i="22"/>
  <c r="AG89" i="22"/>
  <c r="AH89" i="22"/>
  <c r="AI89" i="22"/>
  <c r="AG90" i="22"/>
  <c r="AH90" i="22"/>
  <c r="AI90" i="103" s="1"/>
  <c r="AI90" i="22"/>
  <c r="AG91" i="22"/>
  <c r="AH91" i="22"/>
  <c r="AI91" i="22"/>
  <c r="AG92" i="22"/>
  <c r="AH92" i="22"/>
  <c r="AI92" i="103" s="1"/>
  <c r="AI92" i="22"/>
  <c r="AG93" i="22"/>
  <c r="AH93" i="22"/>
  <c r="AI93" i="22"/>
  <c r="AG94" i="22"/>
  <c r="AH94" i="22"/>
  <c r="AI94" i="103" s="1"/>
  <c r="AI94" i="22"/>
  <c r="AG95" i="22"/>
  <c r="AH95" i="22"/>
  <c r="AI95" i="22"/>
  <c r="AG96" i="22"/>
  <c r="AH96" i="22"/>
  <c r="AI96" i="103" s="1"/>
  <c r="AI96" i="22"/>
  <c r="AF96" i="22" s="1"/>
  <c r="I91" i="129"/>
  <c r="I92" i="129"/>
  <c r="I93" i="129"/>
  <c r="I94" i="129"/>
  <c r="I95" i="129"/>
  <c r="I96" i="129"/>
  <c r="I90" i="129"/>
  <c r="F57" i="193"/>
  <c r="AA96" i="129" l="1"/>
  <c r="AN96" i="129"/>
  <c r="AN90" i="129"/>
  <c r="AA90" i="129"/>
  <c r="B90" i="129"/>
  <c r="L50" i="135" s="1"/>
  <c r="AN94" i="129"/>
  <c r="AA94" i="129"/>
  <c r="B94" i="129"/>
  <c r="L54" i="135" s="1"/>
  <c r="AA93" i="129"/>
  <c r="AN93" i="129"/>
  <c r="B93" i="129"/>
  <c r="L53" i="135" s="1"/>
  <c r="AA92" i="129"/>
  <c r="AN92" i="129"/>
  <c r="B92" i="129"/>
  <c r="L52" i="135" s="1"/>
  <c r="AA91" i="129"/>
  <c r="AN91" i="129"/>
  <c r="B91" i="129"/>
  <c r="L51" i="135" s="1"/>
  <c r="AA95" i="129"/>
  <c r="AN95" i="129"/>
  <c r="B95" i="129"/>
  <c r="L55" i="135" s="1"/>
  <c r="J99" i="4"/>
  <c r="Z51" i="135" s="1"/>
  <c r="W52" i="193"/>
  <c r="J103" i="4"/>
  <c r="Z55" i="135" s="1"/>
  <c r="W56" i="193"/>
  <c r="AQ104" i="4"/>
  <c r="BH104" i="4" s="1"/>
  <c r="W57" i="193"/>
  <c r="J102" i="4"/>
  <c r="Z54" i="135" s="1"/>
  <c r="W55" i="193"/>
  <c r="J101" i="4"/>
  <c r="Z53" i="135" s="1"/>
  <c r="W54" i="193"/>
  <c r="J100" i="4"/>
  <c r="Z52" i="135" s="1"/>
  <c r="W53" i="193"/>
  <c r="J98" i="4"/>
  <c r="Z50" i="135" s="1"/>
  <c r="W51" i="193"/>
  <c r="AG92" i="103"/>
  <c r="I92" i="103" s="1"/>
  <c r="AG90" i="103"/>
  <c r="I90" i="103" s="1"/>
  <c r="AF93" i="22"/>
  <c r="I93" i="22" s="1"/>
  <c r="AN93" i="22" s="1"/>
  <c r="AT93" i="22" s="1"/>
  <c r="AF89" i="22"/>
  <c r="I89" i="22" s="1"/>
  <c r="AG96" i="103"/>
  <c r="I96" i="103" s="1"/>
  <c r="AF91" i="22"/>
  <c r="I91" i="22" s="1"/>
  <c r="AF95" i="22"/>
  <c r="I95" i="22" s="1"/>
  <c r="AG94" i="103"/>
  <c r="I94" i="103" s="1"/>
  <c r="I96" i="22"/>
  <c r="AF94" i="22"/>
  <c r="I94" i="22" s="1"/>
  <c r="AF92" i="22"/>
  <c r="I92" i="22" s="1"/>
  <c r="AF90" i="22"/>
  <c r="I90" i="22" s="1"/>
  <c r="AI95" i="103"/>
  <c r="AG95" i="103" s="1"/>
  <c r="I95" i="103" s="1"/>
  <c r="AI93" i="103"/>
  <c r="AG93" i="103" s="1"/>
  <c r="I93" i="103" s="1"/>
  <c r="AI91" i="103"/>
  <c r="AG91" i="103" s="1"/>
  <c r="I91" i="103" s="1"/>
  <c r="AI89" i="103"/>
  <c r="AG89" i="103" s="1"/>
  <c r="I89" i="103" s="1"/>
  <c r="P137" i="314"/>
  <c r="Y96" i="102"/>
  <c r="AO96" i="102" s="1"/>
  <c r="AT91" i="102"/>
  <c r="AT92" i="102"/>
  <c r="AT93" i="102"/>
  <c r="AT94" i="102"/>
  <c r="AT95" i="102"/>
  <c r="BU95" i="102" s="1"/>
  <c r="AT90" i="102"/>
  <c r="AN91" i="102"/>
  <c r="AN92" i="102"/>
  <c r="AN93" i="102"/>
  <c r="AN94" i="102"/>
  <c r="AN95" i="102"/>
  <c r="AN96" i="102"/>
  <c r="BF93" i="22" l="1"/>
  <c r="U126" i="22"/>
  <c r="AT94" i="129"/>
  <c r="AT92" i="129"/>
  <c r="AT91" i="129"/>
  <c r="B93" i="22"/>
  <c r="M53" i="135" s="1"/>
  <c r="AT95" i="129"/>
  <c r="AT90" i="129"/>
  <c r="AT93" i="129"/>
  <c r="P126" i="102"/>
  <c r="AV95" i="102"/>
  <c r="BF95" i="102" s="1"/>
  <c r="AV94" i="102"/>
  <c r="BF94" i="102" s="1"/>
  <c r="P127" i="102"/>
  <c r="AV92" i="102"/>
  <c r="BF92" i="102" s="1"/>
  <c r="P125" i="102"/>
  <c r="P128" i="102"/>
  <c r="AV93" i="102"/>
  <c r="BF93" i="102" s="1"/>
  <c r="AV91" i="102"/>
  <c r="BF91" i="102" s="1"/>
  <c r="AN94" i="22"/>
  <c r="AT94" i="22" s="1"/>
  <c r="B94" i="22"/>
  <c r="M54" i="135" s="1"/>
  <c r="AN90" i="22"/>
  <c r="AT90" i="22" s="1"/>
  <c r="B90" i="22"/>
  <c r="M50" i="135" s="1"/>
  <c r="AN96" i="22"/>
  <c r="AN92" i="22"/>
  <c r="AT92" i="22" s="1"/>
  <c r="B92" i="22"/>
  <c r="M52" i="135" s="1"/>
  <c r="AN95" i="22"/>
  <c r="AT95" i="22" s="1"/>
  <c r="B95" i="22"/>
  <c r="M55" i="135" s="1"/>
  <c r="AN91" i="22"/>
  <c r="AT91" i="22" s="1"/>
  <c r="B91" i="22"/>
  <c r="M51" i="135" s="1"/>
  <c r="P138" i="314"/>
  <c r="BF90" i="22" l="1"/>
  <c r="U123" i="22"/>
  <c r="BF92" i="22"/>
  <c r="U125" i="22"/>
  <c r="BF91" i="22"/>
  <c r="U124" i="22"/>
  <c r="BF94" i="22"/>
  <c r="U127" i="22"/>
  <c r="BF95" i="22"/>
  <c r="U128" i="22"/>
  <c r="BF90" i="129"/>
  <c r="Y123" i="129"/>
  <c r="U123" i="129"/>
  <c r="BF92" i="129"/>
  <c r="U125" i="129"/>
  <c r="Y125" i="129"/>
  <c r="BF93" i="129"/>
  <c r="U126" i="129"/>
  <c r="Y126" i="129"/>
  <c r="BF95" i="129"/>
  <c r="Y128" i="129"/>
  <c r="U128" i="129"/>
  <c r="BF91" i="129"/>
  <c r="U124" i="129"/>
  <c r="Y124" i="129"/>
  <c r="BF94" i="129"/>
  <c r="Y127" i="129"/>
  <c r="U127" i="129"/>
  <c r="Y126" i="102"/>
  <c r="U126" i="102"/>
  <c r="Y128" i="102"/>
  <c r="U128" i="102"/>
  <c r="Y125" i="102"/>
  <c r="U125" i="102"/>
  <c r="Y127" i="102"/>
  <c r="U127" i="102"/>
  <c r="Y124" i="102"/>
  <c r="U124" i="102"/>
  <c r="P139" i="314"/>
  <c r="P140" i="314" l="1"/>
  <c r="AA91" i="102"/>
  <c r="AP91" i="102" s="1"/>
  <c r="AA92" i="102"/>
  <c r="AA93" i="102"/>
  <c r="AA94" i="102"/>
  <c r="AB94" i="102" s="1"/>
  <c r="AA95" i="102"/>
  <c r="AA96" i="102"/>
  <c r="AQ94" i="102" l="1"/>
  <c r="AR94" i="102" s="1"/>
  <c r="AP94" i="102"/>
  <c r="AB92" i="102"/>
  <c r="AQ92" i="102" s="1"/>
  <c r="AR92" i="102" s="1"/>
  <c r="AP92" i="102"/>
  <c r="AB96" i="102"/>
  <c r="AQ96" i="102" s="1"/>
  <c r="AR96" i="102" s="1"/>
  <c r="AP96" i="102"/>
  <c r="AB95" i="102"/>
  <c r="AQ95" i="102" s="1"/>
  <c r="AX95" i="102" s="1"/>
  <c r="AY95" i="102" s="1"/>
  <c r="AP95" i="102"/>
  <c r="AB93" i="102"/>
  <c r="AQ93" i="102" s="1"/>
  <c r="AR93" i="102" s="1"/>
  <c r="AP93" i="102"/>
  <c r="AX92" i="102"/>
  <c r="AY92" i="102" s="1"/>
  <c r="P141" i="314"/>
  <c r="AK91" i="4"/>
  <c r="AL91" i="4" s="1"/>
  <c r="O91" i="4" s="1"/>
  <c r="AK92" i="4"/>
  <c r="AL92" i="4" s="1"/>
  <c r="O92" i="4" s="1"/>
  <c r="AK93" i="4"/>
  <c r="AL93" i="4" s="1"/>
  <c r="O93" i="4" s="1"/>
  <c r="AK94" i="4"/>
  <c r="AL94" i="4" s="1"/>
  <c r="O94" i="4" s="1"/>
  <c r="AK95" i="4"/>
  <c r="AL95" i="4" s="1"/>
  <c r="O95" i="4" s="1"/>
  <c r="AK96" i="4"/>
  <c r="AL96" i="4" s="1"/>
  <c r="O96" i="4" s="1"/>
  <c r="AK97" i="4"/>
  <c r="AL97" i="4" s="1"/>
  <c r="O97" i="4" s="1"/>
  <c r="AK98" i="4"/>
  <c r="AL98" i="4" s="1"/>
  <c r="O98" i="4" s="1"/>
  <c r="AK99" i="4"/>
  <c r="AL99" i="4" s="1"/>
  <c r="O99" i="4" s="1"/>
  <c r="AK100" i="4"/>
  <c r="AL100" i="4" s="1"/>
  <c r="O100" i="4" s="1"/>
  <c r="AK101" i="4"/>
  <c r="AL101" i="4" s="1"/>
  <c r="O101" i="4" s="1"/>
  <c r="AK102" i="4"/>
  <c r="AL102" i="4" s="1"/>
  <c r="O102" i="4" s="1"/>
  <c r="AK103" i="4"/>
  <c r="AL103" i="4" s="1"/>
  <c r="O103" i="4" s="1"/>
  <c r="AR103" i="4" s="1"/>
  <c r="BI103" i="4" s="1"/>
  <c r="O104" i="4"/>
  <c r="AK90" i="4"/>
  <c r="AL90" i="4" s="1"/>
  <c r="O90" i="4" s="1"/>
  <c r="AU99" i="4"/>
  <c r="AU100" i="4"/>
  <c r="AU101" i="4"/>
  <c r="AU102" i="4"/>
  <c r="AU103" i="4"/>
  <c r="AU98" i="4"/>
  <c r="AT91" i="104"/>
  <c r="AT92" i="104"/>
  <c r="AT93" i="104"/>
  <c r="AT94" i="104"/>
  <c r="AT95" i="104"/>
  <c r="AT90" i="104"/>
  <c r="AN90" i="104"/>
  <c r="AN91" i="104"/>
  <c r="AN92" i="104"/>
  <c r="AN93" i="104"/>
  <c r="AN94" i="104"/>
  <c r="AN95" i="104"/>
  <c r="AN96" i="104"/>
  <c r="AA91" i="104"/>
  <c r="AP91" i="104" s="1"/>
  <c r="AA92" i="104"/>
  <c r="AP92" i="104" s="1"/>
  <c r="AA93" i="104"/>
  <c r="AP93" i="104" s="1"/>
  <c r="AA94" i="104"/>
  <c r="AP94" i="104" s="1"/>
  <c r="AA95" i="104"/>
  <c r="AP95" i="104" s="1"/>
  <c r="AA96" i="104"/>
  <c r="AP96" i="104" s="1"/>
  <c r="Y90" i="104"/>
  <c r="AO90" i="104" s="1"/>
  <c r="Y91" i="104"/>
  <c r="AO91" i="104" s="1"/>
  <c r="Y92" i="104"/>
  <c r="AO92" i="104" s="1"/>
  <c r="Y93" i="104"/>
  <c r="AO93" i="104" s="1"/>
  <c r="Y94" i="104"/>
  <c r="AO94" i="104" s="1"/>
  <c r="Y95" i="104"/>
  <c r="AO95" i="104" s="1"/>
  <c r="Y96" i="104"/>
  <c r="AO96" i="104" s="1"/>
  <c r="Y97" i="104"/>
  <c r="P130" i="104" s="1"/>
  <c r="V50" i="193"/>
  <c r="V51" i="193"/>
  <c r="V52" i="193"/>
  <c r="V53" i="193"/>
  <c r="V54" i="193"/>
  <c r="V55" i="193"/>
  <c r="V56" i="193"/>
  <c r="V57" i="193"/>
  <c r="G90" i="104"/>
  <c r="G91" i="104"/>
  <c r="B91" i="104" s="1"/>
  <c r="X51" i="135" s="1"/>
  <c r="G92" i="104"/>
  <c r="B92" i="104" s="1"/>
  <c r="X52" i="135" s="1"/>
  <c r="G93" i="104"/>
  <c r="B93" i="104" s="1"/>
  <c r="X53" i="135" s="1"/>
  <c r="G94" i="104"/>
  <c r="B94" i="104" s="1"/>
  <c r="X54" i="135" s="1"/>
  <c r="G95" i="104"/>
  <c r="G96" i="104"/>
  <c r="G89" i="104"/>
  <c r="AW91" i="103"/>
  <c r="P124" i="103" s="1"/>
  <c r="AW92" i="103"/>
  <c r="P125" i="103" s="1"/>
  <c r="AW93" i="103"/>
  <c r="P126" i="103" s="1"/>
  <c r="AW94" i="103"/>
  <c r="P127" i="103" s="1"/>
  <c r="AW95" i="103"/>
  <c r="P128" i="103" s="1"/>
  <c r="AW90" i="103"/>
  <c r="P123" i="103" s="1"/>
  <c r="AQ90" i="103"/>
  <c r="AQ91" i="103"/>
  <c r="AQ92" i="103"/>
  <c r="AQ93" i="103"/>
  <c r="AQ94" i="103"/>
  <c r="AQ95" i="103"/>
  <c r="AQ96" i="103"/>
  <c r="AA91" i="103"/>
  <c r="AA92" i="103"/>
  <c r="AA93" i="103"/>
  <c r="AA94" i="103"/>
  <c r="AA95" i="103"/>
  <c r="AA96" i="103"/>
  <c r="AE89" i="103"/>
  <c r="AE90" i="103"/>
  <c r="AE91" i="103"/>
  <c r="AE92" i="103"/>
  <c r="AE93" i="103"/>
  <c r="AE94" i="103"/>
  <c r="AE95" i="103"/>
  <c r="AE96" i="103"/>
  <c r="U51" i="193"/>
  <c r="U52" i="193"/>
  <c r="U53" i="193"/>
  <c r="U54" i="193"/>
  <c r="U55" i="193"/>
  <c r="U56" i="193"/>
  <c r="U57" i="193"/>
  <c r="G90" i="103"/>
  <c r="G91" i="103"/>
  <c r="G92" i="103"/>
  <c r="G93" i="103"/>
  <c r="G94" i="103"/>
  <c r="G95" i="103"/>
  <c r="G96" i="103"/>
  <c r="G89" i="103"/>
  <c r="AX93" i="102" l="1"/>
  <c r="AY93" i="102" s="1"/>
  <c r="AX94" i="102"/>
  <c r="AY94" i="102" s="1"/>
  <c r="BP103" i="4"/>
  <c r="AR95" i="102"/>
  <c r="AB97" i="104"/>
  <c r="AQ97" i="104" s="1"/>
  <c r="AO97" i="104"/>
  <c r="U52" i="542"/>
  <c r="B52" i="542" s="1"/>
  <c r="AH137" i="4"/>
  <c r="U55" i="542"/>
  <c r="B55" i="542" s="1"/>
  <c r="AH140" i="4"/>
  <c r="U54" i="542"/>
  <c r="B54" i="542" s="1"/>
  <c r="AH139" i="4"/>
  <c r="U51" i="542"/>
  <c r="B51" i="542" s="1"/>
  <c r="AH136" i="4"/>
  <c r="U56" i="542"/>
  <c r="B56" i="542" s="1"/>
  <c r="AH141" i="4"/>
  <c r="U53" i="542"/>
  <c r="B53" i="542" s="1"/>
  <c r="BB100" i="4"/>
  <c r="AH138" i="4"/>
  <c r="BL99" i="4"/>
  <c r="BL98" i="4"/>
  <c r="BL102" i="4"/>
  <c r="BL100" i="4"/>
  <c r="BL103" i="4"/>
  <c r="BL101" i="4"/>
  <c r="X99" i="4"/>
  <c r="B124" i="1"/>
  <c r="X101" i="4"/>
  <c r="B126" i="1"/>
  <c r="X98" i="4"/>
  <c r="B123" i="1"/>
  <c r="X103" i="4"/>
  <c r="B128" i="1"/>
  <c r="X102" i="4"/>
  <c r="B127" i="1"/>
  <c r="X100" i="4"/>
  <c r="B125" i="1"/>
  <c r="AX97" i="104"/>
  <c r="AR97" i="104"/>
  <c r="AB95" i="103"/>
  <c r="AT95" i="103" s="1"/>
  <c r="AU95" i="103" s="1"/>
  <c r="AS95" i="103"/>
  <c r="AB94" i="103"/>
  <c r="AT94" i="103" s="1"/>
  <c r="AU94" i="103" s="1"/>
  <c r="AS94" i="103"/>
  <c r="AB93" i="103"/>
  <c r="AT93" i="103" s="1"/>
  <c r="AU93" i="103" s="1"/>
  <c r="AS93" i="103"/>
  <c r="AB96" i="103"/>
  <c r="AT96" i="103" s="1"/>
  <c r="AU96" i="103" s="1"/>
  <c r="AS96" i="103"/>
  <c r="AB92" i="103"/>
  <c r="AT92" i="103" s="1"/>
  <c r="AU92" i="103" s="1"/>
  <c r="AS92" i="103"/>
  <c r="AB91" i="103"/>
  <c r="AT91" i="103" s="1"/>
  <c r="BA91" i="103" s="1"/>
  <c r="AS91" i="103"/>
  <c r="AB96" i="104"/>
  <c r="AQ96" i="104" s="1"/>
  <c r="AR96" i="104" s="1"/>
  <c r="AY91" i="103"/>
  <c r="BO91" i="103" s="1"/>
  <c r="AV92" i="104"/>
  <c r="P136" i="4"/>
  <c r="P141" i="4"/>
  <c r="P128" i="104"/>
  <c r="P137" i="4"/>
  <c r="AY90" i="103"/>
  <c r="BO90" i="103" s="1"/>
  <c r="P127" i="104"/>
  <c r="B125" i="23"/>
  <c r="B125" i="63"/>
  <c r="B125" i="3"/>
  <c r="E125" i="104"/>
  <c r="B125" i="21"/>
  <c r="C125" i="104"/>
  <c r="H125" i="104" s="1"/>
  <c r="B125" i="101"/>
  <c r="B125" i="25"/>
  <c r="B125" i="131"/>
  <c r="B125" i="19"/>
  <c r="B125" i="323"/>
  <c r="G125" i="323" s="1"/>
  <c r="B125" i="18"/>
  <c r="B125" i="102"/>
  <c r="B125" i="26"/>
  <c r="B125" i="27"/>
  <c r="B125" i="133"/>
  <c r="B125" i="20"/>
  <c r="B125" i="103"/>
  <c r="G125" i="103" s="1"/>
  <c r="K125" i="103" s="1"/>
  <c r="B125" i="29"/>
  <c r="B125" i="51"/>
  <c r="B125" i="104"/>
  <c r="B125" i="314"/>
  <c r="G125" i="314" s="1"/>
  <c r="P138" i="4"/>
  <c r="P135" i="4"/>
  <c r="N97" i="4"/>
  <c r="BB99" i="4"/>
  <c r="E124" i="104"/>
  <c r="B124" i="51"/>
  <c r="B124" i="25"/>
  <c r="B124" i="20"/>
  <c r="B124" i="23"/>
  <c r="B124" i="29"/>
  <c r="B124" i="323"/>
  <c r="G124" i="323" s="1"/>
  <c r="B124" i="27"/>
  <c r="B124" i="19"/>
  <c r="C124" i="104"/>
  <c r="H124" i="104" s="1"/>
  <c r="B124" i="131"/>
  <c r="B124" i="102"/>
  <c r="B124" i="3"/>
  <c r="B124" i="133"/>
  <c r="B124" i="101"/>
  <c r="B124" i="21"/>
  <c r="B124" i="63"/>
  <c r="B124" i="104"/>
  <c r="B124" i="314"/>
  <c r="G124" i="314" s="1"/>
  <c r="B124" i="26"/>
  <c r="B124" i="103"/>
  <c r="G124" i="103" s="1"/>
  <c r="K124" i="103" s="1"/>
  <c r="B124" i="18"/>
  <c r="BB98" i="4"/>
  <c r="C123" i="104"/>
  <c r="B123" i="133"/>
  <c r="B123" i="20"/>
  <c r="B123" i="323"/>
  <c r="B123" i="102"/>
  <c r="B123" i="18"/>
  <c r="B123" i="103"/>
  <c r="G123" i="103" s="1"/>
  <c r="K123" i="103" s="1"/>
  <c r="B123" i="19"/>
  <c r="B123" i="314"/>
  <c r="G123" i="314" s="1"/>
  <c r="B123" i="21"/>
  <c r="B123" i="51"/>
  <c r="E123" i="104"/>
  <c r="B123" i="104"/>
  <c r="G123" i="104" s="1"/>
  <c r="B123" i="23"/>
  <c r="B123" i="29"/>
  <c r="B123" i="25"/>
  <c r="B123" i="27"/>
  <c r="B123" i="3"/>
  <c r="B123" i="26"/>
  <c r="B123" i="101"/>
  <c r="B123" i="131"/>
  <c r="B123" i="63"/>
  <c r="BB102" i="4"/>
  <c r="B127" i="103"/>
  <c r="G127" i="103" s="1"/>
  <c r="K127" i="103" s="1"/>
  <c r="B127" i="133"/>
  <c r="E127" i="104"/>
  <c r="J127" i="104" s="1"/>
  <c r="B127" i="20"/>
  <c r="B127" i="101"/>
  <c r="B127" i="27"/>
  <c r="B127" i="3"/>
  <c r="B127" i="104"/>
  <c r="G127" i="104" s="1"/>
  <c r="B127" i="21"/>
  <c r="B127" i="63"/>
  <c r="B127" i="314"/>
  <c r="G127" i="314" s="1"/>
  <c r="C127" i="104"/>
  <c r="H127" i="104" s="1"/>
  <c r="B127" i="323"/>
  <c r="G127" i="323" s="1"/>
  <c r="B127" i="18"/>
  <c r="B127" i="131"/>
  <c r="B127" i="102"/>
  <c r="B127" i="23"/>
  <c r="B127" i="25"/>
  <c r="B127" i="26"/>
  <c r="B127" i="29"/>
  <c r="B127" i="19"/>
  <c r="B127" i="51"/>
  <c r="P140" i="4"/>
  <c r="BB103" i="4"/>
  <c r="B128" i="103"/>
  <c r="G128" i="103" s="1"/>
  <c r="K128" i="103" s="1"/>
  <c r="B128" i="131"/>
  <c r="B128" i="18"/>
  <c r="B128" i="23"/>
  <c r="B128" i="21"/>
  <c r="B128" i="3"/>
  <c r="B128" i="26"/>
  <c r="B128" i="19"/>
  <c r="B128" i="323"/>
  <c r="G128" i="323" s="1"/>
  <c r="B128" i="102"/>
  <c r="B128" i="27"/>
  <c r="B128" i="29"/>
  <c r="B128" i="133"/>
  <c r="B128" i="20"/>
  <c r="B128" i="104"/>
  <c r="B128" i="314"/>
  <c r="G128" i="314" s="1"/>
  <c r="B128" i="51"/>
  <c r="B128" i="25"/>
  <c r="B128" i="101"/>
  <c r="B128" i="63"/>
  <c r="BB101" i="4"/>
  <c r="B126" i="103"/>
  <c r="G126" i="103" s="1"/>
  <c r="K126" i="103" s="1"/>
  <c r="B126" i="27"/>
  <c r="B126" i="323"/>
  <c r="G126" i="323" s="1"/>
  <c r="B126" i="18"/>
  <c r="B126" i="104"/>
  <c r="B126" i="23"/>
  <c r="B126" i="51"/>
  <c r="E126" i="104"/>
  <c r="B126" i="25"/>
  <c r="B126" i="26"/>
  <c r="B126" i="20"/>
  <c r="B126" i="131"/>
  <c r="B126" i="101"/>
  <c r="B126" i="19"/>
  <c r="B126" i="29"/>
  <c r="B126" i="3"/>
  <c r="C126" i="104"/>
  <c r="H126" i="104" s="1"/>
  <c r="B126" i="314"/>
  <c r="G126" i="314" s="1"/>
  <c r="B126" i="21"/>
  <c r="B126" i="133"/>
  <c r="B126" i="102"/>
  <c r="B126" i="63"/>
  <c r="P139" i="4"/>
  <c r="L124" i="104"/>
  <c r="AB91" i="104"/>
  <c r="AQ91" i="104" s="1"/>
  <c r="P124" i="104"/>
  <c r="K123" i="104"/>
  <c r="AB93" i="104"/>
  <c r="AQ93" i="104" s="1"/>
  <c r="AR93" i="104" s="1"/>
  <c r="P126" i="104"/>
  <c r="AB92" i="104"/>
  <c r="AQ92" i="104" s="1"/>
  <c r="AR92" i="104" s="1"/>
  <c r="P125" i="104"/>
  <c r="AB95" i="104"/>
  <c r="AQ95" i="104" s="1"/>
  <c r="AX95" i="104" s="1"/>
  <c r="S94" i="104"/>
  <c r="BA94" i="104" s="1"/>
  <c r="AZ94" i="104" s="1"/>
  <c r="P123" i="104"/>
  <c r="AV90" i="104"/>
  <c r="AB94" i="104"/>
  <c r="AQ94" i="104" s="1"/>
  <c r="AX94" i="104" s="1"/>
  <c r="AR95" i="104"/>
  <c r="AV94" i="104"/>
  <c r="AV93" i="104"/>
  <c r="AR91" i="104"/>
  <c r="AV91" i="104"/>
  <c r="AV95" i="104"/>
  <c r="S96" i="104"/>
  <c r="S90" i="103"/>
  <c r="BM90" i="103" s="1"/>
  <c r="B90" i="103"/>
  <c r="W50" i="135" s="1"/>
  <c r="S91" i="104"/>
  <c r="S95" i="103"/>
  <c r="BM95" i="103" s="1"/>
  <c r="B95" i="103"/>
  <c r="W55" i="135" s="1"/>
  <c r="S90" i="104"/>
  <c r="B90" i="104"/>
  <c r="X50" i="135" s="1"/>
  <c r="S94" i="103"/>
  <c r="BM94" i="103" s="1"/>
  <c r="B94" i="103"/>
  <c r="W54" i="135" s="1"/>
  <c r="S96" i="103"/>
  <c r="S93" i="103"/>
  <c r="BM93" i="103" s="1"/>
  <c r="B93" i="103"/>
  <c r="W53" i="135" s="1"/>
  <c r="S92" i="103"/>
  <c r="BM92" i="103" s="1"/>
  <c r="B92" i="103"/>
  <c r="W52" i="135" s="1"/>
  <c r="S95" i="104"/>
  <c r="BA95" i="104" s="1"/>
  <c r="AZ95" i="104" s="1"/>
  <c r="B95" i="104"/>
  <c r="X55" i="135" s="1"/>
  <c r="S93" i="104"/>
  <c r="S91" i="103"/>
  <c r="BM91" i="103" s="1"/>
  <c r="B91" i="103"/>
  <c r="W51" i="135" s="1"/>
  <c r="S92" i="104"/>
  <c r="BA92" i="104" s="1"/>
  <c r="AZ92" i="104" s="1"/>
  <c r="BA93" i="103"/>
  <c r="AX91" i="104"/>
  <c r="AY95" i="103"/>
  <c r="BO95" i="103" s="1"/>
  <c r="AY93" i="103"/>
  <c r="BO93" i="103" s="1"/>
  <c r="P142" i="314"/>
  <c r="AY92" i="103"/>
  <c r="BO92" i="103" s="1"/>
  <c r="AY94" i="103"/>
  <c r="BO94" i="103" s="1"/>
  <c r="AX93" i="104" l="1"/>
  <c r="BA92" i="103"/>
  <c r="BA95" i="103"/>
  <c r="G125" i="26"/>
  <c r="J126" i="104"/>
  <c r="N126" i="104" s="1"/>
  <c r="T126" i="104" s="1"/>
  <c r="H123" i="104"/>
  <c r="L123" i="104" s="1"/>
  <c r="R123" i="104" s="1"/>
  <c r="J124" i="104"/>
  <c r="N124" i="104" s="1"/>
  <c r="T124" i="104" s="1"/>
  <c r="G125" i="102"/>
  <c r="K125" i="102" s="1"/>
  <c r="Q125" i="102" s="1"/>
  <c r="J125" i="104"/>
  <c r="N125" i="104" s="1"/>
  <c r="T125" i="104" s="1"/>
  <c r="Q123" i="103"/>
  <c r="Q125" i="103"/>
  <c r="G126" i="102"/>
  <c r="K126" i="102" s="1"/>
  <c r="Q126" i="102" s="1"/>
  <c r="Q124" i="103"/>
  <c r="G126" i="104"/>
  <c r="K126" i="104" s="1"/>
  <c r="Q126" i="104" s="1"/>
  <c r="G128" i="102"/>
  <c r="K128" i="102" s="1"/>
  <c r="Q128" i="102" s="1"/>
  <c r="G123" i="102"/>
  <c r="K123" i="102" s="1"/>
  <c r="J123" i="104"/>
  <c r="N123" i="104" s="1"/>
  <c r="T123" i="104" s="1"/>
  <c r="G123" i="323"/>
  <c r="K123" i="323" s="1"/>
  <c r="G124" i="102"/>
  <c r="K124" i="102" s="1"/>
  <c r="K128" i="104"/>
  <c r="Q128" i="104" s="1"/>
  <c r="G128" i="104"/>
  <c r="G127" i="102"/>
  <c r="K127" i="102" s="1"/>
  <c r="Q127" i="102" s="1"/>
  <c r="G124" i="104"/>
  <c r="K124" i="104" s="1"/>
  <c r="Q124" i="104" s="1"/>
  <c r="G125" i="104"/>
  <c r="K125" i="104" s="1"/>
  <c r="Q125" i="104" s="1"/>
  <c r="K125" i="314"/>
  <c r="Q125" i="314" s="1"/>
  <c r="K128" i="314"/>
  <c r="Q128" i="314" s="1"/>
  <c r="K127" i="314"/>
  <c r="Q127" i="314" s="1"/>
  <c r="K124" i="314"/>
  <c r="Q124" i="314" s="1"/>
  <c r="K126" i="314"/>
  <c r="Q126" i="314" s="1"/>
  <c r="K123" i="314"/>
  <c r="Q123" i="314" s="1"/>
  <c r="BA94" i="103"/>
  <c r="BB94" i="103" s="1"/>
  <c r="Y124" i="104"/>
  <c r="BI91" i="104"/>
  <c r="Y127" i="104"/>
  <c r="BI94" i="104"/>
  <c r="Y126" i="104"/>
  <c r="BI93" i="104"/>
  <c r="Y123" i="104"/>
  <c r="BI90" i="104"/>
  <c r="Y125" i="104"/>
  <c r="BI92" i="104"/>
  <c r="Y128" i="104"/>
  <c r="BI95" i="104"/>
  <c r="X51" i="542"/>
  <c r="AK136" i="4" s="1"/>
  <c r="X54" i="542"/>
  <c r="AK139" i="4" s="1"/>
  <c r="X53" i="542"/>
  <c r="AK138" i="4" s="1"/>
  <c r="X55" i="542"/>
  <c r="AK140" i="4" s="1"/>
  <c r="X56" i="542"/>
  <c r="AK141" i="4" s="1"/>
  <c r="X52" i="542"/>
  <c r="AK137" i="4" s="1"/>
  <c r="BS102" i="4"/>
  <c r="BR102" i="4" s="1"/>
  <c r="BS103" i="4"/>
  <c r="BR103" i="4" s="1"/>
  <c r="BO103" i="4" s="1"/>
  <c r="BS99" i="4"/>
  <c r="BR99" i="4" s="1"/>
  <c r="BS100" i="4"/>
  <c r="BR100" i="4" s="1"/>
  <c r="BS101" i="4"/>
  <c r="BR101" i="4" s="1"/>
  <c r="BS98" i="4"/>
  <c r="BR98" i="4" s="1"/>
  <c r="L127" i="104"/>
  <c r="R127" i="104" s="1"/>
  <c r="K127" i="104"/>
  <c r="Q127" i="104" s="1"/>
  <c r="N127" i="104"/>
  <c r="T127" i="104" s="1"/>
  <c r="AY97" i="104"/>
  <c r="BB91" i="103"/>
  <c r="U125" i="104"/>
  <c r="AU91" i="103"/>
  <c r="Y124" i="103"/>
  <c r="U124" i="103"/>
  <c r="Y123" i="103"/>
  <c r="U123" i="103"/>
  <c r="Y128" i="103"/>
  <c r="U128" i="103"/>
  <c r="Y125" i="103"/>
  <c r="U125" i="103"/>
  <c r="Y126" i="103"/>
  <c r="U126" i="103"/>
  <c r="Y127" i="103"/>
  <c r="U127" i="103"/>
  <c r="BA98" i="4"/>
  <c r="C136" i="4"/>
  <c r="D136" i="4"/>
  <c r="E136" i="4"/>
  <c r="B136" i="4"/>
  <c r="BA102" i="4"/>
  <c r="C140" i="4"/>
  <c r="B140" i="4"/>
  <c r="D140" i="4"/>
  <c r="E140" i="4"/>
  <c r="BA103" i="4"/>
  <c r="E141" i="4"/>
  <c r="D141" i="4"/>
  <c r="B141" i="4"/>
  <c r="C141" i="4"/>
  <c r="BA99" i="4"/>
  <c r="C137" i="4"/>
  <c r="D137" i="4"/>
  <c r="B137" i="4"/>
  <c r="E137" i="4"/>
  <c r="BA100" i="4"/>
  <c r="C138" i="4"/>
  <c r="D138" i="4"/>
  <c r="E138" i="4"/>
  <c r="B138" i="4"/>
  <c r="BA101" i="4"/>
  <c r="E139" i="4"/>
  <c r="D139" i="4"/>
  <c r="B139" i="4"/>
  <c r="C139" i="4"/>
  <c r="D126" i="104"/>
  <c r="AX92" i="104"/>
  <c r="AY92" i="104" s="1"/>
  <c r="K126" i="323"/>
  <c r="Q126" i="323" s="1"/>
  <c r="Y93" i="323" s="1"/>
  <c r="K128" i="323"/>
  <c r="Q128" i="323" s="1"/>
  <c r="Y95" i="323" s="1"/>
  <c r="K124" i="323"/>
  <c r="Q124" i="323" s="1"/>
  <c r="Y91" i="323" s="1"/>
  <c r="K125" i="323"/>
  <c r="Q125" i="323" s="1"/>
  <c r="Y92" i="323" s="1"/>
  <c r="K127" i="323"/>
  <c r="Q127" i="323" s="1"/>
  <c r="Y94" i="323" s="1"/>
  <c r="AY91" i="104"/>
  <c r="D123" i="104"/>
  <c r="I123" i="104" s="1"/>
  <c r="D125" i="104"/>
  <c r="I125" i="104" s="1"/>
  <c r="U124" i="104"/>
  <c r="AY93" i="104"/>
  <c r="U123" i="104"/>
  <c r="R124" i="104"/>
  <c r="U126" i="104"/>
  <c r="U127" i="104"/>
  <c r="BB92" i="103"/>
  <c r="Q123" i="104"/>
  <c r="D127" i="104"/>
  <c r="I127" i="104" s="1"/>
  <c r="D124" i="104"/>
  <c r="I124" i="104" s="1"/>
  <c r="AR94" i="104"/>
  <c r="AY95" i="104"/>
  <c r="U128" i="104"/>
  <c r="BA91" i="104"/>
  <c r="BA93" i="104"/>
  <c r="AY94" i="104"/>
  <c r="BA90" i="104"/>
  <c r="AZ90" i="104" s="1"/>
  <c r="BB95" i="103"/>
  <c r="BD93" i="103"/>
  <c r="BC93" i="103" s="1"/>
  <c r="BD95" i="103"/>
  <c r="BC95" i="103" s="1"/>
  <c r="BD90" i="103"/>
  <c r="BC90" i="103" s="1"/>
  <c r="BD94" i="103"/>
  <c r="BC94" i="103" s="1"/>
  <c r="BD91" i="103"/>
  <c r="BC91" i="103" s="1"/>
  <c r="BD92" i="103"/>
  <c r="BC92" i="103" s="1"/>
  <c r="AW95" i="104"/>
  <c r="BJ95" i="104" s="1"/>
  <c r="BB93" i="103"/>
  <c r="AW94" i="104"/>
  <c r="BJ94" i="104" s="1"/>
  <c r="AU91" i="133"/>
  <c r="G124" i="133" s="1"/>
  <c r="AU92" i="133"/>
  <c r="G125" i="133" s="1"/>
  <c r="AU93" i="133"/>
  <c r="G126" i="133" s="1"/>
  <c r="AU94" i="133"/>
  <c r="AU95" i="133"/>
  <c r="G128" i="133" s="1"/>
  <c r="AU90" i="133"/>
  <c r="G123" i="133" s="1"/>
  <c r="AO90" i="133"/>
  <c r="AO91" i="133"/>
  <c r="AO92" i="133"/>
  <c r="AO93" i="133"/>
  <c r="AO94" i="133"/>
  <c r="AO95" i="133"/>
  <c r="AO96" i="133"/>
  <c r="AB91" i="133"/>
  <c r="AB92" i="133"/>
  <c r="AB93" i="133"/>
  <c r="AB94" i="133"/>
  <c r="AB95" i="133"/>
  <c r="AB96" i="133"/>
  <c r="G90" i="133"/>
  <c r="B90" i="133" s="1"/>
  <c r="V50" i="135" s="1"/>
  <c r="G91" i="133"/>
  <c r="B91" i="133" s="1"/>
  <c r="V51" i="135" s="1"/>
  <c r="G92" i="133"/>
  <c r="G93" i="133"/>
  <c r="G94" i="133"/>
  <c r="B94" i="133" s="1"/>
  <c r="V54" i="135" s="1"/>
  <c r="G95" i="133"/>
  <c r="B95" i="133" s="1"/>
  <c r="V55" i="135" s="1"/>
  <c r="G96" i="133"/>
  <c r="G89" i="133"/>
  <c r="R51" i="193"/>
  <c r="R52" i="193"/>
  <c r="R53" i="193"/>
  <c r="R54" i="193"/>
  <c r="R55" i="193"/>
  <c r="R56" i="193"/>
  <c r="R57" i="193"/>
  <c r="S52" i="193"/>
  <c r="S53" i="193"/>
  <c r="S54" i="193"/>
  <c r="S55" i="193"/>
  <c r="S56" i="193"/>
  <c r="S57" i="193"/>
  <c r="G90" i="102"/>
  <c r="G91" i="102"/>
  <c r="B91" i="102" s="1"/>
  <c r="U51" i="135" s="1"/>
  <c r="G92" i="102"/>
  <c r="G93" i="102"/>
  <c r="S93" i="102" s="1"/>
  <c r="BQ93" i="102" s="1"/>
  <c r="BT93" i="102" s="1"/>
  <c r="BU93" i="102" s="1"/>
  <c r="G94" i="102"/>
  <c r="U55" i="135"/>
  <c r="G89" i="102"/>
  <c r="BB91" i="101"/>
  <c r="G124" i="101" s="1"/>
  <c r="BB92" i="101"/>
  <c r="G125" i="101" s="1"/>
  <c r="BB93" i="101"/>
  <c r="G126" i="101" s="1"/>
  <c r="BB94" i="101"/>
  <c r="G127" i="101" s="1"/>
  <c r="BB95" i="101"/>
  <c r="G128" i="101" s="1"/>
  <c r="BB90" i="101"/>
  <c r="G123" i="101" s="1"/>
  <c r="AV90" i="101"/>
  <c r="AV91" i="101"/>
  <c r="AV92" i="101"/>
  <c r="AV93" i="101"/>
  <c r="AV94" i="101"/>
  <c r="AV95" i="101"/>
  <c r="AV96" i="101"/>
  <c r="AA91" i="101"/>
  <c r="AA92" i="101"/>
  <c r="AA93" i="101"/>
  <c r="AA94" i="101"/>
  <c r="AA95" i="101"/>
  <c r="AA96" i="101"/>
  <c r="AA90" i="101"/>
  <c r="AX90" i="101" s="1"/>
  <c r="G90" i="101"/>
  <c r="B90" i="101" s="1"/>
  <c r="T50" i="135" s="1"/>
  <c r="G91" i="101"/>
  <c r="G92" i="101"/>
  <c r="G93" i="101"/>
  <c r="B93" i="101" s="1"/>
  <c r="T53" i="135" s="1"/>
  <c r="G94" i="101"/>
  <c r="B94" i="101" s="1"/>
  <c r="T54" i="135" s="1"/>
  <c r="G95" i="101"/>
  <c r="G96" i="101"/>
  <c r="G89" i="101"/>
  <c r="AT91" i="27"/>
  <c r="G124" i="27" s="1"/>
  <c r="AT92" i="27"/>
  <c r="G125" i="27" s="1"/>
  <c r="AT93" i="27"/>
  <c r="G126" i="27" s="1"/>
  <c r="AT94" i="27"/>
  <c r="G127" i="27" s="1"/>
  <c r="AT95" i="27"/>
  <c r="G128" i="27" s="1"/>
  <c r="AT90" i="27"/>
  <c r="G123" i="27" s="1"/>
  <c r="AN90" i="27"/>
  <c r="AN91" i="27"/>
  <c r="AN92" i="27"/>
  <c r="AN93" i="27"/>
  <c r="AN94" i="27"/>
  <c r="AN95" i="27"/>
  <c r="AN96" i="27"/>
  <c r="AA92" i="27"/>
  <c r="AA93" i="27"/>
  <c r="AA94" i="27"/>
  <c r="AA95" i="27"/>
  <c r="AA96" i="27"/>
  <c r="AA91" i="27"/>
  <c r="G91" i="27"/>
  <c r="B91" i="27" s="1"/>
  <c r="S51" i="135" s="1"/>
  <c r="G92" i="27"/>
  <c r="G93" i="27"/>
  <c r="G94" i="27"/>
  <c r="B94" i="27" s="1"/>
  <c r="S54" i="135" s="1"/>
  <c r="G95" i="27"/>
  <c r="B95" i="27" s="1"/>
  <c r="S55" i="135" s="1"/>
  <c r="G96" i="27"/>
  <c r="G88" i="27"/>
  <c r="G89" i="27"/>
  <c r="G90" i="27"/>
  <c r="B90" i="27" s="1"/>
  <c r="S50" i="135" s="1"/>
  <c r="AT91" i="26"/>
  <c r="G124" i="26" s="1"/>
  <c r="AT92" i="26"/>
  <c r="AT93" i="26"/>
  <c r="G126" i="26" s="1"/>
  <c r="AT94" i="26"/>
  <c r="G127" i="26" s="1"/>
  <c r="AT95" i="26"/>
  <c r="G128" i="26" s="1"/>
  <c r="AT90" i="26"/>
  <c r="G123" i="26" s="1"/>
  <c r="AN90" i="26"/>
  <c r="AN91" i="26"/>
  <c r="AN92" i="26"/>
  <c r="AN93" i="26"/>
  <c r="AN94" i="26"/>
  <c r="AN95" i="26"/>
  <c r="AN96" i="26"/>
  <c r="G138" i="4" l="1"/>
  <c r="G140" i="4"/>
  <c r="G141" i="4"/>
  <c r="G139" i="4"/>
  <c r="G137" i="4"/>
  <c r="G127" i="133"/>
  <c r="K127" i="133" s="1"/>
  <c r="I126" i="104"/>
  <c r="M126" i="104" s="1"/>
  <c r="S126" i="104" s="1"/>
  <c r="AY10" i="639" s="1"/>
  <c r="AI128" i="129"/>
  <c r="D128" i="129" s="1"/>
  <c r="AL128" i="51"/>
  <c r="D128" i="51" s="1"/>
  <c r="AI128" i="22"/>
  <c r="AL128" i="1"/>
  <c r="D128" i="1" s="1"/>
  <c r="AJ128" i="3"/>
  <c r="D128" i="3" s="1"/>
  <c r="AL128" i="18"/>
  <c r="D128" i="18" s="1"/>
  <c r="AK128" i="20"/>
  <c r="D128" i="20" s="1"/>
  <c r="AL128" i="19"/>
  <c r="D128" i="19" s="1"/>
  <c r="AL128" i="63"/>
  <c r="D128" i="63" s="1"/>
  <c r="AK128" i="314"/>
  <c r="D128" i="314" s="1"/>
  <c r="AL128" i="25"/>
  <c r="D128" i="25" s="1"/>
  <c r="AL128" i="29"/>
  <c r="D128" i="29" s="1"/>
  <c r="AL128" i="323"/>
  <c r="D128" i="323" s="1"/>
  <c r="AL128" i="21"/>
  <c r="D128" i="21" s="1"/>
  <c r="AL128" i="23"/>
  <c r="D128" i="23" s="1"/>
  <c r="AL128" i="131"/>
  <c r="D128" i="131" s="1"/>
  <c r="AL128" i="133"/>
  <c r="D128" i="133" s="1"/>
  <c r="AL128" i="103"/>
  <c r="D128" i="103" s="1"/>
  <c r="AL128" i="26"/>
  <c r="D128" i="26" s="1"/>
  <c r="I128" i="26" s="1"/>
  <c r="M128" i="26" s="1"/>
  <c r="AL128" i="102"/>
  <c r="D128" i="102" s="1"/>
  <c r="AJ141" i="4"/>
  <c r="AL128" i="101"/>
  <c r="D128" i="101" s="1"/>
  <c r="AK128" i="104"/>
  <c r="AL141" i="4"/>
  <c r="AL128" i="27"/>
  <c r="D128" i="27" s="1"/>
  <c r="I128" i="27" s="1"/>
  <c r="M128" i="27" s="1"/>
  <c r="AJ124" i="3"/>
  <c r="D124" i="3" s="1"/>
  <c r="AI124" i="129"/>
  <c r="D124" i="129" s="1"/>
  <c r="AL124" i="63"/>
  <c r="D124" i="63" s="1"/>
  <c r="AI124" i="22"/>
  <c r="AL124" i="18"/>
  <c r="D124" i="18" s="1"/>
  <c r="AK124" i="20"/>
  <c r="D124" i="20" s="1"/>
  <c r="AL124" i="1"/>
  <c r="D124" i="1" s="1"/>
  <c r="AL124" i="51"/>
  <c r="D124" i="51" s="1"/>
  <c r="AL124" i="19"/>
  <c r="D124" i="19" s="1"/>
  <c r="AL124" i="131"/>
  <c r="D124" i="131" s="1"/>
  <c r="AL124" i="23"/>
  <c r="D124" i="23" s="1"/>
  <c r="AL124" i="21"/>
  <c r="D124" i="21" s="1"/>
  <c r="AL124" i="29"/>
  <c r="D124" i="29" s="1"/>
  <c r="AL124" i="26"/>
  <c r="D124" i="26" s="1"/>
  <c r="AL124" i="27"/>
  <c r="D124" i="27" s="1"/>
  <c r="AL124" i="101"/>
  <c r="D124" i="101" s="1"/>
  <c r="AK124" i="314"/>
  <c r="D124" i="314" s="1"/>
  <c r="AL124" i="25"/>
  <c r="D124" i="25" s="1"/>
  <c r="AL124" i="103"/>
  <c r="D124" i="103" s="1"/>
  <c r="I124" i="103" s="1"/>
  <c r="AL137" i="4"/>
  <c r="AJ137" i="4"/>
  <c r="AL124" i="133"/>
  <c r="D124" i="133" s="1"/>
  <c r="I124" i="133" s="1"/>
  <c r="AL124" i="323"/>
  <c r="D124" i="323" s="1"/>
  <c r="AL124" i="102"/>
  <c r="D124" i="102" s="1"/>
  <c r="AI127" i="22"/>
  <c r="AL127" i="1"/>
  <c r="D127" i="1" s="1"/>
  <c r="AI127" i="129"/>
  <c r="D127" i="129" s="1"/>
  <c r="AL127" i="51"/>
  <c r="D127" i="51" s="1"/>
  <c r="AJ127" i="3"/>
  <c r="D127" i="3" s="1"/>
  <c r="AL127" i="29"/>
  <c r="D127" i="29" s="1"/>
  <c r="AL127" i="63"/>
  <c r="D127" i="63" s="1"/>
  <c r="AL127" i="18"/>
  <c r="D127" i="18" s="1"/>
  <c r="AL127" i="19"/>
  <c r="D127" i="19" s="1"/>
  <c r="AL127" i="323"/>
  <c r="D127" i="323" s="1"/>
  <c r="AK127" i="20"/>
  <c r="D127" i="20" s="1"/>
  <c r="AL127" i="102"/>
  <c r="D127" i="102" s="1"/>
  <c r="AK127" i="314"/>
  <c r="D127" i="314" s="1"/>
  <c r="AL127" i="21"/>
  <c r="D127" i="21" s="1"/>
  <c r="AL127" i="23"/>
  <c r="D127" i="23" s="1"/>
  <c r="AL127" i="101"/>
  <c r="D127" i="101" s="1"/>
  <c r="AL127" i="25"/>
  <c r="D127" i="25" s="1"/>
  <c r="AL140" i="4"/>
  <c r="AL127" i="27"/>
  <c r="D127" i="27" s="1"/>
  <c r="I127" i="27" s="1"/>
  <c r="AJ140" i="4"/>
  <c r="AL127" i="131"/>
  <c r="D127" i="131" s="1"/>
  <c r="AL127" i="133"/>
  <c r="D127" i="133" s="1"/>
  <c r="I127" i="133" s="1"/>
  <c r="M127" i="133" s="1"/>
  <c r="AL127" i="103"/>
  <c r="D127" i="103" s="1"/>
  <c r="AL127" i="26"/>
  <c r="D127" i="26" s="1"/>
  <c r="I127" i="26" s="1"/>
  <c r="M127" i="26" s="1"/>
  <c r="AI125" i="129"/>
  <c r="D125" i="129" s="1"/>
  <c r="AI125" i="22"/>
  <c r="AL125" i="1"/>
  <c r="D125" i="1" s="1"/>
  <c r="AJ125" i="3"/>
  <c r="D125" i="3" s="1"/>
  <c r="AL125" i="323"/>
  <c r="D125" i="323" s="1"/>
  <c r="AL125" i="51"/>
  <c r="D125" i="51" s="1"/>
  <c r="AL125" i="29"/>
  <c r="D125" i="29" s="1"/>
  <c r="AK125" i="20"/>
  <c r="D125" i="20" s="1"/>
  <c r="AL125" i="21"/>
  <c r="D125" i="21" s="1"/>
  <c r="AL125" i="18"/>
  <c r="D125" i="18" s="1"/>
  <c r="AL125" i="19"/>
  <c r="D125" i="19" s="1"/>
  <c r="AL125" i="63"/>
  <c r="D125" i="63" s="1"/>
  <c r="AL125" i="23"/>
  <c r="D125" i="23" s="1"/>
  <c r="AK125" i="314"/>
  <c r="D125" i="314" s="1"/>
  <c r="AL125" i="25"/>
  <c r="D125" i="25" s="1"/>
  <c r="AL125" i="133"/>
  <c r="D125" i="133" s="1"/>
  <c r="I125" i="133" s="1"/>
  <c r="M125" i="133" s="1"/>
  <c r="AL125" i="131"/>
  <c r="D125" i="131" s="1"/>
  <c r="AL125" i="102"/>
  <c r="D125" i="102" s="1"/>
  <c r="AL125" i="101"/>
  <c r="D125" i="101" s="1"/>
  <c r="I125" i="101" s="1"/>
  <c r="AL138" i="4"/>
  <c r="AL125" i="27"/>
  <c r="D125" i="27" s="1"/>
  <c r="AL125" i="103"/>
  <c r="D125" i="103" s="1"/>
  <c r="AJ138" i="4"/>
  <c r="AL125" i="26"/>
  <c r="D125" i="26" s="1"/>
  <c r="AI126" i="22"/>
  <c r="AI126" i="129"/>
  <c r="D126" i="129" s="1"/>
  <c r="AL126" i="1"/>
  <c r="D126" i="1" s="1"/>
  <c r="AL126" i="63"/>
  <c r="D126" i="63" s="1"/>
  <c r="AJ126" i="3"/>
  <c r="D126" i="3" s="1"/>
  <c r="AL126" i="51"/>
  <c r="D126" i="51" s="1"/>
  <c r="AL126" i="323"/>
  <c r="D126" i="323" s="1"/>
  <c r="AL126" i="19"/>
  <c r="D126" i="19" s="1"/>
  <c r="AL126" i="29"/>
  <c r="D126" i="29" s="1"/>
  <c r="AK126" i="20"/>
  <c r="D126" i="20" s="1"/>
  <c r="AL126" i="23"/>
  <c r="D126" i="23" s="1"/>
  <c r="AL126" i="18"/>
  <c r="D126" i="18" s="1"/>
  <c r="AK126" i="314"/>
  <c r="D126" i="314" s="1"/>
  <c r="AL126" i="26"/>
  <c r="D126" i="26" s="1"/>
  <c r="AL126" i="27"/>
  <c r="D126" i="27" s="1"/>
  <c r="AL126" i="101"/>
  <c r="D126" i="101" s="1"/>
  <c r="I126" i="101" s="1"/>
  <c r="M126" i="101" s="1"/>
  <c r="AL126" i="25"/>
  <c r="D126" i="25" s="1"/>
  <c r="AL126" i="131"/>
  <c r="D126" i="131" s="1"/>
  <c r="AL126" i="133"/>
  <c r="D126" i="133" s="1"/>
  <c r="I126" i="133" s="1"/>
  <c r="M126" i="133" s="1"/>
  <c r="AL139" i="4"/>
  <c r="AJ139" i="4"/>
  <c r="AL126" i="103"/>
  <c r="D126" i="103" s="1"/>
  <c r="AL126" i="21"/>
  <c r="D126" i="21" s="1"/>
  <c r="AL126" i="102"/>
  <c r="D126" i="102" s="1"/>
  <c r="AI123" i="22"/>
  <c r="AJ123" i="3"/>
  <c r="D123" i="3" s="1"/>
  <c r="AL123" i="1"/>
  <c r="D123" i="1" s="1"/>
  <c r="I123" i="1" s="1"/>
  <c r="M123" i="1" s="1"/>
  <c r="AL123" i="18"/>
  <c r="D123" i="18" s="1"/>
  <c r="AI123" i="129"/>
  <c r="D123" i="129" s="1"/>
  <c r="AL123" i="323"/>
  <c r="D123" i="323" s="1"/>
  <c r="AL123" i="19"/>
  <c r="D123" i="19" s="1"/>
  <c r="AL123" i="51"/>
  <c r="D123" i="51" s="1"/>
  <c r="AL123" i="63"/>
  <c r="D123" i="63" s="1"/>
  <c r="AL123" i="29"/>
  <c r="D123" i="29" s="1"/>
  <c r="AL123" i="21"/>
  <c r="D123" i="21" s="1"/>
  <c r="AK123" i="20"/>
  <c r="D123" i="20" s="1"/>
  <c r="AL123" i="131"/>
  <c r="D123" i="131" s="1"/>
  <c r="AL123" i="26"/>
  <c r="D123" i="26" s="1"/>
  <c r="AL123" i="27"/>
  <c r="D123" i="27" s="1"/>
  <c r="AL123" i="101"/>
  <c r="D123" i="101" s="1"/>
  <c r="AK123" i="314"/>
  <c r="D123" i="314" s="1"/>
  <c r="AL123" i="25"/>
  <c r="D123" i="25" s="1"/>
  <c r="AL123" i="23"/>
  <c r="D123" i="23" s="1"/>
  <c r="AL123" i="102"/>
  <c r="D123" i="102" s="1"/>
  <c r="AL136" i="4"/>
  <c r="AJ136" i="4"/>
  <c r="AL123" i="103"/>
  <c r="D123" i="103" s="1"/>
  <c r="AL123" i="133"/>
  <c r="D123" i="133" s="1"/>
  <c r="I123" i="133" s="1"/>
  <c r="M123" i="133" s="1"/>
  <c r="AZ93" i="104"/>
  <c r="AW93" i="104" s="1"/>
  <c r="BJ93" i="104" s="1"/>
  <c r="AZ91" i="104"/>
  <c r="AW91" i="104" s="1"/>
  <c r="BJ91" i="104" s="1"/>
  <c r="M124" i="104"/>
  <c r="S124" i="104" s="1"/>
  <c r="AY8" i="639" s="1"/>
  <c r="L125" i="104"/>
  <c r="R125" i="104" s="1"/>
  <c r="M125" i="104"/>
  <c r="S125" i="104" s="1"/>
  <c r="AY9" i="639" s="1"/>
  <c r="L126" i="104"/>
  <c r="R126" i="104" s="1"/>
  <c r="M127" i="104"/>
  <c r="S127" i="104" s="1"/>
  <c r="AY11" i="639" s="1"/>
  <c r="M123" i="104"/>
  <c r="S123" i="104" s="1"/>
  <c r="AY7" i="639" s="1"/>
  <c r="B94" i="102"/>
  <c r="U54" i="135" s="1"/>
  <c r="S94" i="102"/>
  <c r="AW92" i="104"/>
  <c r="BJ92" i="104" s="1"/>
  <c r="AZ94" i="103"/>
  <c r="BP94" i="103" s="1"/>
  <c r="Q127" i="103" s="1"/>
  <c r="AZ95" i="103"/>
  <c r="BP95" i="103" s="1"/>
  <c r="Q128" i="103" s="1"/>
  <c r="AZ91" i="103"/>
  <c r="BP91" i="103" s="1"/>
  <c r="AZ93" i="103"/>
  <c r="BP93" i="103" s="1"/>
  <c r="Q126" i="103" s="1"/>
  <c r="AZ92" i="103"/>
  <c r="BP92" i="103" s="1"/>
  <c r="AC96" i="133"/>
  <c r="AR96" i="133" s="1"/>
  <c r="AS96" i="133" s="1"/>
  <c r="AQ96" i="133"/>
  <c r="AC95" i="133"/>
  <c r="AR95" i="133" s="1"/>
  <c r="AY95" i="133" s="1"/>
  <c r="AQ95" i="133"/>
  <c r="AC94" i="133"/>
  <c r="AR94" i="133" s="1"/>
  <c r="AS94" i="133" s="1"/>
  <c r="AQ94" i="133"/>
  <c r="AC93" i="133"/>
  <c r="AR93" i="133" s="1"/>
  <c r="AY93" i="133" s="1"/>
  <c r="AQ93" i="133"/>
  <c r="AC92" i="133"/>
  <c r="AR92" i="133" s="1"/>
  <c r="AY92" i="133" s="1"/>
  <c r="AQ92" i="133"/>
  <c r="AC91" i="133"/>
  <c r="AR91" i="133" s="1"/>
  <c r="AQ91" i="133"/>
  <c r="AB95" i="101"/>
  <c r="AY95" i="101" s="1"/>
  <c r="BF95" i="101" s="1"/>
  <c r="AX95" i="101"/>
  <c r="AB93" i="101"/>
  <c r="AY93" i="101" s="1"/>
  <c r="AZ93" i="101" s="1"/>
  <c r="AX93" i="101"/>
  <c r="AB92" i="101"/>
  <c r="AY92" i="101" s="1"/>
  <c r="AX92" i="101"/>
  <c r="AB91" i="101"/>
  <c r="AY91" i="101" s="1"/>
  <c r="BF91" i="101" s="1"/>
  <c r="AX91" i="101"/>
  <c r="AB96" i="101"/>
  <c r="AY96" i="101" s="1"/>
  <c r="AZ96" i="101" s="1"/>
  <c r="AX96" i="101"/>
  <c r="AB94" i="101"/>
  <c r="AY94" i="101" s="1"/>
  <c r="BF94" i="101" s="1"/>
  <c r="AX94" i="101"/>
  <c r="AB91" i="27"/>
  <c r="AQ91" i="27" s="1"/>
  <c r="AP91" i="27"/>
  <c r="AB96" i="27"/>
  <c r="AQ96" i="27" s="1"/>
  <c r="AP96" i="27"/>
  <c r="AB95" i="27"/>
  <c r="AQ95" i="27" s="1"/>
  <c r="AX95" i="27" s="1"/>
  <c r="AY95" i="27" s="1"/>
  <c r="AP95" i="27"/>
  <c r="AB93" i="27"/>
  <c r="AQ93" i="27" s="1"/>
  <c r="AX93" i="27" s="1"/>
  <c r="AP93" i="27"/>
  <c r="AB92" i="27"/>
  <c r="AQ92" i="27" s="1"/>
  <c r="AP92" i="27"/>
  <c r="AB94" i="27"/>
  <c r="AQ94" i="27" s="1"/>
  <c r="AP94" i="27"/>
  <c r="BD93" i="101"/>
  <c r="AW93" i="133"/>
  <c r="BK93" i="133" s="1"/>
  <c r="P126" i="133"/>
  <c r="K126" i="133"/>
  <c r="P125" i="133"/>
  <c r="K125" i="133"/>
  <c r="M124" i="133"/>
  <c r="P124" i="133"/>
  <c r="K124" i="133"/>
  <c r="AW90" i="133"/>
  <c r="BK90" i="133" s="1"/>
  <c r="K123" i="133"/>
  <c r="P123" i="133"/>
  <c r="P128" i="133"/>
  <c r="K128" i="133"/>
  <c r="P127" i="133"/>
  <c r="P128" i="101"/>
  <c r="K128" i="101"/>
  <c r="P126" i="101"/>
  <c r="K126" i="101"/>
  <c r="P127" i="101"/>
  <c r="K127" i="101"/>
  <c r="P125" i="101"/>
  <c r="K125" i="101"/>
  <c r="M125" i="101"/>
  <c r="K124" i="101"/>
  <c r="P124" i="101"/>
  <c r="BD90" i="101"/>
  <c r="K123" i="101"/>
  <c r="P123" i="101"/>
  <c r="P123" i="27"/>
  <c r="K123" i="27"/>
  <c r="AV95" i="27"/>
  <c r="BG95" i="27" s="1"/>
  <c r="P128" i="27"/>
  <c r="K128" i="27"/>
  <c r="P127" i="27"/>
  <c r="M127" i="27"/>
  <c r="K127" i="27"/>
  <c r="P126" i="27"/>
  <c r="K126" i="27"/>
  <c r="P125" i="27"/>
  <c r="K125" i="27"/>
  <c r="P124" i="27"/>
  <c r="K124" i="27"/>
  <c r="P126" i="26"/>
  <c r="K126" i="26"/>
  <c r="P125" i="26"/>
  <c r="K125" i="26"/>
  <c r="P123" i="26"/>
  <c r="K123" i="26"/>
  <c r="P124" i="26"/>
  <c r="K124" i="26"/>
  <c r="K128" i="26"/>
  <c r="P128" i="26"/>
  <c r="K127" i="26"/>
  <c r="P127" i="26"/>
  <c r="AW95" i="133"/>
  <c r="BK95" i="133" s="1"/>
  <c r="AW92" i="133"/>
  <c r="BK92" i="133" s="1"/>
  <c r="AW94" i="133"/>
  <c r="BK94" i="133" s="1"/>
  <c r="T95" i="133"/>
  <c r="BB95" i="133" s="1"/>
  <c r="BA95" i="133" s="1"/>
  <c r="AW91" i="133"/>
  <c r="BK91" i="133" s="1"/>
  <c r="T94" i="133"/>
  <c r="BB94" i="133" s="1"/>
  <c r="BA94" i="133" s="1"/>
  <c r="T91" i="133"/>
  <c r="BB91" i="133" s="1"/>
  <c r="BA91" i="133" s="1"/>
  <c r="BD95" i="101"/>
  <c r="BD94" i="101"/>
  <c r="AZ92" i="101"/>
  <c r="BF92" i="101"/>
  <c r="BD92" i="101"/>
  <c r="BP92" i="101" s="1"/>
  <c r="BD91" i="101"/>
  <c r="S94" i="101"/>
  <c r="BI94" i="101" s="1"/>
  <c r="BH94" i="101" s="1"/>
  <c r="S93" i="101"/>
  <c r="BI93" i="101" s="1"/>
  <c r="AV94" i="27"/>
  <c r="BG94" i="27" s="1"/>
  <c r="AR94" i="27"/>
  <c r="S91" i="27"/>
  <c r="BA91" i="27" s="1"/>
  <c r="AZ91" i="27" s="1"/>
  <c r="S90" i="27"/>
  <c r="BA90" i="27" s="1"/>
  <c r="AR96" i="27"/>
  <c r="AR92" i="27"/>
  <c r="AV92" i="27"/>
  <c r="BG92" i="27" s="1"/>
  <c r="AV91" i="27"/>
  <c r="BG91" i="27" s="1"/>
  <c r="AV90" i="26"/>
  <c r="AV93" i="26"/>
  <c r="AV91" i="26"/>
  <c r="AV95" i="26"/>
  <c r="AV94" i="26"/>
  <c r="AV92" i="26"/>
  <c r="AV90" i="27"/>
  <c r="BG90" i="27" s="1"/>
  <c r="AV93" i="27"/>
  <c r="BG93" i="27" s="1"/>
  <c r="AX94" i="27"/>
  <c r="S91" i="101"/>
  <c r="B91" i="101"/>
  <c r="T51" i="135" s="1"/>
  <c r="S90" i="102"/>
  <c r="BQ90" i="102" s="1"/>
  <c r="BT90" i="102" s="1"/>
  <c r="BU90" i="102" s="1"/>
  <c r="T96" i="133"/>
  <c r="T90" i="133"/>
  <c r="S92" i="27"/>
  <c r="B92" i="27"/>
  <c r="S52" i="135" s="1"/>
  <c r="S95" i="101"/>
  <c r="BI95" i="101" s="1"/>
  <c r="B95" i="101"/>
  <c r="T55" i="135" s="1"/>
  <c r="S90" i="101"/>
  <c r="BI90" i="101" s="1"/>
  <c r="S93" i="27"/>
  <c r="BA93" i="27" s="1"/>
  <c r="B93" i="27"/>
  <c r="S53" i="135" s="1"/>
  <c r="S95" i="27"/>
  <c r="BA93" i="102"/>
  <c r="B93" i="102"/>
  <c r="U53" i="135" s="1"/>
  <c r="T93" i="133"/>
  <c r="BB93" i="133" s="1"/>
  <c r="BA93" i="133" s="1"/>
  <c r="B93" i="133"/>
  <c r="V53" i="135" s="1"/>
  <c r="S96" i="101"/>
  <c r="S94" i="27"/>
  <c r="BA94" i="27" s="1"/>
  <c r="S92" i="102"/>
  <c r="BQ92" i="102" s="1"/>
  <c r="BT92" i="102" s="1"/>
  <c r="BU92" i="102" s="1"/>
  <c r="B92" i="102"/>
  <c r="U52" i="135" s="1"/>
  <c r="T92" i="133"/>
  <c r="BB92" i="133" s="1"/>
  <c r="BA92" i="133" s="1"/>
  <c r="B92" i="133"/>
  <c r="V52" i="135" s="1"/>
  <c r="S96" i="27"/>
  <c r="S92" i="101"/>
  <c r="BI92" i="101" s="1"/>
  <c r="B92" i="101"/>
  <c r="T52" i="135" s="1"/>
  <c r="AX92" i="27"/>
  <c r="AI90" i="102"/>
  <c r="Y90" i="102" s="1"/>
  <c r="S91" i="102"/>
  <c r="BQ91" i="102" s="1"/>
  <c r="BT91" i="102" s="1"/>
  <c r="BU91" i="102" s="1"/>
  <c r="AR91" i="27"/>
  <c r="AX91" i="27"/>
  <c r="AS95" i="133"/>
  <c r="AS91" i="133"/>
  <c r="AY91" i="133"/>
  <c r="AZ91" i="101"/>
  <c r="AA91" i="26"/>
  <c r="AA92" i="26"/>
  <c r="AA93" i="26"/>
  <c r="AA94" i="26"/>
  <c r="AA95" i="26"/>
  <c r="AA96" i="26"/>
  <c r="AA90" i="26"/>
  <c r="AP90" i="26" s="1"/>
  <c r="Z88" i="26"/>
  <c r="G90" i="26"/>
  <c r="G91" i="26"/>
  <c r="G92" i="26"/>
  <c r="G93" i="26"/>
  <c r="G94" i="26"/>
  <c r="G95" i="26"/>
  <c r="G96" i="26"/>
  <c r="G89" i="26"/>
  <c r="S89" i="26" s="1"/>
  <c r="BA89" i="26" s="1"/>
  <c r="AZ89" i="26" s="1"/>
  <c r="M124" i="103" l="1"/>
  <c r="S124" i="103" s="1"/>
  <c r="AY94" i="133"/>
  <c r="AR95" i="27"/>
  <c r="I123" i="129"/>
  <c r="M123" i="129" s="1"/>
  <c r="I126" i="314"/>
  <c r="M126" i="314" s="1"/>
  <c r="S126" i="314" s="1"/>
  <c r="I125" i="27"/>
  <c r="M125" i="27" s="1"/>
  <c r="I125" i="323"/>
  <c r="M125" i="323" s="1"/>
  <c r="S125" i="323" s="1"/>
  <c r="I127" i="314"/>
  <c r="M127" i="314" s="1"/>
  <c r="S127" i="314" s="1"/>
  <c r="I128" i="101"/>
  <c r="M128" i="101" s="1"/>
  <c r="S128" i="101" s="1"/>
  <c r="I123" i="102"/>
  <c r="M123" i="102" s="1"/>
  <c r="I127" i="102"/>
  <c r="M127" i="102" s="1"/>
  <c r="I128" i="323"/>
  <c r="M128" i="323" s="1"/>
  <c r="S128" i="323" s="1"/>
  <c r="I127" i="129"/>
  <c r="M127" i="129" s="1"/>
  <c r="I128" i="102"/>
  <c r="M128" i="102" s="1"/>
  <c r="I126" i="129"/>
  <c r="M126" i="129" s="1"/>
  <c r="I125" i="102"/>
  <c r="M125" i="102" s="1"/>
  <c r="I127" i="323"/>
  <c r="M127" i="323" s="1"/>
  <c r="S127" i="323" s="1"/>
  <c r="I124" i="129"/>
  <c r="M124" i="129" s="1"/>
  <c r="I123" i="314"/>
  <c r="M123" i="314" s="1"/>
  <c r="S123" i="314" s="1"/>
  <c r="I125" i="129"/>
  <c r="M125" i="129" s="1"/>
  <c r="I124" i="314"/>
  <c r="M124" i="314" s="1"/>
  <c r="S124" i="314" s="1"/>
  <c r="I128" i="103"/>
  <c r="I128" i="314"/>
  <c r="M128" i="314" s="1"/>
  <c r="S128" i="314" s="1"/>
  <c r="I123" i="101"/>
  <c r="M123" i="101" s="1"/>
  <c r="S123" i="101" s="1"/>
  <c r="I126" i="102"/>
  <c r="M126" i="102" s="1"/>
  <c r="I125" i="26"/>
  <c r="M125" i="26" s="1"/>
  <c r="I127" i="101"/>
  <c r="M127" i="101" s="1"/>
  <c r="S127" i="101" s="1"/>
  <c r="I124" i="102"/>
  <c r="M124" i="102" s="1"/>
  <c r="I124" i="101"/>
  <c r="M124" i="101" s="1"/>
  <c r="S124" i="101" s="1"/>
  <c r="I128" i="129"/>
  <c r="M128" i="129" s="1"/>
  <c r="I123" i="103"/>
  <c r="I123" i="27"/>
  <c r="M123" i="27" s="1"/>
  <c r="I126" i="27"/>
  <c r="M126" i="27" s="1"/>
  <c r="I126" i="323"/>
  <c r="M126" i="323" s="1"/>
  <c r="S126" i="323" s="1"/>
  <c r="I127" i="103"/>
  <c r="I124" i="323"/>
  <c r="M124" i="323" s="1"/>
  <c r="S124" i="323" s="1"/>
  <c r="I124" i="27"/>
  <c r="M124" i="27" s="1"/>
  <c r="I123" i="26"/>
  <c r="M123" i="26" s="1"/>
  <c r="I123" i="323"/>
  <c r="M123" i="323" s="1"/>
  <c r="S123" i="323" s="1"/>
  <c r="I126" i="103"/>
  <c r="I126" i="26"/>
  <c r="M126" i="26" s="1"/>
  <c r="I125" i="103"/>
  <c r="I125" i="314"/>
  <c r="M125" i="314" s="1"/>
  <c r="S125" i="314" s="1"/>
  <c r="I124" i="26"/>
  <c r="M124" i="26" s="1"/>
  <c r="AI123" i="3"/>
  <c r="C123" i="3" s="1"/>
  <c r="AK123" i="51"/>
  <c r="C123" i="51" s="1"/>
  <c r="AH123" i="129"/>
  <c r="AH123" i="22"/>
  <c r="C123" i="22" s="1"/>
  <c r="H123" i="22" s="1"/>
  <c r="AK123" i="1"/>
  <c r="C123" i="1" s="1"/>
  <c r="AK123" i="18"/>
  <c r="C123" i="18" s="1"/>
  <c r="AJ123" i="20"/>
  <c r="C123" i="20" s="1"/>
  <c r="AK123" i="19"/>
  <c r="C123" i="19" s="1"/>
  <c r="AJ123" i="314"/>
  <c r="C123" i="314" s="1"/>
  <c r="AK123" i="25"/>
  <c r="C123" i="25" s="1"/>
  <c r="AK123" i="63"/>
  <c r="C123" i="63" s="1"/>
  <c r="AK123" i="323"/>
  <c r="C123" i="323" s="1"/>
  <c r="AK123" i="29"/>
  <c r="C123" i="29" s="1"/>
  <c r="AK123" i="21"/>
  <c r="C123" i="21" s="1"/>
  <c r="AK123" i="133"/>
  <c r="C123" i="133" s="1"/>
  <c r="H123" i="133" s="1"/>
  <c r="L123" i="133" s="1"/>
  <c r="AK123" i="27"/>
  <c r="C123" i="27" s="1"/>
  <c r="AK123" i="102"/>
  <c r="C123" i="102" s="1"/>
  <c r="AK123" i="131"/>
  <c r="C123" i="131" s="1"/>
  <c r="AK123" i="26"/>
  <c r="C123" i="26" s="1"/>
  <c r="AK123" i="103"/>
  <c r="C123" i="103" s="1"/>
  <c r="AK123" i="23"/>
  <c r="C123" i="23" s="1"/>
  <c r="AK123" i="101"/>
  <c r="C123" i="101" s="1"/>
  <c r="AH125" i="22"/>
  <c r="C125" i="22" s="1"/>
  <c r="H125" i="22" s="1"/>
  <c r="AK125" i="1"/>
  <c r="C125" i="1" s="1"/>
  <c r="AH125" i="129"/>
  <c r="AK125" i="51"/>
  <c r="C125" i="51" s="1"/>
  <c r="AK125" i="29"/>
  <c r="C125" i="29" s="1"/>
  <c r="AK125" i="63"/>
  <c r="C125" i="63" s="1"/>
  <c r="AI125" i="3"/>
  <c r="C125" i="3" s="1"/>
  <c r="AK125" i="323"/>
  <c r="C125" i="323" s="1"/>
  <c r="AK125" i="19"/>
  <c r="C125" i="19" s="1"/>
  <c r="AJ125" i="314"/>
  <c r="C125" i="314" s="1"/>
  <c r="AK125" i="18"/>
  <c r="C125" i="18" s="1"/>
  <c r="AK125" i="131"/>
  <c r="C125" i="131" s="1"/>
  <c r="AJ125" i="20"/>
  <c r="C125" i="20" s="1"/>
  <c r="AK125" i="21"/>
  <c r="C125" i="21" s="1"/>
  <c r="AK125" i="23"/>
  <c r="C125" i="23" s="1"/>
  <c r="AK125" i="133"/>
  <c r="C125" i="133" s="1"/>
  <c r="H125" i="133" s="1"/>
  <c r="L125" i="133" s="1"/>
  <c r="AK125" i="102"/>
  <c r="C125" i="102" s="1"/>
  <c r="AK125" i="26"/>
  <c r="C125" i="26" s="1"/>
  <c r="AK125" i="27"/>
  <c r="C125" i="27" s="1"/>
  <c r="AK125" i="101"/>
  <c r="C125" i="101" s="1"/>
  <c r="AK125" i="25"/>
  <c r="C125" i="25" s="1"/>
  <c r="AK125" i="103"/>
  <c r="C125" i="103" s="1"/>
  <c r="AJ128" i="22"/>
  <c r="E128" i="22" s="1"/>
  <c r="J128" i="22" s="1"/>
  <c r="AK128" i="3"/>
  <c r="E128" i="3" s="1"/>
  <c r="AM128" i="18"/>
  <c r="E128" i="18" s="1"/>
  <c r="AM128" i="323"/>
  <c r="E128" i="323" s="1"/>
  <c r="AM128" i="19"/>
  <c r="E128" i="19" s="1"/>
  <c r="AJ128" i="129"/>
  <c r="E128" i="129" s="1"/>
  <c r="AM128" i="1"/>
  <c r="E128" i="1" s="1"/>
  <c r="AM128" i="51"/>
  <c r="E128" i="51" s="1"/>
  <c r="AM128" i="63"/>
  <c r="E128" i="63" s="1"/>
  <c r="AM128" i="21"/>
  <c r="E128" i="21" s="1"/>
  <c r="AM128" i="131"/>
  <c r="E128" i="131" s="1"/>
  <c r="AL128" i="20"/>
  <c r="E128" i="20" s="1"/>
  <c r="AM128" i="23"/>
  <c r="E128" i="23" s="1"/>
  <c r="AM128" i="26"/>
  <c r="E128" i="26" s="1"/>
  <c r="AM128" i="27"/>
  <c r="E128" i="27" s="1"/>
  <c r="AM128" i="101"/>
  <c r="E128" i="101" s="1"/>
  <c r="AL128" i="314"/>
  <c r="E128" i="314" s="1"/>
  <c r="AM128" i="102"/>
  <c r="E128" i="102" s="1"/>
  <c r="AM128" i="133"/>
  <c r="E128" i="133" s="1"/>
  <c r="AM128" i="103"/>
  <c r="E128" i="103" s="1"/>
  <c r="AM128" i="25"/>
  <c r="E128" i="25" s="1"/>
  <c r="AM128" i="29"/>
  <c r="E128" i="29" s="1"/>
  <c r="AL128" i="104"/>
  <c r="E128" i="104" s="1"/>
  <c r="AJ123" i="22"/>
  <c r="E123" i="22" s="1"/>
  <c r="J123" i="22" s="1"/>
  <c r="AJ123" i="129"/>
  <c r="E123" i="129" s="1"/>
  <c r="AM123" i="1"/>
  <c r="E123" i="1" s="1"/>
  <c r="AM123" i="63"/>
  <c r="E123" i="63" s="1"/>
  <c r="AM123" i="18"/>
  <c r="E123" i="18" s="1"/>
  <c r="AM123" i="323"/>
  <c r="E123" i="323" s="1"/>
  <c r="AM123" i="19"/>
  <c r="E123" i="19" s="1"/>
  <c r="AK123" i="3"/>
  <c r="E123" i="3" s="1"/>
  <c r="AM123" i="29"/>
  <c r="E123" i="29" s="1"/>
  <c r="AM123" i="23"/>
  <c r="E123" i="23" s="1"/>
  <c r="AM123" i="51"/>
  <c r="E123" i="51" s="1"/>
  <c r="AL123" i="20"/>
  <c r="E123" i="20" s="1"/>
  <c r="AM123" i="131"/>
  <c r="E123" i="131" s="1"/>
  <c r="AM123" i="21"/>
  <c r="E123" i="21" s="1"/>
  <c r="AM123" i="26"/>
  <c r="E123" i="26" s="1"/>
  <c r="AM123" i="27"/>
  <c r="E123" i="27" s="1"/>
  <c r="AM123" i="101"/>
  <c r="E123" i="101" s="1"/>
  <c r="AM123" i="133"/>
  <c r="E123" i="133" s="1"/>
  <c r="J123" i="133" s="1"/>
  <c r="N123" i="133" s="1"/>
  <c r="AM123" i="102"/>
  <c r="E123" i="102" s="1"/>
  <c r="AL123" i="314"/>
  <c r="E123" i="314" s="1"/>
  <c r="AM123" i="25"/>
  <c r="E123" i="25" s="1"/>
  <c r="AM123" i="103"/>
  <c r="E123" i="103" s="1"/>
  <c r="AH126" i="22"/>
  <c r="C126" i="22" s="1"/>
  <c r="H126" i="22" s="1"/>
  <c r="AI126" i="3"/>
  <c r="C126" i="3" s="1"/>
  <c r="AK126" i="18"/>
  <c r="C126" i="18" s="1"/>
  <c r="AK126" i="1"/>
  <c r="C126" i="1" s="1"/>
  <c r="AK126" i="51"/>
  <c r="C126" i="51" s="1"/>
  <c r="AK126" i="323"/>
  <c r="C126" i="323" s="1"/>
  <c r="AK126" i="19"/>
  <c r="C126" i="19" s="1"/>
  <c r="AH126" i="129"/>
  <c r="AK126" i="63"/>
  <c r="C126" i="63" s="1"/>
  <c r="AK126" i="21"/>
  <c r="C126" i="21" s="1"/>
  <c r="AK126" i="131"/>
  <c r="C126" i="131" s="1"/>
  <c r="AJ126" i="314"/>
  <c r="C126" i="314" s="1"/>
  <c r="AK126" i="26"/>
  <c r="C126" i="26" s="1"/>
  <c r="AK126" i="27"/>
  <c r="C126" i="27" s="1"/>
  <c r="AK126" i="101"/>
  <c r="C126" i="101" s="1"/>
  <c r="AK126" i="25"/>
  <c r="C126" i="25" s="1"/>
  <c r="H126" i="25" s="1"/>
  <c r="AK126" i="23"/>
  <c r="C126" i="23" s="1"/>
  <c r="AK126" i="29"/>
  <c r="C126" i="29" s="1"/>
  <c r="AJ126" i="20"/>
  <c r="C126" i="20" s="1"/>
  <c r="AK126" i="102"/>
  <c r="C126" i="102" s="1"/>
  <c r="AK126" i="103"/>
  <c r="C126" i="103" s="1"/>
  <c r="AK126" i="133"/>
  <c r="C126" i="133" s="1"/>
  <c r="H126" i="133" s="1"/>
  <c r="L126" i="133" s="1"/>
  <c r="AH124" i="22"/>
  <c r="C124" i="22" s="1"/>
  <c r="H124" i="22" s="1"/>
  <c r="AK124" i="51"/>
  <c r="C124" i="51" s="1"/>
  <c r="AH124" i="129"/>
  <c r="AK124" i="29"/>
  <c r="C124" i="29" s="1"/>
  <c r="AK124" i="18"/>
  <c r="C124" i="18" s="1"/>
  <c r="AJ124" i="20"/>
  <c r="C124" i="20" s="1"/>
  <c r="AK124" i="323"/>
  <c r="C124" i="323" s="1"/>
  <c r="AK124" i="1"/>
  <c r="C124" i="1" s="1"/>
  <c r="AK124" i="21"/>
  <c r="C124" i="21" s="1"/>
  <c r="AJ124" i="314"/>
  <c r="C124" i="314" s="1"/>
  <c r="AK124" i="25"/>
  <c r="C124" i="25" s="1"/>
  <c r="AK124" i="23"/>
  <c r="C124" i="23" s="1"/>
  <c r="AK124" i="63"/>
  <c r="C124" i="63" s="1"/>
  <c r="AK124" i="131"/>
  <c r="C124" i="131" s="1"/>
  <c r="AI124" i="3"/>
  <c r="C124" i="3" s="1"/>
  <c r="AK124" i="26"/>
  <c r="C124" i="26" s="1"/>
  <c r="AK124" i="27"/>
  <c r="C124" i="27" s="1"/>
  <c r="AK124" i="101"/>
  <c r="C124" i="101" s="1"/>
  <c r="AK124" i="19"/>
  <c r="C124" i="19" s="1"/>
  <c r="AK124" i="133"/>
  <c r="C124" i="133" s="1"/>
  <c r="H124" i="133" s="1"/>
  <c r="L124" i="133" s="1"/>
  <c r="AK124" i="102"/>
  <c r="C124" i="102" s="1"/>
  <c r="AK124" i="103"/>
  <c r="C124" i="103" s="1"/>
  <c r="AJ126" i="22"/>
  <c r="E126" i="22" s="1"/>
  <c r="J126" i="22" s="1"/>
  <c r="AJ126" i="129"/>
  <c r="E126" i="129" s="1"/>
  <c r="AM126" i="1"/>
  <c r="E126" i="1" s="1"/>
  <c r="AM126" i="51"/>
  <c r="E126" i="51" s="1"/>
  <c r="AK126" i="3"/>
  <c r="E126" i="3" s="1"/>
  <c r="AM126" i="29"/>
  <c r="E126" i="29" s="1"/>
  <c r="AM126" i="18"/>
  <c r="E126" i="18" s="1"/>
  <c r="AL126" i="20"/>
  <c r="E126" i="20" s="1"/>
  <c r="AM126" i="323"/>
  <c r="E126" i="323" s="1"/>
  <c r="AM126" i="63"/>
  <c r="E126" i="63" s="1"/>
  <c r="AM126" i="21"/>
  <c r="E126" i="21" s="1"/>
  <c r="AL126" i="314"/>
  <c r="E126" i="314" s="1"/>
  <c r="AM126" i="25"/>
  <c r="E126" i="25" s="1"/>
  <c r="J126" i="25" s="1"/>
  <c r="AM126" i="19"/>
  <c r="E126" i="19" s="1"/>
  <c r="AM126" i="26"/>
  <c r="E126" i="26" s="1"/>
  <c r="AM126" i="27"/>
  <c r="E126" i="27" s="1"/>
  <c r="AM126" i="101"/>
  <c r="E126" i="101" s="1"/>
  <c r="AM126" i="23"/>
  <c r="E126" i="23" s="1"/>
  <c r="AM126" i="103"/>
  <c r="E126" i="103" s="1"/>
  <c r="AM126" i="131"/>
  <c r="E126" i="131" s="1"/>
  <c r="AM126" i="133"/>
  <c r="E126" i="133" s="1"/>
  <c r="J126" i="133" s="1"/>
  <c r="N126" i="133" s="1"/>
  <c r="AM126" i="102"/>
  <c r="E126" i="102" s="1"/>
  <c r="AJ125" i="129"/>
  <c r="E125" i="129" s="1"/>
  <c r="AM125" i="51"/>
  <c r="E125" i="51" s="1"/>
  <c r="AM125" i="1"/>
  <c r="E125" i="1" s="1"/>
  <c r="AK125" i="3"/>
  <c r="E125" i="3" s="1"/>
  <c r="AJ125" i="22"/>
  <c r="E125" i="22" s="1"/>
  <c r="J125" i="22" s="1"/>
  <c r="AM125" i="18"/>
  <c r="E125" i="18" s="1"/>
  <c r="AL125" i="20"/>
  <c r="E125" i="20" s="1"/>
  <c r="AM125" i="63"/>
  <c r="E125" i="63" s="1"/>
  <c r="AM125" i="323"/>
  <c r="E125" i="323" s="1"/>
  <c r="AM125" i="29"/>
  <c r="E125" i="29" s="1"/>
  <c r="AL125" i="314"/>
  <c r="E125" i="314" s="1"/>
  <c r="AM125" i="25"/>
  <c r="E125" i="25" s="1"/>
  <c r="AM125" i="19"/>
  <c r="E125" i="19" s="1"/>
  <c r="AM125" i="23"/>
  <c r="E125" i="23" s="1"/>
  <c r="AM125" i="21"/>
  <c r="E125" i="21" s="1"/>
  <c r="AM125" i="133"/>
  <c r="E125" i="133" s="1"/>
  <c r="J125" i="133" s="1"/>
  <c r="N125" i="133" s="1"/>
  <c r="AM125" i="101"/>
  <c r="E125" i="101" s="1"/>
  <c r="AM125" i="131"/>
  <c r="E125" i="131" s="1"/>
  <c r="AM125" i="27"/>
  <c r="E125" i="27" s="1"/>
  <c r="AM125" i="103"/>
  <c r="E125" i="103" s="1"/>
  <c r="AM125" i="102"/>
  <c r="E125" i="102" s="1"/>
  <c r="AM125" i="26"/>
  <c r="E125" i="26" s="1"/>
  <c r="AI127" i="3"/>
  <c r="C127" i="3" s="1"/>
  <c r="AH127" i="22"/>
  <c r="C127" i="22" s="1"/>
  <c r="H127" i="22" s="1"/>
  <c r="L127" i="22" s="1"/>
  <c r="AK127" i="1"/>
  <c r="C127" i="1" s="1"/>
  <c r="AK127" i="63"/>
  <c r="C127" i="63" s="1"/>
  <c r="AK127" i="18"/>
  <c r="C127" i="18" s="1"/>
  <c r="AJ127" i="20"/>
  <c r="C127" i="20" s="1"/>
  <c r="AK127" i="51"/>
  <c r="C127" i="51" s="1"/>
  <c r="AK127" i="131"/>
  <c r="C127" i="131" s="1"/>
  <c r="AK127" i="29"/>
  <c r="C127" i="29" s="1"/>
  <c r="AK127" i="23"/>
  <c r="C127" i="23" s="1"/>
  <c r="AK127" i="21"/>
  <c r="C127" i="21" s="1"/>
  <c r="AK127" i="19"/>
  <c r="C127" i="19" s="1"/>
  <c r="AJ127" i="314"/>
  <c r="C127" i="314" s="1"/>
  <c r="AK127" i="25"/>
  <c r="C127" i="25" s="1"/>
  <c r="AK127" i="26"/>
  <c r="C127" i="26" s="1"/>
  <c r="AK127" i="27"/>
  <c r="C127" i="27" s="1"/>
  <c r="AK127" i="101"/>
  <c r="C127" i="101" s="1"/>
  <c r="AK127" i="323"/>
  <c r="C127" i="323" s="1"/>
  <c r="AK127" i="102"/>
  <c r="C127" i="102" s="1"/>
  <c r="AK127" i="103"/>
  <c r="C127" i="103" s="1"/>
  <c r="AH127" i="129"/>
  <c r="AK127" i="133"/>
  <c r="C127" i="133" s="1"/>
  <c r="H127" i="133" s="1"/>
  <c r="L127" i="133" s="1"/>
  <c r="AJ124" i="22"/>
  <c r="E124" i="22" s="1"/>
  <c r="J124" i="22" s="1"/>
  <c r="AM124" i="1"/>
  <c r="E124" i="1" s="1"/>
  <c r="AJ124" i="129"/>
  <c r="E124" i="129" s="1"/>
  <c r="AK124" i="3"/>
  <c r="E124" i="3" s="1"/>
  <c r="AM124" i="51"/>
  <c r="E124" i="51" s="1"/>
  <c r="AM124" i="29"/>
  <c r="E124" i="29" s="1"/>
  <c r="AM124" i="63"/>
  <c r="E124" i="63" s="1"/>
  <c r="AM124" i="18"/>
  <c r="E124" i="18" s="1"/>
  <c r="AM124" i="323"/>
  <c r="E124" i="323" s="1"/>
  <c r="AM124" i="19"/>
  <c r="E124" i="19" s="1"/>
  <c r="AL124" i="314"/>
  <c r="E124" i="314" s="1"/>
  <c r="AM124" i="23"/>
  <c r="E124" i="23" s="1"/>
  <c r="AM124" i="102"/>
  <c r="E124" i="102" s="1"/>
  <c r="AM124" i="21"/>
  <c r="E124" i="21" s="1"/>
  <c r="AM124" i="131"/>
  <c r="E124" i="131" s="1"/>
  <c r="AM124" i="25"/>
  <c r="E124" i="25" s="1"/>
  <c r="AM124" i="101"/>
  <c r="E124" i="101" s="1"/>
  <c r="AM124" i="27"/>
  <c r="E124" i="27" s="1"/>
  <c r="AM124" i="103"/>
  <c r="E124" i="103" s="1"/>
  <c r="AM124" i="133"/>
  <c r="E124" i="133" s="1"/>
  <c r="J124" i="133" s="1"/>
  <c r="N124" i="133" s="1"/>
  <c r="AM124" i="26"/>
  <c r="E124" i="26" s="1"/>
  <c r="AL124" i="20"/>
  <c r="E124" i="20" s="1"/>
  <c r="B124" i="22"/>
  <c r="G124" i="22" s="1"/>
  <c r="D124" i="22"/>
  <c r="I124" i="22" s="1"/>
  <c r="AH128" i="129"/>
  <c r="AK128" i="1"/>
  <c r="C128" i="1" s="1"/>
  <c r="AH128" i="22"/>
  <c r="C128" i="22" s="1"/>
  <c r="H128" i="22" s="1"/>
  <c r="AI128" i="3"/>
  <c r="C128" i="3" s="1"/>
  <c r="AK128" i="323"/>
  <c r="C128" i="323" s="1"/>
  <c r="AK128" i="29"/>
  <c r="C128" i="29" s="1"/>
  <c r="AK128" i="21"/>
  <c r="C128" i="21" s="1"/>
  <c r="AK128" i="63"/>
  <c r="C128" i="63" s="1"/>
  <c r="AK128" i="51"/>
  <c r="C128" i="51" s="1"/>
  <c r="AJ128" i="20"/>
  <c r="C128" i="20" s="1"/>
  <c r="AK128" i="18"/>
  <c r="C128" i="18" s="1"/>
  <c r="AK128" i="23"/>
  <c r="C128" i="23" s="1"/>
  <c r="AK128" i="19"/>
  <c r="C128" i="19" s="1"/>
  <c r="AK128" i="131"/>
  <c r="C128" i="131" s="1"/>
  <c r="AK128" i="133"/>
  <c r="AK128" i="102"/>
  <c r="C128" i="102" s="1"/>
  <c r="AK128" i="26"/>
  <c r="C128" i="26" s="1"/>
  <c r="AK128" i="25"/>
  <c r="C128" i="25" s="1"/>
  <c r="AJ128" i="314"/>
  <c r="C128" i="314" s="1"/>
  <c r="H128" i="314" s="1"/>
  <c r="AK128" i="101"/>
  <c r="C128" i="101" s="1"/>
  <c r="AK128" i="27"/>
  <c r="C128" i="27" s="1"/>
  <c r="AK128" i="103"/>
  <c r="C128" i="103" s="1"/>
  <c r="AJ128" i="104"/>
  <c r="C128" i="104" s="1"/>
  <c r="H128" i="104" s="1"/>
  <c r="D125" i="22"/>
  <c r="I125" i="22" s="1"/>
  <c r="B125" i="22"/>
  <c r="G125" i="22" s="1"/>
  <c r="AM127" i="1"/>
  <c r="E127" i="1" s="1"/>
  <c r="AJ127" i="22"/>
  <c r="E127" i="22" s="1"/>
  <c r="J127" i="22" s="1"/>
  <c r="AK127" i="3"/>
  <c r="E127" i="3" s="1"/>
  <c r="AM127" i="29"/>
  <c r="E127" i="29" s="1"/>
  <c r="AM127" i="63"/>
  <c r="E127" i="63" s="1"/>
  <c r="AJ127" i="129"/>
  <c r="E127" i="129" s="1"/>
  <c r="AM127" i="51"/>
  <c r="E127" i="51" s="1"/>
  <c r="AM127" i="323"/>
  <c r="E127" i="323" s="1"/>
  <c r="AM127" i="19"/>
  <c r="E127" i="19" s="1"/>
  <c r="AL127" i="314"/>
  <c r="E127" i="314" s="1"/>
  <c r="AL127" i="20"/>
  <c r="E127" i="20" s="1"/>
  <c r="AM127" i="131"/>
  <c r="E127" i="131" s="1"/>
  <c r="AM127" i="21"/>
  <c r="E127" i="21" s="1"/>
  <c r="AM127" i="18"/>
  <c r="E127" i="18" s="1"/>
  <c r="AM127" i="133"/>
  <c r="E127" i="133" s="1"/>
  <c r="J127" i="133" s="1"/>
  <c r="N127" i="133" s="1"/>
  <c r="AM127" i="102"/>
  <c r="E127" i="102" s="1"/>
  <c r="AM127" i="23"/>
  <c r="E127" i="23" s="1"/>
  <c r="AM127" i="25"/>
  <c r="E127" i="25" s="1"/>
  <c r="J127" i="25" s="1"/>
  <c r="AM127" i="26"/>
  <c r="E127" i="26" s="1"/>
  <c r="AM127" i="27"/>
  <c r="E127" i="27" s="1"/>
  <c r="AM127" i="101"/>
  <c r="E127" i="101" s="1"/>
  <c r="AM127" i="103"/>
  <c r="E127" i="103" s="1"/>
  <c r="D128" i="22"/>
  <c r="I128" i="22" s="1"/>
  <c r="B128" i="22"/>
  <c r="G128" i="22" s="1"/>
  <c r="B123" i="22"/>
  <c r="G123" i="22" s="1"/>
  <c r="D123" i="22"/>
  <c r="I123" i="22" s="1"/>
  <c r="M123" i="22" s="1"/>
  <c r="D126" i="22"/>
  <c r="I126" i="22" s="1"/>
  <c r="B126" i="22"/>
  <c r="G126" i="22" s="1"/>
  <c r="D127" i="22"/>
  <c r="I127" i="22" s="1"/>
  <c r="B127" i="22"/>
  <c r="G127" i="22" s="1"/>
  <c r="Y128" i="26"/>
  <c r="BG95" i="26"/>
  <c r="Y124" i="26"/>
  <c r="BG91" i="26"/>
  <c r="Y126" i="26"/>
  <c r="BG93" i="26"/>
  <c r="Y123" i="26"/>
  <c r="BG90" i="26"/>
  <c r="Y125" i="26"/>
  <c r="BG92" i="26"/>
  <c r="Y127" i="26"/>
  <c r="BG94" i="26"/>
  <c r="U128" i="101"/>
  <c r="Y128" i="101" s="1"/>
  <c r="BP95" i="101"/>
  <c r="U127" i="101"/>
  <c r="Y127" i="101" s="1"/>
  <c r="BP94" i="101"/>
  <c r="U126" i="101"/>
  <c r="Y126" i="101" s="1"/>
  <c r="BP93" i="101"/>
  <c r="U123" i="101"/>
  <c r="Y123" i="101" s="1"/>
  <c r="BP90" i="101"/>
  <c r="U124" i="101"/>
  <c r="Y124" i="101" s="1"/>
  <c r="BP91" i="101"/>
  <c r="BA94" i="102"/>
  <c r="AZ94" i="102" s="1"/>
  <c r="AW94" i="102" s="1"/>
  <c r="BG94" i="102" s="1"/>
  <c r="BQ94" i="102"/>
  <c r="BT94" i="102" s="1"/>
  <c r="BU94" i="102" s="1"/>
  <c r="AS92" i="133"/>
  <c r="AS93" i="133"/>
  <c r="AZ95" i="101"/>
  <c r="BF93" i="101"/>
  <c r="BG93" i="101" s="1"/>
  <c r="AZ94" i="101"/>
  <c r="Y123" i="133"/>
  <c r="U123" i="133"/>
  <c r="Y127" i="133"/>
  <c r="U127" i="133"/>
  <c r="Y126" i="133"/>
  <c r="U126" i="133"/>
  <c r="Y124" i="133"/>
  <c r="U124" i="133"/>
  <c r="Y125" i="133"/>
  <c r="U125" i="133"/>
  <c r="Y128" i="133"/>
  <c r="U128" i="133"/>
  <c r="P123" i="102"/>
  <c r="Q123" i="102" s="1"/>
  <c r="AO90" i="102"/>
  <c r="AR93" i="27"/>
  <c r="Y127" i="27"/>
  <c r="U127" i="27"/>
  <c r="Y128" i="27"/>
  <c r="U128" i="27"/>
  <c r="Y124" i="27"/>
  <c r="U124" i="27"/>
  <c r="Y126" i="27"/>
  <c r="U126" i="27"/>
  <c r="Y123" i="27"/>
  <c r="U123" i="27"/>
  <c r="Y125" i="27"/>
  <c r="U125" i="27"/>
  <c r="AB92" i="26"/>
  <c r="AQ92" i="26" s="1"/>
  <c r="AX92" i="26" s="1"/>
  <c r="AY92" i="26" s="1"/>
  <c r="AP92" i="26"/>
  <c r="AB91" i="26"/>
  <c r="AQ91" i="26" s="1"/>
  <c r="AR91" i="26" s="1"/>
  <c r="AP91" i="26"/>
  <c r="AB96" i="26"/>
  <c r="AQ96" i="26" s="1"/>
  <c r="AR96" i="26" s="1"/>
  <c r="AP96" i="26"/>
  <c r="AB95" i="26"/>
  <c r="AQ95" i="26" s="1"/>
  <c r="AR95" i="26" s="1"/>
  <c r="AP95" i="26"/>
  <c r="AB94" i="26"/>
  <c r="AQ94" i="26" s="1"/>
  <c r="AP94" i="26"/>
  <c r="AB93" i="26"/>
  <c r="AQ93" i="26" s="1"/>
  <c r="AX93" i="26" s="1"/>
  <c r="AY93" i="26" s="1"/>
  <c r="AP93" i="26"/>
  <c r="T127" i="133"/>
  <c r="X127" i="133" s="1"/>
  <c r="AB127" i="133" s="1"/>
  <c r="R126" i="133"/>
  <c r="V126" i="133" s="1"/>
  <c r="Z126" i="133" s="1"/>
  <c r="V85" i="639" s="1"/>
  <c r="S125" i="101"/>
  <c r="T126" i="133"/>
  <c r="X126" i="133" s="1"/>
  <c r="AB126" i="133" s="1"/>
  <c r="Q126" i="133"/>
  <c r="AY94" i="27"/>
  <c r="AX92" i="133"/>
  <c r="BL92" i="133" s="1"/>
  <c r="R124" i="133"/>
  <c r="V124" i="133" s="1"/>
  <c r="Z124" i="133" s="1"/>
  <c r="V83" i="639" s="1"/>
  <c r="Q123" i="101"/>
  <c r="Q124" i="26"/>
  <c r="Q125" i="26"/>
  <c r="Q128" i="26"/>
  <c r="BG95" i="101"/>
  <c r="AX95" i="133"/>
  <c r="BL95" i="133" s="1"/>
  <c r="U125" i="26"/>
  <c r="Q125" i="101"/>
  <c r="BG92" i="101"/>
  <c r="U125" i="101"/>
  <c r="U127" i="26"/>
  <c r="Q126" i="26"/>
  <c r="Q128" i="101"/>
  <c r="Q123" i="133"/>
  <c r="U128" i="26"/>
  <c r="Q128" i="133"/>
  <c r="U124" i="26"/>
  <c r="Q127" i="26"/>
  <c r="U126" i="26"/>
  <c r="AZ92" i="133"/>
  <c r="Q123" i="26"/>
  <c r="R123" i="133"/>
  <c r="V123" i="133" s="1"/>
  <c r="Z123" i="133" s="1"/>
  <c r="V82" i="639" s="1"/>
  <c r="AZ95" i="133"/>
  <c r="U123" i="26"/>
  <c r="Q127" i="101"/>
  <c r="S123" i="133"/>
  <c r="Q124" i="133"/>
  <c r="R125" i="133"/>
  <c r="V125" i="133" s="1"/>
  <c r="Z125" i="133" s="1"/>
  <c r="V84" i="639" s="1"/>
  <c r="S127" i="133"/>
  <c r="T124" i="133"/>
  <c r="X124" i="133" s="1"/>
  <c r="AB124" i="133" s="1"/>
  <c r="S124" i="133"/>
  <c r="Q127" i="133"/>
  <c r="S125" i="133"/>
  <c r="R127" i="133"/>
  <c r="V127" i="133" s="1"/>
  <c r="Z127" i="133" s="1"/>
  <c r="V86" i="639" s="1"/>
  <c r="T125" i="133"/>
  <c r="X125" i="133" s="1"/>
  <c r="AB125" i="133" s="1"/>
  <c r="S126" i="133"/>
  <c r="T123" i="133"/>
  <c r="X123" i="133" s="1"/>
  <c r="AB123" i="133" s="1"/>
  <c r="Q125" i="133"/>
  <c r="Q126" i="101"/>
  <c r="Q124" i="101"/>
  <c r="S126" i="101"/>
  <c r="AY93" i="27"/>
  <c r="BB90" i="133"/>
  <c r="BA90" i="133" s="1"/>
  <c r="BA95" i="102"/>
  <c r="AZ95" i="102" s="1"/>
  <c r="AW95" i="102" s="1"/>
  <c r="BG95" i="102" s="1"/>
  <c r="BA92" i="102"/>
  <c r="AZ92" i="102" s="1"/>
  <c r="AW92" i="102" s="1"/>
  <c r="BG92" i="102" s="1"/>
  <c r="BA90" i="102"/>
  <c r="AZ90" i="102" s="1"/>
  <c r="BA91" i="102"/>
  <c r="AZ91" i="102" s="1"/>
  <c r="BG91" i="101"/>
  <c r="BI91" i="101"/>
  <c r="BH91" i="101" s="1"/>
  <c r="BE91" i="101" s="1"/>
  <c r="BQ91" i="101" s="1"/>
  <c r="BA95" i="27"/>
  <c r="AZ95" i="27" s="1"/>
  <c r="AW95" i="27" s="1"/>
  <c r="BH95" i="27" s="1"/>
  <c r="BA92" i="27"/>
  <c r="AZ92" i="27" s="1"/>
  <c r="AW92" i="27" s="1"/>
  <c r="BH92" i="27" s="1"/>
  <c r="AY92" i="27"/>
  <c r="BH93" i="101"/>
  <c r="BE93" i="101" s="1"/>
  <c r="BQ93" i="101" s="1"/>
  <c r="BH90" i="101"/>
  <c r="AZ94" i="27"/>
  <c r="AW94" i="27" s="1"/>
  <c r="BH94" i="27" s="1"/>
  <c r="AZ93" i="27"/>
  <c r="AW93" i="27" s="1"/>
  <c r="BH93" i="27" s="1"/>
  <c r="BH95" i="101"/>
  <c r="BE95" i="101" s="1"/>
  <c r="BQ95" i="101" s="1"/>
  <c r="AZ90" i="27"/>
  <c r="BH92" i="101"/>
  <c r="BE92" i="101" s="1"/>
  <c r="BQ92" i="101" s="1"/>
  <c r="AZ93" i="102"/>
  <c r="AW93" i="102" s="1"/>
  <c r="BG93" i="102" s="1"/>
  <c r="BE94" i="101"/>
  <c r="BQ94" i="101" s="1"/>
  <c r="AX94" i="133"/>
  <c r="BL94" i="133" s="1"/>
  <c r="AX91" i="133"/>
  <c r="BL91" i="133" s="1"/>
  <c r="Y91" i="102"/>
  <c r="AO91" i="102" s="1"/>
  <c r="S92" i="26"/>
  <c r="B92" i="26"/>
  <c r="R52" i="135" s="1"/>
  <c r="S91" i="26"/>
  <c r="B91" i="26"/>
  <c r="R51" i="135" s="1"/>
  <c r="S96" i="26"/>
  <c r="S95" i="26"/>
  <c r="B95" i="26"/>
  <c r="R55" i="135" s="1"/>
  <c r="S93" i="26"/>
  <c r="B93" i="26"/>
  <c r="R53" i="135" s="1"/>
  <c r="S90" i="26"/>
  <c r="B90" i="26"/>
  <c r="R50" i="135" s="1"/>
  <c r="S94" i="26"/>
  <c r="B94" i="26"/>
  <c r="R54" i="135" s="1"/>
  <c r="BG94" i="101"/>
  <c r="AX93" i="133"/>
  <c r="BL93" i="133" s="1"/>
  <c r="AY91" i="27"/>
  <c r="AW91" i="27"/>
  <c r="BH91" i="27" s="1"/>
  <c r="AZ91" i="133"/>
  <c r="AZ93" i="133"/>
  <c r="AZ94" i="133"/>
  <c r="AT91" i="25"/>
  <c r="G124" i="25" s="1"/>
  <c r="AT92" i="25"/>
  <c r="G125" i="25" s="1"/>
  <c r="AT93" i="25"/>
  <c r="G126" i="25" s="1"/>
  <c r="AT94" i="25"/>
  <c r="G127" i="25" s="1"/>
  <c r="AT95" i="25"/>
  <c r="G128" i="25" s="1"/>
  <c r="AT90" i="25"/>
  <c r="G123" i="25" s="1"/>
  <c r="AN90" i="25"/>
  <c r="AN91" i="25"/>
  <c r="AN92" i="25"/>
  <c r="AN93" i="25"/>
  <c r="AN94" i="25"/>
  <c r="AN95" i="25"/>
  <c r="AN96" i="25"/>
  <c r="AB95" i="25"/>
  <c r="AQ95" i="25" s="1"/>
  <c r="AB91" i="25"/>
  <c r="AQ91" i="25" s="1"/>
  <c r="AB92" i="25"/>
  <c r="AQ92" i="25" s="1"/>
  <c r="AB93" i="25"/>
  <c r="AQ93" i="25" s="1"/>
  <c r="AB94" i="25"/>
  <c r="AQ94" i="25" s="1"/>
  <c r="AQ96" i="25"/>
  <c r="C128" i="133" l="1"/>
  <c r="H128" i="133" s="1"/>
  <c r="L128" i="133" s="1"/>
  <c r="R128" i="133" s="1"/>
  <c r="V128" i="133" s="1"/>
  <c r="Z128" i="133" s="1"/>
  <c r="V87" i="639" s="1"/>
  <c r="W124" i="103"/>
  <c r="AA124" i="103" s="1"/>
  <c r="W8" i="639" s="1"/>
  <c r="AX8" i="639"/>
  <c r="W124" i="133"/>
  <c r="AA124" i="133" s="1"/>
  <c r="V8" i="639" s="1"/>
  <c r="AW8" i="639"/>
  <c r="W124" i="101"/>
  <c r="AA124" i="101" s="1"/>
  <c r="T8" i="639" s="1"/>
  <c r="AU8" i="639"/>
  <c r="W124" i="314"/>
  <c r="AA124" i="314" s="1"/>
  <c r="N8" i="639" s="1"/>
  <c r="AO8" i="639"/>
  <c r="W126" i="314"/>
  <c r="AA126" i="314" s="1"/>
  <c r="N10" i="639" s="1"/>
  <c r="AO10" i="639"/>
  <c r="W127" i="133"/>
  <c r="AA127" i="133" s="1"/>
  <c r="V11" i="639" s="1"/>
  <c r="AW11" i="639"/>
  <c r="W125" i="314"/>
  <c r="AA125" i="314" s="1"/>
  <c r="N9" i="639" s="1"/>
  <c r="AO9" i="639"/>
  <c r="M127" i="103"/>
  <c r="W127" i="101"/>
  <c r="AA127" i="101" s="1"/>
  <c r="T11" i="639" s="1"/>
  <c r="AU11" i="639"/>
  <c r="W123" i="314"/>
  <c r="AA123" i="314" s="1"/>
  <c r="N7" i="639" s="1"/>
  <c r="AO7" i="639"/>
  <c r="W126" i="133"/>
  <c r="AA126" i="133" s="1"/>
  <c r="V10" i="639" s="1"/>
  <c r="AW10" i="639"/>
  <c r="M125" i="103"/>
  <c r="W125" i="101"/>
  <c r="AA125" i="101" s="1"/>
  <c r="T9" i="639" s="1"/>
  <c r="AU9" i="639"/>
  <c r="W128" i="101"/>
  <c r="AA128" i="101" s="1"/>
  <c r="T12" i="639" s="1"/>
  <c r="AU12" i="639"/>
  <c r="W123" i="133"/>
  <c r="AA123" i="133" s="1"/>
  <c r="V7" i="639" s="1"/>
  <c r="AW7" i="639"/>
  <c r="M126" i="103"/>
  <c r="S126" i="103" s="1"/>
  <c r="W123" i="101"/>
  <c r="AA123" i="101" s="1"/>
  <c r="T7" i="639" s="1"/>
  <c r="AU7" i="639"/>
  <c r="W127" i="314"/>
  <c r="AA127" i="314" s="1"/>
  <c r="N11" i="639" s="1"/>
  <c r="AO11" i="639"/>
  <c r="W126" i="101"/>
  <c r="AA126" i="101" s="1"/>
  <c r="T10" i="639" s="1"/>
  <c r="AU10" i="639"/>
  <c r="W125" i="133"/>
  <c r="AA125" i="133" s="1"/>
  <c r="V9" i="639" s="1"/>
  <c r="AW9" i="639"/>
  <c r="M123" i="103"/>
  <c r="S123" i="103" s="1"/>
  <c r="W128" i="314"/>
  <c r="AA128" i="314" s="1"/>
  <c r="N12" i="639" s="1"/>
  <c r="AO12" i="639"/>
  <c r="M128" i="103"/>
  <c r="S128" i="103" s="1"/>
  <c r="AX12" i="639" s="1"/>
  <c r="W126" i="323"/>
  <c r="AA126" i="323" s="1"/>
  <c r="G10" i="639" s="1"/>
  <c r="AH10" i="639"/>
  <c r="W127" i="323"/>
  <c r="AA127" i="323" s="1"/>
  <c r="G11" i="639" s="1"/>
  <c r="AH11" i="639"/>
  <c r="W123" i="323"/>
  <c r="AA123" i="323" s="1"/>
  <c r="G7" i="639" s="1"/>
  <c r="AH7" i="639"/>
  <c r="W125" i="323"/>
  <c r="AA125" i="323" s="1"/>
  <c r="G9" i="639" s="1"/>
  <c r="AH9" i="639"/>
  <c r="W124" i="323"/>
  <c r="AA124" i="323" s="1"/>
  <c r="G8" i="639" s="1"/>
  <c r="AH8" i="639"/>
  <c r="W128" i="323"/>
  <c r="AA128" i="323" s="1"/>
  <c r="G12" i="639" s="1"/>
  <c r="AH12" i="639"/>
  <c r="H124" i="25"/>
  <c r="H123" i="25"/>
  <c r="I125" i="25"/>
  <c r="H125" i="25"/>
  <c r="H128" i="25"/>
  <c r="J128" i="25"/>
  <c r="I127" i="25"/>
  <c r="J123" i="25"/>
  <c r="I126" i="25"/>
  <c r="H127" i="25"/>
  <c r="J125" i="25"/>
  <c r="I128" i="25"/>
  <c r="I124" i="25"/>
  <c r="J124" i="25"/>
  <c r="I123" i="25"/>
  <c r="J127" i="103"/>
  <c r="J127" i="129"/>
  <c r="N127" i="129" s="1"/>
  <c r="H127" i="314"/>
  <c r="L127" i="314" s="1"/>
  <c r="R127" i="314" s="1"/>
  <c r="V127" i="314" s="1"/>
  <c r="Z127" i="314" s="1"/>
  <c r="N86" i="639" s="1"/>
  <c r="J125" i="27"/>
  <c r="N125" i="27" s="1"/>
  <c r="J125" i="314"/>
  <c r="N125" i="314" s="1"/>
  <c r="T125" i="314" s="1"/>
  <c r="X125" i="314" s="1"/>
  <c r="AB125" i="314" s="1"/>
  <c r="J126" i="101"/>
  <c r="N126" i="101" s="1"/>
  <c r="T126" i="101" s="1"/>
  <c r="X126" i="101" s="1"/>
  <c r="AB126" i="101" s="1"/>
  <c r="J126" i="323"/>
  <c r="N126" i="323" s="1"/>
  <c r="T126" i="323" s="1"/>
  <c r="X126" i="323" s="1"/>
  <c r="AB126" i="323" s="1"/>
  <c r="N126" i="22"/>
  <c r="H124" i="323"/>
  <c r="L124" i="323" s="1"/>
  <c r="R124" i="323" s="1"/>
  <c r="V124" i="323" s="1"/>
  <c r="Z124" i="323" s="1"/>
  <c r="G83" i="639" s="1"/>
  <c r="H126" i="103"/>
  <c r="H126" i="26"/>
  <c r="L126" i="26" s="1"/>
  <c r="J123" i="102"/>
  <c r="N123" i="102" s="1"/>
  <c r="J128" i="102"/>
  <c r="N128" i="102" s="1"/>
  <c r="H125" i="323"/>
  <c r="L125" i="323" s="1"/>
  <c r="R125" i="323" s="1"/>
  <c r="V125" i="323" s="1"/>
  <c r="Z125" i="323" s="1"/>
  <c r="G84" i="639" s="1"/>
  <c r="H123" i="101"/>
  <c r="J127" i="101"/>
  <c r="N127" i="101" s="1"/>
  <c r="T127" i="101" s="1"/>
  <c r="X127" i="101" s="1"/>
  <c r="AB127" i="101" s="1"/>
  <c r="H127" i="103"/>
  <c r="J126" i="27"/>
  <c r="N126" i="27" s="1"/>
  <c r="H124" i="103"/>
  <c r="H126" i="102"/>
  <c r="L126" i="102" s="1"/>
  <c r="H126" i="314"/>
  <c r="L126" i="314" s="1"/>
  <c r="R126" i="314" s="1"/>
  <c r="V126" i="314" s="1"/>
  <c r="Z126" i="314" s="1"/>
  <c r="N85" i="639" s="1"/>
  <c r="J123" i="129"/>
  <c r="N123" i="129" s="1"/>
  <c r="J128" i="314"/>
  <c r="N128" i="314" s="1"/>
  <c r="T128" i="314" s="1"/>
  <c r="X128" i="314" s="1"/>
  <c r="AB128" i="314" s="1"/>
  <c r="N128" i="22"/>
  <c r="J127" i="27"/>
  <c r="N127" i="27" s="1"/>
  <c r="H128" i="27"/>
  <c r="L128" i="27" s="1"/>
  <c r="H128" i="323"/>
  <c r="L128" i="323" s="1"/>
  <c r="R128" i="323" s="1"/>
  <c r="V128" i="323" s="1"/>
  <c r="Z128" i="323" s="1"/>
  <c r="G87" i="639" s="1"/>
  <c r="J124" i="26"/>
  <c r="N124" i="26" s="1"/>
  <c r="J124" i="102"/>
  <c r="N124" i="102" s="1"/>
  <c r="H127" i="102"/>
  <c r="L127" i="102" s="1"/>
  <c r="J125" i="101"/>
  <c r="N125" i="101" s="1"/>
  <c r="T125" i="101" s="1"/>
  <c r="X125" i="101" s="1"/>
  <c r="AB125" i="101" s="1"/>
  <c r="J125" i="323"/>
  <c r="N125" i="323" s="1"/>
  <c r="T125" i="323" s="1"/>
  <c r="X125" i="323" s="1"/>
  <c r="AB125" i="323" s="1"/>
  <c r="J125" i="129"/>
  <c r="N125" i="129" s="1"/>
  <c r="J126" i="26"/>
  <c r="N126" i="26" s="1"/>
  <c r="H124" i="102"/>
  <c r="L124" i="102" s="1"/>
  <c r="J123" i="101"/>
  <c r="N123" i="101" s="1"/>
  <c r="T123" i="101" s="1"/>
  <c r="X123" i="101" s="1"/>
  <c r="AB123" i="101" s="1"/>
  <c r="N123" i="22"/>
  <c r="J128" i="101"/>
  <c r="N128" i="101" s="1"/>
  <c r="T128" i="101" s="1"/>
  <c r="X128" i="101" s="1"/>
  <c r="AB128" i="101" s="1"/>
  <c r="H125" i="103"/>
  <c r="H123" i="103"/>
  <c r="L123" i="103" s="1"/>
  <c r="H123" i="323"/>
  <c r="L123" i="323" s="1"/>
  <c r="R123" i="323" s="1"/>
  <c r="V123" i="323" s="1"/>
  <c r="Z123" i="323" s="1"/>
  <c r="G82" i="639" s="1"/>
  <c r="L123" i="22"/>
  <c r="H128" i="103"/>
  <c r="M126" i="22"/>
  <c r="J127" i="26"/>
  <c r="N127" i="26" s="1"/>
  <c r="H128" i="101"/>
  <c r="L128" i="101" s="1"/>
  <c r="R128" i="101" s="1"/>
  <c r="V128" i="101" s="1"/>
  <c r="Z128" i="101" s="1"/>
  <c r="T87" i="639" s="1"/>
  <c r="H127" i="323"/>
  <c r="L127" i="323" s="1"/>
  <c r="R127" i="323" s="1"/>
  <c r="V127" i="323" s="1"/>
  <c r="Z127" i="323" s="1"/>
  <c r="G86" i="639" s="1"/>
  <c r="J126" i="102"/>
  <c r="N126" i="102" s="1"/>
  <c r="J123" i="27"/>
  <c r="N123" i="27" s="1"/>
  <c r="J128" i="104"/>
  <c r="N128" i="104" s="1"/>
  <c r="T128" i="104" s="1"/>
  <c r="J128" i="27"/>
  <c r="N128" i="27" s="1"/>
  <c r="H123" i="26"/>
  <c r="L123" i="26" s="1"/>
  <c r="J127" i="314"/>
  <c r="N127" i="314" s="1"/>
  <c r="T127" i="314" s="1"/>
  <c r="X127" i="314" s="1"/>
  <c r="AB127" i="314" s="1"/>
  <c r="N127" i="22"/>
  <c r="L128" i="22"/>
  <c r="J124" i="103"/>
  <c r="J124" i="314"/>
  <c r="N124" i="314" s="1"/>
  <c r="T124" i="314" s="1"/>
  <c r="X124" i="314" s="1"/>
  <c r="AB124" i="314" s="1"/>
  <c r="J124" i="129"/>
  <c r="N124" i="129" s="1"/>
  <c r="H127" i="101"/>
  <c r="L127" i="101" s="1"/>
  <c r="R127" i="101" s="1"/>
  <c r="V127" i="101" s="1"/>
  <c r="Z127" i="101" s="1"/>
  <c r="T86" i="639" s="1"/>
  <c r="L126" i="22"/>
  <c r="J123" i="26"/>
  <c r="N123" i="26" s="1"/>
  <c r="J128" i="26"/>
  <c r="N128" i="26" s="1"/>
  <c r="J128" i="129"/>
  <c r="N128" i="129" s="1"/>
  <c r="H125" i="101"/>
  <c r="L125" i="101" s="1"/>
  <c r="R125" i="101" s="1"/>
  <c r="V125" i="101" s="1"/>
  <c r="Z125" i="101" s="1"/>
  <c r="T84" i="639" s="1"/>
  <c r="M127" i="22"/>
  <c r="J124" i="27"/>
  <c r="N124" i="27" s="1"/>
  <c r="H127" i="27"/>
  <c r="L127" i="27" s="1"/>
  <c r="J125" i="26"/>
  <c r="N125" i="26" s="1"/>
  <c r="J126" i="314"/>
  <c r="N126" i="314" s="1"/>
  <c r="T126" i="314" s="1"/>
  <c r="X126" i="314" s="1"/>
  <c r="AB126" i="314" s="1"/>
  <c r="H124" i="101"/>
  <c r="L124" i="101" s="1"/>
  <c r="R124" i="101" s="1"/>
  <c r="V124" i="101" s="1"/>
  <c r="Z124" i="101" s="1"/>
  <c r="T83" i="639" s="1"/>
  <c r="H124" i="314"/>
  <c r="L124" i="314" s="1"/>
  <c r="R124" i="314" s="1"/>
  <c r="V124" i="314" s="1"/>
  <c r="Z124" i="314" s="1"/>
  <c r="N83" i="639" s="1"/>
  <c r="J123" i="103"/>
  <c r="J123" i="323"/>
  <c r="N123" i="323" s="1"/>
  <c r="T123" i="323" s="1"/>
  <c r="X123" i="323" s="1"/>
  <c r="AB123" i="323" s="1"/>
  <c r="H125" i="27"/>
  <c r="L125" i="27" s="1"/>
  <c r="H123" i="102"/>
  <c r="L123" i="102" s="1"/>
  <c r="H123" i="314"/>
  <c r="L123" i="314" s="1"/>
  <c r="R123" i="314" s="1"/>
  <c r="V123" i="314" s="1"/>
  <c r="Z123" i="314" s="1"/>
  <c r="N82" i="639" s="1"/>
  <c r="J127" i="102"/>
  <c r="N127" i="102" s="1"/>
  <c r="J127" i="323"/>
  <c r="N127" i="323" s="1"/>
  <c r="T127" i="323" s="1"/>
  <c r="X127" i="323" s="1"/>
  <c r="AB127" i="323" s="1"/>
  <c r="H128" i="26"/>
  <c r="L128" i="26" s="1"/>
  <c r="J124" i="101"/>
  <c r="N124" i="101" s="1"/>
  <c r="T124" i="101" s="1"/>
  <c r="X124" i="101" s="1"/>
  <c r="AB124" i="101" s="1"/>
  <c r="J124" i="323"/>
  <c r="N124" i="323" s="1"/>
  <c r="T124" i="323" s="1"/>
  <c r="X124" i="323" s="1"/>
  <c r="AB124" i="323" s="1"/>
  <c r="N124" i="22"/>
  <c r="H127" i="26"/>
  <c r="L127" i="26" s="1"/>
  <c r="J125" i="102"/>
  <c r="N125" i="102" s="1"/>
  <c r="N125" i="22"/>
  <c r="J126" i="103"/>
  <c r="H124" i="27"/>
  <c r="L124" i="27" s="1"/>
  <c r="L124" i="22"/>
  <c r="H126" i="101"/>
  <c r="L126" i="101" s="1"/>
  <c r="R126" i="101" s="1"/>
  <c r="V126" i="101" s="1"/>
  <c r="Z126" i="101" s="1"/>
  <c r="T85" i="639" s="1"/>
  <c r="J128" i="103"/>
  <c r="J128" i="323"/>
  <c r="N128" i="323" s="1"/>
  <c r="T128" i="323" s="1"/>
  <c r="X128" i="323" s="1"/>
  <c r="AB128" i="323" s="1"/>
  <c r="H125" i="26"/>
  <c r="L125" i="26" s="1"/>
  <c r="H125" i="314"/>
  <c r="L125" i="314" s="1"/>
  <c r="R125" i="314" s="1"/>
  <c r="V125" i="314" s="1"/>
  <c r="Z125" i="314" s="1"/>
  <c r="N84" i="639" s="1"/>
  <c r="H123" i="27"/>
  <c r="L123" i="27" s="1"/>
  <c r="M128" i="22"/>
  <c r="M125" i="22"/>
  <c r="H128" i="102"/>
  <c r="L128" i="102" s="1"/>
  <c r="M124" i="22"/>
  <c r="J125" i="103"/>
  <c r="J126" i="129"/>
  <c r="N126" i="129" s="1"/>
  <c r="H124" i="26"/>
  <c r="L124" i="26" s="1"/>
  <c r="H126" i="27"/>
  <c r="L126" i="27" s="1"/>
  <c r="H126" i="323"/>
  <c r="L126" i="323" s="1"/>
  <c r="R126" i="323" s="1"/>
  <c r="V126" i="323" s="1"/>
  <c r="Z126" i="323" s="1"/>
  <c r="G85" i="639" s="1"/>
  <c r="J123" i="314"/>
  <c r="N123" i="314" s="1"/>
  <c r="T123" i="314" s="1"/>
  <c r="X123" i="314" s="1"/>
  <c r="AB123" i="314" s="1"/>
  <c r="J128" i="133"/>
  <c r="N128" i="133" s="1"/>
  <c r="T128" i="133" s="1"/>
  <c r="X128" i="133" s="1"/>
  <c r="AB128" i="133" s="1"/>
  <c r="H125" i="102"/>
  <c r="L125" i="102" s="1"/>
  <c r="L125" i="22"/>
  <c r="B128" i="129"/>
  <c r="C128" i="129"/>
  <c r="D128" i="104"/>
  <c r="L128" i="104"/>
  <c r="R128" i="104" s="1"/>
  <c r="B123" i="129"/>
  <c r="C123" i="129"/>
  <c r="B127" i="129"/>
  <c r="C127" i="129"/>
  <c r="L128" i="314"/>
  <c r="R128" i="314" s="1"/>
  <c r="V128" i="314" s="1"/>
  <c r="Z128" i="314" s="1"/>
  <c r="N87" i="639" s="1"/>
  <c r="C124" i="129"/>
  <c r="B124" i="129"/>
  <c r="B126" i="129"/>
  <c r="C126" i="129"/>
  <c r="C125" i="129"/>
  <c r="B125" i="129"/>
  <c r="AX91" i="26"/>
  <c r="AY91" i="26" s="1"/>
  <c r="AR92" i="26"/>
  <c r="AX95" i="26"/>
  <c r="AY95" i="26" s="1"/>
  <c r="Y125" i="101"/>
  <c r="AR93" i="26"/>
  <c r="AR94" i="26"/>
  <c r="AX94" i="26"/>
  <c r="AY94" i="26" s="1"/>
  <c r="AX95" i="25"/>
  <c r="AX93" i="25"/>
  <c r="AX92" i="25"/>
  <c r="AB91" i="102"/>
  <c r="AQ91" i="102" s="1"/>
  <c r="AX91" i="102" s="1"/>
  <c r="AY91" i="102" s="1"/>
  <c r="P124" i="102"/>
  <c r="Q124" i="102" s="1"/>
  <c r="P124" i="25"/>
  <c r="AV94" i="25"/>
  <c r="P127" i="25"/>
  <c r="P123" i="25"/>
  <c r="AV95" i="25"/>
  <c r="P128" i="25"/>
  <c r="AV93" i="25"/>
  <c r="BG93" i="25" s="1"/>
  <c r="P126" i="25"/>
  <c r="AX94" i="25"/>
  <c r="P125" i="25"/>
  <c r="AR91" i="25"/>
  <c r="AX91" i="25"/>
  <c r="AR96" i="25"/>
  <c r="BA91" i="26"/>
  <c r="BA93" i="26"/>
  <c r="BA90" i="26"/>
  <c r="AZ90" i="26" s="1"/>
  <c r="BA92" i="26"/>
  <c r="BA94" i="26"/>
  <c r="AZ94" i="26" s="1"/>
  <c r="BA95" i="26"/>
  <c r="AR92" i="25"/>
  <c r="AV91" i="25"/>
  <c r="AV92" i="25"/>
  <c r="AV90" i="25"/>
  <c r="AR95" i="25"/>
  <c r="AR94" i="25"/>
  <c r="AR93" i="25"/>
  <c r="G91" i="25"/>
  <c r="G92" i="25"/>
  <c r="G93" i="25"/>
  <c r="G94" i="25"/>
  <c r="B94" i="25" s="1"/>
  <c r="Q54" i="135" s="1"/>
  <c r="G95" i="25"/>
  <c r="B95" i="25" s="1"/>
  <c r="Q55" i="135" s="1"/>
  <c r="G96" i="25"/>
  <c r="G89" i="25"/>
  <c r="G90" i="25"/>
  <c r="B90" i="25" s="1"/>
  <c r="Q50" i="135" s="1"/>
  <c r="L123" i="101" l="1"/>
  <c r="R123" i="101" s="1"/>
  <c r="V123" i="101" s="1"/>
  <c r="Z123" i="101" s="1"/>
  <c r="T82" i="639" s="1"/>
  <c r="W126" i="103"/>
  <c r="AA126" i="103" s="1"/>
  <c r="W10" i="639" s="1"/>
  <c r="AX10" i="639"/>
  <c r="W123" i="103"/>
  <c r="AA123" i="103" s="1"/>
  <c r="W7" i="639" s="1"/>
  <c r="AX7" i="639"/>
  <c r="N125" i="103"/>
  <c r="T125" i="103" s="1"/>
  <c r="X125" i="103" s="1"/>
  <c r="AB125" i="103" s="1"/>
  <c r="W128" i="103"/>
  <c r="AA128" i="103" s="1"/>
  <c r="W12" i="639" s="1"/>
  <c r="S125" i="103"/>
  <c r="AX9" i="639" s="1"/>
  <c r="S127" i="103"/>
  <c r="AX11" i="639" s="1"/>
  <c r="N128" i="103"/>
  <c r="T128" i="103" s="1"/>
  <c r="X128" i="103" s="1"/>
  <c r="AB128" i="103" s="1"/>
  <c r="L128" i="103"/>
  <c r="R128" i="103" s="1"/>
  <c r="V128" i="103" s="1"/>
  <c r="Z128" i="103" s="1"/>
  <c r="W87" i="639" s="1"/>
  <c r="L124" i="103"/>
  <c r="R124" i="103" s="1"/>
  <c r="V124" i="103" s="1"/>
  <c r="Z124" i="103" s="1"/>
  <c r="W83" i="639" s="1"/>
  <c r="L126" i="103"/>
  <c r="R126" i="103" s="1"/>
  <c r="V126" i="103" s="1"/>
  <c r="Z126" i="103" s="1"/>
  <c r="W85" i="639" s="1"/>
  <c r="N123" i="103"/>
  <c r="T123" i="103" s="1"/>
  <c r="X123" i="103" s="1"/>
  <c r="AB123" i="103" s="1"/>
  <c r="N124" i="103"/>
  <c r="T124" i="103" s="1"/>
  <c r="X124" i="103" s="1"/>
  <c r="AB124" i="103" s="1"/>
  <c r="L127" i="103"/>
  <c r="R127" i="103" s="1"/>
  <c r="V127" i="103" s="1"/>
  <c r="Z127" i="103" s="1"/>
  <c r="W86" i="639" s="1"/>
  <c r="N127" i="103"/>
  <c r="T127" i="103" s="1"/>
  <c r="X127" i="103" s="1"/>
  <c r="AB127" i="103" s="1"/>
  <c r="R123" i="103"/>
  <c r="V123" i="103" s="1"/>
  <c r="Z123" i="103" s="1"/>
  <c r="W82" i="639" s="1"/>
  <c r="N126" i="103"/>
  <c r="T126" i="103" s="1"/>
  <c r="X126" i="103" s="1"/>
  <c r="AB126" i="103" s="1"/>
  <c r="L125" i="103"/>
  <c r="R125" i="103" s="1"/>
  <c r="V125" i="103" s="1"/>
  <c r="Z125" i="103" s="1"/>
  <c r="W84" i="639" s="1"/>
  <c r="I128" i="104"/>
  <c r="M128" i="104" s="1"/>
  <c r="S128" i="104" s="1"/>
  <c r="AY12" i="639" s="1"/>
  <c r="H128" i="129"/>
  <c r="L128" i="129" s="1"/>
  <c r="H124" i="129"/>
  <c r="L124" i="129" s="1"/>
  <c r="H127" i="129"/>
  <c r="L127" i="129" s="1"/>
  <c r="I128" i="133"/>
  <c r="M128" i="133" s="1"/>
  <c r="S128" i="133" s="1"/>
  <c r="H123" i="129"/>
  <c r="L123" i="129" s="1"/>
  <c r="H125" i="129"/>
  <c r="L125" i="129" s="1"/>
  <c r="H126" i="129"/>
  <c r="L126" i="129" s="1"/>
  <c r="Y128" i="25"/>
  <c r="BG95" i="25"/>
  <c r="Y123" i="25"/>
  <c r="BG90" i="25"/>
  <c r="Y124" i="25"/>
  <c r="BG91" i="25"/>
  <c r="Y125" i="25"/>
  <c r="BG92" i="25"/>
  <c r="Y127" i="25"/>
  <c r="BG94" i="25"/>
  <c r="AZ91" i="26"/>
  <c r="AW91" i="26" s="1"/>
  <c r="BH91" i="26" s="1"/>
  <c r="AZ92" i="26"/>
  <c r="AW92" i="26" s="1"/>
  <c r="BH92" i="26" s="1"/>
  <c r="AZ95" i="26"/>
  <c r="AW95" i="26" s="1"/>
  <c r="BH95" i="26" s="1"/>
  <c r="AZ93" i="26"/>
  <c r="AW93" i="26" s="1"/>
  <c r="BH93" i="26" s="1"/>
  <c r="AW94" i="26"/>
  <c r="BH94" i="26" s="1"/>
  <c r="AR91" i="102"/>
  <c r="AW91" i="102"/>
  <c r="BG91" i="102" s="1"/>
  <c r="AY92" i="25"/>
  <c r="AY93" i="25"/>
  <c r="Y126" i="25"/>
  <c r="AY94" i="25"/>
  <c r="U128" i="25"/>
  <c r="U127" i="25"/>
  <c r="U123" i="25"/>
  <c r="U125" i="25"/>
  <c r="U124" i="25"/>
  <c r="U126" i="25"/>
  <c r="AY95" i="25"/>
  <c r="S95" i="25"/>
  <c r="BA95" i="25" s="1"/>
  <c r="S94" i="25"/>
  <c r="AY91" i="25"/>
  <c r="S92" i="25"/>
  <c r="B92" i="25"/>
  <c r="Q52" i="135" s="1"/>
  <c r="S91" i="25"/>
  <c r="B91" i="25"/>
  <c r="Q51" i="135" s="1"/>
  <c r="S96" i="25"/>
  <c r="S90" i="25"/>
  <c r="S93" i="25"/>
  <c r="B93" i="25"/>
  <c r="Q53" i="135" s="1"/>
  <c r="AU91" i="131"/>
  <c r="AU92" i="131"/>
  <c r="AU93" i="131"/>
  <c r="AU94" i="131"/>
  <c r="AU95" i="131"/>
  <c r="AU90" i="131"/>
  <c r="G89" i="131"/>
  <c r="G90" i="131"/>
  <c r="G91" i="131"/>
  <c r="G92" i="131"/>
  <c r="G93" i="131"/>
  <c r="G94" i="131"/>
  <c r="G95" i="131"/>
  <c r="G96" i="131"/>
  <c r="G88" i="131"/>
  <c r="K84" i="131"/>
  <c r="I84" i="131" s="1"/>
  <c r="N45" i="193" s="1"/>
  <c r="K85" i="131"/>
  <c r="I85" i="131" s="1"/>
  <c r="N46" i="193" s="1"/>
  <c r="K86" i="131"/>
  <c r="I86" i="131" s="1"/>
  <c r="N47" i="193" s="1"/>
  <c r="K87" i="131"/>
  <c r="I87" i="131" s="1"/>
  <c r="N48" i="193" s="1"/>
  <c r="K88" i="131"/>
  <c r="I88" i="131" s="1"/>
  <c r="K89" i="131"/>
  <c r="I89" i="131" s="1"/>
  <c r="N50" i="193" s="1"/>
  <c r="K90" i="131"/>
  <c r="I90" i="131" s="1"/>
  <c r="K91" i="131"/>
  <c r="I91" i="131" s="1"/>
  <c r="N52" i="193" s="1"/>
  <c r="K92" i="131"/>
  <c r="I92" i="131" s="1"/>
  <c r="K93" i="131"/>
  <c r="I93" i="131" s="1"/>
  <c r="N54" i="193" s="1"/>
  <c r="K94" i="131"/>
  <c r="I94" i="131" s="1"/>
  <c r="K95" i="131"/>
  <c r="I95" i="131" s="1"/>
  <c r="K96" i="131"/>
  <c r="I96" i="131" s="1"/>
  <c r="N57" i="193" s="1"/>
  <c r="AU91" i="23"/>
  <c r="AU92" i="23"/>
  <c r="AU93" i="23"/>
  <c r="AU94" i="23"/>
  <c r="AU95" i="23"/>
  <c r="AU90" i="23"/>
  <c r="G90" i="23"/>
  <c r="T90" i="23" s="1"/>
  <c r="G91" i="23"/>
  <c r="G92" i="23"/>
  <c r="G93" i="23"/>
  <c r="T93" i="23" s="1"/>
  <c r="G94" i="23"/>
  <c r="G95" i="23"/>
  <c r="G96" i="23"/>
  <c r="G89" i="23"/>
  <c r="G88" i="23"/>
  <c r="K84" i="23"/>
  <c r="I84" i="23" s="1"/>
  <c r="M45" i="193" s="1"/>
  <c r="K85" i="23"/>
  <c r="I85" i="23" s="1"/>
  <c r="M46" i="193" s="1"/>
  <c r="K86" i="23"/>
  <c r="I86" i="23" s="1"/>
  <c r="M47" i="193" s="1"/>
  <c r="K87" i="23"/>
  <c r="I87" i="23" s="1"/>
  <c r="M48" i="193" s="1"/>
  <c r="K88" i="23"/>
  <c r="I88" i="23" s="1"/>
  <c r="M49" i="193" s="1"/>
  <c r="K89" i="23"/>
  <c r="I89" i="23" s="1"/>
  <c r="M50" i="193" s="1"/>
  <c r="K90" i="23"/>
  <c r="I90" i="23" s="1"/>
  <c r="K91" i="23"/>
  <c r="I91" i="23" s="1"/>
  <c r="K92" i="23"/>
  <c r="I92" i="23" s="1"/>
  <c r="M53" i="193" s="1"/>
  <c r="K93" i="23"/>
  <c r="I93" i="23" s="1"/>
  <c r="M54" i="193" s="1"/>
  <c r="K94" i="23"/>
  <c r="I94" i="23" s="1"/>
  <c r="M55" i="193" s="1"/>
  <c r="K95" i="23"/>
  <c r="I95" i="23" s="1"/>
  <c r="K96" i="23"/>
  <c r="I96" i="23" s="1"/>
  <c r="M57" i="193" s="1"/>
  <c r="W128" i="133" l="1"/>
  <c r="AA128" i="133" s="1"/>
  <c r="V12" i="639" s="1"/>
  <c r="AW12" i="639"/>
  <c r="W125" i="103"/>
  <c r="AA125" i="103" s="1"/>
  <c r="W9" i="639" s="1"/>
  <c r="W127" i="103"/>
  <c r="AA127" i="103" s="1"/>
  <c r="W11" i="639" s="1"/>
  <c r="G125" i="131"/>
  <c r="I125" i="131"/>
  <c r="H125" i="131"/>
  <c r="L125" i="131" s="1"/>
  <c r="J125" i="131"/>
  <c r="N125" i="131" s="1"/>
  <c r="G124" i="131"/>
  <c r="I124" i="131"/>
  <c r="M124" i="131" s="1"/>
  <c r="J124" i="131"/>
  <c r="N124" i="131" s="1"/>
  <c r="H124" i="131"/>
  <c r="L124" i="131" s="1"/>
  <c r="G126" i="131"/>
  <c r="K126" i="131" s="1"/>
  <c r="I126" i="131"/>
  <c r="M126" i="131" s="1"/>
  <c r="H126" i="131"/>
  <c r="L126" i="131" s="1"/>
  <c r="J126" i="131"/>
  <c r="N126" i="131" s="1"/>
  <c r="G123" i="131"/>
  <c r="K123" i="131" s="1"/>
  <c r="I123" i="131"/>
  <c r="M123" i="131" s="1"/>
  <c r="J123" i="131"/>
  <c r="H123" i="131"/>
  <c r="L123" i="131" s="1"/>
  <c r="G128" i="131"/>
  <c r="I128" i="131"/>
  <c r="M128" i="131" s="1"/>
  <c r="H128" i="131"/>
  <c r="L128" i="131" s="1"/>
  <c r="J128" i="131"/>
  <c r="N128" i="131" s="1"/>
  <c r="T128" i="131" s="1"/>
  <c r="G127" i="131"/>
  <c r="K127" i="131" s="1"/>
  <c r="I127" i="131"/>
  <c r="M127" i="131" s="1"/>
  <c r="J127" i="131"/>
  <c r="N127" i="131" s="1"/>
  <c r="H127" i="131"/>
  <c r="L127" i="131" s="1"/>
  <c r="G126" i="23"/>
  <c r="I126" i="23"/>
  <c r="J126" i="23"/>
  <c r="N126" i="23" s="1"/>
  <c r="H126" i="23"/>
  <c r="L126" i="23" s="1"/>
  <c r="G127" i="23"/>
  <c r="K127" i="23" s="1"/>
  <c r="I127" i="23"/>
  <c r="M127" i="23" s="1"/>
  <c r="H127" i="23"/>
  <c r="L127" i="23" s="1"/>
  <c r="J127" i="23"/>
  <c r="N127" i="23" s="1"/>
  <c r="G125" i="23"/>
  <c r="I125" i="23"/>
  <c r="M125" i="23" s="1"/>
  <c r="H125" i="23"/>
  <c r="L125" i="23" s="1"/>
  <c r="J125" i="23"/>
  <c r="N125" i="23" s="1"/>
  <c r="G128" i="23"/>
  <c r="I128" i="23"/>
  <c r="M128" i="23" s="1"/>
  <c r="J128" i="23"/>
  <c r="N128" i="23" s="1"/>
  <c r="H128" i="23"/>
  <c r="L128" i="23" s="1"/>
  <c r="G124" i="23"/>
  <c r="K124" i="23" s="1"/>
  <c r="I124" i="23"/>
  <c r="M124" i="23" s="1"/>
  <c r="J124" i="23"/>
  <c r="N124" i="23" s="1"/>
  <c r="H124" i="23"/>
  <c r="L124" i="23" s="1"/>
  <c r="G123" i="23"/>
  <c r="K123" i="23" s="1"/>
  <c r="I123" i="23"/>
  <c r="M123" i="23" s="1"/>
  <c r="J123" i="23"/>
  <c r="N123" i="23" s="1"/>
  <c r="T123" i="23" s="1"/>
  <c r="H123" i="23"/>
  <c r="L123" i="23" s="1"/>
  <c r="AZ95" i="25"/>
  <c r="AW95" i="25" s="1"/>
  <c r="BH95" i="25" s="1"/>
  <c r="AO94" i="131"/>
  <c r="N55" i="193"/>
  <c r="AB95" i="131"/>
  <c r="N56" i="193"/>
  <c r="AB92" i="131"/>
  <c r="N53" i="193"/>
  <c r="AO90" i="131"/>
  <c r="AW90" i="131" s="1"/>
  <c r="N51" i="193"/>
  <c r="AB88" i="131"/>
  <c r="AQ88" i="131" s="1"/>
  <c r="N49" i="193"/>
  <c r="AO95" i="23"/>
  <c r="AW95" i="23" s="1"/>
  <c r="Y128" i="23" s="1"/>
  <c r="M56" i="193"/>
  <c r="AB91" i="23"/>
  <c r="M52" i="193"/>
  <c r="AO90" i="23"/>
  <c r="M51" i="193"/>
  <c r="K125" i="131"/>
  <c r="P125" i="131"/>
  <c r="M125" i="131"/>
  <c r="K124" i="131"/>
  <c r="P124" i="131"/>
  <c r="P123" i="131"/>
  <c r="K128" i="131"/>
  <c r="P128" i="131"/>
  <c r="P127" i="131"/>
  <c r="P126" i="131"/>
  <c r="P127" i="23"/>
  <c r="P125" i="23"/>
  <c r="K125" i="23"/>
  <c r="Q125" i="23" s="1"/>
  <c r="P124" i="23"/>
  <c r="B95" i="23"/>
  <c r="N55" i="135" s="1"/>
  <c r="P123" i="23"/>
  <c r="P126" i="23"/>
  <c r="M126" i="23"/>
  <c r="K126" i="23"/>
  <c r="BB93" i="23"/>
  <c r="BA93" i="23" s="1"/>
  <c r="P128" i="23"/>
  <c r="K128" i="23"/>
  <c r="BA91" i="25"/>
  <c r="BA92" i="25"/>
  <c r="BA93" i="25"/>
  <c r="BA90" i="25"/>
  <c r="AZ90" i="25" s="1"/>
  <c r="BA94" i="25"/>
  <c r="AO93" i="131"/>
  <c r="AW93" i="131" s="1"/>
  <c r="AB93" i="131"/>
  <c r="AB96" i="131"/>
  <c r="AO96" i="131"/>
  <c r="AB91" i="131"/>
  <c r="AO91" i="131"/>
  <c r="AB94" i="131"/>
  <c r="AO92" i="131"/>
  <c r="AW92" i="131" s="1"/>
  <c r="AW94" i="131"/>
  <c r="AO95" i="131"/>
  <c r="AB93" i="23"/>
  <c r="AO93" i="23"/>
  <c r="AW93" i="23" s="1"/>
  <c r="Y126" i="23" s="1"/>
  <c r="AB92" i="23"/>
  <c r="AO92" i="23"/>
  <c r="AB96" i="23"/>
  <c r="AO96" i="23"/>
  <c r="AO94" i="23"/>
  <c r="AW94" i="23" s="1"/>
  <c r="Y127" i="23" s="1"/>
  <c r="AB94" i="23"/>
  <c r="AB90" i="23"/>
  <c r="AW90" i="23"/>
  <c r="Y123" i="23" s="1"/>
  <c r="BB90" i="23"/>
  <c r="BA90" i="23" s="1"/>
  <c r="AB95" i="23"/>
  <c r="B93" i="23"/>
  <c r="N53" i="135" s="1"/>
  <c r="AO91" i="23"/>
  <c r="AW91" i="23" s="1"/>
  <c r="Y124" i="23" s="1"/>
  <c r="AW92" i="23"/>
  <c r="Y125" i="23" s="1"/>
  <c r="B90" i="23"/>
  <c r="N50" i="135" s="1"/>
  <c r="T95" i="23"/>
  <c r="BB95" i="23" s="1"/>
  <c r="BA95" i="23" s="1"/>
  <c r="T96" i="23"/>
  <c r="T96" i="131"/>
  <c r="T93" i="131"/>
  <c r="B93" i="131"/>
  <c r="P53" i="135" s="1"/>
  <c r="T95" i="131"/>
  <c r="BB95" i="131" s="1"/>
  <c r="B95" i="131"/>
  <c r="P55" i="135" s="1"/>
  <c r="T94" i="23"/>
  <c r="BB94" i="23" s="1"/>
  <c r="BA94" i="23" s="1"/>
  <c r="B94" i="23"/>
  <c r="N54" i="135" s="1"/>
  <c r="T92" i="131"/>
  <c r="BB92" i="131" s="1"/>
  <c r="B92" i="131"/>
  <c r="P52" i="135" s="1"/>
  <c r="T92" i="23"/>
  <c r="B92" i="23"/>
  <c r="N52" i="135" s="1"/>
  <c r="T91" i="131"/>
  <c r="BB91" i="131" s="1"/>
  <c r="B91" i="131"/>
  <c r="P51" i="135" s="1"/>
  <c r="T94" i="131"/>
  <c r="BB94" i="131" s="1"/>
  <c r="B94" i="131"/>
  <c r="P54" i="135" s="1"/>
  <c r="T91" i="23"/>
  <c r="BB91" i="23" s="1"/>
  <c r="BA91" i="23" s="1"/>
  <c r="B91" i="23"/>
  <c r="N51" i="135" s="1"/>
  <c r="T90" i="131"/>
  <c r="B90" i="131"/>
  <c r="P50" i="135" s="1"/>
  <c r="AU91" i="21"/>
  <c r="AU92" i="21"/>
  <c r="AU93" i="21"/>
  <c r="AU94" i="21"/>
  <c r="AU95" i="21"/>
  <c r="AU90" i="21"/>
  <c r="G91" i="21"/>
  <c r="G92" i="21"/>
  <c r="G93" i="21"/>
  <c r="T93" i="21" s="1"/>
  <c r="G94" i="21"/>
  <c r="G95" i="21"/>
  <c r="T95" i="21" s="1"/>
  <c r="G96" i="21"/>
  <c r="T96" i="21" s="1"/>
  <c r="G88" i="21"/>
  <c r="G89" i="21"/>
  <c r="G90" i="21"/>
  <c r="K84" i="21"/>
  <c r="I84" i="21" s="1"/>
  <c r="K45" i="193" s="1"/>
  <c r="K85" i="21"/>
  <c r="I85" i="21" s="1"/>
  <c r="K46" i="193" s="1"/>
  <c r="K86" i="21"/>
  <c r="I86" i="21" s="1"/>
  <c r="K47" i="193" s="1"/>
  <c r="K87" i="21"/>
  <c r="I87" i="21" s="1"/>
  <c r="K48" i="193" s="1"/>
  <c r="K88" i="21"/>
  <c r="I88" i="21" s="1"/>
  <c r="K49" i="193" s="1"/>
  <c r="K89" i="21"/>
  <c r="I89" i="21" s="1"/>
  <c r="K50" i="193" s="1"/>
  <c r="K90" i="21"/>
  <c r="I90" i="21" s="1"/>
  <c r="K91" i="21"/>
  <c r="I91" i="21" s="1"/>
  <c r="K52" i="193" s="1"/>
  <c r="K92" i="21"/>
  <c r="I92" i="21" s="1"/>
  <c r="K53" i="193" s="1"/>
  <c r="K93" i="21"/>
  <c r="I93" i="21" s="1"/>
  <c r="K54" i="193" s="1"/>
  <c r="K94" i="21"/>
  <c r="I94" i="21" s="1"/>
  <c r="K55" i="193" s="1"/>
  <c r="K95" i="21"/>
  <c r="I95" i="21" s="1"/>
  <c r="K56" i="193" s="1"/>
  <c r="K96" i="21"/>
  <c r="I96" i="21" s="1"/>
  <c r="K57" i="193" s="1"/>
  <c r="AU91" i="20"/>
  <c r="AU92" i="20"/>
  <c r="AU93" i="20"/>
  <c r="AU94" i="20"/>
  <c r="AU95" i="20"/>
  <c r="AU90" i="20"/>
  <c r="G91" i="20"/>
  <c r="G92" i="20"/>
  <c r="G93" i="20"/>
  <c r="G94" i="20"/>
  <c r="G95" i="20"/>
  <c r="T95" i="20" s="1"/>
  <c r="G96" i="20"/>
  <c r="G88" i="20"/>
  <c r="G89" i="20"/>
  <c r="G90" i="20"/>
  <c r="K84" i="20"/>
  <c r="J84" i="20" s="1"/>
  <c r="K85" i="20"/>
  <c r="J85" i="20" s="1"/>
  <c r="K86" i="20"/>
  <c r="J86" i="20" s="1"/>
  <c r="K87" i="20"/>
  <c r="J87" i="20" s="1"/>
  <c r="K88" i="20"/>
  <c r="J88" i="20" s="1"/>
  <c r="K89" i="20"/>
  <c r="J89" i="20" s="1"/>
  <c r="K90" i="20"/>
  <c r="J90" i="20" s="1"/>
  <c r="K91" i="20"/>
  <c r="J91" i="20" s="1"/>
  <c r="K92" i="20"/>
  <c r="J92" i="20" s="1"/>
  <c r="K93" i="20"/>
  <c r="J93" i="20" s="1"/>
  <c r="K94" i="20"/>
  <c r="I94" i="20" s="1"/>
  <c r="J55" i="193" s="1"/>
  <c r="K95" i="20"/>
  <c r="I95" i="20" s="1"/>
  <c r="J56" i="193" s="1"/>
  <c r="K96" i="20"/>
  <c r="J96" i="20" s="1"/>
  <c r="N87" i="20"/>
  <c r="AU91" i="19"/>
  <c r="AU92" i="19"/>
  <c r="AU93" i="19"/>
  <c r="AU94" i="19"/>
  <c r="AU95" i="19"/>
  <c r="AU90" i="19"/>
  <c r="G91" i="19"/>
  <c r="G92" i="19"/>
  <c r="G93" i="19"/>
  <c r="G94" i="19"/>
  <c r="G95" i="19"/>
  <c r="G96" i="19"/>
  <c r="G90" i="19"/>
  <c r="K84" i="19"/>
  <c r="I84" i="19" s="1"/>
  <c r="I45" i="193" s="1"/>
  <c r="K85" i="19"/>
  <c r="I85" i="19" s="1"/>
  <c r="I46" i="193" s="1"/>
  <c r="K86" i="19"/>
  <c r="I86" i="19" s="1"/>
  <c r="I47" i="193" s="1"/>
  <c r="K87" i="19"/>
  <c r="I87" i="19" s="1"/>
  <c r="I48" i="193" s="1"/>
  <c r="K88" i="19"/>
  <c r="I88" i="19" s="1"/>
  <c r="I49" i="193" s="1"/>
  <c r="K89" i="19"/>
  <c r="I89" i="19" s="1"/>
  <c r="I50" i="193" s="1"/>
  <c r="K90" i="19"/>
  <c r="I90" i="19" s="1"/>
  <c r="K91" i="19"/>
  <c r="I91" i="19" s="1"/>
  <c r="K92" i="19"/>
  <c r="I92" i="19" s="1"/>
  <c r="I53" i="193" s="1"/>
  <c r="K93" i="19"/>
  <c r="I93" i="19" s="1"/>
  <c r="I54" i="193" s="1"/>
  <c r="K94" i="19"/>
  <c r="I94" i="19" s="1"/>
  <c r="I55" i="193" s="1"/>
  <c r="K95" i="19"/>
  <c r="I95" i="19" s="1"/>
  <c r="I56" i="193" s="1"/>
  <c r="K96" i="19"/>
  <c r="I96" i="19" s="1"/>
  <c r="I57" i="193" s="1"/>
  <c r="AX91" i="29"/>
  <c r="AX92" i="29"/>
  <c r="AX93" i="29"/>
  <c r="AX94" i="29"/>
  <c r="AX95" i="29"/>
  <c r="AX90" i="29"/>
  <c r="G91" i="29"/>
  <c r="W91" i="29" s="1"/>
  <c r="G92" i="29"/>
  <c r="W92" i="29" s="1"/>
  <c r="G93" i="29"/>
  <c r="W93" i="29" s="1"/>
  <c r="G94" i="29"/>
  <c r="W94" i="29" s="1"/>
  <c r="G95" i="29"/>
  <c r="W95" i="29" s="1"/>
  <c r="G96" i="29"/>
  <c r="W96" i="29" s="1"/>
  <c r="G90" i="29"/>
  <c r="W90" i="29" s="1"/>
  <c r="N84" i="29"/>
  <c r="N85" i="29"/>
  <c r="N86" i="29"/>
  <c r="N87" i="29"/>
  <c r="N88" i="29"/>
  <c r="N89" i="29"/>
  <c r="L90" i="29"/>
  <c r="N90" i="29"/>
  <c r="L91" i="29"/>
  <c r="N91" i="29"/>
  <c r="L92" i="29"/>
  <c r="N92" i="29"/>
  <c r="L93" i="29"/>
  <c r="N93" i="29"/>
  <c r="L94" i="29"/>
  <c r="N94" i="29"/>
  <c r="L95" i="29"/>
  <c r="N95" i="29"/>
  <c r="L96" i="29"/>
  <c r="N96" i="29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86" i="16"/>
  <c r="BC87" i="16"/>
  <c r="BC88" i="16"/>
  <c r="BC89" i="16"/>
  <c r="BC59" i="16"/>
  <c r="G91" i="16"/>
  <c r="V91" i="16" s="1"/>
  <c r="G92" i="16"/>
  <c r="V92" i="16" s="1"/>
  <c r="G93" i="16"/>
  <c r="V93" i="16" s="1"/>
  <c r="G94" i="16"/>
  <c r="V94" i="16" s="1"/>
  <c r="G95" i="16"/>
  <c r="V95" i="16" s="1"/>
  <c r="G96" i="16"/>
  <c r="V96" i="16" s="1"/>
  <c r="G90" i="16"/>
  <c r="V90" i="16" s="1"/>
  <c r="AW91" i="16"/>
  <c r="AW92" i="16"/>
  <c r="AW93" i="16"/>
  <c r="AW94" i="16"/>
  <c r="AW95" i="16"/>
  <c r="AW90" i="16"/>
  <c r="M84" i="16"/>
  <c r="M85" i="16"/>
  <c r="M86" i="16"/>
  <c r="M87" i="16"/>
  <c r="M88" i="16"/>
  <c r="K89" i="16"/>
  <c r="M89" i="16"/>
  <c r="K90" i="16"/>
  <c r="M90" i="16"/>
  <c r="K91" i="16"/>
  <c r="M91" i="16"/>
  <c r="K92" i="16"/>
  <c r="M92" i="16"/>
  <c r="K93" i="16"/>
  <c r="M93" i="16"/>
  <c r="K94" i="16"/>
  <c r="M94" i="16"/>
  <c r="K95" i="16"/>
  <c r="M95" i="16"/>
  <c r="K96" i="16"/>
  <c r="M96" i="16"/>
  <c r="G91" i="63"/>
  <c r="T91" i="63" s="1"/>
  <c r="G92" i="63"/>
  <c r="G93" i="63"/>
  <c r="G94" i="63"/>
  <c r="T94" i="63" s="1"/>
  <c r="G95" i="63"/>
  <c r="G96" i="63"/>
  <c r="G90" i="63"/>
  <c r="AW91" i="63"/>
  <c r="AW92" i="63"/>
  <c r="AW93" i="63"/>
  <c r="AW94" i="63"/>
  <c r="AW95" i="63"/>
  <c r="AW90" i="63"/>
  <c r="AP96" i="63"/>
  <c r="AB91" i="63"/>
  <c r="AR91" i="63" s="1"/>
  <c r="G127" i="21" l="1"/>
  <c r="I127" i="21"/>
  <c r="M127" i="21" s="1"/>
  <c r="H127" i="21"/>
  <c r="J127" i="21"/>
  <c r="G126" i="21"/>
  <c r="I126" i="21"/>
  <c r="M126" i="21" s="1"/>
  <c r="H126" i="21"/>
  <c r="L126" i="21" s="1"/>
  <c r="J126" i="21"/>
  <c r="N126" i="21" s="1"/>
  <c r="G125" i="21"/>
  <c r="I125" i="21"/>
  <c r="M125" i="21" s="1"/>
  <c r="H125" i="21"/>
  <c r="J125" i="21"/>
  <c r="G124" i="21"/>
  <c r="I124" i="21"/>
  <c r="M124" i="21" s="1"/>
  <c r="J124" i="21"/>
  <c r="N124" i="21" s="1"/>
  <c r="H124" i="21"/>
  <c r="L124" i="21" s="1"/>
  <c r="G123" i="21"/>
  <c r="I123" i="21"/>
  <c r="M123" i="21" s="1"/>
  <c r="J123" i="21"/>
  <c r="H123" i="21"/>
  <c r="G128" i="21"/>
  <c r="I128" i="21"/>
  <c r="H128" i="21"/>
  <c r="J128" i="21"/>
  <c r="G123" i="20"/>
  <c r="I123" i="20"/>
  <c r="M123" i="20" s="1"/>
  <c r="J123" i="20"/>
  <c r="H123" i="20"/>
  <c r="G128" i="20"/>
  <c r="I128" i="20"/>
  <c r="H128" i="20"/>
  <c r="J128" i="20"/>
  <c r="G127" i="20"/>
  <c r="I127" i="20"/>
  <c r="J127" i="20"/>
  <c r="H127" i="20"/>
  <c r="G124" i="20"/>
  <c r="K124" i="20" s="1"/>
  <c r="I124" i="20"/>
  <c r="M124" i="20" s="1"/>
  <c r="J124" i="20"/>
  <c r="N124" i="20" s="1"/>
  <c r="H124" i="20"/>
  <c r="L124" i="20" s="1"/>
  <c r="G126" i="20"/>
  <c r="I126" i="20"/>
  <c r="M126" i="20" s="1"/>
  <c r="H126" i="20"/>
  <c r="J126" i="20"/>
  <c r="G125" i="20"/>
  <c r="I125" i="20"/>
  <c r="M125" i="20" s="1"/>
  <c r="H125" i="20"/>
  <c r="L125" i="20" s="1"/>
  <c r="J125" i="20"/>
  <c r="N125" i="20" s="1"/>
  <c r="G126" i="19"/>
  <c r="I126" i="19"/>
  <c r="M126" i="19" s="1"/>
  <c r="H126" i="19"/>
  <c r="L126" i="19" s="1"/>
  <c r="J126" i="19"/>
  <c r="G125" i="19"/>
  <c r="I125" i="19"/>
  <c r="J125" i="19"/>
  <c r="N125" i="19" s="1"/>
  <c r="H125" i="19"/>
  <c r="L125" i="19" s="1"/>
  <c r="G124" i="19"/>
  <c r="I124" i="19"/>
  <c r="J124" i="19"/>
  <c r="N124" i="19" s="1"/>
  <c r="H124" i="19"/>
  <c r="G123" i="19"/>
  <c r="I123" i="19"/>
  <c r="M123" i="19" s="1"/>
  <c r="H123" i="19"/>
  <c r="L123" i="19" s="1"/>
  <c r="J123" i="19"/>
  <c r="N123" i="19" s="1"/>
  <c r="G128" i="19"/>
  <c r="I128" i="19"/>
  <c r="H128" i="19"/>
  <c r="J128" i="19"/>
  <c r="G127" i="19"/>
  <c r="I127" i="19"/>
  <c r="M127" i="19" s="1"/>
  <c r="J127" i="19"/>
  <c r="N127" i="19" s="1"/>
  <c r="H127" i="19"/>
  <c r="L127" i="19" s="1"/>
  <c r="G124" i="29"/>
  <c r="I124" i="29"/>
  <c r="J124" i="29"/>
  <c r="H124" i="29"/>
  <c r="G123" i="29"/>
  <c r="I123" i="29"/>
  <c r="M123" i="29" s="1"/>
  <c r="H123" i="29"/>
  <c r="L123" i="29" s="1"/>
  <c r="J123" i="29"/>
  <c r="N123" i="29" s="1"/>
  <c r="G128" i="29"/>
  <c r="I128" i="29"/>
  <c r="H128" i="29"/>
  <c r="J128" i="29"/>
  <c r="G127" i="29"/>
  <c r="I127" i="29"/>
  <c r="M127" i="29" s="1"/>
  <c r="H127" i="29"/>
  <c r="L127" i="29" s="1"/>
  <c r="J127" i="29"/>
  <c r="N127" i="29" s="1"/>
  <c r="G126" i="29"/>
  <c r="I126" i="29"/>
  <c r="M126" i="29" s="1"/>
  <c r="H126" i="29"/>
  <c r="J126" i="29"/>
  <c r="G125" i="29"/>
  <c r="I125" i="29"/>
  <c r="M125" i="29" s="1"/>
  <c r="H125" i="29"/>
  <c r="L125" i="29" s="1"/>
  <c r="J125" i="29"/>
  <c r="N125" i="29" s="1"/>
  <c r="G123" i="63"/>
  <c r="I123" i="63"/>
  <c r="M123" i="63" s="1"/>
  <c r="H123" i="63"/>
  <c r="L123" i="63" s="1"/>
  <c r="J123" i="63"/>
  <c r="G127" i="63"/>
  <c r="I127" i="63"/>
  <c r="M127" i="63" s="1"/>
  <c r="J127" i="63"/>
  <c r="N127" i="63" s="1"/>
  <c r="H127" i="63"/>
  <c r="L127" i="63" s="1"/>
  <c r="G126" i="63"/>
  <c r="I126" i="63"/>
  <c r="M126" i="63" s="1"/>
  <c r="J126" i="63"/>
  <c r="H126" i="63"/>
  <c r="L126" i="63" s="1"/>
  <c r="G128" i="63"/>
  <c r="K128" i="63" s="1"/>
  <c r="I128" i="63"/>
  <c r="J128" i="63"/>
  <c r="H128" i="63"/>
  <c r="G125" i="63"/>
  <c r="I125" i="63"/>
  <c r="M125" i="63" s="1"/>
  <c r="J125" i="63"/>
  <c r="N125" i="63" s="1"/>
  <c r="H125" i="63"/>
  <c r="G124" i="63"/>
  <c r="I124" i="63"/>
  <c r="M124" i="63" s="1"/>
  <c r="J124" i="63"/>
  <c r="N124" i="63" s="1"/>
  <c r="H124" i="63"/>
  <c r="L124" i="63" s="1"/>
  <c r="BJ90" i="23"/>
  <c r="BJ92" i="23"/>
  <c r="BJ91" i="23"/>
  <c r="BJ94" i="23"/>
  <c r="BJ93" i="23"/>
  <c r="BJ95" i="23"/>
  <c r="S123" i="131"/>
  <c r="AQ7" i="639" s="1"/>
  <c r="Y123" i="131"/>
  <c r="BI90" i="131"/>
  <c r="Y127" i="131"/>
  <c r="BI94" i="131"/>
  <c r="Y126" i="131"/>
  <c r="BI93" i="131"/>
  <c r="Y125" i="131"/>
  <c r="BI92" i="131"/>
  <c r="AZ94" i="25"/>
  <c r="AW94" i="25" s="1"/>
  <c r="BH94" i="25" s="1"/>
  <c r="AZ93" i="25"/>
  <c r="AW93" i="25" s="1"/>
  <c r="BH93" i="25" s="1"/>
  <c r="AZ92" i="25"/>
  <c r="AW92" i="25" s="1"/>
  <c r="BH92" i="25" s="1"/>
  <c r="AZ91" i="25"/>
  <c r="AW91" i="25" s="1"/>
  <c r="BH91" i="25" s="1"/>
  <c r="R123" i="131"/>
  <c r="Q123" i="131"/>
  <c r="AC93" i="131"/>
  <c r="AR93" i="131" s="1"/>
  <c r="AY93" i="131" s="1"/>
  <c r="AZ93" i="131" s="1"/>
  <c r="AQ93" i="131"/>
  <c r="AC92" i="131"/>
  <c r="AR92" i="131" s="1"/>
  <c r="AY92" i="131" s="1"/>
  <c r="AZ92" i="131" s="1"/>
  <c r="AQ92" i="131"/>
  <c r="AC96" i="131"/>
  <c r="AR96" i="131" s="1"/>
  <c r="AS96" i="131" s="1"/>
  <c r="AQ96" i="131"/>
  <c r="AC95" i="131"/>
  <c r="AR95" i="131" s="1"/>
  <c r="AY95" i="131" s="1"/>
  <c r="AQ95" i="131"/>
  <c r="AC94" i="131"/>
  <c r="AR94" i="131" s="1"/>
  <c r="AY94" i="131" s="1"/>
  <c r="AZ94" i="131" s="1"/>
  <c r="AQ94" i="131"/>
  <c r="AC91" i="131"/>
  <c r="AR91" i="131" s="1"/>
  <c r="AY91" i="131" s="1"/>
  <c r="AQ91" i="131"/>
  <c r="AC90" i="23"/>
  <c r="AR90" i="23" s="1"/>
  <c r="AS90" i="23" s="1"/>
  <c r="AQ90" i="23"/>
  <c r="AC93" i="23"/>
  <c r="AR93" i="23" s="1"/>
  <c r="AY93" i="23" s="1"/>
  <c r="AZ93" i="23" s="1"/>
  <c r="AQ93" i="23"/>
  <c r="AC94" i="23"/>
  <c r="AR94" i="23" s="1"/>
  <c r="AY94" i="23" s="1"/>
  <c r="AZ94" i="23" s="1"/>
  <c r="AQ94" i="23"/>
  <c r="AC92" i="23"/>
  <c r="AR92" i="23" s="1"/>
  <c r="AY92" i="23" s="1"/>
  <c r="AZ92" i="23" s="1"/>
  <c r="AQ92" i="23"/>
  <c r="AC91" i="23"/>
  <c r="AR91" i="23" s="1"/>
  <c r="AY91" i="23" s="1"/>
  <c r="AX91" i="23" s="1"/>
  <c r="BK91" i="23" s="1"/>
  <c r="AQ91" i="23"/>
  <c r="AC96" i="23"/>
  <c r="AR96" i="23" s="1"/>
  <c r="AQ96" i="23"/>
  <c r="AC95" i="23"/>
  <c r="AR95" i="23" s="1"/>
  <c r="AY95" i="23" s="1"/>
  <c r="AQ95" i="23"/>
  <c r="AO90" i="21"/>
  <c r="AW90" i="21" s="1"/>
  <c r="K51" i="193"/>
  <c r="AO91" i="19"/>
  <c r="AW91" i="19" s="1"/>
  <c r="I52" i="193"/>
  <c r="AO90" i="19"/>
  <c r="I51" i="193"/>
  <c r="Q126" i="23"/>
  <c r="S126" i="23"/>
  <c r="R128" i="23"/>
  <c r="AP12" i="639" s="1"/>
  <c r="S125" i="131"/>
  <c r="AQ9" i="639" s="1"/>
  <c r="T125" i="131"/>
  <c r="R125" i="131"/>
  <c r="BD90" i="16"/>
  <c r="BC90" i="16" s="1"/>
  <c r="T125" i="23"/>
  <c r="Q124" i="131"/>
  <c r="BE91" i="29"/>
  <c r="BD91" i="29" s="1"/>
  <c r="T123" i="131"/>
  <c r="Q127" i="23"/>
  <c r="S124" i="131"/>
  <c r="AQ8" i="639" s="1"/>
  <c r="BB95" i="21"/>
  <c r="BA95" i="21" s="1"/>
  <c r="T126" i="131"/>
  <c r="BD94" i="16"/>
  <c r="BC94" i="16" s="1"/>
  <c r="BB95" i="20"/>
  <c r="BA95" i="20" s="1"/>
  <c r="U127" i="131"/>
  <c r="U125" i="131"/>
  <c r="T128" i="23"/>
  <c r="U123" i="23"/>
  <c r="U126" i="23"/>
  <c r="Q128" i="23"/>
  <c r="U125" i="23"/>
  <c r="U126" i="131"/>
  <c r="S124" i="23"/>
  <c r="BE93" i="29"/>
  <c r="BD93" i="29" s="1"/>
  <c r="T126" i="23"/>
  <c r="R124" i="23"/>
  <c r="AP8" i="639" s="1"/>
  <c r="U128" i="23"/>
  <c r="U123" i="131"/>
  <c r="S128" i="23"/>
  <c r="R126" i="23"/>
  <c r="AP10" i="639" s="1"/>
  <c r="S123" i="23"/>
  <c r="R128" i="131"/>
  <c r="AS92" i="131"/>
  <c r="R127" i="131"/>
  <c r="Q128" i="131"/>
  <c r="S127" i="131"/>
  <c r="AQ11" i="639" s="1"/>
  <c r="R126" i="131"/>
  <c r="Q127" i="131"/>
  <c r="S126" i="131"/>
  <c r="AQ10" i="639" s="1"/>
  <c r="T127" i="131"/>
  <c r="R124" i="131"/>
  <c r="Q126" i="131"/>
  <c r="S128" i="131"/>
  <c r="AQ12" i="639" s="1"/>
  <c r="T124" i="131"/>
  <c r="Q125" i="131"/>
  <c r="Q124" i="23"/>
  <c r="T124" i="23"/>
  <c r="R127" i="23"/>
  <c r="AP11" i="639" s="1"/>
  <c r="U127" i="23"/>
  <c r="Q123" i="23"/>
  <c r="S125" i="23"/>
  <c r="S127" i="23"/>
  <c r="R123" i="23"/>
  <c r="AP7" i="639" s="1"/>
  <c r="R125" i="23"/>
  <c r="AP9" i="639" s="1"/>
  <c r="T127" i="23"/>
  <c r="P123" i="21"/>
  <c r="K123" i="21"/>
  <c r="L123" i="21"/>
  <c r="N123" i="21"/>
  <c r="P128" i="21"/>
  <c r="K128" i="21"/>
  <c r="P127" i="21"/>
  <c r="K127" i="21"/>
  <c r="N127" i="21"/>
  <c r="L127" i="21"/>
  <c r="P126" i="21"/>
  <c r="K126" i="21"/>
  <c r="BB93" i="21"/>
  <c r="BA93" i="21" s="1"/>
  <c r="P125" i="21"/>
  <c r="N125" i="21"/>
  <c r="K125" i="21"/>
  <c r="L125" i="21"/>
  <c r="P124" i="21"/>
  <c r="K124" i="21"/>
  <c r="P125" i="20"/>
  <c r="K125" i="20"/>
  <c r="P124" i="20"/>
  <c r="P123" i="20"/>
  <c r="L123" i="20"/>
  <c r="N123" i="20"/>
  <c r="K123" i="20"/>
  <c r="P128" i="20"/>
  <c r="K128" i="20"/>
  <c r="P127" i="20"/>
  <c r="K127" i="20"/>
  <c r="M127" i="20"/>
  <c r="L127" i="20"/>
  <c r="N127" i="20"/>
  <c r="P126" i="20"/>
  <c r="L126" i="20"/>
  <c r="K126" i="20"/>
  <c r="N126" i="20"/>
  <c r="P126" i="19"/>
  <c r="N126" i="19"/>
  <c r="K126" i="19"/>
  <c r="P125" i="19"/>
  <c r="K125" i="19"/>
  <c r="M125" i="19"/>
  <c r="P124" i="19"/>
  <c r="K124" i="19"/>
  <c r="L124" i="19"/>
  <c r="M124" i="19"/>
  <c r="P123" i="19"/>
  <c r="K123" i="19"/>
  <c r="P128" i="19"/>
  <c r="K128" i="19"/>
  <c r="P127" i="19"/>
  <c r="K127" i="19"/>
  <c r="P123" i="29"/>
  <c r="K123" i="29"/>
  <c r="BE90" i="29"/>
  <c r="BD90" i="29" s="1"/>
  <c r="P128" i="29"/>
  <c r="K128" i="29"/>
  <c r="P127" i="29"/>
  <c r="K127" i="29"/>
  <c r="BE94" i="29"/>
  <c r="BD94" i="29" s="1"/>
  <c r="P126" i="29"/>
  <c r="L126" i="29"/>
  <c r="K126" i="29"/>
  <c r="N126" i="29"/>
  <c r="P125" i="29"/>
  <c r="K125" i="29"/>
  <c r="P124" i="29"/>
  <c r="L124" i="29"/>
  <c r="K124" i="29"/>
  <c r="M124" i="29"/>
  <c r="N124" i="29"/>
  <c r="K127" i="63"/>
  <c r="AB92" i="63"/>
  <c r="AR92" i="63" s="1"/>
  <c r="P124" i="63"/>
  <c r="K124" i="63"/>
  <c r="N126" i="63"/>
  <c r="K126" i="63"/>
  <c r="P123" i="63"/>
  <c r="K123" i="63"/>
  <c r="N123" i="63"/>
  <c r="K125" i="63"/>
  <c r="L125" i="63"/>
  <c r="AW91" i="131"/>
  <c r="AW95" i="131"/>
  <c r="BB90" i="131"/>
  <c r="BA90" i="131" s="1"/>
  <c r="BB93" i="131"/>
  <c r="BA93" i="131" s="1"/>
  <c r="AZ95" i="23"/>
  <c r="AS95" i="23"/>
  <c r="BB92" i="23"/>
  <c r="AS96" i="23"/>
  <c r="AS94" i="23"/>
  <c r="AS93" i="23"/>
  <c r="AC95" i="19"/>
  <c r="AO95" i="19"/>
  <c r="AW95" i="19" s="1"/>
  <c r="AC96" i="19"/>
  <c r="AO96" i="19"/>
  <c r="AC94" i="19"/>
  <c r="AO94" i="19"/>
  <c r="AW94" i="19" s="1"/>
  <c r="AO92" i="19"/>
  <c r="AC92" i="19"/>
  <c r="AO93" i="19"/>
  <c r="AW93" i="19" s="1"/>
  <c r="AC93" i="19"/>
  <c r="AC91" i="19"/>
  <c r="AW90" i="19"/>
  <c r="BE92" i="29"/>
  <c r="BD92" i="29" s="1"/>
  <c r="BE95" i="29"/>
  <c r="BD95" i="29" s="1"/>
  <c r="T93" i="63"/>
  <c r="BD93" i="63" s="1"/>
  <c r="BC93" i="63" s="1"/>
  <c r="T92" i="63"/>
  <c r="BD92" i="63" s="1"/>
  <c r="BC92" i="63" s="1"/>
  <c r="T90" i="63"/>
  <c r="BD90" i="63" s="1"/>
  <c r="BC90" i="63" s="1"/>
  <c r="T96" i="63"/>
  <c r="T95" i="63"/>
  <c r="BD95" i="63" s="1"/>
  <c r="BC95" i="63" s="1"/>
  <c r="BA94" i="131"/>
  <c r="AX94" i="23"/>
  <c r="BK94" i="23" s="1"/>
  <c r="AX95" i="23"/>
  <c r="BK95" i="23" s="1"/>
  <c r="AX93" i="23"/>
  <c r="BK93" i="23" s="1"/>
  <c r="BA91" i="131"/>
  <c r="BA95" i="131"/>
  <c r="AX95" i="131" s="1"/>
  <c r="BJ95" i="131" s="1"/>
  <c r="BA92" i="131"/>
  <c r="J95" i="20"/>
  <c r="AB93" i="21"/>
  <c r="AO93" i="21"/>
  <c r="AB92" i="21"/>
  <c r="AO92" i="21"/>
  <c r="AB91" i="21"/>
  <c r="AO91" i="21"/>
  <c r="AB95" i="21"/>
  <c r="AO95" i="21"/>
  <c r="AO96" i="21"/>
  <c r="AB96" i="21"/>
  <c r="AO94" i="21"/>
  <c r="AB94" i="21"/>
  <c r="AB90" i="21"/>
  <c r="AQ90" i="21" s="1"/>
  <c r="B92" i="21"/>
  <c r="K52" i="135" s="1"/>
  <c r="B89" i="21"/>
  <c r="B95" i="21"/>
  <c r="K55" i="135" s="1"/>
  <c r="T92" i="21"/>
  <c r="BB92" i="21" s="1"/>
  <c r="BA92" i="21" s="1"/>
  <c r="B93" i="21"/>
  <c r="K53" i="135" s="1"/>
  <c r="I93" i="20"/>
  <c r="AB95" i="20"/>
  <c r="AO95" i="20"/>
  <c r="AW95" i="20" s="1"/>
  <c r="AB94" i="20"/>
  <c r="AO94" i="20"/>
  <c r="J94" i="20"/>
  <c r="I92" i="20"/>
  <c r="I91" i="20"/>
  <c r="J52" i="193" s="1"/>
  <c r="I90" i="20"/>
  <c r="I96" i="20"/>
  <c r="J57" i="193" s="1"/>
  <c r="B95" i="20"/>
  <c r="J55" i="135" s="1"/>
  <c r="BD92" i="16"/>
  <c r="BC92" i="16" s="1"/>
  <c r="BD91" i="16"/>
  <c r="BC91" i="16" s="1"/>
  <c r="T96" i="20"/>
  <c r="T94" i="20"/>
  <c r="B94" i="20"/>
  <c r="J54" i="135" s="1"/>
  <c r="T91" i="19"/>
  <c r="B91" i="19"/>
  <c r="I51" i="135" s="1"/>
  <c r="T96" i="19"/>
  <c r="T90" i="21"/>
  <c r="B90" i="21"/>
  <c r="K50" i="135" s="1"/>
  <c r="T90" i="19"/>
  <c r="B90" i="19"/>
  <c r="I50" i="135" s="1"/>
  <c r="T93" i="20"/>
  <c r="B93" i="20"/>
  <c r="J53" i="135" s="1"/>
  <c r="T95" i="19"/>
  <c r="B95" i="19"/>
  <c r="I55" i="135" s="1"/>
  <c r="T90" i="20"/>
  <c r="T91" i="20"/>
  <c r="T91" i="21"/>
  <c r="B91" i="21"/>
  <c r="K51" i="135" s="1"/>
  <c r="BD94" i="63"/>
  <c r="BC94" i="63" s="1"/>
  <c r="T92" i="20"/>
  <c r="BD91" i="63"/>
  <c r="BC91" i="63" s="1"/>
  <c r="T93" i="19"/>
  <c r="B93" i="19"/>
  <c r="I53" i="135" s="1"/>
  <c r="T94" i="21"/>
  <c r="B94" i="21"/>
  <c r="K54" i="135" s="1"/>
  <c r="T94" i="19"/>
  <c r="B94" i="19"/>
  <c r="I54" i="135" s="1"/>
  <c r="T92" i="19"/>
  <c r="B92" i="19"/>
  <c r="I52" i="135" s="1"/>
  <c r="BD93" i="16"/>
  <c r="BC93" i="16" s="1"/>
  <c r="BD95" i="16"/>
  <c r="BC95" i="16" s="1"/>
  <c r="AX92" i="131" l="1"/>
  <c r="BJ92" i="131" s="1"/>
  <c r="AX91" i="131"/>
  <c r="BJ91" i="131" s="1"/>
  <c r="AS92" i="23"/>
  <c r="Y126" i="19"/>
  <c r="BG93" i="19"/>
  <c r="Y124" i="19"/>
  <c r="BG91" i="19"/>
  <c r="Y127" i="19"/>
  <c r="BG94" i="19"/>
  <c r="Y123" i="19"/>
  <c r="BG90" i="19"/>
  <c r="Y128" i="19"/>
  <c r="BG95" i="19"/>
  <c r="Y128" i="20"/>
  <c r="BJ95" i="20"/>
  <c r="Y123" i="21"/>
  <c r="BG90" i="21"/>
  <c r="AS94" i="131"/>
  <c r="AX93" i="131"/>
  <c r="BJ93" i="131" s="1"/>
  <c r="AS93" i="131"/>
  <c r="Y128" i="131"/>
  <c r="BI95" i="131"/>
  <c r="AX94" i="131"/>
  <c r="BJ94" i="131" s="1"/>
  <c r="Y124" i="131"/>
  <c r="BI91" i="131"/>
  <c r="BA92" i="23"/>
  <c r="AX92" i="23" s="1"/>
  <c r="BK92" i="23" s="1"/>
  <c r="AY90" i="23"/>
  <c r="AZ90" i="23" s="1"/>
  <c r="AS91" i="23"/>
  <c r="AS95" i="131"/>
  <c r="AS91" i="131"/>
  <c r="AC94" i="21"/>
  <c r="AR94" i="21" s="1"/>
  <c r="AY94" i="21" s="1"/>
  <c r="AQ94" i="21"/>
  <c r="AC96" i="21"/>
  <c r="AR96" i="21" s="1"/>
  <c r="AS96" i="21" s="1"/>
  <c r="AQ96" i="21"/>
  <c r="AC93" i="21"/>
  <c r="AR93" i="21" s="1"/>
  <c r="AY93" i="21" s="1"/>
  <c r="AX93" i="21" s="1"/>
  <c r="BH93" i="21" s="1"/>
  <c r="AQ93" i="21"/>
  <c r="AC92" i="21"/>
  <c r="AR92" i="21" s="1"/>
  <c r="AS92" i="21" s="1"/>
  <c r="AQ92" i="21"/>
  <c r="AC95" i="21"/>
  <c r="AR95" i="21" s="1"/>
  <c r="AQ95" i="21"/>
  <c r="AC91" i="21"/>
  <c r="AR91" i="21" s="1"/>
  <c r="AS91" i="21" s="1"/>
  <c r="AQ91" i="21"/>
  <c r="AW94" i="21"/>
  <c r="AW93" i="21"/>
  <c r="AW95" i="21"/>
  <c r="AW91" i="21"/>
  <c r="AC94" i="20"/>
  <c r="AR94" i="20" s="1"/>
  <c r="AY94" i="20" s="1"/>
  <c r="AQ94" i="20"/>
  <c r="AC95" i="20"/>
  <c r="AR95" i="20" s="1"/>
  <c r="AY95" i="20" s="1"/>
  <c r="AZ95" i="20" s="1"/>
  <c r="AQ95" i="20"/>
  <c r="B90" i="20"/>
  <c r="J50" i="135" s="1"/>
  <c r="J51" i="193"/>
  <c r="AB93" i="20"/>
  <c r="J54" i="193"/>
  <c r="B92" i="20"/>
  <c r="J52" i="135" s="1"/>
  <c r="J53" i="193"/>
  <c r="AD95" i="19"/>
  <c r="AR95" i="19" s="1"/>
  <c r="AY95" i="19" s="1"/>
  <c r="AZ95" i="19" s="1"/>
  <c r="AQ95" i="19"/>
  <c r="AD91" i="19"/>
  <c r="AR91" i="19" s="1"/>
  <c r="AY91" i="19" s="1"/>
  <c r="AZ91" i="19" s="1"/>
  <c r="AQ91" i="19"/>
  <c r="AD93" i="19"/>
  <c r="AR93" i="19" s="1"/>
  <c r="AY93" i="19" s="1"/>
  <c r="AZ93" i="19" s="1"/>
  <c r="AQ93" i="19"/>
  <c r="AD92" i="19"/>
  <c r="AR92" i="19" s="1"/>
  <c r="AY92" i="19" s="1"/>
  <c r="AQ92" i="19"/>
  <c r="AD96" i="19"/>
  <c r="AR96" i="19" s="1"/>
  <c r="AS96" i="19" s="1"/>
  <c r="AQ96" i="19"/>
  <c r="AD94" i="19"/>
  <c r="AR94" i="19" s="1"/>
  <c r="AY94" i="19" s="1"/>
  <c r="AZ94" i="19" s="1"/>
  <c r="AQ94" i="19"/>
  <c r="Q124" i="19"/>
  <c r="R124" i="19"/>
  <c r="Q123" i="21"/>
  <c r="T124" i="19"/>
  <c r="R125" i="20"/>
  <c r="Q128" i="29"/>
  <c r="R124" i="20"/>
  <c r="T126" i="19"/>
  <c r="Q124" i="20"/>
  <c r="S127" i="19"/>
  <c r="AJ11" i="639" s="1"/>
  <c r="S126" i="19"/>
  <c r="AJ10" i="639" s="1"/>
  <c r="Q124" i="29"/>
  <c r="Q127" i="29"/>
  <c r="R126" i="19"/>
  <c r="Q128" i="20"/>
  <c r="Q126" i="19"/>
  <c r="Q128" i="19"/>
  <c r="R123" i="20"/>
  <c r="S123" i="20"/>
  <c r="AK7" i="639" s="1"/>
  <c r="Q123" i="20"/>
  <c r="Q125" i="29"/>
  <c r="S124" i="19"/>
  <c r="AJ8" i="639" s="1"/>
  <c r="T125" i="19"/>
  <c r="T123" i="20"/>
  <c r="S125" i="20"/>
  <c r="AK9" i="639" s="1"/>
  <c r="U126" i="19"/>
  <c r="U128" i="20"/>
  <c r="Q123" i="63"/>
  <c r="Q127" i="21"/>
  <c r="U123" i="19"/>
  <c r="U127" i="19"/>
  <c r="T127" i="20"/>
  <c r="U128" i="19"/>
  <c r="U124" i="19"/>
  <c r="R127" i="20"/>
  <c r="U123" i="21"/>
  <c r="S127" i="20"/>
  <c r="AK11" i="639" s="1"/>
  <c r="T125" i="20"/>
  <c r="Q125" i="21"/>
  <c r="U126" i="21"/>
  <c r="Q125" i="19"/>
  <c r="Q127" i="20"/>
  <c r="Q125" i="20"/>
  <c r="Q128" i="21"/>
  <c r="AZ95" i="131"/>
  <c r="U128" i="131"/>
  <c r="AZ91" i="131"/>
  <c r="U124" i="131"/>
  <c r="AZ91" i="23"/>
  <c r="U124" i="23"/>
  <c r="Q124" i="21"/>
  <c r="Q126" i="21"/>
  <c r="R126" i="20"/>
  <c r="AO90" i="20"/>
  <c r="AW90" i="20" s="1"/>
  <c r="S126" i="20"/>
  <c r="AK10" i="639" s="1"/>
  <c r="T126" i="20"/>
  <c r="S124" i="20"/>
  <c r="AK8" i="639" s="1"/>
  <c r="AO93" i="20"/>
  <c r="Q126" i="20"/>
  <c r="T124" i="20"/>
  <c r="S123" i="19"/>
  <c r="AJ7" i="639" s="1"/>
  <c r="R127" i="19"/>
  <c r="R123" i="19"/>
  <c r="T127" i="19"/>
  <c r="Q123" i="19"/>
  <c r="S125" i="19"/>
  <c r="AJ9" i="639" s="1"/>
  <c r="Q127" i="19"/>
  <c r="T123" i="19"/>
  <c r="R125" i="19"/>
  <c r="Q126" i="29"/>
  <c r="AB93" i="63"/>
  <c r="AR93" i="63" s="1"/>
  <c r="P125" i="63"/>
  <c r="Q125" i="63" s="1"/>
  <c r="Q124" i="63"/>
  <c r="BB91" i="21"/>
  <c r="BA91" i="21" s="1"/>
  <c r="BB90" i="21"/>
  <c r="BA90" i="21" s="1"/>
  <c r="BB94" i="21"/>
  <c r="BA94" i="21" s="1"/>
  <c r="BB93" i="20"/>
  <c r="BA93" i="20" s="1"/>
  <c r="BB94" i="20"/>
  <c r="BA94" i="20" s="1"/>
  <c r="BB91" i="20"/>
  <c r="BA91" i="20" s="1"/>
  <c r="BB90" i="20"/>
  <c r="BA90" i="20" s="1"/>
  <c r="BB92" i="20"/>
  <c r="BA92" i="20" s="1"/>
  <c r="BB91" i="19"/>
  <c r="BB90" i="19"/>
  <c r="AS93" i="19"/>
  <c r="BB92" i="19"/>
  <c r="BB95" i="19"/>
  <c r="AW92" i="19"/>
  <c r="BB94" i="19"/>
  <c r="BB93" i="19"/>
  <c r="AW92" i="21"/>
  <c r="AB92" i="20"/>
  <c r="AO92" i="20"/>
  <c r="F90" i="20"/>
  <c r="AB90" i="20"/>
  <c r="AB91" i="20"/>
  <c r="AO91" i="20"/>
  <c r="AB96" i="20"/>
  <c r="AO96" i="20"/>
  <c r="B91" i="20"/>
  <c r="J51" i="135" s="1"/>
  <c r="AW94" i="20"/>
  <c r="CD93" i="63"/>
  <c r="CD95" i="63"/>
  <c r="AD115" i="63"/>
  <c r="AE106" i="63" s="1"/>
  <c r="AS96" i="63"/>
  <c r="AE50" i="2"/>
  <c r="I91" i="63"/>
  <c r="AE91" i="63" s="1"/>
  <c r="I92" i="63"/>
  <c r="AE92" i="63" s="1"/>
  <c r="I93" i="63"/>
  <c r="I94" i="63"/>
  <c r="I95" i="63"/>
  <c r="AE95" i="63" s="1"/>
  <c r="I90" i="63"/>
  <c r="AE90" i="63" s="1"/>
  <c r="AX90" i="23" l="1"/>
  <c r="BK90" i="23" s="1"/>
  <c r="AE93" i="63"/>
  <c r="AS93" i="63" s="1"/>
  <c r="AE94" i="63"/>
  <c r="AS94" i="63" s="1"/>
  <c r="Y125" i="19"/>
  <c r="BG92" i="19"/>
  <c r="Y123" i="20"/>
  <c r="BJ90" i="20"/>
  <c r="Y127" i="20"/>
  <c r="BJ94" i="20"/>
  <c r="Y128" i="21"/>
  <c r="BG95" i="21"/>
  <c r="Y126" i="21"/>
  <c r="BG93" i="21"/>
  <c r="Y127" i="21"/>
  <c r="BG94" i="21"/>
  <c r="Y124" i="21"/>
  <c r="BG91" i="21"/>
  <c r="Y125" i="21"/>
  <c r="BG92" i="21"/>
  <c r="AX95" i="20"/>
  <c r="BK95" i="20" s="1"/>
  <c r="AS95" i="19"/>
  <c r="AS95" i="20"/>
  <c r="AY95" i="21"/>
  <c r="AX95" i="21" s="1"/>
  <c r="BH95" i="21" s="1"/>
  <c r="AS95" i="21"/>
  <c r="AS91" i="19"/>
  <c r="AX94" i="20"/>
  <c r="BK94" i="20" s="1"/>
  <c r="AS94" i="20"/>
  <c r="AS92" i="19"/>
  <c r="AS93" i="21"/>
  <c r="AZ93" i="21"/>
  <c r="AS94" i="21"/>
  <c r="AY92" i="21"/>
  <c r="AX92" i="21" s="1"/>
  <c r="BH92" i="21" s="1"/>
  <c r="AY91" i="21"/>
  <c r="AZ91" i="21" s="1"/>
  <c r="U124" i="21"/>
  <c r="AZ94" i="21"/>
  <c r="U127" i="21"/>
  <c r="AX94" i="21"/>
  <c r="BH94" i="21" s="1"/>
  <c r="U128" i="21"/>
  <c r="AC93" i="20"/>
  <c r="AR93" i="20" s="1"/>
  <c r="AY93" i="20" s="1"/>
  <c r="AX93" i="20" s="1"/>
  <c r="BK93" i="20" s="1"/>
  <c r="AQ93" i="20"/>
  <c r="AC91" i="20"/>
  <c r="AR91" i="20" s="1"/>
  <c r="AY91" i="20" s="1"/>
  <c r="AX91" i="20" s="1"/>
  <c r="BK91" i="20" s="1"/>
  <c r="AQ91" i="20"/>
  <c r="AC90" i="20"/>
  <c r="AR90" i="20" s="1"/>
  <c r="AY90" i="20" s="1"/>
  <c r="AX90" i="20" s="1"/>
  <c r="BK90" i="20" s="1"/>
  <c r="AQ90" i="20"/>
  <c r="AC96" i="20"/>
  <c r="AR96" i="20" s="1"/>
  <c r="AS96" i="20" s="1"/>
  <c r="AQ96" i="20"/>
  <c r="AC92" i="20"/>
  <c r="AR92" i="20" s="1"/>
  <c r="AY92" i="20" s="1"/>
  <c r="AX92" i="20" s="1"/>
  <c r="BK92" i="20" s="1"/>
  <c r="AQ92" i="20"/>
  <c r="AS94" i="19"/>
  <c r="AF91" i="63"/>
  <c r="AT91" i="63" s="1"/>
  <c r="BA91" i="63" s="1"/>
  <c r="AZ91" i="63" s="1"/>
  <c r="BL91" i="63" s="1"/>
  <c r="AS91" i="63"/>
  <c r="AF96" i="63"/>
  <c r="AT96" i="63" s="1"/>
  <c r="AU96" i="63" s="1"/>
  <c r="AF93" i="63"/>
  <c r="AT93" i="63" s="1"/>
  <c r="BA93" i="63" s="1"/>
  <c r="AZ93" i="63" s="1"/>
  <c r="BL93" i="63" s="1"/>
  <c r="AE105" i="63"/>
  <c r="AE104" i="63"/>
  <c r="U123" i="20"/>
  <c r="U125" i="21"/>
  <c r="AZ94" i="20"/>
  <c r="U127" i="20"/>
  <c r="AW93" i="20"/>
  <c r="AZ92" i="19"/>
  <c r="U125" i="19"/>
  <c r="AE112" i="63"/>
  <c r="AE111" i="63"/>
  <c r="AB94" i="63"/>
  <c r="AR94" i="63" s="1"/>
  <c r="P126" i="63"/>
  <c r="Q126" i="63" s="1"/>
  <c r="AE113" i="63"/>
  <c r="AE110" i="63"/>
  <c r="F53" i="193"/>
  <c r="AP92" i="63"/>
  <c r="B92" i="63"/>
  <c r="F52" i="135" s="1"/>
  <c r="AP90" i="63"/>
  <c r="F51" i="193"/>
  <c r="B90" i="63"/>
  <c r="F50" i="135" s="1"/>
  <c r="F54" i="193"/>
  <c r="AP93" i="63"/>
  <c r="B93" i="63"/>
  <c r="F53" i="135" s="1"/>
  <c r="AE109" i="63"/>
  <c r="AS90" i="63"/>
  <c r="AE103" i="63"/>
  <c r="AE107" i="63"/>
  <c r="F52" i="193"/>
  <c r="AP91" i="63"/>
  <c r="B91" i="63"/>
  <c r="F51" i="135" s="1"/>
  <c r="AE108" i="63"/>
  <c r="F56" i="193"/>
  <c r="AP95" i="63"/>
  <c r="B95" i="63"/>
  <c r="F55" i="135" s="1"/>
  <c r="F55" i="193"/>
  <c r="AP94" i="63"/>
  <c r="B94" i="63"/>
  <c r="F54" i="135" s="1"/>
  <c r="AS95" i="63"/>
  <c r="AE114" i="63"/>
  <c r="AW92" i="20"/>
  <c r="AW91" i="20"/>
  <c r="CD90" i="63"/>
  <c r="CD92" i="63"/>
  <c r="CD91" i="63"/>
  <c r="CD94" i="63"/>
  <c r="M84" i="18"/>
  <c r="N84" i="18"/>
  <c r="M85" i="18"/>
  <c r="N85" i="18"/>
  <c r="M86" i="18"/>
  <c r="N86" i="18"/>
  <c r="M87" i="18"/>
  <c r="N87" i="18"/>
  <c r="M88" i="18"/>
  <c r="N88" i="18"/>
  <c r="L89" i="18"/>
  <c r="M89" i="18"/>
  <c r="N89" i="18"/>
  <c r="L90" i="18"/>
  <c r="M90" i="18"/>
  <c r="N90" i="18"/>
  <c r="L91" i="18"/>
  <c r="M91" i="18"/>
  <c r="N91" i="18"/>
  <c r="L92" i="18"/>
  <c r="M92" i="18"/>
  <c r="N92" i="18"/>
  <c r="L93" i="18"/>
  <c r="M93" i="18"/>
  <c r="N93" i="18"/>
  <c r="L94" i="18"/>
  <c r="M94" i="18"/>
  <c r="N94" i="18"/>
  <c r="L95" i="18"/>
  <c r="M95" i="18"/>
  <c r="N95" i="18"/>
  <c r="L96" i="18"/>
  <c r="M96" i="18"/>
  <c r="N96" i="18"/>
  <c r="K90" i="18" l="1"/>
  <c r="I90" i="18" s="1"/>
  <c r="Y126" i="20"/>
  <c r="BJ93" i="20"/>
  <c r="Y124" i="20"/>
  <c r="BJ91" i="20"/>
  <c r="Y125" i="20"/>
  <c r="BJ92" i="20"/>
  <c r="AZ95" i="21"/>
  <c r="AS91" i="20"/>
  <c r="AS90" i="20"/>
  <c r="AS93" i="20"/>
  <c r="AS92" i="20"/>
  <c r="J91" i="63"/>
  <c r="J93" i="63"/>
  <c r="AX91" i="21"/>
  <c r="BH91" i="21" s="1"/>
  <c r="AZ92" i="21"/>
  <c r="AZ90" i="20"/>
  <c r="AF92" i="63"/>
  <c r="AT92" i="63" s="1"/>
  <c r="BA92" i="63" s="1"/>
  <c r="AZ92" i="63" s="1"/>
  <c r="BL92" i="63" s="1"/>
  <c r="AS92" i="63"/>
  <c r="K89" i="18"/>
  <c r="AF90" i="63"/>
  <c r="AT90" i="63" s="1"/>
  <c r="K95" i="18"/>
  <c r="I95" i="18" s="1"/>
  <c r="K92" i="18"/>
  <c r="I92" i="18" s="1"/>
  <c r="U126" i="20"/>
  <c r="AZ93" i="20"/>
  <c r="AZ92" i="20"/>
  <c r="U125" i="20"/>
  <c r="AZ91" i="20"/>
  <c r="U124" i="20"/>
  <c r="AB95" i="63"/>
  <c r="P127" i="63"/>
  <c r="Q127" i="63" s="1"/>
  <c r="AF94" i="63"/>
  <c r="AT94" i="63" s="1"/>
  <c r="BA94" i="63" s="1"/>
  <c r="AZ94" i="63" s="1"/>
  <c r="BL94" i="63" s="1"/>
  <c r="AU93" i="63"/>
  <c r="AY93" i="63"/>
  <c r="AY95" i="63"/>
  <c r="AE115" i="63"/>
  <c r="AY92" i="63"/>
  <c r="AY94" i="63"/>
  <c r="AY91" i="63"/>
  <c r="AU91" i="63"/>
  <c r="AY90" i="63"/>
  <c r="K94" i="18"/>
  <c r="I94" i="18" s="1"/>
  <c r="K91" i="18"/>
  <c r="I91" i="18" s="1"/>
  <c r="M87" i="29"/>
  <c r="L87" i="16"/>
  <c r="L90" i="16"/>
  <c r="J90" i="16" s="1"/>
  <c r="I90" i="16" s="1"/>
  <c r="B90" i="16" s="1"/>
  <c r="G50" i="135" s="1"/>
  <c r="M90" i="29"/>
  <c r="K90" i="29" s="1"/>
  <c r="I90" i="29" s="1"/>
  <c r="B90" i="29" s="1"/>
  <c r="H50" i="135" s="1"/>
  <c r="L86" i="16"/>
  <c r="M86" i="29"/>
  <c r="M93" i="29"/>
  <c r="K93" i="29" s="1"/>
  <c r="I93" i="29" s="1"/>
  <c r="B93" i="29" s="1"/>
  <c r="H53" i="135" s="1"/>
  <c r="L93" i="16"/>
  <c r="J93" i="16" s="1"/>
  <c r="I93" i="16" s="1"/>
  <c r="B93" i="16" s="1"/>
  <c r="G53" i="135" s="1"/>
  <c r="L89" i="16"/>
  <c r="J89" i="16" s="1"/>
  <c r="I89" i="16" s="1"/>
  <c r="M89" i="29"/>
  <c r="L85" i="16"/>
  <c r="M85" i="29"/>
  <c r="L95" i="16"/>
  <c r="J95" i="16" s="1"/>
  <c r="I95" i="16" s="1"/>
  <c r="B95" i="16" s="1"/>
  <c r="G55" i="135" s="1"/>
  <c r="M95" i="29"/>
  <c r="K95" i="29" s="1"/>
  <c r="I95" i="29" s="1"/>
  <c r="B95" i="29" s="1"/>
  <c r="H55" i="135" s="1"/>
  <c r="L92" i="16"/>
  <c r="J92" i="16" s="1"/>
  <c r="I92" i="16" s="1"/>
  <c r="B92" i="16" s="1"/>
  <c r="G52" i="135" s="1"/>
  <c r="M92" i="29"/>
  <c r="K92" i="29" s="1"/>
  <c r="I92" i="29" s="1"/>
  <c r="B92" i="29" s="1"/>
  <c r="H52" i="135" s="1"/>
  <c r="K96" i="18"/>
  <c r="I96" i="18" s="1"/>
  <c r="L91" i="16"/>
  <c r="J91" i="16" s="1"/>
  <c r="I91" i="16" s="1"/>
  <c r="B91" i="16" s="1"/>
  <c r="G51" i="135" s="1"/>
  <c r="M91" i="29"/>
  <c r="K91" i="29" s="1"/>
  <c r="I91" i="29" s="1"/>
  <c r="B91" i="29" s="1"/>
  <c r="H51" i="135" s="1"/>
  <c r="M94" i="29"/>
  <c r="K94" i="29" s="1"/>
  <c r="I94" i="29" s="1"/>
  <c r="B94" i="29" s="1"/>
  <c r="H54" i="135" s="1"/>
  <c r="L94" i="16"/>
  <c r="J94" i="16" s="1"/>
  <c r="I94" i="16" s="1"/>
  <c r="B94" i="16" s="1"/>
  <c r="G54" i="135" s="1"/>
  <c r="M96" i="29"/>
  <c r="K96" i="29" s="1"/>
  <c r="I96" i="29" s="1"/>
  <c r="L96" i="16"/>
  <c r="K93" i="18"/>
  <c r="I93" i="18" s="1"/>
  <c r="M88" i="29"/>
  <c r="L88" i="16"/>
  <c r="M84" i="29"/>
  <c r="L84" i="16"/>
  <c r="K85" i="51"/>
  <c r="K86" i="51"/>
  <c r="K87" i="51"/>
  <c r="K88" i="51"/>
  <c r="K89" i="51"/>
  <c r="K90" i="51"/>
  <c r="I90" i="51" s="1"/>
  <c r="K91" i="51"/>
  <c r="K92" i="51"/>
  <c r="K93" i="51"/>
  <c r="K94" i="51"/>
  <c r="K95" i="51"/>
  <c r="K96" i="51"/>
  <c r="K84" i="51"/>
  <c r="K85" i="3"/>
  <c r="K86" i="3"/>
  <c r="K87" i="3"/>
  <c r="K88" i="3"/>
  <c r="K89" i="3"/>
  <c r="K90" i="3"/>
  <c r="I90" i="3" s="1"/>
  <c r="C51" i="193" s="1"/>
  <c r="K91" i="3"/>
  <c r="I91" i="3" s="1"/>
  <c r="C52" i="193" s="1"/>
  <c r="K92" i="3"/>
  <c r="I92" i="3" s="1"/>
  <c r="C53" i="193" s="1"/>
  <c r="K93" i="3"/>
  <c r="I93" i="3" s="1"/>
  <c r="C54" i="193" s="1"/>
  <c r="K94" i="3"/>
  <c r="I94" i="3" s="1"/>
  <c r="C55" i="193" s="1"/>
  <c r="K95" i="3"/>
  <c r="I95" i="3" s="1"/>
  <c r="C56" i="193" s="1"/>
  <c r="K96" i="3"/>
  <c r="I96" i="3" s="1"/>
  <c r="C57" i="193" s="1"/>
  <c r="K84" i="3"/>
  <c r="I96" i="51" l="1"/>
  <c r="J96" i="16"/>
  <c r="I96" i="16" s="1"/>
  <c r="Y123" i="63"/>
  <c r="BK90" i="63"/>
  <c r="Y125" i="63"/>
  <c r="BK92" i="63"/>
  <c r="Y128" i="63"/>
  <c r="BK95" i="63"/>
  <c r="Y124" i="63"/>
  <c r="BK91" i="63"/>
  <c r="Y127" i="63"/>
  <c r="BK94" i="63"/>
  <c r="Y126" i="63"/>
  <c r="BK93" i="63"/>
  <c r="D51" i="193"/>
  <c r="AU92" i="63"/>
  <c r="J92" i="63"/>
  <c r="P128" i="63"/>
  <c r="Q128" i="63" s="1"/>
  <c r="AR95" i="63"/>
  <c r="J90" i="63"/>
  <c r="BA90" i="63"/>
  <c r="AZ90" i="63" s="1"/>
  <c r="BL90" i="63" s="1"/>
  <c r="AU90" i="63"/>
  <c r="AU94" i="63"/>
  <c r="AF95" i="63"/>
  <c r="AT95" i="63" s="1"/>
  <c r="BA95" i="63" s="1"/>
  <c r="AZ95" i="63" s="1"/>
  <c r="BL95" i="63" s="1"/>
  <c r="J94" i="63"/>
  <c r="BB92" i="63"/>
  <c r="U125" i="63"/>
  <c r="BB91" i="63"/>
  <c r="U124" i="63"/>
  <c r="U123" i="63"/>
  <c r="U128" i="63"/>
  <c r="BB94" i="63"/>
  <c r="U127" i="63"/>
  <c r="BB93" i="63"/>
  <c r="U126" i="63"/>
  <c r="D57" i="193"/>
  <c r="I94" i="51"/>
  <c r="D55" i="193" s="1"/>
  <c r="I95" i="51"/>
  <c r="D56" i="193" s="1"/>
  <c r="I92" i="51"/>
  <c r="D53" i="193" s="1"/>
  <c r="I93" i="51"/>
  <c r="D54" i="193" s="1"/>
  <c r="I91" i="51"/>
  <c r="D52" i="193" s="1"/>
  <c r="AS93" i="16"/>
  <c r="AI93" i="16"/>
  <c r="AJ93" i="16" s="1"/>
  <c r="AT93" i="16" s="1"/>
  <c r="BA93" i="16" s="1"/>
  <c r="AZ93" i="16" s="1"/>
  <c r="H57" i="193"/>
  <c r="AR96" i="29"/>
  <c r="AE96" i="29"/>
  <c r="H56" i="193"/>
  <c r="AR95" i="29"/>
  <c r="AE95" i="29"/>
  <c r="H53" i="193"/>
  <c r="AE92" i="29"/>
  <c r="AR92" i="29"/>
  <c r="AS95" i="16"/>
  <c r="AI95" i="16"/>
  <c r="AJ95" i="16" s="1"/>
  <c r="AT95" i="16" s="1"/>
  <c r="BA95" i="16" s="1"/>
  <c r="AZ95" i="16" s="1"/>
  <c r="H55" i="193"/>
  <c r="AR94" i="29"/>
  <c r="AE94" i="29"/>
  <c r="H51" i="193"/>
  <c r="AR90" i="29"/>
  <c r="AI92" i="16"/>
  <c r="AJ92" i="16" s="1"/>
  <c r="AT92" i="16" s="1"/>
  <c r="BA92" i="16" s="1"/>
  <c r="AZ92" i="16" s="1"/>
  <c r="AS92" i="16"/>
  <c r="H52" i="193"/>
  <c r="AE91" i="29"/>
  <c r="AR91" i="29"/>
  <c r="AS90" i="16"/>
  <c r="AI90" i="16"/>
  <c r="AJ90" i="16" s="1"/>
  <c r="AT90" i="16" s="1"/>
  <c r="BA90" i="16" s="1"/>
  <c r="AZ90" i="16" s="1"/>
  <c r="H54" i="193"/>
  <c r="AR93" i="29"/>
  <c r="AE93" i="29"/>
  <c r="AI91" i="16"/>
  <c r="AJ91" i="16" s="1"/>
  <c r="AT91" i="16" s="1"/>
  <c r="BA91" i="16" s="1"/>
  <c r="AZ91" i="16" s="1"/>
  <c r="AS91" i="16"/>
  <c r="AI94" i="16"/>
  <c r="AJ94" i="16" s="1"/>
  <c r="AT94" i="16" s="1"/>
  <c r="BA94" i="16" s="1"/>
  <c r="AZ94" i="16" s="1"/>
  <c r="AS94" i="16"/>
  <c r="G91" i="18"/>
  <c r="G92" i="18"/>
  <c r="G93" i="18"/>
  <c r="W93" i="18" s="1"/>
  <c r="G94" i="18"/>
  <c r="G95" i="18"/>
  <c r="G96" i="18"/>
  <c r="W96" i="18" s="1"/>
  <c r="G90" i="18"/>
  <c r="AX91" i="18"/>
  <c r="AX92" i="18"/>
  <c r="AX93" i="18"/>
  <c r="AX94" i="18"/>
  <c r="AX95" i="18"/>
  <c r="AX90" i="18"/>
  <c r="AE91" i="18"/>
  <c r="AR96" i="18"/>
  <c r="E52" i="193"/>
  <c r="E53" i="193"/>
  <c r="AE92" i="18" s="1"/>
  <c r="E54" i="193"/>
  <c r="AE93" i="18" s="1"/>
  <c r="E55" i="193"/>
  <c r="AE94" i="18" s="1"/>
  <c r="E56" i="193"/>
  <c r="AR95" i="18" s="1"/>
  <c r="E57" i="193"/>
  <c r="E51" i="193"/>
  <c r="AR90" i="18" s="1"/>
  <c r="I89" i="18"/>
  <c r="AE89" i="18" s="1"/>
  <c r="AT89" i="18" s="1"/>
  <c r="I79" i="18"/>
  <c r="I80" i="18"/>
  <c r="I81" i="18"/>
  <c r="I82" i="18"/>
  <c r="I83" i="18"/>
  <c r="I84" i="18"/>
  <c r="I85" i="18"/>
  <c r="I86" i="18"/>
  <c r="I87" i="18"/>
  <c r="I88" i="18"/>
  <c r="AU91" i="51"/>
  <c r="AU92" i="51"/>
  <c r="AU93" i="51"/>
  <c r="AU94" i="51"/>
  <c r="AU95" i="51"/>
  <c r="AU90" i="51"/>
  <c r="G90" i="51"/>
  <c r="G91" i="51"/>
  <c r="G92" i="51"/>
  <c r="G93" i="51"/>
  <c r="G94" i="51"/>
  <c r="G95" i="51"/>
  <c r="G96" i="51"/>
  <c r="G89" i="51"/>
  <c r="G88" i="51"/>
  <c r="AU91" i="3"/>
  <c r="AU92" i="3"/>
  <c r="AU93" i="3"/>
  <c r="AU94" i="3"/>
  <c r="AU95" i="3"/>
  <c r="AU90" i="3"/>
  <c r="G91" i="3"/>
  <c r="G92" i="3"/>
  <c r="G93" i="3"/>
  <c r="G94" i="3"/>
  <c r="G95" i="3"/>
  <c r="G96" i="3"/>
  <c r="G89" i="3"/>
  <c r="G88" i="3"/>
  <c r="G90" i="3"/>
  <c r="G123" i="18" l="1"/>
  <c r="K123" i="18" s="1"/>
  <c r="I123" i="18"/>
  <c r="H123" i="18"/>
  <c r="J123" i="18"/>
  <c r="G128" i="18"/>
  <c r="K128" i="18" s="1"/>
  <c r="I128" i="18"/>
  <c r="M128" i="18" s="1"/>
  <c r="J128" i="18"/>
  <c r="N128" i="18" s="1"/>
  <c r="H128" i="18"/>
  <c r="L128" i="18" s="1"/>
  <c r="G127" i="18"/>
  <c r="K127" i="18" s="1"/>
  <c r="I127" i="18"/>
  <c r="J127" i="18"/>
  <c r="H127" i="18"/>
  <c r="G126" i="18"/>
  <c r="K126" i="18" s="1"/>
  <c r="I126" i="18"/>
  <c r="M126" i="18" s="1"/>
  <c r="J126" i="18"/>
  <c r="N126" i="18" s="1"/>
  <c r="H126" i="18"/>
  <c r="L126" i="18" s="1"/>
  <c r="G125" i="18"/>
  <c r="I125" i="18"/>
  <c r="J125" i="18"/>
  <c r="N125" i="18" s="1"/>
  <c r="H125" i="18"/>
  <c r="G124" i="18"/>
  <c r="K124" i="18" s="1"/>
  <c r="Q124" i="18" s="1"/>
  <c r="I124" i="18"/>
  <c r="M124" i="18" s="1"/>
  <c r="J124" i="18"/>
  <c r="N124" i="18" s="1"/>
  <c r="H124" i="18"/>
  <c r="L124" i="18" s="1"/>
  <c r="G123" i="51"/>
  <c r="K123" i="51" s="1"/>
  <c r="I123" i="51"/>
  <c r="H123" i="51"/>
  <c r="L123" i="51" s="1"/>
  <c r="J123" i="51"/>
  <c r="N123" i="51" s="1"/>
  <c r="G128" i="51"/>
  <c r="K128" i="51" s="1"/>
  <c r="I128" i="51"/>
  <c r="H128" i="51"/>
  <c r="J128" i="51"/>
  <c r="G125" i="51"/>
  <c r="K125" i="51" s="1"/>
  <c r="I125" i="51"/>
  <c r="J125" i="51"/>
  <c r="N125" i="51" s="1"/>
  <c r="H125" i="51"/>
  <c r="L125" i="51" s="1"/>
  <c r="G127" i="51"/>
  <c r="K127" i="51" s="1"/>
  <c r="I127" i="51"/>
  <c r="M127" i="51" s="1"/>
  <c r="H127" i="51"/>
  <c r="L127" i="51" s="1"/>
  <c r="J127" i="51"/>
  <c r="N127" i="51" s="1"/>
  <c r="G124" i="51"/>
  <c r="I124" i="51"/>
  <c r="H124" i="51"/>
  <c r="J124" i="51"/>
  <c r="G126" i="51"/>
  <c r="K126" i="51" s="1"/>
  <c r="I126" i="51"/>
  <c r="M126" i="51" s="1"/>
  <c r="H126" i="51"/>
  <c r="L126" i="51" s="1"/>
  <c r="J126" i="51"/>
  <c r="N126" i="51" s="1"/>
  <c r="G128" i="3"/>
  <c r="K128" i="3" s="1"/>
  <c r="I128" i="3"/>
  <c r="J128" i="3"/>
  <c r="H128" i="3"/>
  <c r="G125" i="3"/>
  <c r="I125" i="3"/>
  <c r="M125" i="3" s="1"/>
  <c r="H125" i="3"/>
  <c r="L125" i="3" s="1"/>
  <c r="J125" i="3"/>
  <c r="N125" i="3" s="1"/>
  <c r="G123" i="3"/>
  <c r="K123" i="3" s="1"/>
  <c r="I123" i="3"/>
  <c r="J123" i="3"/>
  <c r="N123" i="3" s="1"/>
  <c r="H123" i="3"/>
  <c r="L123" i="3" s="1"/>
  <c r="G124" i="3"/>
  <c r="I124" i="3"/>
  <c r="M124" i="3" s="1"/>
  <c r="H124" i="3"/>
  <c r="L124" i="3" s="1"/>
  <c r="J124" i="3"/>
  <c r="N124" i="3" s="1"/>
  <c r="G127" i="3"/>
  <c r="K127" i="3" s="1"/>
  <c r="I127" i="3"/>
  <c r="H127" i="3"/>
  <c r="L127" i="3" s="1"/>
  <c r="J127" i="3"/>
  <c r="N127" i="3" s="1"/>
  <c r="G126" i="3"/>
  <c r="K126" i="3" s="1"/>
  <c r="I126" i="3"/>
  <c r="M126" i="3" s="1"/>
  <c r="J126" i="3"/>
  <c r="N126" i="3" s="1"/>
  <c r="H126" i="3"/>
  <c r="L126" i="3" s="1"/>
  <c r="AS96" i="16"/>
  <c r="AI96" i="16"/>
  <c r="AJ96" i="16" s="1"/>
  <c r="AT96" i="16" s="1"/>
  <c r="AF91" i="29"/>
  <c r="AU91" i="29" s="1"/>
  <c r="BB91" i="29" s="1"/>
  <c r="BA91" i="29" s="1"/>
  <c r="BK91" i="29" s="1"/>
  <c r="AT91" i="29"/>
  <c r="AF96" i="29"/>
  <c r="AU96" i="29" s="1"/>
  <c r="AT96" i="29"/>
  <c r="AF94" i="29"/>
  <c r="AU94" i="29" s="1"/>
  <c r="BB94" i="29" s="1"/>
  <c r="BA94" i="29" s="1"/>
  <c r="BK94" i="29" s="1"/>
  <c r="AT94" i="29"/>
  <c r="AF93" i="29"/>
  <c r="AU93" i="29" s="1"/>
  <c r="BB93" i="29" s="1"/>
  <c r="BA93" i="29" s="1"/>
  <c r="BK93" i="29" s="1"/>
  <c r="AT93" i="29"/>
  <c r="AF95" i="29"/>
  <c r="AU95" i="29" s="1"/>
  <c r="BB95" i="29" s="1"/>
  <c r="BA95" i="29" s="1"/>
  <c r="BK95" i="29" s="1"/>
  <c r="AT95" i="29"/>
  <c r="AF92" i="29"/>
  <c r="AU92" i="29" s="1"/>
  <c r="BB92" i="29" s="1"/>
  <c r="BA92" i="29" s="1"/>
  <c r="BK92" i="29" s="1"/>
  <c r="AT92" i="29"/>
  <c r="BB95" i="63"/>
  <c r="AU95" i="63"/>
  <c r="BB90" i="63"/>
  <c r="AF93" i="18"/>
  <c r="AU93" i="18" s="1"/>
  <c r="BB93" i="18" s="1"/>
  <c r="AT93" i="18"/>
  <c r="AF92" i="18"/>
  <c r="AT92" i="18"/>
  <c r="AF91" i="18"/>
  <c r="AU91" i="18" s="1"/>
  <c r="BB91" i="18" s="1"/>
  <c r="AT91" i="18"/>
  <c r="AF94" i="18"/>
  <c r="AU94" i="18" s="1"/>
  <c r="BB94" i="18" s="1"/>
  <c r="AT94" i="18"/>
  <c r="J95" i="63"/>
  <c r="P124" i="18"/>
  <c r="P123" i="18"/>
  <c r="N123" i="18"/>
  <c r="L123" i="18"/>
  <c r="M123" i="18"/>
  <c r="P128" i="18"/>
  <c r="P126" i="18"/>
  <c r="P127" i="18"/>
  <c r="L127" i="18"/>
  <c r="N127" i="18"/>
  <c r="M127" i="18"/>
  <c r="P125" i="18"/>
  <c r="L125" i="18"/>
  <c r="K125" i="18"/>
  <c r="M125" i="18"/>
  <c r="M125" i="51"/>
  <c r="L124" i="51"/>
  <c r="N124" i="51"/>
  <c r="M124" i="51"/>
  <c r="M123" i="51"/>
  <c r="M127" i="3"/>
  <c r="M123" i="3"/>
  <c r="K125" i="3"/>
  <c r="T94" i="51"/>
  <c r="BB94" i="51" s="1"/>
  <c r="BA94" i="51" s="1"/>
  <c r="B94" i="51"/>
  <c r="D54" i="135" s="1"/>
  <c r="V96" i="3"/>
  <c r="T95" i="51"/>
  <c r="BB95" i="51" s="1"/>
  <c r="BA95" i="51" s="1"/>
  <c r="B95" i="51"/>
  <c r="D55" i="135" s="1"/>
  <c r="W94" i="18"/>
  <c r="BE94" i="18" s="1"/>
  <c r="B94" i="18"/>
  <c r="E54" i="135" s="1"/>
  <c r="T92" i="51"/>
  <c r="BB92" i="51" s="1"/>
  <c r="BA92" i="51" s="1"/>
  <c r="B92" i="51"/>
  <c r="D52" i="135" s="1"/>
  <c r="W91" i="18"/>
  <c r="BE91" i="18" s="1"/>
  <c r="B91" i="18"/>
  <c r="E51" i="135" s="1"/>
  <c r="T91" i="51"/>
  <c r="BB91" i="51" s="1"/>
  <c r="BA91" i="51" s="1"/>
  <c r="B91" i="51"/>
  <c r="D51" i="135" s="1"/>
  <c r="V95" i="3"/>
  <c r="BB95" i="3" s="1"/>
  <c r="BA95" i="3" s="1"/>
  <c r="B95" i="3"/>
  <c r="C55" i="135" s="1"/>
  <c r="V94" i="3"/>
  <c r="BB94" i="3" s="1"/>
  <c r="BA94" i="3" s="1"/>
  <c r="B94" i="3"/>
  <c r="C54" i="135" s="1"/>
  <c r="W90" i="18"/>
  <c r="BE90" i="18" s="1"/>
  <c r="B90" i="18"/>
  <c r="E50" i="135" s="1"/>
  <c r="T93" i="51"/>
  <c r="BB93" i="51" s="1"/>
  <c r="BA93" i="51" s="1"/>
  <c r="B93" i="51"/>
  <c r="D53" i="135" s="1"/>
  <c r="V93" i="3"/>
  <c r="BB93" i="3" s="1"/>
  <c r="BA93" i="3" s="1"/>
  <c r="B93" i="3"/>
  <c r="C53" i="135" s="1"/>
  <c r="V90" i="3"/>
  <c r="BB90" i="3" s="1"/>
  <c r="BA90" i="3" s="1"/>
  <c r="B90" i="3"/>
  <c r="C50" i="135" s="1"/>
  <c r="W92" i="18"/>
  <c r="BE92" i="18" s="1"/>
  <c r="B92" i="18"/>
  <c r="E52" i="135" s="1"/>
  <c r="V92" i="3"/>
  <c r="BB92" i="3" s="1"/>
  <c r="BA92" i="3" s="1"/>
  <c r="B92" i="3"/>
  <c r="C52" i="135" s="1"/>
  <c r="V91" i="3"/>
  <c r="BB91" i="3" s="1"/>
  <c r="BA91" i="3" s="1"/>
  <c r="B91" i="3"/>
  <c r="C51" i="135" s="1"/>
  <c r="T90" i="51"/>
  <c r="BB90" i="51" s="1"/>
  <c r="BA90" i="51" s="1"/>
  <c r="B90" i="51"/>
  <c r="D50" i="135" s="1"/>
  <c r="T96" i="51"/>
  <c r="W95" i="18"/>
  <c r="B95" i="18"/>
  <c r="E55" i="135" s="1"/>
  <c r="B93" i="18"/>
  <c r="E53" i="135" s="1"/>
  <c r="AZ90" i="18"/>
  <c r="AV91" i="29"/>
  <c r="AZ91" i="29"/>
  <c r="AZ94" i="29"/>
  <c r="AZ95" i="29"/>
  <c r="AV95" i="29"/>
  <c r="AU91" i="16"/>
  <c r="AY91" i="16"/>
  <c r="BB91" i="16" s="1"/>
  <c r="AU90" i="16"/>
  <c r="AY90" i="16"/>
  <c r="BB90" i="16" s="1"/>
  <c r="AU96" i="16"/>
  <c r="AU92" i="16"/>
  <c r="AY92" i="16"/>
  <c r="BB92" i="16" s="1"/>
  <c r="AY95" i="16"/>
  <c r="BB95" i="16" s="1"/>
  <c r="AU95" i="16"/>
  <c r="AV96" i="29"/>
  <c r="AZ93" i="29"/>
  <c r="AV92" i="29"/>
  <c r="AZ92" i="29"/>
  <c r="AY94" i="16"/>
  <c r="BB94" i="16" s="1"/>
  <c r="AU94" i="16"/>
  <c r="AZ90" i="29"/>
  <c r="AY93" i="16"/>
  <c r="BB93" i="16" s="1"/>
  <c r="AU93" i="16"/>
  <c r="AR93" i="18"/>
  <c r="AZ93" i="18" s="1"/>
  <c r="AR91" i="18"/>
  <c r="AZ91" i="18" s="1"/>
  <c r="AU92" i="18"/>
  <c r="BB92" i="18" s="1"/>
  <c r="AR92" i="18"/>
  <c r="AR94" i="18"/>
  <c r="AZ94" i="18" s="1"/>
  <c r="BE93" i="18"/>
  <c r="AZ95" i="18"/>
  <c r="AE96" i="18"/>
  <c r="AT96" i="18" s="1"/>
  <c r="AE95" i="18"/>
  <c r="AT95" i="18" s="1"/>
  <c r="Y128" i="18" l="1"/>
  <c r="BN95" i="18"/>
  <c r="Y127" i="18"/>
  <c r="BN94" i="18"/>
  <c r="Y126" i="18"/>
  <c r="BN93" i="18"/>
  <c r="Y123" i="18"/>
  <c r="BN90" i="18"/>
  <c r="Y124" i="18"/>
  <c r="BN91" i="18"/>
  <c r="Y126" i="29"/>
  <c r="BJ93" i="29"/>
  <c r="Y123" i="29"/>
  <c r="BJ90" i="29"/>
  <c r="Y128" i="29"/>
  <c r="BJ95" i="29"/>
  <c r="Y127" i="29"/>
  <c r="BJ94" i="29"/>
  <c r="Y125" i="29"/>
  <c r="BJ92" i="29"/>
  <c r="Y124" i="29"/>
  <c r="BJ91" i="29"/>
  <c r="AV94" i="29"/>
  <c r="AV93" i="29"/>
  <c r="AF95" i="18"/>
  <c r="AF96" i="18"/>
  <c r="AU96" i="18" s="1"/>
  <c r="Q123" i="51"/>
  <c r="Q123" i="18"/>
  <c r="Q124" i="3"/>
  <c r="Q126" i="3"/>
  <c r="U127" i="18"/>
  <c r="U123" i="29"/>
  <c r="Q127" i="18"/>
  <c r="U123" i="18"/>
  <c r="U126" i="18"/>
  <c r="U128" i="18"/>
  <c r="Q126" i="18"/>
  <c r="BC92" i="29"/>
  <c r="U125" i="29"/>
  <c r="BC95" i="29"/>
  <c r="U128" i="29"/>
  <c r="BC93" i="29"/>
  <c r="U126" i="29"/>
  <c r="BC94" i="29"/>
  <c r="U127" i="29"/>
  <c r="BC91" i="29"/>
  <c r="U124" i="29"/>
  <c r="Q125" i="18"/>
  <c r="Q128" i="18"/>
  <c r="BC91" i="18"/>
  <c r="U124" i="18"/>
  <c r="Q126" i="51"/>
  <c r="Q127" i="51"/>
  <c r="Q124" i="51"/>
  <c r="Q125" i="51"/>
  <c r="Q128" i="51"/>
  <c r="Q128" i="3"/>
  <c r="Q125" i="3"/>
  <c r="Q123" i="3"/>
  <c r="Q127" i="3"/>
  <c r="J94" i="18"/>
  <c r="BE95" i="18"/>
  <c r="BC93" i="18"/>
  <c r="BA93" i="18"/>
  <c r="BO93" i="18" s="1"/>
  <c r="J93" i="18"/>
  <c r="BA92" i="18"/>
  <c r="BO92" i="18" s="1"/>
  <c r="J92" i="18"/>
  <c r="BA91" i="18"/>
  <c r="BO91" i="18" s="1"/>
  <c r="J91" i="18"/>
  <c r="BC94" i="18"/>
  <c r="AV93" i="18"/>
  <c r="AV91" i="18"/>
  <c r="AU95" i="18"/>
  <c r="BB95" i="18" s="1"/>
  <c r="BC95" i="18" s="1"/>
  <c r="AV94" i="18"/>
  <c r="AV92" i="18"/>
  <c r="AZ92" i="18"/>
  <c r="Y125" i="18" l="1"/>
  <c r="BN92" i="18"/>
  <c r="BA94" i="18"/>
  <c r="BO94" i="18" s="1"/>
  <c r="BC92" i="18"/>
  <c r="U125" i="18"/>
  <c r="J95" i="18"/>
  <c r="AV96" i="18"/>
  <c r="AV95" i="18"/>
  <c r="BA95" i="18" l="1"/>
  <c r="BO95" i="18" s="1"/>
  <c r="N91" i="1"/>
  <c r="AC91" i="1" s="1"/>
  <c r="AD91" i="1" s="1"/>
  <c r="N92" i="1"/>
  <c r="AC92" i="1" s="1"/>
  <c r="AD92" i="1" s="1"/>
  <c r="N93" i="1"/>
  <c r="AC93" i="1" s="1"/>
  <c r="AD93" i="1" s="1"/>
  <c r="N94" i="1"/>
  <c r="AC94" i="1" s="1"/>
  <c r="AD94" i="1" s="1"/>
  <c r="N95" i="1"/>
  <c r="AC95" i="1" s="1"/>
  <c r="AD95" i="1" s="1"/>
  <c r="N96" i="1"/>
  <c r="AC96" i="1" s="1"/>
  <c r="N90" i="1"/>
  <c r="AC90" i="1" s="1"/>
  <c r="AD90" i="1" s="1"/>
  <c r="AV91" i="1"/>
  <c r="AV92" i="1"/>
  <c r="AV93" i="1"/>
  <c r="AV94" i="1"/>
  <c r="AV95" i="1"/>
  <c r="AV96" i="1"/>
  <c r="BC91" i="1"/>
  <c r="BC92" i="1"/>
  <c r="BC93" i="1"/>
  <c r="BC94" i="1"/>
  <c r="BC95" i="1"/>
  <c r="BC96" i="1"/>
  <c r="AD130" i="1" s="1"/>
  <c r="BC90" i="1"/>
  <c r="AH91" i="1"/>
  <c r="AH92" i="1"/>
  <c r="AH93" i="1"/>
  <c r="AH94" i="1"/>
  <c r="AH95" i="1"/>
  <c r="AY95" i="1" s="1"/>
  <c r="D56" i="194"/>
  <c r="D57" i="194" s="1"/>
  <c r="E56" i="194"/>
  <c r="E57" i="194" s="1"/>
  <c r="F56" i="194"/>
  <c r="F57" i="194" s="1"/>
  <c r="H56" i="194"/>
  <c r="I56" i="194"/>
  <c r="I57" i="194" s="1"/>
  <c r="J56" i="194"/>
  <c r="J57" i="194" s="1"/>
  <c r="K56" i="194"/>
  <c r="K57" i="194" s="1"/>
  <c r="L56" i="194"/>
  <c r="L57" i="194" s="1"/>
  <c r="M56" i="194"/>
  <c r="N56" i="194"/>
  <c r="Q56" i="194"/>
  <c r="R56" i="194"/>
  <c r="R57" i="194" s="1"/>
  <c r="S56" i="194"/>
  <c r="S57" i="194" s="1"/>
  <c r="T56" i="194"/>
  <c r="T57" i="194" s="1"/>
  <c r="U56" i="194"/>
  <c r="U57" i="194" s="1"/>
  <c r="V56" i="194"/>
  <c r="V57" i="194" s="1"/>
  <c r="W56" i="194"/>
  <c r="W57" i="194" s="1"/>
  <c r="X56" i="194"/>
  <c r="X57" i="194" s="1"/>
  <c r="Y56" i="194"/>
  <c r="Y57" i="194" s="1"/>
  <c r="Z56" i="194"/>
  <c r="Z57" i="194" s="1"/>
  <c r="AA56" i="194"/>
  <c r="AB56" i="194"/>
  <c r="AB57" i="194" s="1"/>
  <c r="BM51" i="193"/>
  <c r="BM52" i="193"/>
  <c r="BM53" i="193"/>
  <c r="BM54" i="193"/>
  <c r="BM55" i="193"/>
  <c r="BM56" i="193"/>
  <c r="BM50" i="193"/>
  <c r="AI92" i="1" l="1"/>
  <c r="AY92" i="1"/>
  <c r="AZ92" i="1" s="1"/>
  <c r="AI91" i="1"/>
  <c r="AY91" i="1"/>
  <c r="AZ91" i="1" s="1"/>
  <c r="AI93" i="1"/>
  <c r="AY93" i="1"/>
  <c r="AZ93" i="1" s="1"/>
  <c r="BA93" i="1" s="1"/>
  <c r="AI94" i="1"/>
  <c r="AY94" i="1"/>
  <c r="AZ94" i="1" s="1"/>
  <c r="BG94" i="1" s="1"/>
  <c r="P123" i="1"/>
  <c r="P124" i="1"/>
  <c r="P127" i="1"/>
  <c r="P125" i="1"/>
  <c r="P126" i="1"/>
  <c r="AD96" i="1"/>
  <c r="BJ96" i="1" s="1"/>
  <c r="BI96" i="1" s="1"/>
  <c r="AW96" i="63"/>
  <c r="BD96" i="63" s="1"/>
  <c r="BC96" i="63" s="1"/>
  <c r="F51" i="490"/>
  <c r="I6" i="491" s="1"/>
  <c r="F52" i="490"/>
  <c r="I7" i="491" s="1"/>
  <c r="F53" i="490"/>
  <c r="I8" i="491" s="1"/>
  <c r="F54" i="490"/>
  <c r="I9" i="491" s="1"/>
  <c r="F55" i="490"/>
  <c r="I10" i="491" s="1"/>
  <c r="F56" i="490"/>
  <c r="I11" i="491" s="1"/>
  <c r="F50" i="490"/>
  <c r="I5" i="491" s="1"/>
  <c r="AW96" i="103"/>
  <c r="U50" i="490"/>
  <c r="X5" i="491" s="1"/>
  <c r="U51" i="490"/>
  <c r="X6" i="491" s="1"/>
  <c r="U52" i="490"/>
  <c r="X7" i="491" s="1"/>
  <c r="U53" i="490"/>
  <c r="X8" i="491" s="1"/>
  <c r="U54" i="490"/>
  <c r="X9" i="491" s="1"/>
  <c r="U55" i="490"/>
  <c r="X10" i="491" s="1"/>
  <c r="U56" i="490"/>
  <c r="X11" i="491" s="1"/>
  <c r="AU96" i="133"/>
  <c r="AY96" i="133" s="1"/>
  <c r="T55" i="490"/>
  <c r="W10" i="491" s="1"/>
  <c r="T54" i="490"/>
  <c r="W9" i="491" s="1"/>
  <c r="T51" i="490"/>
  <c r="W6" i="491" s="1"/>
  <c r="T52" i="490"/>
  <c r="W7" i="491" s="1"/>
  <c r="T53" i="490"/>
  <c r="W8" i="491" s="1"/>
  <c r="T56" i="490"/>
  <c r="W11" i="491" s="1"/>
  <c r="T50" i="490"/>
  <c r="W5" i="491" s="1"/>
  <c r="AT96" i="102"/>
  <c r="BU96" i="102" s="1"/>
  <c r="S51" i="490"/>
  <c r="V6" i="491" s="1"/>
  <c r="S52" i="490"/>
  <c r="V7" i="491" s="1"/>
  <c r="S53" i="490"/>
  <c r="V8" i="491" s="1"/>
  <c r="S54" i="490"/>
  <c r="V9" i="491" s="1"/>
  <c r="S55" i="490"/>
  <c r="V10" i="491" s="1"/>
  <c r="S56" i="490"/>
  <c r="V11" i="491" s="1"/>
  <c r="AR96" i="129"/>
  <c r="AY96" i="129" s="1"/>
  <c r="G129" i="129" s="1"/>
  <c r="AT96" i="27"/>
  <c r="Q51" i="490"/>
  <c r="T6" i="491" s="1"/>
  <c r="Q52" i="490"/>
  <c r="T7" i="491" s="1"/>
  <c r="Q53" i="490"/>
  <c r="T8" i="491" s="1"/>
  <c r="Q54" i="490"/>
  <c r="T9" i="491" s="1"/>
  <c r="Q55" i="490"/>
  <c r="T10" i="491" s="1"/>
  <c r="Q56" i="490"/>
  <c r="T11" i="491" s="1"/>
  <c r="Q50" i="490"/>
  <c r="T5" i="491" s="1"/>
  <c r="C96" i="1"/>
  <c r="B96" i="1" s="1"/>
  <c r="B56" i="135" s="1"/>
  <c r="W55" i="490"/>
  <c r="Z10" i="491" s="1"/>
  <c r="AT96" i="26"/>
  <c r="P51" i="490"/>
  <c r="S6" i="491" s="1"/>
  <c r="P53" i="490"/>
  <c r="S8" i="491" s="1"/>
  <c r="P54" i="490"/>
  <c r="S9" i="491" s="1"/>
  <c r="P55" i="490"/>
  <c r="S10" i="491" s="1"/>
  <c r="P56" i="490"/>
  <c r="S11" i="491" s="1"/>
  <c r="AU96" i="20"/>
  <c r="J51" i="490"/>
  <c r="M6" i="491" s="1"/>
  <c r="J52" i="490"/>
  <c r="M7" i="491" s="1"/>
  <c r="J53" i="490"/>
  <c r="M8" i="491" s="1"/>
  <c r="J54" i="490"/>
  <c r="M9" i="491" s="1"/>
  <c r="J55" i="490"/>
  <c r="M10" i="491" s="1"/>
  <c r="J56" i="490"/>
  <c r="M11" i="491" s="1"/>
  <c r="J50" i="490"/>
  <c r="M5" i="491" s="1"/>
  <c r="AR96" i="22"/>
  <c r="AY96" i="22" s="1"/>
  <c r="AX96" i="22" s="1"/>
  <c r="BB96" i="101"/>
  <c r="R51" i="490"/>
  <c r="U6" i="491" s="1"/>
  <c r="R52" i="490"/>
  <c r="U7" i="491" s="1"/>
  <c r="R53" i="490"/>
  <c r="U8" i="491" s="1"/>
  <c r="R54" i="490"/>
  <c r="U9" i="491" s="1"/>
  <c r="R55" i="490"/>
  <c r="U10" i="491" s="1"/>
  <c r="R56" i="490"/>
  <c r="U11" i="491" s="1"/>
  <c r="R50" i="490"/>
  <c r="U5" i="491" s="1"/>
  <c r="AU96" i="3"/>
  <c r="C52" i="490"/>
  <c r="F7" i="491" s="1"/>
  <c r="C53" i="490"/>
  <c r="F8" i="491" s="1"/>
  <c r="C54" i="490"/>
  <c r="F9" i="491" s="1"/>
  <c r="C55" i="490"/>
  <c r="F10" i="491" s="1"/>
  <c r="C56" i="490"/>
  <c r="F11" i="491" s="1"/>
  <c r="C51" i="490"/>
  <c r="F6" i="491" s="1"/>
  <c r="C50" i="490"/>
  <c r="F5" i="491" s="1"/>
  <c r="AT96" i="25"/>
  <c r="O51" i="490"/>
  <c r="R6" i="491" s="1"/>
  <c r="O52" i="490"/>
  <c r="R7" i="491" s="1"/>
  <c r="O53" i="490"/>
  <c r="R8" i="491" s="1"/>
  <c r="O54" i="490"/>
  <c r="R9" i="491" s="1"/>
  <c r="O55" i="490"/>
  <c r="R10" i="491" s="1"/>
  <c r="O56" i="490"/>
  <c r="R11" i="491" s="1"/>
  <c r="O50" i="490"/>
  <c r="R5" i="491" s="1"/>
  <c r="AU96" i="19"/>
  <c r="I51" i="490"/>
  <c r="L6" i="491" s="1"/>
  <c r="I52" i="490"/>
  <c r="L7" i="491" s="1"/>
  <c r="I53" i="490"/>
  <c r="L8" i="491" s="1"/>
  <c r="I54" i="490"/>
  <c r="L9" i="491" s="1"/>
  <c r="I55" i="490"/>
  <c r="L10" i="491" s="1"/>
  <c r="I56" i="490"/>
  <c r="L11" i="491" s="1"/>
  <c r="I50" i="490"/>
  <c r="L5" i="491" s="1"/>
  <c r="AW96" i="16"/>
  <c r="AU96" i="23"/>
  <c r="AC130" i="23" s="1"/>
  <c r="M50" i="490"/>
  <c r="P5" i="491" s="1"/>
  <c r="M51" i="490"/>
  <c r="P6" i="491" s="1"/>
  <c r="M52" i="490"/>
  <c r="P7" i="491" s="1"/>
  <c r="M53" i="490"/>
  <c r="P8" i="491" s="1"/>
  <c r="M54" i="490"/>
  <c r="P9" i="491" s="1"/>
  <c r="M55" i="490"/>
  <c r="P10" i="491" s="1"/>
  <c r="M56" i="490"/>
  <c r="P11" i="491" s="1"/>
  <c r="AX96" i="18"/>
  <c r="E51" i="490"/>
  <c r="H6" i="491" s="1"/>
  <c r="E52" i="490"/>
  <c r="H7" i="491" s="1"/>
  <c r="E53" i="490"/>
  <c r="H8" i="491" s="1"/>
  <c r="E54" i="490"/>
  <c r="H9" i="491" s="1"/>
  <c r="E55" i="490"/>
  <c r="H10" i="491" s="1"/>
  <c r="E56" i="490"/>
  <c r="H11" i="491" s="1"/>
  <c r="E50" i="490"/>
  <c r="H5" i="491" s="1"/>
  <c r="AU96" i="51"/>
  <c r="BB96" i="51" s="1"/>
  <c r="BA96" i="51" s="1"/>
  <c r="D50" i="490"/>
  <c r="G5" i="491" s="1"/>
  <c r="D52" i="490"/>
  <c r="G7" i="491" s="1"/>
  <c r="D53" i="490"/>
  <c r="G8" i="491" s="1"/>
  <c r="D54" i="490"/>
  <c r="G9" i="491" s="1"/>
  <c r="D55" i="490"/>
  <c r="G10" i="491" s="1"/>
  <c r="D56" i="490"/>
  <c r="G11" i="491" s="1"/>
  <c r="D51" i="490"/>
  <c r="G6" i="491" s="1"/>
  <c r="AU96" i="21"/>
  <c r="K51" i="490"/>
  <c r="N6" i="491" s="1"/>
  <c r="K52" i="490"/>
  <c r="N7" i="491" s="1"/>
  <c r="K53" i="490"/>
  <c r="N8" i="491" s="1"/>
  <c r="K54" i="490"/>
  <c r="N9" i="491" s="1"/>
  <c r="K55" i="490"/>
  <c r="N10" i="491" s="1"/>
  <c r="K56" i="490"/>
  <c r="N11" i="491" s="1"/>
  <c r="K50" i="490"/>
  <c r="N5" i="491" s="1"/>
  <c r="AT96" i="104"/>
  <c r="AV96" i="104" s="1"/>
  <c r="V51" i="490"/>
  <c r="Y6" i="491" s="1"/>
  <c r="V52" i="490"/>
  <c r="Y7" i="491" s="1"/>
  <c r="V53" i="490"/>
  <c r="Y8" i="491" s="1"/>
  <c r="V54" i="490"/>
  <c r="Y9" i="491" s="1"/>
  <c r="V55" i="490"/>
  <c r="Y10" i="491" s="1"/>
  <c r="V56" i="490"/>
  <c r="Y11" i="491" s="1"/>
  <c r="V50" i="490"/>
  <c r="Y5" i="491" s="1"/>
  <c r="V49" i="490"/>
  <c r="Y4" i="491" s="1"/>
  <c r="AU96" i="131"/>
  <c r="N51" i="490"/>
  <c r="Q6" i="491" s="1"/>
  <c r="N52" i="490"/>
  <c r="Q7" i="491" s="1"/>
  <c r="N53" i="490"/>
  <c r="Q8" i="491" s="1"/>
  <c r="N54" i="490"/>
  <c r="Q9" i="491" s="1"/>
  <c r="N55" i="490"/>
  <c r="Q10" i="491" s="1"/>
  <c r="N56" i="490"/>
  <c r="Q11" i="491" s="1"/>
  <c r="N50" i="490"/>
  <c r="Q5" i="491" s="1"/>
  <c r="AX96" i="29"/>
  <c r="H51" i="490"/>
  <c r="K6" i="491" s="1"/>
  <c r="H52" i="490"/>
  <c r="K7" i="491" s="1"/>
  <c r="H53" i="490"/>
  <c r="K8" i="491" s="1"/>
  <c r="H54" i="490"/>
  <c r="K9" i="491" s="1"/>
  <c r="H55" i="490"/>
  <c r="K10" i="491" s="1"/>
  <c r="H56" i="490"/>
  <c r="K11" i="491" s="1"/>
  <c r="H50" i="490"/>
  <c r="K5" i="491" s="1"/>
  <c r="P131" i="51"/>
  <c r="P132" i="51" s="1"/>
  <c r="P133" i="51" s="1"/>
  <c r="P134" i="51" s="1"/>
  <c r="P135" i="51" s="1"/>
  <c r="P136" i="51" s="1"/>
  <c r="P137" i="51" s="1"/>
  <c r="P138" i="51" s="1"/>
  <c r="P139" i="51" s="1"/>
  <c r="P140" i="51" s="1"/>
  <c r="P141" i="51" s="1"/>
  <c r="P142" i="51" s="1"/>
  <c r="P129" i="23"/>
  <c r="AY96" i="23"/>
  <c r="BB96" i="23"/>
  <c r="BA96" i="23" s="1"/>
  <c r="AW96" i="23"/>
  <c r="Y129" i="23" s="1"/>
  <c r="AZ96" i="18"/>
  <c r="BE96" i="18"/>
  <c r="P129" i="18"/>
  <c r="BB96" i="18"/>
  <c r="P129" i="63"/>
  <c r="P129" i="21"/>
  <c r="AY96" i="21"/>
  <c r="C96" i="323"/>
  <c r="B96" i="323" s="1"/>
  <c r="C96" i="314"/>
  <c r="B96" i="314" s="1"/>
  <c r="C96" i="101"/>
  <c r="B96" i="101" s="1"/>
  <c r="T56" i="135" s="1"/>
  <c r="C96" i="129"/>
  <c r="B96" i="129" s="1"/>
  <c r="L56" i="135" s="1"/>
  <c r="C96" i="18"/>
  <c r="B96" i="18" s="1"/>
  <c r="E56" i="135" s="1"/>
  <c r="C96" i="104"/>
  <c r="B96" i="104" s="1"/>
  <c r="X56" i="135" s="1"/>
  <c r="C96" i="27"/>
  <c r="B96" i="27" s="1"/>
  <c r="S56" i="135" s="1"/>
  <c r="C96" i="22"/>
  <c r="B96" i="22" s="1"/>
  <c r="M56" i="135" s="1"/>
  <c r="C96" i="16"/>
  <c r="B96" i="16" s="1"/>
  <c r="G56" i="135" s="1"/>
  <c r="C96" i="103"/>
  <c r="B96" i="103" s="1"/>
  <c r="W56" i="135" s="1"/>
  <c r="C96" i="26"/>
  <c r="B96" i="26" s="1"/>
  <c r="R56" i="135" s="1"/>
  <c r="C96" i="29"/>
  <c r="B96" i="29" s="1"/>
  <c r="H56" i="135" s="1"/>
  <c r="C96" i="3"/>
  <c r="B96" i="3" s="1"/>
  <c r="C56" i="135" s="1"/>
  <c r="C96" i="25"/>
  <c r="B96" i="25" s="1"/>
  <c r="Q56" i="135" s="1"/>
  <c r="C96" i="20"/>
  <c r="B96" i="20" s="1"/>
  <c r="J56" i="135" s="1"/>
  <c r="C96" i="51"/>
  <c r="B96" i="51" s="1"/>
  <c r="D56" i="135" s="1"/>
  <c r="C96" i="133"/>
  <c r="B96" i="133" s="1"/>
  <c r="V56" i="135" s="1"/>
  <c r="C96" i="131"/>
  <c r="B96" i="131" s="1"/>
  <c r="P56" i="135" s="1"/>
  <c r="C96" i="21"/>
  <c r="B96" i="21" s="1"/>
  <c r="K56" i="135" s="1"/>
  <c r="C96" i="63"/>
  <c r="B96" i="63" s="1"/>
  <c r="F56" i="135" s="1"/>
  <c r="K104" i="4"/>
  <c r="U56" i="135"/>
  <c r="C96" i="23"/>
  <c r="B96" i="23" s="1"/>
  <c r="N56" i="135" s="1"/>
  <c r="C96" i="19"/>
  <c r="B96" i="19" s="1"/>
  <c r="I56" i="135" s="1"/>
  <c r="AU104" i="4"/>
  <c r="AZ96" i="29"/>
  <c r="AT96" i="129"/>
  <c r="BC96" i="16"/>
  <c r="AY96" i="16"/>
  <c r="BA96" i="16"/>
  <c r="BG92" i="1"/>
  <c r="BG91" i="1"/>
  <c r="BJ95" i="1"/>
  <c r="BI95" i="1" s="1"/>
  <c r="BJ92" i="1"/>
  <c r="BI92" i="1" s="1"/>
  <c r="BA92" i="1"/>
  <c r="BA91" i="1"/>
  <c r="BJ94" i="1"/>
  <c r="BI94" i="1" s="1"/>
  <c r="BJ93" i="1"/>
  <c r="BI93" i="1" s="1"/>
  <c r="BJ91" i="1"/>
  <c r="BI91" i="1" s="1"/>
  <c r="BE96" i="1"/>
  <c r="BE94" i="1"/>
  <c r="BE95" i="1"/>
  <c r="BE92" i="1"/>
  <c r="BE93" i="1"/>
  <c r="BE91" i="1"/>
  <c r="AW95" i="1"/>
  <c r="AZ95" i="1" s="1"/>
  <c r="P53" i="193"/>
  <c r="P52" i="490" s="1"/>
  <c r="S7" i="491" s="1"/>
  <c r="AX96" i="129" l="1"/>
  <c r="P129" i="101"/>
  <c r="AC130" i="101"/>
  <c r="P129" i="27"/>
  <c r="AC130" i="27"/>
  <c r="BF96" i="129"/>
  <c r="Y129" i="129"/>
  <c r="U129" i="129"/>
  <c r="AY96" i="63"/>
  <c r="AT96" i="22"/>
  <c r="U124" i="1"/>
  <c r="BP91" i="1"/>
  <c r="U126" i="1"/>
  <c r="BP93" i="1"/>
  <c r="U125" i="1"/>
  <c r="Y125" i="1" s="1"/>
  <c r="BP92" i="1"/>
  <c r="U128" i="1"/>
  <c r="BP95" i="1"/>
  <c r="U127" i="1"/>
  <c r="BP94" i="1"/>
  <c r="U129" i="1"/>
  <c r="Y129" i="1" s="1"/>
  <c r="BP96" i="1"/>
  <c r="Y129" i="18"/>
  <c r="BN96" i="18"/>
  <c r="Y129" i="63"/>
  <c r="BK96" i="63"/>
  <c r="Y129" i="29"/>
  <c r="BJ96" i="29"/>
  <c r="BJ96" i="23"/>
  <c r="AV96" i="27"/>
  <c r="BG96" i="27" s="1"/>
  <c r="AX96" i="27"/>
  <c r="AY96" i="27" s="1"/>
  <c r="P129" i="103"/>
  <c r="BM96" i="103"/>
  <c r="Y129" i="104"/>
  <c r="BI96" i="104"/>
  <c r="U57" i="542"/>
  <c r="B57" i="542" s="1"/>
  <c r="AH142" i="4"/>
  <c r="BL104" i="4"/>
  <c r="BN104" i="4"/>
  <c r="X104" i="4"/>
  <c r="B129" i="1"/>
  <c r="BC96" i="18"/>
  <c r="BD96" i="103"/>
  <c r="BC96" i="103" s="1"/>
  <c r="BA96" i="103"/>
  <c r="AY96" i="103"/>
  <c r="AC128" i="104"/>
  <c r="AD128" i="104" s="1"/>
  <c r="AE128" i="104" s="1"/>
  <c r="AF128" i="104" s="1"/>
  <c r="AC123" i="104"/>
  <c r="AD123" i="104" s="1"/>
  <c r="AE123" i="104" s="1"/>
  <c r="AF123" i="104" s="1"/>
  <c r="AC126" i="104"/>
  <c r="AD126" i="104" s="1"/>
  <c r="AE126" i="104" s="1"/>
  <c r="AF126" i="104" s="1"/>
  <c r="AC125" i="104"/>
  <c r="AD125" i="104" s="1"/>
  <c r="AE125" i="104" s="1"/>
  <c r="AF125" i="104" s="1"/>
  <c r="AC124" i="104"/>
  <c r="AD124" i="104" s="1"/>
  <c r="AE124" i="104" s="1"/>
  <c r="AF124" i="104" s="1"/>
  <c r="AC127" i="104"/>
  <c r="AD127" i="104" s="1"/>
  <c r="AE127" i="104" s="1"/>
  <c r="AF127" i="104" s="1"/>
  <c r="AC125" i="103"/>
  <c r="AD125" i="103" s="1"/>
  <c r="AE125" i="103" s="1"/>
  <c r="AF125" i="103" s="1"/>
  <c r="AC128" i="103"/>
  <c r="AD128" i="103" s="1"/>
  <c r="AE128" i="103" s="1"/>
  <c r="AF128" i="103" s="1"/>
  <c r="AC127" i="103"/>
  <c r="AD127" i="103" s="1"/>
  <c r="AE127" i="103" s="1"/>
  <c r="AF127" i="103" s="1"/>
  <c r="AC123" i="103"/>
  <c r="AD123" i="103" s="1"/>
  <c r="AE123" i="103" s="1"/>
  <c r="AF123" i="103" s="1"/>
  <c r="AC126" i="103"/>
  <c r="AD126" i="103" s="1"/>
  <c r="AE126" i="103" s="1"/>
  <c r="AF126" i="103" s="1"/>
  <c r="AC124" i="103"/>
  <c r="AD124" i="103" s="1"/>
  <c r="AE124" i="103" s="1"/>
  <c r="AF124" i="103" s="1"/>
  <c r="AW96" i="133"/>
  <c r="BK96" i="133" s="1"/>
  <c r="P129" i="133"/>
  <c r="AC126" i="133"/>
  <c r="AD126" i="133" s="1"/>
  <c r="AE126" i="133" s="1"/>
  <c r="AF126" i="133" s="1"/>
  <c r="AC127" i="133"/>
  <c r="AD127" i="133" s="1"/>
  <c r="AE127" i="133" s="1"/>
  <c r="AF127" i="133" s="1"/>
  <c r="AC125" i="133"/>
  <c r="AD125" i="133" s="1"/>
  <c r="AE125" i="133" s="1"/>
  <c r="AF125" i="133" s="1"/>
  <c r="AC123" i="133"/>
  <c r="AD123" i="133" s="1"/>
  <c r="AE123" i="133" s="1"/>
  <c r="AF123" i="133" s="1"/>
  <c r="AC128" i="133"/>
  <c r="AD128" i="133" s="1"/>
  <c r="AE128" i="133" s="1"/>
  <c r="AF128" i="133" s="1"/>
  <c r="AC124" i="133"/>
  <c r="AD124" i="133" s="1"/>
  <c r="AE124" i="133" s="1"/>
  <c r="AF124" i="133" s="1"/>
  <c r="BB96" i="133"/>
  <c r="AC126" i="102"/>
  <c r="AD126" i="102" s="1"/>
  <c r="AE126" i="102" s="1"/>
  <c r="AF126" i="102" s="1"/>
  <c r="AC127" i="102"/>
  <c r="AD127" i="102" s="1"/>
  <c r="AE127" i="102" s="1"/>
  <c r="AF127" i="102" s="1"/>
  <c r="AC125" i="102"/>
  <c r="AD125" i="102" s="1"/>
  <c r="AE125" i="102" s="1"/>
  <c r="AF125" i="102" s="1"/>
  <c r="AC128" i="102"/>
  <c r="AD128" i="102" s="1"/>
  <c r="AE128" i="102" s="1"/>
  <c r="AF128" i="102" s="1"/>
  <c r="AC124" i="102"/>
  <c r="AD124" i="102" s="1"/>
  <c r="AE124" i="102" s="1"/>
  <c r="AF124" i="102" s="1"/>
  <c r="BA96" i="102"/>
  <c r="AZ96" i="102" s="1"/>
  <c r="AX96" i="102"/>
  <c r="AV96" i="102"/>
  <c r="BF96" i="102" s="1"/>
  <c r="P129" i="102"/>
  <c r="BF96" i="101"/>
  <c r="AC126" i="101"/>
  <c r="AD126" i="101" s="1"/>
  <c r="AE126" i="101" s="1"/>
  <c r="AF126" i="101" s="1"/>
  <c r="AC124" i="101"/>
  <c r="AD124" i="101" s="1"/>
  <c r="AE124" i="101" s="1"/>
  <c r="AF124" i="101" s="1"/>
  <c r="AC123" i="101"/>
  <c r="AD123" i="101" s="1"/>
  <c r="AE123" i="101" s="1"/>
  <c r="AF123" i="101" s="1"/>
  <c r="AC128" i="101"/>
  <c r="AD128" i="101" s="1"/>
  <c r="AE128" i="101" s="1"/>
  <c r="AF128" i="101" s="1"/>
  <c r="AC127" i="101"/>
  <c r="AD127" i="101" s="1"/>
  <c r="AE127" i="101" s="1"/>
  <c r="AF127" i="101" s="1"/>
  <c r="AC125" i="101"/>
  <c r="AD125" i="101" s="1"/>
  <c r="AE125" i="101" s="1"/>
  <c r="AF125" i="101" s="1"/>
  <c r="BI96" i="101"/>
  <c r="BH96" i="101" s="1"/>
  <c r="BD96" i="101"/>
  <c r="BP96" i="101" s="1"/>
  <c r="Y129" i="27"/>
  <c r="U129" i="27"/>
  <c r="AC125" i="26"/>
  <c r="AD125" i="26" s="1"/>
  <c r="AE125" i="26" s="1"/>
  <c r="AF125" i="26" s="1"/>
  <c r="AC124" i="26"/>
  <c r="AD124" i="26" s="1"/>
  <c r="AE124" i="26" s="1"/>
  <c r="AF124" i="26" s="1"/>
  <c r="AC126" i="26"/>
  <c r="AD126" i="26" s="1"/>
  <c r="AE126" i="26" s="1"/>
  <c r="AF126" i="26" s="1"/>
  <c r="AC128" i="26"/>
  <c r="AD128" i="26" s="1"/>
  <c r="AE128" i="26" s="1"/>
  <c r="AF128" i="26" s="1"/>
  <c r="AC127" i="26"/>
  <c r="AD127" i="26" s="1"/>
  <c r="AE127" i="26" s="1"/>
  <c r="AF127" i="26" s="1"/>
  <c r="AC123" i="26"/>
  <c r="AD123" i="26" s="1"/>
  <c r="AE123" i="26" s="1"/>
  <c r="AF123" i="26" s="1"/>
  <c r="BA96" i="25"/>
  <c r="AZ96" i="25" s="1"/>
  <c r="AC125" i="25"/>
  <c r="AD125" i="25" s="1"/>
  <c r="AE125" i="25" s="1"/>
  <c r="AF125" i="25" s="1"/>
  <c r="AC127" i="25"/>
  <c r="AD127" i="25" s="1"/>
  <c r="AE127" i="25" s="1"/>
  <c r="AF127" i="25" s="1"/>
  <c r="AC124" i="25"/>
  <c r="AD124" i="25" s="1"/>
  <c r="AE124" i="25" s="1"/>
  <c r="AF124" i="25" s="1"/>
  <c r="AC123" i="25"/>
  <c r="AD123" i="25" s="1"/>
  <c r="AE123" i="25" s="1"/>
  <c r="AF123" i="25" s="1"/>
  <c r="AC128" i="25"/>
  <c r="AD128" i="25" s="1"/>
  <c r="AE128" i="25" s="1"/>
  <c r="AF128" i="25" s="1"/>
  <c r="AC126" i="25"/>
  <c r="AD126" i="25" s="1"/>
  <c r="AE126" i="25" s="1"/>
  <c r="AF126" i="25" s="1"/>
  <c r="AV96" i="25"/>
  <c r="P129" i="131"/>
  <c r="AC125" i="131"/>
  <c r="AD125" i="131" s="1"/>
  <c r="AE125" i="131" s="1"/>
  <c r="AF125" i="131" s="1"/>
  <c r="AC126" i="131"/>
  <c r="AD126" i="131" s="1"/>
  <c r="AE126" i="131" s="1"/>
  <c r="AF126" i="131" s="1"/>
  <c r="AC123" i="131"/>
  <c r="AD123" i="131" s="1"/>
  <c r="AE123" i="131" s="1"/>
  <c r="AF123" i="131" s="1"/>
  <c r="AC127" i="131"/>
  <c r="AD127" i="131" s="1"/>
  <c r="AE127" i="131" s="1"/>
  <c r="AF127" i="131" s="1"/>
  <c r="AC124" i="131"/>
  <c r="AD124" i="131" s="1"/>
  <c r="AE124" i="131" s="1"/>
  <c r="AF124" i="131" s="1"/>
  <c r="AC128" i="131"/>
  <c r="AD128" i="131" s="1"/>
  <c r="AE128" i="131" s="1"/>
  <c r="AF128" i="131" s="1"/>
  <c r="AC128" i="23"/>
  <c r="AD128" i="23" s="1"/>
  <c r="AE128" i="23" s="1"/>
  <c r="AF128" i="23" s="1"/>
  <c r="AC126" i="23"/>
  <c r="AD126" i="23" s="1"/>
  <c r="AE126" i="23" s="1"/>
  <c r="AF126" i="23" s="1"/>
  <c r="AC127" i="23"/>
  <c r="AD127" i="23" s="1"/>
  <c r="AE127" i="23" s="1"/>
  <c r="AF127" i="23" s="1"/>
  <c r="AC125" i="23"/>
  <c r="AD125" i="23" s="1"/>
  <c r="AE125" i="23" s="1"/>
  <c r="AF125" i="23" s="1"/>
  <c r="AC123" i="23"/>
  <c r="AD123" i="23" s="1"/>
  <c r="AE123" i="23" s="1"/>
  <c r="AF123" i="23" s="1"/>
  <c r="AC124" i="23"/>
  <c r="AD124" i="23" s="1"/>
  <c r="AE124" i="23" s="1"/>
  <c r="AF124" i="23" s="1"/>
  <c r="BB96" i="21"/>
  <c r="BA96" i="21" s="1"/>
  <c r="AX96" i="21" s="1"/>
  <c r="BH96" i="21" s="1"/>
  <c r="AC128" i="21"/>
  <c r="AD128" i="21" s="1"/>
  <c r="AE128" i="21" s="1"/>
  <c r="AF128" i="21" s="1"/>
  <c r="AC126" i="21"/>
  <c r="AD126" i="21" s="1"/>
  <c r="AE126" i="21" s="1"/>
  <c r="AF126" i="21" s="1"/>
  <c r="AC124" i="21"/>
  <c r="AD124" i="21" s="1"/>
  <c r="AE124" i="21" s="1"/>
  <c r="AF124" i="21" s="1"/>
  <c r="AC123" i="21"/>
  <c r="AD123" i="21" s="1"/>
  <c r="AE123" i="21" s="1"/>
  <c r="AF123" i="21" s="1"/>
  <c r="AC127" i="21"/>
  <c r="AD127" i="21" s="1"/>
  <c r="AE127" i="21" s="1"/>
  <c r="AF127" i="21" s="1"/>
  <c r="AC125" i="21"/>
  <c r="AD125" i="21" s="1"/>
  <c r="AE125" i="21" s="1"/>
  <c r="AF125" i="21" s="1"/>
  <c r="P129" i="20"/>
  <c r="AC128" i="20"/>
  <c r="AD128" i="20" s="1"/>
  <c r="AE128" i="20" s="1"/>
  <c r="AF128" i="20" s="1"/>
  <c r="AC127" i="20"/>
  <c r="AD127" i="20" s="1"/>
  <c r="AE127" i="20" s="1"/>
  <c r="AF127" i="20" s="1"/>
  <c r="AC123" i="20"/>
  <c r="AD123" i="20" s="1"/>
  <c r="AE123" i="20" s="1"/>
  <c r="AF123" i="20" s="1"/>
  <c r="AC124" i="20"/>
  <c r="AD124" i="20" s="1"/>
  <c r="AE124" i="20" s="1"/>
  <c r="AF124" i="20" s="1"/>
  <c r="AC125" i="20"/>
  <c r="AD125" i="20" s="1"/>
  <c r="AE125" i="20" s="1"/>
  <c r="AF125" i="20" s="1"/>
  <c r="AC126" i="20"/>
  <c r="AD126" i="20" s="1"/>
  <c r="AE126" i="20" s="1"/>
  <c r="AF126" i="20" s="1"/>
  <c r="AC124" i="19"/>
  <c r="AD124" i="19" s="1"/>
  <c r="AE124" i="19" s="1"/>
  <c r="AF124" i="19" s="1"/>
  <c r="AC126" i="19"/>
  <c r="AD126" i="19" s="1"/>
  <c r="AE126" i="19" s="1"/>
  <c r="AF126" i="19" s="1"/>
  <c r="AC128" i="19"/>
  <c r="AD128" i="19" s="1"/>
  <c r="AE128" i="19" s="1"/>
  <c r="AF128" i="19" s="1"/>
  <c r="AC123" i="19"/>
  <c r="AD123" i="19" s="1"/>
  <c r="AE123" i="19" s="1"/>
  <c r="AF123" i="19" s="1"/>
  <c r="AC127" i="19"/>
  <c r="AD127" i="19" s="1"/>
  <c r="AE127" i="19" s="1"/>
  <c r="AF127" i="19" s="1"/>
  <c r="AC125" i="19"/>
  <c r="AD125" i="19" s="1"/>
  <c r="AE125" i="19" s="1"/>
  <c r="AF125" i="19" s="1"/>
  <c r="AW96" i="19"/>
  <c r="U129" i="19" s="1"/>
  <c r="AC129" i="19" s="1"/>
  <c r="AD129" i="19" s="1"/>
  <c r="AE129" i="19" s="1"/>
  <c r="AF129" i="19" s="1"/>
  <c r="BB96" i="19"/>
  <c r="P129" i="19"/>
  <c r="AY96" i="19"/>
  <c r="P129" i="29"/>
  <c r="AC126" i="29"/>
  <c r="AD126" i="29" s="1"/>
  <c r="AE126" i="29" s="1"/>
  <c r="AF126" i="29" s="1"/>
  <c r="AC127" i="29"/>
  <c r="AD127" i="29" s="1"/>
  <c r="AE127" i="29" s="1"/>
  <c r="AF127" i="29" s="1"/>
  <c r="AC128" i="29"/>
  <c r="AD128" i="29" s="1"/>
  <c r="AE128" i="29" s="1"/>
  <c r="AF128" i="29" s="1"/>
  <c r="AC124" i="29"/>
  <c r="AD124" i="29" s="1"/>
  <c r="AE124" i="29" s="1"/>
  <c r="AF124" i="29" s="1"/>
  <c r="AC123" i="29"/>
  <c r="AD123" i="29" s="1"/>
  <c r="AE123" i="29" s="1"/>
  <c r="AF123" i="29" s="1"/>
  <c r="AC125" i="29"/>
  <c r="AD125" i="29" s="1"/>
  <c r="AE125" i="29" s="1"/>
  <c r="AF125" i="29" s="1"/>
  <c r="BA96" i="63"/>
  <c r="AZ96" i="63" s="1"/>
  <c r="BL96" i="63" s="1"/>
  <c r="AC125" i="63"/>
  <c r="AD125" i="63" s="1"/>
  <c r="AE125" i="63" s="1"/>
  <c r="AF125" i="63" s="1"/>
  <c r="AC128" i="63"/>
  <c r="AD128" i="63" s="1"/>
  <c r="AE128" i="63" s="1"/>
  <c r="AF128" i="63" s="1"/>
  <c r="AC127" i="63"/>
  <c r="AD127" i="63" s="1"/>
  <c r="AE127" i="63" s="1"/>
  <c r="AF127" i="63" s="1"/>
  <c r="AC123" i="63"/>
  <c r="AD123" i="63" s="1"/>
  <c r="AE123" i="63" s="1"/>
  <c r="AF123" i="63" s="1"/>
  <c r="AC124" i="63"/>
  <c r="AD124" i="63" s="1"/>
  <c r="AE124" i="63" s="1"/>
  <c r="AF124" i="63" s="1"/>
  <c r="AC126" i="63"/>
  <c r="AD126" i="63" s="1"/>
  <c r="AE126" i="63" s="1"/>
  <c r="AF126" i="63" s="1"/>
  <c r="AC123" i="18"/>
  <c r="AC128" i="18"/>
  <c r="AC124" i="18"/>
  <c r="AC127" i="18"/>
  <c r="AC126" i="18"/>
  <c r="AC125" i="18"/>
  <c r="BB96" i="3"/>
  <c r="BA96" i="3" s="1"/>
  <c r="P131" i="3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BA94" i="1"/>
  <c r="BG93" i="1"/>
  <c r="Y127" i="1"/>
  <c r="AD127" i="1"/>
  <c r="AE127" i="1" s="1"/>
  <c r="AF127" i="1" s="1"/>
  <c r="AG127" i="1" s="1"/>
  <c r="AD129" i="1"/>
  <c r="AE129" i="1" s="1"/>
  <c r="AF129" i="1" s="1"/>
  <c r="AG129" i="1" s="1"/>
  <c r="Y128" i="1"/>
  <c r="AD128" i="1"/>
  <c r="AE128" i="1" s="1"/>
  <c r="AF128" i="1" s="1"/>
  <c r="AG128" i="1" s="1"/>
  <c r="Y124" i="1"/>
  <c r="AD124" i="1"/>
  <c r="AE124" i="1" s="1"/>
  <c r="AF124" i="1" s="1"/>
  <c r="AG124" i="1" s="1"/>
  <c r="Y126" i="1"/>
  <c r="AD126" i="1"/>
  <c r="AE126" i="1" s="1"/>
  <c r="AF126" i="1" s="1"/>
  <c r="AG126" i="1" s="1"/>
  <c r="AD125" i="1"/>
  <c r="AE125" i="1" s="1"/>
  <c r="AF125" i="1" s="1"/>
  <c r="AG125" i="1" s="1"/>
  <c r="BA96" i="27"/>
  <c r="AZ96" i="27" s="1"/>
  <c r="AW96" i="27" s="1"/>
  <c r="BH96" i="27" s="1"/>
  <c r="AX96" i="25"/>
  <c r="P129" i="25"/>
  <c r="BB96" i="29"/>
  <c r="BE96" i="29"/>
  <c r="BD96" i="29" s="1"/>
  <c r="P128" i="1"/>
  <c r="AF97" i="1"/>
  <c r="P130" i="1" s="1"/>
  <c r="AX96" i="23"/>
  <c r="BK96" i="23" s="1"/>
  <c r="BB96" i="131"/>
  <c r="BA96" i="131" s="1"/>
  <c r="P129" i="104"/>
  <c r="BB96" i="20"/>
  <c r="BA96" i="20" s="1"/>
  <c r="AX96" i="104"/>
  <c r="AY96" i="104" s="1"/>
  <c r="BA96" i="104"/>
  <c r="AZ96" i="104" s="1"/>
  <c r="BA96" i="26"/>
  <c r="AZ96" i="26" s="1"/>
  <c r="AV96" i="26"/>
  <c r="P129" i="26"/>
  <c r="P131" i="26" s="1"/>
  <c r="AX96" i="26"/>
  <c r="AW96" i="20"/>
  <c r="BJ96" i="20" s="1"/>
  <c r="AW96" i="131"/>
  <c r="AY96" i="131"/>
  <c r="AY96" i="20"/>
  <c r="BB96" i="16"/>
  <c r="AW96" i="21"/>
  <c r="AW104" i="4"/>
  <c r="B129" i="102"/>
  <c r="B129" i="3"/>
  <c r="B129" i="103"/>
  <c r="G129" i="103" s="1"/>
  <c r="K129" i="103" s="1"/>
  <c r="B129" i="19"/>
  <c r="B129" i="133"/>
  <c r="B129" i="25"/>
  <c r="G129" i="25" s="1"/>
  <c r="B129" i="51"/>
  <c r="B129" i="26"/>
  <c r="P142" i="4"/>
  <c r="B129" i="104"/>
  <c r="B129" i="23"/>
  <c r="B129" i="27"/>
  <c r="B129" i="20"/>
  <c r="B129" i="29"/>
  <c r="B129" i="21"/>
  <c r="B129" i="323"/>
  <c r="G129" i="323" s="1"/>
  <c r="BB104" i="4"/>
  <c r="B129" i="18"/>
  <c r="B129" i="63"/>
  <c r="B129" i="101"/>
  <c r="B129" i="131"/>
  <c r="B129" i="314"/>
  <c r="U129" i="101"/>
  <c r="Y129" i="101" s="1"/>
  <c r="BG96" i="101"/>
  <c r="AZ96" i="133"/>
  <c r="U129" i="104"/>
  <c r="AC129" i="104" s="1"/>
  <c r="AD129" i="104" s="1"/>
  <c r="AE129" i="104" s="1"/>
  <c r="AF129" i="104" s="1"/>
  <c r="K105" i="4"/>
  <c r="J105" i="4" s="1"/>
  <c r="AU105" i="4"/>
  <c r="U129" i="63"/>
  <c r="AC129" i="63" s="1"/>
  <c r="AD129" i="63" s="1"/>
  <c r="AE129" i="63" s="1"/>
  <c r="AF129" i="63" s="1"/>
  <c r="U129" i="29"/>
  <c r="AC129" i="29" s="1"/>
  <c r="AD129" i="29" s="1"/>
  <c r="AE129" i="29" s="1"/>
  <c r="AF129" i="29" s="1"/>
  <c r="J96" i="18"/>
  <c r="BA96" i="18"/>
  <c r="BO96" i="18" s="1"/>
  <c r="U129" i="25"/>
  <c r="AC129" i="25" s="1"/>
  <c r="AD129" i="25" s="1"/>
  <c r="AE129" i="25" s="1"/>
  <c r="AF129" i="25" s="1"/>
  <c r="U129" i="18"/>
  <c r="AC129" i="18" s="1"/>
  <c r="AZ96" i="16"/>
  <c r="J104" i="4"/>
  <c r="Z56" i="135" s="1"/>
  <c r="AA56" i="135" s="1"/>
  <c r="AB56" i="135" s="1"/>
  <c r="CD96" i="63"/>
  <c r="J96" i="63" s="1"/>
  <c r="U129" i="23"/>
  <c r="AC129" i="23" s="1"/>
  <c r="AD129" i="23" s="1"/>
  <c r="AE129" i="23" s="1"/>
  <c r="AF129" i="23" s="1"/>
  <c r="AZ96" i="23"/>
  <c r="BH92" i="1"/>
  <c r="BH91" i="1"/>
  <c r="BH94" i="1"/>
  <c r="AI95" i="1"/>
  <c r="W51" i="490"/>
  <c r="Z6" i="491" s="1"/>
  <c r="W52" i="490"/>
  <c r="Z7" i="491" s="1"/>
  <c r="W53" i="490"/>
  <c r="Z8" i="491" s="1"/>
  <c r="W54" i="490"/>
  <c r="Z9" i="491" s="1"/>
  <c r="W56" i="490"/>
  <c r="Z11" i="491" s="1"/>
  <c r="W50" i="490"/>
  <c r="Z5" i="491" s="1"/>
  <c r="AU106" i="4" l="1"/>
  <c r="BG135" i="4"/>
  <c r="BH160" i="4"/>
  <c r="BH164" i="4"/>
  <c r="BJ147" i="4"/>
  <c r="BH152" i="4"/>
  <c r="BI144" i="4"/>
  <c r="BI163" i="4"/>
  <c r="BJ154" i="4"/>
  <c r="BJ157" i="4"/>
  <c r="BJ152" i="4"/>
  <c r="BJ149" i="4"/>
  <c r="BJ165" i="4"/>
  <c r="BI161" i="4"/>
  <c r="BI147" i="4"/>
  <c r="BJ164" i="4"/>
  <c r="BJ162" i="4"/>
  <c r="BJ158" i="4"/>
  <c r="BH163" i="4"/>
  <c r="BJ161" i="4"/>
  <c r="BH147" i="4"/>
  <c r="BI159" i="4"/>
  <c r="BI145" i="4"/>
  <c r="BH158" i="4"/>
  <c r="BJ148" i="4"/>
  <c r="BH162" i="4"/>
  <c r="BI154" i="4"/>
  <c r="BH155" i="4"/>
  <c r="BI162" i="4"/>
  <c r="BH149" i="4"/>
  <c r="BI158" i="4"/>
  <c r="BJ156" i="4"/>
  <c r="BI152" i="4"/>
  <c r="BH151" i="4"/>
  <c r="BJ153" i="4"/>
  <c r="BI160" i="4"/>
  <c r="BH165" i="4"/>
  <c r="BJ145" i="4"/>
  <c r="BJ160" i="4"/>
  <c r="BH161" i="4"/>
  <c r="BJ155" i="4"/>
  <c r="BH150" i="4"/>
  <c r="BJ163" i="4"/>
  <c r="BH156" i="4"/>
  <c r="BI150" i="4"/>
  <c r="BJ150" i="4"/>
  <c r="BI156" i="4"/>
  <c r="BI157" i="4"/>
  <c r="BH146" i="4"/>
  <c r="BI165" i="4"/>
  <c r="BH153" i="4"/>
  <c r="BI149" i="4"/>
  <c r="BH148" i="4"/>
  <c r="BH145" i="4"/>
  <c r="BH154" i="4"/>
  <c r="BI164" i="4"/>
  <c r="BI148" i="4"/>
  <c r="BJ159" i="4"/>
  <c r="BI146" i="4"/>
  <c r="BJ146" i="4"/>
  <c r="BI153" i="4"/>
  <c r="BI151" i="4"/>
  <c r="BH157" i="4"/>
  <c r="BJ151" i="4"/>
  <c r="BI155" i="4"/>
  <c r="BH159" i="4"/>
  <c r="BH138" i="4"/>
  <c r="BG136" i="4"/>
  <c r="BG137" i="4"/>
  <c r="BG138" i="4"/>
  <c r="BI139" i="4"/>
  <c r="BI140" i="4"/>
  <c r="BH136" i="4"/>
  <c r="BH141" i="4"/>
  <c r="BI137" i="4"/>
  <c r="BI138" i="4"/>
  <c r="BH139" i="4"/>
  <c r="BH137" i="4"/>
  <c r="BH140" i="4"/>
  <c r="BJ137" i="4"/>
  <c r="BJ140" i="4"/>
  <c r="BI141" i="4"/>
  <c r="BG141" i="4"/>
  <c r="BJ141" i="4"/>
  <c r="BI136" i="4"/>
  <c r="BJ138" i="4"/>
  <c r="BJ136" i="4"/>
  <c r="BG140" i="4"/>
  <c r="BG139" i="4"/>
  <c r="BJ139" i="4"/>
  <c r="BB96" i="103"/>
  <c r="BF96" i="22"/>
  <c r="U129" i="22"/>
  <c r="AZ96" i="19"/>
  <c r="G129" i="63"/>
  <c r="K129" i="63" s="1"/>
  <c r="Q129" i="63" s="1"/>
  <c r="G129" i="23"/>
  <c r="K129" i="23" s="1"/>
  <c r="Q129" i="23" s="1"/>
  <c r="G129" i="3"/>
  <c r="K129" i="3" s="1"/>
  <c r="Q129" i="3" s="1"/>
  <c r="G129" i="102"/>
  <c r="K129" i="102" s="1"/>
  <c r="Q129" i="102" s="1"/>
  <c r="G129" i="104"/>
  <c r="K129" i="104" s="1"/>
  <c r="Q129" i="104" s="1"/>
  <c r="G129" i="26"/>
  <c r="K129" i="26" s="1"/>
  <c r="Q129" i="26" s="1"/>
  <c r="G129" i="21"/>
  <c r="K129" i="21" s="1"/>
  <c r="Q129" i="21" s="1"/>
  <c r="G129" i="51"/>
  <c r="K129" i="51" s="1"/>
  <c r="Q129" i="51" s="1"/>
  <c r="G129" i="314"/>
  <c r="K129" i="314" s="1"/>
  <c r="Q129" i="314" s="1"/>
  <c r="G129" i="29"/>
  <c r="K129" i="29" s="1"/>
  <c r="Q129" i="29" s="1"/>
  <c r="G129" i="18"/>
  <c r="K129" i="18" s="1"/>
  <c r="Q129" i="18" s="1"/>
  <c r="G129" i="131"/>
  <c r="K129" i="131" s="1"/>
  <c r="Q129" i="131" s="1"/>
  <c r="G129" i="20"/>
  <c r="K129" i="20" s="1"/>
  <c r="Q129" i="20" s="1"/>
  <c r="G129" i="133"/>
  <c r="K129" i="133" s="1"/>
  <c r="Q129" i="133" s="1"/>
  <c r="G129" i="101"/>
  <c r="K129" i="101" s="1"/>
  <c r="Q129" i="101" s="1"/>
  <c r="G129" i="27"/>
  <c r="K129" i="27" s="1"/>
  <c r="Q129" i="27" s="1"/>
  <c r="AC129" i="27" s="1"/>
  <c r="AD129" i="27" s="1"/>
  <c r="AE129" i="27" s="1"/>
  <c r="AF129" i="27" s="1"/>
  <c r="G129" i="19"/>
  <c r="K129" i="19" s="1"/>
  <c r="Q129" i="19" s="1"/>
  <c r="U58" i="542"/>
  <c r="AE30" i="542" s="1"/>
  <c r="AZ96" i="103"/>
  <c r="BP96" i="103" s="1"/>
  <c r="Q129" i="103" s="1"/>
  <c r="Y129" i="19"/>
  <c r="BG96" i="19"/>
  <c r="Y129" i="21"/>
  <c r="BG96" i="21"/>
  <c r="Y129" i="131"/>
  <c r="BI96" i="131"/>
  <c r="Y129" i="25"/>
  <c r="BG96" i="25"/>
  <c r="Y129" i="26"/>
  <c r="BG96" i="26"/>
  <c r="U129" i="26"/>
  <c r="AC129" i="26" s="1"/>
  <c r="AD129" i="26" s="1"/>
  <c r="AE129" i="26" s="1"/>
  <c r="AF129" i="26" s="1"/>
  <c r="BE96" i="101"/>
  <c r="BQ96" i="101" s="1"/>
  <c r="U129" i="103"/>
  <c r="AC129" i="103" s="1"/>
  <c r="AD129" i="103" s="1"/>
  <c r="AE129" i="103" s="1"/>
  <c r="AF129" i="103" s="1"/>
  <c r="BO96" i="103"/>
  <c r="AE54" i="542"/>
  <c r="AG76" i="542"/>
  <c r="AE68" i="542"/>
  <c r="AG77" i="542"/>
  <c r="AE22" i="542"/>
  <c r="AG79" i="542"/>
  <c r="AG65" i="542"/>
  <c r="AG66" i="542"/>
  <c r="AF62" i="542"/>
  <c r="AE27" i="542"/>
  <c r="AE58" i="542"/>
  <c r="AE26" i="542"/>
  <c r="AE36" i="542"/>
  <c r="AE46" i="542"/>
  <c r="AD12" i="542"/>
  <c r="AD11" i="542"/>
  <c r="AD24" i="542"/>
  <c r="AD25" i="542"/>
  <c r="AD45" i="542"/>
  <c r="AD40" i="542"/>
  <c r="AD55" i="542"/>
  <c r="BZ104" i="4"/>
  <c r="X57" i="542"/>
  <c r="AK142" i="4" s="1"/>
  <c r="AW96" i="25"/>
  <c r="BH96" i="25" s="1"/>
  <c r="BS104" i="4"/>
  <c r="BR104" i="4" s="1"/>
  <c r="BL105" i="4"/>
  <c r="BP105" i="4"/>
  <c r="BA96" i="133"/>
  <c r="AX96" i="133" s="1"/>
  <c r="BL96" i="133" s="1"/>
  <c r="BA96" i="29"/>
  <c r="BK96" i="29" s="1"/>
  <c r="AY96" i="102"/>
  <c r="AX96" i="131"/>
  <c r="BJ96" i="131" s="1"/>
  <c r="BC96" i="29"/>
  <c r="Y129" i="103"/>
  <c r="AY96" i="25"/>
  <c r="BB96" i="63"/>
  <c r="BH93" i="1"/>
  <c r="AW96" i="104"/>
  <c r="BJ96" i="104" s="1"/>
  <c r="Y129" i="133"/>
  <c r="U129" i="133"/>
  <c r="AC129" i="133" s="1"/>
  <c r="AD129" i="133" s="1"/>
  <c r="AE129" i="133" s="1"/>
  <c r="AF129" i="133" s="1"/>
  <c r="AW96" i="102"/>
  <c r="BG96" i="102" s="1"/>
  <c r="Y129" i="102"/>
  <c r="U129" i="102"/>
  <c r="AC129" i="102" s="1"/>
  <c r="AD129" i="102" s="1"/>
  <c r="AE129" i="102" s="1"/>
  <c r="AF129" i="102" s="1"/>
  <c r="AC129" i="101"/>
  <c r="AD129" i="101" s="1"/>
  <c r="AE129" i="101" s="1"/>
  <c r="AF129" i="101" s="1"/>
  <c r="U129" i="131"/>
  <c r="AC129" i="131" s="1"/>
  <c r="AD129" i="131" s="1"/>
  <c r="AE129" i="131" s="1"/>
  <c r="AF129" i="131" s="1"/>
  <c r="AZ96" i="131"/>
  <c r="AW96" i="1"/>
  <c r="AZ96" i="1" s="1"/>
  <c r="C142" i="4"/>
  <c r="BI142" i="4" s="1"/>
  <c r="D142" i="4"/>
  <c r="BH142" i="4" s="1"/>
  <c r="E142" i="4"/>
  <c r="BJ142" i="4" s="1"/>
  <c r="B142" i="4"/>
  <c r="Y142" i="4"/>
  <c r="AW96" i="26"/>
  <c r="BH96" i="26" s="1"/>
  <c r="AZ96" i="20"/>
  <c r="Y129" i="20"/>
  <c r="K129" i="323"/>
  <c r="Q129" i="323" s="1"/>
  <c r="Y96" i="323" s="1"/>
  <c r="AX96" i="20"/>
  <c r="BK96" i="20" s="1"/>
  <c r="U129" i="20"/>
  <c r="AC129" i="20" s="1"/>
  <c r="AD129" i="20" s="1"/>
  <c r="AE129" i="20" s="1"/>
  <c r="AF129" i="20" s="1"/>
  <c r="AY96" i="26"/>
  <c r="U129" i="21"/>
  <c r="AC129" i="21" s="1"/>
  <c r="AD129" i="21" s="1"/>
  <c r="AE129" i="21" s="1"/>
  <c r="AF129" i="21" s="1"/>
  <c r="AZ96" i="21"/>
  <c r="BA104" i="4"/>
  <c r="AW105" i="4"/>
  <c r="AY105" i="4"/>
  <c r="P143" i="4"/>
  <c r="AI96" i="1"/>
  <c r="P129" i="1"/>
  <c r="BG95" i="1"/>
  <c r="BA95" i="1"/>
  <c r="AI51" i="193"/>
  <c r="AD21" i="542" l="1"/>
  <c r="AD33" i="542"/>
  <c r="AE18" i="542"/>
  <c r="AE19" i="542"/>
  <c r="AF75" i="542"/>
  <c r="AE17" i="542"/>
  <c r="AD54" i="542"/>
  <c r="AD46" i="542"/>
  <c r="AD10" i="542"/>
  <c r="AD26" i="542"/>
  <c r="AD18" i="542"/>
  <c r="AD15" i="542"/>
  <c r="AE44" i="542"/>
  <c r="AE21" i="542"/>
  <c r="AE14" i="542"/>
  <c r="AE57" i="542"/>
  <c r="AE31" i="542"/>
  <c r="AE24" i="542"/>
  <c r="AE55" i="542"/>
  <c r="AG62" i="542"/>
  <c r="AE76" i="542"/>
  <c r="AE66" i="542"/>
  <c r="AG73" i="542"/>
  <c r="AE69" i="542"/>
  <c r="AE77" i="542"/>
  <c r="AG63" i="542"/>
  <c r="AD52" i="542"/>
  <c r="AD37" i="542"/>
  <c r="AE45" i="542"/>
  <c r="AE37" i="542"/>
  <c r="AE73" i="542"/>
  <c r="AF72" i="542"/>
  <c r="AE60" i="542"/>
  <c r="AD56" i="542"/>
  <c r="AD49" i="542"/>
  <c r="AD30" i="542"/>
  <c r="AD17" i="542"/>
  <c r="AD28" i="542"/>
  <c r="AD29" i="542"/>
  <c r="AE43" i="542"/>
  <c r="AF59" i="542"/>
  <c r="AE53" i="542"/>
  <c r="AE33" i="542"/>
  <c r="AE34" i="542"/>
  <c r="AE72" i="542"/>
  <c r="AF60" i="542"/>
  <c r="AG61" i="542"/>
  <c r="AF63" i="542"/>
  <c r="AF61" i="542"/>
  <c r="AE29" i="542"/>
  <c r="AG70" i="542"/>
  <c r="AE35" i="542"/>
  <c r="AE74" i="542"/>
  <c r="AD43" i="542"/>
  <c r="AD34" i="542"/>
  <c r="AE23" i="542"/>
  <c r="AE12" i="542"/>
  <c r="AG74" i="542"/>
  <c r="AF77" i="542"/>
  <c r="AF71" i="542"/>
  <c r="AD51" i="542"/>
  <c r="AD48" i="542"/>
  <c r="AD32" i="542"/>
  <c r="AD38" i="542"/>
  <c r="AD36" i="542"/>
  <c r="AD27" i="542"/>
  <c r="AE42" i="542"/>
  <c r="AE52" i="542"/>
  <c r="AG60" i="542"/>
  <c r="AE49" i="542"/>
  <c r="AG72" i="542"/>
  <c r="AG78" i="542"/>
  <c r="AG69" i="542"/>
  <c r="AE39" i="542"/>
  <c r="AG75" i="542"/>
  <c r="AF79" i="542"/>
  <c r="AE63" i="542"/>
  <c r="AE11" i="542"/>
  <c r="AE70" i="542"/>
  <c r="AE79" i="542"/>
  <c r="AD57" i="542"/>
  <c r="AD39" i="542"/>
  <c r="AD35" i="542"/>
  <c r="AG59" i="542"/>
  <c r="AE38" i="542"/>
  <c r="AE65" i="542"/>
  <c r="AE61" i="542"/>
  <c r="AF66" i="542"/>
  <c r="AE78" i="542"/>
  <c r="AD44" i="542"/>
  <c r="AD42" i="542"/>
  <c r="AD19" i="542"/>
  <c r="AD31" i="542"/>
  <c r="AD13" i="542"/>
  <c r="AE47" i="542"/>
  <c r="AE15" i="542"/>
  <c r="AE28" i="542"/>
  <c r="AE20" i="542"/>
  <c r="AE41" i="542"/>
  <c r="AF65" i="542"/>
  <c r="AE32" i="542"/>
  <c r="AE59" i="542"/>
  <c r="AE25" i="542"/>
  <c r="AE64" i="542"/>
  <c r="AF69" i="542"/>
  <c r="AG68" i="542"/>
  <c r="AF70" i="542"/>
  <c r="AE67" i="542"/>
  <c r="AD50" i="542"/>
  <c r="AD14" i="542"/>
  <c r="AD23" i="542"/>
  <c r="AE56" i="542"/>
  <c r="AE51" i="542"/>
  <c r="AF73" i="542"/>
  <c r="AF67" i="542"/>
  <c r="AF64" i="542"/>
  <c r="AE62" i="542"/>
  <c r="AE75" i="542"/>
  <c r="AG80" i="542"/>
  <c r="AD53" i="542"/>
  <c r="AD47" i="542"/>
  <c r="AD41" i="542"/>
  <c r="AD16" i="542"/>
  <c r="AD20" i="542"/>
  <c r="AD22" i="542"/>
  <c r="AE48" i="542"/>
  <c r="AE13" i="542"/>
  <c r="AE50" i="542"/>
  <c r="AE16" i="542"/>
  <c r="AF76" i="542"/>
  <c r="AF78" i="542"/>
  <c r="AG64" i="542"/>
  <c r="AG67" i="542"/>
  <c r="AE10" i="542"/>
  <c r="AE40" i="542"/>
  <c r="AF74" i="542"/>
  <c r="AE71" i="542"/>
  <c r="AG71" i="542"/>
  <c r="AF68" i="542"/>
  <c r="G142" i="4"/>
  <c r="BG142" i="4"/>
  <c r="BY103" i="4"/>
  <c r="BL106" i="4"/>
  <c r="BL107" i="4" s="1"/>
  <c r="BL108" i="4" s="1"/>
  <c r="BL109" i="4" s="1"/>
  <c r="BL110" i="4" s="1"/>
  <c r="BL111" i="4" s="1"/>
  <c r="BL112" i="4" s="1"/>
  <c r="BL113" i="4" s="1"/>
  <c r="BL114" i="4" s="1"/>
  <c r="BL115" i="4" s="1"/>
  <c r="BL116" i="4" s="1"/>
  <c r="BL117" i="4" s="1"/>
  <c r="AU107" i="4"/>
  <c r="J131" i="22"/>
  <c r="N131" i="22" s="1"/>
  <c r="H131" i="22"/>
  <c r="L131" i="22" s="1"/>
  <c r="I131" i="22"/>
  <c r="M131" i="22" s="1"/>
  <c r="I131" i="129"/>
  <c r="M131" i="129" s="1"/>
  <c r="H131" i="129"/>
  <c r="L131" i="129" s="1"/>
  <c r="J131" i="129"/>
  <c r="N131" i="129" s="1"/>
  <c r="I131" i="104"/>
  <c r="J131" i="103"/>
  <c r="N131" i="103" s="1"/>
  <c r="I131" i="103"/>
  <c r="M131" i="103" s="1"/>
  <c r="J131" i="102"/>
  <c r="H131" i="101"/>
  <c r="I131" i="102"/>
  <c r="J131" i="101"/>
  <c r="H131" i="102"/>
  <c r="I131" i="101"/>
  <c r="I131" i="131"/>
  <c r="J131" i="20"/>
  <c r="H131" i="19"/>
  <c r="J131" i="29"/>
  <c r="I131" i="26"/>
  <c r="I131" i="29"/>
  <c r="J131" i="19"/>
  <c r="H131" i="27"/>
  <c r="H131" i="26"/>
  <c r="I131" i="27"/>
  <c r="J131" i="26"/>
  <c r="J131" i="25"/>
  <c r="J131" i="23"/>
  <c r="J131" i="21"/>
  <c r="H131" i="20"/>
  <c r="J131" i="27"/>
  <c r="I131" i="25"/>
  <c r="I131" i="23"/>
  <c r="J131" i="314"/>
  <c r="H131" i="21"/>
  <c r="J131" i="131"/>
  <c r="H131" i="29"/>
  <c r="H131" i="25"/>
  <c r="H131" i="23"/>
  <c r="H131" i="314"/>
  <c r="I131" i="21"/>
  <c r="H131" i="131"/>
  <c r="I131" i="314"/>
  <c r="I131" i="20"/>
  <c r="I131" i="19"/>
  <c r="J131" i="323"/>
  <c r="H131" i="18"/>
  <c r="J131" i="63"/>
  <c r="I131" i="323"/>
  <c r="H131" i="3"/>
  <c r="H131" i="323"/>
  <c r="I131" i="51"/>
  <c r="I131" i="63"/>
  <c r="J131" i="51"/>
  <c r="J131" i="3"/>
  <c r="H131" i="63"/>
  <c r="H131" i="51"/>
  <c r="I131" i="18"/>
  <c r="I131" i="3"/>
  <c r="J131" i="18"/>
  <c r="H131" i="1"/>
  <c r="D19" i="641" s="1"/>
  <c r="J131" i="1"/>
  <c r="I131" i="1"/>
  <c r="AL129" i="51"/>
  <c r="D129" i="51" s="1"/>
  <c r="I129" i="51" s="1"/>
  <c r="AI129" i="22"/>
  <c r="AL129" i="1"/>
  <c r="D129" i="1" s="1"/>
  <c r="AL129" i="29"/>
  <c r="D129" i="29" s="1"/>
  <c r="AL129" i="18"/>
  <c r="D129" i="18" s="1"/>
  <c r="AK129" i="20"/>
  <c r="D129" i="20" s="1"/>
  <c r="AI129" i="129"/>
  <c r="D129" i="129" s="1"/>
  <c r="AL129" i="323"/>
  <c r="D129" i="323" s="1"/>
  <c r="AJ129" i="3"/>
  <c r="D129" i="3" s="1"/>
  <c r="I129" i="3" s="1"/>
  <c r="AL129" i="63"/>
  <c r="D129" i="63" s="1"/>
  <c r="I129" i="63" s="1"/>
  <c r="AL129" i="21"/>
  <c r="D129" i="21" s="1"/>
  <c r="AK129" i="314"/>
  <c r="D129" i="314" s="1"/>
  <c r="AL129" i="25"/>
  <c r="D129" i="25" s="1"/>
  <c r="I129" i="25" s="1"/>
  <c r="AL129" i="23"/>
  <c r="D129" i="23" s="1"/>
  <c r="AL129" i="101"/>
  <c r="D129" i="101" s="1"/>
  <c r="AL129" i="19"/>
  <c r="D129" i="19" s="1"/>
  <c r="AL129" i="26"/>
  <c r="D129" i="26" s="1"/>
  <c r="AL129" i="27"/>
  <c r="D129" i="27" s="1"/>
  <c r="AL129" i="131"/>
  <c r="D129" i="131" s="1"/>
  <c r="AL129" i="102"/>
  <c r="D129" i="102" s="1"/>
  <c r="AL129" i="133"/>
  <c r="D129" i="133" s="1"/>
  <c r="AL142" i="4"/>
  <c r="AK129" i="104"/>
  <c r="AL129" i="103"/>
  <c r="D129" i="103" s="1"/>
  <c r="AJ142" i="4"/>
  <c r="U143" i="4"/>
  <c r="Y143" i="4"/>
  <c r="BZ105" i="4"/>
  <c r="BX104" i="4"/>
  <c r="BX105" i="4"/>
  <c r="BQ105" i="4"/>
  <c r="BG96" i="1"/>
  <c r="BH96" i="1" s="1"/>
  <c r="AI97" i="1"/>
  <c r="AW97" i="1"/>
  <c r="AZ97" i="1" s="1"/>
  <c r="AZ105" i="4"/>
  <c r="K143" i="4" s="1"/>
  <c r="BA96" i="1"/>
  <c r="P131" i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BH95" i="1"/>
  <c r="N77" i="16"/>
  <c r="U5" i="257"/>
  <c r="U14" i="274" s="1"/>
  <c r="U6" i="257"/>
  <c r="U13" i="274" s="1"/>
  <c r="U7" i="257"/>
  <c r="U12" i="274" s="1"/>
  <c r="U8" i="257"/>
  <c r="U11" i="274" s="1"/>
  <c r="U10" i="257"/>
  <c r="U9" i="274" s="1"/>
  <c r="U11" i="257"/>
  <c r="U8" i="274" s="1"/>
  <c r="U12" i="257"/>
  <c r="U7" i="274" s="1"/>
  <c r="U13" i="257"/>
  <c r="U6" i="274" s="1"/>
  <c r="U14" i="257"/>
  <c r="U5" i="274" s="1"/>
  <c r="U16" i="257"/>
  <c r="U3" i="274" s="1"/>
  <c r="T5" i="257"/>
  <c r="T14" i="274" s="1"/>
  <c r="T7" i="257"/>
  <c r="T12" i="274" s="1"/>
  <c r="T9" i="257"/>
  <c r="T10" i="274" s="1"/>
  <c r="T10" i="257"/>
  <c r="T9" i="274" s="1"/>
  <c r="T11" i="257"/>
  <c r="T8" i="274" s="1"/>
  <c r="T12" i="257"/>
  <c r="T7" i="274" s="1"/>
  <c r="T13" i="257"/>
  <c r="T6" i="274" s="1"/>
  <c r="T14" i="257"/>
  <c r="T5" i="274" s="1"/>
  <c r="T15" i="257"/>
  <c r="T4" i="274" s="1"/>
  <c r="T16" i="257"/>
  <c r="T3" i="274" s="1"/>
  <c r="R4" i="257"/>
  <c r="R15" i="274" s="1"/>
  <c r="R5" i="257"/>
  <c r="R14" i="274" s="1"/>
  <c r="R6" i="257"/>
  <c r="R13" i="274" s="1"/>
  <c r="R7" i="257"/>
  <c r="R12" i="274" s="1"/>
  <c r="R8" i="257"/>
  <c r="R11" i="274" s="1"/>
  <c r="R9" i="257"/>
  <c r="R10" i="274" s="1"/>
  <c r="R10" i="257"/>
  <c r="R9" i="274" s="1"/>
  <c r="R11" i="257"/>
  <c r="R8" i="274" s="1"/>
  <c r="R12" i="257"/>
  <c r="R7" i="274" s="1"/>
  <c r="R14" i="257"/>
  <c r="R5" i="274" s="1"/>
  <c r="R15" i="257"/>
  <c r="R4" i="274" s="1"/>
  <c r="R16" i="257"/>
  <c r="R3" i="274" s="1"/>
  <c r="Q4" i="257"/>
  <c r="Q15" i="274" s="1"/>
  <c r="Q5" i="257"/>
  <c r="Q14" i="274" s="1"/>
  <c r="Q6" i="257"/>
  <c r="Q13" i="274" s="1"/>
  <c r="Q7" i="257"/>
  <c r="Q12" i="274" s="1"/>
  <c r="Q8" i="257"/>
  <c r="Q11" i="274" s="1"/>
  <c r="Q9" i="257"/>
  <c r="Q10" i="274" s="1"/>
  <c r="Q11" i="257"/>
  <c r="Q8" i="274" s="1"/>
  <c r="Q13" i="257"/>
  <c r="Q6" i="274" s="1"/>
  <c r="Q14" i="257"/>
  <c r="Q5" i="274" s="1"/>
  <c r="Q16" i="257"/>
  <c r="Q3" i="274" s="1"/>
  <c r="P4" i="257"/>
  <c r="P15" i="274" s="1"/>
  <c r="P5" i="257"/>
  <c r="P14" i="274" s="1"/>
  <c r="P6" i="257"/>
  <c r="P13" i="274" s="1"/>
  <c r="P7" i="257"/>
  <c r="P12" i="274" s="1"/>
  <c r="P9" i="257"/>
  <c r="P10" i="274" s="1"/>
  <c r="P10" i="257"/>
  <c r="P9" i="274" s="1"/>
  <c r="P11" i="257"/>
  <c r="P8" i="274" s="1"/>
  <c r="P12" i="257"/>
  <c r="P7" i="274" s="1"/>
  <c r="P13" i="257"/>
  <c r="P6" i="274" s="1"/>
  <c r="P14" i="257"/>
  <c r="P5" i="274" s="1"/>
  <c r="P16" i="257"/>
  <c r="P3" i="274" s="1"/>
  <c r="N4" i="257"/>
  <c r="N15" i="274" s="1"/>
  <c r="AC96" i="129" s="1"/>
  <c r="N5" i="257"/>
  <c r="N14" i="274" s="1"/>
  <c r="AC95" i="129" s="1"/>
  <c r="AD95" i="129" s="1"/>
  <c r="Y95" i="129" s="1"/>
  <c r="N6" i="257"/>
  <c r="N13" i="274" s="1"/>
  <c r="AC94" i="129" s="1"/>
  <c r="AD94" i="129" s="1"/>
  <c r="Y94" i="129" s="1"/>
  <c r="N7" i="257"/>
  <c r="N12" i="274" s="1"/>
  <c r="AC93" i="129" s="1"/>
  <c r="AD93" i="129" s="1"/>
  <c r="Y93" i="129" s="1"/>
  <c r="N9" i="257"/>
  <c r="N10" i="274" s="1"/>
  <c r="AC91" i="129" s="1"/>
  <c r="AD91" i="129" s="1"/>
  <c r="Y91" i="129" s="1"/>
  <c r="N10" i="257"/>
  <c r="N9" i="274" s="1"/>
  <c r="AC90" i="129" s="1"/>
  <c r="AD90" i="129" s="1"/>
  <c r="Y90" i="129" s="1"/>
  <c r="P123" i="129" s="1"/>
  <c r="N11" i="257"/>
  <c r="N8" i="274" s="1"/>
  <c r="AC89" i="129" s="1"/>
  <c r="N12" i="257"/>
  <c r="N7" i="274" s="1"/>
  <c r="AC88" i="129" s="1"/>
  <c r="N13" i="257"/>
  <c r="N6" i="274" s="1"/>
  <c r="AC87" i="129" s="1"/>
  <c r="N14" i="257"/>
  <c r="N5" i="274" s="1"/>
  <c r="AC86" i="129" s="1"/>
  <c r="N15" i="257"/>
  <c r="N4" i="274" s="1"/>
  <c r="AC85" i="129" s="1"/>
  <c r="N16" i="257"/>
  <c r="N3" i="274" s="1"/>
  <c r="AC84" i="129" s="1"/>
  <c r="O4" i="257"/>
  <c r="O15" i="274" s="1"/>
  <c r="AC96" i="22" s="1"/>
  <c r="O5" i="257"/>
  <c r="O14" i="274" s="1"/>
  <c r="AC95" i="22" s="1"/>
  <c r="O6" i="257"/>
  <c r="O13" i="274" s="1"/>
  <c r="AC94" i="22" s="1"/>
  <c r="O7" i="257"/>
  <c r="O12" i="274" s="1"/>
  <c r="AC93" i="22" s="1"/>
  <c r="O8" i="257"/>
  <c r="O11" i="274" s="1"/>
  <c r="AC92" i="22" s="1"/>
  <c r="O9" i="257"/>
  <c r="O10" i="274" s="1"/>
  <c r="AC91" i="22" s="1"/>
  <c r="O10" i="257"/>
  <c r="O9" i="274" s="1"/>
  <c r="AC90" i="22" s="1"/>
  <c r="O11" i="257"/>
  <c r="O8" i="274" s="1"/>
  <c r="AC89" i="22" s="1"/>
  <c r="O12" i="257"/>
  <c r="O7" i="274" s="1"/>
  <c r="AC88" i="22" s="1"/>
  <c r="O13" i="257"/>
  <c r="O6" i="274" s="1"/>
  <c r="AC87" i="22" s="1"/>
  <c r="O14" i="257"/>
  <c r="O5" i="274" s="1"/>
  <c r="AC86" i="22" s="1"/>
  <c r="O15" i="257"/>
  <c r="O4" i="274" s="1"/>
  <c r="AC85" i="22" s="1"/>
  <c r="O16" i="257"/>
  <c r="O3" i="274" s="1"/>
  <c r="AC84" i="22" s="1"/>
  <c r="M4" i="257"/>
  <c r="M15" i="274" s="1"/>
  <c r="M8" i="257"/>
  <c r="M11" i="274" s="1"/>
  <c r="M9" i="257"/>
  <c r="M10" i="274" s="1"/>
  <c r="M10" i="257"/>
  <c r="M9" i="274" s="1"/>
  <c r="M11" i="257"/>
  <c r="M8" i="274" s="1"/>
  <c r="M12" i="257"/>
  <c r="M7" i="274" s="1"/>
  <c r="M13" i="257"/>
  <c r="M6" i="274" s="1"/>
  <c r="M14" i="257"/>
  <c r="M5" i="274" s="1"/>
  <c r="M15" i="257"/>
  <c r="M4" i="274" s="1"/>
  <c r="M16" i="257"/>
  <c r="M3" i="274" s="1"/>
  <c r="L5" i="257"/>
  <c r="L14" i="274" s="1"/>
  <c r="S4" i="257"/>
  <c r="S15" i="274" s="1"/>
  <c r="S5" i="257"/>
  <c r="S14" i="274" s="1"/>
  <c r="S6" i="257"/>
  <c r="S13" i="274" s="1"/>
  <c r="S7" i="257"/>
  <c r="S12" i="274" s="1"/>
  <c r="S8" i="257"/>
  <c r="S11" i="274" s="1"/>
  <c r="S10" i="257"/>
  <c r="S9" i="274" s="1"/>
  <c r="S11" i="257"/>
  <c r="S8" i="274" s="1"/>
  <c r="S12" i="257"/>
  <c r="S7" i="274" s="1"/>
  <c r="S13" i="257"/>
  <c r="S6" i="274" s="1"/>
  <c r="S14" i="257"/>
  <c r="S5" i="274" s="1"/>
  <c r="S16" i="257"/>
  <c r="S3" i="274" s="1"/>
  <c r="K16" i="274"/>
  <c r="K4" i="257"/>
  <c r="K15" i="274" s="1"/>
  <c r="K6" i="257"/>
  <c r="K13" i="274" s="1"/>
  <c r="K7" i="257"/>
  <c r="K12" i="274" s="1"/>
  <c r="K8" i="257"/>
  <c r="K11" i="274" s="1"/>
  <c r="K9" i="257"/>
  <c r="K10" i="274" s="1"/>
  <c r="K11" i="257"/>
  <c r="K8" i="274" s="1"/>
  <c r="K12" i="257"/>
  <c r="K7" i="274" s="1"/>
  <c r="K13" i="257"/>
  <c r="K6" i="274" s="1"/>
  <c r="K14" i="257"/>
  <c r="K5" i="274" s="1"/>
  <c r="K15" i="257"/>
  <c r="K4" i="274" s="1"/>
  <c r="K16" i="257"/>
  <c r="K3" i="274" s="1"/>
  <c r="J16" i="274"/>
  <c r="J4" i="257"/>
  <c r="J15" i="274" s="1"/>
  <c r="J5" i="257"/>
  <c r="J14" i="274" s="1"/>
  <c r="J6" i="257"/>
  <c r="J13" i="274" s="1"/>
  <c r="J7" i="257"/>
  <c r="J12" i="274" s="1"/>
  <c r="J8" i="257"/>
  <c r="J11" i="274" s="1"/>
  <c r="J9" i="257"/>
  <c r="J10" i="274" s="1"/>
  <c r="J10" i="257"/>
  <c r="J9" i="274" s="1"/>
  <c r="J11" i="257"/>
  <c r="J8" i="274" s="1"/>
  <c r="J12" i="257"/>
  <c r="J7" i="274" s="1"/>
  <c r="J13" i="257"/>
  <c r="J6" i="274" s="1"/>
  <c r="J14" i="257"/>
  <c r="J5" i="274" s="1"/>
  <c r="J15" i="257"/>
  <c r="J4" i="274" s="1"/>
  <c r="J16" i="257"/>
  <c r="J3" i="274" s="1"/>
  <c r="I4" i="257"/>
  <c r="I15" i="274" s="1"/>
  <c r="I5" i="257"/>
  <c r="I14" i="274" s="1"/>
  <c r="I6" i="257"/>
  <c r="I13" i="274" s="1"/>
  <c r="I7" i="257"/>
  <c r="I12" i="274" s="1"/>
  <c r="I9" i="257"/>
  <c r="I10" i="274" s="1"/>
  <c r="I10" i="257"/>
  <c r="I9" i="274" s="1"/>
  <c r="I11" i="257"/>
  <c r="I8" i="274" s="1"/>
  <c r="I12" i="257"/>
  <c r="I7" i="274" s="1"/>
  <c r="I13" i="257"/>
  <c r="I6" i="274" s="1"/>
  <c r="I15" i="257"/>
  <c r="I4" i="274" s="1"/>
  <c r="I16" i="257"/>
  <c r="I3" i="274" s="1"/>
  <c r="H16" i="274"/>
  <c r="H5" i="257"/>
  <c r="H14" i="274" s="1"/>
  <c r="H6" i="257"/>
  <c r="H13" i="274" s="1"/>
  <c r="H7" i="257"/>
  <c r="H12" i="274" s="1"/>
  <c r="H8" i="257"/>
  <c r="H11" i="274" s="1"/>
  <c r="H9" i="257"/>
  <c r="H10" i="274" s="1"/>
  <c r="H10" i="257"/>
  <c r="H9" i="274" s="1"/>
  <c r="H11" i="257"/>
  <c r="H8" i="274" s="1"/>
  <c r="H12" i="257"/>
  <c r="H7" i="274" s="1"/>
  <c r="H14" i="257"/>
  <c r="H5" i="274" s="1"/>
  <c r="H15" i="257"/>
  <c r="H4" i="274" s="1"/>
  <c r="H16" i="257"/>
  <c r="H3" i="274" s="1"/>
  <c r="G16" i="274"/>
  <c r="G4" i="257"/>
  <c r="G15" i="274" s="1"/>
  <c r="G6" i="257"/>
  <c r="G13" i="274" s="1"/>
  <c r="G7" i="257"/>
  <c r="G12" i="274" s="1"/>
  <c r="G8" i="257"/>
  <c r="G11" i="274" s="1"/>
  <c r="G9" i="257"/>
  <c r="G10" i="274" s="1"/>
  <c r="G10" i="257"/>
  <c r="G9" i="274" s="1"/>
  <c r="G11" i="257"/>
  <c r="G8" i="274" s="1"/>
  <c r="G12" i="257"/>
  <c r="G7" i="274" s="1"/>
  <c r="G14" i="257"/>
  <c r="G5" i="274" s="1"/>
  <c r="G15" i="257"/>
  <c r="G4" i="274" s="1"/>
  <c r="G3" i="274"/>
  <c r="U15" i="257"/>
  <c r="U4" i="274" s="1"/>
  <c r="S15" i="257"/>
  <c r="S4" i="274" s="1"/>
  <c r="Q15" i="257"/>
  <c r="Q4" i="274" s="1"/>
  <c r="P15" i="257"/>
  <c r="P4" i="274" s="1"/>
  <c r="I14" i="257"/>
  <c r="I5" i="274" s="1"/>
  <c r="R13" i="257"/>
  <c r="R6" i="274" s="1"/>
  <c r="H13" i="257"/>
  <c r="H6" i="274" s="1"/>
  <c r="G13" i="257"/>
  <c r="G6" i="274" s="1"/>
  <c r="Q12" i="257"/>
  <c r="Q7" i="274" s="1"/>
  <c r="Q10" i="257"/>
  <c r="Q9" i="274" s="1"/>
  <c r="K10" i="257"/>
  <c r="K9" i="274" s="1"/>
  <c r="U9" i="257"/>
  <c r="U10" i="274" s="1"/>
  <c r="S9" i="257"/>
  <c r="S10" i="274" s="1"/>
  <c r="T8" i="257"/>
  <c r="T11" i="274" s="1"/>
  <c r="P8" i="257"/>
  <c r="P11" i="274" s="1"/>
  <c r="N8" i="257"/>
  <c r="N11" i="274" s="1"/>
  <c r="AC92" i="129" s="1"/>
  <c r="AD92" i="129" s="1"/>
  <c r="Y92" i="129" s="1"/>
  <c r="I8" i="257"/>
  <c r="I11" i="274" s="1"/>
  <c r="M7" i="257"/>
  <c r="M12" i="274" s="1"/>
  <c r="T6" i="257"/>
  <c r="T13" i="274" s="1"/>
  <c r="M6" i="257"/>
  <c r="M13" i="274" s="1"/>
  <c r="M5" i="257"/>
  <c r="M14" i="274" s="1"/>
  <c r="K5" i="257"/>
  <c r="K14" i="274" s="1"/>
  <c r="G5" i="257"/>
  <c r="G14" i="274" s="1"/>
  <c r="U4" i="257"/>
  <c r="U15" i="274" s="1"/>
  <c r="T4" i="257"/>
  <c r="T15" i="274" s="1"/>
  <c r="H4" i="257"/>
  <c r="H15" i="274" s="1"/>
  <c r="U3" i="256"/>
  <c r="U16" i="256"/>
  <c r="T3" i="256"/>
  <c r="T4" i="256"/>
  <c r="U4" i="256"/>
  <c r="T5" i="256"/>
  <c r="U5" i="256"/>
  <c r="T6" i="256"/>
  <c r="U6" i="256"/>
  <c r="T7" i="256"/>
  <c r="U7" i="256"/>
  <c r="T8" i="256"/>
  <c r="U8" i="256"/>
  <c r="T9" i="256"/>
  <c r="U9" i="256"/>
  <c r="T10" i="256"/>
  <c r="U10" i="256"/>
  <c r="T11" i="256"/>
  <c r="U11" i="256"/>
  <c r="T12" i="256"/>
  <c r="U12" i="256"/>
  <c r="T13" i="256"/>
  <c r="U13" i="256"/>
  <c r="T14" i="256"/>
  <c r="U14" i="256"/>
  <c r="T15" i="256"/>
  <c r="U15" i="256"/>
  <c r="T16" i="256"/>
  <c r="R4" i="256"/>
  <c r="R5" i="256"/>
  <c r="R6" i="256"/>
  <c r="R7" i="256"/>
  <c r="R9" i="256"/>
  <c r="R11" i="256"/>
  <c r="R12" i="256"/>
  <c r="R13" i="256"/>
  <c r="R14" i="256"/>
  <c r="R15" i="256"/>
  <c r="R16" i="256"/>
  <c r="O4" i="256"/>
  <c r="O5" i="256"/>
  <c r="O6" i="256"/>
  <c r="O7" i="256"/>
  <c r="O8" i="256"/>
  <c r="O10" i="256"/>
  <c r="O12" i="256"/>
  <c r="O14" i="256"/>
  <c r="O15" i="256"/>
  <c r="O16" i="256"/>
  <c r="Q8" i="256"/>
  <c r="Q9" i="256"/>
  <c r="Q11" i="256"/>
  <c r="Q12" i="256"/>
  <c r="Q13" i="256"/>
  <c r="Q14" i="256"/>
  <c r="Q15" i="256"/>
  <c r="P4" i="256"/>
  <c r="P5" i="256"/>
  <c r="P6" i="256"/>
  <c r="P7" i="256"/>
  <c r="P8" i="256"/>
  <c r="P9" i="256"/>
  <c r="P10" i="256"/>
  <c r="P11" i="256"/>
  <c r="P12" i="256"/>
  <c r="P13" i="256"/>
  <c r="P14" i="256"/>
  <c r="P15" i="256"/>
  <c r="N5" i="256"/>
  <c r="N6" i="256"/>
  <c r="N8" i="256"/>
  <c r="N9" i="256"/>
  <c r="N10" i="256"/>
  <c r="N11" i="256"/>
  <c r="N12" i="256"/>
  <c r="N13" i="256"/>
  <c r="N14" i="256"/>
  <c r="N16" i="256"/>
  <c r="M3" i="256"/>
  <c r="M4" i="256"/>
  <c r="M5" i="256"/>
  <c r="M6" i="256"/>
  <c r="M7" i="256"/>
  <c r="M10" i="256"/>
  <c r="M11" i="256"/>
  <c r="M12" i="256"/>
  <c r="M13" i="256"/>
  <c r="M14" i="256"/>
  <c r="M15" i="256"/>
  <c r="M16" i="256"/>
  <c r="L3" i="256"/>
  <c r="L4" i="256"/>
  <c r="L5" i="256"/>
  <c r="L6" i="256"/>
  <c r="L7" i="256"/>
  <c r="L8" i="256"/>
  <c r="L10" i="256"/>
  <c r="S3" i="256"/>
  <c r="N4" i="256"/>
  <c r="Q4" i="256"/>
  <c r="S4" i="256"/>
  <c r="Q5" i="256"/>
  <c r="S5" i="256"/>
  <c r="Q6" i="256"/>
  <c r="S6" i="256"/>
  <c r="N7" i="256"/>
  <c r="Q7" i="256"/>
  <c r="S7" i="256"/>
  <c r="M8" i="256"/>
  <c r="R8" i="256"/>
  <c r="S8" i="256"/>
  <c r="L9" i="256"/>
  <c r="M9" i="256"/>
  <c r="O9" i="256"/>
  <c r="S9" i="256"/>
  <c r="Q10" i="256"/>
  <c r="R10" i="256"/>
  <c r="S10" i="256"/>
  <c r="L11" i="256"/>
  <c r="O11" i="256"/>
  <c r="S11" i="256"/>
  <c r="L12" i="256"/>
  <c r="S12" i="256"/>
  <c r="L13" i="256"/>
  <c r="O13" i="256"/>
  <c r="S13" i="256"/>
  <c r="L14" i="256"/>
  <c r="S14" i="256"/>
  <c r="L15" i="256"/>
  <c r="N15" i="256"/>
  <c r="S15" i="256"/>
  <c r="L16" i="256"/>
  <c r="P16" i="256"/>
  <c r="Q16" i="256"/>
  <c r="S16" i="256"/>
  <c r="K3" i="256"/>
  <c r="K4" i="256"/>
  <c r="K5" i="256"/>
  <c r="K6" i="256"/>
  <c r="K7" i="256"/>
  <c r="K8" i="256"/>
  <c r="K9" i="256"/>
  <c r="K10" i="256"/>
  <c r="K11" i="256"/>
  <c r="K12" i="256"/>
  <c r="K13" i="256"/>
  <c r="K14" i="256"/>
  <c r="K15" i="256"/>
  <c r="K16" i="256"/>
  <c r="J3" i="256"/>
  <c r="J4" i="256"/>
  <c r="J5" i="256"/>
  <c r="J6" i="256"/>
  <c r="J7" i="256"/>
  <c r="J8" i="256"/>
  <c r="J9" i="256"/>
  <c r="J10" i="256"/>
  <c r="J11" i="256"/>
  <c r="J12" i="256"/>
  <c r="J13" i="256"/>
  <c r="J14" i="256"/>
  <c r="J15" i="256"/>
  <c r="J16" i="256"/>
  <c r="I3" i="256"/>
  <c r="I4" i="256"/>
  <c r="I5" i="256"/>
  <c r="I6" i="256"/>
  <c r="I7" i="256"/>
  <c r="I8" i="256"/>
  <c r="I9" i="256"/>
  <c r="I10" i="256"/>
  <c r="I11" i="256"/>
  <c r="I12" i="256"/>
  <c r="I13" i="256"/>
  <c r="I14" i="256"/>
  <c r="I15" i="256"/>
  <c r="I16" i="256"/>
  <c r="H3" i="256"/>
  <c r="H4" i="256"/>
  <c r="H5" i="256"/>
  <c r="H6" i="256"/>
  <c r="H7" i="256"/>
  <c r="H8" i="256"/>
  <c r="H9" i="256"/>
  <c r="H10" i="256"/>
  <c r="H11" i="256"/>
  <c r="H12" i="256"/>
  <c r="H13" i="256"/>
  <c r="H14" i="256"/>
  <c r="H15" i="256"/>
  <c r="H16" i="256"/>
  <c r="G16" i="256"/>
  <c r="G15" i="256"/>
  <c r="G14" i="256"/>
  <c r="G13" i="256"/>
  <c r="G12" i="256"/>
  <c r="G11" i="256"/>
  <c r="G10" i="256"/>
  <c r="G9" i="256"/>
  <c r="G8" i="256"/>
  <c r="G7" i="256"/>
  <c r="G6" i="256"/>
  <c r="G5" i="256"/>
  <c r="G4" i="256"/>
  <c r="G3" i="256"/>
  <c r="D20" i="641" l="1"/>
  <c r="E20" i="641"/>
  <c r="AU108" i="4"/>
  <c r="H132" i="22"/>
  <c r="L132" i="22" s="1"/>
  <c r="I132" i="22"/>
  <c r="M132" i="22" s="1"/>
  <c r="J132" i="22"/>
  <c r="N132" i="22" s="1"/>
  <c r="I132" i="129"/>
  <c r="M132" i="129" s="1"/>
  <c r="J132" i="129"/>
  <c r="N132" i="129" s="1"/>
  <c r="H132" i="129"/>
  <c r="L132" i="129" s="1"/>
  <c r="I132" i="104"/>
  <c r="I132" i="103"/>
  <c r="M132" i="103" s="1"/>
  <c r="J132" i="103"/>
  <c r="N132" i="103" s="1"/>
  <c r="I132" i="102"/>
  <c r="J132" i="102"/>
  <c r="H132" i="102"/>
  <c r="J132" i="101"/>
  <c r="H132" i="101"/>
  <c r="I132" i="101"/>
  <c r="I132" i="26"/>
  <c r="I132" i="131"/>
  <c r="H132" i="131"/>
  <c r="J132" i="29"/>
  <c r="J132" i="26"/>
  <c r="J132" i="131"/>
  <c r="H132" i="314"/>
  <c r="I132" i="29"/>
  <c r="J132" i="20"/>
  <c r="J132" i="314"/>
  <c r="H132" i="29"/>
  <c r="H132" i="27"/>
  <c r="H132" i="23"/>
  <c r="I132" i="314"/>
  <c r="J132" i="19"/>
  <c r="I132" i="27"/>
  <c r="J132" i="25"/>
  <c r="I132" i="23"/>
  <c r="H132" i="21"/>
  <c r="H132" i="20"/>
  <c r="I132" i="19"/>
  <c r="H132" i="25"/>
  <c r="I132" i="21"/>
  <c r="J132" i="27"/>
  <c r="H132" i="26"/>
  <c r="I132" i="25"/>
  <c r="J132" i="23"/>
  <c r="J132" i="21"/>
  <c r="I132" i="20"/>
  <c r="H132" i="19"/>
  <c r="I132" i="18"/>
  <c r="I132" i="3"/>
  <c r="J132" i="51"/>
  <c r="I132" i="51"/>
  <c r="J132" i="323"/>
  <c r="H132" i="63"/>
  <c r="I132" i="323"/>
  <c r="J132" i="63"/>
  <c r="H132" i="323"/>
  <c r="I132" i="63"/>
  <c r="H132" i="51"/>
  <c r="H132" i="18"/>
  <c r="J132" i="3"/>
  <c r="J132" i="18"/>
  <c r="H132" i="3"/>
  <c r="J132" i="1"/>
  <c r="I132" i="1"/>
  <c r="H132" i="1"/>
  <c r="AB93" i="129"/>
  <c r="AO93" i="129" s="1"/>
  <c r="P126" i="129"/>
  <c r="AB94" i="129"/>
  <c r="AO94" i="129" s="1"/>
  <c r="P127" i="129"/>
  <c r="AB95" i="129"/>
  <c r="AO95" i="129" s="1"/>
  <c r="AP95" i="129" s="1"/>
  <c r="P128" i="129"/>
  <c r="AB92" i="129"/>
  <c r="AO92" i="129" s="1"/>
  <c r="P125" i="129"/>
  <c r="S123" i="129"/>
  <c r="AM7" i="639" s="1"/>
  <c r="T123" i="129"/>
  <c r="R123" i="129"/>
  <c r="AB91" i="129"/>
  <c r="AO91" i="129" s="1"/>
  <c r="AV91" i="129" s="1"/>
  <c r="P124" i="129"/>
  <c r="I129" i="103"/>
  <c r="I129" i="19"/>
  <c r="M129" i="19" s="1"/>
  <c r="S129" i="19" s="1"/>
  <c r="AJ13" i="639" s="1"/>
  <c r="I129" i="323"/>
  <c r="M129" i="323" s="1"/>
  <c r="S129" i="323" s="1"/>
  <c r="I129" i="101"/>
  <c r="M129" i="101" s="1"/>
  <c r="S129" i="101" s="1"/>
  <c r="I129" i="129"/>
  <c r="M129" i="129" s="1"/>
  <c r="I129" i="23"/>
  <c r="M129" i="23" s="1"/>
  <c r="S129" i="23" s="1"/>
  <c r="I129" i="20"/>
  <c r="M129" i="20" s="1"/>
  <c r="S129" i="20" s="1"/>
  <c r="AK13" i="639" s="1"/>
  <c r="I129" i="18"/>
  <c r="M129" i="18" s="1"/>
  <c r="I129" i="102"/>
  <c r="M129" i="102" s="1"/>
  <c r="I129" i="314"/>
  <c r="M129" i="314" s="1"/>
  <c r="S129" i="314" s="1"/>
  <c r="I129" i="29"/>
  <c r="M129" i="29" s="1"/>
  <c r="I129" i="131"/>
  <c r="M129" i="131" s="1"/>
  <c r="S129" i="131" s="1"/>
  <c r="AQ13" i="639" s="1"/>
  <c r="I129" i="21"/>
  <c r="M129" i="21" s="1"/>
  <c r="I129" i="27"/>
  <c r="M129" i="27" s="1"/>
  <c r="I129" i="26"/>
  <c r="M129" i="26" s="1"/>
  <c r="AJ129" i="22"/>
  <c r="E129" i="22" s="1"/>
  <c r="J129" i="22" s="1"/>
  <c r="AK129" i="3"/>
  <c r="E129" i="3" s="1"/>
  <c r="J129" i="3" s="1"/>
  <c r="AJ129" i="129"/>
  <c r="E129" i="129" s="1"/>
  <c r="AM129" i="51"/>
  <c r="E129" i="51" s="1"/>
  <c r="J129" i="51" s="1"/>
  <c r="AM129" i="63"/>
  <c r="E129" i="63" s="1"/>
  <c r="J129" i="63" s="1"/>
  <c r="AM129" i="18"/>
  <c r="E129" i="18" s="1"/>
  <c r="AL129" i="20"/>
  <c r="E129" i="20" s="1"/>
  <c r="AM129" i="1"/>
  <c r="E129" i="1" s="1"/>
  <c r="AM129" i="131"/>
  <c r="E129" i="131" s="1"/>
  <c r="AM129" i="323"/>
  <c r="E129" i="323" s="1"/>
  <c r="AM129" i="19"/>
  <c r="E129" i="19" s="1"/>
  <c r="AM129" i="23"/>
  <c r="E129" i="23" s="1"/>
  <c r="AM129" i="21"/>
  <c r="E129" i="21" s="1"/>
  <c r="AM129" i="29"/>
  <c r="E129" i="29" s="1"/>
  <c r="AL129" i="314"/>
  <c r="E129" i="314" s="1"/>
  <c r="AM129" i="25"/>
  <c r="E129" i="25" s="1"/>
  <c r="J129" i="25" s="1"/>
  <c r="AM129" i="101"/>
  <c r="E129" i="101" s="1"/>
  <c r="AM129" i="26"/>
  <c r="E129" i="26" s="1"/>
  <c r="AM129" i="27"/>
  <c r="E129" i="27" s="1"/>
  <c r="AM129" i="103"/>
  <c r="E129" i="103" s="1"/>
  <c r="AM129" i="133"/>
  <c r="E129" i="133" s="1"/>
  <c r="AM129" i="102"/>
  <c r="E129" i="102" s="1"/>
  <c r="AL129" i="104"/>
  <c r="E129" i="104" s="1"/>
  <c r="B129" i="22"/>
  <c r="G129" i="22" s="1"/>
  <c r="D129" i="22"/>
  <c r="I129" i="22" s="1"/>
  <c r="AH129" i="22"/>
  <c r="C129" i="22" s="1"/>
  <c r="H129" i="22" s="1"/>
  <c r="AH129" i="129"/>
  <c r="AK129" i="1"/>
  <c r="C129" i="1" s="1"/>
  <c r="AI129" i="3"/>
  <c r="C129" i="3" s="1"/>
  <c r="H129" i="3" s="1"/>
  <c r="AK129" i="51"/>
  <c r="C129" i="51" s="1"/>
  <c r="H129" i="51" s="1"/>
  <c r="AK129" i="63"/>
  <c r="C129" i="63" s="1"/>
  <c r="H129" i="63" s="1"/>
  <c r="AK129" i="323"/>
  <c r="C129" i="323" s="1"/>
  <c r="AK129" i="19"/>
  <c r="C129" i="19" s="1"/>
  <c r="AK129" i="29"/>
  <c r="C129" i="29" s="1"/>
  <c r="AK129" i="18"/>
  <c r="C129" i="18" s="1"/>
  <c r="AK129" i="23"/>
  <c r="C129" i="23" s="1"/>
  <c r="AJ129" i="20"/>
  <c r="C129" i="20" s="1"/>
  <c r="AJ129" i="314"/>
  <c r="C129" i="314" s="1"/>
  <c r="AK129" i="21"/>
  <c r="C129" i="21" s="1"/>
  <c r="AK129" i="25"/>
  <c r="C129" i="25" s="1"/>
  <c r="H129" i="25" s="1"/>
  <c r="AK129" i="26"/>
  <c r="C129" i="26" s="1"/>
  <c r="AK129" i="27"/>
  <c r="C129" i="27" s="1"/>
  <c r="AK129" i="131"/>
  <c r="C129" i="131" s="1"/>
  <c r="AK129" i="133"/>
  <c r="AK129" i="101"/>
  <c r="C129" i="101" s="1"/>
  <c r="AK129" i="102"/>
  <c r="C129" i="102" s="1"/>
  <c r="AK129" i="103"/>
  <c r="C129" i="103" s="1"/>
  <c r="AJ129" i="104"/>
  <c r="C129" i="104" s="1"/>
  <c r="H129" i="104" s="1"/>
  <c r="AD96" i="129"/>
  <c r="Y96" i="129" s="1"/>
  <c r="AV95" i="129"/>
  <c r="AP91" i="129"/>
  <c r="AV93" i="129"/>
  <c r="AP93" i="129"/>
  <c r="AV92" i="129"/>
  <c r="AP92" i="129"/>
  <c r="AV94" i="129"/>
  <c r="AP94" i="129"/>
  <c r="BG97" i="1"/>
  <c r="BH97" i="1" s="1"/>
  <c r="BA97" i="1"/>
  <c r="AA96" i="51"/>
  <c r="AA95" i="51"/>
  <c r="AA94" i="51"/>
  <c r="AA93" i="51"/>
  <c r="AA92" i="51"/>
  <c r="AA91" i="51"/>
  <c r="AA90" i="51"/>
  <c r="F90" i="51"/>
  <c r="AC93" i="3"/>
  <c r="AC92" i="3"/>
  <c r="AC90" i="3"/>
  <c r="AC91" i="3"/>
  <c r="AC95" i="3"/>
  <c r="AC96" i="3"/>
  <c r="AC94" i="3"/>
  <c r="U16" i="274"/>
  <c r="T16" i="274"/>
  <c r="R16" i="274"/>
  <c r="Q16" i="274"/>
  <c r="P16" i="274"/>
  <c r="N16" i="274"/>
  <c r="AC97" i="129" s="1"/>
  <c r="AD97" i="129" s="1"/>
  <c r="Y97" i="129" s="1"/>
  <c r="O16" i="274"/>
  <c r="L16" i="257"/>
  <c r="L3" i="274" s="1"/>
  <c r="L15" i="257"/>
  <c r="L4" i="274" s="1"/>
  <c r="L12" i="257"/>
  <c r="L7" i="274" s="1"/>
  <c r="L10" i="257"/>
  <c r="L9" i="274" s="1"/>
  <c r="L7" i="257"/>
  <c r="L12" i="274" s="1"/>
  <c r="M16" i="274"/>
  <c r="L14" i="257"/>
  <c r="L5" i="274" s="1"/>
  <c r="L13" i="257"/>
  <c r="L6" i="274" s="1"/>
  <c r="L11" i="257"/>
  <c r="L8" i="274" s="1"/>
  <c r="L9" i="257"/>
  <c r="L10" i="274" s="1"/>
  <c r="L8" i="257"/>
  <c r="L11" i="274" s="1"/>
  <c r="L6" i="257"/>
  <c r="L13" i="274" s="1"/>
  <c r="L4" i="257"/>
  <c r="L15" i="274" s="1"/>
  <c r="L16" i="274"/>
  <c r="S16" i="274"/>
  <c r="I16" i="274"/>
  <c r="R3" i="256"/>
  <c r="O3" i="256"/>
  <c r="Q3" i="256"/>
  <c r="P3" i="256"/>
  <c r="N3" i="256"/>
  <c r="Y89" i="102"/>
  <c r="X78" i="102"/>
  <c r="C129" i="133" l="1"/>
  <c r="H129" i="133" s="1"/>
  <c r="L129" i="133" s="1"/>
  <c r="R129" i="133" s="1"/>
  <c r="V129" i="133" s="1"/>
  <c r="Z129" i="133" s="1"/>
  <c r="V88" i="639" s="1"/>
  <c r="W129" i="314"/>
  <c r="AA129" i="314" s="1"/>
  <c r="N13" i="639" s="1"/>
  <c r="AO13" i="639"/>
  <c r="M129" i="103"/>
  <c r="S129" i="103" s="1"/>
  <c r="W129" i="101"/>
  <c r="AA129" i="101" s="1"/>
  <c r="T13" i="639" s="1"/>
  <c r="AU13" i="639"/>
  <c r="W129" i="323"/>
  <c r="AA129" i="323" s="1"/>
  <c r="G13" i="639" s="1"/>
  <c r="AH13" i="639"/>
  <c r="AU109" i="4"/>
  <c r="J133" i="22"/>
  <c r="N133" i="22" s="1"/>
  <c r="H133" i="22"/>
  <c r="L133" i="22" s="1"/>
  <c r="I133" i="22"/>
  <c r="M133" i="22" s="1"/>
  <c r="I133" i="129"/>
  <c r="M133" i="129" s="1"/>
  <c r="H133" i="129"/>
  <c r="L133" i="129" s="1"/>
  <c r="J133" i="129"/>
  <c r="N133" i="129" s="1"/>
  <c r="I133" i="104"/>
  <c r="J133" i="103"/>
  <c r="N133" i="103" s="1"/>
  <c r="I133" i="103"/>
  <c r="M133" i="103" s="1"/>
  <c r="H133" i="102"/>
  <c r="J133" i="101"/>
  <c r="J133" i="102"/>
  <c r="H133" i="101"/>
  <c r="I133" i="102"/>
  <c r="I133" i="101"/>
  <c r="I133" i="27"/>
  <c r="H133" i="26"/>
  <c r="I133" i="25"/>
  <c r="J133" i="314"/>
  <c r="H133" i="21"/>
  <c r="J133" i="20"/>
  <c r="I133" i="19"/>
  <c r="J133" i="25"/>
  <c r="I133" i="26"/>
  <c r="H133" i="25"/>
  <c r="H133" i="314"/>
  <c r="I133" i="21"/>
  <c r="I133" i="20"/>
  <c r="H133" i="19"/>
  <c r="H133" i="20"/>
  <c r="H133" i="131"/>
  <c r="I133" i="314"/>
  <c r="J133" i="19"/>
  <c r="J133" i="131"/>
  <c r="H133" i="23"/>
  <c r="H133" i="29"/>
  <c r="I133" i="131"/>
  <c r="I133" i="23"/>
  <c r="J133" i="29"/>
  <c r="J133" i="21"/>
  <c r="J133" i="23"/>
  <c r="I133" i="29"/>
  <c r="H133" i="27"/>
  <c r="J133" i="27"/>
  <c r="J133" i="26"/>
  <c r="H133" i="51"/>
  <c r="H133" i="3"/>
  <c r="I133" i="3"/>
  <c r="I133" i="323"/>
  <c r="J133" i="51"/>
  <c r="I133" i="63"/>
  <c r="J133" i="3"/>
  <c r="J133" i="63"/>
  <c r="H133" i="18"/>
  <c r="J133" i="18"/>
  <c r="H133" i="323"/>
  <c r="H133" i="63"/>
  <c r="I133" i="18"/>
  <c r="J133" i="323"/>
  <c r="I133" i="51"/>
  <c r="J133" i="1"/>
  <c r="H133" i="1"/>
  <c r="I133" i="1"/>
  <c r="AB96" i="129"/>
  <c r="AO96" i="129" s="1"/>
  <c r="P129" i="129"/>
  <c r="AB97" i="129"/>
  <c r="AO97" i="129" s="1"/>
  <c r="AV97" i="129" s="1"/>
  <c r="P130" i="129"/>
  <c r="P131" i="129" s="1"/>
  <c r="S128" i="129"/>
  <c r="AM12" i="639" s="1"/>
  <c r="T128" i="129"/>
  <c r="R128" i="129"/>
  <c r="S124" i="129"/>
  <c r="AM8" i="639" s="1"/>
  <c r="T124" i="129"/>
  <c r="R124" i="129"/>
  <c r="S127" i="129"/>
  <c r="AM11" i="639" s="1"/>
  <c r="T127" i="129"/>
  <c r="R127" i="129"/>
  <c r="S129" i="129"/>
  <c r="AM13" i="639" s="1"/>
  <c r="S126" i="129"/>
  <c r="AM10" i="639" s="1"/>
  <c r="T126" i="129"/>
  <c r="R126" i="129"/>
  <c r="S125" i="129"/>
  <c r="AM9" i="639" s="1"/>
  <c r="T125" i="129"/>
  <c r="R125" i="129"/>
  <c r="H129" i="27"/>
  <c r="L129" i="27" s="1"/>
  <c r="H129" i="29"/>
  <c r="L129" i="29" s="1"/>
  <c r="L129" i="22"/>
  <c r="J129" i="26"/>
  <c r="N129" i="26" s="1"/>
  <c r="J129" i="323"/>
  <c r="N129" i="323" s="1"/>
  <c r="T129" i="323" s="1"/>
  <c r="X129" i="323" s="1"/>
  <c r="AB129" i="323" s="1"/>
  <c r="N129" i="22"/>
  <c r="H129" i="26"/>
  <c r="L129" i="26" s="1"/>
  <c r="J129" i="131"/>
  <c r="N129" i="131" s="1"/>
  <c r="T129" i="131" s="1"/>
  <c r="J129" i="104"/>
  <c r="N129" i="104" s="1"/>
  <c r="T129" i="104" s="1"/>
  <c r="J129" i="314"/>
  <c r="N129" i="314" s="1"/>
  <c r="T129" i="314" s="1"/>
  <c r="X129" i="314" s="1"/>
  <c r="AB129" i="314" s="1"/>
  <c r="J129" i="20"/>
  <c r="N129" i="20" s="1"/>
  <c r="T129" i="20" s="1"/>
  <c r="J129" i="101"/>
  <c r="N129" i="101" s="1"/>
  <c r="T129" i="101" s="1"/>
  <c r="X129" i="101" s="1"/>
  <c r="AB129" i="101" s="1"/>
  <c r="H129" i="102"/>
  <c r="L129" i="102" s="1"/>
  <c r="J129" i="102"/>
  <c r="N129" i="102" s="1"/>
  <c r="J129" i="29"/>
  <c r="N129" i="29" s="1"/>
  <c r="J129" i="18"/>
  <c r="N129" i="18" s="1"/>
  <c r="H129" i="19"/>
  <c r="L129" i="19" s="1"/>
  <c r="R129" i="19" s="1"/>
  <c r="H129" i="21"/>
  <c r="L129" i="21" s="1"/>
  <c r="H129" i="20"/>
  <c r="L129" i="20" s="1"/>
  <c r="R129" i="20" s="1"/>
  <c r="J129" i="133"/>
  <c r="N129" i="133" s="1"/>
  <c r="T129" i="133" s="1"/>
  <c r="X129" i="133" s="1"/>
  <c r="AB129" i="133" s="1"/>
  <c r="J129" i="21"/>
  <c r="N129" i="21" s="1"/>
  <c r="M129" i="22"/>
  <c r="H129" i="323"/>
  <c r="L129" i="323" s="1"/>
  <c r="R129" i="323" s="1"/>
  <c r="V129" i="323" s="1"/>
  <c r="Z129" i="323" s="1"/>
  <c r="G88" i="639" s="1"/>
  <c r="H129" i="103"/>
  <c r="H129" i="314"/>
  <c r="L129" i="314" s="1"/>
  <c r="R129" i="314" s="1"/>
  <c r="V129" i="314" s="1"/>
  <c r="Z129" i="314" s="1"/>
  <c r="N88" i="639" s="1"/>
  <c r="H129" i="23"/>
  <c r="L129" i="23" s="1"/>
  <c r="R129" i="23" s="1"/>
  <c r="AP13" i="639" s="1"/>
  <c r="J129" i="103"/>
  <c r="J129" i="23"/>
  <c r="N129" i="23" s="1"/>
  <c r="T129" i="23" s="1"/>
  <c r="H129" i="101"/>
  <c r="L129" i="101" s="1"/>
  <c r="R129" i="101" s="1"/>
  <c r="V129" i="101" s="1"/>
  <c r="Z129" i="101" s="1"/>
  <c r="T88" i="639" s="1"/>
  <c r="H129" i="131"/>
  <c r="L129" i="131" s="1"/>
  <c r="R129" i="131" s="1"/>
  <c r="H129" i="18"/>
  <c r="L129" i="18" s="1"/>
  <c r="J129" i="27"/>
  <c r="N129" i="27" s="1"/>
  <c r="J129" i="19"/>
  <c r="N129" i="19" s="1"/>
  <c r="T129" i="19" s="1"/>
  <c r="J129" i="129"/>
  <c r="N129" i="129" s="1"/>
  <c r="T129" i="129" s="1"/>
  <c r="D129" i="104"/>
  <c r="L129" i="104"/>
  <c r="R129" i="104" s="1"/>
  <c r="C129" i="129"/>
  <c r="B129" i="129"/>
  <c r="AP96" i="129"/>
  <c r="AV96" i="129"/>
  <c r="AU96" i="129" s="1"/>
  <c r="BG96" i="129" s="1"/>
  <c r="AW97" i="129"/>
  <c r="K130" i="129" s="1"/>
  <c r="Q130" i="129" s="1"/>
  <c r="AP97" i="129"/>
  <c r="AW92" i="129"/>
  <c r="K125" i="129" s="1"/>
  <c r="Q125" i="129" s="1"/>
  <c r="AU92" i="129"/>
  <c r="BG92" i="129" s="1"/>
  <c r="AW93" i="129"/>
  <c r="K126" i="129" s="1"/>
  <c r="Q126" i="129" s="1"/>
  <c r="AU93" i="129"/>
  <c r="BG93" i="129" s="1"/>
  <c r="AW91" i="129"/>
  <c r="K124" i="129" s="1"/>
  <c r="Q124" i="129" s="1"/>
  <c r="AU91" i="129"/>
  <c r="BG91" i="129" s="1"/>
  <c r="AU94" i="129"/>
  <c r="BG94" i="129" s="1"/>
  <c r="AW94" i="129"/>
  <c r="K127" i="129" s="1"/>
  <c r="Q127" i="129" s="1"/>
  <c r="AU95" i="129"/>
  <c r="BG95" i="129" s="1"/>
  <c r="AW95" i="129"/>
  <c r="K128" i="129" s="1"/>
  <c r="Q128" i="129" s="1"/>
  <c r="AB96" i="51"/>
  <c r="AY96" i="51" s="1"/>
  <c r="AX96" i="51" s="1"/>
  <c r="BH96" i="51" s="1"/>
  <c r="AB90" i="51"/>
  <c r="AY90" i="51" s="1"/>
  <c r="AX90" i="51" s="1"/>
  <c r="BH90" i="51" s="1"/>
  <c r="AB93" i="51"/>
  <c r="AY93" i="51" s="1"/>
  <c r="AX93" i="51" s="1"/>
  <c r="BH93" i="51" s="1"/>
  <c r="AB94" i="51"/>
  <c r="AY94" i="51" s="1"/>
  <c r="AX94" i="51" s="1"/>
  <c r="BH94" i="51" s="1"/>
  <c r="AB91" i="51"/>
  <c r="AY91" i="51" s="1"/>
  <c r="AX91" i="51" s="1"/>
  <c r="BH91" i="51" s="1"/>
  <c r="AB95" i="51"/>
  <c r="AY95" i="51" s="1"/>
  <c r="AX95" i="51" s="1"/>
  <c r="BH95" i="51" s="1"/>
  <c r="AB92" i="51"/>
  <c r="AY92" i="51" s="1"/>
  <c r="AX92" i="51" s="1"/>
  <c r="BH92" i="51" s="1"/>
  <c r="P122" i="102"/>
  <c r="AO89" i="102"/>
  <c r="AD91" i="3"/>
  <c r="AY91" i="3" s="1"/>
  <c r="AX91" i="3" s="1"/>
  <c r="BI91" i="3" s="1"/>
  <c r="AD95" i="3"/>
  <c r="AY95" i="3" s="1"/>
  <c r="AX95" i="3" s="1"/>
  <c r="BI95" i="3" s="1"/>
  <c r="AD94" i="3"/>
  <c r="AY94" i="3" s="1"/>
  <c r="AX94" i="3" s="1"/>
  <c r="BI94" i="3" s="1"/>
  <c r="AD90" i="3"/>
  <c r="AY90" i="3" s="1"/>
  <c r="AX90" i="3" s="1"/>
  <c r="BI90" i="3" s="1"/>
  <c r="AD92" i="3"/>
  <c r="AY92" i="3" s="1"/>
  <c r="AX92" i="3" s="1"/>
  <c r="BI92" i="3" s="1"/>
  <c r="AD96" i="3"/>
  <c r="AY96" i="3" s="1"/>
  <c r="AX96" i="3" s="1"/>
  <c r="BI96" i="3" s="1"/>
  <c r="AD93" i="3"/>
  <c r="AY93" i="3" s="1"/>
  <c r="AX93" i="3" s="1"/>
  <c r="BI93" i="3" s="1"/>
  <c r="AW92" i="51"/>
  <c r="BG92" i="51" s="1"/>
  <c r="AW93" i="51"/>
  <c r="BG93" i="51" s="1"/>
  <c r="AW90" i="51"/>
  <c r="BG90" i="51" s="1"/>
  <c r="AW95" i="51"/>
  <c r="BG95" i="51" s="1"/>
  <c r="AW94" i="51"/>
  <c r="BG94" i="51" s="1"/>
  <c r="AW91" i="51"/>
  <c r="BG91" i="51" s="1"/>
  <c r="AW96" i="51"/>
  <c r="BG96" i="51" s="1"/>
  <c r="AW91" i="3"/>
  <c r="BH91" i="3" s="1"/>
  <c r="AW90" i="3"/>
  <c r="BH90" i="3" s="1"/>
  <c r="AW92" i="3"/>
  <c r="BH92" i="3" s="1"/>
  <c r="AW94" i="3"/>
  <c r="BH94" i="3" s="1"/>
  <c r="AW96" i="3"/>
  <c r="BH96" i="3" s="1"/>
  <c r="AW95" i="3"/>
  <c r="BH95" i="3" s="1"/>
  <c r="AW93" i="3"/>
  <c r="BH93" i="3" s="1"/>
  <c r="C90" i="1"/>
  <c r="B90" i="1" s="1"/>
  <c r="B50" i="135" s="1"/>
  <c r="C91" i="1"/>
  <c r="B91" i="1" s="1"/>
  <c r="B51" i="135" s="1"/>
  <c r="AA51" i="135" s="1"/>
  <c r="AB51" i="135" s="1"/>
  <c r="C92" i="1"/>
  <c r="B92" i="1" s="1"/>
  <c r="B52" i="135" s="1"/>
  <c r="AA52" i="135" s="1"/>
  <c r="AB52" i="135" s="1"/>
  <c r="C93" i="1"/>
  <c r="B93" i="1" s="1"/>
  <c r="B53" i="135" s="1"/>
  <c r="AA53" i="135" s="1"/>
  <c r="AB53" i="135" s="1"/>
  <c r="C94" i="1"/>
  <c r="B94" i="1" s="1"/>
  <c r="B54" i="135" s="1"/>
  <c r="AA54" i="135" s="1"/>
  <c r="AB54" i="135" s="1"/>
  <c r="C95" i="1"/>
  <c r="B95" i="1" s="1"/>
  <c r="B55" i="135" s="1"/>
  <c r="AA55" i="135" s="1"/>
  <c r="AB55" i="135" s="1"/>
  <c r="C89" i="1"/>
  <c r="B89" i="1" s="1"/>
  <c r="B50" i="196"/>
  <c r="B51" i="196"/>
  <c r="G124" i="1" s="1"/>
  <c r="B52" i="196"/>
  <c r="G125" i="1" s="1"/>
  <c r="B53" i="196"/>
  <c r="G126" i="1" s="1"/>
  <c r="B54" i="196"/>
  <c r="G127" i="1" s="1"/>
  <c r="B55" i="196"/>
  <c r="G128" i="1" s="1"/>
  <c r="B56" i="196"/>
  <c r="G129" i="1" s="1"/>
  <c r="B49" i="196"/>
  <c r="F122" i="1" s="1"/>
  <c r="G122" i="1" s="1"/>
  <c r="B52" i="193"/>
  <c r="B51" i="490" s="1"/>
  <c r="B6" i="491" s="1"/>
  <c r="B53" i="193"/>
  <c r="B52" i="490" s="1"/>
  <c r="B7" i="491" s="1"/>
  <c r="B54" i="193"/>
  <c r="B53" i="490" s="1"/>
  <c r="B8" i="491" s="1"/>
  <c r="B55" i="193"/>
  <c r="B54" i="490" s="1"/>
  <c r="B9" i="491" s="1"/>
  <c r="B56" i="193"/>
  <c r="B55" i="490" s="1"/>
  <c r="B10" i="491" s="1"/>
  <c r="B57" i="193"/>
  <c r="B56" i="490" s="1"/>
  <c r="B11" i="491" s="1"/>
  <c r="C11" i="491" s="1"/>
  <c r="D11" i="491" s="1"/>
  <c r="E11" i="491" s="1"/>
  <c r="B50" i="193"/>
  <c r="B49" i="490" s="1"/>
  <c r="B4" i="491" s="1"/>
  <c r="AQ100" i="4"/>
  <c r="BH100" i="4" s="1"/>
  <c r="BN100" i="4" s="1"/>
  <c r="AQ101" i="4"/>
  <c r="AQ102" i="4"/>
  <c r="AQ103" i="4"/>
  <c r="BH103" i="4" s="1"/>
  <c r="BN103" i="4" s="1"/>
  <c r="S99" i="4"/>
  <c r="AR99" i="4"/>
  <c r="AR100" i="4"/>
  <c r="AR101" i="4"/>
  <c r="AR102" i="4"/>
  <c r="AY103" i="4"/>
  <c r="AX103" i="4" s="1"/>
  <c r="AR104" i="4"/>
  <c r="BI104" i="4" s="1"/>
  <c r="BP104" i="4" s="1"/>
  <c r="BW51" i="193"/>
  <c r="W129" i="103" l="1"/>
  <c r="AA129" i="103" s="1"/>
  <c r="W13" i="639" s="1"/>
  <c r="AX13" i="639"/>
  <c r="L129" i="103"/>
  <c r="R129" i="103" s="1"/>
  <c r="V129" i="103" s="1"/>
  <c r="Z129" i="103" s="1"/>
  <c r="W88" i="639" s="1"/>
  <c r="N129" i="103"/>
  <c r="T129" i="103" s="1"/>
  <c r="X129" i="103" s="1"/>
  <c r="AB129" i="103" s="1"/>
  <c r="AU110" i="4"/>
  <c r="J134" i="22"/>
  <c r="N134" i="22" s="1"/>
  <c r="H134" i="22"/>
  <c r="L134" i="22" s="1"/>
  <c r="I134" i="22"/>
  <c r="M134" i="22" s="1"/>
  <c r="I134" i="129"/>
  <c r="M134" i="129" s="1"/>
  <c r="J134" i="129"/>
  <c r="N134" i="129" s="1"/>
  <c r="H134" i="129"/>
  <c r="L134" i="129" s="1"/>
  <c r="I134" i="104"/>
  <c r="J134" i="103"/>
  <c r="N134" i="103" s="1"/>
  <c r="I134" i="103"/>
  <c r="M134" i="103" s="1"/>
  <c r="I134" i="102"/>
  <c r="H134" i="101"/>
  <c r="H134" i="102"/>
  <c r="I134" i="101"/>
  <c r="J134" i="102"/>
  <c r="J134" i="101"/>
  <c r="I134" i="21"/>
  <c r="J134" i="20"/>
  <c r="I134" i="19"/>
  <c r="H134" i="29"/>
  <c r="J134" i="21"/>
  <c r="H134" i="20"/>
  <c r="H134" i="25"/>
  <c r="I134" i="20"/>
  <c r="J134" i="29"/>
  <c r="I134" i="27"/>
  <c r="J134" i="25"/>
  <c r="I134" i="29"/>
  <c r="I134" i="26"/>
  <c r="I134" i="25"/>
  <c r="J134" i="314"/>
  <c r="H134" i="131"/>
  <c r="H134" i="314"/>
  <c r="J134" i="27"/>
  <c r="H134" i="26"/>
  <c r="J134" i="131"/>
  <c r="H134" i="23"/>
  <c r="I134" i="314"/>
  <c r="H134" i="27"/>
  <c r="J134" i="26"/>
  <c r="I134" i="131"/>
  <c r="I134" i="23"/>
  <c r="H134" i="21"/>
  <c r="H134" i="19"/>
  <c r="J134" i="23"/>
  <c r="J134" i="19"/>
  <c r="I134" i="323"/>
  <c r="I134" i="63"/>
  <c r="I134" i="51"/>
  <c r="J134" i="3"/>
  <c r="H134" i="63"/>
  <c r="H134" i="51"/>
  <c r="I134" i="3"/>
  <c r="I134" i="18"/>
  <c r="J134" i="51"/>
  <c r="J134" i="18"/>
  <c r="H134" i="18"/>
  <c r="H134" i="323"/>
  <c r="J134" i="323"/>
  <c r="J134" i="63"/>
  <c r="H134" i="3"/>
  <c r="H134" i="1"/>
  <c r="I134" i="1"/>
  <c r="J134" i="1"/>
  <c r="AW96" i="129"/>
  <c r="K129" i="129" s="1"/>
  <c r="Q129" i="129" s="1"/>
  <c r="I129" i="104"/>
  <c r="M129" i="104" s="1"/>
  <c r="S129" i="104" s="1"/>
  <c r="AY13" i="639" s="1"/>
  <c r="I129" i="133"/>
  <c r="M129" i="133" s="1"/>
  <c r="S129" i="133" s="1"/>
  <c r="H129" i="129"/>
  <c r="L129" i="129" s="1"/>
  <c r="R129" i="129" s="1"/>
  <c r="K126" i="1"/>
  <c r="Q126" i="1" s="1"/>
  <c r="I126" i="1"/>
  <c r="M126" i="1" s="1"/>
  <c r="H126" i="1"/>
  <c r="L126" i="1" s="1"/>
  <c r="J126" i="1"/>
  <c r="N126" i="1" s="1"/>
  <c r="K125" i="1"/>
  <c r="Q125" i="1" s="1"/>
  <c r="I125" i="1"/>
  <c r="M125" i="1" s="1"/>
  <c r="H125" i="1"/>
  <c r="L125" i="1" s="1"/>
  <c r="J125" i="1"/>
  <c r="N125" i="1" s="1"/>
  <c r="K124" i="1"/>
  <c r="Q124" i="1" s="1"/>
  <c r="I124" i="1"/>
  <c r="M124" i="1" s="1"/>
  <c r="H124" i="1"/>
  <c r="L124" i="1" s="1"/>
  <c r="J124" i="1"/>
  <c r="N124" i="1" s="1"/>
  <c r="Q123" i="1"/>
  <c r="H123" i="1"/>
  <c r="J123" i="1"/>
  <c r="N123" i="1" s="1"/>
  <c r="K129" i="1"/>
  <c r="Q129" i="1" s="1"/>
  <c r="I129" i="1"/>
  <c r="M129" i="1" s="1"/>
  <c r="K128" i="1"/>
  <c r="I128" i="1"/>
  <c r="M128" i="1" s="1"/>
  <c r="H128" i="1"/>
  <c r="L128" i="1" s="1"/>
  <c r="J128" i="1"/>
  <c r="N128" i="1" s="1"/>
  <c r="J129" i="1"/>
  <c r="N129" i="1" s="1"/>
  <c r="K127" i="1"/>
  <c r="Q127" i="1" s="1"/>
  <c r="I127" i="1"/>
  <c r="M127" i="1" s="1"/>
  <c r="J127" i="1"/>
  <c r="N127" i="1" s="1"/>
  <c r="H127" i="1"/>
  <c r="L127" i="1" s="1"/>
  <c r="H129" i="1"/>
  <c r="L129" i="1" s="1"/>
  <c r="BQ103" i="4"/>
  <c r="BX103" i="4"/>
  <c r="AW102" i="4"/>
  <c r="U140" i="4" s="1"/>
  <c r="AD140" i="4" s="1"/>
  <c r="AE140" i="4" s="1"/>
  <c r="AF140" i="4" s="1"/>
  <c r="BH102" i="4"/>
  <c r="BN102" i="4" s="1"/>
  <c r="AW101" i="4"/>
  <c r="U139" i="4" s="1"/>
  <c r="AD139" i="4" s="1"/>
  <c r="AE139" i="4" s="1"/>
  <c r="AF139" i="4" s="1"/>
  <c r="BH101" i="4"/>
  <c r="BN101" i="4" s="1"/>
  <c r="BQ104" i="4"/>
  <c r="BO104" i="4"/>
  <c r="BY104" i="4" s="1"/>
  <c r="AY102" i="4"/>
  <c r="AX102" i="4" s="1"/>
  <c r="BI102" i="4"/>
  <c r="BP102" i="4" s="1"/>
  <c r="BO102" i="4" s="1"/>
  <c r="BY102" i="4" s="1"/>
  <c r="BX100" i="4"/>
  <c r="AY99" i="4"/>
  <c r="AX99" i="4" s="1"/>
  <c r="BI99" i="4"/>
  <c r="BP99" i="4" s="1"/>
  <c r="BO99" i="4" s="1"/>
  <c r="BY99" i="4" s="1"/>
  <c r="AY101" i="4"/>
  <c r="AX101" i="4" s="1"/>
  <c r="BI101" i="4"/>
  <c r="BP101" i="4" s="1"/>
  <c r="BO101" i="4" s="1"/>
  <c r="BY101" i="4" s="1"/>
  <c r="AY100" i="4"/>
  <c r="AX100" i="4" s="1"/>
  <c r="BI100" i="4"/>
  <c r="BP100" i="4" s="1"/>
  <c r="BO100" i="4" s="1"/>
  <c r="BY100" i="4" s="1"/>
  <c r="Y125" i="51"/>
  <c r="U125" i="51"/>
  <c r="AD125" i="51" s="1"/>
  <c r="AE125" i="51" s="1"/>
  <c r="AF125" i="51" s="1"/>
  <c r="Y127" i="51"/>
  <c r="U127" i="51"/>
  <c r="AD127" i="51" s="1"/>
  <c r="AE127" i="51" s="1"/>
  <c r="AF127" i="51" s="1"/>
  <c r="Y128" i="51"/>
  <c r="U128" i="51"/>
  <c r="AD128" i="51" s="1"/>
  <c r="AE128" i="51" s="1"/>
  <c r="AF128" i="51" s="1"/>
  <c r="Y129" i="51"/>
  <c r="U129" i="51"/>
  <c r="AD129" i="51" s="1"/>
  <c r="AE129" i="51" s="1"/>
  <c r="AF129" i="51" s="1"/>
  <c r="Y123" i="51"/>
  <c r="U123" i="51"/>
  <c r="Y124" i="51"/>
  <c r="U124" i="51"/>
  <c r="AD124" i="51" s="1"/>
  <c r="AE124" i="51" s="1"/>
  <c r="AF124" i="51" s="1"/>
  <c r="Y126" i="51"/>
  <c r="U126" i="51"/>
  <c r="AD126" i="51" s="1"/>
  <c r="AE126" i="51" s="1"/>
  <c r="AF126" i="51" s="1"/>
  <c r="K122" i="1"/>
  <c r="Q122" i="1" s="1"/>
  <c r="H122" i="1"/>
  <c r="L122" i="1" s="1"/>
  <c r="I122" i="1"/>
  <c r="M122" i="1" s="1"/>
  <c r="J122" i="1"/>
  <c r="N122" i="1" s="1"/>
  <c r="AZ95" i="51"/>
  <c r="AZ96" i="51"/>
  <c r="AZ90" i="51"/>
  <c r="AZ91" i="51"/>
  <c r="AZ93" i="51"/>
  <c r="AZ94" i="51"/>
  <c r="AZ92" i="51"/>
  <c r="AZ96" i="3"/>
  <c r="U129" i="3"/>
  <c r="AZ91" i="3"/>
  <c r="U124" i="3"/>
  <c r="AZ94" i="3"/>
  <c r="U127" i="3"/>
  <c r="AZ93" i="3"/>
  <c r="U126" i="3"/>
  <c r="AZ92" i="3"/>
  <c r="U125" i="3"/>
  <c r="AZ95" i="3"/>
  <c r="U128" i="3"/>
  <c r="AZ90" i="3"/>
  <c r="U123" i="3"/>
  <c r="AY104" i="4"/>
  <c r="AX104" i="4" s="1"/>
  <c r="AZ102" i="4"/>
  <c r="K140" i="4" s="1"/>
  <c r="AS100" i="4"/>
  <c r="AW100" i="4"/>
  <c r="Z56" i="195"/>
  <c r="AS103" i="4"/>
  <c r="AW103" i="4"/>
  <c r="AQ99" i="4"/>
  <c r="Z53" i="195"/>
  <c r="AS101" i="4"/>
  <c r="Z54" i="195"/>
  <c r="AS102" i="4"/>
  <c r="AS104" i="4"/>
  <c r="Z55" i="195"/>
  <c r="Z52" i="195"/>
  <c r="L123" i="1" l="1"/>
  <c r="D7" i="641"/>
  <c r="W129" i="133"/>
  <c r="AA129" i="133" s="1"/>
  <c r="V13" i="639" s="1"/>
  <c r="AW13" i="639"/>
  <c r="AU111" i="4"/>
  <c r="H135" i="22"/>
  <c r="L135" i="22" s="1"/>
  <c r="I135" i="22"/>
  <c r="M135" i="22" s="1"/>
  <c r="J135" i="22"/>
  <c r="N135" i="22" s="1"/>
  <c r="J135" i="129"/>
  <c r="N135" i="129" s="1"/>
  <c r="H135" i="129"/>
  <c r="L135" i="129" s="1"/>
  <c r="I135" i="129"/>
  <c r="M135" i="129" s="1"/>
  <c r="I135" i="104"/>
  <c r="I135" i="103"/>
  <c r="M135" i="103" s="1"/>
  <c r="J135" i="103"/>
  <c r="N135" i="103" s="1"/>
  <c r="J135" i="101"/>
  <c r="H135" i="102"/>
  <c r="I135" i="101"/>
  <c r="H135" i="101"/>
  <c r="J135" i="102"/>
  <c r="I135" i="102"/>
  <c r="J135" i="314"/>
  <c r="H135" i="21"/>
  <c r="H135" i="19"/>
  <c r="I135" i="131"/>
  <c r="I135" i="314"/>
  <c r="I135" i="21"/>
  <c r="H135" i="20"/>
  <c r="I135" i="19"/>
  <c r="H135" i="26"/>
  <c r="I135" i="25"/>
  <c r="H135" i="131"/>
  <c r="J135" i="23"/>
  <c r="H135" i="314"/>
  <c r="J135" i="21"/>
  <c r="I135" i="20"/>
  <c r="J135" i="19"/>
  <c r="J135" i="27"/>
  <c r="I135" i="26"/>
  <c r="J135" i="25"/>
  <c r="J135" i="131"/>
  <c r="I135" i="23"/>
  <c r="J135" i="20"/>
  <c r="H135" i="27"/>
  <c r="J135" i="26"/>
  <c r="H135" i="25"/>
  <c r="H135" i="23"/>
  <c r="J135" i="29"/>
  <c r="I135" i="27"/>
  <c r="H135" i="29"/>
  <c r="I135" i="29"/>
  <c r="I135" i="3"/>
  <c r="J135" i="3"/>
  <c r="I135" i="323"/>
  <c r="J135" i="18"/>
  <c r="H135" i="3"/>
  <c r="I135" i="63"/>
  <c r="H135" i="323"/>
  <c r="H135" i="63"/>
  <c r="I135" i="18"/>
  <c r="J135" i="51"/>
  <c r="J135" i="323"/>
  <c r="J135" i="63"/>
  <c r="H135" i="18"/>
  <c r="I135" i="51"/>
  <c r="H135" i="51"/>
  <c r="I135" i="1"/>
  <c r="H135" i="1"/>
  <c r="J135" i="1"/>
  <c r="BQ100" i="4"/>
  <c r="Y141" i="4"/>
  <c r="BZ103" i="4"/>
  <c r="Y139" i="4"/>
  <c r="BZ101" i="4"/>
  <c r="Y138" i="4"/>
  <c r="BZ100" i="4"/>
  <c r="Y140" i="4"/>
  <c r="BZ102" i="4"/>
  <c r="U95" i="16"/>
  <c r="W95" i="16" s="1"/>
  <c r="BJ103" i="4"/>
  <c r="BX101" i="4"/>
  <c r="BQ101" i="4"/>
  <c r="BQ102" i="4"/>
  <c r="BX102" i="4"/>
  <c r="U96" i="16"/>
  <c r="W96" i="16" s="1"/>
  <c r="BJ104" i="4"/>
  <c r="U94" i="16"/>
  <c r="W94" i="16" s="1"/>
  <c r="BJ102" i="4"/>
  <c r="U93" i="16"/>
  <c r="W93" i="16" s="1"/>
  <c r="BJ101" i="4"/>
  <c r="AW99" i="4"/>
  <c r="BH99" i="4"/>
  <c r="BN99" i="4" s="1"/>
  <c r="U92" i="16"/>
  <c r="W92" i="16" s="1"/>
  <c r="BJ100" i="4"/>
  <c r="AZ101" i="4"/>
  <c r="K139" i="4" s="1"/>
  <c r="Y123" i="3"/>
  <c r="AC123" i="3"/>
  <c r="Y124" i="3"/>
  <c r="AC124" i="3"/>
  <c r="Y127" i="3"/>
  <c r="AC127" i="3"/>
  <c r="Y128" i="3"/>
  <c r="AC128" i="3"/>
  <c r="Y125" i="3"/>
  <c r="AC125" i="3"/>
  <c r="Y129" i="3"/>
  <c r="AC129" i="3"/>
  <c r="Y126" i="3"/>
  <c r="AC126" i="3"/>
  <c r="AZ100" i="4"/>
  <c r="K138" i="4" s="1"/>
  <c r="U138" i="4"/>
  <c r="AD138" i="4" s="1"/>
  <c r="AE138" i="4" s="1"/>
  <c r="AF138" i="4" s="1"/>
  <c r="AZ103" i="4"/>
  <c r="K141" i="4" s="1"/>
  <c r="U141" i="4"/>
  <c r="AD141" i="4" s="1"/>
  <c r="AE141" i="4" s="1"/>
  <c r="AF141" i="4" s="1"/>
  <c r="AZ104" i="4"/>
  <c r="K142" i="4" s="1"/>
  <c r="U142" i="4"/>
  <c r="AD142" i="4" s="1"/>
  <c r="AE142" i="4" s="1"/>
  <c r="AF142" i="4" s="1"/>
  <c r="R122" i="1"/>
  <c r="V122" i="1" s="1"/>
  <c r="T122" i="1"/>
  <c r="X122" i="1" s="1"/>
  <c r="S123" i="1"/>
  <c r="S126" i="1"/>
  <c r="S127" i="1"/>
  <c r="S128" i="1"/>
  <c r="R124" i="1"/>
  <c r="V124" i="1" s="1"/>
  <c r="S125" i="1"/>
  <c r="R126" i="1"/>
  <c r="V126" i="1" s="1"/>
  <c r="R127" i="1"/>
  <c r="V127" i="1" s="1"/>
  <c r="T128" i="1"/>
  <c r="X128" i="1" s="1"/>
  <c r="R128" i="1"/>
  <c r="V128" i="1" s="1"/>
  <c r="S124" i="1"/>
  <c r="T125" i="1"/>
  <c r="X125" i="1" s="1"/>
  <c r="T126" i="1"/>
  <c r="X126" i="1" s="1"/>
  <c r="S122" i="1"/>
  <c r="T127" i="1"/>
  <c r="X127" i="1" s="1"/>
  <c r="T123" i="1"/>
  <c r="X123" i="1" s="1"/>
  <c r="Q128" i="1"/>
  <c r="T124" i="1"/>
  <c r="X124" i="1" s="1"/>
  <c r="R125" i="1"/>
  <c r="V125" i="1" s="1"/>
  <c r="AS99" i="4"/>
  <c r="Z51" i="195"/>
  <c r="Z89" i="1"/>
  <c r="AE50" i="196"/>
  <c r="AE51" i="196"/>
  <c r="AE52" i="196"/>
  <c r="AE53" i="196"/>
  <c r="AE54" i="196"/>
  <c r="AE55" i="196"/>
  <c r="AE56" i="196"/>
  <c r="D8" i="641" l="1"/>
  <c r="E8" i="641"/>
  <c r="R123" i="1"/>
  <c r="W122" i="1"/>
  <c r="AA122" i="1" s="1"/>
  <c r="B6" i="639" s="1"/>
  <c r="AC6" i="639"/>
  <c r="W127" i="1"/>
  <c r="AC11" i="639"/>
  <c r="W126" i="1"/>
  <c r="AA126" i="1" s="1"/>
  <c r="B10" i="639" s="1"/>
  <c r="AC10" i="639"/>
  <c r="W123" i="1"/>
  <c r="AA123" i="1" s="1"/>
  <c r="B7" i="639" s="1"/>
  <c r="AC7" i="639"/>
  <c r="W125" i="1"/>
  <c r="AA125" i="1" s="1"/>
  <c r="B9" i="639" s="1"/>
  <c r="AC9" i="639"/>
  <c r="W128" i="1"/>
  <c r="AA128" i="1" s="1"/>
  <c r="B12" i="639" s="1"/>
  <c r="AC12" i="639"/>
  <c r="W124" i="1"/>
  <c r="AC8" i="639"/>
  <c r="AU112" i="4"/>
  <c r="J136" i="22"/>
  <c r="N136" i="22" s="1"/>
  <c r="H136" i="22"/>
  <c r="L136" i="22" s="1"/>
  <c r="I136" i="22"/>
  <c r="M136" i="22" s="1"/>
  <c r="J136" i="129"/>
  <c r="N136" i="129" s="1"/>
  <c r="I136" i="129"/>
  <c r="M136" i="129" s="1"/>
  <c r="H136" i="129"/>
  <c r="L136" i="129" s="1"/>
  <c r="I136" i="104"/>
  <c r="I136" i="103"/>
  <c r="M136" i="103" s="1"/>
  <c r="J136" i="103"/>
  <c r="N136" i="103" s="1"/>
  <c r="J136" i="101"/>
  <c r="I136" i="102"/>
  <c r="H136" i="101"/>
  <c r="J136" i="102"/>
  <c r="I136" i="101"/>
  <c r="H136" i="102"/>
  <c r="J136" i="27"/>
  <c r="J136" i="26"/>
  <c r="I136" i="23"/>
  <c r="H136" i="20"/>
  <c r="H136" i="29"/>
  <c r="H136" i="27"/>
  <c r="I136" i="26"/>
  <c r="J136" i="25"/>
  <c r="J136" i="23"/>
  <c r="I136" i="20"/>
  <c r="I136" i="29"/>
  <c r="H136" i="23"/>
  <c r="I136" i="25"/>
  <c r="J136" i="20"/>
  <c r="J136" i="29"/>
  <c r="I136" i="27"/>
  <c r="H136" i="21"/>
  <c r="H136" i="25"/>
  <c r="H136" i="26"/>
  <c r="I136" i="131"/>
  <c r="J136" i="314"/>
  <c r="H136" i="19"/>
  <c r="J136" i="131"/>
  <c r="H136" i="314"/>
  <c r="I136" i="21"/>
  <c r="J136" i="19"/>
  <c r="H136" i="131"/>
  <c r="I136" i="314"/>
  <c r="J136" i="21"/>
  <c r="I136" i="19"/>
  <c r="J136" i="63"/>
  <c r="J136" i="51"/>
  <c r="J136" i="3"/>
  <c r="J136" i="323"/>
  <c r="I136" i="63"/>
  <c r="H136" i="18"/>
  <c r="H136" i="51"/>
  <c r="H136" i="323"/>
  <c r="H136" i="63"/>
  <c r="I136" i="18"/>
  <c r="I136" i="51"/>
  <c r="I136" i="323"/>
  <c r="J136" i="18"/>
  <c r="I136" i="3"/>
  <c r="H136" i="3"/>
  <c r="I136" i="1"/>
  <c r="J136" i="1"/>
  <c r="H136" i="1"/>
  <c r="Y137" i="4"/>
  <c r="BZ99" i="4"/>
  <c r="U91" i="16"/>
  <c r="W91" i="16" s="1"/>
  <c r="BJ99" i="4"/>
  <c r="BX99" i="4"/>
  <c r="BQ99" i="4"/>
  <c r="U137" i="4"/>
  <c r="AD137" i="4" s="1"/>
  <c r="AE137" i="4" s="1"/>
  <c r="AF137" i="4" s="1"/>
  <c r="AZ99" i="4"/>
  <c r="K137" i="4" s="1"/>
  <c r="AB125" i="1"/>
  <c r="Z128" i="1"/>
  <c r="AB124" i="1"/>
  <c r="AB128" i="1"/>
  <c r="Z124" i="1"/>
  <c r="AB123" i="1"/>
  <c r="AA124" i="1"/>
  <c r="B8" i="639" s="1"/>
  <c r="AA127" i="1"/>
  <c r="B11" i="639" s="1"/>
  <c r="Z127" i="1"/>
  <c r="AB122" i="1"/>
  <c r="AB127" i="1"/>
  <c r="Z126" i="1"/>
  <c r="Z125" i="1"/>
  <c r="AB126" i="1"/>
  <c r="Z122" i="1"/>
  <c r="Q94" i="4"/>
  <c r="V123" i="1" l="1"/>
  <c r="Z123" i="1" s="1"/>
  <c r="F5" i="641"/>
  <c r="G7" i="641"/>
  <c r="B81" i="639"/>
  <c r="B82" i="639"/>
  <c r="B86" i="639"/>
  <c r="B87" i="639"/>
  <c r="B84" i="639"/>
  <c r="B85" i="639"/>
  <c r="B83" i="639"/>
  <c r="AU113" i="4"/>
  <c r="I137" i="22"/>
  <c r="M137" i="22" s="1"/>
  <c r="J137" i="22"/>
  <c r="N137" i="22" s="1"/>
  <c r="H137" i="22"/>
  <c r="L137" i="22" s="1"/>
  <c r="I137" i="129"/>
  <c r="M137" i="129" s="1"/>
  <c r="H137" i="129"/>
  <c r="L137" i="129" s="1"/>
  <c r="J137" i="129"/>
  <c r="N137" i="129" s="1"/>
  <c r="I137" i="104"/>
  <c r="J137" i="103"/>
  <c r="N137" i="103" s="1"/>
  <c r="I137" i="103"/>
  <c r="M137" i="103" s="1"/>
  <c r="J137" i="102"/>
  <c r="H137" i="101"/>
  <c r="I137" i="101"/>
  <c r="J137" i="101"/>
  <c r="I137" i="102"/>
  <c r="H137" i="102"/>
  <c r="J137" i="23"/>
  <c r="I137" i="26"/>
  <c r="H137" i="21"/>
  <c r="J137" i="26"/>
  <c r="H137" i="314"/>
  <c r="I137" i="21"/>
  <c r="I137" i="20"/>
  <c r="I137" i="23"/>
  <c r="I137" i="27"/>
  <c r="H137" i="26"/>
  <c r="I137" i="314"/>
  <c r="J137" i="21"/>
  <c r="H137" i="20"/>
  <c r="H137" i="19"/>
  <c r="I137" i="29"/>
  <c r="H137" i="27"/>
  <c r="J137" i="314"/>
  <c r="J137" i="20"/>
  <c r="I137" i="19"/>
  <c r="J137" i="27"/>
  <c r="I137" i="25"/>
  <c r="J137" i="131"/>
  <c r="J137" i="19"/>
  <c r="H137" i="29"/>
  <c r="I137" i="131"/>
  <c r="J137" i="25"/>
  <c r="H137" i="131"/>
  <c r="H137" i="23"/>
  <c r="J137" i="29"/>
  <c r="H137" i="25"/>
  <c r="I137" i="323"/>
  <c r="J137" i="63"/>
  <c r="I137" i="18"/>
  <c r="H137" i="63"/>
  <c r="J137" i="18"/>
  <c r="H137" i="51"/>
  <c r="J137" i="3"/>
  <c r="I137" i="3"/>
  <c r="H137" i="3"/>
  <c r="J137" i="323"/>
  <c r="J137" i="51"/>
  <c r="H137" i="323"/>
  <c r="I137" i="63"/>
  <c r="H137" i="18"/>
  <c r="I137" i="51"/>
  <c r="J137" i="1"/>
  <c r="H137" i="1"/>
  <c r="I137" i="1"/>
  <c r="AB8" i="196"/>
  <c r="AB7" i="196" s="1"/>
  <c r="AB6" i="196" s="1"/>
  <c r="AB5" i="196" s="1"/>
  <c r="AB4" i="196" s="1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22" i="16"/>
  <c r="F7" i="641" l="1"/>
  <c r="J5" i="641"/>
  <c r="I7" i="641"/>
  <c r="AU114" i="4"/>
  <c r="H138" i="22"/>
  <c r="L138" i="22" s="1"/>
  <c r="I138" i="22"/>
  <c r="M138" i="22" s="1"/>
  <c r="J138" i="22"/>
  <c r="N138" i="22" s="1"/>
  <c r="J138" i="129"/>
  <c r="N138" i="129" s="1"/>
  <c r="H138" i="129"/>
  <c r="L138" i="129" s="1"/>
  <c r="I138" i="129"/>
  <c r="M138" i="129" s="1"/>
  <c r="I138" i="104"/>
  <c r="J138" i="103"/>
  <c r="N138" i="103" s="1"/>
  <c r="I138" i="103"/>
  <c r="M138" i="103" s="1"/>
  <c r="I138" i="102"/>
  <c r="I138" i="101"/>
  <c r="H138" i="102"/>
  <c r="J138" i="101"/>
  <c r="J138" i="102"/>
  <c r="H138" i="101"/>
  <c r="H138" i="27"/>
  <c r="I138" i="25"/>
  <c r="H138" i="23"/>
  <c r="J138" i="21"/>
  <c r="I138" i="27"/>
  <c r="I138" i="131"/>
  <c r="J138" i="23"/>
  <c r="J138" i="27"/>
  <c r="H138" i="131"/>
  <c r="H138" i="314"/>
  <c r="I138" i="29"/>
  <c r="H138" i="19"/>
  <c r="J138" i="131"/>
  <c r="I138" i="314"/>
  <c r="H138" i="29"/>
  <c r="I138" i="23"/>
  <c r="I138" i="26"/>
  <c r="J138" i="314"/>
  <c r="J138" i="20"/>
  <c r="J138" i="29"/>
  <c r="H138" i="25"/>
  <c r="H138" i="26"/>
  <c r="I138" i="20"/>
  <c r="I138" i="19"/>
  <c r="J138" i="26"/>
  <c r="J138" i="25"/>
  <c r="H138" i="21"/>
  <c r="H138" i="20"/>
  <c r="J138" i="19"/>
  <c r="I138" i="21"/>
  <c r="J138" i="3"/>
  <c r="H138" i="63"/>
  <c r="H138" i="3"/>
  <c r="I138" i="3"/>
  <c r="I138" i="63"/>
  <c r="I138" i="51"/>
  <c r="I138" i="323"/>
  <c r="J138" i="63"/>
  <c r="H138" i="51"/>
  <c r="H138" i="323"/>
  <c r="H138" i="18"/>
  <c r="J138" i="51"/>
  <c r="J138" i="323"/>
  <c r="J138" i="18"/>
  <c r="I138" i="18"/>
  <c r="I138" i="1"/>
  <c r="H138" i="1"/>
  <c r="J138" i="1"/>
  <c r="D151" i="16"/>
  <c r="D152" i="16"/>
  <c r="D150" i="16"/>
  <c r="D148" i="16"/>
  <c r="D146" i="16"/>
  <c r="R122" i="16"/>
  <c r="E124" i="16"/>
  <c r="E125" i="16"/>
  <c r="E126" i="16"/>
  <c r="E127" i="16"/>
  <c r="E128" i="16"/>
  <c r="E129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J142" i="4"/>
  <c r="N142" i="4" s="1"/>
  <c r="J141" i="4"/>
  <c r="N141" i="4" s="1"/>
  <c r="J140" i="4"/>
  <c r="N140" i="4" s="1"/>
  <c r="J139" i="4"/>
  <c r="N139" i="4" s="1"/>
  <c r="J138" i="4"/>
  <c r="N138" i="4" s="1"/>
  <c r="J137" i="4"/>
  <c r="N137" i="4" s="1"/>
  <c r="D147" i="105"/>
  <c r="D148" i="105"/>
  <c r="D149" i="105"/>
  <c r="D150" i="105"/>
  <c r="D151" i="105"/>
  <c r="D146" i="105"/>
  <c r="I124" i="105"/>
  <c r="M124" i="105" s="1"/>
  <c r="Q124" i="105" s="1"/>
  <c r="I125" i="105"/>
  <c r="L125" i="105" s="1"/>
  <c r="P125" i="105" s="1"/>
  <c r="I126" i="105"/>
  <c r="K126" i="105" s="1"/>
  <c r="O126" i="105" s="1"/>
  <c r="I127" i="105"/>
  <c r="M127" i="105" s="1"/>
  <c r="Q127" i="105" s="1"/>
  <c r="I128" i="105"/>
  <c r="M128" i="105" s="1"/>
  <c r="Q128" i="105" s="1"/>
  <c r="I129" i="105"/>
  <c r="K129" i="105" s="1"/>
  <c r="O129" i="105" s="1"/>
  <c r="I130" i="105"/>
  <c r="K130" i="105" s="1"/>
  <c r="O130" i="105" s="1"/>
  <c r="I131" i="105"/>
  <c r="M131" i="105" s="1"/>
  <c r="Q131" i="105" s="1"/>
  <c r="I132" i="105"/>
  <c r="M132" i="105" s="1"/>
  <c r="Q132" i="105" s="1"/>
  <c r="I133" i="105"/>
  <c r="M133" i="105" s="1"/>
  <c r="Q133" i="105" s="1"/>
  <c r="I134" i="105"/>
  <c r="K134" i="105" s="1"/>
  <c r="O134" i="105" s="1"/>
  <c r="I135" i="105"/>
  <c r="M135" i="105" s="1"/>
  <c r="Q135" i="105" s="1"/>
  <c r="I136" i="105"/>
  <c r="M136" i="105" s="1"/>
  <c r="Q136" i="105" s="1"/>
  <c r="I137" i="105"/>
  <c r="M137" i="105" s="1"/>
  <c r="Q137" i="105" s="1"/>
  <c r="I138" i="105"/>
  <c r="M138" i="105" s="1"/>
  <c r="Q138" i="105" s="1"/>
  <c r="I139" i="105"/>
  <c r="M139" i="105" s="1"/>
  <c r="Q139" i="105" s="1"/>
  <c r="I140" i="105"/>
  <c r="M140" i="105" s="1"/>
  <c r="Q140" i="105" s="1"/>
  <c r="I141" i="105"/>
  <c r="M141" i="105" s="1"/>
  <c r="Q141" i="105" s="1"/>
  <c r="I142" i="105"/>
  <c r="M142" i="105" s="1"/>
  <c r="Q142" i="105" s="1"/>
  <c r="I123" i="105"/>
  <c r="M123" i="105" s="1"/>
  <c r="Q123" i="105" s="1"/>
  <c r="C128" i="105"/>
  <c r="C129" i="105"/>
  <c r="C130" i="105"/>
  <c r="C131" i="105"/>
  <c r="C132" i="105"/>
  <c r="C133" i="105"/>
  <c r="C134" i="105"/>
  <c r="C135" i="105"/>
  <c r="C136" i="105"/>
  <c r="C137" i="105"/>
  <c r="C138" i="105"/>
  <c r="C139" i="105"/>
  <c r="C140" i="105"/>
  <c r="C141" i="105"/>
  <c r="C142" i="105"/>
  <c r="B123" i="105"/>
  <c r="B124" i="105"/>
  <c r="B125" i="105"/>
  <c r="B126" i="105"/>
  <c r="B127" i="105"/>
  <c r="B128" i="105"/>
  <c r="B129" i="105"/>
  <c r="B130" i="105"/>
  <c r="B131" i="105"/>
  <c r="B132" i="105"/>
  <c r="B133" i="105"/>
  <c r="B134" i="105"/>
  <c r="B135" i="105"/>
  <c r="B136" i="105"/>
  <c r="B137" i="105"/>
  <c r="B138" i="105"/>
  <c r="B139" i="105"/>
  <c r="B140" i="105"/>
  <c r="B141" i="105"/>
  <c r="B142" i="105"/>
  <c r="B122" i="105"/>
  <c r="L132" i="105"/>
  <c r="P132" i="105" s="1"/>
  <c r="R122" i="105"/>
  <c r="R123" i="105" s="1"/>
  <c r="R124" i="105" s="1"/>
  <c r="R125" i="105" s="1"/>
  <c r="R126" i="105" s="1"/>
  <c r="R127" i="105" s="1"/>
  <c r="R128" i="105" s="1"/>
  <c r="R129" i="105" s="1"/>
  <c r="R130" i="105" s="1"/>
  <c r="R131" i="105" s="1"/>
  <c r="R132" i="105" s="1"/>
  <c r="R133" i="105" s="1"/>
  <c r="R134" i="105" s="1"/>
  <c r="R135" i="105" s="1"/>
  <c r="R136" i="105" s="1"/>
  <c r="R137" i="105" s="1"/>
  <c r="R138" i="105" s="1"/>
  <c r="R139" i="105" s="1"/>
  <c r="R140" i="105" s="1"/>
  <c r="R141" i="105" s="1"/>
  <c r="R142" i="105" s="1"/>
  <c r="F122" i="133"/>
  <c r="P131" i="133"/>
  <c r="P132" i="133" s="1"/>
  <c r="P133" i="133" s="1"/>
  <c r="P134" i="133" s="1"/>
  <c r="P135" i="133" s="1"/>
  <c r="P136" i="133" s="1"/>
  <c r="P137" i="133" s="1"/>
  <c r="P138" i="133" s="1"/>
  <c r="P139" i="133" s="1"/>
  <c r="P140" i="133" s="1"/>
  <c r="P141" i="133" s="1"/>
  <c r="P142" i="133" s="1"/>
  <c r="L124" i="105" l="1"/>
  <c r="P124" i="105" s="1"/>
  <c r="J7" i="641"/>
  <c r="K5" i="641"/>
  <c r="F8" i="641"/>
  <c r="AU115" i="4"/>
  <c r="H139" i="22"/>
  <c r="L139" i="22" s="1"/>
  <c r="J139" i="22"/>
  <c r="N139" i="22" s="1"/>
  <c r="I139" i="22"/>
  <c r="M139" i="22" s="1"/>
  <c r="J139" i="129"/>
  <c r="N139" i="129" s="1"/>
  <c r="I139" i="129"/>
  <c r="M139" i="129" s="1"/>
  <c r="H139" i="129"/>
  <c r="L139" i="129" s="1"/>
  <c r="I139" i="104"/>
  <c r="J139" i="102"/>
  <c r="H139" i="101"/>
  <c r="I139" i="102"/>
  <c r="J139" i="101"/>
  <c r="I139" i="103"/>
  <c r="M139" i="103" s="1"/>
  <c r="H139" i="102"/>
  <c r="I139" i="101"/>
  <c r="J139" i="103"/>
  <c r="N139" i="103" s="1"/>
  <c r="H139" i="27"/>
  <c r="H139" i="26"/>
  <c r="J139" i="25"/>
  <c r="I139" i="23"/>
  <c r="J139" i="314"/>
  <c r="H139" i="21"/>
  <c r="J139" i="26"/>
  <c r="J139" i="27"/>
  <c r="I139" i="25"/>
  <c r="H139" i="23"/>
  <c r="I139" i="314"/>
  <c r="I139" i="21"/>
  <c r="H139" i="25"/>
  <c r="J139" i="23"/>
  <c r="J139" i="21"/>
  <c r="H139" i="131"/>
  <c r="J139" i="20"/>
  <c r="I139" i="19"/>
  <c r="I139" i="131"/>
  <c r="H139" i="20"/>
  <c r="J139" i="19"/>
  <c r="H139" i="29"/>
  <c r="I139" i="27"/>
  <c r="J139" i="131"/>
  <c r="I139" i="20"/>
  <c r="H139" i="19"/>
  <c r="J139" i="29"/>
  <c r="H139" i="314"/>
  <c r="I139" i="26"/>
  <c r="I139" i="29"/>
  <c r="H139" i="63"/>
  <c r="H139" i="51"/>
  <c r="J139" i="51"/>
  <c r="I139" i="3"/>
  <c r="J139" i="3"/>
  <c r="I139" i="63"/>
  <c r="I139" i="18"/>
  <c r="H139" i="3"/>
  <c r="J139" i="63"/>
  <c r="J139" i="18"/>
  <c r="H139" i="18"/>
  <c r="H139" i="323"/>
  <c r="I139" i="323"/>
  <c r="J139" i="323"/>
  <c r="I139" i="51"/>
  <c r="H139" i="1"/>
  <c r="J139" i="1"/>
  <c r="I139" i="1"/>
  <c r="M129" i="105"/>
  <c r="Q129" i="105" s="1"/>
  <c r="V129" i="105" s="1"/>
  <c r="Z129" i="105" s="1"/>
  <c r="F167" i="105" s="1"/>
  <c r="G122" i="133"/>
  <c r="K122" i="133" s="1"/>
  <c r="Q122" i="133" s="1"/>
  <c r="I122" i="133"/>
  <c r="M122" i="133" s="1"/>
  <c r="H122" i="133"/>
  <c r="L122" i="133" s="1"/>
  <c r="J122" i="133"/>
  <c r="N122" i="133" s="1"/>
  <c r="P131" i="101"/>
  <c r="H129" i="16"/>
  <c r="H124" i="16"/>
  <c r="T138" i="4"/>
  <c r="X138" i="4" s="1"/>
  <c r="AB138" i="4" s="1"/>
  <c r="H126" i="16"/>
  <c r="H127" i="16"/>
  <c r="H128" i="16"/>
  <c r="M130" i="105"/>
  <c r="Q130" i="105" s="1"/>
  <c r="V130" i="105" s="1"/>
  <c r="Z130" i="105" s="1"/>
  <c r="F168" i="105" s="1"/>
  <c r="L129" i="105"/>
  <c r="P129" i="105" s="1"/>
  <c r="U129" i="105" s="1"/>
  <c r="Y129" i="105" s="1"/>
  <c r="E167" i="105" s="1"/>
  <c r="K124" i="105"/>
  <c r="O124" i="105" s="1"/>
  <c r="T124" i="105" s="1"/>
  <c r="X124" i="105" s="1"/>
  <c r="L131" i="105"/>
  <c r="P131" i="105" s="1"/>
  <c r="U131" i="105" s="1"/>
  <c r="Y131" i="105" s="1"/>
  <c r="E169" i="105" s="1"/>
  <c r="M125" i="105"/>
  <c r="Q125" i="105" s="1"/>
  <c r="V125" i="105" s="1"/>
  <c r="Z125" i="105" s="1"/>
  <c r="K131" i="105"/>
  <c r="O131" i="105" s="1"/>
  <c r="T131" i="105" s="1"/>
  <c r="X131" i="105" s="1"/>
  <c r="D169" i="105" s="1"/>
  <c r="K125" i="105"/>
  <c r="O125" i="105" s="1"/>
  <c r="T125" i="105" s="1"/>
  <c r="X125" i="105" s="1"/>
  <c r="L133" i="105"/>
  <c r="P133" i="105" s="1"/>
  <c r="U133" i="105" s="1"/>
  <c r="Y133" i="105" s="1"/>
  <c r="E171" i="105" s="1"/>
  <c r="K133" i="105"/>
  <c r="O133" i="105" s="1"/>
  <c r="T133" i="105" s="1"/>
  <c r="X133" i="105" s="1"/>
  <c r="D171" i="105" s="1"/>
  <c r="M126" i="105"/>
  <c r="Q126" i="105" s="1"/>
  <c r="V126" i="105" s="1"/>
  <c r="Z126" i="105" s="1"/>
  <c r="M134" i="105"/>
  <c r="Q134" i="105" s="1"/>
  <c r="V134" i="105" s="1"/>
  <c r="Z134" i="105" s="1"/>
  <c r="F172" i="105" s="1"/>
  <c r="K132" i="105"/>
  <c r="O132" i="105" s="1"/>
  <c r="T132" i="105" s="1"/>
  <c r="X132" i="105" s="1"/>
  <c r="D170" i="105" s="1"/>
  <c r="K128" i="105"/>
  <c r="O128" i="105" s="1"/>
  <c r="T128" i="105" s="1"/>
  <c r="X128" i="105" s="1"/>
  <c r="D166" i="105" s="1"/>
  <c r="L127" i="105"/>
  <c r="P127" i="105" s="1"/>
  <c r="U127" i="105" s="1"/>
  <c r="Y127" i="105" s="1"/>
  <c r="L135" i="105"/>
  <c r="P135" i="105" s="1"/>
  <c r="U135" i="105" s="1"/>
  <c r="Y135" i="105" s="1"/>
  <c r="E173" i="105" s="1"/>
  <c r="K127" i="105"/>
  <c r="O127" i="105" s="1"/>
  <c r="T127" i="105" s="1"/>
  <c r="X127" i="105" s="1"/>
  <c r="K135" i="105"/>
  <c r="O135" i="105" s="1"/>
  <c r="T135" i="105" s="1"/>
  <c r="X135" i="105" s="1"/>
  <c r="D173" i="105" s="1"/>
  <c r="L128" i="105"/>
  <c r="P128" i="105" s="1"/>
  <c r="U128" i="105" s="1"/>
  <c r="Y128" i="105" s="1"/>
  <c r="E166" i="105" s="1"/>
  <c r="L136" i="105"/>
  <c r="P136" i="105" s="1"/>
  <c r="U136" i="105" s="1"/>
  <c r="Y136" i="105" s="1"/>
  <c r="E174" i="105" s="1"/>
  <c r="K136" i="105"/>
  <c r="O136" i="105" s="1"/>
  <c r="T136" i="105" s="1"/>
  <c r="X136" i="105" s="1"/>
  <c r="D174" i="105" s="1"/>
  <c r="L126" i="105"/>
  <c r="P126" i="105" s="1"/>
  <c r="U126" i="105" s="1"/>
  <c r="Y126" i="105" s="1"/>
  <c r="L130" i="105"/>
  <c r="P130" i="105" s="1"/>
  <c r="U130" i="105" s="1"/>
  <c r="Y130" i="105" s="1"/>
  <c r="E168" i="105" s="1"/>
  <c r="L134" i="105"/>
  <c r="P134" i="105" s="1"/>
  <c r="U134" i="105" s="1"/>
  <c r="Y134" i="105" s="1"/>
  <c r="E172" i="105" s="1"/>
  <c r="I137" i="4"/>
  <c r="M137" i="4" s="1"/>
  <c r="I138" i="4"/>
  <c r="M138" i="4" s="1"/>
  <c r="I139" i="4"/>
  <c r="M139" i="4" s="1"/>
  <c r="I140" i="4"/>
  <c r="M140" i="4" s="1"/>
  <c r="I141" i="4"/>
  <c r="M141" i="4" s="1"/>
  <c r="I142" i="4"/>
  <c r="M142" i="4" s="1"/>
  <c r="H137" i="4"/>
  <c r="L137" i="4" s="1"/>
  <c r="H138" i="4"/>
  <c r="L138" i="4" s="1"/>
  <c r="H139" i="4"/>
  <c r="L139" i="4" s="1"/>
  <c r="H140" i="4"/>
  <c r="L140" i="4" s="1"/>
  <c r="H141" i="4"/>
  <c r="L141" i="4" s="1"/>
  <c r="H142" i="4"/>
  <c r="L142" i="4" s="1"/>
  <c r="U124" i="105"/>
  <c r="Y124" i="105" s="1"/>
  <c r="V124" i="105"/>
  <c r="Z124" i="105" s="1"/>
  <c r="V128" i="105"/>
  <c r="Z128" i="105" s="1"/>
  <c r="F166" i="105" s="1"/>
  <c r="T129" i="105"/>
  <c r="X129" i="105" s="1"/>
  <c r="D167" i="105" s="1"/>
  <c r="U132" i="105"/>
  <c r="Y132" i="105" s="1"/>
  <c r="E170" i="105" s="1"/>
  <c r="V132" i="105"/>
  <c r="Z132" i="105" s="1"/>
  <c r="F170" i="105" s="1"/>
  <c r="V136" i="105"/>
  <c r="Z136" i="105" s="1"/>
  <c r="F174" i="105" s="1"/>
  <c r="V138" i="105"/>
  <c r="Z138" i="105" s="1"/>
  <c r="F176" i="105" s="1"/>
  <c r="V140" i="105"/>
  <c r="Z140" i="105" s="1"/>
  <c r="F178" i="105" s="1"/>
  <c r="V142" i="105"/>
  <c r="Z142" i="105" s="1"/>
  <c r="F180" i="105" s="1"/>
  <c r="V123" i="105"/>
  <c r="Z123" i="105" s="1"/>
  <c r="U125" i="105"/>
  <c r="Y125" i="105" s="1"/>
  <c r="T126" i="105"/>
  <c r="X126" i="105" s="1"/>
  <c r="V127" i="105"/>
  <c r="Z127" i="105" s="1"/>
  <c r="T130" i="105"/>
  <c r="X130" i="105" s="1"/>
  <c r="D168" i="105" s="1"/>
  <c r="V131" i="105"/>
  <c r="Z131" i="105" s="1"/>
  <c r="F169" i="105" s="1"/>
  <c r="V133" i="105"/>
  <c r="Z133" i="105" s="1"/>
  <c r="F171" i="105" s="1"/>
  <c r="T134" i="105"/>
  <c r="X134" i="105" s="1"/>
  <c r="D172" i="105" s="1"/>
  <c r="V135" i="105"/>
  <c r="Z135" i="105" s="1"/>
  <c r="F173" i="105" s="1"/>
  <c r="V137" i="105"/>
  <c r="Z137" i="105" s="1"/>
  <c r="F175" i="105" s="1"/>
  <c r="V139" i="105"/>
  <c r="Z139" i="105" s="1"/>
  <c r="F177" i="105" s="1"/>
  <c r="V141" i="105"/>
  <c r="Z141" i="105" s="1"/>
  <c r="F179" i="105" s="1"/>
  <c r="L123" i="105"/>
  <c r="P123" i="105" s="1"/>
  <c r="L137" i="105"/>
  <c r="P137" i="105" s="1"/>
  <c r="L138" i="105"/>
  <c r="P138" i="105" s="1"/>
  <c r="L139" i="105"/>
  <c r="P139" i="105" s="1"/>
  <c r="L140" i="105"/>
  <c r="P140" i="105" s="1"/>
  <c r="L141" i="105"/>
  <c r="P141" i="105" s="1"/>
  <c r="L142" i="105"/>
  <c r="P142" i="105" s="1"/>
  <c r="K123" i="105"/>
  <c r="O123" i="105" s="1"/>
  <c r="K137" i="105"/>
  <c r="O137" i="105" s="1"/>
  <c r="K138" i="105"/>
  <c r="O138" i="105" s="1"/>
  <c r="K139" i="105"/>
  <c r="O139" i="105" s="1"/>
  <c r="K140" i="105"/>
  <c r="O140" i="105" s="1"/>
  <c r="K141" i="105"/>
  <c r="O141" i="105" s="1"/>
  <c r="K142" i="105"/>
  <c r="O142" i="105" s="1"/>
  <c r="L5" i="641" l="1"/>
  <c r="L7" i="641" s="1"/>
  <c r="K7" i="641"/>
  <c r="K8" i="641" s="1"/>
  <c r="AU116" i="4"/>
  <c r="I140" i="22"/>
  <c r="M140" i="22" s="1"/>
  <c r="H140" i="22"/>
  <c r="L140" i="22" s="1"/>
  <c r="J140" i="22"/>
  <c r="N140" i="22" s="1"/>
  <c r="I140" i="129"/>
  <c r="M140" i="129" s="1"/>
  <c r="H140" i="129"/>
  <c r="L140" i="129" s="1"/>
  <c r="J140" i="129"/>
  <c r="N140" i="129" s="1"/>
  <c r="I140" i="104"/>
  <c r="J140" i="101"/>
  <c r="I140" i="101"/>
  <c r="H140" i="102"/>
  <c r="J140" i="102"/>
  <c r="H140" i="101"/>
  <c r="I140" i="102"/>
  <c r="H140" i="314"/>
  <c r="I140" i="29"/>
  <c r="I140" i="131"/>
  <c r="H140" i="29"/>
  <c r="I140" i="103"/>
  <c r="M140" i="103" s="1"/>
  <c r="H140" i="27"/>
  <c r="I140" i="23"/>
  <c r="J140" i="314"/>
  <c r="H140" i="19"/>
  <c r="J140" i="103"/>
  <c r="N140" i="103" s="1"/>
  <c r="J140" i="27"/>
  <c r="H140" i="25"/>
  <c r="H140" i="23"/>
  <c r="H140" i="21"/>
  <c r="I140" i="20"/>
  <c r="J140" i="19"/>
  <c r="I140" i="27"/>
  <c r="H140" i="26"/>
  <c r="J140" i="25"/>
  <c r="J140" i="23"/>
  <c r="I140" i="21"/>
  <c r="H140" i="20"/>
  <c r="I140" i="19"/>
  <c r="I140" i="26"/>
  <c r="I140" i="25"/>
  <c r="J140" i="21"/>
  <c r="J140" i="20"/>
  <c r="J140" i="26"/>
  <c r="H140" i="131"/>
  <c r="J140" i="131"/>
  <c r="J140" i="29"/>
  <c r="I140" i="314"/>
  <c r="H140" i="323"/>
  <c r="H140" i="3"/>
  <c r="I140" i="3"/>
  <c r="J140" i="323"/>
  <c r="H140" i="63"/>
  <c r="I140" i="18"/>
  <c r="H140" i="18"/>
  <c r="I140" i="51"/>
  <c r="J140" i="18"/>
  <c r="H140" i="51"/>
  <c r="J140" i="3"/>
  <c r="J140" i="63"/>
  <c r="J140" i="51"/>
  <c r="I140" i="323"/>
  <c r="I140" i="63"/>
  <c r="I140" i="1"/>
  <c r="H140" i="1"/>
  <c r="J140" i="1"/>
  <c r="T122" i="133"/>
  <c r="X122" i="133" s="1"/>
  <c r="AB122" i="133" s="1"/>
  <c r="R122" i="133"/>
  <c r="V122" i="133" s="1"/>
  <c r="Z122" i="133" s="1"/>
  <c r="V81" i="639" s="1"/>
  <c r="S122" i="133"/>
  <c r="P132" i="101"/>
  <c r="T137" i="4"/>
  <c r="X137" i="4" s="1"/>
  <c r="AB137" i="4" s="1"/>
  <c r="H125" i="16"/>
  <c r="F125" i="16"/>
  <c r="F129" i="16"/>
  <c r="F128" i="16"/>
  <c r="R139" i="4"/>
  <c r="V139" i="4" s="1"/>
  <c r="Z139" i="4" s="1"/>
  <c r="F124" i="16"/>
  <c r="F127" i="16"/>
  <c r="R138" i="4"/>
  <c r="V138" i="4" s="1"/>
  <c r="Z138" i="4" s="1"/>
  <c r="S137" i="4"/>
  <c r="W137" i="4" s="1"/>
  <c r="AA137" i="4" s="1"/>
  <c r="S138" i="4"/>
  <c r="W138" i="4" s="1"/>
  <c r="AA138" i="4" s="1"/>
  <c r="T141" i="105"/>
  <c r="X141" i="105" s="1"/>
  <c r="D179" i="105" s="1"/>
  <c r="T139" i="105"/>
  <c r="X139" i="105" s="1"/>
  <c r="D177" i="105" s="1"/>
  <c r="T137" i="105"/>
  <c r="X137" i="105" s="1"/>
  <c r="D175" i="105" s="1"/>
  <c r="U141" i="105"/>
  <c r="Y141" i="105" s="1"/>
  <c r="E179" i="105" s="1"/>
  <c r="U139" i="105"/>
  <c r="Y139" i="105" s="1"/>
  <c r="E177" i="105" s="1"/>
  <c r="U137" i="105"/>
  <c r="Y137" i="105" s="1"/>
  <c r="E175" i="105" s="1"/>
  <c r="T142" i="105"/>
  <c r="X142" i="105" s="1"/>
  <c r="D180" i="105" s="1"/>
  <c r="T140" i="105"/>
  <c r="X140" i="105" s="1"/>
  <c r="D178" i="105" s="1"/>
  <c r="T138" i="105"/>
  <c r="X138" i="105" s="1"/>
  <c r="D176" i="105" s="1"/>
  <c r="T123" i="105"/>
  <c r="X123" i="105" s="1"/>
  <c r="U142" i="105"/>
  <c r="Y142" i="105" s="1"/>
  <c r="E180" i="105" s="1"/>
  <c r="U140" i="105"/>
  <c r="Y140" i="105" s="1"/>
  <c r="E178" i="105" s="1"/>
  <c r="U138" i="105"/>
  <c r="Y138" i="105" s="1"/>
  <c r="E176" i="105" s="1"/>
  <c r="U123" i="105"/>
  <c r="Y123" i="105" s="1"/>
  <c r="W122" i="133" l="1"/>
  <c r="AA122" i="133" s="1"/>
  <c r="V6" i="639" s="1"/>
  <c r="AW6" i="639"/>
  <c r="AU117" i="4"/>
  <c r="I141" i="22"/>
  <c r="M141" i="22" s="1"/>
  <c r="J141" i="22"/>
  <c r="N141" i="22" s="1"/>
  <c r="H141" i="22"/>
  <c r="L141" i="22" s="1"/>
  <c r="H141" i="129"/>
  <c r="L141" i="129" s="1"/>
  <c r="I141" i="129"/>
  <c r="M141" i="129" s="1"/>
  <c r="J141" i="129"/>
  <c r="N141" i="129" s="1"/>
  <c r="I141" i="104"/>
  <c r="H141" i="101"/>
  <c r="H141" i="102"/>
  <c r="J141" i="101"/>
  <c r="I141" i="101"/>
  <c r="I141" i="102"/>
  <c r="J141" i="102"/>
  <c r="J141" i="131"/>
  <c r="H141" i="23"/>
  <c r="I141" i="29"/>
  <c r="I141" i="131"/>
  <c r="J141" i="23"/>
  <c r="J141" i="29"/>
  <c r="H141" i="314"/>
  <c r="I141" i="23"/>
  <c r="I141" i="19"/>
  <c r="H141" i="29"/>
  <c r="H141" i="131"/>
  <c r="I141" i="27"/>
  <c r="H141" i="19"/>
  <c r="J141" i="27"/>
  <c r="I141" i="26"/>
  <c r="J141" i="25"/>
  <c r="I141" i="21"/>
  <c r="J141" i="20"/>
  <c r="J141" i="19"/>
  <c r="H141" i="27"/>
  <c r="J141" i="26"/>
  <c r="I141" i="25"/>
  <c r="J141" i="314"/>
  <c r="J141" i="21"/>
  <c r="H141" i="20"/>
  <c r="H141" i="26"/>
  <c r="H141" i="25"/>
  <c r="I141" i="314"/>
  <c r="H141" i="21"/>
  <c r="I141" i="20"/>
  <c r="J141" i="18"/>
  <c r="H141" i="51"/>
  <c r="J141" i="103"/>
  <c r="N141" i="103" s="1"/>
  <c r="I141" i="323"/>
  <c r="I141" i="18"/>
  <c r="J141" i="51"/>
  <c r="I141" i="103"/>
  <c r="M141" i="103" s="1"/>
  <c r="J141" i="323"/>
  <c r="H141" i="18"/>
  <c r="I141" i="51"/>
  <c r="H141" i="323"/>
  <c r="I141" i="63"/>
  <c r="I141" i="3"/>
  <c r="H141" i="63"/>
  <c r="H141" i="3"/>
  <c r="J141" i="63"/>
  <c r="J141" i="3"/>
  <c r="H141" i="1"/>
  <c r="I141" i="1"/>
  <c r="J141" i="1"/>
  <c r="S139" i="4"/>
  <c r="W139" i="4" s="1"/>
  <c r="AA139" i="4" s="1"/>
  <c r="P133" i="101"/>
  <c r="R137" i="4"/>
  <c r="V137" i="4" s="1"/>
  <c r="Z137" i="4" s="1"/>
  <c r="F126" i="16"/>
  <c r="T139" i="4"/>
  <c r="X139" i="4" s="1"/>
  <c r="AB139" i="4" s="1"/>
  <c r="AU118" i="4" l="1"/>
  <c r="AU119" i="4" s="1"/>
  <c r="AU120" i="4" s="1"/>
  <c r="AU121" i="4" s="1"/>
  <c r="AU122" i="4" s="1"/>
  <c r="AU123" i="4" s="1"/>
  <c r="AU124" i="4" s="1"/>
  <c r="AU125" i="4" s="1"/>
  <c r="AU126" i="4" s="1"/>
  <c r="AU127" i="4" s="1"/>
  <c r="H142" i="22"/>
  <c r="L142" i="22" s="1"/>
  <c r="J142" i="22"/>
  <c r="N142" i="22" s="1"/>
  <c r="I142" i="22"/>
  <c r="M142" i="22" s="1"/>
  <c r="I142" i="129"/>
  <c r="M142" i="129" s="1"/>
  <c r="H142" i="129"/>
  <c r="L142" i="129" s="1"/>
  <c r="J142" i="129"/>
  <c r="N142" i="129" s="1"/>
  <c r="I142" i="104"/>
  <c r="J142" i="102"/>
  <c r="J142" i="101"/>
  <c r="H142" i="101"/>
  <c r="H142" i="102"/>
  <c r="I142" i="101"/>
  <c r="I142" i="102"/>
  <c r="I142" i="29"/>
  <c r="I142" i="26"/>
  <c r="J142" i="25"/>
  <c r="H142" i="131"/>
  <c r="I142" i="23"/>
  <c r="J142" i="27"/>
  <c r="I142" i="25"/>
  <c r="H142" i="20"/>
  <c r="J142" i="19"/>
  <c r="H142" i="25"/>
  <c r="I142" i="27"/>
  <c r="J142" i="26"/>
  <c r="J142" i="20"/>
  <c r="I142" i="131"/>
  <c r="H142" i="314"/>
  <c r="I142" i="21"/>
  <c r="I142" i="20"/>
  <c r="H142" i="29"/>
  <c r="J142" i="23"/>
  <c r="J142" i="131"/>
  <c r="J142" i="21"/>
  <c r="I142" i="19"/>
  <c r="H142" i="21"/>
  <c r="H142" i="26"/>
  <c r="H142" i="19"/>
  <c r="I142" i="314"/>
  <c r="H142" i="27"/>
  <c r="H142" i="23"/>
  <c r="J142" i="314"/>
  <c r="J142" i="29"/>
  <c r="I142" i="63"/>
  <c r="I142" i="51"/>
  <c r="H142" i="18"/>
  <c r="I142" i="3"/>
  <c r="J142" i="323"/>
  <c r="I142" i="323"/>
  <c r="M142" i="323" s="1"/>
  <c r="H142" i="323"/>
  <c r="J142" i="63"/>
  <c r="J142" i="18"/>
  <c r="H142" i="51"/>
  <c r="H142" i="3"/>
  <c r="H142" i="63"/>
  <c r="I142" i="18"/>
  <c r="J142" i="51"/>
  <c r="J142" i="3"/>
  <c r="I142" i="1"/>
  <c r="J142" i="103"/>
  <c r="N142" i="103" s="1"/>
  <c r="I142" i="103"/>
  <c r="M142" i="103" s="1"/>
  <c r="J142" i="1"/>
  <c r="P134" i="101"/>
  <c r="T140" i="4"/>
  <c r="X140" i="4" s="1"/>
  <c r="AB140" i="4" s="1"/>
  <c r="R140" i="4"/>
  <c r="V140" i="4" s="1"/>
  <c r="Z140" i="4" s="1"/>
  <c r="S140" i="4"/>
  <c r="W140" i="4" s="1"/>
  <c r="AA140" i="4" s="1"/>
  <c r="P135" i="101" l="1"/>
  <c r="T141" i="4"/>
  <c r="X141" i="4" s="1"/>
  <c r="AB141" i="4" s="1"/>
  <c r="S141" i="4"/>
  <c r="W141" i="4" s="1"/>
  <c r="AA141" i="4" s="1"/>
  <c r="R141" i="4"/>
  <c r="V141" i="4" s="1"/>
  <c r="Z141" i="4" s="1"/>
  <c r="P136" i="101" l="1"/>
  <c r="T142" i="4"/>
  <c r="X142" i="4" s="1"/>
  <c r="AB142" i="4" s="1"/>
  <c r="R142" i="4"/>
  <c r="V142" i="4" s="1"/>
  <c r="Z142" i="4" s="1"/>
  <c r="S142" i="4"/>
  <c r="W142" i="4" s="1"/>
  <c r="AA142" i="4" s="1"/>
  <c r="P137" i="101" l="1"/>
  <c r="P144" i="4"/>
  <c r="P138" i="101" l="1"/>
  <c r="P145" i="4"/>
  <c r="P139" i="101" l="1"/>
  <c r="P146" i="4"/>
  <c r="P140" i="101" l="1"/>
  <c r="P147" i="4"/>
  <c r="P141" i="101" l="1"/>
  <c r="P148" i="4"/>
  <c r="P142" i="101" l="1"/>
  <c r="P149" i="4"/>
  <c r="P150" i="4" l="1"/>
  <c r="P151" i="4" l="1"/>
  <c r="P152" i="4" l="1"/>
  <c r="P153" i="4" l="1"/>
  <c r="P154" i="4" l="1"/>
  <c r="P155" i="4" l="1"/>
  <c r="P156" i="4" l="1"/>
  <c r="P157" i="4" l="1"/>
  <c r="P158" i="4" l="1"/>
  <c r="P159" i="4" l="1"/>
  <c r="P160" i="4" l="1"/>
  <c r="P161" i="4" l="1"/>
  <c r="P162" i="4" l="1"/>
  <c r="P163" i="4" l="1"/>
  <c r="P164" i="4" l="1"/>
  <c r="C122" i="105"/>
  <c r="D122" i="105" s="1"/>
  <c r="C123" i="105"/>
  <c r="C124" i="105"/>
  <c r="C125" i="105"/>
  <c r="C126" i="105"/>
  <c r="C127" i="105"/>
  <c r="P165" i="4" l="1"/>
  <c r="F165" i="105"/>
  <c r="D165" i="105"/>
  <c r="E165" i="105"/>
  <c r="F163" i="105"/>
  <c r="E163" i="105"/>
  <c r="D163" i="105"/>
  <c r="D123" i="105"/>
  <c r="D124" i="105" s="1"/>
  <c r="D125" i="105" s="1"/>
  <c r="D126" i="105" s="1"/>
  <c r="D127" i="105" s="1"/>
  <c r="D128" i="105" s="1"/>
  <c r="D129" i="105" s="1"/>
  <c r="D130" i="105" s="1"/>
  <c r="D131" i="105" s="1"/>
  <c r="D132" i="105" s="1"/>
  <c r="D133" i="105" s="1"/>
  <c r="D134" i="105" s="1"/>
  <c r="D135" i="105" s="1"/>
  <c r="D136" i="105" s="1"/>
  <c r="D137" i="105" s="1"/>
  <c r="D138" i="105" s="1"/>
  <c r="D139" i="105" s="1"/>
  <c r="D140" i="105" s="1"/>
  <c r="D141" i="105" s="1"/>
  <c r="D142" i="105" s="1"/>
  <c r="F161" i="105"/>
  <c r="E161" i="105"/>
  <c r="D161" i="105"/>
  <c r="D164" i="105"/>
  <c r="E164" i="105"/>
  <c r="F164" i="105"/>
  <c r="E162" i="105"/>
  <c r="F162" i="105"/>
  <c r="D162" i="105"/>
  <c r="B141" i="16" l="1"/>
  <c r="B139" i="16"/>
  <c r="B137" i="16"/>
  <c r="B135" i="16"/>
  <c r="B133" i="16"/>
  <c r="B131" i="16"/>
  <c r="B129" i="16"/>
  <c r="B127" i="16"/>
  <c r="B125" i="16"/>
  <c r="B123" i="16"/>
  <c r="B142" i="16"/>
  <c r="B140" i="16"/>
  <c r="B138" i="16"/>
  <c r="B136" i="16"/>
  <c r="B134" i="16"/>
  <c r="B132" i="16"/>
  <c r="B130" i="16"/>
  <c r="B128" i="16"/>
  <c r="B126" i="16"/>
  <c r="B124" i="16"/>
  <c r="B122" i="16"/>
  <c r="F122" i="27" l="1"/>
  <c r="P132" i="26"/>
  <c r="P133" i="26" s="1"/>
  <c r="P134" i="26" s="1"/>
  <c r="P135" i="26" s="1"/>
  <c r="P136" i="26" s="1"/>
  <c r="P137" i="26" s="1"/>
  <c r="P138" i="26" s="1"/>
  <c r="P139" i="26" s="1"/>
  <c r="P140" i="26" s="1"/>
  <c r="P141" i="26" s="1"/>
  <c r="P142" i="26" s="1"/>
  <c r="J122" i="27" l="1"/>
  <c r="N122" i="27" s="1"/>
  <c r="T122" i="27" s="1"/>
  <c r="G122" i="27"/>
  <c r="K122" i="27" s="1"/>
  <c r="Q122" i="27" s="1"/>
  <c r="H122" i="27"/>
  <c r="L122" i="27" s="1"/>
  <c r="R122" i="27" s="1"/>
  <c r="I122" i="27"/>
  <c r="M122" i="27" s="1"/>
  <c r="S122" i="27" s="1"/>
  <c r="AT6" i="639" s="1"/>
  <c r="Q123" i="27"/>
  <c r="AC123" i="27" s="1"/>
  <c r="AD123" i="27" s="1"/>
  <c r="AE123" i="27" s="1"/>
  <c r="AF123" i="27" s="1"/>
  <c r="R123" i="27"/>
  <c r="V123" i="27" s="1"/>
  <c r="T123" i="27"/>
  <c r="X123" i="27" s="1"/>
  <c r="S123" i="27"/>
  <c r="T124" i="26"/>
  <c r="X124" i="26" s="1"/>
  <c r="AB124" i="26" s="1"/>
  <c r="T126" i="26"/>
  <c r="X126" i="26" s="1"/>
  <c r="AB126" i="26" s="1"/>
  <c r="T123" i="26"/>
  <c r="X123" i="26" s="1"/>
  <c r="AB123" i="26" s="1"/>
  <c r="T125" i="26"/>
  <c r="X125" i="26" s="1"/>
  <c r="AB125" i="26" s="1"/>
  <c r="T128" i="26"/>
  <c r="X128" i="26" s="1"/>
  <c r="AB128" i="26" s="1"/>
  <c r="T129" i="26"/>
  <c r="X129" i="26" s="1"/>
  <c r="AB129" i="26" s="1"/>
  <c r="W123" i="27" l="1"/>
  <c r="AT7" i="639"/>
  <c r="AA123" i="27"/>
  <c r="S7" i="639" s="1"/>
  <c r="AB123" i="27"/>
  <c r="Z123" i="27"/>
  <c r="S82" i="639" s="1"/>
  <c r="Q124" i="27"/>
  <c r="AC124" i="27" s="1"/>
  <c r="AD124" i="27" s="1"/>
  <c r="AE124" i="27" s="1"/>
  <c r="AF124" i="27" s="1"/>
  <c r="R124" i="27"/>
  <c r="V124" i="27" s="1"/>
  <c r="S124" i="27"/>
  <c r="T124" i="27"/>
  <c r="X124" i="27" s="1"/>
  <c r="R128" i="26"/>
  <c r="V128" i="26" s="1"/>
  <c r="Z128" i="26" s="1"/>
  <c r="R87" i="639" s="1"/>
  <c r="S129" i="26"/>
  <c r="R124" i="26"/>
  <c r="V124" i="26" s="1"/>
  <c r="Z124" i="26" s="1"/>
  <c r="R83" i="639" s="1"/>
  <c r="S127" i="26"/>
  <c r="T127" i="26"/>
  <c r="X127" i="26" s="1"/>
  <c r="AB127" i="26" s="1"/>
  <c r="S125" i="26"/>
  <c r="S123" i="26"/>
  <c r="R126" i="26"/>
  <c r="V126" i="26" s="1"/>
  <c r="Z126" i="26" s="1"/>
  <c r="R85" i="639" s="1"/>
  <c r="R129" i="26"/>
  <c r="V129" i="26" s="1"/>
  <c r="Z129" i="26" s="1"/>
  <c r="R88" i="639" s="1"/>
  <c r="S128" i="26"/>
  <c r="R125" i="26"/>
  <c r="V125" i="26" s="1"/>
  <c r="Z125" i="26" s="1"/>
  <c r="R84" i="639" s="1"/>
  <c r="R123" i="26"/>
  <c r="V123" i="26" s="1"/>
  <c r="Z123" i="26" s="1"/>
  <c r="R82" i="639" s="1"/>
  <c r="R127" i="26"/>
  <c r="V127" i="26" s="1"/>
  <c r="Z127" i="26" s="1"/>
  <c r="R86" i="639" s="1"/>
  <c r="S126" i="26"/>
  <c r="S124" i="26"/>
  <c r="W123" i="26" l="1"/>
  <c r="AA123" i="26" s="1"/>
  <c r="R7" i="639" s="1"/>
  <c r="AS7" i="639"/>
  <c r="W126" i="26"/>
  <c r="AA126" i="26" s="1"/>
  <c r="R10" i="639" s="1"/>
  <c r="AS10" i="639"/>
  <c r="W125" i="26"/>
  <c r="AA125" i="26" s="1"/>
  <c r="R9" i="639" s="1"/>
  <c r="AS9" i="639"/>
  <c r="W127" i="26"/>
  <c r="AA127" i="26" s="1"/>
  <c r="R11" i="639" s="1"/>
  <c r="AS11" i="639"/>
  <c r="W124" i="27"/>
  <c r="AT8" i="639"/>
  <c r="W129" i="26"/>
  <c r="AA129" i="26" s="1"/>
  <c r="R13" i="639" s="1"/>
  <c r="AS13" i="639"/>
  <c r="W124" i="26"/>
  <c r="AA124" i="26" s="1"/>
  <c r="R8" i="639" s="1"/>
  <c r="AS8" i="639"/>
  <c r="W128" i="26"/>
  <c r="AA128" i="26" s="1"/>
  <c r="R12" i="639" s="1"/>
  <c r="AS12" i="639"/>
  <c r="AB124" i="27"/>
  <c r="AA124" i="27"/>
  <c r="S8" i="639" s="1"/>
  <c r="Z124" i="27"/>
  <c r="S83" i="639" s="1"/>
  <c r="T125" i="27"/>
  <c r="X125" i="27" s="1"/>
  <c r="Q125" i="27"/>
  <c r="AC125" i="27" s="1"/>
  <c r="AD125" i="27" s="1"/>
  <c r="AE125" i="27" s="1"/>
  <c r="AF125" i="27" s="1"/>
  <c r="R125" i="27"/>
  <c r="V125" i="27" s="1"/>
  <c r="S125" i="27"/>
  <c r="N125" i="25"/>
  <c r="T125" i="25" s="1"/>
  <c r="N126" i="25"/>
  <c r="T126" i="25" s="1"/>
  <c r="N127" i="25"/>
  <c r="T127" i="25" s="1"/>
  <c r="L128" i="25"/>
  <c r="R128" i="25" s="1"/>
  <c r="N129" i="25"/>
  <c r="T129" i="25" s="1"/>
  <c r="N123" i="25"/>
  <c r="T123" i="25" s="1"/>
  <c r="N124" i="25"/>
  <c r="T124" i="25" s="1"/>
  <c r="P131" i="25"/>
  <c r="P132" i="25" s="1"/>
  <c r="P133" i="25" s="1"/>
  <c r="P134" i="25" s="1"/>
  <c r="P135" i="25" s="1"/>
  <c r="P136" i="25" s="1"/>
  <c r="P137" i="25" s="1"/>
  <c r="P138" i="25" s="1"/>
  <c r="P139" i="25" s="1"/>
  <c r="P140" i="25" s="1"/>
  <c r="P141" i="25" s="1"/>
  <c r="P142" i="25" s="1"/>
  <c r="P131" i="131"/>
  <c r="P132" i="131" s="1"/>
  <c r="P133" i="131" s="1"/>
  <c r="P134" i="131" s="1"/>
  <c r="P135" i="131" s="1"/>
  <c r="P136" i="131" s="1"/>
  <c r="P137" i="131" s="1"/>
  <c r="P138" i="131" s="1"/>
  <c r="P139" i="131" s="1"/>
  <c r="P140" i="131" s="1"/>
  <c r="P141" i="131" s="1"/>
  <c r="P142" i="131" s="1"/>
  <c r="H89" i="24"/>
  <c r="R122" i="24"/>
  <c r="I123" i="24"/>
  <c r="M123" i="24" s="1"/>
  <c r="Q123" i="24" s="1"/>
  <c r="I124" i="24"/>
  <c r="M124" i="24" s="1"/>
  <c r="Q124" i="24" s="1"/>
  <c r="I125" i="24"/>
  <c r="M125" i="24" s="1"/>
  <c r="Q125" i="24" s="1"/>
  <c r="I126" i="24"/>
  <c r="M126" i="24" s="1"/>
  <c r="Q126" i="24" s="1"/>
  <c r="I127" i="24"/>
  <c r="M127" i="24" s="1"/>
  <c r="Q127" i="24" s="1"/>
  <c r="I128" i="24"/>
  <c r="M128" i="24" s="1"/>
  <c r="Q128" i="24" s="1"/>
  <c r="I129" i="24"/>
  <c r="M129" i="24" s="1"/>
  <c r="Q129" i="24" s="1"/>
  <c r="I130" i="24"/>
  <c r="M130" i="24" s="1"/>
  <c r="Q130" i="24" s="1"/>
  <c r="I131" i="24"/>
  <c r="M131" i="24" s="1"/>
  <c r="Q131" i="24" s="1"/>
  <c r="I132" i="24"/>
  <c r="M132" i="24" s="1"/>
  <c r="Q132" i="24" s="1"/>
  <c r="I133" i="24"/>
  <c r="M133" i="24" s="1"/>
  <c r="Q133" i="24" s="1"/>
  <c r="I134" i="24"/>
  <c r="K134" i="24" s="1"/>
  <c r="O134" i="24" s="1"/>
  <c r="I135" i="24"/>
  <c r="M135" i="24" s="1"/>
  <c r="Q135" i="24" s="1"/>
  <c r="I136" i="24"/>
  <c r="M136" i="24" s="1"/>
  <c r="Q136" i="24" s="1"/>
  <c r="I137" i="24"/>
  <c r="M137" i="24" s="1"/>
  <c r="Q137" i="24" s="1"/>
  <c r="I138" i="24"/>
  <c r="M138" i="24" s="1"/>
  <c r="Q138" i="24" s="1"/>
  <c r="I139" i="24"/>
  <c r="M139" i="24" s="1"/>
  <c r="Q139" i="24" s="1"/>
  <c r="I140" i="24"/>
  <c r="M140" i="24" s="1"/>
  <c r="Q140" i="24" s="1"/>
  <c r="I141" i="24"/>
  <c r="M141" i="24" s="1"/>
  <c r="Q141" i="24" s="1"/>
  <c r="I142" i="24"/>
  <c r="M142" i="24" s="1"/>
  <c r="Q142" i="24" s="1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P131" i="23"/>
  <c r="P132" i="23" s="1"/>
  <c r="P133" i="23" s="1"/>
  <c r="P134" i="23" s="1"/>
  <c r="P135" i="23" s="1"/>
  <c r="P136" i="23" s="1"/>
  <c r="P137" i="23" s="1"/>
  <c r="P138" i="23" s="1"/>
  <c r="P139" i="23" s="1"/>
  <c r="P140" i="23" s="1"/>
  <c r="P141" i="23" s="1"/>
  <c r="P142" i="23" s="1"/>
  <c r="N128" i="21"/>
  <c r="N128" i="20"/>
  <c r="T128" i="20" s="1"/>
  <c r="L128" i="19"/>
  <c r="R128" i="19" s="1"/>
  <c r="N128" i="29"/>
  <c r="I124" i="16"/>
  <c r="K124" i="16" s="1"/>
  <c r="O124" i="16" s="1"/>
  <c r="I125" i="16"/>
  <c r="M125" i="16" s="1"/>
  <c r="Q125" i="16" s="1"/>
  <c r="I126" i="16"/>
  <c r="L126" i="16" s="1"/>
  <c r="P126" i="16" s="1"/>
  <c r="I127" i="16"/>
  <c r="M127" i="16" s="1"/>
  <c r="Q127" i="16" s="1"/>
  <c r="I128" i="16"/>
  <c r="L128" i="16" s="1"/>
  <c r="P128" i="16" s="1"/>
  <c r="I129" i="16"/>
  <c r="K129" i="16" s="1"/>
  <c r="O129" i="16" s="1"/>
  <c r="I130" i="16"/>
  <c r="L130" i="16" s="1"/>
  <c r="P130" i="16" s="1"/>
  <c r="I131" i="16"/>
  <c r="I132" i="16"/>
  <c r="I133" i="16"/>
  <c r="I134" i="16"/>
  <c r="L134" i="16" s="1"/>
  <c r="P134" i="16" s="1"/>
  <c r="I135" i="16"/>
  <c r="I136" i="16"/>
  <c r="I137" i="16"/>
  <c r="I138" i="16"/>
  <c r="I139" i="16"/>
  <c r="I140" i="16"/>
  <c r="I141" i="16"/>
  <c r="I142" i="16"/>
  <c r="I123" i="16"/>
  <c r="N128" i="63"/>
  <c r="L129" i="63"/>
  <c r="F122" i="129"/>
  <c r="P130" i="21"/>
  <c r="F122" i="20"/>
  <c r="P132" i="20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31" i="19"/>
  <c r="P132" i="19" s="1"/>
  <c r="P133" i="19" s="1"/>
  <c r="P134" i="19" s="1"/>
  <c r="P135" i="19" s="1"/>
  <c r="P136" i="19" s="1"/>
  <c r="P137" i="19" s="1"/>
  <c r="P138" i="19" s="1"/>
  <c r="P139" i="19" s="1"/>
  <c r="P140" i="19" s="1"/>
  <c r="P141" i="19" s="1"/>
  <c r="P142" i="19" s="1"/>
  <c r="F122" i="19"/>
  <c r="G122" i="19" s="1"/>
  <c r="K122" i="19" s="1"/>
  <c r="P131" i="29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R123" i="16"/>
  <c r="R124" i="16" s="1"/>
  <c r="R125" i="16" s="1"/>
  <c r="R126" i="16" s="1"/>
  <c r="R127" i="16" s="1"/>
  <c r="R128" i="16" s="1"/>
  <c r="R129" i="16" s="1"/>
  <c r="R130" i="16" s="1"/>
  <c r="R131" i="16" s="1"/>
  <c r="R132" i="16" s="1"/>
  <c r="R133" i="16" s="1"/>
  <c r="R134" i="16" s="1"/>
  <c r="R135" i="16" s="1"/>
  <c r="R136" i="16" s="1"/>
  <c r="R137" i="16" s="1"/>
  <c r="R138" i="16" s="1"/>
  <c r="R139" i="16" s="1"/>
  <c r="R140" i="16" s="1"/>
  <c r="R141" i="16" s="1"/>
  <c r="R142" i="16" s="1"/>
  <c r="P131" i="18"/>
  <c r="P132" i="18" s="1"/>
  <c r="P133" i="18" s="1"/>
  <c r="P134" i="18" s="1"/>
  <c r="P135" i="18" s="1"/>
  <c r="P136" i="18" s="1"/>
  <c r="P137" i="18" s="1"/>
  <c r="P138" i="18" s="1"/>
  <c r="P139" i="18" s="1"/>
  <c r="P140" i="18" s="1"/>
  <c r="P141" i="18" s="1"/>
  <c r="P142" i="18" s="1"/>
  <c r="F122" i="51"/>
  <c r="W125" i="27" l="1"/>
  <c r="AT9" i="639"/>
  <c r="I122" i="129"/>
  <c r="M122" i="129" s="1"/>
  <c r="J122" i="129"/>
  <c r="N122" i="129" s="1"/>
  <c r="H122" i="129"/>
  <c r="L122" i="129" s="1"/>
  <c r="AA125" i="27"/>
  <c r="S9" i="639" s="1"/>
  <c r="Z125" i="27"/>
  <c r="S84" i="639" s="1"/>
  <c r="AB125" i="27"/>
  <c r="P131" i="21"/>
  <c r="P132" i="21" s="1"/>
  <c r="P133" i="21" s="1"/>
  <c r="P134" i="21" s="1"/>
  <c r="P135" i="21" s="1"/>
  <c r="P136" i="21" s="1"/>
  <c r="P137" i="21" s="1"/>
  <c r="P138" i="21" s="1"/>
  <c r="P139" i="21" s="1"/>
  <c r="P140" i="21" s="1"/>
  <c r="P141" i="21" s="1"/>
  <c r="P142" i="21" s="1"/>
  <c r="P131" i="63"/>
  <c r="P132" i="63" s="1"/>
  <c r="P133" i="63" s="1"/>
  <c r="P134" i="63" s="1"/>
  <c r="P135" i="63" s="1"/>
  <c r="P136" i="63" s="1"/>
  <c r="P137" i="63" s="1"/>
  <c r="P138" i="63" s="1"/>
  <c r="P139" i="63" s="1"/>
  <c r="P140" i="63" s="1"/>
  <c r="P141" i="63" s="1"/>
  <c r="P142" i="63" s="1"/>
  <c r="J122" i="19"/>
  <c r="N122" i="19" s="1"/>
  <c r="T122" i="19" s="1"/>
  <c r="Q122" i="19"/>
  <c r="H122" i="19"/>
  <c r="L122" i="19" s="1"/>
  <c r="R122" i="19" s="1"/>
  <c r="I122" i="19"/>
  <c r="M122" i="19" s="1"/>
  <c r="S122" i="19" s="1"/>
  <c r="AJ6" i="639" s="1"/>
  <c r="J122" i="51"/>
  <c r="N122" i="51" s="1"/>
  <c r="G122" i="51"/>
  <c r="K122" i="51" s="1"/>
  <c r="H122" i="51"/>
  <c r="L122" i="51" s="1"/>
  <c r="I122" i="51"/>
  <c r="M122" i="51" s="1"/>
  <c r="G122" i="20"/>
  <c r="H122" i="20"/>
  <c r="L122" i="20" s="1"/>
  <c r="J122" i="20"/>
  <c r="N122" i="20" s="1"/>
  <c r="T122" i="20" s="1"/>
  <c r="I122" i="20"/>
  <c r="M122" i="20" s="1"/>
  <c r="S122" i="20" s="1"/>
  <c r="AK6" i="639" s="1"/>
  <c r="Q126" i="27"/>
  <c r="AC126" i="27" s="1"/>
  <c r="AD126" i="27" s="1"/>
  <c r="AE126" i="27" s="1"/>
  <c r="AF126" i="27" s="1"/>
  <c r="R126" i="27"/>
  <c r="V126" i="27" s="1"/>
  <c r="S126" i="27"/>
  <c r="T126" i="27"/>
  <c r="X126" i="27" s="1"/>
  <c r="N129" i="63"/>
  <c r="T129" i="63" s="1"/>
  <c r="T123" i="29"/>
  <c r="X123" i="29" s="1"/>
  <c r="AB123" i="29" s="1"/>
  <c r="L124" i="16"/>
  <c r="P124" i="16" s="1"/>
  <c r="U124" i="16" s="1"/>
  <c r="Y124" i="16" s="1"/>
  <c r="L138" i="16"/>
  <c r="P138" i="16" s="1"/>
  <c r="U138" i="16" s="1"/>
  <c r="Y138" i="16" s="1"/>
  <c r="M129" i="16"/>
  <c r="Q129" i="16" s="1"/>
  <c r="V129" i="16" s="1"/>
  <c r="Z129" i="16" s="1"/>
  <c r="T125" i="63"/>
  <c r="X125" i="63" s="1"/>
  <c r="AB125" i="63" s="1"/>
  <c r="S127" i="63"/>
  <c r="T124" i="63"/>
  <c r="X124" i="63" s="1"/>
  <c r="AB124" i="63" s="1"/>
  <c r="L142" i="16"/>
  <c r="P142" i="16" s="1"/>
  <c r="U142" i="16" s="1"/>
  <c r="Y142" i="16" s="1"/>
  <c r="M134" i="24"/>
  <c r="Q134" i="24" s="1"/>
  <c r="K126" i="24"/>
  <c r="O126" i="24" s="1"/>
  <c r="S124" i="63"/>
  <c r="X123" i="131"/>
  <c r="AB123" i="131" s="1"/>
  <c r="W126" i="131"/>
  <c r="AA126" i="131" s="1"/>
  <c r="P10" i="639" s="1"/>
  <c r="L132" i="16"/>
  <c r="P132" i="16" s="1"/>
  <c r="U132" i="16" s="1"/>
  <c r="Y132" i="16" s="1"/>
  <c r="L136" i="16"/>
  <c r="P136" i="16" s="1"/>
  <c r="U136" i="16" s="1"/>
  <c r="Y136" i="16" s="1"/>
  <c r="L140" i="16"/>
  <c r="P140" i="16" s="1"/>
  <c r="U140" i="16" s="1"/>
  <c r="Y140" i="16" s="1"/>
  <c r="S125" i="63"/>
  <c r="X123" i="20"/>
  <c r="AB123" i="20" s="1"/>
  <c r="X123" i="25"/>
  <c r="AB123" i="25" s="1"/>
  <c r="X125" i="25"/>
  <c r="AB125" i="25" s="1"/>
  <c r="X127" i="25"/>
  <c r="AB127" i="25" s="1"/>
  <c r="V128" i="25"/>
  <c r="Z128" i="25" s="1"/>
  <c r="Q87" i="639" s="1"/>
  <c r="X124" i="25"/>
  <c r="AB124" i="25" s="1"/>
  <c r="X126" i="25"/>
  <c r="AB126" i="25" s="1"/>
  <c r="X129" i="25"/>
  <c r="AB129" i="25" s="1"/>
  <c r="M123" i="25"/>
  <c r="S123" i="25" s="1"/>
  <c r="AR7" i="639" s="1"/>
  <c r="M124" i="25"/>
  <c r="S124" i="25" s="1"/>
  <c r="AR8" i="639" s="1"/>
  <c r="M125" i="25"/>
  <c r="S125" i="25" s="1"/>
  <c r="AR9" i="639" s="1"/>
  <c r="M126" i="25"/>
  <c r="S126" i="25" s="1"/>
  <c r="AR10" i="639" s="1"/>
  <c r="M127" i="25"/>
  <c r="S127" i="25" s="1"/>
  <c r="AR11" i="639" s="1"/>
  <c r="M128" i="25"/>
  <c r="S128" i="25" s="1"/>
  <c r="AR12" i="639" s="1"/>
  <c r="M129" i="25"/>
  <c r="S129" i="25" s="1"/>
  <c r="AR13" i="639" s="1"/>
  <c r="L123" i="25"/>
  <c r="R123" i="25" s="1"/>
  <c r="L124" i="25"/>
  <c r="R124" i="25" s="1"/>
  <c r="L125" i="25"/>
  <c r="R125" i="25" s="1"/>
  <c r="L126" i="25"/>
  <c r="R126" i="25" s="1"/>
  <c r="L127" i="25"/>
  <c r="R127" i="25" s="1"/>
  <c r="L129" i="25"/>
  <c r="R129" i="25" s="1"/>
  <c r="W123" i="131"/>
  <c r="AA123" i="131" s="1"/>
  <c r="P7" i="639" s="1"/>
  <c r="W124" i="131"/>
  <c r="AA124" i="131" s="1"/>
  <c r="P8" i="639" s="1"/>
  <c r="W128" i="131"/>
  <c r="AA128" i="131" s="1"/>
  <c r="P12" i="639" s="1"/>
  <c r="W125" i="131"/>
  <c r="AA125" i="131" s="1"/>
  <c r="P9" i="639" s="1"/>
  <c r="W127" i="131"/>
  <c r="AA127" i="131" s="1"/>
  <c r="P11" i="639" s="1"/>
  <c r="W129" i="131"/>
  <c r="AA129" i="131" s="1"/>
  <c r="P13" i="639" s="1"/>
  <c r="L123" i="24"/>
  <c r="P123" i="24" s="1"/>
  <c r="L124" i="24"/>
  <c r="P124" i="24" s="1"/>
  <c r="L125" i="24"/>
  <c r="P125" i="24" s="1"/>
  <c r="L126" i="24"/>
  <c r="P126" i="24" s="1"/>
  <c r="L127" i="24"/>
  <c r="P127" i="24" s="1"/>
  <c r="L128" i="24"/>
  <c r="P128" i="24" s="1"/>
  <c r="L129" i="24"/>
  <c r="P129" i="24" s="1"/>
  <c r="L130" i="24"/>
  <c r="P130" i="24" s="1"/>
  <c r="L131" i="24"/>
  <c r="P131" i="24" s="1"/>
  <c r="L132" i="24"/>
  <c r="P132" i="24" s="1"/>
  <c r="L133" i="24"/>
  <c r="P133" i="24" s="1"/>
  <c r="L134" i="24"/>
  <c r="P134" i="24" s="1"/>
  <c r="L135" i="24"/>
  <c r="P135" i="24" s="1"/>
  <c r="L136" i="24"/>
  <c r="P136" i="24" s="1"/>
  <c r="L137" i="24"/>
  <c r="P137" i="24" s="1"/>
  <c r="L138" i="24"/>
  <c r="P138" i="24" s="1"/>
  <c r="L139" i="24"/>
  <c r="P139" i="24" s="1"/>
  <c r="L140" i="24"/>
  <c r="P140" i="24" s="1"/>
  <c r="L141" i="24"/>
  <c r="P141" i="24" s="1"/>
  <c r="L142" i="24"/>
  <c r="P142" i="24" s="1"/>
  <c r="K123" i="24"/>
  <c r="O123" i="24" s="1"/>
  <c r="K124" i="24"/>
  <c r="O124" i="24" s="1"/>
  <c r="K125" i="24"/>
  <c r="O125" i="24" s="1"/>
  <c r="K127" i="24"/>
  <c r="O127" i="24" s="1"/>
  <c r="K128" i="24"/>
  <c r="O128" i="24" s="1"/>
  <c r="K129" i="24"/>
  <c r="O129" i="24" s="1"/>
  <c r="K130" i="24"/>
  <c r="O130" i="24" s="1"/>
  <c r="K131" i="24"/>
  <c r="O131" i="24" s="1"/>
  <c r="K132" i="24"/>
  <c r="O132" i="24" s="1"/>
  <c r="K133" i="24"/>
  <c r="O133" i="24" s="1"/>
  <c r="K135" i="24"/>
  <c r="O135" i="24" s="1"/>
  <c r="K136" i="24"/>
  <c r="O136" i="24" s="1"/>
  <c r="K137" i="24"/>
  <c r="O137" i="24" s="1"/>
  <c r="K138" i="24"/>
  <c r="O138" i="24" s="1"/>
  <c r="K139" i="24"/>
  <c r="O139" i="24" s="1"/>
  <c r="K140" i="24"/>
  <c r="O140" i="24" s="1"/>
  <c r="K141" i="24"/>
  <c r="O141" i="24" s="1"/>
  <c r="K142" i="24"/>
  <c r="O142" i="24" s="1"/>
  <c r="X123" i="23"/>
  <c r="AB123" i="23" s="1"/>
  <c r="X125" i="23"/>
  <c r="AB125" i="23" s="1"/>
  <c r="X127" i="23"/>
  <c r="AB127" i="23" s="1"/>
  <c r="X129" i="23"/>
  <c r="AB129" i="23" s="1"/>
  <c r="X124" i="23"/>
  <c r="AB124" i="23" s="1"/>
  <c r="X126" i="23"/>
  <c r="AB126" i="23" s="1"/>
  <c r="X128" i="23"/>
  <c r="AB128" i="23" s="1"/>
  <c r="M128" i="19"/>
  <c r="S128" i="19" s="1"/>
  <c r="AJ12" i="639" s="1"/>
  <c r="V129" i="19"/>
  <c r="Z129" i="19" s="1"/>
  <c r="I88" i="639" s="1"/>
  <c r="W129" i="19"/>
  <c r="AA129" i="19" s="1"/>
  <c r="I13" i="639" s="1"/>
  <c r="X125" i="129"/>
  <c r="AB125" i="129" s="1"/>
  <c r="V125" i="129"/>
  <c r="Z125" i="129" s="1"/>
  <c r="L84" i="639" s="1"/>
  <c r="X123" i="129"/>
  <c r="AB123" i="129" s="1"/>
  <c r="W125" i="129"/>
  <c r="AA125" i="129" s="1"/>
  <c r="L9" i="639" s="1"/>
  <c r="T123" i="21"/>
  <c r="X123" i="21" s="1"/>
  <c r="AB123" i="21" s="1"/>
  <c r="T125" i="21"/>
  <c r="X125" i="21" s="1"/>
  <c r="AB125" i="21" s="1"/>
  <c r="T127" i="21"/>
  <c r="X127" i="21" s="1"/>
  <c r="AB127" i="21" s="1"/>
  <c r="T129" i="21"/>
  <c r="X129" i="21" s="1"/>
  <c r="AB129" i="21" s="1"/>
  <c r="T124" i="21"/>
  <c r="X124" i="21" s="1"/>
  <c r="AB124" i="21" s="1"/>
  <c r="T126" i="21"/>
  <c r="X126" i="21" s="1"/>
  <c r="AB126" i="21" s="1"/>
  <c r="T128" i="21"/>
  <c r="X128" i="21" s="1"/>
  <c r="AB128" i="21" s="1"/>
  <c r="R129" i="21"/>
  <c r="V129" i="21" s="1"/>
  <c r="Z129" i="21" s="1"/>
  <c r="K88" i="639" s="1"/>
  <c r="M128" i="21"/>
  <c r="L128" i="21"/>
  <c r="W123" i="20"/>
  <c r="AA123" i="20" s="1"/>
  <c r="J7" i="639" s="1"/>
  <c r="X124" i="20"/>
  <c r="AB124" i="20" s="1"/>
  <c r="X126" i="20"/>
  <c r="AB126" i="20" s="1"/>
  <c r="X128" i="20"/>
  <c r="AB128" i="20" s="1"/>
  <c r="X125" i="20"/>
  <c r="AB125" i="20" s="1"/>
  <c r="X127" i="20"/>
  <c r="AB127" i="20" s="1"/>
  <c r="X129" i="20"/>
  <c r="AB129" i="20" s="1"/>
  <c r="M128" i="20"/>
  <c r="S128" i="20" s="1"/>
  <c r="AK12" i="639" s="1"/>
  <c r="L128" i="20"/>
  <c r="R128" i="20" s="1"/>
  <c r="W124" i="19"/>
  <c r="AA124" i="19" s="1"/>
  <c r="I8" i="639" s="1"/>
  <c r="W126" i="19"/>
  <c r="AA126" i="19" s="1"/>
  <c r="I10" i="639" s="1"/>
  <c r="W123" i="19"/>
  <c r="AA123" i="19" s="1"/>
  <c r="I7" i="639" s="1"/>
  <c r="W125" i="19"/>
  <c r="AA125" i="19" s="1"/>
  <c r="I9" i="639" s="1"/>
  <c r="W127" i="19"/>
  <c r="AA127" i="19" s="1"/>
  <c r="I11" i="639" s="1"/>
  <c r="V128" i="19"/>
  <c r="Z128" i="19" s="1"/>
  <c r="I87" i="639" s="1"/>
  <c r="N128" i="19"/>
  <c r="T128" i="19" s="1"/>
  <c r="T124" i="29"/>
  <c r="X124" i="29" s="1"/>
  <c r="AB124" i="29" s="1"/>
  <c r="T126" i="29"/>
  <c r="X126" i="29" s="1"/>
  <c r="AB126" i="29" s="1"/>
  <c r="T128" i="29"/>
  <c r="X128" i="29" s="1"/>
  <c r="AB128" i="29" s="1"/>
  <c r="S123" i="29"/>
  <c r="AI7" i="639" s="1"/>
  <c r="T125" i="29"/>
  <c r="X125" i="29" s="1"/>
  <c r="AB125" i="29" s="1"/>
  <c r="T127" i="29"/>
  <c r="X127" i="29" s="1"/>
  <c r="AB127" i="29" s="1"/>
  <c r="T129" i="29"/>
  <c r="X129" i="29" s="1"/>
  <c r="AB129" i="29" s="1"/>
  <c r="M128" i="29"/>
  <c r="L128" i="29"/>
  <c r="T124" i="16"/>
  <c r="X124" i="16" s="1"/>
  <c r="V125" i="16"/>
  <c r="Z125" i="16" s="1"/>
  <c r="U126" i="16"/>
  <c r="Y126" i="16" s="1"/>
  <c r="V127" i="16"/>
  <c r="Z127" i="16" s="1"/>
  <c r="U128" i="16"/>
  <c r="Y128" i="16" s="1"/>
  <c r="U134" i="16"/>
  <c r="Y134" i="16" s="1"/>
  <c r="T129" i="16"/>
  <c r="X129" i="16" s="1"/>
  <c r="U130" i="16"/>
  <c r="Y130" i="16" s="1"/>
  <c r="M124" i="16"/>
  <c r="Q124" i="16" s="1"/>
  <c r="L125" i="16"/>
  <c r="P125" i="16" s="1"/>
  <c r="K126" i="16"/>
  <c r="O126" i="16" s="1"/>
  <c r="M126" i="16"/>
  <c r="Q126" i="16" s="1"/>
  <c r="L127" i="16"/>
  <c r="P127" i="16" s="1"/>
  <c r="K128" i="16"/>
  <c r="O128" i="16" s="1"/>
  <c r="M128" i="16"/>
  <c r="Q128" i="16" s="1"/>
  <c r="L129" i="16"/>
  <c r="P129" i="16" s="1"/>
  <c r="L131" i="16"/>
  <c r="P131" i="16" s="1"/>
  <c r="L133" i="16"/>
  <c r="P133" i="16" s="1"/>
  <c r="L135" i="16"/>
  <c r="P135" i="16" s="1"/>
  <c r="L137" i="16"/>
  <c r="P137" i="16" s="1"/>
  <c r="L139" i="16"/>
  <c r="P139" i="16" s="1"/>
  <c r="L141" i="16"/>
  <c r="P141" i="16" s="1"/>
  <c r="K125" i="16"/>
  <c r="O125" i="16" s="1"/>
  <c r="K127" i="16"/>
  <c r="O127" i="16" s="1"/>
  <c r="S126" i="63"/>
  <c r="R124" i="63"/>
  <c r="V124" i="63" s="1"/>
  <c r="Z124" i="63" s="1"/>
  <c r="F83" i="639" s="1"/>
  <c r="R126" i="63"/>
  <c r="V126" i="63" s="1"/>
  <c r="Z126" i="63" s="1"/>
  <c r="F85" i="639" s="1"/>
  <c r="T127" i="63"/>
  <c r="X127" i="63" s="1"/>
  <c r="AB127" i="63" s="1"/>
  <c r="R125" i="63"/>
  <c r="V125" i="63" s="1"/>
  <c r="Z125" i="63" s="1"/>
  <c r="F84" i="639" s="1"/>
  <c r="T126" i="63"/>
  <c r="X126" i="63" s="1"/>
  <c r="AB126" i="63" s="1"/>
  <c r="R127" i="63"/>
  <c r="V127" i="63" s="1"/>
  <c r="Z127" i="63" s="1"/>
  <c r="F86" i="639" s="1"/>
  <c r="T128" i="63"/>
  <c r="X128" i="63" s="1"/>
  <c r="AB128" i="63" s="1"/>
  <c r="R129" i="63"/>
  <c r="V129" i="63" s="1"/>
  <c r="Z129" i="63" s="1"/>
  <c r="F88" i="639" s="1"/>
  <c r="S123" i="63"/>
  <c r="T124" i="18"/>
  <c r="X124" i="18" s="1"/>
  <c r="T126" i="18"/>
  <c r="X126" i="18" s="1"/>
  <c r="T128" i="18"/>
  <c r="X128" i="18" s="1"/>
  <c r="T123" i="18"/>
  <c r="X123" i="18" s="1"/>
  <c r="T125" i="18"/>
  <c r="X125" i="18" s="1"/>
  <c r="T127" i="18"/>
  <c r="X127" i="18" s="1"/>
  <c r="T129" i="18"/>
  <c r="X129" i="18" s="1"/>
  <c r="N129" i="51"/>
  <c r="N128" i="51"/>
  <c r="N129" i="3"/>
  <c r="F122" i="3"/>
  <c r="L129" i="3"/>
  <c r="N128" i="3"/>
  <c r="L128" i="3"/>
  <c r="M128" i="3"/>
  <c r="W123" i="63" l="1"/>
  <c r="AA123" i="63" s="1"/>
  <c r="F7" i="639" s="1"/>
  <c r="AG7" i="639"/>
  <c r="W124" i="63"/>
  <c r="AA124" i="63" s="1"/>
  <c r="F8" i="639" s="1"/>
  <c r="AG8" i="639"/>
  <c r="W125" i="63"/>
  <c r="AA125" i="63" s="1"/>
  <c r="F9" i="639" s="1"/>
  <c r="AG9" i="639"/>
  <c r="W126" i="63"/>
  <c r="AA126" i="63" s="1"/>
  <c r="F10" i="639" s="1"/>
  <c r="AG10" i="639"/>
  <c r="W127" i="63"/>
  <c r="AA127" i="63" s="1"/>
  <c r="F11" i="639" s="1"/>
  <c r="AG11" i="639"/>
  <c r="W126" i="27"/>
  <c r="AT10" i="639"/>
  <c r="AB129" i="18"/>
  <c r="AF129" i="18"/>
  <c r="AB127" i="18"/>
  <c r="AF127" i="18"/>
  <c r="Z126" i="27"/>
  <c r="S85" i="639" s="1"/>
  <c r="AB125" i="18"/>
  <c r="AF125" i="18"/>
  <c r="AB123" i="18"/>
  <c r="AF123" i="18"/>
  <c r="AB126" i="18"/>
  <c r="AF126" i="18"/>
  <c r="AB126" i="27"/>
  <c r="AB128" i="18"/>
  <c r="AF128" i="18"/>
  <c r="AB124" i="18"/>
  <c r="AF124" i="18"/>
  <c r="AA126" i="27"/>
  <c r="S10" i="639" s="1"/>
  <c r="R122" i="20"/>
  <c r="V122" i="20" s="1"/>
  <c r="Z122" i="20" s="1"/>
  <c r="J81" i="639" s="1"/>
  <c r="K122" i="20"/>
  <c r="Q122" i="20" s="1"/>
  <c r="W123" i="29"/>
  <c r="AA123" i="29" s="1"/>
  <c r="H7" i="639" s="1"/>
  <c r="J122" i="3"/>
  <c r="N122" i="3" s="1"/>
  <c r="H122" i="3"/>
  <c r="L122" i="3" s="1"/>
  <c r="G122" i="3"/>
  <c r="K122" i="3" s="1"/>
  <c r="I122" i="3"/>
  <c r="M122" i="3" s="1"/>
  <c r="W128" i="19"/>
  <c r="AA128" i="19" s="1"/>
  <c r="I12" i="639" s="1"/>
  <c r="T127" i="27"/>
  <c r="X127" i="27" s="1"/>
  <c r="Q127" i="27"/>
  <c r="AC127" i="27" s="1"/>
  <c r="AD127" i="27" s="1"/>
  <c r="AE127" i="27" s="1"/>
  <c r="AF127" i="27" s="1"/>
  <c r="R127" i="27"/>
  <c r="V127" i="27" s="1"/>
  <c r="S127" i="27"/>
  <c r="N128" i="25"/>
  <c r="L128" i="63"/>
  <c r="M128" i="63"/>
  <c r="X129" i="63"/>
  <c r="AB129" i="63" s="1"/>
  <c r="M129" i="63"/>
  <c r="V127" i="25"/>
  <c r="Z127" i="25" s="1"/>
  <c r="Q86" i="639" s="1"/>
  <c r="V125" i="25"/>
  <c r="Z125" i="25" s="1"/>
  <c r="Q84" i="639" s="1"/>
  <c r="V123" i="25"/>
  <c r="Z123" i="25" s="1"/>
  <c r="Q82" i="639" s="1"/>
  <c r="W129" i="25"/>
  <c r="AA129" i="25" s="1"/>
  <c r="Q13" i="639" s="1"/>
  <c r="W127" i="25"/>
  <c r="AA127" i="25" s="1"/>
  <c r="Q11" i="639" s="1"/>
  <c r="W125" i="25"/>
  <c r="AA125" i="25" s="1"/>
  <c r="Q9" i="639" s="1"/>
  <c r="W123" i="25"/>
  <c r="AA123" i="25" s="1"/>
  <c r="Q7" i="639" s="1"/>
  <c r="V129" i="25"/>
  <c r="Z129" i="25" s="1"/>
  <c r="Q88" i="639" s="1"/>
  <c r="V126" i="25"/>
  <c r="Z126" i="25" s="1"/>
  <c r="Q85" i="639" s="1"/>
  <c r="V124" i="25"/>
  <c r="Z124" i="25" s="1"/>
  <c r="Q83" i="639" s="1"/>
  <c r="W128" i="25"/>
  <c r="AA128" i="25" s="1"/>
  <c r="Q12" i="639" s="1"/>
  <c r="W126" i="25"/>
  <c r="AA126" i="25" s="1"/>
  <c r="Q10" i="639" s="1"/>
  <c r="W124" i="25"/>
  <c r="AA124" i="25" s="1"/>
  <c r="Q8" i="639" s="1"/>
  <c r="V129" i="131"/>
  <c r="Z129" i="131" s="1"/>
  <c r="P88" i="639" s="1"/>
  <c r="V128" i="131"/>
  <c r="Z128" i="131" s="1"/>
  <c r="P87" i="639" s="1"/>
  <c r="V127" i="131"/>
  <c r="Z127" i="131" s="1"/>
  <c r="P86" i="639" s="1"/>
  <c r="V126" i="131"/>
  <c r="Z126" i="131" s="1"/>
  <c r="P85" i="639" s="1"/>
  <c r="V125" i="131"/>
  <c r="Z125" i="131" s="1"/>
  <c r="P84" i="639" s="1"/>
  <c r="V124" i="131"/>
  <c r="Z124" i="131" s="1"/>
  <c r="P83" i="639" s="1"/>
  <c r="X129" i="131"/>
  <c r="AB129" i="131" s="1"/>
  <c r="X128" i="131"/>
  <c r="AB128" i="131" s="1"/>
  <c r="X127" i="131"/>
  <c r="AB127" i="131" s="1"/>
  <c r="X126" i="131"/>
  <c r="AB126" i="131" s="1"/>
  <c r="X125" i="131"/>
  <c r="AB125" i="131" s="1"/>
  <c r="X124" i="131"/>
  <c r="AB124" i="131" s="1"/>
  <c r="V123" i="131"/>
  <c r="Z123" i="131" s="1"/>
  <c r="P82" i="639" s="1"/>
  <c r="V128" i="23"/>
  <c r="Z128" i="23" s="1"/>
  <c r="O87" i="639" s="1"/>
  <c r="V126" i="23"/>
  <c r="Z126" i="23" s="1"/>
  <c r="O85" i="639" s="1"/>
  <c r="V124" i="23"/>
  <c r="Z124" i="23" s="1"/>
  <c r="O83" i="639" s="1"/>
  <c r="W128" i="23"/>
  <c r="AA128" i="23" s="1"/>
  <c r="O12" i="639" s="1"/>
  <c r="W126" i="23"/>
  <c r="AA126" i="23" s="1"/>
  <c r="O10" i="639" s="1"/>
  <c r="W124" i="23"/>
  <c r="AA124" i="23" s="1"/>
  <c r="O8" i="639" s="1"/>
  <c r="V129" i="23"/>
  <c r="Z129" i="23" s="1"/>
  <c r="O88" i="639" s="1"/>
  <c r="V127" i="23"/>
  <c r="Z127" i="23" s="1"/>
  <c r="O86" i="639" s="1"/>
  <c r="V125" i="23"/>
  <c r="Z125" i="23" s="1"/>
  <c r="O84" i="639" s="1"/>
  <c r="V123" i="23"/>
  <c r="Z123" i="23" s="1"/>
  <c r="O82" i="639" s="1"/>
  <c r="W129" i="23"/>
  <c r="AA129" i="23" s="1"/>
  <c r="O13" i="639" s="1"/>
  <c r="W127" i="23"/>
  <c r="AA127" i="23" s="1"/>
  <c r="O11" i="639" s="1"/>
  <c r="W125" i="23"/>
  <c r="AA125" i="23" s="1"/>
  <c r="O9" i="639" s="1"/>
  <c r="W123" i="23"/>
  <c r="AA123" i="23" s="1"/>
  <c r="O7" i="639" s="1"/>
  <c r="S125" i="3"/>
  <c r="S127" i="3"/>
  <c r="V126" i="129"/>
  <c r="Z126" i="129" s="1"/>
  <c r="L85" i="639" s="1"/>
  <c r="V124" i="129"/>
  <c r="Z124" i="129" s="1"/>
  <c r="L83" i="639" s="1"/>
  <c r="W123" i="129"/>
  <c r="AA123" i="129" s="1"/>
  <c r="L7" i="639" s="1"/>
  <c r="V123" i="129"/>
  <c r="Z123" i="129" s="1"/>
  <c r="L82" i="639" s="1"/>
  <c r="W126" i="129"/>
  <c r="AA126" i="129" s="1"/>
  <c r="L10" i="639" s="1"/>
  <c r="R128" i="21"/>
  <c r="V128" i="21" s="1"/>
  <c r="Z128" i="21" s="1"/>
  <c r="K87" i="639" s="1"/>
  <c r="R126" i="21"/>
  <c r="V126" i="21" s="1"/>
  <c r="Z126" i="21" s="1"/>
  <c r="K85" i="639" s="1"/>
  <c r="R124" i="21"/>
  <c r="V124" i="21" s="1"/>
  <c r="Z124" i="21" s="1"/>
  <c r="K83" i="639" s="1"/>
  <c r="S128" i="21"/>
  <c r="S126" i="21"/>
  <c r="S124" i="21"/>
  <c r="R127" i="21"/>
  <c r="V127" i="21" s="1"/>
  <c r="Z127" i="21" s="1"/>
  <c r="K86" i="639" s="1"/>
  <c r="R125" i="21"/>
  <c r="V125" i="21" s="1"/>
  <c r="Z125" i="21" s="1"/>
  <c r="K84" i="639" s="1"/>
  <c r="R123" i="21"/>
  <c r="V123" i="21" s="1"/>
  <c r="Z123" i="21" s="1"/>
  <c r="K82" i="639" s="1"/>
  <c r="S129" i="21"/>
  <c r="S127" i="21"/>
  <c r="S125" i="21"/>
  <c r="S123" i="21"/>
  <c r="V128" i="20"/>
  <c r="Z128" i="20" s="1"/>
  <c r="J87" i="639" s="1"/>
  <c r="V126" i="20"/>
  <c r="Z126" i="20" s="1"/>
  <c r="J85" i="639" s="1"/>
  <c r="V124" i="20"/>
  <c r="Z124" i="20" s="1"/>
  <c r="J83" i="639" s="1"/>
  <c r="W129" i="20"/>
  <c r="AA129" i="20" s="1"/>
  <c r="J13" i="639" s="1"/>
  <c r="W127" i="20"/>
  <c r="AA127" i="20" s="1"/>
  <c r="J11" i="639" s="1"/>
  <c r="W125" i="20"/>
  <c r="AA125" i="20" s="1"/>
  <c r="J9" i="639" s="1"/>
  <c r="V129" i="20"/>
  <c r="Z129" i="20" s="1"/>
  <c r="J88" i="639" s="1"/>
  <c r="V127" i="20"/>
  <c r="Z127" i="20" s="1"/>
  <c r="J86" i="639" s="1"/>
  <c r="V125" i="20"/>
  <c r="Z125" i="20" s="1"/>
  <c r="J84" i="639" s="1"/>
  <c r="V123" i="20"/>
  <c r="Z123" i="20" s="1"/>
  <c r="J82" i="639" s="1"/>
  <c r="W128" i="20"/>
  <c r="AA128" i="20" s="1"/>
  <c r="J12" i="639" s="1"/>
  <c r="W126" i="20"/>
  <c r="AA126" i="20" s="1"/>
  <c r="J10" i="639" s="1"/>
  <c r="W124" i="20"/>
  <c r="AA124" i="20" s="1"/>
  <c r="J8" i="639" s="1"/>
  <c r="X129" i="19"/>
  <c r="AB129" i="19" s="1"/>
  <c r="X127" i="19"/>
  <c r="AB127" i="19" s="1"/>
  <c r="X126" i="19"/>
  <c r="AB126" i="19" s="1"/>
  <c r="X125" i="19"/>
  <c r="AB125" i="19" s="1"/>
  <c r="X124" i="19"/>
  <c r="AB124" i="19" s="1"/>
  <c r="X123" i="19"/>
  <c r="AB123" i="19" s="1"/>
  <c r="X128" i="19"/>
  <c r="AB128" i="19" s="1"/>
  <c r="V127" i="19"/>
  <c r="Z127" i="19" s="1"/>
  <c r="I86" i="639" s="1"/>
  <c r="V126" i="19"/>
  <c r="Z126" i="19" s="1"/>
  <c r="I85" i="639" s="1"/>
  <c r="V125" i="19"/>
  <c r="Z125" i="19" s="1"/>
  <c r="I84" i="639" s="1"/>
  <c r="V124" i="19"/>
  <c r="Z124" i="19" s="1"/>
  <c r="I83" i="639" s="1"/>
  <c r="V123" i="19"/>
  <c r="Z123" i="19" s="1"/>
  <c r="I82" i="639" s="1"/>
  <c r="R128" i="29"/>
  <c r="V128" i="29" s="1"/>
  <c r="Z128" i="29" s="1"/>
  <c r="H87" i="639" s="1"/>
  <c r="R126" i="29"/>
  <c r="V126" i="29" s="1"/>
  <c r="Z126" i="29" s="1"/>
  <c r="H85" i="639" s="1"/>
  <c r="R124" i="29"/>
  <c r="V124" i="29" s="1"/>
  <c r="Z124" i="29" s="1"/>
  <c r="H83" i="639" s="1"/>
  <c r="S128" i="29"/>
  <c r="AI12" i="639" s="1"/>
  <c r="S126" i="29"/>
  <c r="AI10" i="639" s="1"/>
  <c r="S124" i="29"/>
  <c r="AI8" i="639" s="1"/>
  <c r="R129" i="29"/>
  <c r="V129" i="29" s="1"/>
  <c r="Z129" i="29" s="1"/>
  <c r="H88" i="639" s="1"/>
  <c r="R127" i="29"/>
  <c r="V127" i="29" s="1"/>
  <c r="Z127" i="29" s="1"/>
  <c r="H86" i="639" s="1"/>
  <c r="R125" i="29"/>
  <c r="V125" i="29" s="1"/>
  <c r="Z125" i="29" s="1"/>
  <c r="H84" i="639" s="1"/>
  <c r="R123" i="29"/>
  <c r="V123" i="29" s="1"/>
  <c r="Z123" i="29" s="1"/>
  <c r="H82" i="639" s="1"/>
  <c r="S129" i="29"/>
  <c r="AI13" i="639" s="1"/>
  <c r="S127" i="29"/>
  <c r="AI11" i="639" s="1"/>
  <c r="S125" i="29"/>
  <c r="AI9" i="639" s="1"/>
  <c r="T125" i="16"/>
  <c r="X125" i="16" s="1"/>
  <c r="U139" i="16"/>
  <c r="Y139" i="16" s="1"/>
  <c r="U135" i="16"/>
  <c r="Y135" i="16" s="1"/>
  <c r="U133" i="16"/>
  <c r="Y133" i="16" s="1"/>
  <c r="U129" i="16"/>
  <c r="Y129" i="16" s="1"/>
  <c r="T128" i="16"/>
  <c r="X128" i="16" s="1"/>
  <c r="V126" i="16"/>
  <c r="Z126" i="16" s="1"/>
  <c r="U125" i="16"/>
  <c r="Y125" i="16" s="1"/>
  <c r="T127" i="16"/>
  <c r="X127" i="16" s="1"/>
  <c r="U141" i="16"/>
  <c r="Y141" i="16" s="1"/>
  <c r="U137" i="16"/>
  <c r="Y137" i="16" s="1"/>
  <c r="U131" i="16"/>
  <c r="Y131" i="16" s="1"/>
  <c r="V128" i="16"/>
  <c r="Z128" i="16" s="1"/>
  <c r="U127" i="16"/>
  <c r="Y127" i="16" s="1"/>
  <c r="T126" i="16"/>
  <c r="X126" i="16" s="1"/>
  <c r="V124" i="16"/>
  <c r="Z124" i="16" s="1"/>
  <c r="R123" i="63"/>
  <c r="V123" i="63" s="1"/>
  <c r="Z123" i="63" s="1"/>
  <c r="F82" i="639" s="1"/>
  <c r="T123" i="63"/>
  <c r="X123" i="63" s="1"/>
  <c r="AB123" i="63" s="1"/>
  <c r="R129" i="18"/>
  <c r="V129" i="18" s="1"/>
  <c r="R127" i="18"/>
  <c r="V127" i="18" s="1"/>
  <c r="R125" i="18"/>
  <c r="V125" i="18" s="1"/>
  <c r="R123" i="18"/>
  <c r="V123" i="18" s="1"/>
  <c r="S128" i="18"/>
  <c r="AF12" i="639" s="1"/>
  <c r="S126" i="18"/>
  <c r="AF10" i="639" s="1"/>
  <c r="S124" i="18"/>
  <c r="AF8" i="639" s="1"/>
  <c r="R128" i="18"/>
  <c r="V128" i="18" s="1"/>
  <c r="R126" i="18"/>
  <c r="V126" i="18" s="1"/>
  <c r="R124" i="18"/>
  <c r="V124" i="18" s="1"/>
  <c r="S129" i="18"/>
  <c r="AF13" i="639" s="1"/>
  <c r="S127" i="18"/>
  <c r="AF11" i="639" s="1"/>
  <c r="S125" i="18"/>
  <c r="AF9" i="639" s="1"/>
  <c r="S123" i="18"/>
  <c r="AF7" i="639" s="1"/>
  <c r="T123" i="51"/>
  <c r="X123" i="51" s="1"/>
  <c r="T125" i="51"/>
  <c r="X125" i="51" s="1"/>
  <c r="R126" i="51"/>
  <c r="V126" i="51" s="1"/>
  <c r="R127" i="51"/>
  <c r="V127" i="51" s="1"/>
  <c r="T129" i="51"/>
  <c r="X129" i="51" s="1"/>
  <c r="T124" i="51"/>
  <c r="X124" i="51" s="1"/>
  <c r="T126" i="51"/>
  <c r="X126" i="51" s="1"/>
  <c r="T127" i="51"/>
  <c r="X127" i="51" s="1"/>
  <c r="T128" i="51"/>
  <c r="X128" i="51" s="1"/>
  <c r="M128" i="51"/>
  <c r="M129" i="51"/>
  <c r="L128" i="51"/>
  <c r="L129" i="51"/>
  <c r="T123" i="3"/>
  <c r="X123" i="3" s="1"/>
  <c r="R124" i="3"/>
  <c r="V124" i="3" s="1"/>
  <c r="R125" i="3"/>
  <c r="V125" i="3" s="1"/>
  <c r="R126" i="3"/>
  <c r="V126" i="3" s="1"/>
  <c r="R127" i="3"/>
  <c r="V127" i="3" s="1"/>
  <c r="R128" i="3"/>
  <c r="V128" i="3" s="1"/>
  <c r="R129" i="3"/>
  <c r="V129" i="3" s="1"/>
  <c r="S124" i="3"/>
  <c r="T124" i="3"/>
  <c r="X124" i="3" s="1"/>
  <c r="T125" i="3"/>
  <c r="X125" i="3" s="1"/>
  <c r="S126" i="3"/>
  <c r="T126" i="3"/>
  <c r="X126" i="3" s="1"/>
  <c r="T127" i="3"/>
  <c r="X127" i="3" s="1"/>
  <c r="S128" i="3"/>
  <c r="T128" i="3"/>
  <c r="X128" i="3" s="1"/>
  <c r="T129" i="3"/>
  <c r="X129" i="3" s="1"/>
  <c r="W126" i="3" l="1"/>
  <c r="W127" i="21"/>
  <c r="AA127" i="21" s="1"/>
  <c r="K11" i="639" s="1"/>
  <c r="AL11" i="639"/>
  <c r="W127" i="3"/>
  <c r="W129" i="21"/>
  <c r="AA129" i="21" s="1"/>
  <c r="K13" i="639" s="1"/>
  <c r="AL13" i="639"/>
  <c r="W125" i="3"/>
  <c r="W124" i="3"/>
  <c r="W128" i="3"/>
  <c r="AA128" i="3" s="1"/>
  <c r="W124" i="21"/>
  <c r="AA124" i="21" s="1"/>
  <c r="K8" i="639" s="1"/>
  <c r="AL8" i="639"/>
  <c r="W123" i="21"/>
  <c r="AA123" i="21" s="1"/>
  <c r="K7" i="639" s="1"/>
  <c r="AL7" i="639"/>
  <c r="W126" i="21"/>
  <c r="AA126" i="21" s="1"/>
  <c r="K10" i="639" s="1"/>
  <c r="AL10" i="639"/>
  <c r="W125" i="21"/>
  <c r="AA125" i="21" s="1"/>
  <c r="K9" i="639" s="1"/>
  <c r="AL9" i="639"/>
  <c r="W128" i="21"/>
  <c r="AA128" i="21" s="1"/>
  <c r="K12" i="639" s="1"/>
  <c r="AL12" i="639"/>
  <c r="W127" i="27"/>
  <c r="AT11" i="639"/>
  <c r="AB126" i="3"/>
  <c r="AF126" i="3"/>
  <c r="Z124" i="18"/>
  <c r="E83" i="639" s="1"/>
  <c r="AD124" i="18"/>
  <c r="AA127" i="27"/>
  <c r="S11" i="639" s="1"/>
  <c r="AB123" i="3"/>
  <c r="AF123" i="3"/>
  <c r="Z129" i="3"/>
  <c r="AD129" i="3"/>
  <c r="Z126" i="18"/>
  <c r="E85" i="639" s="1"/>
  <c r="AD126" i="18"/>
  <c r="Z127" i="27"/>
  <c r="S86" i="639" s="1"/>
  <c r="AB127" i="3"/>
  <c r="AF127" i="3"/>
  <c r="Z129" i="18"/>
  <c r="E88" i="639" s="1"/>
  <c r="AD129" i="18"/>
  <c r="Z128" i="18"/>
  <c r="E87" i="639" s="1"/>
  <c r="AD128" i="18"/>
  <c r="AA126" i="3"/>
  <c r="AE126" i="3"/>
  <c r="AB125" i="3"/>
  <c r="AF125" i="3"/>
  <c r="Z128" i="3"/>
  <c r="AD128" i="3"/>
  <c r="AB124" i="3"/>
  <c r="AF124" i="3"/>
  <c r="Z127" i="3"/>
  <c r="AD127" i="3"/>
  <c r="AA127" i="3"/>
  <c r="AE127" i="3"/>
  <c r="AB127" i="27"/>
  <c r="Z123" i="18"/>
  <c r="E82" i="639" s="1"/>
  <c r="AD123" i="18"/>
  <c r="AA125" i="3"/>
  <c r="AE125" i="3"/>
  <c r="AA124" i="3"/>
  <c r="AE124" i="3"/>
  <c r="Z125" i="3"/>
  <c r="AD125" i="3"/>
  <c r="Z125" i="18"/>
  <c r="E84" i="639" s="1"/>
  <c r="AD125" i="18"/>
  <c r="AB129" i="3"/>
  <c r="AF129" i="3"/>
  <c r="Z126" i="3"/>
  <c r="AD126" i="3"/>
  <c r="AB128" i="3"/>
  <c r="AF128" i="3"/>
  <c r="Z124" i="3"/>
  <c r="AD124" i="3"/>
  <c r="Z127" i="18"/>
  <c r="E86" i="639" s="1"/>
  <c r="AD127" i="18"/>
  <c r="AB128" i="51"/>
  <c r="AB127" i="51"/>
  <c r="AB126" i="51"/>
  <c r="AB124" i="51"/>
  <c r="AB129" i="51"/>
  <c r="Z127" i="51"/>
  <c r="AB123" i="51"/>
  <c r="Z126" i="51"/>
  <c r="AB125" i="51"/>
  <c r="W124" i="29"/>
  <c r="AA124" i="29" s="1"/>
  <c r="H8" i="639" s="1"/>
  <c r="W126" i="29"/>
  <c r="AA126" i="29" s="1"/>
  <c r="H10" i="639" s="1"/>
  <c r="W125" i="29"/>
  <c r="AA125" i="29" s="1"/>
  <c r="H9" i="639" s="1"/>
  <c r="W127" i="29"/>
  <c r="AA127" i="29" s="1"/>
  <c r="H11" i="639" s="1"/>
  <c r="W129" i="29"/>
  <c r="AA129" i="29" s="1"/>
  <c r="H13" i="639" s="1"/>
  <c r="Q128" i="27"/>
  <c r="AC128" i="27" s="1"/>
  <c r="AD128" i="27" s="1"/>
  <c r="AE128" i="27" s="1"/>
  <c r="AF128" i="27" s="1"/>
  <c r="R128" i="27"/>
  <c r="V128" i="27" s="1"/>
  <c r="S128" i="27"/>
  <c r="T128" i="27"/>
  <c r="X128" i="27" s="1"/>
  <c r="T128" i="25"/>
  <c r="X128" i="25" s="1"/>
  <c r="AB128" i="25" s="1"/>
  <c r="W128" i="29"/>
  <c r="AA128" i="29" s="1"/>
  <c r="H12" i="639" s="1"/>
  <c r="W127" i="18"/>
  <c r="W126" i="18"/>
  <c r="W128" i="18"/>
  <c r="W124" i="18"/>
  <c r="W123" i="18"/>
  <c r="W129" i="18"/>
  <c r="W125" i="18"/>
  <c r="S128" i="63"/>
  <c r="R128" i="63"/>
  <c r="V128" i="63" s="1"/>
  <c r="Z128" i="63" s="1"/>
  <c r="F87" i="639" s="1"/>
  <c r="M129" i="3"/>
  <c r="S129" i="63"/>
  <c r="X124" i="129"/>
  <c r="AB124" i="129" s="1"/>
  <c r="W124" i="129"/>
  <c r="AA124" i="129" s="1"/>
  <c r="L8" i="639" s="1"/>
  <c r="X126" i="129"/>
  <c r="AB126" i="129" s="1"/>
  <c r="R129" i="51"/>
  <c r="V129" i="51" s="1"/>
  <c r="R125" i="51"/>
  <c r="V125" i="51" s="1"/>
  <c r="R123" i="51"/>
  <c r="V123" i="51" s="1"/>
  <c r="S129" i="51"/>
  <c r="S127" i="51"/>
  <c r="S125" i="51"/>
  <c r="S123" i="51"/>
  <c r="R128" i="51"/>
  <c r="V128" i="51" s="1"/>
  <c r="R124" i="51"/>
  <c r="V124" i="51" s="1"/>
  <c r="S128" i="51"/>
  <c r="S126" i="51"/>
  <c r="S124" i="51"/>
  <c r="R123" i="3"/>
  <c r="V123" i="3" s="1"/>
  <c r="S123" i="3"/>
  <c r="AE128" i="3" l="1"/>
  <c r="W128" i="27"/>
  <c r="AT12" i="639"/>
  <c r="W129" i="63"/>
  <c r="AA129" i="63" s="1"/>
  <c r="F13" i="639" s="1"/>
  <c r="AG13" i="639"/>
  <c r="W123" i="51"/>
  <c r="AA123" i="51" s="1"/>
  <c r="W125" i="51"/>
  <c r="AA125" i="51" s="1"/>
  <c r="W124" i="51"/>
  <c r="W123" i="3"/>
  <c r="W129" i="51"/>
  <c r="AA129" i="51" s="1"/>
  <c r="W126" i="51"/>
  <c r="AA126" i="51" s="1"/>
  <c r="W127" i="51"/>
  <c r="W128" i="51"/>
  <c r="W128" i="63"/>
  <c r="AA128" i="63" s="1"/>
  <c r="F12" i="639" s="1"/>
  <c r="AG12" i="639"/>
  <c r="X127" i="129"/>
  <c r="AB127" i="129" s="1"/>
  <c r="W127" i="129"/>
  <c r="AA127" i="129" s="1"/>
  <c r="L11" i="639" s="1"/>
  <c r="V127" i="129"/>
  <c r="Z127" i="129" s="1"/>
  <c r="L86" i="639" s="1"/>
  <c r="AA128" i="27"/>
  <c r="S12" i="639" s="1"/>
  <c r="AA128" i="18"/>
  <c r="E12" i="639" s="1"/>
  <c r="AE128" i="18"/>
  <c r="Z128" i="27"/>
  <c r="S87" i="639" s="1"/>
  <c r="AA127" i="18"/>
  <c r="E11" i="639" s="1"/>
  <c r="AE127" i="18"/>
  <c r="AA124" i="18"/>
  <c r="E8" i="639" s="1"/>
  <c r="AE124" i="18"/>
  <c r="AA125" i="18"/>
  <c r="E9" i="639" s="1"/>
  <c r="AE125" i="18"/>
  <c r="AA123" i="3"/>
  <c r="AE123" i="3"/>
  <c r="AA129" i="18"/>
  <c r="E13" i="639" s="1"/>
  <c r="AE129" i="18"/>
  <c r="AA126" i="18"/>
  <c r="E10" i="639" s="1"/>
  <c r="AE126" i="18"/>
  <c r="Z123" i="3"/>
  <c r="AD123" i="3"/>
  <c r="AA123" i="18"/>
  <c r="E7" i="639" s="1"/>
  <c r="AE123" i="18"/>
  <c r="AB128" i="27"/>
  <c r="AA128" i="51"/>
  <c r="Z123" i="51"/>
  <c r="Z128" i="51"/>
  <c r="Z129" i="51"/>
  <c r="AA127" i="51"/>
  <c r="Z125" i="51"/>
  <c r="AA124" i="51"/>
  <c r="Z124" i="51"/>
  <c r="R129" i="27"/>
  <c r="V129" i="27" s="1"/>
  <c r="S129" i="27"/>
  <c r="T129" i="27"/>
  <c r="X129" i="27" s="1"/>
  <c r="S129" i="3"/>
  <c r="W129" i="27" l="1"/>
  <c r="AT13" i="639"/>
  <c r="W129" i="3"/>
  <c r="AE129" i="3" s="1"/>
  <c r="X128" i="129"/>
  <c r="AB128" i="129" s="1"/>
  <c r="V128" i="129"/>
  <c r="Z128" i="129" s="1"/>
  <c r="L87" i="639" s="1"/>
  <c r="W128" i="129"/>
  <c r="AA128" i="129" s="1"/>
  <c r="L12" i="639" s="1"/>
  <c r="AA129" i="3"/>
  <c r="AB129" i="27"/>
  <c r="AA129" i="27"/>
  <c r="S13" i="639" s="1"/>
  <c r="Z129" i="27"/>
  <c r="S88" i="639" s="1"/>
  <c r="P131" i="27"/>
  <c r="AX44" i="105"/>
  <c r="AX45" i="105"/>
  <c r="AX46" i="105"/>
  <c r="AX47" i="105"/>
  <c r="AX48" i="105"/>
  <c r="T98" i="4"/>
  <c r="AB4" i="194"/>
  <c r="C44" i="314" s="1"/>
  <c r="AB5" i="194"/>
  <c r="C45" i="314" s="1"/>
  <c r="V129" i="129" l="1"/>
  <c r="Z129" i="129" s="1"/>
  <c r="L88" i="639" s="1"/>
  <c r="W129" i="129"/>
  <c r="AA129" i="129" s="1"/>
  <c r="L13" i="639" s="1"/>
  <c r="X129" i="129"/>
  <c r="AB129" i="129" s="1"/>
  <c r="P132" i="27"/>
  <c r="BJ90" i="1"/>
  <c r="BI90" i="1" s="1"/>
  <c r="G48" i="18"/>
  <c r="E8" i="196" s="1"/>
  <c r="G47" i="18"/>
  <c r="E7" i="196" s="1"/>
  <c r="G46" i="18"/>
  <c r="E6" i="196" s="1"/>
  <c r="G45" i="18"/>
  <c r="E5" i="196" s="1"/>
  <c r="G44" i="18"/>
  <c r="E4" i="196" s="1"/>
  <c r="G48" i="104"/>
  <c r="G47" i="104" s="1"/>
  <c r="G48" i="103"/>
  <c r="G47" i="103" s="1"/>
  <c r="G48" i="25"/>
  <c r="G47" i="25" s="1"/>
  <c r="G48" i="131"/>
  <c r="G47" i="131" s="1"/>
  <c r="G48" i="21"/>
  <c r="G47" i="21" s="1"/>
  <c r="G44" i="20"/>
  <c r="K4" i="196" s="1"/>
  <c r="G45" i="20"/>
  <c r="K5" i="196" s="1"/>
  <c r="G46" i="20"/>
  <c r="K6" i="196" s="1"/>
  <c r="G47" i="20"/>
  <c r="K7" i="196" s="1"/>
  <c r="G48" i="20"/>
  <c r="K8" i="196" s="1"/>
  <c r="B4" i="196"/>
  <c r="B5" i="196"/>
  <c r="B6" i="196"/>
  <c r="B7" i="196"/>
  <c r="B8" i="196"/>
  <c r="AA9" i="196"/>
  <c r="AA10" i="196"/>
  <c r="AA11" i="196"/>
  <c r="AA12" i="196"/>
  <c r="AA13" i="196"/>
  <c r="AA14" i="196"/>
  <c r="AA15" i="196"/>
  <c r="AA16" i="196"/>
  <c r="AA17" i="196"/>
  <c r="AA18" i="196"/>
  <c r="AA19" i="196"/>
  <c r="AA20" i="196"/>
  <c r="AA21" i="196"/>
  <c r="AA22" i="196"/>
  <c r="C5" i="196"/>
  <c r="D5" i="196"/>
  <c r="F5" i="196"/>
  <c r="I5" i="196"/>
  <c r="J5" i="196"/>
  <c r="M5" i="196"/>
  <c r="N5" i="196"/>
  <c r="P5" i="196"/>
  <c r="T5" i="196"/>
  <c r="U5" i="196"/>
  <c r="V5" i="196"/>
  <c r="W5" i="196"/>
  <c r="C6" i="196"/>
  <c r="D6" i="196"/>
  <c r="F6" i="196"/>
  <c r="I6" i="196"/>
  <c r="J6" i="196"/>
  <c r="M6" i="196"/>
  <c r="N6" i="196"/>
  <c r="P6" i="196"/>
  <c r="T6" i="196"/>
  <c r="U6" i="196"/>
  <c r="V6" i="196"/>
  <c r="W6" i="196"/>
  <c r="C7" i="196"/>
  <c r="D7" i="196"/>
  <c r="F7" i="196"/>
  <c r="I7" i="196"/>
  <c r="J7" i="196"/>
  <c r="M7" i="196"/>
  <c r="N7" i="196"/>
  <c r="P7" i="196"/>
  <c r="T7" i="196"/>
  <c r="U7" i="196"/>
  <c r="V7" i="196"/>
  <c r="W7" i="196"/>
  <c r="C8" i="196"/>
  <c r="D8" i="196"/>
  <c r="F8" i="196"/>
  <c r="I8" i="196"/>
  <c r="J8" i="196"/>
  <c r="M8" i="196"/>
  <c r="N8" i="196"/>
  <c r="P8" i="196"/>
  <c r="T8" i="196"/>
  <c r="U8" i="196"/>
  <c r="V8" i="196"/>
  <c r="W8" i="196"/>
  <c r="C9" i="196"/>
  <c r="D9" i="196"/>
  <c r="E9" i="196"/>
  <c r="F9" i="196"/>
  <c r="H9" i="196"/>
  <c r="I9" i="196"/>
  <c r="J9" i="196"/>
  <c r="K9" i="196"/>
  <c r="L9" i="196"/>
  <c r="M9" i="196"/>
  <c r="N9" i="196"/>
  <c r="P9" i="196"/>
  <c r="R9" i="196"/>
  <c r="S9" i="196"/>
  <c r="T9" i="196"/>
  <c r="U9" i="196"/>
  <c r="V9" i="196"/>
  <c r="W9" i="196"/>
  <c r="X9" i="196"/>
  <c r="Y9" i="196"/>
  <c r="Z9" i="196"/>
  <c r="C10" i="196"/>
  <c r="D10" i="196"/>
  <c r="E10" i="196"/>
  <c r="F10" i="196"/>
  <c r="H10" i="196"/>
  <c r="I10" i="196"/>
  <c r="J10" i="196"/>
  <c r="K10" i="196"/>
  <c r="L10" i="196"/>
  <c r="M10" i="196"/>
  <c r="N10" i="196"/>
  <c r="P10" i="196"/>
  <c r="R10" i="196"/>
  <c r="S10" i="196"/>
  <c r="T10" i="196"/>
  <c r="U10" i="196"/>
  <c r="V10" i="196"/>
  <c r="W10" i="196"/>
  <c r="X10" i="196"/>
  <c r="Y10" i="196"/>
  <c r="Z10" i="196"/>
  <c r="C11" i="196"/>
  <c r="D11" i="196"/>
  <c r="E11" i="196"/>
  <c r="F11" i="196"/>
  <c r="H11" i="196"/>
  <c r="I11" i="196"/>
  <c r="J11" i="196"/>
  <c r="K11" i="196"/>
  <c r="L11" i="196"/>
  <c r="M11" i="196"/>
  <c r="N11" i="196"/>
  <c r="P11" i="196"/>
  <c r="R11" i="196"/>
  <c r="S11" i="196"/>
  <c r="T11" i="196"/>
  <c r="U11" i="196"/>
  <c r="V11" i="196"/>
  <c r="W11" i="196"/>
  <c r="X11" i="196"/>
  <c r="Y11" i="196"/>
  <c r="Z11" i="196"/>
  <c r="C12" i="196"/>
  <c r="D12" i="196"/>
  <c r="E12" i="196"/>
  <c r="F12" i="196"/>
  <c r="H12" i="196"/>
  <c r="I12" i="196"/>
  <c r="J12" i="196"/>
  <c r="K12" i="196"/>
  <c r="L12" i="196"/>
  <c r="M12" i="196"/>
  <c r="N12" i="196"/>
  <c r="P12" i="196"/>
  <c r="R12" i="196"/>
  <c r="S12" i="196"/>
  <c r="T12" i="196"/>
  <c r="U12" i="196"/>
  <c r="V12" i="196"/>
  <c r="W12" i="196"/>
  <c r="X12" i="196"/>
  <c r="Y12" i="196"/>
  <c r="Z12" i="196"/>
  <c r="C13" i="196"/>
  <c r="D13" i="196"/>
  <c r="E13" i="196"/>
  <c r="F13" i="196"/>
  <c r="H13" i="196"/>
  <c r="I13" i="196"/>
  <c r="J13" i="196"/>
  <c r="K13" i="196"/>
  <c r="L13" i="196"/>
  <c r="M13" i="196"/>
  <c r="N13" i="196"/>
  <c r="P13" i="196"/>
  <c r="R13" i="196"/>
  <c r="S13" i="196"/>
  <c r="T13" i="196"/>
  <c r="U13" i="196"/>
  <c r="V13" i="196"/>
  <c r="W13" i="196"/>
  <c r="X13" i="196"/>
  <c r="Y13" i="196"/>
  <c r="Z13" i="196"/>
  <c r="C14" i="196"/>
  <c r="D14" i="196"/>
  <c r="E14" i="196"/>
  <c r="F14" i="196"/>
  <c r="H14" i="196"/>
  <c r="I14" i="196"/>
  <c r="J14" i="196"/>
  <c r="K14" i="196"/>
  <c r="L14" i="196"/>
  <c r="M14" i="196"/>
  <c r="N14" i="196"/>
  <c r="P14" i="196"/>
  <c r="R14" i="196"/>
  <c r="S14" i="196"/>
  <c r="T14" i="196"/>
  <c r="U14" i="196"/>
  <c r="V14" i="196"/>
  <c r="W14" i="196"/>
  <c r="X14" i="196"/>
  <c r="Y14" i="196"/>
  <c r="Z14" i="196"/>
  <c r="C15" i="196"/>
  <c r="D15" i="196"/>
  <c r="E15" i="196"/>
  <c r="F15" i="196"/>
  <c r="H15" i="196"/>
  <c r="I15" i="196"/>
  <c r="J15" i="196"/>
  <c r="K15" i="196"/>
  <c r="L15" i="196"/>
  <c r="M15" i="196"/>
  <c r="N15" i="196"/>
  <c r="P15" i="196"/>
  <c r="R15" i="196"/>
  <c r="S15" i="196"/>
  <c r="T15" i="196"/>
  <c r="U15" i="196"/>
  <c r="V15" i="196"/>
  <c r="W15" i="196"/>
  <c r="X15" i="196"/>
  <c r="Y15" i="196"/>
  <c r="Z15" i="196"/>
  <c r="C16" i="196"/>
  <c r="D16" i="196"/>
  <c r="E16" i="196"/>
  <c r="F16" i="196"/>
  <c r="H16" i="196"/>
  <c r="I16" i="196"/>
  <c r="J16" i="196"/>
  <c r="K16" i="196"/>
  <c r="L16" i="196"/>
  <c r="M16" i="196"/>
  <c r="N16" i="196"/>
  <c r="P16" i="196"/>
  <c r="R16" i="196"/>
  <c r="S16" i="196"/>
  <c r="T16" i="196"/>
  <c r="U16" i="196"/>
  <c r="V16" i="196"/>
  <c r="W16" i="196"/>
  <c r="X16" i="196"/>
  <c r="Y16" i="196"/>
  <c r="Z16" i="196"/>
  <c r="C17" i="196"/>
  <c r="D17" i="196"/>
  <c r="E17" i="196"/>
  <c r="F17" i="196"/>
  <c r="H17" i="196"/>
  <c r="I17" i="196"/>
  <c r="J17" i="196"/>
  <c r="K17" i="196"/>
  <c r="L17" i="196"/>
  <c r="M17" i="196"/>
  <c r="N17" i="196"/>
  <c r="P17" i="196"/>
  <c r="R17" i="196"/>
  <c r="S17" i="196"/>
  <c r="T17" i="196"/>
  <c r="U17" i="196"/>
  <c r="V17" i="196"/>
  <c r="W17" i="196"/>
  <c r="X17" i="196"/>
  <c r="Y17" i="196"/>
  <c r="Z17" i="196"/>
  <c r="C18" i="196"/>
  <c r="D18" i="196"/>
  <c r="E18" i="196"/>
  <c r="F18" i="196"/>
  <c r="H18" i="196"/>
  <c r="I18" i="196"/>
  <c r="J18" i="196"/>
  <c r="K18" i="196"/>
  <c r="L18" i="196"/>
  <c r="M18" i="196"/>
  <c r="N18" i="196"/>
  <c r="P18" i="196"/>
  <c r="R18" i="196"/>
  <c r="S18" i="196"/>
  <c r="T18" i="196"/>
  <c r="U18" i="196"/>
  <c r="V18" i="196"/>
  <c r="W18" i="196"/>
  <c r="X18" i="196"/>
  <c r="Y18" i="196"/>
  <c r="Z18" i="196"/>
  <c r="C19" i="196"/>
  <c r="D19" i="196"/>
  <c r="E19" i="196"/>
  <c r="F19" i="196"/>
  <c r="H19" i="196"/>
  <c r="I19" i="196"/>
  <c r="J19" i="196"/>
  <c r="K19" i="196"/>
  <c r="L19" i="196"/>
  <c r="M19" i="196"/>
  <c r="N19" i="196"/>
  <c r="P19" i="196"/>
  <c r="R19" i="196"/>
  <c r="S19" i="196"/>
  <c r="T19" i="196"/>
  <c r="U19" i="196"/>
  <c r="V19" i="196"/>
  <c r="W19" i="196"/>
  <c r="X19" i="196"/>
  <c r="Y19" i="196"/>
  <c r="Z19" i="196"/>
  <c r="C20" i="196"/>
  <c r="D20" i="196"/>
  <c r="E20" i="196"/>
  <c r="F20" i="196"/>
  <c r="H20" i="196"/>
  <c r="I20" i="196"/>
  <c r="J20" i="196"/>
  <c r="K20" i="196"/>
  <c r="L20" i="196"/>
  <c r="M20" i="196"/>
  <c r="N20" i="196"/>
  <c r="P20" i="196"/>
  <c r="R20" i="196"/>
  <c r="S20" i="196"/>
  <c r="T20" i="196"/>
  <c r="U20" i="196"/>
  <c r="V20" i="196"/>
  <c r="W20" i="196"/>
  <c r="X20" i="196"/>
  <c r="Y20" i="196"/>
  <c r="Z20" i="196"/>
  <c r="C21" i="196"/>
  <c r="D21" i="196"/>
  <c r="E21" i="196"/>
  <c r="F21" i="196"/>
  <c r="H21" i="196"/>
  <c r="I21" i="196"/>
  <c r="J21" i="196"/>
  <c r="K21" i="196"/>
  <c r="L21" i="196"/>
  <c r="M21" i="196"/>
  <c r="N21" i="196"/>
  <c r="P21" i="196"/>
  <c r="R21" i="196"/>
  <c r="S21" i="196"/>
  <c r="T21" i="196"/>
  <c r="U21" i="196"/>
  <c r="V21" i="196"/>
  <c r="W21" i="196"/>
  <c r="X21" i="196"/>
  <c r="Y21" i="196"/>
  <c r="Z21" i="196"/>
  <c r="C22" i="196"/>
  <c r="D22" i="196"/>
  <c r="E22" i="196"/>
  <c r="F22" i="196"/>
  <c r="H22" i="196"/>
  <c r="I22" i="196"/>
  <c r="J22" i="196"/>
  <c r="K22" i="196"/>
  <c r="L22" i="196"/>
  <c r="M22" i="196"/>
  <c r="N22" i="196"/>
  <c r="P22" i="196"/>
  <c r="R22" i="196"/>
  <c r="S22" i="196"/>
  <c r="T22" i="196"/>
  <c r="U22" i="196"/>
  <c r="V22" i="196"/>
  <c r="W22" i="196"/>
  <c r="X22" i="196"/>
  <c r="Y22" i="196"/>
  <c r="Z22" i="196"/>
  <c r="C23" i="196"/>
  <c r="D23" i="196"/>
  <c r="E23" i="196"/>
  <c r="F23" i="196"/>
  <c r="H23" i="196"/>
  <c r="I23" i="196"/>
  <c r="J23" i="196"/>
  <c r="K23" i="196"/>
  <c r="L23" i="196"/>
  <c r="M23" i="196"/>
  <c r="N23" i="196"/>
  <c r="P23" i="196"/>
  <c r="R23" i="196"/>
  <c r="S23" i="196"/>
  <c r="T23" i="196"/>
  <c r="U23" i="196"/>
  <c r="V23" i="196"/>
  <c r="W23" i="196"/>
  <c r="X23" i="196"/>
  <c r="Y23" i="196"/>
  <c r="Z23" i="196"/>
  <c r="AA23" i="196"/>
  <c r="C24" i="196"/>
  <c r="D24" i="196"/>
  <c r="E24" i="196"/>
  <c r="F24" i="196"/>
  <c r="H24" i="196"/>
  <c r="I24" i="196"/>
  <c r="J24" i="196"/>
  <c r="K24" i="196"/>
  <c r="L24" i="196"/>
  <c r="M24" i="196"/>
  <c r="N24" i="196"/>
  <c r="P24" i="196"/>
  <c r="R24" i="196"/>
  <c r="S24" i="196"/>
  <c r="T24" i="196"/>
  <c r="U24" i="196"/>
  <c r="V24" i="196"/>
  <c r="W24" i="196"/>
  <c r="X24" i="196"/>
  <c r="Y24" i="196"/>
  <c r="Z24" i="196"/>
  <c r="AA24" i="196"/>
  <c r="C25" i="196"/>
  <c r="D25" i="196"/>
  <c r="E25" i="196"/>
  <c r="F25" i="196"/>
  <c r="H25" i="196"/>
  <c r="I25" i="196"/>
  <c r="J25" i="196"/>
  <c r="K25" i="196"/>
  <c r="L25" i="196"/>
  <c r="M25" i="196"/>
  <c r="N25" i="196"/>
  <c r="P25" i="196"/>
  <c r="R25" i="196"/>
  <c r="S25" i="196"/>
  <c r="T25" i="196"/>
  <c r="U25" i="196"/>
  <c r="V25" i="196"/>
  <c r="W25" i="196"/>
  <c r="X25" i="196"/>
  <c r="Y25" i="196"/>
  <c r="Z25" i="196"/>
  <c r="AA25" i="196"/>
  <c r="C26" i="196"/>
  <c r="D26" i="196"/>
  <c r="E26" i="196"/>
  <c r="F26" i="196"/>
  <c r="H26" i="196"/>
  <c r="I26" i="196"/>
  <c r="J26" i="196"/>
  <c r="K26" i="196"/>
  <c r="L26" i="196"/>
  <c r="M26" i="196"/>
  <c r="N26" i="196"/>
  <c r="P26" i="196"/>
  <c r="R26" i="196"/>
  <c r="S26" i="196"/>
  <c r="T26" i="196"/>
  <c r="U26" i="196"/>
  <c r="V26" i="196"/>
  <c r="W26" i="196"/>
  <c r="X26" i="196"/>
  <c r="Y26" i="196"/>
  <c r="Z26" i="196"/>
  <c r="AA26" i="196"/>
  <c r="C27" i="196"/>
  <c r="D27" i="196"/>
  <c r="E27" i="196"/>
  <c r="F27" i="196"/>
  <c r="H27" i="196"/>
  <c r="I27" i="196"/>
  <c r="J27" i="196"/>
  <c r="K27" i="196"/>
  <c r="L27" i="196"/>
  <c r="M27" i="196"/>
  <c r="N27" i="196"/>
  <c r="P27" i="196"/>
  <c r="R27" i="196"/>
  <c r="S27" i="196"/>
  <c r="T27" i="196"/>
  <c r="U27" i="196"/>
  <c r="V27" i="196"/>
  <c r="W27" i="196"/>
  <c r="X27" i="196"/>
  <c r="Y27" i="196"/>
  <c r="Z27" i="196"/>
  <c r="AA27" i="196"/>
  <c r="C28" i="196"/>
  <c r="D28" i="196"/>
  <c r="E28" i="196"/>
  <c r="F28" i="196"/>
  <c r="H28" i="196"/>
  <c r="I28" i="196"/>
  <c r="J28" i="196"/>
  <c r="K28" i="196"/>
  <c r="L28" i="196"/>
  <c r="M28" i="196"/>
  <c r="N28" i="196"/>
  <c r="P28" i="196"/>
  <c r="R28" i="196"/>
  <c r="S28" i="196"/>
  <c r="T28" i="196"/>
  <c r="U28" i="196"/>
  <c r="V28" i="196"/>
  <c r="W28" i="196"/>
  <c r="X28" i="196"/>
  <c r="Y28" i="196"/>
  <c r="Z28" i="196"/>
  <c r="AA28" i="196"/>
  <c r="C29" i="196"/>
  <c r="D29" i="196"/>
  <c r="E29" i="196"/>
  <c r="F29" i="196"/>
  <c r="H29" i="196"/>
  <c r="I29" i="196"/>
  <c r="J29" i="196"/>
  <c r="K29" i="196"/>
  <c r="L29" i="196"/>
  <c r="M29" i="196"/>
  <c r="N29" i="196"/>
  <c r="P29" i="196"/>
  <c r="R29" i="196"/>
  <c r="S29" i="196"/>
  <c r="T29" i="196"/>
  <c r="U29" i="196"/>
  <c r="V29" i="196"/>
  <c r="W29" i="196"/>
  <c r="X29" i="196"/>
  <c r="Y29" i="196"/>
  <c r="Z29" i="196"/>
  <c r="AA29" i="196"/>
  <c r="C30" i="196"/>
  <c r="D30" i="196"/>
  <c r="E30" i="196"/>
  <c r="F30" i="196"/>
  <c r="H30" i="196"/>
  <c r="I30" i="196"/>
  <c r="J30" i="196"/>
  <c r="K30" i="196"/>
  <c r="L30" i="196"/>
  <c r="M30" i="196"/>
  <c r="N30" i="196"/>
  <c r="P30" i="196"/>
  <c r="R30" i="196"/>
  <c r="S30" i="196"/>
  <c r="T30" i="196"/>
  <c r="U30" i="196"/>
  <c r="V30" i="196"/>
  <c r="W30" i="196"/>
  <c r="X30" i="196"/>
  <c r="Y30" i="196"/>
  <c r="Z30" i="196"/>
  <c r="AA30" i="196"/>
  <c r="C31" i="196"/>
  <c r="D31" i="196"/>
  <c r="E31" i="196"/>
  <c r="F31" i="196"/>
  <c r="H31" i="196"/>
  <c r="I31" i="196"/>
  <c r="J31" i="196"/>
  <c r="K31" i="196"/>
  <c r="L31" i="196"/>
  <c r="M31" i="196"/>
  <c r="N31" i="196"/>
  <c r="P31" i="196"/>
  <c r="R31" i="196"/>
  <c r="S31" i="196"/>
  <c r="T31" i="196"/>
  <c r="U31" i="196"/>
  <c r="V31" i="196"/>
  <c r="W31" i="196"/>
  <c r="X31" i="196"/>
  <c r="Y31" i="196"/>
  <c r="Z31" i="196"/>
  <c r="AA31" i="196"/>
  <c r="C32" i="196"/>
  <c r="D32" i="196"/>
  <c r="E32" i="196"/>
  <c r="F32" i="196"/>
  <c r="H32" i="196"/>
  <c r="I32" i="196"/>
  <c r="J32" i="196"/>
  <c r="K32" i="196"/>
  <c r="L32" i="196"/>
  <c r="M32" i="196"/>
  <c r="N32" i="196"/>
  <c r="P32" i="196"/>
  <c r="R32" i="196"/>
  <c r="S32" i="196"/>
  <c r="T32" i="196"/>
  <c r="U32" i="196"/>
  <c r="V32" i="196"/>
  <c r="W32" i="196"/>
  <c r="X32" i="196"/>
  <c r="Y32" i="196"/>
  <c r="Z32" i="196"/>
  <c r="AA32" i="196"/>
  <c r="C33" i="196"/>
  <c r="D33" i="196"/>
  <c r="E33" i="196"/>
  <c r="F33" i="196"/>
  <c r="H33" i="196"/>
  <c r="I33" i="196"/>
  <c r="J33" i="196"/>
  <c r="K33" i="196"/>
  <c r="L33" i="196"/>
  <c r="M33" i="196"/>
  <c r="N33" i="196"/>
  <c r="P33" i="196"/>
  <c r="R33" i="196"/>
  <c r="S33" i="196"/>
  <c r="T33" i="196"/>
  <c r="U33" i="196"/>
  <c r="V33" i="196"/>
  <c r="W33" i="196"/>
  <c r="X33" i="196"/>
  <c r="Y33" i="196"/>
  <c r="Z33" i="196"/>
  <c r="AA33" i="196"/>
  <c r="C34" i="196"/>
  <c r="D34" i="196"/>
  <c r="E34" i="196"/>
  <c r="F34" i="196"/>
  <c r="H34" i="196"/>
  <c r="I34" i="196"/>
  <c r="J34" i="196"/>
  <c r="K34" i="196"/>
  <c r="L34" i="196"/>
  <c r="M34" i="196"/>
  <c r="N34" i="196"/>
  <c r="P34" i="196"/>
  <c r="R34" i="196"/>
  <c r="S34" i="196"/>
  <c r="T34" i="196"/>
  <c r="U34" i="196"/>
  <c r="V34" i="196"/>
  <c r="W34" i="196"/>
  <c r="X34" i="196"/>
  <c r="Y34" i="196"/>
  <c r="Z34" i="196"/>
  <c r="AA34" i="196"/>
  <c r="C35" i="196"/>
  <c r="D35" i="196"/>
  <c r="E35" i="196"/>
  <c r="F35" i="196"/>
  <c r="H35" i="196"/>
  <c r="I35" i="196"/>
  <c r="J35" i="196"/>
  <c r="K35" i="196"/>
  <c r="L35" i="196"/>
  <c r="M35" i="196"/>
  <c r="N35" i="196"/>
  <c r="P35" i="196"/>
  <c r="R35" i="196"/>
  <c r="S35" i="196"/>
  <c r="T35" i="196"/>
  <c r="U35" i="196"/>
  <c r="V35" i="196"/>
  <c r="W35" i="196"/>
  <c r="X35" i="196"/>
  <c r="Y35" i="196"/>
  <c r="Z35" i="196"/>
  <c r="AA35" i="196"/>
  <c r="C36" i="196"/>
  <c r="D36" i="196"/>
  <c r="E36" i="196"/>
  <c r="F36" i="196"/>
  <c r="H36" i="196"/>
  <c r="I36" i="196"/>
  <c r="J36" i="196"/>
  <c r="K36" i="196"/>
  <c r="L36" i="196"/>
  <c r="M36" i="196"/>
  <c r="N36" i="196"/>
  <c r="P36" i="196"/>
  <c r="R36" i="196"/>
  <c r="S36" i="196"/>
  <c r="T36" i="196"/>
  <c r="U36" i="196"/>
  <c r="V36" i="196"/>
  <c r="W36" i="196"/>
  <c r="X36" i="196"/>
  <c r="Y36" i="196"/>
  <c r="Z36" i="196"/>
  <c r="AA36" i="196"/>
  <c r="C37" i="196"/>
  <c r="D37" i="196"/>
  <c r="E37" i="196"/>
  <c r="F37" i="196"/>
  <c r="H37" i="196"/>
  <c r="I37" i="196"/>
  <c r="J37" i="196"/>
  <c r="K37" i="196"/>
  <c r="L37" i="196"/>
  <c r="M37" i="196"/>
  <c r="N37" i="196"/>
  <c r="P37" i="196"/>
  <c r="R37" i="196"/>
  <c r="S37" i="196"/>
  <c r="T37" i="196"/>
  <c r="U37" i="196"/>
  <c r="V37" i="196"/>
  <c r="W37" i="196"/>
  <c r="X37" i="196"/>
  <c r="Y37" i="196"/>
  <c r="Z37" i="196"/>
  <c r="AA37" i="196"/>
  <c r="C38" i="196"/>
  <c r="D38" i="196"/>
  <c r="E38" i="196"/>
  <c r="F38" i="196"/>
  <c r="H38" i="196"/>
  <c r="I38" i="196"/>
  <c r="J38" i="196"/>
  <c r="K38" i="196"/>
  <c r="L38" i="196"/>
  <c r="M38" i="196"/>
  <c r="N38" i="196"/>
  <c r="P38" i="196"/>
  <c r="R38" i="196"/>
  <c r="S38" i="196"/>
  <c r="T38" i="196"/>
  <c r="U38" i="196"/>
  <c r="V38" i="196"/>
  <c r="W38" i="196"/>
  <c r="X38" i="196"/>
  <c r="Y38" i="196"/>
  <c r="Z38" i="196"/>
  <c r="AA38" i="196"/>
  <c r="C39" i="196"/>
  <c r="D39" i="196"/>
  <c r="E39" i="196"/>
  <c r="F39" i="196"/>
  <c r="H39" i="196"/>
  <c r="I39" i="196"/>
  <c r="J39" i="196"/>
  <c r="K39" i="196"/>
  <c r="L39" i="196"/>
  <c r="M39" i="196"/>
  <c r="N39" i="196"/>
  <c r="P39" i="196"/>
  <c r="R39" i="196"/>
  <c r="S39" i="196"/>
  <c r="T39" i="196"/>
  <c r="U39" i="196"/>
  <c r="V39" i="196"/>
  <c r="W39" i="196"/>
  <c r="X39" i="196"/>
  <c r="Y39" i="196"/>
  <c r="Z39" i="196"/>
  <c r="AA39" i="196"/>
  <c r="C40" i="196"/>
  <c r="D40" i="196"/>
  <c r="E40" i="196"/>
  <c r="F40" i="196"/>
  <c r="H40" i="196"/>
  <c r="I40" i="196"/>
  <c r="J40" i="196"/>
  <c r="K40" i="196"/>
  <c r="L40" i="196"/>
  <c r="M40" i="196"/>
  <c r="N40" i="196"/>
  <c r="P40" i="196"/>
  <c r="R40" i="196"/>
  <c r="S40" i="196"/>
  <c r="T40" i="196"/>
  <c r="U40" i="196"/>
  <c r="V40" i="196"/>
  <c r="W40" i="196"/>
  <c r="X40" i="196"/>
  <c r="Y40" i="196"/>
  <c r="Z40" i="196"/>
  <c r="AA40" i="196"/>
  <c r="C41" i="196"/>
  <c r="D41" i="196"/>
  <c r="E41" i="196"/>
  <c r="F41" i="196"/>
  <c r="H41" i="196"/>
  <c r="I41" i="196"/>
  <c r="J41" i="196"/>
  <c r="K41" i="196"/>
  <c r="L41" i="196"/>
  <c r="M41" i="196"/>
  <c r="N41" i="196"/>
  <c r="P41" i="196"/>
  <c r="R41" i="196"/>
  <c r="S41" i="196"/>
  <c r="T41" i="196"/>
  <c r="U41" i="196"/>
  <c r="V41" i="196"/>
  <c r="W41" i="196"/>
  <c r="X41" i="196"/>
  <c r="Y41" i="196"/>
  <c r="Z41" i="196"/>
  <c r="AA41" i="196"/>
  <c r="C42" i="196"/>
  <c r="D42" i="196"/>
  <c r="E42" i="196"/>
  <c r="F42" i="196"/>
  <c r="H42" i="196"/>
  <c r="I42" i="196"/>
  <c r="J42" i="196"/>
  <c r="K42" i="196"/>
  <c r="L42" i="196"/>
  <c r="M42" i="196"/>
  <c r="N42" i="196"/>
  <c r="P42" i="196"/>
  <c r="R42" i="196"/>
  <c r="S42" i="196"/>
  <c r="T42" i="196"/>
  <c r="U42" i="196"/>
  <c r="V42" i="196"/>
  <c r="W42" i="196"/>
  <c r="X42" i="196"/>
  <c r="Y42" i="196"/>
  <c r="Z42" i="196"/>
  <c r="AA42" i="196"/>
  <c r="C43" i="196"/>
  <c r="D43" i="196"/>
  <c r="E43" i="196"/>
  <c r="F43" i="196"/>
  <c r="H43" i="196"/>
  <c r="I43" i="196"/>
  <c r="J43" i="196"/>
  <c r="K43" i="196"/>
  <c r="L43" i="196"/>
  <c r="M43" i="196"/>
  <c r="N43" i="196"/>
  <c r="P43" i="196"/>
  <c r="R43" i="196"/>
  <c r="S43" i="196"/>
  <c r="T43" i="196"/>
  <c r="U43" i="196"/>
  <c r="V43" i="196"/>
  <c r="W43" i="196"/>
  <c r="X43" i="196"/>
  <c r="Y43" i="196"/>
  <c r="Z43" i="196"/>
  <c r="AA43" i="196"/>
  <c r="D44" i="196"/>
  <c r="E44" i="196"/>
  <c r="L84" i="18" s="1"/>
  <c r="K84" i="18" s="1"/>
  <c r="F44" i="196"/>
  <c r="H44" i="196"/>
  <c r="K84" i="16" s="1"/>
  <c r="J84" i="16" s="1"/>
  <c r="I84" i="16" s="1"/>
  <c r="I44" i="196"/>
  <c r="L84" i="29" s="1"/>
  <c r="K84" i="29" s="1"/>
  <c r="J44" i="196"/>
  <c r="K44" i="196"/>
  <c r="L44" i="196"/>
  <c r="M44" i="196"/>
  <c r="N44" i="196"/>
  <c r="AG84" i="22" s="1"/>
  <c r="AF84" i="22" s="1"/>
  <c r="I84" i="22" s="1"/>
  <c r="P44" i="196"/>
  <c r="R44" i="196"/>
  <c r="S44" i="196"/>
  <c r="T44" i="196"/>
  <c r="U44" i="196"/>
  <c r="V44" i="196"/>
  <c r="W44" i="196"/>
  <c r="X44" i="196"/>
  <c r="Y44" i="196"/>
  <c r="AH84" i="103" s="1"/>
  <c r="AG84" i="103" s="1"/>
  <c r="I84" i="103" s="1"/>
  <c r="Z44" i="196"/>
  <c r="AA44" i="196"/>
  <c r="D45" i="196"/>
  <c r="E45" i="196"/>
  <c r="L85" i="18" s="1"/>
  <c r="K85" i="18" s="1"/>
  <c r="F45" i="196"/>
  <c r="H45" i="196"/>
  <c r="K85" i="16" s="1"/>
  <c r="J85" i="16" s="1"/>
  <c r="I85" i="16" s="1"/>
  <c r="I45" i="196"/>
  <c r="L85" i="29" s="1"/>
  <c r="K85" i="29" s="1"/>
  <c r="J45" i="196"/>
  <c r="K45" i="196"/>
  <c r="L45" i="196"/>
  <c r="M45" i="196"/>
  <c r="N45" i="196"/>
  <c r="AG85" i="22" s="1"/>
  <c r="AF85" i="22" s="1"/>
  <c r="I85" i="22" s="1"/>
  <c r="P45" i="196"/>
  <c r="R45" i="196"/>
  <c r="S45" i="196"/>
  <c r="T45" i="196"/>
  <c r="U45" i="196"/>
  <c r="V45" i="196"/>
  <c r="W45" i="196"/>
  <c r="X45" i="196"/>
  <c r="Y45" i="196"/>
  <c r="AH85" i="103" s="1"/>
  <c r="AG85" i="103" s="1"/>
  <c r="I85" i="103" s="1"/>
  <c r="Z45" i="196"/>
  <c r="AA45" i="196"/>
  <c r="D46" i="196"/>
  <c r="E46" i="196"/>
  <c r="L86" i="18" s="1"/>
  <c r="K86" i="18" s="1"/>
  <c r="F46" i="196"/>
  <c r="H46" i="196"/>
  <c r="K86" i="16" s="1"/>
  <c r="J86" i="16" s="1"/>
  <c r="I86" i="16" s="1"/>
  <c r="I46" i="196"/>
  <c r="L86" i="29" s="1"/>
  <c r="K86" i="29" s="1"/>
  <c r="J46" i="196"/>
  <c r="K46" i="196"/>
  <c r="L46" i="196"/>
  <c r="M46" i="196"/>
  <c r="N46" i="196"/>
  <c r="AG86" i="22" s="1"/>
  <c r="AF86" i="22" s="1"/>
  <c r="I86" i="22" s="1"/>
  <c r="P46" i="196"/>
  <c r="R46" i="196"/>
  <c r="S46" i="196"/>
  <c r="T46" i="196"/>
  <c r="U46" i="196"/>
  <c r="V46" i="196"/>
  <c r="W46" i="196"/>
  <c r="X46" i="196"/>
  <c r="Y46" i="196"/>
  <c r="AH86" i="103" s="1"/>
  <c r="AG86" i="103" s="1"/>
  <c r="I86" i="103" s="1"/>
  <c r="Z46" i="196"/>
  <c r="AA46" i="196"/>
  <c r="D47" i="196"/>
  <c r="E47" i="196"/>
  <c r="L87" i="18" s="1"/>
  <c r="K87" i="18" s="1"/>
  <c r="F47" i="196"/>
  <c r="H47" i="196"/>
  <c r="K87" i="16" s="1"/>
  <c r="J87" i="16" s="1"/>
  <c r="I87" i="16" s="1"/>
  <c r="I47" i="196"/>
  <c r="L87" i="29" s="1"/>
  <c r="K87" i="29" s="1"/>
  <c r="J47" i="196"/>
  <c r="K47" i="196"/>
  <c r="L47" i="196"/>
  <c r="M47" i="196"/>
  <c r="N47" i="196"/>
  <c r="AG87" i="22" s="1"/>
  <c r="AF87" i="22" s="1"/>
  <c r="I87" i="22" s="1"/>
  <c r="P47" i="196"/>
  <c r="R47" i="196"/>
  <c r="S47" i="196"/>
  <c r="T47" i="196"/>
  <c r="U47" i="196"/>
  <c r="V47" i="196"/>
  <c r="W47" i="196"/>
  <c r="X47" i="196"/>
  <c r="Y47" i="196"/>
  <c r="AH87" i="103" s="1"/>
  <c r="AG87" i="103" s="1"/>
  <c r="I87" i="103" s="1"/>
  <c r="Z47" i="196"/>
  <c r="AA47" i="196"/>
  <c r="E48" i="196"/>
  <c r="L88" i="18" s="1"/>
  <c r="K88" i="18" s="1"/>
  <c r="F48" i="196"/>
  <c r="H48" i="196"/>
  <c r="K88" i="16" s="1"/>
  <c r="J88" i="16" s="1"/>
  <c r="I88" i="16" s="1"/>
  <c r="I48" i="196"/>
  <c r="L88" i="29" s="1"/>
  <c r="K88" i="29" s="1"/>
  <c r="W48" i="196"/>
  <c r="Y48" i="196"/>
  <c r="AH88" i="103" s="1"/>
  <c r="AG88" i="103" s="1"/>
  <c r="I88" i="103" s="1"/>
  <c r="Z48" i="196"/>
  <c r="AA48" i="196"/>
  <c r="F122" i="18"/>
  <c r="F122" i="63"/>
  <c r="I122" i="16"/>
  <c r="I49" i="196"/>
  <c r="L89" i="29" s="1"/>
  <c r="K89" i="29" s="1"/>
  <c r="F122" i="21"/>
  <c r="F122" i="22"/>
  <c r="F122" i="25"/>
  <c r="F122" i="26"/>
  <c r="F122" i="101"/>
  <c r="F122" i="102"/>
  <c r="F122" i="103"/>
  <c r="F122" i="104"/>
  <c r="I122" i="105"/>
  <c r="W4" i="196"/>
  <c r="V4" i="196"/>
  <c r="U4" i="196"/>
  <c r="T4" i="196"/>
  <c r="B9" i="196"/>
  <c r="B10" i="196"/>
  <c r="B11" i="196"/>
  <c r="B12" i="196"/>
  <c r="B13" i="196"/>
  <c r="B14" i="196"/>
  <c r="B15" i="196"/>
  <c r="B16" i="196"/>
  <c r="B17" i="196"/>
  <c r="B18" i="196"/>
  <c r="B19" i="196"/>
  <c r="B20" i="196"/>
  <c r="B21" i="196"/>
  <c r="B22" i="196"/>
  <c r="B23" i="196"/>
  <c r="B24" i="196"/>
  <c r="B25" i="196"/>
  <c r="B26" i="196"/>
  <c r="B27" i="196"/>
  <c r="B28" i="196"/>
  <c r="B29" i="196"/>
  <c r="B30" i="196"/>
  <c r="B31" i="196"/>
  <c r="B32" i="196"/>
  <c r="B33" i="196"/>
  <c r="B34" i="196"/>
  <c r="B35" i="196"/>
  <c r="B36" i="196"/>
  <c r="B37" i="196"/>
  <c r="B38" i="196"/>
  <c r="B39" i="196"/>
  <c r="B40" i="196"/>
  <c r="B41" i="196"/>
  <c r="B42" i="196"/>
  <c r="B43" i="196"/>
  <c r="B44" i="196"/>
  <c r="B45" i="196"/>
  <c r="B46" i="196"/>
  <c r="B47" i="196"/>
  <c r="B48" i="196"/>
  <c r="P4" i="196"/>
  <c r="N4" i="196"/>
  <c r="M4" i="196"/>
  <c r="J4" i="196"/>
  <c r="I4" i="196"/>
  <c r="F4" i="196"/>
  <c r="D4" i="196"/>
  <c r="C4" i="196"/>
  <c r="AA39" i="194"/>
  <c r="AA40" i="194"/>
  <c r="AA41" i="194"/>
  <c r="AA42" i="194"/>
  <c r="AA43" i="194"/>
  <c r="AA44" i="194"/>
  <c r="AA45" i="194"/>
  <c r="AA46" i="194"/>
  <c r="AA47" i="194"/>
  <c r="AA48" i="194"/>
  <c r="AA35" i="194"/>
  <c r="AA36" i="194"/>
  <c r="AA37" i="194"/>
  <c r="AA31" i="194"/>
  <c r="AA32" i="194"/>
  <c r="AA33" i="194"/>
  <c r="Q24" i="194"/>
  <c r="Q25" i="194"/>
  <c r="Q26" i="194"/>
  <c r="Q27" i="194"/>
  <c r="Q28" i="194"/>
  <c r="Q29" i="194"/>
  <c r="Q30" i="194"/>
  <c r="Q31" i="194"/>
  <c r="Q32" i="194"/>
  <c r="Q33" i="194"/>
  <c r="Q34" i="194"/>
  <c r="Q35" i="194"/>
  <c r="Q36" i="194"/>
  <c r="Q37" i="194"/>
  <c r="Q38" i="194"/>
  <c r="Q39" i="194"/>
  <c r="Q40" i="194"/>
  <c r="Q41" i="194"/>
  <c r="Q42" i="194"/>
  <c r="Q43" i="194"/>
  <c r="Q44" i="194"/>
  <c r="Q45" i="194"/>
  <c r="Q46" i="194"/>
  <c r="Q47" i="194"/>
  <c r="Q48" i="194"/>
  <c r="B5" i="194"/>
  <c r="C5" i="194"/>
  <c r="D5" i="194"/>
  <c r="E5" i="194"/>
  <c r="F5" i="194"/>
  <c r="I5" i="194"/>
  <c r="J5" i="194"/>
  <c r="K5" i="194"/>
  <c r="L5" i="194"/>
  <c r="M5" i="194"/>
  <c r="P5" i="194"/>
  <c r="R5" i="194"/>
  <c r="S5" i="194"/>
  <c r="T5" i="194"/>
  <c r="U5" i="194"/>
  <c r="V5" i="194"/>
  <c r="W5" i="194"/>
  <c r="X5" i="194"/>
  <c r="Y5" i="194"/>
  <c r="Z5" i="194"/>
  <c r="AA5" i="194"/>
  <c r="B6" i="194"/>
  <c r="C6" i="194"/>
  <c r="D6" i="194"/>
  <c r="E6" i="194"/>
  <c r="F6" i="194"/>
  <c r="I6" i="194"/>
  <c r="J6" i="194"/>
  <c r="K6" i="194"/>
  <c r="L6" i="194"/>
  <c r="M6" i="194"/>
  <c r="P6" i="194"/>
  <c r="R6" i="194"/>
  <c r="S6" i="194"/>
  <c r="T6" i="194"/>
  <c r="U6" i="194"/>
  <c r="V6" i="194"/>
  <c r="W6" i="194"/>
  <c r="X6" i="194"/>
  <c r="Y6" i="194"/>
  <c r="Z6" i="194"/>
  <c r="AA6" i="194"/>
  <c r="AB6" i="194"/>
  <c r="C46" i="314" s="1"/>
  <c r="B7" i="194"/>
  <c r="C7" i="194"/>
  <c r="D7" i="194"/>
  <c r="E7" i="194"/>
  <c r="F7" i="194"/>
  <c r="I7" i="194"/>
  <c r="J7" i="194"/>
  <c r="K7" i="194"/>
  <c r="L7" i="194"/>
  <c r="M7" i="194"/>
  <c r="P7" i="194"/>
  <c r="R7" i="194"/>
  <c r="S7" i="194"/>
  <c r="T7" i="194"/>
  <c r="U7" i="194"/>
  <c r="V7" i="194"/>
  <c r="W7" i="194"/>
  <c r="X7" i="194"/>
  <c r="Y7" i="194"/>
  <c r="Z7" i="194"/>
  <c r="AA7" i="194"/>
  <c r="AB7" i="194"/>
  <c r="C47" i="314" s="1"/>
  <c r="B8" i="194"/>
  <c r="C8" i="194"/>
  <c r="D8" i="194"/>
  <c r="E8" i="194"/>
  <c r="F8" i="194"/>
  <c r="I8" i="194"/>
  <c r="J8" i="194"/>
  <c r="K8" i="194"/>
  <c r="L8" i="194"/>
  <c r="M8" i="194"/>
  <c r="P8" i="194"/>
  <c r="R8" i="194"/>
  <c r="S8" i="194"/>
  <c r="T8" i="194"/>
  <c r="U8" i="194"/>
  <c r="V8" i="194"/>
  <c r="W8" i="194"/>
  <c r="X8" i="194"/>
  <c r="Y8" i="194"/>
  <c r="Z8" i="194"/>
  <c r="AA8" i="194"/>
  <c r="AB8" i="194"/>
  <c r="C48" i="314" s="1"/>
  <c r="B9" i="194"/>
  <c r="C9" i="194"/>
  <c r="D9" i="194"/>
  <c r="E9" i="194"/>
  <c r="F9" i="194"/>
  <c r="I9" i="194"/>
  <c r="J9" i="194"/>
  <c r="K9" i="194"/>
  <c r="L9" i="194"/>
  <c r="M9" i="194"/>
  <c r="P9" i="194"/>
  <c r="Q9" i="194"/>
  <c r="R9" i="194"/>
  <c r="S9" i="194"/>
  <c r="T9" i="194"/>
  <c r="U9" i="194"/>
  <c r="V9" i="194"/>
  <c r="W9" i="194"/>
  <c r="X9" i="194"/>
  <c r="Y9" i="194"/>
  <c r="Z9" i="194"/>
  <c r="AA9" i="194"/>
  <c r="AB9" i="194"/>
  <c r="C49" i="314" s="1"/>
  <c r="B10" i="194"/>
  <c r="C10" i="194"/>
  <c r="D10" i="194"/>
  <c r="E10" i="194"/>
  <c r="F10" i="194"/>
  <c r="I10" i="194"/>
  <c r="J10" i="194"/>
  <c r="K10" i="194"/>
  <c r="L10" i="194"/>
  <c r="M10" i="194"/>
  <c r="P10" i="194"/>
  <c r="Q10" i="194"/>
  <c r="R10" i="194"/>
  <c r="S10" i="194"/>
  <c r="T10" i="194"/>
  <c r="U10" i="194"/>
  <c r="V10" i="194"/>
  <c r="W10" i="194"/>
  <c r="X10" i="194"/>
  <c r="Y10" i="194"/>
  <c r="Z10" i="194"/>
  <c r="AA10" i="194"/>
  <c r="AB10" i="194"/>
  <c r="C50" i="314" s="1"/>
  <c r="B11" i="194"/>
  <c r="C11" i="194"/>
  <c r="D11" i="194"/>
  <c r="E11" i="194"/>
  <c r="F11" i="194"/>
  <c r="I11" i="194"/>
  <c r="J11" i="194"/>
  <c r="K11" i="194"/>
  <c r="L11" i="194"/>
  <c r="M11" i="194"/>
  <c r="P11" i="194"/>
  <c r="Q11" i="194"/>
  <c r="R11" i="194"/>
  <c r="S11" i="194"/>
  <c r="T11" i="194"/>
  <c r="U11" i="194"/>
  <c r="V11" i="194"/>
  <c r="W11" i="194"/>
  <c r="X11" i="194"/>
  <c r="Y11" i="194"/>
  <c r="Z11" i="194"/>
  <c r="AA11" i="194"/>
  <c r="AB11" i="194"/>
  <c r="C51" i="314" s="1"/>
  <c r="B12" i="194"/>
  <c r="C12" i="194"/>
  <c r="D12" i="194"/>
  <c r="E12" i="194"/>
  <c r="F12" i="194"/>
  <c r="I12" i="194"/>
  <c r="J12" i="194"/>
  <c r="K12" i="194"/>
  <c r="L12" i="194"/>
  <c r="M12" i="194"/>
  <c r="N12" i="194"/>
  <c r="P12" i="194"/>
  <c r="Q12" i="194"/>
  <c r="R12" i="194"/>
  <c r="S12" i="194"/>
  <c r="T12" i="194"/>
  <c r="U12" i="194"/>
  <c r="V12" i="194"/>
  <c r="W12" i="194"/>
  <c r="X12" i="194"/>
  <c r="Y12" i="194"/>
  <c r="Z12" i="194"/>
  <c r="AA12" i="194"/>
  <c r="AB12" i="194"/>
  <c r="C52" i="314" s="1"/>
  <c r="B13" i="194"/>
  <c r="C13" i="194"/>
  <c r="D13" i="194"/>
  <c r="E13" i="194"/>
  <c r="F13" i="194"/>
  <c r="I13" i="194"/>
  <c r="J13" i="194"/>
  <c r="K13" i="194"/>
  <c r="L13" i="194"/>
  <c r="M13" i="194"/>
  <c r="N13" i="194"/>
  <c r="P13" i="194"/>
  <c r="Q13" i="194"/>
  <c r="R13" i="194"/>
  <c r="S13" i="194"/>
  <c r="T13" i="194"/>
  <c r="U13" i="194"/>
  <c r="V13" i="194"/>
  <c r="W13" i="194"/>
  <c r="X13" i="194"/>
  <c r="Y13" i="194"/>
  <c r="Z13" i="194"/>
  <c r="AA13" i="194"/>
  <c r="AB13" i="194"/>
  <c r="C53" i="314" s="1"/>
  <c r="B14" i="194"/>
  <c r="C14" i="194"/>
  <c r="D14" i="194"/>
  <c r="E14" i="194"/>
  <c r="F14" i="194"/>
  <c r="I14" i="194"/>
  <c r="J14" i="194"/>
  <c r="K14" i="194"/>
  <c r="L14" i="194"/>
  <c r="M14" i="194"/>
  <c r="N14" i="194"/>
  <c r="P14" i="194"/>
  <c r="Q14" i="194"/>
  <c r="R14" i="194"/>
  <c r="S14" i="194"/>
  <c r="T14" i="194"/>
  <c r="U14" i="194"/>
  <c r="V14" i="194"/>
  <c r="W14" i="194"/>
  <c r="X14" i="194"/>
  <c r="Y14" i="194"/>
  <c r="Z14" i="194"/>
  <c r="AA14" i="194"/>
  <c r="AB14" i="194"/>
  <c r="C54" i="314" s="1"/>
  <c r="B15" i="194"/>
  <c r="C15" i="194"/>
  <c r="D15" i="194"/>
  <c r="E15" i="194"/>
  <c r="F15" i="194"/>
  <c r="I15" i="194"/>
  <c r="J15" i="194"/>
  <c r="K15" i="194"/>
  <c r="L15" i="194"/>
  <c r="M15" i="194"/>
  <c r="N15" i="194"/>
  <c r="P15" i="194"/>
  <c r="Q15" i="194"/>
  <c r="R15" i="194"/>
  <c r="S15" i="194"/>
  <c r="T15" i="194"/>
  <c r="U15" i="194"/>
  <c r="V15" i="194"/>
  <c r="W15" i="194"/>
  <c r="X15" i="194"/>
  <c r="Y15" i="194"/>
  <c r="Z15" i="194"/>
  <c r="AA15" i="194"/>
  <c r="AB15" i="194"/>
  <c r="C55" i="314" s="1"/>
  <c r="B16" i="194"/>
  <c r="C16" i="194"/>
  <c r="D16" i="194"/>
  <c r="E16" i="194"/>
  <c r="F16" i="194"/>
  <c r="I16" i="194"/>
  <c r="J16" i="194"/>
  <c r="K16" i="194"/>
  <c r="L16" i="194"/>
  <c r="M16" i="194"/>
  <c r="N16" i="194"/>
  <c r="P16" i="194"/>
  <c r="Q16" i="194"/>
  <c r="R16" i="194"/>
  <c r="S16" i="194"/>
  <c r="T16" i="194"/>
  <c r="U16" i="194"/>
  <c r="V16" i="194"/>
  <c r="W16" i="194"/>
  <c r="X16" i="194"/>
  <c r="Y16" i="194"/>
  <c r="Z16" i="194"/>
  <c r="AA16" i="194"/>
  <c r="AB16" i="194"/>
  <c r="C56" i="314" s="1"/>
  <c r="B17" i="194"/>
  <c r="C17" i="194"/>
  <c r="D17" i="194"/>
  <c r="E17" i="194"/>
  <c r="F17" i="194"/>
  <c r="I17" i="194"/>
  <c r="J17" i="194"/>
  <c r="K17" i="194"/>
  <c r="L17" i="194"/>
  <c r="M17" i="194"/>
  <c r="N17" i="194"/>
  <c r="P17" i="194"/>
  <c r="Q17" i="194"/>
  <c r="R17" i="194"/>
  <c r="S17" i="194"/>
  <c r="T17" i="194"/>
  <c r="U17" i="194"/>
  <c r="V17" i="194"/>
  <c r="W17" i="194"/>
  <c r="X17" i="194"/>
  <c r="Y17" i="194"/>
  <c r="Z17" i="194"/>
  <c r="AA17" i="194"/>
  <c r="AB17" i="194"/>
  <c r="C57" i="314" s="1"/>
  <c r="B18" i="194"/>
  <c r="C18" i="194"/>
  <c r="D18" i="194"/>
  <c r="E18" i="194"/>
  <c r="F18" i="194"/>
  <c r="I18" i="194"/>
  <c r="J18" i="194"/>
  <c r="K18" i="194"/>
  <c r="L18" i="194"/>
  <c r="M18" i="194"/>
  <c r="N18" i="194"/>
  <c r="P18" i="194"/>
  <c r="Q18" i="194"/>
  <c r="R18" i="194"/>
  <c r="S18" i="194"/>
  <c r="T18" i="194"/>
  <c r="U18" i="194"/>
  <c r="V18" i="194"/>
  <c r="W18" i="194"/>
  <c r="X18" i="194"/>
  <c r="Y18" i="194"/>
  <c r="Z18" i="194"/>
  <c r="AA18" i="194"/>
  <c r="AB18" i="194"/>
  <c r="C58" i="314" s="1"/>
  <c r="B19" i="194"/>
  <c r="C19" i="194"/>
  <c r="D19" i="194"/>
  <c r="E19" i="194"/>
  <c r="F19" i="194"/>
  <c r="I19" i="194"/>
  <c r="J19" i="194"/>
  <c r="K19" i="194"/>
  <c r="L19" i="194"/>
  <c r="M19" i="194"/>
  <c r="N19" i="194"/>
  <c r="P19" i="194"/>
  <c r="Q19" i="194"/>
  <c r="R19" i="194"/>
  <c r="S19" i="194"/>
  <c r="T19" i="194"/>
  <c r="U19" i="194"/>
  <c r="V19" i="194"/>
  <c r="W19" i="194"/>
  <c r="X19" i="194"/>
  <c r="Y19" i="194"/>
  <c r="Z19" i="194"/>
  <c r="AA19" i="194"/>
  <c r="AB19" i="194"/>
  <c r="C59" i="314" s="1"/>
  <c r="B20" i="194"/>
  <c r="C20" i="194"/>
  <c r="D20" i="194"/>
  <c r="E20" i="194"/>
  <c r="F20" i="194"/>
  <c r="I20" i="194"/>
  <c r="J20" i="194"/>
  <c r="K20" i="194"/>
  <c r="L20" i="194"/>
  <c r="M20" i="194"/>
  <c r="N20" i="194"/>
  <c r="P20" i="194"/>
  <c r="Q20" i="194"/>
  <c r="R20" i="194"/>
  <c r="S20" i="194"/>
  <c r="T20" i="194"/>
  <c r="U20" i="194"/>
  <c r="V20" i="194"/>
  <c r="W20" i="194"/>
  <c r="X20" i="194"/>
  <c r="Y20" i="194"/>
  <c r="Z20" i="194"/>
  <c r="AA20" i="194"/>
  <c r="AB20" i="194"/>
  <c r="C60" i="314" s="1"/>
  <c r="B21" i="194"/>
  <c r="C21" i="194"/>
  <c r="D21" i="194"/>
  <c r="E21" i="194"/>
  <c r="F21" i="194"/>
  <c r="I21" i="194"/>
  <c r="J21" i="194"/>
  <c r="K21" i="194"/>
  <c r="L21" i="194"/>
  <c r="M21" i="194"/>
  <c r="N21" i="194"/>
  <c r="P21" i="194"/>
  <c r="Q21" i="194"/>
  <c r="R21" i="194"/>
  <c r="S21" i="194"/>
  <c r="T21" i="194"/>
  <c r="U21" i="194"/>
  <c r="V21" i="194"/>
  <c r="W21" i="194"/>
  <c r="X21" i="194"/>
  <c r="Y21" i="194"/>
  <c r="Z21" i="194"/>
  <c r="AA21" i="194"/>
  <c r="AB21" i="194"/>
  <c r="C61" i="314" s="1"/>
  <c r="B22" i="194"/>
  <c r="C22" i="194"/>
  <c r="D22" i="194"/>
  <c r="E22" i="194"/>
  <c r="F22" i="194"/>
  <c r="I22" i="194"/>
  <c r="J22" i="194"/>
  <c r="K22" i="194"/>
  <c r="L22" i="194"/>
  <c r="M22" i="194"/>
  <c r="N22" i="194"/>
  <c r="P22" i="194"/>
  <c r="Q22" i="194"/>
  <c r="R22" i="194"/>
  <c r="S22" i="194"/>
  <c r="T22" i="194"/>
  <c r="U22" i="194"/>
  <c r="V22" i="194"/>
  <c r="W22" i="194"/>
  <c r="X22" i="194"/>
  <c r="Y22" i="194"/>
  <c r="Z22" i="194"/>
  <c r="AA22" i="194"/>
  <c r="AB22" i="194"/>
  <c r="C62" i="314" s="1"/>
  <c r="B23" i="194"/>
  <c r="C23" i="194"/>
  <c r="D23" i="194"/>
  <c r="E23" i="194"/>
  <c r="F23" i="194"/>
  <c r="I23" i="194"/>
  <c r="J23" i="194"/>
  <c r="K23" i="194"/>
  <c r="L23" i="194"/>
  <c r="M23" i="194"/>
  <c r="N23" i="194"/>
  <c r="P23" i="194"/>
  <c r="Q23" i="194"/>
  <c r="R23" i="194"/>
  <c r="S23" i="194"/>
  <c r="T23" i="194"/>
  <c r="U23" i="194"/>
  <c r="V23" i="194"/>
  <c r="W23" i="194"/>
  <c r="X23" i="194"/>
  <c r="Y23" i="194"/>
  <c r="Z23" i="194"/>
  <c r="AA23" i="194"/>
  <c r="AB23" i="194"/>
  <c r="C63" i="314" s="1"/>
  <c r="B24" i="194"/>
  <c r="C24" i="194"/>
  <c r="D24" i="194"/>
  <c r="E24" i="194"/>
  <c r="F24" i="194"/>
  <c r="I24" i="194"/>
  <c r="J24" i="194"/>
  <c r="K24" i="194"/>
  <c r="L24" i="194"/>
  <c r="M24" i="194"/>
  <c r="N24" i="194"/>
  <c r="P24" i="194"/>
  <c r="R24" i="194"/>
  <c r="S24" i="194"/>
  <c r="T24" i="194"/>
  <c r="U24" i="194"/>
  <c r="V24" i="194"/>
  <c r="W24" i="194"/>
  <c r="X24" i="194"/>
  <c r="Y24" i="194"/>
  <c r="Z24" i="194"/>
  <c r="AA24" i="194"/>
  <c r="AB24" i="194"/>
  <c r="C64" i="314" s="1"/>
  <c r="B25" i="194"/>
  <c r="C25" i="194"/>
  <c r="D25" i="194"/>
  <c r="E25" i="194"/>
  <c r="F25" i="194"/>
  <c r="I25" i="194"/>
  <c r="J25" i="194"/>
  <c r="K25" i="194"/>
  <c r="L25" i="194"/>
  <c r="M25" i="194"/>
  <c r="N25" i="194"/>
  <c r="P25" i="194"/>
  <c r="R25" i="194"/>
  <c r="S25" i="194"/>
  <c r="T25" i="194"/>
  <c r="U25" i="194"/>
  <c r="V25" i="194"/>
  <c r="W25" i="194"/>
  <c r="X25" i="194"/>
  <c r="Y25" i="194"/>
  <c r="Z25" i="194"/>
  <c r="AA25" i="194"/>
  <c r="AB25" i="194"/>
  <c r="C65" i="314" s="1"/>
  <c r="B26" i="194"/>
  <c r="C26" i="194"/>
  <c r="D26" i="194"/>
  <c r="E26" i="194"/>
  <c r="F26" i="194"/>
  <c r="I26" i="194"/>
  <c r="J26" i="194"/>
  <c r="K26" i="194"/>
  <c r="L26" i="194"/>
  <c r="M26" i="194"/>
  <c r="N26" i="194"/>
  <c r="P26" i="194"/>
  <c r="R26" i="194"/>
  <c r="S26" i="194"/>
  <c r="T26" i="194"/>
  <c r="U26" i="194"/>
  <c r="V26" i="194"/>
  <c r="W26" i="194"/>
  <c r="X26" i="194"/>
  <c r="Y26" i="194"/>
  <c r="Z26" i="194"/>
  <c r="AA26" i="194"/>
  <c r="AB26" i="194"/>
  <c r="C66" i="314" s="1"/>
  <c r="B27" i="194"/>
  <c r="C27" i="194"/>
  <c r="D27" i="194"/>
  <c r="E27" i="194"/>
  <c r="F27" i="194"/>
  <c r="I27" i="194"/>
  <c r="J27" i="194"/>
  <c r="K27" i="194"/>
  <c r="L27" i="194"/>
  <c r="M27" i="194"/>
  <c r="N27" i="194"/>
  <c r="P27" i="194"/>
  <c r="R27" i="194"/>
  <c r="S27" i="194"/>
  <c r="T27" i="194"/>
  <c r="U27" i="194"/>
  <c r="V27" i="194"/>
  <c r="W27" i="194"/>
  <c r="X27" i="194"/>
  <c r="Y27" i="194"/>
  <c r="Z27" i="194"/>
  <c r="AA27" i="194"/>
  <c r="AB27" i="194"/>
  <c r="C67" i="314" s="1"/>
  <c r="B28" i="194"/>
  <c r="C28" i="194"/>
  <c r="D28" i="194"/>
  <c r="E28" i="194"/>
  <c r="F28" i="194"/>
  <c r="I28" i="194"/>
  <c r="J28" i="194"/>
  <c r="K28" i="194"/>
  <c r="L28" i="194"/>
  <c r="M28" i="194"/>
  <c r="N28" i="194"/>
  <c r="P28" i="194"/>
  <c r="R28" i="194"/>
  <c r="S28" i="194"/>
  <c r="T28" i="194"/>
  <c r="U28" i="194"/>
  <c r="V28" i="194"/>
  <c r="W28" i="194"/>
  <c r="X28" i="194"/>
  <c r="Y28" i="194"/>
  <c r="Z28" i="194"/>
  <c r="AA28" i="194"/>
  <c r="AB28" i="194"/>
  <c r="C68" i="314" s="1"/>
  <c r="B68" i="314" s="1"/>
  <c r="B29" i="194"/>
  <c r="C29" i="194"/>
  <c r="D29" i="194"/>
  <c r="E29" i="194"/>
  <c r="F29" i="194"/>
  <c r="I29" i="194"/>
  <c r="J29" i="194"/>
  <c r="K29" i="194"/>
  <c r="L29" i="194"/>
  <c r="M29" i="194"/>
  <c r="N29" i="194"/>
  <c r="P29" i="194"/>
  <c r="R29" i="194"/>
  <c r="S29" i="194"/>
  <c r="T29" i="194"/>
  <c r="U29" i="194"/>
  <c r="V29" i="194"/>
  <c r="W29" i="194"/>
  <c r="X29" i="194"/>
  <c r="Y29" i="194"/>
  <c r="Z29" i="194"/>
  <c r="AA29" i="194"/>
  <c r="AB29" i="194"/>
  <c r="C69" i="314" s="1"/>
  <c r="B69" i="314" s="1"/>
  <c r="B30" i="194"/>
  <c r="C30" i="194"/>
  <c r="D30" i="194"/>
  <c r="E30" i="194"/>
  <c r="F30" i="194"/>
  <c r="I30" i="194"/>
  <c r="J30" i="194"/>
  <c r="K30" i="194"/>
  <c r="L30" i="194"/>
  <c r="M30" i="194"/>
  <c r="N30" i="194"/>
  <c r="P30" i="194"/>
  <c r="R30" i="194"/>
  <c r="S30" i="194"/>
  <c r="T30" i="194"/>
  <c r="U30" i="194"/>
  <c r="V30" i="194"/>
  <c r="W30" i="194"/>
  <c r="X30" i="194"/>
  <c r="Y30" i="194"/>
  <c r="Z30" i="194"/>
  <c r="AA30" i="194"/>
  <c r="AB30" i="194"/>
  <c r="C70" i="314" s="1"/>
  <c r="B70" i="314" s="1"/>
  <c r="B31" i="194"/>
  <c r="C31" i="194"/>
  <c r="D31" i="194"/>
  <c r="E31" i="194"/>
  <c r="F31" i="194"/>
  <c r="I31" i="194"/>
  <c r="J31" i="194"/>
  <c r="K31" i="194"/>
  <c r="L31" i="194"/>
  <c r="M31" i="194"/>
  <c r="N31" i="194"/>
  <c r="P31" i="194"/>
  <c r="R31" i="194"/>
  <c r="S31" i="194"/>
  <c r="T31" i="194"/>
  <c r="U31" i="194"/>
  <c r="V31" i="194"/>
  <c r="W31" i="194"/>
  <c r="X31" i="194"/>
  <c r="Y31" i="194"/>
  <c r="Z31" i="194"/>
  <c r="AB31" i="194"/>
  <c r="C71" i="314" s="1"/>
  <c r="B71" i="314" s="1"/>
  <c r="B32" i="194"/>
  <c r="C32" i="194"/>
  <c r="D32" i="194"/>
  <c r="E32" i="194"/>
  <c r="F32" i="194"/>
  <c r="I32" i="194"/>
  <c r="J32" i="194"/>
  <c r="K32" i="194"/>
  <c r="L32" i="194"/>
  <c r="M32" i="194"/>
  <c r="N32" i="194"/>
  <c r="P32" i="194"/>
  <c r="R32" i="194"/>
  <c r="S32" i="194"/>
  <c r="T32" i="194"/>
  <c r="U32" i="194"/>
  <c r="V32" i="194"/>
  <c r="W32" i="194"/>
  <c r="X32" i="194"/>
  <c r="Y32" i="194"/>
  <c r="Z32" i="194"/>
  <c r="AB32" i="194"/>
  <c r="C72" i="314" s="1"/>
  <c r="B72" i="314" s="1"/>
  <c r="B33" i="194"/>
  <c r="C33" i="194"/>
  <c r="D33" i="194"/>
  <c r="E33" i="194"/>
  <c r="F33" i="194"/>
  <c r="I33" i="194"/>
  <c r="J33" i="194"/>
  <c r="K33" i="194"/>
  <c r="L33" i="194"/>
  <c r="M33" i="194"/>
  <c r="N33" i="194"/>
  <c r="P33" i="194"/>
  <c r="R33" i="194"/>
  <c r="S33" i="194"/>
  <c r="T33" i="194"/>
  <c r="U33" i="194"/>
  <c r="V33" i="194"/>
  <c r="W33" i="194"/>
  <c r="X33" i="194"/>
  <c r="Y33" i="194"/>
  <c r="Z33" i="194"/>
  <c r="AB33" i="194"/>
  <c r="C73" i="314" s="1"/>
  <c r="B73" i="314" s="1"/>
  <c r="B34" i="194"/>
  <c r="C34" i="194"/>
  <c r="D34" i="194"/>
  <c r="E34" i="194"/>
  <c r="F34" i="194"/>
  <c r="I34" i="194"/>
  <c r="J34" i="194"/>
  <c r="K34" i="194"/>
  <c r="L34" i="194"/>
  <c r="M34" i="194"/>
  <c r="N34" i="194"/>
  <c r="P34" i="194"/>
  <c r="R34" i="194"/>
  <c r="S34" i="194"/>
  <c r="T34" i="194"/>
  <c r="U34" i="194"/>
  <c r="V34" i="194"/>
  <c r="W34" i="194"/>
  <c r="X34" i="194"/>
  <c r="Y34" i="194"/>
  <c r="Z34" i="194"/>
  <c r="AA34" i="194"/>
  <c r="AB34" i="194"/>
  <c r="B35" i="194"/>
  <c r="C35" i="194"/>
  <c r="D35" i="194"/>
  <c r="E35" i="194"/>
  <c r="F35" i="194"/>
  <c r="I35" i="194"/>
  <c r="J35" i="194"/>
  <c r="K35" i="194"/>
  <c r="L35" i="194"/>
  <c r="M35" i="194"/>
  <c r="N35" i="194"/>
  <c r="P35" i="194"/>
  <c r="R35" i="194"/>
  <c r="S35" i="194"/>
  <c r="T35" i="194"/>
  <c r="U35" i="194"/>
  <c r="V35" i="194"/>
  <c r="W35" i="194"/>
  <c r="X35" i="194"/>
  <c r="Y35" i="194"/>
  <c r="Z35" i="194"/>
  <c r="AB35" i="194"/>
  <c r="B36" i="194"/>
  <c r="C36" i="194"/>
  <c r="D36" i="194"/>
  <c r="E36" i="194"/>
  <c r="F36" i="194"/>
  <c r="I36" i="194"/>
  <c r="J36" i="194"/>
  <c r="K36" i="194"/>
  <c r="L36" i="194"/>
  <c r="M36" i="194"/>
  <c r="N36" i="194"/>
  <c r="P36" i="194"/>
  <c r="R36" i="194"/>
  <c r="S36" i="194"/>
  <c r="T36" i="194"/>
  <c r="U36" i="194"/>
  <c r="V36" i="194"/>
  <c r="W36" i="194"/>
  <c r="X36" i="194"/>
  <c r="Y36" i="194"/>
  <c r="Z36" i="194"/>
  <c r="AB36" i="194"/>
  <c r="B37" i="194"/>
  <c r="C37" i="194"/>
  <c r="D37" i="194"/>
  <c r="E37" i="194"/>
  <c r="F37" i="194"/>
  <c r="I37" i="194"/>
  <c r="J37" i="194"/>
  <c r="K37" i="194"/>
  <c r="L37" i="194"/>
  <c r="M37" i="194"/>
  <c r="N37" i="194"/>
  <c r="P37" i="194"/>
  <c r="R37" i="194"/>
  <c r="S37" i="194"/>
  <c r="T37" i="194"/>
  <c r="U37" i="194"/>
  <c r="V37" i="194"/>
  <c r="W37" i="194"/>
  <c r="X37" i="194"/>
  <c r="Y37" i="194"/>
  <c r="Z37" i="194"/>
  <c r="AB37" i="194"/>
  <c r="B38" i="194"/>
  <c r="C38" i="194"/>
  <c r="D38" i="194"/>
  <c r="E38" i="194"/>
  <c r="F38" i="194"/>
  <c r="I38" i="194"/>
  <c r="J38" i="194"/>
  <c r="K38" i="194"/>
  <c r="L38" i="194"/>
  <c r="M38" i="194"/>
  <c r="N38" i="194"/>
  <c r="P38" i="194"/>
  <c r="R38" i="194"/>
  <c r="S38" i="194"/>
  <c r="T38" i="194"/>
  <c r="U38" i="194"/>
  <c r="V38" i="194"/>
  <c r="W38" i="194"/>
  <c r="X38" i="194"/>
  <c r="Y38" i="194"/>
  <c r="Z38" i="194"/>
  <c r="AA38" i="194"/>
  <c r="AB38" i="194"/>
  <c r="B39" i="194"/>
  <c r="C39" i="194"/>
  <c r="D39" i="194"/>
  <c r="E39" i="194"/>
  <c r="F39" i="194"/>
  <c r="I39" i="194"/>
  <c r="J39" i="194"/>
  <c r="K39" i="194"/>
  <c r="L39" i="194"/>
  <c r="M39" i="194"/>
  <c r="N39" i="194"/>
  <c r="P39" i="194"/>
  <c r="R39" i="194"/>
  <c r="S39" i="194"/>
  <c r="T39" i="194"/>
  <c r="U39" i="194"/>
  <c r="V39" i="194"/>
  <c r="W39" i="194"/>
  <c r="X39" i="194"/>
  <c r="Y39" i="194"/>
  <c r="Z39" i="194"/>
  <c r="AB39" i="194"/>
  <c r="B40" i="194"/>
  <c r="C40" i="194"/>
  <c r="D40" i="194"/>
  <c r="E40" i="194"/>
  <c r="F40" i="194"/>
  <c r="I40" i="194"/>
  <c r="J40" i="194"/>
  <c r="K40" i="194"/>
  <c r="L40" i="194"/>
  <c r="M40" i="194"/>
  <c r="N40" i="194"/>
  <c r="P40" i="194"/>
  <c r="R40" i="194"/>
  <c r="S40" i="194"/>
  <c r="T40" i="194"/>
  <c r="U40" i="194"/>
  <c r="V40" i="194"/>
  <c r="W40" i="194"/>
  <c r="X40" i="194"/>
  <c r="Y40" i="194"/>
  <c r="Z40" i="194"/>
  <c r="AB40" i="194"/>
  <c r="B41" i="194"/>
  <c r="C41" i="194"/>
  <c r="D41" i="194"/>
  <c r="E41" i="194"/>
  <c r="F41" i="194"/>
  <c r="I41" i="194"/>
  <c r="J41" i="194"/>
  <c r="K41" i="194"/>
  <c r="L41" i="194"/>
  <c r="M41" i="194"/>
  <c r="N41" i="194"/>
  <c r="P41" i="194"/>
  <c r="R41" i="194"/>
  <c r="S41" i="194"/>
  <c r="T41" i="194"/>
  <c r="U41" i="194"/>
  <c r="V41" i="194"/>
  <c r="W41" i="194"/>
  <c r="X41" i="194"/>
  <c r="Y41" i="194"/>
  <c r="Z41" i="194"/>
  <c r="AB41" i="194"/>
  <c r="B42" i="194"/>
  <c r="C42" i="194"/>
  <c r="D42" i="194"/>
  <c r="E42" i="194"/>
  <c r="F42" i="194"/>
  <c r="I42" i="194"/>
  <c r="J42" i="194"/>
  <c r="K42" i="194"/>
  <c r="L42" i="194"/>
  <c r="M42" i="194"/>
  <c r="N42" i="194"/>
  <c r="P42" i="194"/>
  <c r="R42" i="194"/>
  <c r="S42" i="194"/>
  <c r="T42" i="194"/>
  <c r="U42" i="194"/>
  <c r="V42" i="194"/>
  <c r="W42" i="194"/>
  <c r="X42" i="194"/>
  <c r="Y42" i="194"/>
  <c r="Z42" i="194"/>
  <c r="AB42" i="194"/>
  <c r="B43" i="194"/>
  <c r="C43" i="194"/>
  <c r="D43" i="194"/>
  <c r="E43" i="194"/>
  <c r="F43" i="194"/>
  <c r="I43" i="194"/>
  <c r="J43" i="194"/>
  <c r="K43" i="194"/>
  <c r="L43" i="194"/>
  <c r="M43" i="194"/>
  <c r="N43" i="194"/>
  <c r="P43" i="194"/>
  <c r="R43" i="194"/>
  <c r="S43" i="194"/>
  <c r="T43" i="194"/>
  <c r="U43" i="194"/>
  <c r="V43" i="194"/>
  <c r="W43" i="194"/>
  <c r="X43" i="194"/>
  <c r="Y43" i="194"/>
  <c r="Z43" i="194"/>
  <c r="AB43" i="194"/>
  <c r="B44" i="194"/>
  <c r="C44" i="194"/>
  <c r="D44" i="194"/>
  <c r="E44" i="194"/>
  <c r="F44" i="194"/>
  <c r="I44" i="194"/>
  <c r="J44" i="194"/>
  <c r="K44" i="194"/>
  <c r="L44" i="194"/>
  <c r="M44" i="194"/>
  <c r="N44" i="194"/>
  <c r="P44" i="194"/>
  <c r="R44" i="194"/>
  <c r="S44" i="194"/>
  <c r="T44" i="194"/>
  <c r="U44" i="194"/>
  <c r="V44" i="194"/>
  <c r="W44" i="194"/>
  <c r="X44" i="194"/>
  <c r="Y44" i="194"/>
  <c r="Z44" i="194"/>
  <c r="AB44" i="194"/>
  <c r="B45" i="194"/>
  <c r="C45" i="194"/>
  <c r="D45" i="194"/>
  <c r="E45" i="194"/>
  <c r="F45" i="194"/>
  <c r="I45" i="194"/>
  <c r="J45" i="194"/>
  <c r="K45" i="194"/>
  <c r="L45" i="194"/>
  <c r="M45" i="194"/>
  <c r="N45" i="194"/>
  <c r="P45" i="194"/>
  <c r="R45" i="194"/>
  <c r="S45" i="194"/>
  <c r="T45" i="194"/>
  <c r="U45" i="194"/>
  <c r="V45" i="194"/>
  <c r="W45" i="194"/>
  <c r="X45" i="194"/>
  <c r="Y45" i="194"/>
  <c r="Z45" i="194"/>
  <c r="AB45" i="194"/>
  <c r="B46" i="194"/>
  <c r="C46" i="194"/>
  <c r="D46" i="194"/>
  <c r="E46" i="194"/>
  <c r="F46" i="194"/>
  <c r="I46" i="194"/>
  <c r="J46" i="194"/>
  <c r="K46" i="194"/>
  <c r="L46" i="194"/>
  <c r="M46" i="194"/>
  <c r="N46" i="194"/>
  <c r="P46" i="194"/>
  <c r="R46" i="194"/>
  <c r="S46" i="194"/>
  <c r="T46" i="194"/>
  <c r="U46" i="194"/>
  <c r="V46" i="194"/>
  <c r="W46" i="194"/>
  <c r="X46" i="194"/>
  <c r="Y46" i="194"/>
  <c r="Z46" i="194"/>
  <c r="AB46" i="194"/>
  <c r="B47" i="194"/>
  <c r="C47" i="194"/>
  <c r="D47" i="194"/>
  <c r="E47" i="194"/>
  <c r="F47" i="194"/>
  <c r="I47" i="194"/>
  <c r="J47" i="194"/>
  <c r="K47" i="194"/>
  <c r="L47" i="194"/>
  <c r="M47" i="194"/>
  <c r="N47" i="194"/>
  <c r="P47" i="194"/>
  <c r="R47" i="194"/>
  <c r="S47" i="194"/>
  <c r="T47" i="194"/>
  <c r="U47" i="194"/>
  <c r="V47" i="194"/>
  <c r="W47" i="194"/>
  <c r="X47" i="194"/>
  <c r="Y47" i="194"/>
  <c r="Z47" i="194"/>
  <c r="AB47" i="194"/>
  <c r="B48" i="194"/>
  <c r="C48" i="194"/>
  <c r="D48" i="194"/>
  <c r="E48" i="194"/>
  <c r="F48" i="194"/>
  <c r="I48" i="194"/>
  <c r="J48" i="194"/>
  <c r="K48" i="194"/>
  <c r="L48" i="194"/>
  <c r="M48" i="194"/>
  <c r="N48" i="194"/>
  <c r="P48" i="194"/>
  <c r="R48" i="194"/>
  <c r="S48" i="194"/>
  <c r="T48" i="194"/>
  <c r="U48" i="194"/>
  <c r="V48" i="194"/>
  <c r="W48" i="194"/>
  <c r="X48" i="194"/>
  <c r="Y48" i="194"/>
  <c r="Z48" i="194"/>
  <c r="AB48" i="194"/>
  <c r="V49" i="194"/>
  <c r="AA4" i="194"/>
  <c r="Z4" i="194"/>
  <c r="Y4" i="194"/>
  <c r="X4" i="194"/>
  <c r="W4" i="194"/>
  <c r="V4" i="194"/>
  <c r="U4" i="194"/>
  <c r="T4" i="194"/>
  <c r="S4" i="194"/>
  <c r="R4" i="194"/>
  <c r="P4" i="194"/>
  <c r="N4" i="194"/>
  <c r="M4" i="194"/>
  <c r="L4" i="194"/>
  <c r="K4" i="194"/>
  <c r="J4" i="194"/>
  <c r="I4" i="194"/>
  <c r="F4" i="194"/>
  <c r="E4" i="194"/>
  <c r="D4" i="194"/>
  <c r="C4" i="194"/>
  <c r="B4" i="194"/>
  <c r="B6" i="193"/>
  <c r="B7" i="193"/>
  <c r="B6" i="490" s="1"/>
  <c r="B8" i="193"/>
  <c r="B7" i="490" s="1"/>
  <c r="B9" i="193"/>
  <c r="B8" i="490" s="1"/>
  <c r="B10" i="193"/>
  <c r="B11" i="193"/>
  <c r="B12" i="193"/>
  <c r="B11" i="490" s="1"/>
  <c r="B13" i="193"/>
  <c r="B14" i="193"/>
  <c r="B13" i="490" s="1"/>
  <c r="B15" i="193"/>
  <c r="B16" i="193"/>
  <c r="B15" i="490" s="1"/>
  <c r="B17" i="193"/>
  <c r="B18" i="193"/>
  <c r="B19" i="193"/>
  <c r="B20" i="193"/>
  <c r="B19" i="490" s="1"/>
  <c r="B21" i="193"/>
  <c r="B22" i="193"/>
  <c r="B21" i="490" s="1"/>
  <c r="B23" i="193"/>
  <c r="B24" i="193"/>
  <c r="B23" i="490" s="1"/>
  <c r="B25" i="193"/>
  <c r="B26" i="193"/>
  <c r="B25" i="490" s="1"/>
  <c r="B27" i="193"/>
  <c r="B28" i="193"/>
  <c r="B27" i="490" s="1"/>
  <c r="B29" i="193"/>
  <c r="B30" i="193"/>
  <c r="B31" i="193"/>
  <c r="B32" i="193"/>
  <c r="B31" i="490" s="1"/>
  <c r="B33" i="193"/>
  <c r="B32" i="490" s="1"/>
  <c r="B34" i="193"/>
  <c r="B35" i="193"/>
  <c r="B34" i="490" s="1"/>
  <c r="B36" i="193"/>
  <c r="B37" i="193"/>
  <c r="B38" i="193"/>
  <c r="B37" i="490" s="1"/>
  <c r="B39" i="193"/>
  <c r="B40" i="193"/>
  <c r="B41" i="193"/>
  <c r="B40" i="490" s="1"/>
  <c r="B42" i="193"/>
  <c r="B43" i="193"/>
  <c r="B42" i="490" s="1"/>
  <c r="B44" i="193"/>
  <c r="B45" i="193"/>
  <c r="B46" i="193"/>
  <c r="B47" i="193"/>
  <c r="B48" i="193"/>
  <c r="B49" i="193"/>
  <c r="B48" i="490" s="1"/>
  <c r="R49" i="193"/>
  <c r="B5" i="193"/>
  <c r="B10" i="490" l="1"/>
  <c r="N122" i="22"/>
  <c r="G122" i="22"/>
  <c r="M122" i="22"/>
  <c r="R48" i="490"/>
  <c r="B9" i="490"/>
  <c r="B47" i="490"/>
  <c r="B39" i="490"/>
  <c r="B29" i="490"/>
  <c r="S8" i="196"/>
  <c r="B45" i="490"/>
  <c r="B5" i="490"/>
  <c r="B4" i="490"/>
  <c r="B44" i="490"/>
  <c r="B36" i="490"/>
  <c r="B28" i="490"/>
  <c r="B20" i="490"/>
  <c r="B12" i="490"/>
  <c r="AA36" i="193"/>
  <c r="B35" i="490"/>
  <c r="AA44" i="193"/>
  <c r="B43" i="490"/>
  <c r="B26" i="490"/>
  <c r="B18" i="490"/>
  <c r="AA42" i="193"/>
  <c r="B41" i="490"/>
  <c r="AA34" i="193"/>
  <c r="B33" i="490"/>
  <c r="B17" i="490"/>
  <c r="B24" i="490"/>
  <c r="B16" i="490"/>
  <c r="AA47" i="193"/>
  <c r="B46" i="490"/>
  <c r="AA39" i="193"/>
  <c r="B38" i="490"/>
  <c r="AA31" i="193"/>
  <c r="B30" i="490"/>
  <c r="B22" i="490"/>
  <c r="B14" i="490"/>
  <c r="Z8" i="196"/>
  <c r="R8" i="196"/>
  <c r="G122" i="104"/>
  <c r="K122" i="104" s="1"/>
  <c r="I122" i="104"/>
  <c r="M122" i="104" s="1"/>
  <c r="J122" i="104"/>
  <c r="N122" i="104" s="1"/>
  <c r="H122" i="104"/>
  <c r="L122" i="104" s="1"/>
  <c r="G122" i="102"/>
  <c r="K122" i="102" s="1"/>
  <c r="H122" i="102"/>
  <c r="L122" i="102" s="1"/>
  <c r="J122" i="102"/>
  <c r="N122" i="102" s="1"/>
  <c r="I122" i="102"/>
  <c r="M122" i="102" s="1"/>
  <c r="G122" i="63"/>
  <c r="K122" i="63" s="1"/>
  <c r="Q122" i="63" s="1"/>
  <c r="H122" i="63"/>
  <c r="L122" i="63" s="1"/>
  <c r="J122" i="63"/>
  <c r="N122" i="63" s="1"/>
  <c r="I122" i="63"/>
  <c r="M122" i="63" s="1"/>
  <c r="J122" i="101"/>
  <c r="N122" i="101" s="1"/>
  <c r="T122" i="101" s="1"/>
  <c r="H122" i="101"/>
  <c r="L122" i="101" s="1"/>
  <c r="R122" i="101" s="1"/>
  <c r="G122" i="101"/>
  <c r="K122" i="101" s="1"/>
  <c r="I122" i="101"/>
  <c r="M122" i="101" s="1"/>
  <c r="S122" i="101" s="1"/>
  <c r="AU6" i="639" s="1"/>
  <c r="H122" i="18"/>
  <c r="L122" i="18" s="1"/>
  <c r="R122" i="18" s="1"/>
  <c r="G122" i="18"/>
  <c r="J122" i="18"/>
  <c r="N122" i="18" s="1"/>
  <c r="T122" i="18" s="1"/>
  <c r="I122" i="18"/>
  <c r="M122" i="18" s="1"/>
  <c r="S122" i="18" s="1"/>
  <c r="AF6" i="639" s="1"/>
  <c r="G122" i="26"/>
  <c r="K122" i="26" s="1"/>
  <c r="I122" i="26"/>
  <c r="M122" i="26" s="1"/>
  <c r="J122" i="26"/>
  <c r="N122" i="26" s="1"/>
  <c r="H122" i="26"/>
  <c r="L122" i="26" s="1"/>
  <c r="H122" i="25"/>
  <c r="L122" i="25" s="1"/>
  <c r="G122" i="25"/>
  <c r="K122" i="25" s="1"/>
  <c r="Q122" i="25" s="1"/>
  <c r="J122" i="25"/>
  <c r="I122" i="25"/>
  <c r="G122" i="21"/>
  <c r="K122" i="21" s="1"/>
  <c r="J122" i="21"/>
  <c r="N122" i="21" s="1"/>
  <c r="H122" i="21"/>
  <c r="L122" i="21" s="1"/>
  <c r="I122" i="21"/>
  <c r="M122" i="21" s="1"/>
  <c r="H122" i="103"/>
  <c r="L122" i="103" s="1"/>
  <c r="I122" i="103"/>
  <c r="M122" i="103" s="1"/>
  <c r="J122" i="103"/>
  <c r="N122" i="103" s="1"/>
  <c r="P133" i="27"/>
  <c r="AA48" i="193"/>
  <c r="AA40" i="193"/>
  <c r="AA32" i="193"/>
  <c r="L8" i="196"/>
  <c r="C79" i="323"/>
  <c r="B79" i="323" s="1"/>
  <c r="C79" i="314"/>
  <c r="B79" i="314" s="1"/>
  <c r="C87" i="323"/>
  <c r="B87" i="323" s="1"/>
  <c r="C87" i="314"/>
  <c r="B87" i="314" s="1"/>
  <c r="C75" i="323"/>
  <c r="B75" i="323" s="1"/>
  <c r="C75" i="314"/>
  <c r="B75" i="314" s="1"/>
  <c r="C88" i="323"/>
  <c r="B88" i="323" s="1"/>
  <c r="C88" i="314"/>
  <c r="B88" i="314" s="1"/>
  <c r="C84" i="323"/>
  <c r="B84" i="323" s="1"/>
  <c r="C84" i="314"/>
  <c r="B84" i="314" s="1"/>
  <c r="C80" i="323"/>
  <c r="B80" i="323" s="1"/>
  <c r="C80" i="314"/>
  <c r="B80" i="314" s="1"/>
  <c r="C86" i="323"/>
  <c r="B86" i="323" s="1"/>
  <c r="C86" i="314"/>
  <c r="B86" i="314" s="1"/>
  <c r="C83" i="323"/>
  <c r="B83" i="323" s="1"/>
  <c r="C83" i="314"/>
  <c r="B83" i="314" s="1"/>
  <c r="C76" i="323"/>
  <c r="B76" i="323" s="1"/>
  <c r="C76" i="314"/>
  <c r="B76" i="314" s="1"/>
  <c r="C85" i="323"/>
  <c r="B85" i="323" s="1"/>
  <c r="C85" i="314"/>
  <c r="B85" i="314" s="1"/>
  <c r="C81" i="323"/>
  <c r="B81" i="323" s="1"/>
  <c r="C81" i="314"/>
  <c r="B81" i="314" s="1"/>
  <c r="C77" i="323"/>
  <c r="B77" i="323" s="1"/>
  <c r="C77" i="314"/>
  <c r="B77" i="314" s="1"/>
  <c r="C82" i="323"/>
  <c r="B82" i="323" s="1"/>
  <c r="C82" i="314"/>
  <c r="B82" i="314" s="1"/>
  <c r="C78" i="323"/>
  <c r="B78" i="323" s="1"/>
  <c r="C78" i="314"/>
  <c r="B78" i="314" s="1"/>
  <c r="C74" i="323"/>
  <c r="B74" i="323" s="1"/>
  <c r="C74" i="314"/>
  <c r="B74" i="314" s="1"/>
  <c r="AA45" i="193"/>
  <c r="AA37" i="193"/>
  <c r="AA49" i="193"/>
  <c r="AA41" i="193"/>
  <c r="AA33" i="193"/>
  <c r="AA46" i="193"/>
  <c r="AA38" i="193"/>
  <c r="AA43" i="193"/>
  <c r="AA35" i="193"/>
  <c r="Y8" i="196"/>
  <c r="AE86" i="103"/>
  <c r="AE88" i="103"/>
  <c r="AE84" i="103"/>
  <c r="AE87" i="103"/>
  <c r="AE85" i="103"/>
  <c r="F122" i="29"/>
  <c r="AE49" i="196"/>
  <c r="G46" i="131"/>
  <c r="R6" i="196" s="1"/>
  <c r="R7" i="196"/>
  <c r="G46" i="21"/>
  <c r="L6" i="196" s="1"/>
  <c r="L7" i="196"/>
  <c r="Z7" i="196"/>
  <c r="G46" i="104"/>
  <c r="G46" i="103"/>
  <c r="Y7" i="196"/>
  <c r="G46" i="25"/>
  <c r="S7" i="196"/>
  <c r="P132" i="129" l="1"/>
  <c r="S131" i="129"/>
  <c r="R131" i="129"/>
  <c r="V131" i="129" s="1"/>
  <c r="T131" i="129"/>
  <c r="X131" i="129" s="1"/>
  <c r="AB131" i="129" s="1"/>
  <c r="G45" i="21"/>
  <c r="G45" i="131"/>
  <c r="R5" i="196" s="1"/>
  <c r="K122" i="18"/>
  <c r="Q122" i="18" s="1"/>
  <c r="Q122" i="101"/>
  <c r="G122" i="29"/>
  <c r="J122" i="29"/>
  <c r="N122" i="29" s="1"/>
  <c r="I122" i="29"/>
  <c r="M122" i="29" s="1"/>
  <c r="H122" i="29"/>
  <c r="L122" i="29" s="1"/>
  <c r="P134" i="27"/>
  <c r="G45" i="104"/>
  <c r="Z6" i="196"/>
  <c r="G45" i="103"/>
  <c r="Y6" i="196"/>
  <c r="G45" i="25"/>
  <c r="S6" i="196"/>
  <c r="G44" i="131"/>
  <c r="R4" i="196" s="1"/>
  <c r="G44" i="21"/>
  <c r="L4" i="196" s="1"/>
  <c r="L5" i="196"/>
  <c r="AV44" i="1"/>
  <c r="BE44" i="1" s="1"/>
  <c r="BP44" i="1" s="1"/>
  <c r="AV45" i="1"/>
  <c r="BE45" i="1" s="1"/>
  <c r="BP45" i="1" s="1"/>
  <c r="AV46" i="1"/>
  <c r="BE46" i="1" s="1"/>
  <c r="BP46" i="1" s="1"/>
  <c r="AV47" i="1"/>
  <c r="BE47" i="1" s="1"/>
  <c r="BP47" i="1" s="1"/>
  <c r="AV48" i="1"/>
  <c r="BE48" i="1" s="1"/>
  <c r="BP48" i="1" s="1"/>
  <c r="AV49" i="1"/>
  <c r="BE49" i="1" s="1"/>
  <c r="BP49" i="1" s="1"/>
  <c r="AV50" i="1"/>
  <c r="BE50" i="1" s="1"/>
  <c r="BP50" i="1" s="1"/>
  <c r="AV51" i="1"/>
  <c r="BE51" i="1" s="1"/>
  <c r="BP51" i="1" s="1"/>
  <c r="AV52" i="1"/>
  <c r="BE52" i="1" s="1"/>
  <c r="BP52" i="1" s="1"/>
  <c r="AV53" i="1"/>
  <c r="BE53" i="1" s="1"/>
  <c r="BP53" i="1" s="1"/>
  <c r="AV54" i="1"/>
  <c r="BE54" i="1" s="1"/>
  <c r="BP54" i="1" s="1"/>
  <c r="AV55" i="1"/>
  <c r="BE55" i="1" s="1"/>
  <c r="BP55" i="1" s="1"/>
  <c r="AV56" i="1"/>
  <c r="BE56" i="1" s="1"/>
  <c r="BP56" i="1" s="1"/>
  <c r="AV57" i="1"/>
  <c r="BE57" i="1" s="1"/>
  <c r="BP57" i="1" s="1"/>
  <c r="AV58" i="1"/>
  <c r="BE58" i="1" s="1"/>
  <c r="BP58" i="1" s="1"/>
  <c r="AV59" i="1"/>
  <c r="BE59" i="1" s="1"/>
  <c r="BP59" i="1" s="1"/>
  <c r="AV60" i="1"/>
  <c r="BE60" i="1" s="1"/>
  <c r="BP60" i="1" s="1"/>
  <c r="AV61" i="1"/>
  <c r="BE61" i="1" s="1"/>
  <c r="BP61" i="1" s="1"/>
  <c r="AV62" i="1"/>
  <c r="BE62" i="1" s="1"/>
  <c r="BP62" i="1" s="1"/>
  <c r="AV63" i="1"/>
  <c r="BE63" i="1" s="1"/>
  <c r="BP63" i="1" s="1"/>
  <c r="AV64" i="1"/>
  <c r="BE64" i="1" s="1"/>
  <c r="BP64" i="1" s="1"/>
  <c r="AV65" i="1"/>
  <c r="BE65" i="1" s="1"/>
  <c r="BP65" i="1" s="1"/>
  <c r="AV66" i="1"/>
  <c r="BE66" i="1" s="1"/>
  <c r="BP66" i="1" s="1"/>
  <c r="AV67" i="1"/>
  <c r="BE67" i="1" s="1"/>
  <c r="BP67" i="1" s="1"/>
  <c r="AV68" i="1"/>
  <c r="BE68" i="1" s="1"/>
  <c r="BP68" i="1" s="1"/>
  <c r="AV69" i="1"/>
  <c r="AV70" i="1"/>
  <c r="BE70" i="1" s="1"/>
  <c r="BP70" i="1" s="1"/>
  <c r="AV71" i="1"/>
  <c r="AV72" i="1"/>
  <c r="BE72" i="1" s="1"/>
  <c r="BP72" i="1" s="1"/>
  <c r="AV73" i="1"/>
  <c r="AV74" i="1"/>
  <c r="BE74" i="1" s="1"/>
  <c r="BP74" i="1" s="1"/>
  <c r="AV75" i="1"/>
  <c r="AV76" i="1"/>
  <c r="BE76" i="1" s="1"/>
  <c r="BP76" i="1" s="1"/>
  <c r="AV77" i="1"/>
  <c r="AV78" i="1"/>
  <c r="BE78" i="1" s="1"/>
  <c r="BP78" i="1" s="1"/>
  <c r="AV79" i="1"/>
  <c r="AV80" i="1"/>
  <c r="BE80" i="1" s="1"/>
  <c r="BP80" i="1" s="1"/>
  <c r="AV81" i="1"/>
  <c r="AV82" i="1"/>
  <c r="BE82" i="1" s="1"/>
  <c r="BP82" i="1" s="1"/>
  <c r="AV83" i="1"/>
  <c r="AV84" i="1"/>
  <c r="BE84" i="1" s="1"/>
  <c r="BP84" i="1" s="1"/>
  <c r="AV85" i="1"/>
  <c r="AV86" i="1"/>
  <c r="BE86" i="1" s="1"/>
  <c r="BP86" i="1" s="1"/>
  <c r="AV87" i="1"/>
  <c r="AV88" i="1"/>
  <c r="BE88" i="1" s="1"/>
  <c r="BP88" i="1" s="1"/>
  <c r="AV89" i="1"/>
  <c r="BE89" i="1" s="1"/>
  <c r="BP89" i="1" s="1"/>
  <c r="AR98" i="4"/>
  <c r="AR53" i="4"/>
  <c r="BI53" i="4" s="1"/>
  <c r="BP53" i="4" s="1"/>
  <c r="BO53" i="4" s="1"/>
  <c r="BY53" i="4" s="1"/>
  <c r="AR54" i="4"/>
  <c r="BI54" i="4" s="1"/>
  <c r="BP54" i="4" s="1"/>
  <c r="BO54" i="4" s="1"/>
  <c r="BY54" i="4" s="1"/>
  <c r="AR55" i="4"/>
  <c r="AR56" i="4"/>
  <c r="AR57" i="4"/>
  <c r="AR58" i="4"/>
  <c r="AR59" i="4"/>
  <c r="AR60" i="4"/>
  <c r="BI60" i="4" s="1"/>
  <c r="BP60" i="4" s="1"/>
  <c r="BO60" i="4" s="1"/>
  <c r="BY60" i="4" s="1"/>
  <c r="AR61" i="4"/>
  <c r="BI61" i="4" s="1"/>
  <c r="BP61" i="4" s="1"/>
  <c r="BO61" i="4" s="1"/>
  <c r="BY61" i="4" s="1"/>
  <c r="AR62" i="4"/>
  <c r="AR63" i="4"/>
  <c r="AR64" i="4"/>
  <c r="AR65" i="4"/>
  <c r="AR66" i="4"/>
  <c r="AR67" i="4"/>
  <c r="AR68" i="4"/>
  <c r="BI68" i="4" s="1"/>
  <c r="BP68" i="4" s="1"/>
  <c r="BO68" i="4" s="1"/>
  <c r="BY68" i="4" s="1"/>
  <c r="AR69" i="4"/>
  <c r="BI69" i="4" s="1"/>
  <c r="BP69" i="4" s="1"/>
  <c r="BO69" i="4" s="1"/>
  <c r="BY69" i="4" s="1"/>
  <c r="AR70" i="4"/>
  <c r="AR71" i="4"/>
  <c r="AR72" i="4"/>
  <c r="AR73" i="4"/>
  <c r="AR74" i="4"/>
  <c r="AR75" i="4"/>
  <c r="AR76" i="4"/>
  <c r="BI76" i="4" s="1"/>
  <c r="BP76" i="4" s="1"/>
  <c r="BO76" i="4" s="1"/>
  <c r="BY76" i="4" s="1"/>
  <c r="AR77" i="4"/>
  <c r="BI77" i="4" s="1"/>
  <c r="BP77" i="4" s="1"/>
  <c r="AR78" i="4"/>
  <c r="BI78" i="4" s="1"/>
  <c r="BP78" i="4" s="1"/>
  <c r="BO78" i="4" s="1"/>
  <c r="BY78" i="4" s="1"/>
  <c r="AR79" i="4"/>
  <c r="AR80" i="4"/>
  <c r="AR81" i="4"/>
  <c r="AR82" i="4"/>
  <c r="BI82" i="4" s="1"/>
  <c r="BP82" i="4" s="1"/>
  <c r="BO82" i="4" s="1"/>
  <c r="BY82" i="4" s="1"/>
  <c r="AR83" i="4"/>
  <c r="AR84" i="4"/>
  <c r="BI84" i="4" s="1"/>
  <c r="BP84" i="4" s="1"/>
  <c r="BO84" i="4" s="1"/>
  <c r="BY84" i="4" s="1"/>
  <c r="AR85" i="4"/>
  <c r="AR86" i="4"/>
  <c r="BI86" i="4" s="1"/>
  <c r="BP86" i="4" s="1"/>
  <c r="AR87" i="4"/>
  <c r="AR88" i="4"/>
  <c r="BI88" i="4" s="1"/>
  <c r="BP88" i="4" s="1"/>
  <c r="BO88" i="4" s="1"/>
  <c r="BY88" i="4" s="1"/>
  <c r="AR89" i="4"/>
  <c r="AR90" i="4"/>
  <c r="AR91" i="4"/>
  <c r="AR92" i="4"/>
  <c r="BI92" i="4" s="1"/>
  <c r="BP92" i="4" s="1"/>
  <c r="BO92" i="4" s="1"/>
  <c r="BY92" i="4" s="1"/>
  <c r="AR93" i="4"/>
  <c r="AR94" i="4"/>
  <c r="BI94" i="4" s="1"/>
  <c r="BP94" i="4" s="1"/>
  <c r="AR95" i="4"/>
  <c r="AR96" i="4"/>
  <c r="BI96" i="4" s="1"/>
  <c r="BP96" i="4" s="1"/>
  <c r="BO96" i="4" s="1"/>
  <c r="BY96" i="4" s="1"/>
  <c r="AR97" i="4"/>
  <c r="AR52" i="4"/>
  <c r="AY53" i="4"/>
  <c r="AV88" i="101"/>
  <c r="BD88" i="101" s="1"/>
  <c r="BP88" i="101" s="1"/>
  <c r="AT60" i="16"/>
  <c r="AT61" i="16"/>
  <c r="AT62" i="16"/>
  <c r="AT63" i="16"/>
  <c r="AT64" i="16"/>
  <c r="AT65" i="16"/>
  <c r="AT66" i="16"/>
  <c r="AT67" i="16"/>
  <c r="AT68" i="16"/>
  <c r="AT59" i="16"/>
  <c r="BA59" i="16" s="1"/>
  <c r="BA60" i="16"/>
  <c r="S52" i="22"/>
  <c r="AR45" i="22"/>
  <c r="C88" i="1"/>
  <c r="B88" i="1" s="1"/>
  <c r="B48" i="135" s="1"/>
  <c r="C87" i="1"/>
  <c r="B87" i="1" s="1"/>
  <c r="B47" i="135" s="1"/>
  <c r="C86" i="1"/>
  <c r="B86" i="1" s="1"/>
  <c r="B46" i="135" s="1"/>
  <c r="C85" i="1"/>
  <c r="B85" i="1" s="1"/>
  <c r="B45" i="135" s="1"/>
  <c r="C84" i="1"/>
  <c r="B84" i="1" s="1"/>
  <c r="B44" i="135" s="1"/>
  <c r="C83" i="1"/>
  <c r="B83" i="1" s="1"/>
  <c r="B43" i="135" s="1"/>
  <c r="C82" i="1"/>
  <c r="B82" i="1" s="1"/>
  <c r="B42" i="135" s="1"/>
  <c r="C81" i="1"/>
  <c r="B81" i="1" s="1"/>
  <c r="B41" i="135" s="1"/>
  <c r="C80" i="1"/>
  <c r="B80" i="1" s="1"/>
  <c r="B40" i="135" s="1"/>
  <c r="C79" i="1"/>
  <c r="B79" i="1" s="1"/>
  <c r="B39" i="135" s="1"/>
  <c r="C78" i="1"/>
  <c r="B78" i="1" s="1"/>
  <c r="B38" i="135" s="1"/>
  <c r="C77" i="1"/>
  <c r="B77" i="1" s="1"/>
  <c r="B37" i="135" s="1"/>
  <c r="C76" i="1"/>
  <c r="B76" i="1" s="1"/>
  <c r="B36" i="135" s="1"/>
  <c r="C75" i="1"/>
  <c r="B75" i="1" s="1"/>
  <c r="B35" i="135" s="1"/>
  <c r="C74" i="1"/>
  <c r="B74" i="1" s="1"/>
  <c r="B34" i="135" s="1"/>
  <c r="C73" i="1"/>
  <c r="B73" i="1" s="1"/>
  <c r="B33" i="135" s="1"/>
  <c r="C72" i="1"/>
  <c r="B72" i="1" s="1"/>
  <c r="B32" i="135" s="1"/>
  <c r="C71" i="1"/>
  <c r="B71" i="1" s="1"/>
  <c r="B31" i="135" s="1"/>
  <c r="C70" i="1"/>
  <c r="B70" i="1" s="1"/>
  <c r="B30" i="135" s="1"/>
  <c r="C69" i="1"/>
  <c r="B69" i="1" s="1"/>
  <c r="B29" i="135" s="1"/>
  <c r="C68" i="1"/>
  <c r="B68" i="1" s="1"/>
  <c r="B28" i="135" s="1"/>
  <c r="C67" i="1"/>
  <c r="B67" i="1" s="1"/>
  <c r="B27" i="135" s="1"/>
  <c r="C66" i="1"/>
  <c r="B66" i="1" s="1"/>
  <c r="B26" i="135" s="1"/>
  <c r="C65" i="1"/>
  <c r="B65" i="1" s="1"/>
  <c r="B25" i="135" s="1"/>
  <c r="C64" i="1"/>
  <c r="B64" i="1" s="1"/>
  <c r="B24" i="135" s="1"/>
  <c r="C63" i="1"/>
  <c r="B63" i="1" s="1"/>
  <c r="B23" i="135" s="1"/>
  <c r="C62" i="1"/>
  <c r="B62" i="1" s="1"/>
  <c r="B22" i="135" s="1"/>
  <c r="C61" i="1"/>
  <c r="B61" i="1" s="1"/>
  <c r="B21" i="135" s="1"/>
  <c r="C60" i="1"/>
  <c r="B60" i="1" s="1"/>
  <c r="B20" i="135" s="1"/>
  <c r="C59" i="1"/>
  <c r="B59" i="1" s="1"/>
  <c r="B19" i="135" s="1"/>
  <c r="C58" i="1"/>
  <c r="B58" i="1" s="1"/>
  <c r="B18" i="135" s="1"/>
  <c r="C57" i="1"/>
  <c r="B57" i="1" s="1"/>
  <c r="B17" i="135" s="1"/>
  <c r="C56" i="1"/>
  <c r="B56" i="1" s="1"/>
  <c r="B16" i="135" s="1"/>
  <c r="C55" i="1"/>
  <c r="B55" i="1" s="1"/>
  <c r="B15" i="135" s="1"/>
  <c r="C54" i="1"/>
  <c r="B54" i="1" s="1"/>
  <c r="B14" i="135" s="1"/>
  <c r="C53" i="1"/>
  <c r="B53" i="1" s="1"/>
  <c r="B13" i="135" s="1"/>
  <c r="C52" i="1"/>
  <c r="B52" i="1" s="1"/>
  <c r="B12" i="135" s="1"/>
  <c r="C51" i="1"/>
  <c r="B51" i="1" s="1"/>
  <c r="B11" i="135" s="1"/>
  <c r="C50" i="1"/>
  <c r="B50" i="1" s="1"/>
  <c r="B10" i="135" s="1"/>
  <c r="C49" i="1"/>
  <c r="B49" i="1" s="1"/>
  <c r="B9" i="135" s="1"/>
  <c r="C48" i="1"/>
  <c r="B48" i="1" s="1"/>
  <c r="B8" i="135" s="1"/>
  <c r="C47" i="1"/>
  <c r="B47" i="1" s="1"/>
  <c r="B7" i="135" s="1"/>
  <c r="C46" i="1"/>
  <c r="B46" i="1" s="1"/>
  <c r="B6" i="135" s="1"/>
  <c r="C45" i="1"/>
  <c r="B45" i="1" s="1"/>
  <c r="B5" i="135" s="1"/>
  <c r="C44" i="1"/>
  <c r="B44" i="1" s="1"/>
  <c r="B4" i="135" s="1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88" i="51"/>
  <c r="C87" i="51"/>
  <c r="C86" i="51"/>
  <c r="C85" i="51"/>
  <c r="C84" i="51"/>
  <c r="C83" i="51"/>
  <c r="C82" i="51"/>
  <c r="C81" i="51"/>
  <c r="C80" i="51"/>
  <c r="C79" i="51"/>
  <c r="C78" i="51"/>
  <c r="C77" i="51"/>
  <c r="C76" i="51"/>
  <c r="C75" i="51"/>
  <c r="C74" i="51"/>
  <c r="C73" i="51"/>
  <c r="C72" i="51"/>
  <c r="C71" i="51"/>
  <c r="C70" i="51"/>
  <c r="C69" i="51"/>
  <c r="C68" i="51"/>
  <c r="C67" i="51"/>
  <c r="C66" i="51"/>
  <c r="C65" i="51"/>
  <c r="C64" i="51"/>
  <c r="C63" i="51"/>
  <c r="C62" i="51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88" i="63"/>
  <c r="C87" i="63"/>
  <c r="C86" i="63"/>
  <c r="C85" i="63"/>
  <c r="C84" i="63"/>
  <c r="C83" i="63"/>
  <c r="C82" i="63"/>
  <c r="C81" i="63"/>
  <c r="C80" i="63"/>
  <c r="C79" i="63"/>
  <c r="C78" i="63"/>
  <c r="C77" i="63"/>
  <c r="C76" i="63"/>
  <c r="C75" i="63"/>
  <c r="C74" i="63"/>
  <c r="C73" i="63"/>
  <c r="C72" i="63"/>
  <c r="C71" i="63"/>
  <c r="C70" i="63"/>
  <c r="C69" i="63"/>
  <c r="C68" i="63"/>
  <c r="C67" i="63"/>
  <c r="C66" i="63"/>
  <c r="C65" i="63"/>
  <c r="C64" i="63"/>
  <c r="C63" i="63"/>
  <c r="C62" i="63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88" i="129"/>
  <c r="C87" i="129"/>
  <c r="C86" i="129"/>
  <c r="C85" i="129"/>
  <c r="C84" i="129"/>
  <c r="C83" i="129"/>
  <c r="C82" i="129"/>
  <c r="C81" i="129"/>
  <c r="C80" i="129"/>
  <c r="C79" i="129"/>
  <c r="C78" i="129"/>
  <c r="C77" i="129"/>
  <c r="C76" i="129"/>
  <c r="C75" i="129"/>
  <c r="C74" i="129"/>
  <c r="C73" i="129"/>
  <c r="C72" i="129"/>
  <c r="C71" i="129"/>
  <c r="C70" i="129"/>
  <c r="C69" i="129"/>
  <c r="C68" i="129"/>
  <c r="C67" i="129"/>
  <c r="C66" i="129"/>
  <c r="C65" i="129"/>
  <c r="C64" i="129"/>
  <c r="C63" i="129"/>
  <c r="C62" i="129"/>
  <c r="C61" i="129"/>
  <c r="C60" i="129"/>
  <c r="C59" i="129"/>
  <c r="C58" i="129"/>
  <c r="C57" i="129"/>
  <c r="C56" i="129"/>
  <c r="C55" i="129"/>
  <c r="C54" i="129"/>
  <c r="C53" i="129"/>
  <c r="C52" i="129"/>
  <c r="C51" i="129"/>
  <c r="C50" i="129"/>
  <c r="C49" i="129"/>
  <c r="C48" i="129"/>
  <c r="C47" i="129"/>
  <c r="C46" i="129"/>
  <c r="C45" i="129"/>
  <c r="C44" i="129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89" i="105"/>
  <c r="C88" i="105"/>
  <c r="C87" i="105"/>
  <c r="C86" i="105"/>
  <c r="C85" i="105"/>
  <c r="C84" i="105"/>
  <c r="C83" i="105"/>
  <c r="C82" i="105"/>
  <c r="C81" i="105"/>
  <c r="C80" i="105"/>
  <c r="C79" i="105"/>
  <c r="C78" i="105"/>
  <c r="C77" i="105"/>
  <c r="C76" i="105"/>
  <c r="C75" i="105"/>
  <c r="C74" i="105"/>
  <c r="C73" i="105"/>
  <c r="C72" i="105"/>
  <c r="C71" i="105"/>
  <c r="C70" i="105"/>
  <c r="C69" i="105"/>
  <c r="C68" i="105"/>
  <c r="C67" i="105"/>
  <c r="C66" i="105"/>
  <c r="C65" i="105"/>
  <c r="C64" i="105"/>
  <c r="C63" i="105"/>
  <c r="C62" i="105"/>
  <c r="C61" i="105"/>
  <c r="C60" i="105"/>
  <c r="C59" i="105"/>
  <c r="C58" i="105"/>
  <c r="C57" i="105"/>
  <c r="C56" i="105"/>
  <c r="C55" i="105"/>
  <c r="C54" i="105"/>
  <c r="C53" i="105"/>
  <c r="C52" i="105"/>
  <c r="C51" i="105"/>
  <c r="C50" i="105"/>
  <c r="C49" i="105"/>
  <c r="C48" i="105"/>
  <c r="C47" i="105"/>
  <c r="C46" i="105"/>
  <c r="C45" i="105"/>
  <c r="C44" i="105"/>
  <c r="C88" i="104"/>
  <c r="C87" i="104"/>
  <c r="C86" i="104"/>
  <c r="C85" i="104"/>
  <c r="C84" i="104"/>
  <c r="C83" i="104"/>
  <c r="C82" i="104"/>
  <c r="C81" i="104"/>
  <c r="C80" i="104"/>
  <c r="C79" i="104"/>
  <c r="C78" i="104"/>
  <c r="C77" i="104"/>
  <c r="C76" i="104"/>
  <c r="C75" i="104"/>
  <c r="C74" i="104"/>
  <c r="C73" i="104"/>
  <c r="C72" i="104"/>
  <c r="C71" i="104"/>
  <c r="C70" i="104"/>
  <c r="C69" i="104"/>
  <c r="C68" i="104"/>
  <c r="C67" i="104"/>
  <c r="C66" i="104"/>
  <c r="C65" i="104"/>
  <c r="C64" i="104"/>
  <c r="C63" i="104"/>
  <c r="C62" i="104"/>
  <c r="C61" i="104"/>
  <c r="C60" i="104"/>
  <c r="C59" i="104"/>
  <c r="C58" i="104"/>
  <c r="C57" i="104"/>
  <c r="C56" i="104"/>
  <c r="C55" i="104"/>
  <c r="C54" i="104"/>
  <c r="C53" i="104"/>
  <c r="C52" i="104"/>
  <c r="C51" i="104"/>
  <c r="C50" i="104"/>
  <c r="C49" i="104"/>
  <c r="C48" i="104"/>
  <c r="C47" i="104"/>
  <c r="C46" i="104"/>
  <c r="C45" i="104"/>
  <c r="C44" i="104"/>
  <c r="C88" i="103"/>
  <c r="C87" i="103"/>
  <c r="C86" i="103"/>
  <c r="C85" i="103"/>
  <c r="C84" i="103"/>
  <c r="C83" i="103"/>
  <c r="C82" i="103"/>
  <c r="C81" i="103"/>
  <c r="C80" i="103"/>
  <c r="C79" i="103"/>
  <c r="C78" i="103"/>
  <c r="C77" i="103"/>
  <c r="C76" i="103"/>
  <c r="C75" i="103"/>
  <c r="C74" i="103"/>
  <c r="C73" i="103"/>
  <c r="C72" i="103"/>
  <c r="C71" i="103"/>
  <c r="C70" i="103"/>
  <c r="C69" i="103"/>
  <c r="C68" i="103"/>
  <c r="C67" i="103"/>
  <c r="C66" i="103"/>
  <c r="C65" i="103"/>
  <c r="C64" i="103"/>
  <c r="C63" i="103"/>
  <c r="C62" i="103"/>
  <c r="C61" i="103"/>
  <c r="C60" i="103"/>
  <c r="C59" i="103"/>
  <c r="C58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88" i="133"/>
  <c r="C87" i="133"/>
  <c r="C86" i="133"/>
  <c r="C85" i="133"/>
  <c r="C84" i="133"/>
  <c r="C83" i="133"/>
  <c r="C82" i="133"/>
  <c r="C81" i="133"/>
  <c r="C80" i="133"/>
  <c r="C79" i="133"/>
  <c r="C78" i="133"/>
  <c r="C77" i="133"/>
  <c r="C76" i="133"/>
  <c r="C75" i="133"/>
  <c r="C74" i="133"/>
  <c r="C73" i="133"/>
  <c r="C72" i="133"/>
  <c r="C71" i="133"/>
  <c r="C70" i="133"/>
  <c r="C69" i="133"/>
  <c r="C68" i="133"/>
  <c r="C67" i="133"/>
  <c r="C66" i="133"/>
  <c r="C65" i="133"/>
  <c r="C64" i="133"/>
  <c r="C63" i="133"/>
  <c r="C62" i="133"/>
  <c r="C61" i="133"/>
  <c r="C60" i="133"/>
  <c r="C59" i="133"/>
  <c r="C58" i="133"/>
  <c r="C57" i="133"/>
  <c r="C56" i="133"/>
  <c r="C55" i="133"/>
  <c r="C54" i="133"/>
  <c r="C53" i="133"/>
  <c r="C52" i="133"/>
  <c r="C51" i="133"/>
  <c r="C50" i="133"/>
  <c r="C49" i="133"/>
  <c r="C48" i="133"/>
  <c r="C47" i="133"/>
  <c r="C46" i="133"/>
  <c r="C45" i="133"/>
  <c r="C44" i="133"/>
  <c r="C88" i="102"/>
  <c r="C87" i="102"/>
  <c r="C86" i="102"/>
  <c r="C85" i="102"/>
  <c r="C84" i="102"/>
  <c r="C83" i="102"/>
  <c r="C82" i="102"/>
  <c r="C81" i="102"/>
  <c r="C80" i="102"/>
  <c r="C79" i="102"/>
  <c r="C78" i="102"/>
  <c r="C77" i="102"/>
  <c r="C76" i="102"/>
  <c r="C75" i="102"/>
  <c r="C74" i="102"/>
  <c r="C73" i="102"/>
  <c r="C72" i="102"/>
  <c r="C71" i="102"/>
  <c r="C70" i="102"/>
  <c r="C69" i="102"/>
  <c r="C68" i="102"/>
  <c r="C67" i="102"/>
  <c r="C66" i="102"/>
  <c r="C65" i="102"/>
  <c r="C64" i="102"/>
  <c r="C63" i="102"/>
  <c r="C62" i="102"/>
  <c r="C61" i="102"/>
  <c r="C60" i="102"/>
  <c r="C59" i="102"/>
  <c r="C58" i="102"/>
  <c r="C57" i="102"/>
  <c r="C56" i="102"/>
  <c r="C55" i="102"/>
  <c r="C54" i="102"/>
  <c r="C53" i="102"/>
  <c r="C52" i="102"/>
  <c r="C51" i="102"/>
  <c r="C50" i="102"/>
  <c r="C49" i="102"/>
  <c r="C48" i="102"/>
  <c r="C47" i="102"/>
  <c r="C46" i="102"/>
  <c r="C45" i="102"/>
  <c r="C44" i="102"/>
  <c r="C88" i="101"/>
  <c r="C87" i="101"/>
  <c r="C86" i="101"/>
  <c r="C85" i="101"/>
  <c r="C84" i="101"/>
  <c r="C83" i="101"/>
  <c r="C82" i="101"/>
  <c r="C81" i="101"/>
  <c r="C80" i="101"/>
  <c r="C79" i="101"/>
  <c r="C78" i="101"/>
  <c r="C77" i="101"/>
  <c r="C76" i="101"/>
  <c r="C75" i="101"/>
  <c r="C74" i="101"/>
  <c r="C73" i="101"/>
  <c r="C72" i="101"/>
  <c r="C71" i="101"/>
  <c r="C70" i="101"/>
  <c r="C69" i="101"/>
  <c r="C68" i="101"/>
  <c r="C67" i="101"/>
  <c r="C66" i="101"/>
  <c r="C65" i="101"/>
  <c r="C64" i="101"/>
  <c r="C63" i="101"/>
  <c r="C62" i="101"/>
  <c r="C61" i="101"/>
  <c r="C60" i="101"/>
  <c r="C59" i="101"/>
  <c r="C58" i="101"/>
  <c r="C57" i="101"/>
  <c r="C56" i="101"/>
  <c r="C55" i="101"/>
  <c r="C54" i="101"/>
  <c r="C53" i="101"/>
  <c r="C52" i="101"/>
  <c r="C51" i="101"/>
  <c r="C50" i="101"/>
  <c r="C49" i="101"/>
  <c r="C48" i="101"/>
  <c r="C47" i="101"/>
  <c r="C46" i="101"/>
  <c r="C45" i="101"/>
  <c r="C44" i="101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88" i="131"/>
  <c r="C87" i="131"/>
  <c r="C86" i="131"/>
  <c r="C85" i="131"/>
  <c r="C84" i="131"/>
  <c r="C83" i="131"/>
  <c r="C82" i="131"/>
  <c r="C81" i="131"/>
  <c r="C80" i="131"/>
  <c r="C79" i="131"/>
  <c r="C78" i="131"/>
  <c r="C77" i="131"/>
  <c r="C76" i="131"/>
  <c r="C75" i="131"/>
  <c r="C74" i="131"/>
  <c r="C73" i="131"/>
  <c r="C72" i="131"/>
  <c r="C71" i="131"/>
  <c r="C70" i="131"/>
  <c r="C69" i="131"/>
  <c r="C68" i="131"/>
  <c r="C67" i="131"/>
  <c r="C66" i="131"/>
  <c r="C65" i="131"/>
  <c r="C64" i="131"/>
  <c r="C63" i="131"/>
  <c r="C62" i="131"/>
  <c r="C61" i="131"/>
  <c r="C60" i="131"/>
  <c r="C59" i="131"/>
  <c r="C58" i="131"/>
  <c r="C57" i="131"/>
  <c r="C56" i="131"/>
  <c r="C55" i="131"/>
  <c r="C54" i="131"/>
  <c r="C53" i="131"/>
  <c r="C52" i="131"/>
  <c r="C51" i="131"/>
  <c r="C50" i="131"/>
  <c r="C49" i="131"/>
  <c r="C48" i="131"/>
  <c r="C47" i="131"/>
  <c r="C46" i="131"/>
  <c r="C45" i="131"/>
  <c r="C44" i="131"/>
  <c r="F78" i="1"/>
  <c r="D78" i="1" s="1"/>
  <c r="F88" i="1"/>
  <c r="D88" i="1" s="1"/>
  <c r="F87" i="1"/>
  <c r="D87" i="1" s="1"/>
  <c r="F86" i="1"/>
  <c r="D86" i="1" s="1"/>
  <c r="F85" i="1"/>
  <c r="D85" i="1" s="1"/>
  <c r="F84" i="1"/>
  <c r="D84" i="1" s="1"/>
  <c r="F83" i="1"/>
  <c r="D83" i="1" s="1"/>
  <c r="F82" i="1"/>
  <c r="D82" i="1" s="1"/>
  <c r="F81" i="1"/>
  <c r="D81" i="1" s="1"/>
  <c r="F80" i="1"/>
  <c r="D80" i="1" s="1"/>
  <c r="F79" i="1"/>
  <c r="D79" i="1" s="1"/>
  <c r="F89" i="24"/>
  <c r="D89" i="24" s="1"/>
  <c r="F88" i="24"/>
  <c r="D88" i="24" s="1"/>
  <c r="F87" i="24"/>
  <c r="D87" i="24" s="1"/>
  <c r="F85" i="24"/>
  <c r="D85" i="24" s="1"/>
  <c r="F84" i="24"/>
  <c r="D84" i="24" s="1"/>
  <c r="F83" i="24"/>
  <c r="D83" i="24" s="1"/>
  <c r="F82" i="24"/>
  <c r="D82" i="24" s="1"/>
  <c r="F81" i="24"/>
  <c r="D81" i="24" s="1"/>
  <c r="F80" i="24"/>
  <c r="D80" i="24" s="1"/>
  <c r="F79" i="24"/>
  <c r="D79" i="24" s="1"/>
  <c r="P88" i="3"/>
  <c r="N83" i="3"/>
  <c r="N88" i="3"/>
  <c r="N81" i="3"/>
  <c r="N88" i="133"/>
  <c r="O82" i="133"/>
  <c r="O78" i="133"/>
  <c r="O80" i="133"/>
  <c r="AO87" i="26"/>
  <c r="AA51" i="131"/>
  <c r="AA50" i="131" s="1"/>
  <c r="AA49" i="131" s="1"/>
  <c r="AA48" i="131" s="1"/>
  <c r="AA47" i="131" s="1"/>
  <c r="AA46" i="131" s="1"/>
  <c r="AA45" i="131" s="1"/>
  <c r="AA44" i="131" s="1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82" i="4"/>
  <c r="X61" i="129"/>
  <c r="Y72" i="129"/>
  <c r="Z89" i="129"/>
  <c r="Z131" i="129" l="1"/>
  <c r="L90" i="639" s="1"/>
  <c r="AU12" i="641"/>
  <c r="AV12" i="641" s="1"/>
  <c r="W131" i="129"/>
  <c r="AA131" i="129" s="1"/>
  <c r="L15" i="639" s="1"/>
  <c r="AM15" i="639"/>
  <c r="AY60" i="4"/>
  <c r="R122" i="129"/>
  <c r="T122" i="129"/>
  <c r="S122" i="129"/>
  <c r="AM6" i="639" s="1"/>
  <c r="AY76" i="4"/>
  <c r="AY77" i="4"/>
  <c r="AY84" i="4"/>
  <c r="AY69" i="4"/>
  <c r="AY54" i="4"/>
  <c r="AY92" i="4"/>
  <c r="AY61" i="4"/>
  <c r="AY68" i="4"/>
  <c r="P133" i="129"/>
  <c r="S132" i="129"/>
  <c r="R132" i="129"/>
  <c r="V132" i="129" s="1"/>
  <c r="Z132" i="129" s="1"/>
  <c r="L91" i="639" s="1"/>
  <c r="T132" i="129"/>
  <c r="X132" i="129" s="1"/>
  <c r="AB132" i="129" s="1"/>
  <c r="AY91" i="4"/>
  <c r="BI91" i="4"/>
  <c r="BP91" i="4" s="1"/>
  <c r="BO91" i="4" s="1"/>
  <c r="BY91" i="4" s="1"/>
  <c r="AY83" i="4"/>
  <c r="BI83" i="4"/>
  <c r="BP83" i="4" s="1"/>
  <c r="BO83" i="4" s="1"/>
  <c r="BY83" i="4" s="1"/>
  <c r="AY75" i="4"/>
  <c r="BI75" i="4"/>
  <c r="BP75" i="4" s="1"/>
  <c r="BO75" i="4" s="1"/>
  <c r="BY75" i="4" s="1"/>
  <c r="AY67" i="4"/>
  <c r="BI67" i="4"/>
  <c r="BP67" i="4" s="1"/>
  <c r="BO67" i="4" s="1"/>
  <c r="BY67" i="4" s="1"/>
  <c r="AY59" i="4"/>
  <c r="BI59" i="4"/>
  <c r="BP59" i="4" s="1"/>
  <c r="BO59" i="4" s="1"/>
  <c r="BY59" i="4" s="1"/>
  <c r="AY90" i="4"/>
  <c r="BI90" i="4"/>
  <c r="BP90" i="4" s="1"/>
  <c r="BO90" i="4" s="1"/>
  <c r="BY90" i="4" s="1"/>
  <c r="AY66" i="4"/>
  <c r="BI66" i="4"/>
  <c r="BP66" i="4" s="1"/>
  <c r="BO66" i="4" s="1"/>
  <c r="BY66" i="4" s="1"/>
  <c r="AY97" i="4"/>
  <c r="BI97" i="4"/>
  <c r="BP97" i="4" s="1"/>
  <c r="AY89" i="4"/>
  <c r="BI89" i="4"/>
  <c r="BP89" i="4" s="1"/>
  <c r="BO89" i="4" s="1"/>
  <c r="BY89" i="4" s="1"/>
  <c r="AY81" i="4"/>
  <c r="BI81" i="4"/>
  <c r="BP81" i="4" s="1"/>
  <c r="BO81" i="4" s="1"/>
  <c r="BY81" i="4" s="1"/>
  <c r="AY73" i="4"/>
  <c r="BI73" i="4"/>
  <c r="BP73" i="4" s="1"/>
  <c r="BO73" i="4" s="1"/>
  <c r="BY73" i="4" s="1"/>
  <c r="AY65" i="4"/>
  <c r="BI65" i="4"/>
  <c r="BP65" i="4" s="1"/>
  <c r="AY57" i="4"/>
  <c r="BI57" i="4"/>
  <c r="BP57" i="4" s="1"/>
  <c r="AY80" i="4"/>
  <c r="BI80" i="4"/>
  <c r="BP80" i="4" s="1"/>
  <c r="BO80" i="4" s="1"/>
  <c r="BY80" i="4" s="1"/>
  <c r="AY72" i="4"/>
  <c r="BI72" i="4"/>
  <c r="BP72" i="4" s="1"/>
  <c r="BO72" i="4" s="1"/>
  <c r="BY72" i="4" s="1"/>
  <c r="AY64" i="4"/>
  <c r="BI64" i="4"/>
  <c r="BP64" i="4" s="1"/>
  <c r="BO64" i="4" s="1"/>
  <c r="BY64" i="4" s="1"/>
  <c r="AY56" i="4"/>
  <c r="BI56" i="4"/>
  <c r="BP56" i="4" s="1"/>
  <c r="BO56" i="4" s="1"/>
  <c r="BY56" i="4" s="1"/>
  <c r="AY95" i="4"/>
  <c r="BI95" i="4"/>
  <c r="BP95" i="4" s="1"/>
  <c r="BO95" i="4" s="1"/>
  <c r="BY95" i="4" s="1"/>
  <c r="AY87" i="4"/>
  <c r="BI87" i="4"/>
  <c r="BP87" i="4" s="1"/>
  <c r="BO87" i="4" s="1"/>
  <c r="BY87" i="4" s="1"/>
  <c r="AY79" i="4"/>
  <c r="BI79" i="4"/>
  <c r="BP79" i="4" s="1"/>
  <c r="BO79" i="4" s="1"/>
  <c r="BY79" i="4" s="1"/>
  <c r="AY71" i="4"/>
  <c r="BI71" i="4"/>
  <c r="BP71" i="4" s="1"/>
  <c r="BO71" i="4" s="1"/>
  <c r="BY71" i="4" s="1"/>
  <c r="AY63" i="4"/>
  <c r="BI63" i="4"/>
  <c r="BP63" i="4" s="1"/>
  <c r="BO63" i="4" s="1"/>
  <c r="BY63" i="4" s="1"/>
  <c r="AY55" i="4"/>
  <c r="BI55" i="4"/>
  <c r="BP55" i="4" s="1"/>
  <c r="BO55" i="4" s="1"/>
  <c r="BY55" i="4" s="1"/>
  <c r="AY58" i="4"/>
  <c r="AX58" i="4" s="1"/>
  <c r="BI58" i="4"/>
  <c r="BP58" i="4" s="1"/>
  <c r="BO58" i="4" s="1"/>
  <c r="BY58" i="4" s="1"/>
  <c r="BO94" i="4"/>
  <c r="BY94" i="4" s="1"/>
  <c r="BO86" i="4"/>
  <c r="BY86" i="4" s="1"/>
  <c r="AY70" i="4"/>
  <c r="BI70" i="4"/>
  <c r="BP70" i="4" s="1"/>
  <c r="BO70" i="4" s="1"/>
  <c r="BY70" i="4" s="1"/>
  <c r="AY62" i="4"/>
  <c r="BI62" i="4"/>
  <c r="BP62" i="4" s="1"/>
  <c r="BO62" i="4" s="1"/>
  <c r="BY62" i="4" s="1"/>
  <c r="AY52" i="4"/>
  <c r="AX52" i="4" s="1"/>
  <c r="BI52" i="4"/>
  <c r="BP52" i="4" s="1"/>
  <c r="BO52" i="4" s="1"/>
  <c r="BY52" i="4" s="1"/>
  <c r="AY74" i="4"/>
  <c r="BI74" i="4"/>
  <c r="BP74" i="4" s="1"/>
  <c r="BO74" i="4" s="1"/>
  <c r="BY74" i="4" s="1"/>
  <c r="AY93" i="4"/>
  <c r="BI93" i="4"/>
  <c r="BP93" i="4" s="1"/>
  <c r="AY85" i="4"/>
  <c r="BI85" i="4"/>
  <c r="BP85" i="4" s="1"/>
  <c r="BO85" i="4" s="1"/>
  <c r="BY85" i="4" s="1"/>
  <c r="BO77" i="4"/>
  <c r="BY77" i="4" s="1"/>
  <c r="AY98" i="4"/>
  <c r="AX98" i="4" s="1"/>
  <c r="BI98" i="4"/>
  <c r="BP98" i="4" s="1"/>
  <c r="BO98" i="4" s="1"/>
  <c r="BY98" i="4" s="1"/>
  <c r="AY52" i="22"/>
  <c r="AX52" i="22" s="1"/>
  <c r="K122" i="29"/>
  <c r="Q122" i="29" s="1"/>
  <c r="P135" i="27"/>
  <c r="U122" i="1"/>
  <c r="I136" i="4"/>
  <c r="M136" i="4" s="1"/>
  <c r="H136" i="4"/>
  <c r="L136" i="4" s="1"/>
  <c r="J136" i="4"/>
  <c r="N136" i="4" s="1"/>
  <c r="AR46" i="22"/>
  <c r="N6" i="194" s="1"/>
  <c r="N5" i="194"/>
  <c r="C135" i="4"/>
  <c r="E135" i="4"/>
  <c r="D135" i="4"/>
  <c r="G135" i="4"/>
  <c r="G136" i="4"/>
  <c r="AY96" i="4"/>
  <c r="AY94" i="4"/>
  <c r="AY88" i="4"/>
  <c r="AY86" i="4"/>
  <c r="AY82" i="4"/>
  <c r="AY78" i="4"/>
  <c r="G122" i="105"/>
  <c r="L122" i="105" s="1"/>
  <c r="P122" i="105" s="1"/>
  <c r="U122" i="105" s="1"/>
  <c r="Y122" i="105" s="1"/>
  <c r="E160" i="105" s="1"/>
  <c r="E122" i="105"/>
  <c r="J122" i="105" s="1"/>
  <c r="N122" i="105" s="1"/>
  <c r="S122" i="105" s="1"/>
  <c r="W122" i="105" s="1"/>
  <c r="H122" i="105"/>
  <c r="M122" i="105" s="1"/>
  <c r="Q122" i="105" s="1"/>
  <c r="V122" i="105" s="1"/>
  <c r="Z122" i="105" s="1"/>
  <c r="F160" i="105" s="1"/>
  <c r="F122" i="105"/>
  <c r="K122" i="105" s="1"/>
  <c r="O122" i="105" s="1"/>
  <c r="T122" i="105" s="1"/>
  <c r="X122" i="105" s="1"/>
  <c r="D160" i="105" s="1"/>
  <c r="X122" i="27"/>
  <c r="V122" i="27"/>
  <c r="Q122" i="26"/>
  <c r="W122" i="27"/>
  <c r="T122" i="26"/>
  <c r="X122" i="26" s="1"/>
  <c r="AB122" i="26" s="1"/>
  <c r="R122" i="26"/>
  <c r="V122" i="26" s="1"/>
  <c r="Z122" i="26" s="1"/>
  <c r="R81" i="639" s="1"/>
  <c r="S122" i="26"/>
  <c r="M122" i="25"/>
  <c r="S122" i="25" s="1"/>
  <c r="AR6" i="639" s="1"/>
  <c r="W122" i="131"/>
  <c r="AA122" i="131" s="1"/>
  <c r="P6" i="639" s="1"/>
  <c r="G122" i="24"/>
  <c r="E122" i="24"/>
  <c r="X122" i="23"/>
  <c r="AB122" i="23" s="1"/>
  <c r="V122" i="23"/>
  <c r="Z122" i="23" s="1"/>
  <c r="O81" i="639" s="1"/>
  <c r="S122" i="21"/>
  <c r="Q122" i="21"/>
  <c r="W122" i="20"/>
  <c r="AA122" i="20" s="1"/>
  <c r="J6" i="639" s="1"/>
  <c r="X122" i="19"/>
  <c r="AB122" i="19" s="1"/>
  <c r="V122" i="19"/>
  <c r="Z122" i="19" s="1"/>
  <c r="I81" i="639" s="1"/>
  <c r="T122" i="29"/>
  <c r="X122" i="29" s="1"/>
  <c r="AB122" i="29" s="1"/>
  <c r="R122" i="29"/>
  <c r="V122" i="29" s="1"/>
  <c r="Z122" i="29" s="1"/>
  <c r="H81" i="639" s="1"/>
  <c r="T122" i="63"/>
  <c r="X122" i="63" s="1"/>
  <c r="AB122" i="63" s="1"/>
  <c r="R122" i="63"/>
  <c r="V122" i="63" s="1"/>
  <c r="Z122" i="63" s="1"/>
  <c r="F81" i="639" s="1"/>
  <c r="W122" i="18"/>
  <c r="N122" i="25"/>
  <c r="T122" i="25" s="1"/>
  <c r="R122" i="25"/>
  <c r="X122" i="131"/>
  <c r="AB122" i="131" s="1"/>
  <c r="V122" i="131"/>
  <c r="Z122" i="131" s="1"/>
  <c r="P81" i="639" s="1"/>
  <c r="H122" i="24"/>
  <c r="F122" i="24"/>
  <c r="W122" i="23"/>
  <c r="AA122" i="23" s="1"/>
  <c r="O6" i="639" s="1"/>
  <c r="X122" i="129"/>
  <c r="AB122" i="129" s="1"/>
  <c r="V122" i="129"/>
  <c r="Z122" i="129" s="1"/>
  <c r="L81" i="639" s="1"/>
  <c r="R122" i="21"/>
  <c r="V122" i="21" s="1"/>
  <c r="Z122" i="21" s="1"/>
  <c r="K81" i="639" s="1"/>
  <c r="X122" i="20"/>
  <c r="AB122" i="20" s="1"/>
  <c r="W122" i="19"/>
  <c r="AA122" i="19" s="1"/>
  <c r="I6" i="639" s="1"/>
  <c r="S122" i="29"/>
  <c r="AI6" i="639" s="1"/>
  <c r="S122" i="63"/>
  <c r="X122" i="18"/>
  <c r="V122" i="18"/>
  <c r="T122" i="51"/>
  <c r="X122" i="51" s="1"/>
  <c r="R122" i="51"/>
  <c r="V122" i="51" s="1"/>
  <c r="S122" i="3"/>
  <c r="Q122" i="3"/>
  <c r="S122" i="51"/>
  <c r="Q122" i="51"/>
  <c r="T122" i="3"/>
  <c r="X122" i="3" s="1"/>
  <c r="R122" i="3"/>
  <c r="V122" i="3" s="1"/>
  <c r="E123" i="105"/>
  <c r="J123" i="105" s="1"/>
  <c r="N123" i="105" s="1"/>
  <c r="S123" i="105" s="1"/>
  <c r="W123" i="105" s="1"/>
  <c r="E123" i="24"/>
  <c r="J123" i="24" s="1"/>
  <c r="N123" i="24" s="1"/>
  <c r="K123" i="25"/>
  <c r="Q123" i="25" s="1"/>
  <c r="Q123" i="29"/>
  <c r="AD123" i="51"/>
  <c r="AE123" i="51" s="1"/>
  <c r="AF123" i="51" s="1"/>
  <c r="BE87" i="1"/>
  <c r="BP87" i="1" s="1"/>
  <c r="BE85" i="1"/>
  <c r="BP85" i="1" s="1"/>
  <c r="BE83" i="1"/>
  <c r="BP83" i="1" s="1"/>
  <c r="BE81" i="1"/>
  <c r="BP81" i="1" s="1"/>
  <c r="BE79" i="1"/>
  <c r="BP79" i="1" s="1"/>
  <c r="BE77" i="1"/>
  <c r="BP77" i="1" s="1"/>
  <c r="BE75" i="1"/>
  <c r="BP75" i="1" s="1"/>
  <c r="BE73" i="1"/>
  <c r="BP73" i="1" s="1"/>
  <c r="BE71" i="1"/>
  <c r="BP71" i="1" s="1"/>
  <c r="BE69" i="1"/>
  <c r="BP69" i="1" s="1"/>
  <c r="T129" i="1"/>
  <c r="X129" i="1" s="1"/>
  <c r="S129" i="1"/>
  <c r="R129" i="1"/>
  <c r="V129" i="1" s="1"/>
  <c r="Z5" i="196"/>
  <c r="G44" i="104"/>
  <c r="Z4" i="196" s="1"/>
  <c r="G44" i="103"/>
  <c r="Y4" i="196" s="1"/>
  <c r="Y5" i="196"/>
  <c r="G44" i="25"/>
  <c r="S4" i="196" s="1"/>
  <c r="S5" i="196"/>
  <c r="AX54" i="4"/>
  <c r="AX56" i="4"/>
  <c r="AX53" i="4"/>
  <c r="AX55" i="4"/>
  <c r="AX57" i="4"/>
  <c r="AX59" i="4"/>
  <c r="BA61" i="16"/>
  <c r="X62" i="129"/>
  <c r="M88" i="129"/>
  <c r="M88" i="105"/>
  <c r="V59" i="16"/>
  <c r="V60" i="16"/>
  <c r="V61" i="16"/>
  <c r="V62" i="16"/>
  <c r="V63" i="16"/>
  <c r="V64" i="16"/>
  <c r="V65" i="16"/>
  <c r="V66" i="16"/>
  <c r="V67" i="16"/>
  <c r="V68" i="16"/>
  <c r="G44" i="133"/>
  <c r="X4" i="196" s="1"/>
  <c r="G45" i="133"/>
  <c r="X5" i="196" s="1"/>
  <c r="G46" i="133"/>
  <c r="X6" i="196" s="1"/>
  <c r="G47" i="133"/>
  <c r="X7" i="196" s="1"/>
  <c r="G48" i="133"/>
  <c r="X8" i="196" s="1"/>
  <c r="N88" i="131"/>
  <c r="AB90" i="133"/>
  <c r="T89" i="133"/>
  <c r="I89" i="133"/>
  <c r="T50" i="193" s="1"/>
  <c r="T88" i="133"/>
  <c r="I88" i="133"/>
  <c r="T49" i="193" s="1"/>
  <c r="T87" i="133"/>
  <c r="N87" i="133"/>
  <c r="I87" i="133"/>
  <c r="T48" i="193" s="1"/>
  <c r="T86" i="133"/>
  <c r="O86" i="133"/>
  <c r="N86" i="133" s="1"/>
  <c r="I86" i="133"/>
  <c r="T47" i="193" s="1"/>
  <c r="T85" i="133"/>
  <c r="N85" i="133"/>
  <c r="I85" i="133"/>
  <c r="T46" i="193" s="1"/>
  <c r="T84" i="133"/>
  <c r="O84" i="133"/>
  <c r="N84" i="133" s="1"/>
  <c r="I84" i="133"/>
  <c r="T45" i="193" s="1"/>
  <c r="T83" i="133"/>
  <c r="N83" i="133"/>
  <c r="I83" i="133"/>
  <c r="T44" i="193" s="1"/>
  <c r="T82" i="133"/>
  <c r="N82" i="133"/>
  <c r="I82" i="133"/>
  <c r="T43" i="193" s="1"/>
  <c r="T81" i="133"/>
  <c r="N81" i="133"/>
  <c r="I81" i="133"/>
  <c r="T42" i="193" s="1"/>
  <c r="T80" i="133"/>
  <c r="N80" i="133"/>
  <c r="I80" i="133"/>
  <c r="T41" i="193" s="1"/>
  <c r="T79" i="133"/>
  <c r="N79" i="133"/>
  <c r="I79" i="133"/>
  <c r="T40" i="193" s="1"/>
  <c r="T78" i="133"/>
  <c r="N78" i="133"/>
  <c r="K78" i="133"/>
  <c r="I78" i="133" s="1"/>
  <c r="T39" i="193" s="1"/>
  <c r="F78" i="133"/>
  <c r="H78" i="133" s="1"/>
  <c r="T77" i="133"/>
  <c r="N77" i="133"/>
  <c r="K77" i="133"/>
  <c r="I77" i="133" s="1"/>
  <c r="T38" i="193" s="1"/>
  <c r="F77" i="133"/>
  <c r="H77" i="133" s="1"/>
  <c r="T76" i="133"/>
  <c r="K76" i="133"/>
  <c r="I76" i="133" s="1"/>
  <c r="T37" i="193" s="1"/>
  <c r="F76" i="133"/>
  <c r="H76" i="133" s="1"/>
  <c r="T75" i="133"/>
  <c r="O75" i="133"/>
  <c r="O76" i="133" s="1"/>
  <c r="N76" i="133" s="1"/>
  <c r="K75" i="133"/>
  <c r="I75" i="133" s="1"/>
  <c r="T36" i="193" s="1"/>
  <c r="F75" i="133"/>
  <c r="H75" i="133" s="1"/>
  <c r="T74" i="133"/>
  <c r="N74" i="133"/>
  <c r="K74" i="133"/>
  <c r="F74" i="133"/>
  <c r="H74" i="133" s="1"/>
  <c r="I74" i="133" s="1"/>
  <c r="T35" i="193" s="1"/>
  <c r="T73" i="133"/>
  <c r="K73" i="133"/>
  <c r="F73" i="133"/>
  <c r="H73" i="133" s="1"/>
  <c r="I73" i="133" s="1"/>
  <c r="T34" i="193" s="1"/>
  <c r="T72" i="133"/>
  <c r="K72" i="133"/>
  <c r="F72" i="133"/>
  <c r="H72" i="133" s="1"/>
  <c r="I72" i="133" s="1"/>
  <c r="T33" i="193" s="1"/>
  <c r="T71" i="133"/>
  <c r="K71" i="133"/>
  <c r="F71" i="133"/>
  <c r="H71" i="133" s="1"/>
  <c r="I71" i="133" s="1"/>
  <c r="T32" i="193" s="1"/>
  <c r="T70" i="133"/>
  <c r="K70" i="133"/>
  <c r="F70" i="133"/>
  <c r="H70" i="133" s="1"/>
  <c r="I70" i="133" s="1"/>
  <c r="T31" i="193" s="1"/>
  <c r="T69" i="133"/>
  <c r="K69" i="133"/>
  <c r="F69" i="133"/>
  <c r="H69" i="133" s="1"/>
  <c r="I69" i="133" s="1"/>
  <c r="T30" i="193" s="1"/>
  <c r="T68" i="133"/>
  <c r="F68" i="133"/>
  <c r="H68" i="133" s="1"/>
  <c r="I68" i="133" s="1"/>
  <c r="T29" i="193" s="1"/>
  <c r="T67" i="133"/>
  <c r="F67" i="133"/>
  <c r="H67" i="133" s="1"/>
  <c r="I67" i="133" s="1"/>
  <c r="T28" i="193" s="1"/>
  <c r="T66" i="133"/>
  <c r="F66" i="133"/>
  <c r="H66" i="133" s="1"/>
  <c r="I66" i="133" s="1"/>
  <c r="T27" i="193" s="1"/>
  <c r="T65" i="133"/>
  <c r="F65" i="133"/>
  <c r="H65" i="133" s="1"/>
  <c r="I65" i="133" s="1"/>
  <c r="T26" i="193" s="1"/>
  <c r="T64" i="133"/>
  <c r="F64" i="133"/>
  <c r="H64" i="133" s="1"/>
  <c r="I64" i="133" s="1"/>
  <c r="T25" i="193" s="1"/>
  <c r="T63" i="133"/>
  <c r="F63" i="133"/>
  <c r="H63" i="133" s="1"/>
  <c r="I63" i="133" s="1"/>
  <c r="T24" i="193" s="1"/>
  <c r="T62" i="133"/>
  <c r="F62" i="133"/>
  <c r="H62" i="133" s="1"/>
  <c r="I62" i="133" s="1"/>
  <c r="T23" i="193" s="1"/>
  <c r="T61" i="133"/>
  <c r="F61" i="133"/>
  <c r="H61" i="133" s="1"/>
  <c r="I61" i="133" s="1"/>
  <c r="T22" i="193" s="1"/>
  <c r="T60" i="133"/>
  <c r="F60" i="133"/>
  <c r="H60" i="133" s="1"/>
  <c r="I60" i="133" s="1"/>
  <c r="T21" i="193" s="1"/>
  <c r="T59" i="133"/>
  <c r="F59" i="133"/>
  <c r="H59" i="133" s="1"/>
  <c r="I59" i="133" s="1"/>
  <c r="T20" i="193" s="1"/>
  <c r="T58" i="133"/>
  <c r="F58" i="133"/>
  <c r="H58" i="133" s="1"/>
  <c r="I58" i="133" s="1"/>
  <c r="T19" i="193" s="1"/>
  <c r="T57" i="133"/>
  <c r="F57" i="133"/>
  <c r="H57" i="133" s="1"/>
  <c r="I57" i="133" s="1"/>
  <c r="T18" i="193" s="1"/>
  <c r="T56" i="133"/>
  <c r="F56" i="133"/>
  <c r="H56" i="133" s="1"/>
  <c r="I56" i="133" s="1"/>
  <c r="T17" i="193" s="1"/>
  <c r="T55" i="133"/>
  <c r="F55" i="133"/>
  <c r="H55" i="133" s="1"/>
  <c r="I55" i="133" s="1"/>
  <c r="T16" i="193" s="1"/>
  <c r="T54" i="133"/>
  <c r="F54" i="133"/>
  <c r="H54" i="133" s="1"/>
  <c r="I54" i="133" s="1"/>
  <c r="T15" i="193" s="1"/>
  <c r="T53" i="133"/>
  <c r="F53" i="133"/>
  <c r="H53" i="133" s="1"/>
  <c r="I53" i="133" s="1"/>
  <c r="T14" i="193" s="1"/>
  <c r="T52" i="133"/>
  <c r="F52" i="133"/>
  <c r="H52" i="133" s="1"/>
  <c r="I52" i="133" s="1"/>
  <c r="T13" i="193" s="1"/>
  <c r="T51" i="133"/>
  <c r="F51" i="133"/>
  <c r="H51" i="133" s="1"/>
  <c r="I51" i="133" s="1"/>
  <c r="T12" i="193" s="1"/>
  <c r="T50" i="133"/>
  <c r="F50" i="133"/>
  <c r="H50" i="133" s="1"/>
  <c r="I50" i="133" s="1"/>
  <c r="T11" i="193" s="1"/>
  <c r="T49" i="133"/>
  <c r="F49" i="133"/>
  <c r="H49" i="133" s="1"/>
  <c r="I49" i="133" s="1"/>
  <c r="T10" i="193" s="1"/>
  <c r="T48" i="133"/>
  <c r="F48" i="133"/>
  <c r="H48" i="133" s="1"/>
  <c r="I48" i="133" s="1"/>
  <c r="T9" i="193" s="1"/>
  <c r="F47" i="133"/>
  <c r="F46" i="133"/>
  <c r="F45" i="133"/>
  <c r="F44" i="133"/>
  <c r="AB90" i="131"/>
  <c r="T89" i="131"/>
  <c r="T88" i="131"/>
  <c r="T87" i="131"/>
  <c r="N87" i="131"/>
  <c r="T86" i="131"/>
  <c r="O86" i="131"/>
  <c r="N86" i="131" s="1"/>
  <c r="T85" i="131"/>
  <c r="N85" i="131"/>
  <c r="T84" i="131"/>
  <c r="O84" i="131"/>
  <c r="N84" i="131" s="1"/>
  <c r="T83" i="131"/>
  <c r="N83" i="131"/>
  <c r="I83" i="131"/>
  <c r="T82" i="131"/>
  <c r="O82" i="131"/>
  <c r="N82" i="131" s="1"/>
  <c r="I82" i="131"/>
  <c r="T81" i="131"/>
  <c r="N81" i="131"/>
  <c r="I81" i="131"/>
  <c r="T80" i="131"/>
  <c r="O80" i="131"/>
  <c r="N80" i="131" s="1"/>
  <c r="I80" i="131"/>
  <c r="T79" i="131"/>
  <c r="N79" i="131"/>
  <c r="I79" i="131"/>
  <c r="T78" i="131"/>
  <c r="O78" i="131"/>
  <c r="N78" i="131" s="1"/>
  <c r="L78" i="131"/>
  <c r="I78" i="131" s="1"/>
  <c r="F78" i="131"/>
  <c r="H78" i="131" s="1"/>
  <c r="T77" i="131"/>
  <c r="N77" i="131"/>
  <c r="L77" i="131"/>
  <c r="I77" i="131" s="1"/>
  <c r="F77" i="131"/>
  <c r="H77" i="131" s="1"/>
  <c r="T76" i="131"/>
  <c r="L76" i="131"/>
  <c r="I76" i="131" s="1"/>
  <c r="F76" i="131"/>
  <c r="H76" i="131" s="1"/>
  <c r="T75" i="131"/>
  <c r="O75" i="131"/>
  <c r="O76" i="131" s="1"/>
  <c r="N76" i="131" s="1"/>
  <c r="L75" i="131"/>
  <c r="I75" i="131" s="1"/>
  <c r="F75" i="131"/>
  <c r="H75" i="131" s="1"/>
  <c r="T74" i="131"/>
  <c r="N74" i="131"/>
  <c r="L74" i="131"/>
  <c r="F74" i="131"/>
  <c r="H74" i="131" s="1"/>
  <c r="I74" i="131" s="1"/>
  <c r="T73" i="131"/>
  <c r="L73" i="131"/>
  <c r="F73" i="131"/>
  <c r="H73" i="131" s="1"/>
  <c r="I73" i="131" s="1"/>
  <c r="T72" i="131"/>
  <c r="L72" i="131"/>
  <c r="F72" i="131"/>
  <c r="H72" i="131" s="1"/>
  <c r="I72" i="131" s="1"/>
  <c r="T71" i="131"/>
  <c r="L71" i="131"/>
  <c r="F71" i="131"/>
  <c r="H71" i="131" s="1"/>
  <c r="I71" i="131" s="1"/>
  <c r="T70" i="131"/>
  <c r="L70" i="131"/>
  <c r="F70" i="131"/>
  <c r="H70" i="131" s="1"/>
  <c r="I70" i="131" s="1"/>
  <c r="T69" i="131"/>
  <c r="L69" i="131"/>
  <c r="F69" i="131"/>
  <c r="H69" i="131" s="1"/>
  <c r="I69" i="131" s="1"/>
  <c r="T68" i="131"/>
  <c r="F68" i="131"/>
  <c r="H68" i="131" s="1"/>
  <c r="I68" i="131" s="1"/>
  <c r="T67" i="131"/>
  <c r="F67" i="131"/>
  <c r="H67" i="131" s="1"/>
  <c r="I67" i="131" s="1"/>
  <c r="T66" i="131"/>
  <c r="F66" i="131"/>
  <c r="H66" i="131" s="1"/>
  <c r="I66" i="131" s="1"/>
  <c r="T65" i="131"/>
  <c r="F65" i="131"/>
  <c r="H65" i="131" s="1"/>
  <c r="I65" i="131" s="1"/>
  <c r="T64" i="131"/>
  <c r="F64" i="131"/>
  <c r="H64" i="131" s="1"/>
  <c r="I64" i="131" s="1"/>
  <c r="T63" i="131"/>
  <c r="F63" i="131"/>
  <c r="H63" i="131" s="1"/>
  <c r="I63" i="131" s="1"/>
  <c r="T62" i="131"/>
  <c r="F62" i="131"/>
  <c r="H62" i="131" s="1"/>
  <c r="I62" i="131" s="1"/>
  <c r="T61" i="131"/>
  <c r="F61" i="131"/>
  <c r="H61" i="131" s="1"/>
  <c r="I61" i="131" s="1"/>
  <c r="T60" i="131"/>
  <c r="F60" i="131"/>
  <c r="H60" i="131" s="1"/>
  <c r="I60" i="131" s="1"/>
  <c r="T59" i="131"/>
  <c r="F59" i="131"/>
  <c r="H59" i="131" s="1"/>
  <c r="I59" i="131" s="1"/>
  <c r="T58" i="131"/>
  <c r="F58" i="131"/>
  <c r="H58" i="131" s="1"/>
  <c r="I58" i="131" s="1"/>
  <c r="T57" i="131"/>
  <c r="F57" i="131"/>
  <c r="H57" i="131" s="1"/>
  <c r="I57" i="131" s="1"/>
  <c r="T56" i="131"/>
  <c r="F56" i="131"/>
  <c r="H56" i="131" s="1"/>
  <c r="I56" i="131" s="1"/>
  <c r="T55" i="131"/>
  <c r="F55" i="131"/>
  <c r="H55" i="131" s="1"/>
  <c r="I55" i="131" s="1"/>
  <c r="T54" i="131"/>
  <c r="F54" i="131"/>
  <c r="H54" i="131" s="1"/>
  <c r="I54" i="131" s="1"/>
  <c r="T53" i="131"/>
  <c r="F53" i="131"/>
  <c r="H53" i="131" s="1"/>
  <c r="I53" i="131" s="1"/>
  <c r="T52" i="131"/>
  <c r="F52" i="131"/>
  <c r="H52" i="131" s="1"/>
  <c r="I52" i="131" s="1"/>
  <c r="T51" i="131"/>
  <c r="F51" i="131"/>
  <c r="H51" i="131" s="1"/>
  <c r="I51" i="131" s="1"/>
  <c r="T50" i="131"/>
  <c r="F50" i="131"/>
  <c r="H50" i="131" s="1"/>
  <c r="I50" i="131" s="1"/>
  <c r="T49" i="131"/>
  <c r="F49" i="131"/>
  <c r="H49" i="131" s="1"/>
  <c r="I49" i="131" s="1"/>
  <c r="T48" i="131"/>
  <c r="F48" i="131"/>
  <c r="H48" i="131" s="1"/>
  <c r="I48" i="131" s="1"/>
  <c r="F47" i="131"/>
  <c r="F46" i="131"/>
  <c r="F45" i="131"/>
  <c r="F44" i="131"/>
  <c r="AB90" i="129"/>
  <c r="AO90" i="129" s="1"/>
  <c r="S89" i="129"/>
  <c r="I89" i="129"/>
  <c r="S88" i="129"/>
  <c r="I88" i="129"/>
  <c r="S87" i="129"/>
  <c r="M87" i="129"/>
  <c r="I87" i="129"/>
  <c r="S86" i="129"/>
  <c r="N86" i="129"/>
  <c r="M86" i="129" s="1"/>
  <c r="I86" i="129"/>
  <c r="S85" i="129"/>
  <c r="M85" i="129"/>
  <c r="I85" i="129"/>
  <c r="S84" i="129"/>
  <c r="N84" i="129"/>
  <c r="M84" i="129" s="1"/>
  <c r="I84" i="129"/>
  <c r="S83" i="129"/>
  <c r="M83" i="129"/>
  <c r="I83" i="129"/>
  <c r="S82" i="129"/>
  <c r="N82" i="129"/>
  <c r="M82" i="129" s="1"/>
  <c r="I82" i="129"/>
  <c r="S81" i="129"/>
  <c r="M81" i="129"/>
  <c r="I81" i="129"/>
  <c r="S80" i="129"/>
  <c r="N80" i="129"/>
  <c r="M80" i="129" s="1"/>
  <c r="I80" i="129"/>
  <c r="S79" i="129"/>
  <c r="M79" i="129"/>
  <c r="I79" i="129"/>
  <c r="S78" i="129"/>
  <c r="N78" i="129"/>
  <c r="M78" i="129" s="1"/>
  <c r="K78" i="129"/>
  <c r="I78" i="129" s="1"/>
  <c r="F78" i="129"/>
  <c r="H78" i="129" s="1"/>
  <c r="S77" i="129"/>
  <c r="M77" i="129"/>
  <c r="K77" i="129"/>
  <c r="I77" i="129" s="1"/>
  <c r="F77" i="129"/>
  <c r="H77" i="129" s="1"/>
  <c r="S76" i="129"/>
  <c r="K76" i="129"/>
  <c r="I76" i="129" s="1"/>
  <c r="F76" i="129"/>
  <c r="H76" i="129" s="1"/>
  <c r="S75" i="129"/>
  <c r="N75" i="129"/>
  <c r="N76" i="129" s="1"/>
  <c r="M76" i="129" s="1"/>
  <c r="K75" i="129"/>
  <c r="F75" i="129"/>
  <c r="H75" i="129" s="1"/>
  <c r="I75" i="129" s="1"/>
  <c r="S74" i="129"/>
  <c r="M74" i="129"/>
  <c r="K74" i="129"/>
  <c r="F74" i="129"/>
  <c r="H74" i="129" s="1"/>
  <c r="I74" i="129" s="1"/>
  <c r="S73" i="129"/>
  <c r="K73" i="129"/>
  <c r="F73" i="129"/>
  <c r="H73" i="129" s="1"/>
  <c r="I73" i="129" s="1"/>
  <c r="S72" i="129"/>
  <c r="K72" i="129"/>
  <c r="F72" i="129"/>
  <c r="H72" i="129" s="1"/>
  <c r="I72" i="129" s="1"/>
  <c r="S71" i="129"/>
  <c r="K71" i="129"/>
  <c r="F71" i="129"/>
  <c r="H71" i="129" s="1"/>
  <c r="I71" i="129" s="1"/>
  <c r="S70" i="129"/>
  <c r="K70" i="129"/>
  <c r="F70" i="129"/>
  <c r="H70" i="129" s="1"/>
  <c r="I70" i="129" s="1"/>
  <c r="S69" i="129"/>
  <c r="K69" i="129"/>
  <c r="F69" i="129"/>
  <c r="H69" i="129" s="1"/>
  <c r="I69" i="129" s="1"/>
  <c r="S68" i="129"/>
  <c r="F68" i="129"/>
  <c r="H68" i="129" s="1"/>
  <c r="I68" i="129" s="1"/>
  <c r="S67" i="129"/>
  <c r="F67" i="129"/>
  <c r="H67" i="129" s="1"/>
  <c r="I67" i="129" s="1"/>
  <c r="S66" i="129"/>
  <c r="F66" i="129"/>
  <c r="H66" i="129" s="1"/>
  <c r="I66" i="129" s="1"/>
  <c r="S65" i="129"/>
  <c r="F65" i="129"/>
  <c r="H65" i="129" s="1"/>
  <c r="I65" i="129" s="1"/>
  <c r="S64" i="129"/>
  <c r="F64" i="129"/>
  <c r="H64" i="129" s="1"/>
  <c r="I64" i="129" s="1"/>
  <c r="S63" i="129"/>
  <c r="F63" i="129"/>
  <c r="H63" i="129" s="1"/>
  <c r="I63" i="129" s="1"/>
  <c r="S62" i="129"/>
  <c r="F62" i="129"/>
  <c r="H62" i="129" s="1"/>
  <c r="I62" i="129" s="1"/>
  <c r="S61" i="129"/>
  <c r="F61" i="129"/>
  <c r="H61" i="129" s="1"/>
  <c r="I61" i="129" s="1"/>
  <c r="S60" i="129"/>
  <c r="F60" i="129"/>
  <c r="H60" i="129" s="1"/>
  <c r="I60" i="129" s="1"/>
  <c r="S59" i="129"/>
  <c r="F59" i="129"/>
  <c r="H59" i="129" s="1"/>
  <c r="I59" i="129" s="1"/>
  <c r="S58" i="129"/>
  <c r="F58" i="129"/>
  <c r="H58" i="129" s="1"/>
  <c r="I58" i="129" s="1"/>
  <c r="S57" i="129"/>
  <c r="F57" i="129"/>
  <c r="H57" i="129" s="1"/>
  <c r="I57" i="129" s="1"/>
  <c r="S56" i="129"/>
  <c r="F56" i="129"/>
  <c r="H56" i="129" s="1"/>
  <c r="I56" i="129" s="1"/>
  <c r="S55" i="129"/>
  <c r="F55" i="129"/>
  <c r="H55" i="129" s="1"/>
  <c r="I55" i="129" s="1"/>
  <c r="S54" i="129"/>
  <c r="F54" i="129"/>
  <c r="H54" i="129" s="1"/>
  <c r="I54" i="129" s="1"/>
  <c r="S53" i="129"/>
  <c r="F53" i="129"/>
  <c r="H53" i="129" s="1"/>
  <c r="I53" i="129" s="1"/>
  <c r="S52" i="129"/>
  <c r="F52" i="129"/>
  <c r="H52" i="129" s="1"/>
  <c r="I52" i="129" s="1"/>
  <c r="S51" i="129"/>
  <c r="AY51" i="129" s="1"/>
  <c r="F51" i="129"/>
  <c r="H51" i="129" s="1"/>
  <c r="I51" i="129" s="1"/>
  <c r="S50" i="129"/>
  <c r="AY50" i="129" s="1"/>
  <c r="F50" i="129"/>
  <c r="H50" i="129" s="1"/>
  <c r="I50" i="129" s="1"/>
  <c r="S49" i="129"/>
  <c r="AY49" i="129" s="1"/>
  <c r="F49" i="129"/>
  <c r="H49" i="129" s="1"/>
  <c r="I49" i="129" s="1"/>
  <c r="S48" i="129"/>
  <c r="AY48" i="129" s="1"/>
  <c r="F48" i="129"/>
  <c r="H48" i="129" s="1"/>
  <c r="I48" i="129" s="1"/>
  <c r="S47" i="129"/>
  <c r="AY47" i="129" s="1"/>
  <c r="F47" i="129"/>
  <c r="H47" i="129" s="1"/>
  <c r="I47" i="129" s="1"/>
  <c r="S46" i="129"/>
  <c r="AY46" i="129" s="1"/>
  <c r="F46" i="129"/>
  <c r="H46" i="129" s="1"/>
  <c r="I46" i="129" s="1"/>
  <c r="S45" i="129"/>
  <c r="AY45" i="129" s="1"/>
  <c r="F45" i="129"/>
  <c r="H45" i="129" s="1"/>
  <c r="I45" i="129" s="1"/>
  <c r="S44" i="129"/>
  <c r="F44" i="129"/>
  <c r="H44" i="129" s="1"/>
  <c r="I44" i="129" s="1"/>
  <c r="H99" i="4"/>
  <c r="AO78" i="1"/>
  <c r="AO77" i="1"/>
  <c r="AN79" i="1"/>
  <c r="AO79" i="1" s="1"/>
  <c r="AH80" i="1"/>
  <c r="AY80" i="1" s="1"/>
  <c r="AZ80" i="1" s="1"/>
  <c r="AH81" i="1"/>
  <c r="AY81" i="1" s="1"/>
  <c r="AZ81" i="1" s="1"/>
  <c r="AH82" i="1"/>
  <c r="AY82" i="1" s="1"/>
  <c r="AZ82" i="1" s="1"/>
  <c r="AH83" i="1"/>
  <c r="AY83" i="1" s="1"/>
  <c r="AZ83" i="1" s="1"/>
  <c r="AH84" i="1"/>
  <c r="AY84" i="1" s="1"/>
  <c r="AZ84" i="1" s="1"/>
  <c r="AH85" i="1"/>
  <c r="AY85" i="1" s="1"/>
  <c r="AZ85" i="1" s="1"/>
  <c r="AH86" i="1"/>
  <c r="AY86" i="1" s="1"/>
  <c r="AZ86" i="1" s="1"/>
  <c r="AH87" i="1"/>
  <c r="AY87" i="1" s="1"/>
  <c r="AZ87" i="1" s="1"/>
  <c r="AH88" i="1"/>
  <c r="AY88" i="1" s="1"/>
  <c r="AZ88" i="1" s="1"/>
  <c r="AH89" i="1"/>
  <c r="AY89" i="1" s="1"/>
  <c r="AZ89" i="1" s="1"/>
  <c r="AH79" i="1"/>
  <c r="AY79" i="1" s="1"/>
  <c r="AZ79" i="1" s="1"/>
  <c r="AN80" i="1"/>
  <c r="AO80" i="1" s="1"/>
  <c r="AN81" i="1"/>
  <c r="AO81" i="1" s="1"/>
  <c r="AN82" i="1"/>
  <c r="AO82" i="1" s="1"/>
  <c r="AN83" i="1"/>
  <c r="AO83" i="1" s="1"/>
  <c r="AN84" i="1"/>
  <c r="AO84" i="1" s="1"/>
  <c r="AN85" i="1"/>
  <c r="AO85" i="1" s="1"/>
  <c r="AN86" i="1"/>
  <c r="AO86" i="1" s="1"/>
  <c r="AN87" i="1"/>
  <c r="AO87" i="1" s="1"/>
  <c r="AN88" i="1"/>
  <c r="AO88" i="1" s="1"/>
  <c r="AN89" i="1"/>
  <c r="AO89" i="1" s="1"/>
  <c r="Y58" i="104"/>
  <c r="AO58" i="104" s="1"/>
  <c r="Y59" i="104"/>
  <c r="AO59" i="104" s="1"/>
  <c r="Y60" i="104"/>
  <c r="AO60" i="104" s="1"/>
  <c r="Y61" i="104"/>
  <c r="AO61" i="104" s="1"/>
  <c r="Y62" i="104"/>
  <c r="AO62" i="104" s="1"/>
  <c r="Y63" i="104"/>
  <c r="AO63" i="104" s="1"/>
  <c r="Y64" i="104"/>
  <c r="AO64" i="104" s="1"/>
  <c r="Y65" i="104"/>
  <c r="AO65" i="104" s="1"/>
  <c r="Y66" i="104"/>
  <c r="AO66" i="104" s="1"/>
  <c r="Y67" i="104"/>
  <c r="AO67" i="104" s="1"/>
  <c r="Y68" i="104"/>
  <c r="AO68" i="104" s="1"/>
  <c r="Y69" i="104"/>
  <c r="AO69" i="104" s="1"/>
  <c r="Y70" i="104"/>
  <c r="AO70" i="104" s="1"/>
  <c r="Y71" i="104"/>
  <c r="AO71" i="104" s="1"/>
  <c r="Y72" i="104"/>
  <c r="AO72" i="104" s="1"/>
  <c r="Y73" i="104"/>
  <c r="AO73" i="104" s="1"/>
  <c r="Y74" i="104"/>
  <c r="AO74" i="104" s="1"/>
  <c r="Y75" i="104"/>
  <c r="AO75" i="104" s="1"/>
  <c r="Y76" i="104"/>
  <c r="AO76" i="104" s="1"/>
  <c r="Y77" i="104"/>
  <c r="AO77" i="104" s="1"/>
  <c r="Y78" i="104"/>
  <c r="AO78" i="104" s="1"/>
  <c r="Y79" i="104"/>
  <c r="AO79" i="104" s="1"/>
  <c r="Y80" i="104"/>
  <c r="AO80" i="104" s="1"/>
  <c r="Y81" i="104"/>
  <c r="AO81" i="104" s="1"/>
  <c r="Y82" i="104"/>
  <c r="AO82" i="104" s="1"/>
  <c r="Y83" i="104"/>
  <c r="AO83" i="104" s="1"/>
  <c r="Y84" i="104"/>
  <c r="AO84" i="104" s="1"/>
  <c r="Y85" i="104"/>
  <c r="AO85" i="104" s="1"/>
  <c r="Y86" i="104"/>
  <c r="AO86" i="104" s="1"/>
  <c r="Y87" i="104"/>
  <c r="AO87" i="104" s="1"/>
  <c r="Y88" i="104"/>
  <c r="AO88" i="104" s="1"/>
  <c r="Y89" i="104"/>
  <c r="Y57" i="104"/>
  <c r="AO57" i="104" s="1"/>
  <c r="N80" i="104"/>
  <c r="N82" i="104"/>
  <c r="AN70" i="103"/>
  <c r="AN71" i="103"/>
  <c r="AN72" i="103"/>
  <c r="AN73" i="103"/>
  <c r="AN74" i="103"/>
  <c r="AN75" i="103"/>
  <c r="AN76" i="103"/>
  <c r="AN77" i="103"/>
  <c r="AN78" i="103"/>
  <c r="AN79" i="103"/>
  <c r="AN80" i="103"/>
  <c r="AN81" i="103"/>
  <c r="AN82" i="103"/>
  <c r="AN83" i="103"/>
  <c r="AN84" i="103"/>
  <c r="AN85" i="103"/>
  <c r="AN86" i="103"/>
  <c r="AN87" i="103"/>
  <c r="AN88" i="103"/>
  <c r="Y88" i="103" s="1"/>
  <c r="AR88" i="103" s="1"/>
  <c r="AN89" i="103"/>
  <c r="Y89" i="103" s="1"/>
  <c r="AN69" i="103"/>
  <c r="Y69" i="103" s="1"/>
  <c r="AR69" i="103" s="1"/>
  <c r="Y59" i="102"/>
  <c r="AO59" i="102" s="1"/>
  <c r="Y60" i="102"/>
  <c r="AO60" i="102" s="1"/>
  <c r="Y61" i="102"/>
  <c r="AO61" i="102" s="1"/>
  <c r="Y62" i="102"/>
  <c r="AO62" i="102" s="1"/>
  <c r="Y63" i="102"/>
  <c r="AO63" i="102" s="1"/>
  <c r="Y64" i="102"/>
  <c r="AO64" i="102" s="1"/>
  <c r="Y65" i="102"/>
  <c r="AO65" i="102" s="1"/>
  <c r="Y66" i="102"/>
  <c r="AO66" i="102" s="1"/>
  <c r="Y67" i="102"/>
  <c r="AO67" i="102" s="1"/>
  <c r="Y68" i="102"/>
  <c r="AO68" i="102" s="1"/>
  <c r="Y69" i="102"/>
  <c r="AO69" i="102" s="1"/>
  <c r="Y70" i="102"/>
  <c r="AO70" i="102" s="1"/>
  <c r="Y71" i="102"/>
  <c r="AO71" i="102" s="1"/>
  <c r="Y72" i="102"/>
  <c r="AO72" i="102" s="1"/>
  <c r="Y73" i="102"/>
  <c r="AO73" i="102" s="1"/>
  <c r="Y74" i="102"/>
  <c r="AO74" i="102" s="1"/>
  <c r="Y75" i="102"/>
  <c r="AO75" i="102" s="1"/>
  <c r="Y76" i="102"/>
  <c r="AO76" i="102" s="1"/>
  <c r="Y77" i="102"/>
  <c r="AO77" i="102" s="1"/>
  <c r="Y78" i="102"/>
  <c r="AO78" i="102" s="1"/>
  <c r="Y79" i="102"/>
  <c r="AO79" i="102" s="1"/>
  <c r="Y80" i="102"/>
  <c r="AO80" i="102" s="1"/>
  <c r="Y81" i="102"/>
  <c r="AO81" i="102" s="1"/>
  <c r="Y82" i="102"/>
  <c r="AO82" i="102" s="1"/>
  <c r="Y83" i="102"/>
  <c r="AO83" i="102" s="1"/>
  <c r="Y84" i="102"/>
  <c r="AO84" i="102" s="1"/>
  <c r="Y85" i="102"/>
  <c r="AO85" i="102" s="1"/>
  <c r="Y86" i="102"/>
  <c r="AO86" i="102" s="1"/>
  <c r="Y87" i="102"/>
  <c r="AO87" i="102" s="1"/>
  <c r="Y88" i="102"/>
  <c r="AO88" i="102" s="1"/>
  <c r="Y58" i="102"/>
  <c r="AO58" i="102" s="1"/>
  <c r="AR54" i="101"/>
  <c r="Y54" i="101" s="1"/>
  <c r="AW54" i="101" s="1"/>
  <c r="AR55" i="101"/>
  <c r="Y55" i="101" s="1"/>
  <c r="AW55" i="101" s="1"/>
  <c r="AR56" i="101"/>
  <c r="Y56" i="101" s="1"/>
  <c r="AW56" i="101" s="1"/>
  <c r="AR57" i="101"/>
  <c r="Y57" i="101" s="1"/>
  <c r="AW57" i="101" s="1"/>
  <c r="AR58" i="101"/>
  <c r="Y58" i="101" s="1"/>
  <c r="AW58" i="101" s="1"/>
  <c r="AR59" i="101"/>
  <c r="Y59" i="101" s="1"/>
  <c r="AW59" i="101" s="1"/>
  <c r="AR60" i="101"/>
  <c r="AR61" i="101"/>
  <c r="Y61" i="101" s="1"/>
  <c r="AW61" i="101" s="1"/>
  <c r="AR62" i="101"/>
  <c r="Y62" i="101" s="1"/>
  <c r="AW62" i="101" s="1"/>
  <c r="AR63" i="101"/>
  <c r="Y63" i="101" s="1"/>
  <c r="AW63" i="101" s="1"/>
  <c r="AR64" i="101"/>
  <c r="Y64" i="101" s="1"/>
  <c r="AW64" i="101" s="1"/>
  <c r="AR65" i="101"/>
  <c r="Y65" i="101" s="1"/>
  <c r="AW65" i="101" s="1"/>
  <c r="AR66" i="101"/>
  <c r="Y66" i="101" s="1"/>
  <c r="AW66" i="101" s="1"/>
  <c r="AR67" i="101"/>
  <c r="Y67" i="101" s="1"/>
  <c r="AW67" i="101" s="1"/>
  <c r="AR68" i="101"/>
  <c r="Y68" i="101" s="1"/>
  <c r="AW68" i="101" s="1"/>
  <c r="AR69" i="101"/>
  <c r="Y69" i="101" s="1"/>
  <c r="AW69" i="101" s="1"/>
  <c r="AR70" i="101"/>
  <c r="Y70" i="101" s="1"/>
  <c r="AW70" i="101" s="1"/>
  <c r="AR71" i="101"/>
  <c r="Y71" i="101" s="1"/>
  <c r="AW71" i="101" s="1"/>
  <c r="Y72" i="101"/>
  <c r="AW72" i="101" s="1"/>
  <c r="AR73" i="101"/>
  <c r="Y73" i="101" s="1"/>
  <c r="AW73" i="101" s="1"/>
  <c r="AR74" i="101"/>
  <c r="Y74" i="101" s="1"/>
  <c r="AW74" i="101" s="1"/>
  <c r="AR75" i="101"/>
  <c r="Y75" i="101" s="1"/>
  <c r="AW75" i="101" s="1"/>
  <c r="AR76" i="101"/>
  <c r="Y76" i="101" s="1"/>
  <c r="AW76" i="101" s="1"/>
  <c r="AR77" i="101"/>
  <c r="Y77" i="101" s="1"/>
  <c r="AW77" i="101" s="1"/>
  <c r="AR79" i="101"/>
  <c r="AR80" i="101"/>
  <c r="AR81" i="101"/>
  <c r="AR82" i="101"/>
  <c r="AR83" i="101"/>
  <c r="AR84" i="101"/>
  <c r="AR85" i="101"/>
  <c r="AQ49" i="101"/>
  <c r="AE53" i="101"/>
  <c r="N84" i="102"/>
  <c r="X78" i="101"/>
  <c r="AG60" i="101"/>
  <c r="X60" i="101" s="1"/>
  <c r="AG61" i="101"/>
  <c r="X61" i="101" s="1"/>
  <c r="AG62" i="101"/>
  <c r="X62" i="101" s="1"/>
  <c r="AG63" i="101"/>
  <c r="X63" i="101" s="1"/>
  <c r="AG59" i="101"/>
  <c r="X59" i="101" s="1"/>
  <c r="AG45" i="101"/>
  <c r="X45" i="101" s="1"/>
  <c r="AG46" i="101"/>
  <c r="X46" i="101" s="1"/>
  <c r="AG47" i="101"/>
  <c r="X47" i="101" s="1"/>
  <c r="AG48" i="101"/>
  <c r="X48" i="101" s="1"/>
  <c r="AG49" i="101"/>
  <c r="X49" i="101" s="1"/>
  <c r="AG50" i="101"/>
  <c r="X50" i="101" s="1"/>
  <c r="AG51" i="101"/>
  <c r="X51" i="101" s="1"/>
  <c r="AG52" i="101"/>
  <c r="X52" i="101" s="1"/>
  <c r="AG53" i="101"/>
  <c r="X53" i="101" s="1"/>
  <c r="AG54" i="101"/>
  <c r="X54" i="101" s="1"/>
  <c r="AG55" i="101"/>
  <c r="X55" i="101" s="1"/>
  <c r="AG56" i="101"/>
  <c r="X56" i="101" s="1"/>
  <c r="AG57" i="101"/>
  <c r="X57" i="101" s="1"/>
  <c r="AG58" i="101"/>
  <c r="X58" i="101" s="1"/>
  <c r="AG44" i="101"/>
  <c r="X44" i="101" s="1"/>
  <c r="AQ50" i="101"/>
  <c r="AQ51" i="101"/>
  <c r="AQ52" i="101"/>
  <c r="AQ53" i="101"/>
  <c r="AQ54" i="101"/>
  <c r="AQ55" i="101"/>
  <c r="AQ56" i="101"/>
  <c r="AQ58" i="101"/>
  <c r="AQ59" i="101"/>
  <c r="AQ60" i="101"/>
  <c r="AQ61" i="101"/>
  <c r="AQ62" i="101"/>
  <c r="AQ64" i="101"/>
  <c r="AQ65" i="101"/>
  <c r="AQ66" i="101"/>
  <c r="AQ67" i="101"/>
  <c r="AQ68" i="101"/>
  <c r="AQ69" i="101"/>
  <c r="AQ70" i="101"/>
  <c r="AQ71" i="101"/>
  <c r="AQ72" i="101"/>
  <c r="AQ73" i="101"/>
  <c r="AQ74" i="101"/>
  <c r="AQ75" i="101"/>
  <c r="AQ76" i="101"/>
  <c r="AQ77" i="101"/>
  <c r="AQ78" i="101"/>
  <c r="AQ79" i="101"/>
  <c r="AQ80" i="101"/>
  <c r="AQ81" i="101"/>
  <c r="AQ82" i="101"/>
  <c r="AQ83" i="101"/>
  <c r="AQ84" i="101"/>
  <c r="AQ85" i="101"/>
  <c r="AQ88" i="101"/>
  <c r="AR88" i="101" s="1"/>
  <c r="AR89" i="101"/>
  <c r="X45" i="27"/>
  <c r="W122" i="129" l="1"/>
  <c r="AA122" i="129" s="1"/>
  <c r="L6" i="639" s="1"/>
  <c r="W122" i="51"/>
  <c r="W132" i="129"/>
  <c r="AA132" i="129" s="1"/>
  <c r="L16" i="639" s="1"/>
  <c r="AM16" i="639"/>
  <c r="W122" i="3"/>
  <c r="AE122" i="3" s="1"/>
  <c r="W129" i="1"/>
  <c r="AA129" i="1" s="1"/>
  <c r="B13" i="639" s="1"/>
  <c r="AC13" i="639"/>
  <c r="W122" i="21"/>
  <c r="AA122" i="21" s="1"/>
  <c r="K6" i="639" s="1"/>
  <c r="AL6" i="639"/>
  <c r="W122" i="26"/>
  <c r="AA122" i="26" s="1"/>
  <c r="R6" i="639" s="1"/>
  <c r="AS6" i="639"/>
  <c r="W122" i="63"/>
  <c r="AA122" i="63" s="1"/>
  <c r="F6" i="639" s="1"/>
  <c r="AG6" i="639"/>
  <c r="I135" i="4"/>
  <c r="M135" i="4" s="1"/>
  <c r="BH135" i="4"/>
  <c r="J135" i="4"/>
  <c r="N135" i="4" s="1"/>
  <c r="BJ135" i="4"/>
  <c r="H135" i="4"/>
  <c r="L135" i="4" s="1"/>
  <c r="BI135" i="4"/>
  <c r="AY57" i="129"/>
  <c r="AX57" i="129" s="1"/>
  <c r="AY76" i="129"/>
  <c r="AX76" i="129" s="1"/>
  <c r="AY69" i="129"/>
  <c r="AX69" i="129" s="1"/>
  <c r="AY74" i="129"/>
  <c r="AX74" i="129" s="1"/>
  <c r="AY81" i="129"/>
  <c r="AX81" i="129" s="1"/>
  <c r="AY71" i="129"/>
  <c r="AX71" i="129" s="1"/>
  <c r="AY61" i="129"/>
  <c r="AX61" i="129" s="1"/>
  <c r="AY86" i="129"/>
  <c r="AX86" i="129" s="1"/>
  <c r="AY54" i="129"/>
  <c r="AX54" i="129" s="1"/>
  <c r="AY58" i="129"/>
  <c r="AX58" i="129" s="1"/>
  <c r="AY62" i="129"/>
  <c r="AX62" i="129" s="1"/>
  <c r="AY66" i="129"/>
  <c r="AX66" i="129" s="1"/>
  <c r="AY72" i="129"/>
  <c r="AX72" i="129" s="1"/>
  <c r="AY84" i="129"/>
  <c r="AX84" i="129" s="1"/>
  <c r="AY79" i="129"/>
  <c r="AX79" i="129" s="1"/>
  <c r="AY87" i="129"/>
  <c r="AX87" i="129" s="1"/>
  <c r="AY55" i="129"/>
  <c r="AX55" i="129" s="1"/>
  <c r="AY59" i="129"/>
  <c r="AX59" i="129" s="1"/>
  <c r="AY63" i="129"/>
  <c r="AX63" i="129" s="1"/>
  <c r="AY67" i="129"/>
  <c r="AX67" i="129" s="1"/>
  <c r="AY70" i="129"/>
  <c r="AX70" i="129" s="1"/>
  <c r="AY77" i="129"/>
  <c r="AX77" i="129" s="1"/>
  <c r="AY82" i="129"/>
  <c r="AX82" i="129" s="1"/>
  <c r="AY89" i="129"/>
  <c r="G122" i="129" s="1"/>
  <c r="AY65" i="129"/>
  <c r="AX65" i="129" s="1"/>
  <c r="AY73" i="129"/>
  <c r="AX73" i="129" s="1"/>
  <c r="AY75" i="129"/>
  <c r="AX75" i="129" s="1"/>
  <c r="AY85" i="129"/>
  <c r="AX85" i="129" s="1"/>
  <c r="AY88" i="129"/>
  <c r="AX88" i="129" s="1"/>
  <c r="AY83" i="129"/>
  <c r="AX83" i="129" s="1"/>
  <c r="AY53" i="129"/>
  <c r="AX53" i="129" s="1"/>
  <c r="AY78" i="129"/>
  <c r="AX78" i="129" s="1"/>
  <c r="AY44" i="129"/>
  <c r="AX44" i="129" s="1"/>
  <c r="AY52" i="129"/>
  <c r="AX52" i="129" s="1"/>
  <c r="AY56" i="129"/>
  <c r="AX56" i="129" s="1"/>
  <c r="AY60" i="129"/>
  <c r="AX60" i="129" s="1"/>
  <c r="AY64" i="129"/>
  <c r="AX64" i="129" s="1"/>
  <c r="AY68" i="129"/>
  <c r="AX68" i="129" s="1"/>
  <c r="AY80" i="129"/>
  <c r="AX80" i="129" s="1"/>
  <c r="AR47" i="22"/>
  <c r="N7" i="194" s="1"/>
  <c r="P134" i="129"/>
  <c r="T133" i="129"/>
  <c r="X133" i="129" s="1"/>
  <c r="AB133" i="129" s="1"/>
  <c r="S133" i="129"/>
  <c r="R133" i="129"/>
  <c r="V133" i="129" s="1"/>
  <c r="Z133" i="129" s="1"/>
  <c r="L92" i="639" s="1"/>
  <c r="Y60" i="101"/>
  <c r="AW60" i="101" s="1"/>
  <c r="BO65" i="4"/>
  <c r="BY65" i="4" s="1"/>
  <c r="BO97" i="4"/>
  <c r="BY97" i="4" s="1"/>
  <c r="BO93" i="4"/>
  <c r="BY93" i="4" s="1"/>
  <c r="BO57" i="4"/>
  <c r="BY57" i="4" s="1"/>
  <c r="H46" i="133"/>
  <c r="I46" i="133" s="1"/>
  <c r="T7" i="193" s="1"/>
  <c r="T46" i="133"/>
  <c r="BB46" i="133" s="1"/>
  <c r="BA46" i="133" s="1"/>
  <c r="AV90" i="129"/>
  <c r="AP90" i="129"/>
  <c r="Y85" i="103"/>
  <c r="AR85" i="103" s="1"/>
  <c r="Y77" i="103"/>
  <c r="AR77" i="103" s="1"/>
  <c r="Y84" i="103"/>
  <c r="AR84" i="103" s="1"/>
  <c r="Y83" i="103"/>
  <c r="AR83" i="103" s="1"/>
  <c r="Y75" i="103"/>
  <c r="AR75" i="103" s="1"/>
  <c r="Y82" i="103"/>
  <c r="AR82" i="103" s="1"/>
  <c r="Y74" i="103"/>
  <c r="AR74" i="103" s="1"/>
  <c r="Y76" i="103"/>
  <c r="AR76" i="103" s="1"/>
  <c r="AR89" i="103"/>
  <c r="P122" i="103"/>
  <c r="T122" i="103" s="1"/>
  <c r="X122" i="103" s="1"/>
  <c r="AB122" i="103" s="1"/>
  <c r="Y81" i="103"/>
  <c r="AR81" i="103" s="1"/>
  <c r="Y73" i="103"/>
  <c r="AR73" i="103" s="1"/>
  <c r="Y80" i="103"/>
  <c r="AR80" i="103" s="1"/>
  <c r="Y72" i="103"/>
  <c r="AR72" i="103" s="1"/>
  <c r="Y87" i="103"/>
  <c r="AR87" i="103" s="1"/>
  <c r="Y79" i="103"/>
  <c r="AR79" i="103" s="1"/>
  <c r="Y71" i="103"/>
  <c r="AR71" i="103" s="1"/>
  <c r="Y86" i="103"/>
  <c r="AR86" i="103" s="1"/>
  <c r="Y78" i="103"/>
  <c r="AR78" i="103" s="1"/>
  <c r="Y70" i="103"/>
  <c r="AR70" i="103" s="1"/>
  <c r="P122" i="104"/>
  <c r="T122" i="104" s="1"/>
  <c r="X122" i="104" s="1"/>
  <c r="AB122" i="104" s="1"/>
  <c r="AO89" i="104"/>
  <c r="AC90" i="133"/>
  <c r="AR90" i="133" s="1"/>
  <c r="AY90" i="133" s="1"/>
  <c r="AQ90" i="133"/>
  <c r="N19" i="193"/>
  <c r="N18" i="490" s="1"/>
  <c r="N31" i="193"/>
  <c r="N30" i="490" s="1"/>
  <c r="N43" i="193"/>
  <c r="N42" i="490" s="1"/>
  <c r="N12" i="193"/>
  <c r="N11" i="490" s="1"/>
  <c r="N16" i="193"/>
  <c r="N15" i="490" s="1"/>
  <c r="N20" i="193"/>
  <c r="N19" i="490" s="1"/>
  <c r="N24" i="193"/>
  <c r="N23" i="490" s="1"/>
  <c r="N28" i="193"/>
  <c r="N27" i="490" s="1"/>
  <c r="N34" i="193"/>
  <c r="N33" i="490" s="1"/>
  <c r="N36" i="193"/>
  <c r="N35" i="490" s="1"/>
  <c r="N15" i="193"/>
  <c r="N14" i="490" s="1"/>
  <c r="N38" i="193"/>
  <c r="N37" i="490" s="1"/>
  <c r="N41" i="193"/>
  <c r="N40" i="490" s="1"/>
  <c r="AC90" i="131"/>
  <c r="AR90" i="131" s="1"/>
  <c r="AY90" i="131" s="1"/>
  <c r="AQ90" i="131"/>
  <c r="N9" i="193"/>
  <c r="N8" i="490" s="1"/>
  <c r="N13" i="193"/>
  <c r="N12" i="490" s="1"/>
  <c r="N17" i="193"/>
  <c r="N16" i="490" s="1"/>
  <c r="N21" i="193"/>
  <c r="N20" i="490" s="1"/>
  <c r="N25" i="193"/>
  <c r="N24" i="490" s="1"/>
  <c r="N29" i="193"/>
  <c r="N28" i="490" s="1"/>
  <c r="N32" i="193"/>
  <c r="N31" i="490" s="1"/>
  <c r="N44" i="193"/>
  <c r="N43" i="490" s="1"/>
  <c r="N35" i="193"/>
  <c r="N34" i="490" s="1"/>
  <c r="N39" i="193"/>
  <c r="N38" i="490" s="1"/>
  <c r="N11" i="193"/>
  <c r="N10" i="490" s="1"/>
  <c r="N23" i="193"/>
  <c r="N22" i="490" s="1"/>
  <c r="N10" i="193"/>
  <c r="N9" i="490" s="1"/>
  <c r="N14" i="193"/>
  <c r="N13" i="490" s="1"/>
  <c r="N18" i="193"/>
  <c r="N17" i="490" s="1"/>
  <c r="N22" i="193"/>
  <c r="N21" i="490" s="1"/>
  <c r="N26" i="193"/>
  <c r="N25" i="490" s="1"/>
  <c r="N30" i="193"/>
  <c r="N29" i="490" s="1"/>
  <c r="N37" i="193"/>
  <c r="N36" i="490" s="1"/>
  <c r="N42" i="193"/>
  <c r="N41" i="490" s="1"/>
  <c r="N27" i="193"/>
  <c r="N26" i="490" s="1"/>
  <c r="N40" i="193"/>
  <c r="BC40" i="193" s="1"/>
  <c r="N33" i="193"/>
  <c r="N32" i="490" s="1"/>
  <c r="AD122" i="1"/>
  <c r="AE122" i="1" s="1"/>
  <c r="AF122" i="1" s="1"/>
  <c r="AG122" i="1" s="1"/>
  <c r="Y122" i="1"/>
  <c r="AB129" i="1"/>
  <c r="Z122" i="3"/>
  <c r="AD122" i="3"/>
  <c r="Z122" i="18"/>
  <c r="E81" i="639" s="1"/>
  <c r="AD122" i="18"/>
  <c r="Z129" i="1"/>
  <c r="AB122" i="3"/>
  <c r="AF122" i="3"/>
  <c r="AB122" i="18"/>
  <c r="AF122" i="18"/>
  <c r="AA122" i="18"/>
  <c r="E6" i="639" s="1"/>
  <c r="AE122" i="18"/>
  <c r="AA122" i="27"/>
  <c r="S6" i="639" s="1"/>
  <c r="AA122" i="3"/>
  <c r="Z122" i="27"/>
  <c r="S81" i="639" s="1"/>
  <c r="AB122" i="27"/>
  <c r="BC46" i="193"/>
  <c r="N45" i="490"/>
  <c r="BC49" i="193"/>
  <c r="N48" i="490"/>
  <c r="BC47" i="193"/>
  <c r="N46" i="490"/>
  <c r="BC50" i="193"/>
  <c r="N49" i="490"/>
  <c r="Q4" i="491" s="1"/>
  <c r="BC45" i="193"/>
  <c r="N44" i="490"/>
  <c r="BC48" i="193"/>
  <c r="N47" i="490"/>
  <c r="AA122" i="51"/>
  <c r="Z122" i="51"/>
  <c r="AB122" i="51"/>
  <c r="W122" i="29"/>
  <c r="AA122" i="29" s="1"/>
  <c r="H6" i="639" s="1"/>
  <c r="H47" i="133"/>
  <c r="I47" i="133" s="1"/>
  <c r="T8" i="193" s="1"/>
  <c r="T7" i="490" s="1"/>
  <c r="H44" i="133"/>
  <c r="I44" i="133" s="1"/>
  <c r="T44" i="133"/>
  <c r="BB44" i="133" s="1"/>
  <c r="BA44" i="133" s="1"/>
  <c r="BB79" i="133"/>
  <c r="BA79" i="133" s="1"/>
  <c r="BB87" i="133"/>
  <c r="BA87" i="133" s="1"/>
  <c r="T47" i="133"/>
  <c r="R47" i="133" s="1"/>
  <c r="BB51" i="133"/>
  <c r="BA51" i="133" s="1"/>
  <c r="BB55" i="133"/>
  <c r="BA55" i="133" s="1"/>
  <c r="BB59" i="133"/>
  <c r="BA59" i="133" s="1"/>
  <c r="BB63" i="133"/>
  <c r="BA63" i="133" s="1"/>
  <c r="BB67" i="133"/>
  <c r="BA67" i="133" s="1"/>
  <c r="BB70" i="133"/>
  <c r="BA70" i="133" s="1"/>
  <c r="BB77" i="133"/>
  <c r="BA77" i="133" s="1"/>
  <c r="BB82" i="133"/>
  <c r="BA82" i="133" s="1"/>
  <c r="BB48" i="133"/>
  <c r="BA48" i="133" s="1"/>
  <c r="BB52" i="133"/>
  <c r="BA52" i="133" s="1"/>
  <c r="BB56" i="133"/>
  <c r="BA56" i="133" s="1"/>
  <c r="BB60" i="133"/>
  <c r="BA60" i="133" s="1"/>
  <c r="BB64" i="133"/>
  <c r="BA64" i="133" s="1"/>
  <c r="BB68" i="133"/>
  <c r="BA68" i="133" s="1"/>
  <c r="BB80" i="133"/>
  <c r="BA80" i="133" s="1"/>
  <c r="BB73" i="133"/>
  <c r="BA73" i="133" s="1"/>
  <c r="H45" i="133"/>
  <c r="I45" i="133" s="1"/>
  <c r="BB71" i="133"/>
  <c r="BA71" i="133" s="1"/>
  <c r="BB83" i="133"/>
  <c r="BA83" i="133" s="1"/>
  <c r="BB89" i="133"/>
  <c r="BA89" i="133" s="1"/>
  <c r="T45" i="133"/>
  <c r="R45" i="133" s="1"/>
  <c r="BB49" i="133"/>
  <c r="BA49" i="133" s="1"/>
  <c r="BB53" i="133"/>
  <c r="BA53" i="133" s="1"/>
  <c r="BB57" i="133"/>
  <c r="BA57" i="133" s="1"/>
  <c r="BB61" i="133"/>
  <c r="BA61" i="133" s="1"/>
  <c r="BB65" i="133"/>
  <c r="BA65" i="133" s="1"/>
  <c r="BB76" i="133"/>
  <c r="BA76" i="133" s="1"/>
  <c r="BB78" i="133"/>
  <c r="BA78" i="133" s="1"/>
  <c r="BB86" i="133"/>
  <c r="BA86" i="133" s="1"/>
  <c r="BB88" i="133"/>
  <c r="BA88" i="133" s="1"/>
  <c r="BB69" i="133"/>
  <c r="BA69" i="133" s="1"/>
  <c r="BB74" i="133"/>
  <c r="BA74" i="133" s="1"/>
  <c r="BB81" i="133"/>
  <c r="BA81" i="133" s="1"/>
  <c r="BB75" i="133"/>
  <c r="BA75" i="133" s="1"/>
  <c r="BB85" i="133"/>
  <c r="BA85" i="133" s="1"/>
  <c r="BB50" i="133"/>
  <c r="BA50" i="133" s="1"/>
  <c r="BB54" i="133"/>
  <c r="BA54" i="133" s="1"/>
  <c r="BB58" i="133"/>
  <c r="BA58" i="133" s="1"/>
  <c r="BB62" i="133"/>
  <c r="BA62" i="133" s="1"/>
  <c r="BB66" i="133"/>
  <c r="BA66" i="133" s="1"/>
  <c r="BB72" i="133"/>
  <c r="BA72" i="133" s="1"/>
  <c r="BB84" i="133"/>
  <c r="BA84" i="133" s="1"/>
  <c r="X122" i="101"/>
  <c r="AB122" i="101" s="1"/>
  <c r="V122" i="101"/>
  <c r="Z122" i="101" s="1"/>
  <c r="T81" i="639" s="1"/>
  <c r="W122" i="101"/>
  <c r="AA122" i="101" s="1"/>
  <c r="T6" i="639" s="1"/>
  <c r="P136" i="27"/>
  <c r="BB51" i="131"/>
  <c r="BA51" i="131" s="1"/>
  <c r="BB55" i="131"/>
  <c r="BA55" i="131" s="1"/>
  <c r="BB59" i="131"/>
  <c r="BA59" i="131" s="1"/>
  <c r="BB63" i="131"/>
  <c r="BA63" i="131" s="1"/>
  <c r="BB67" i="131"/>
  <c r="BA67" i="131" s="1"/>
  <c r="BB70" i="131"/>
  <c r="BA70" i="131" s="1"/>
  <c r="BB77" i="131"/>
  <c r="BA77" i="131" s="1"/>
  <c r="BB82" i="131"/>
  <c r="BA82" i="131" s="1"/>
  <c r="BB73" i="131"/>
  <c r="BA73" i="131" s="1"/>
  <c r="BB75" i="131"/>
  <c r="BA75" i="131" s="1"/>
  <c r="BB85" i="131"/>
  <c r="BA85" i="131" s="1"/>
  <c r="BB88" i="131"/>
  <c r="BA88" i="131" s="1"/>
  <c r="BB48" i="131"/>
  <c r="BA48" i="131" s="1"/>
  <c r="BB52" i="131"/>
  <c r="BA52" i="131" s="1"/>
  <c r="BB56" i="131"/>
  <c r="BA56" i="131" s="1"/>
  <c r="BB60" i="131"/>
  <c r="BA60" i="131" s="1"/>
  <c r="BB64" i="131"/>
  <c r="BA64" i="131" s="1"/>
  <c r="BB68" i="131"/>
  <c r="BA68" i="131" s="1"/>
  <c r="BB80" i="131"/>
  <c r="BA80" i="131" s="1"/>
  <c r="BB71" i="131"/>
  <c r="BA71" i="131" s="1"/>
  <c r="BB83" i="131"/>
  <c r="BA83" i="131" s="1"/>
  <c r="BB89" i="131"/>
  <c r="BA89" i="131" s="1"/>
  <c r="BB49" i="131"/>
  <c r="BA49" i="131" s="1"/>
  <c r="BB53" i="131"/>
  <c r="BA53" i="131" s="1"/>
  <c r="BB57" i="131"/>
  <c r="BA57" i="131" s="1"/>
  <c r="BB61" i="131"/>
  <c r="BA61" i="131" s="1"/>
  <c r="BB65" i="131"/>
  <c r="BA65" i="131" s="1"/>
  <c r="BB76" i="131"/>
  <c r="BA76" i="131" s="1"/>
  <c r="BB78" i="131"/>
  <c r="BA78" i="131" s="1"/>
  <c r="BB86" i="131"/>
  <c r="BA86" i="131" s="1"/>
  <c r="BB69" i="131"/>
  <c r="BA69" i="131" s="1"/>
  <c r="BB74" i="131"/>
  <c r="BA74" i="131" s="1"/>
  <c r="BB81" i="131"/>
  <c r="BA81" i="131" s="1"/>
  <c r="BB50" i="131"/>
  <c r="BA50" i="131" s="1"/>
  <c r="BB54" i="131"/>
  <c r="BA54" i="131" s="1"/>
  <c r="BB58" i="131"/>
  <c r="BA58" i="131" s="1"/>
  <c r="BB62" i="131"/>
  <c r="BA62" i="131" s="1"/>
  <c r="BB66" i="131"/>
  <c r="BA66" i="131" s="1"/>
  <c r="BB72" i="131"/>
  <c r="BA72" i="131" s="1"/>
  <c r="BB84" i="131"/>
  <c r="BA84" i="131" s="1"/>
  <c r="BB79" i="131"/>
  <c r="BA79" i="131" s="1"/>
  <c r="BB87" i="131"/>
  <c r="BA87" i="131" s="1"/>
  <c r="Q123" i="323"/>
  <c r="Y90" i="323" s="1"/>
  <c r="Q47" i="129"/>
  <c r="Q51" i="129"/>
  <c r="AX51" i="129"/>
  <c r="Q48" i="129"/>
  <c r="AX48" i="129"/>
  <c r="Q45" i="129"/>
  <c r="AX45" i="129"/>
  <c r="Q49" i="129"/>
  <c r="AX49" i="129"/>
  <c r="Q46" i="129"/>
  <c r="AX46" i="129"/>
  <c r="Q50" i="129"/>
  <c r="AX50" i="129"/>
  <c r="BC31" i="193"/>
  <c r="BC43" i="193"/>
  <c r="BC34" i="193"/>
  <c r="BC36" i="193"/>
  <c r="BC32" i="193"/>
  <c r="BC44" i="193"/>
  <c r="BC35" i="193"/>
  <c r="BC42" i="193"/>
  <c r="BC33" i="193"/>
  <c r="AB45" i="129"/>
  <c r="AO45" i="129" s="1"/>
  <c r="AN45" i="129"/>
  <c r="B45" i="129"/>
  <c r="L5" i="135" s="1"/>
  <c r="AB49" i="129"/>
  <c r="AO49" i="129" s="1"/>
  <c r="L9" i="195" s="1"/>
  <c r="AN49" i="129"/>
  <c r="B49" i="129"/>
  <c r="L9" i="135" s="1"/>
  <c r="AB53" i="129"/>
  <c r="AO53" i="129" s="1"/>
  <c r="AN53" i="129"/>
  <c r="B53" i="129"/>
  <c r="L13" i="135" s="1"/>
  <c r="AB57" i="129"/>
  <c r="AO57" i="129" s="1"/>
  <c r="AN57" i="129"/>
  <c r="B57" i="129"/>
  <c r="L17" i="135" s="1"/>
  <c r="AA74" i="129"/>
  <c r="AB74" i="129" s="1"/>
  <c r="AO74" i="129" s="1"/>
  <c r="AN74" i="129"/>
  <c r="B74" i="129"/>
  <c r="L34" i="135" s="1"/>
  <c r="AA78" i="129"/>
  <c r="AN78" i="129"/>
  <c r="B78" i="129"/>
  <c r="L38" i="135" s="1"/>
  <c r="AA86" i="129"/>
  <c r="AN86" i="129"/>
  <c r="F86" i="129"/>
  <c r="D86" i="129" s="1"/>
  <c r="B86" i="129"/>
  <c r="L46" i="135" s="1"/>
  <c r="AA89" i="129"/>
  <c r="AN89" i="129"/>
  <c r="F89" i="129"/>
  <c r="D89" i="129" s="1"/>
  <c r="B89" i="129"/>
  <c r="L49" i="135" s="1"/>
  <c r="AB61" i="129"/>
  <c r="AO61" i="129" s="1"/>
  <c r="AN61" i="129"/>
  <c r="B61" i="129"/>
  <c r="L21" i="135" s="1"/>
  <c r="AN65" i="129"/>
  <c r="B65" i="129"/>
  <c r="L25" i="135" s="1"/>
  <c r="AA69" i="129"/>
  <c r="AN69" i="129"/>
  <c r="B69" i="129"/>
  <c r="L29" i="135" s="1"/>
  <c r="AA76" i="129"/>
  <c r="AB76" i="129" s="1"/>
  <c r="AO76" i="129" s="1"/>
  <c r="AN76" i="129"/>
  <c r="B76" i="129"/>
  <c r="L36" i="135" s="1"/>
  <c r="AA81" i="129"/>
  <c r="AN81" i="129"/>
  <c r="F81" i="129"/>
  <c r="D81" i="129" s="1"/>
  <c r="B81" i="129"/>
  <c r="L41" i="135" s="1"/>
  <c r="AB46" i="129"/>
  <c r="AO46" i="129" s="1"/>
  <c r="AN46" i="129"/>
  <c r="B46" i="129"/>
  <c r="L6" i="135" s="1"/>
  <c r="AB50" i="129"/>
  <c r="AO50" i="129" s="1"/>
  <c r="AN50" i="129"/>
  <c r="B50" i="129"/>
  <c r="L10" i="135" s="1"/>
  <c r="AB54" i="129"/>
  <c r="AO54" i="129" s="1"/>
  <c r="AN54" i="129"/>
  <c r="B54" i="129"/>
  <c r="L14" i="135" s="1"/>
  <c r="AB58" i="129"/>
  <c r="AO58" i="129" s="1"/>
  <c r="AN58" i="129"/>
  <c r="B58" i="129"/>
  <c r="L18" i="135" s="1"/>
  <c r="AA72" i="129"/>
  <c r="AN72" i="129"/>
  <c r="B72" i="129"/>
  <c r="L32" i="135" s="1"/>
  <c r="AA84" i="129"/>
  <c r="AD84" i="129" s="1"/>
  <c r="AN84" i="129"/>
  <c r="F84" i="129"/>
  <c r="D84" i="129" s="1"/>
  <c r="B84" i="129"/>
  <c r="L44" i="135" s="1"/>
  <c r="AN62" i="129"/>
  <c r="B62" i="129"/>
  <c r="L22" i="135" s="1"/>
  <c r="AN66" i="129"/>
  <c r="B66" i="129"/>
  <c r="L26" i="135" s="1"/>
  <c r="AA79" i="129"/>
  <c r="AN79" i="129"/>
  <c r="F79" i="129"/>
  <c r="D79" i="129" s="1"/>
  <c r="B79" i="129"/>
  <c r="L39" i="135" s="1"/>
  <c r="AA87" i="129"/>
  <c r="AD87" i="129" s="1"/>
  <c r="AN87" i="129"/>
  <c r="F87" i="129"/>
  <c r="D87" i="129" s="1"/>
  <c r="B87" i="129"/>
  <c r="L47" i="135" s="1"/>
  <c r="AB47" i="129"/>
  <c r="AO47" i="129" s="1"/>
  <c r="AN47" i="129"/>
  <c r="AT47" i="129" s="1"/>
  <c r="BF47" i="129" s="1"/>
  <c r="B47" i="129"/>
  <c r="L7" i="135" s="1"/>
  <c r="AB51" i="129"/>
  <c r="AO51" i="129" s="1"/>
  <c r="AN51" i="129"/>
  <c r="B51" i="129"/>
  <c r="L11" i="135" s="1"/>
  <c r="AB55" i="129"/>
  <c r="AO55" i="129" s="1"/>
  <c r="AN55" i="129"/>
  <c r="B55" i="129"/>
  <c r="L15" i="135" s="1"/>
  <c r="AB59" i="129"/>
  <c r="AO59" i="129" s="1"/>
  <c r="AN59" i="129"/>
  <c r="B59" i="129"/>
  <c r="L19" i="135" s="1"/>
  <c r="AN70" i="129"/>
  <c r="B70" i="129"/>
  <c r="L30" i="135" s="1"/>
  <c r="AA75" i="129"/>
  <c r="AN75" i="129"/>
  <c r="B75" i="129"/>
  <c r="L35" i="135" s="1"/>
  <c r="AA77" i="129"/>
  <c r="AB77" i="129" s="1"/>
  <c r="AO77" i="129" s="1"/>
  <c r="AN77" i="129"/>
  <c r="B77" i="129"/>
  <c r="L37" i="135" s="1"/>
  <c r="AA82" i="129"/>
  <c r="AB82" i="129" s="1"/>
  <c r="AO82" i="129" s="1"/>
  <c r="AN82" i="129"/>
  <c r="F82" i="129"/>
  <c r="D82" i="129" s="1"/>
  <c r="B82" i="129"/>
  <c r="L42" i="135" s="1"/>
  <c r="AN63" i="129"/>
  <c r="B63" i="129"/>
  <c r="L23" i="135" s="1"/>
  <c r="AN67" i="129"/>
  <c r="B67" i="129"/>
  <c r="L27" i="135" s="1"/>
  <c r="AA73" i="129"/>
  <c r="AB73" i="129" s="1"/>
  <c r="AO73" i="129" s="1"/>
  <c r="AN73" i="129"/>
  <c r="B73" i="129"/>
  <c r="L33" i="135" s="1"/>
  <c r="AA85" i="129"/>
  <c r="AD85" i="129" s="1"/>
  <c r="AN85" i="129"/>
  <c r="F85" i="129"/>
  <c r="D85" i="129" s="1"/>
  <c r="B85" i="129"/>
  <c r="L45" i="135" s="1"/>
  <c r="AB44" i="129"/>
  <c r="AO44" i="129" s="1"/>
  <c r="AN44" i="129"/>
  <c r="B44" i="129"/>
  <c r="L4" i="135" s="1"/>
  <c r="AB48" i="129"/>
  <c r="AO48" i="129" s="1"/>
  <c r="AN48" i="129"/>
  <c r="B48" i="129"/>
  <c r="L8" i="135" s="1"/>
  <c r="AB52" i="129"/>
  <c r="AO52" i="129" s="1"/>
  <c r="AN52" i="129"/>
  <c r="B52" i="129"/>
  <c r="L12" i="135" s="1"/>
  <c r="AB56" i="129"/>
  <c r="AO56" i="129" s="1"/>
  <c r="AN56" i="129"/>
  <c r="B56" i="129"/>
  <c r="L16" i="135" s="1"/>
  <c r="AB60" i="129"/>
  <c r="AO60" i="129" s="1"/>
  <c r="AN60" i="129"/>
  <c r="B60" i="129"/>
  <c r="L20" i="135" s="1"/>
  <c r="AA80" i="129"/>
  <c r="AN80" i="129"/>
  <c r="F80" i="129"/>
  <c r="D80" i="129" s="1"/>
  <c r="B80" i="129"/>
  <c r="L40" i="135" s="1"/>
  <c r="AA88" i="129"/>
  <c r="AD88" i="129" s="1"/>
  <c r="AN88" i="129"/>
  <c r="F88" i="129"/>
  <c r="D88" i="129" s="1"/>
  <c r="B88" i="129"/>
  <c r="L48" i="135" s="1"/>
  <c r="W123" i="104"/>
  <c r="AA123" i="104" s="1"/>
  <c r="X7" i="639" s="1"/>
  <c r="X123" i="104"/>
  <c r="AB123" i="104" s="1"/>
  <c r="V123" i="104"/>
  <c r="Z123" i="104" s="1"/>
  <c r="X82" i="639" s="1"/>
  <c r="AN64" i="129"/>
  <c r="B64" i="129"/>
  <c r="L24" i="135" s="1"/>
  <c r="AN68" i="129"/>
  <c r="B68" i="129"/>
  <c r="L28" i="135" s="1"/>
  <c r="AN71" i="129"/>
  <c r="B71" i="129"/>
  <c r="L31" i="135" s="1"/>
  <c r="AA83" i="129"/>
  <c r="AN83" i="129"/>
  <c r="F83" i="129"/>
  <c r="D83" i="129" s="1"/>
  <c r="B83" i="129"/>
  <c r="L43" i="135" s="1"/>
  <c r="R122" i="103"/>
  <c r="F123" i="16"/>
  <c r="K123" i="16" s="1"/>
  <c r="O123" i="16" s="1"/>
  <c r="T123" i="16" s="1"/>
  <c r="X123" i="16" s="1"/>
  <c r="R136" i="4"/>
  <c r="V136" i="4" s="1"/>
  <c r="Z136" i="4" s="1"/>
  <c r="G122" i="16"/>
  <c r="L122" i="16" s="1"/>
  <c r="P122" i="16" s="1"/>
  <c r="U122" i="16" s="1"/>
  <c r="Y122" i="16" s="1"/>
  <c r="S135" i="4"/>
  <c r="W135" i="4" s="1"/>
  <c r="AA135" i="4" s="1"/>
  <c r="F122" i="16"/>
  <c r="K122" i="16" s="1"/>
  <c r="O122" i="16" s="1"/>
  <c r="T122" i="16" s="1"/>
  <c r="X122" i="16" s="1"/>
  <c r="R135" i="4"/>
  <c r="V135" i="4" s="1"/>
  <c r="Z135" i="4" s="1"/>
  <c r="G123" i="16"/>
  <c r="L123" i="16" s="1"/>
  <c r="P123" i="16" s="1"/>
  <c r="U123" i="16" s="1"/>
  <c r="Y123" i="16" s="1"/>
  <c r="S136" i="4"/>
  <c r="W136" i="4" s="1"/>
  <c r="AA136" i="4" s="1"/>
  <c r="H123" i="16"/>
  <c r="M123" i="16" s="1"/>
  <c r="Q123" i="16" s="1"/>
  <c r="V123" i="16" s="1"/>
  <c r="Z123" i="16" s="1"/>
  <c r="T136" i="4"/>
  <c r="X136" i="4" s="1"/>
  <c r="AB136" i="4" s="1"/>
  <c r="H122" i="16"/>
  <c r="M122" i="16" s="1"/>
  <c r="Q122" i="16" s="1"/>
  <c r="V122" i="16" s="1"/>
  <c r="Z122" i="16" s="1"/>
  <c r="T135" i="4"/>
  <c r="X135" i="4" s="1"/>
  <c r="AB135" i="4" s="1"/>
  <c r="V122" i="25"/>
  <c r="Z122" i="25" s="1"/>
  <c r="Q81" i="639" s="1"/>
  <c r="C160" i="105"/>
  <c r="B160" i="105"/>
  <c r="K124" i="25"/>
  <c r="Q124" i="25" s="1"/>
  <c r="B161" i="105"/>
  <c r="W124" i="105"/>
  <c r="C161" i="105"/>
  <c r="T122" i="21"/>
  <c r="X122" i="21" s="1"/>
  <c r="AB122" i="21" s="1"/>
  <c r="X122" i="25"/>
  <c r="AB122" i="25" s="1"/>
  <c r="W122" i="25"/>
  <c r="AA122" i="25" s="1"/>
  <c r="Q6" i="639" s="1"/>
  <c r="S122" i="102"/>
  <c r="R122" i="102"/>
  <c r="V122" i="102" s="1"/>
  <c r="Z122" i="102" s="1"/>
  <c r="U81" i="639" s="1"/>
  <c r="Q122" i="102"/>
  <c r="T122" i="102"/>
  <c r="X122" i="102" s="1"/>
  <c r="AB122" i="102" s="1"/>
  <c r="AG64" i="101"/>
  <c r="T6" i="490"/>
  <c r="AC46" i="133"/>
  <c r="AO46" i="133"/>
  <c r="B46" i="133"/>
  <c r="V6" i="135" s="1"/>
  <c r="B47" i="133"/>
  <c r="V7" i="135" s="1"/>
  <c r="T8" i="490"/>
  <c r="AO48" i="133"/>
  <c r="AC48" i="133"/>
  <c r="B48" i="133"/>
  <c r="V8" i="135" s="1"/>
  <c r="T9" i="490"/>
  <c r="B49" i="133"/>
  <c r="V9" i="135" s="1"/>
  <c r="AO49" i="133"/>
  <c r="AC49" i="133"/>
  <c r="T10" i="490"/>
  <c r="AC50" i="133"/>
  <c r="AO50" i="133"/>
  <c r="B50" i="133"/>
  <c r="V10" i="135" s="1"/>
  <c r="T11" i="490"/>
  <c r="AO51" i="133"/>
  <c r="B51" i="133"/>
  <c r="V11" i="135" s="1"/>
  <c r="AC51" i="133"/>
  <c r="T12" i="490"/>
  <c r="AO52" i="133"/>
  <c r="AC52" i="133"/>
  <c r="B52" i="133"/>
  <c r="V12" i="135" s="1"/>
  <c r="T13" i="490"/>
  <c r="B53" i="133"/>
  <c r="V13" i="135" s="1"/>
  <c r="AO53" i="133"/>
  <c r="AC53" i="133"/>
  <c r="T14" i="490"/>
  <c r="AC54" i="133"/>
  <c r="AO54" i="133"/>
  <c r="B54" i="133"/>
  <c r="V14" i="135" s="1"/>
  <c r="T15" i="490"/>
  <c r="AO55" i="133"/>
  <c r="B55" i="133"/>
  <c r="V15" i="135" s="1"/>
  <c r="AC55" i="133"/>
  <c r="T16" i="490"/>
  <c r="AO56" i="133"/>
  <c r="AC56" i="133"/>
  <c r="B56" i="133"/>
  <c r="V16" i="135" s="1"/>
  <c r="T17" i="490"/>
  <c r="B57" i="133"/>
  <c r="V17" i="135" s="1"/>
  <c r="AO57" i="133"/>
  <c r="AC57" i="133"/>
  <c r="T18" i="490"/>
  <c r="AC58" i="133"/>
  <c r="AO58" i="133"/>
  <c r="B58" i="133"/>
  <c r="V18" i="135" s="1"/>
  <c r="T19" i="490"/>
  <c r="AO59" i="133"/>
  <c r="B59" i="133"/>
  <c r="V19" i="135" s="1"/>
  <c r="AC59" i="133"/>
  <c r="T20" i="490"/>
  <c r="AO60" i="133"/>
  <c r="AC60" i="133"/>
  <c r="B60" i="133"/>
  <c r="V20" i="135" s="1"/>
  <c r="T21" i="490"/>
  <c r="B61" i="133"/>
  <c r="V21" i="135" s="1"/>
  <c r="AO61" i="133"/>
  <c r="AC61" i="133"/>
  <c r="T22" i="490"/>
  <c r="AC62" i="133"/>
  <c r="Q62" i="133" s="1"/>
  <c r="AO62" i="133"/>
  <c r="B62" i="133"/>
  <c r="V22" i="135" s="1"/>
  <c r="T23" i="490"/>
  <c r="AO63" i="133"/>
  <c r="B63" i="133"/>
  <c r="V23" i="135" s="1"/>
  <c r="AC63" i="133"/>
  <c r="Q63" i="133" s="1"/>
  <c r="T24" i="490"/>
  <c r="AO64" i="133"/>
  <c r="AC64" i="133"/>
  <c r="B64" i="133"/>
  <c r="V24" i="135" s="1"/>
  <c r="T25" i="490"/>
  <c r="B65" i="133"/>
  <c r="V25" i="135" s="1"/>
  <c r="AO65" i="133"/>
  <c r="AC65" i="133"/>
  <c r="T26" i="490"/>
  <c r="AC66" i="133"/>
  <c r="AO66" i="133"/>
  <c r="B66" i="133"/>
  <c r="V26" i="135" s="1"/>
  <c r="T27" i="490"/>
  <c r="AO67" i="133"/>
  <c r="B67" i="133"/>
  <c r="V27" i="135" s="1"/>
  <c r="AC67" i="133"/>
  <c r="T28" i="490"/>
  <c r="AO68" i="133"/>
  <c r="AC68" i="133"/>
  <c r="B68" i="133"/>
  <c r="V28" i="135" s="1"/>
  <c r="T29" i="490"/>
  <c r="B69" i="133"/>
  <c r="V29" i="135" s="1"/>
  <c r="AO69" i="133"/>
  <c r="AC69" i="133"/>
  <c r="T31" i="490"/>
  <c r="AO71" i="133"/>
  <c r="B71" i="133"/>
  <c r="V31" i="135" s="1"/>
  <c r="AC71" i="133"/>
  <c r="T33" i="490"/>
  <c r="B73" i="133"/>
  <c r="V33" i="135" s="1"/>
  <c r="AO73" i="133"/>
  <c r="AC73" i="133"/>
  <c r="AB75" i="133"/>
  <c r="AQ75" i="133" s="1"/>
  <c r="T35" i="490"/>
  <c r="AO75" i="133"/>
  <c r="B75" i="133"/>
  <c r="V35" i="135" s="1"/>
  <c r="AC75" i="133"/>
  <c r="AB76" i="133"/>
  <c r="AQ76" i="133" s="1"/>
  <c r="T36" i="490"/>
  <c r="AO76" i="133"/>
  <c r="AC76" i="133"/>
  <c r="B76" i="133"/>
  <c r="V36" i="135" s="1"/>
  <c r="AB79" i="133"/>
  <c r="T39" i="490"/>
  <c r="AO79" i="133"/>
  <c r="B79" i="133"/>
  <c r="V39" i="135" s="1"/>
  <c r="F79" i="133"/>
  <c r="D79" i="133" s="1"/>
  <c r="AB81" i="133"/>
  <c r="T41" i="490"/>
  <c r="B81" i="133"/>
  <c r="V41" i="135" s="1"/>
  <c r="F81" i="133"/>
  <c r="D81" i="133" s="1"/>
  <c r="AO81" i="133"/>
  <c r="AB83" i="133"/>
  <c r="T43" i="490"/>
  <c r="AO83" i="133"/>
  <c r="B83" i="133"/>
  <c r="V43" i="135" s="1"/>
  <c r="F83" i="133"/>
  <c r="D83" i="133" s="1"/>
  <c r="AB85" i="133"/>
  <c r="B85" i="133"/>
  <c r="V45" i="135" s="1"/>
  <c r="F85" i="133"/>
  <c r="D85" i="133" s="1"/>
  <c r="AO85" i="133"/>
  <c r="AB87" i="133"/>
  <c r="AO87" i="133"/>
  <c r="B87" i="133"/>
  <c r="V47" i="135" s="1"/>
  <c r="F87" i="133"/>
  <c r="D87" i="133" s="1"/>
  <c r="AB74" i="133"/>
  <c r="AQ74" i="133" s="1"/>
  <c r="T30" i="490"/>
  <c r="AC70" i="133"/>
  <c r="AO70" i="133"/>
  <c r="B70" i="133"/>
  <c r="V30" i="135" s="1"/>
  <c r="T32" i="490"/>
  <c r="AO72" i="133"/>
  <c r="AC72" i="133"/>
  <c r="B72" i="133"/>
  <c r="V32" i="135" s="1"/>
  <c r="T34" i="490"/>
  <c r="AC74" i="133"/>
  <c r="AO74" i="133"/>
  <c r="B74" i="133"/>
  <c r="V34" i="135" s="1"/>
  <c r="T37" i="490"/>
  <c r="B77" i="133"/>
  <c r="V37" i="135" s="1"/>
  <c r="AO77" i="133"/>
  <c r="AC77" i="133"/>
  <c r="T38" i="490"/>
  <c r="AO78" i="133"/>
  <c r="B78" i="133"/>
  <c r="V38" i="135" s="1"/>
  <c r="AB80" i="133"/>
  <c r="T40" i="490"/>
  <c r="AO80" i="133"/>
  <c r="B80" i="133"/>
  <c r="V40" i="135" s="1"/>
  <c r="F80" i="133"/>
  <c r="D80" i="133" s="1"/>
  <c r="AB82" i="133"/>
  <c r="T42" i="490"/>
  <c r="AO82" i="133"/>
  <c r="B82" i="133"/>
  <c r="V42" i="135" s="1"/>
  <c r="F82" i="133"/>
  <c r="D82" i="133" s="1"/>
  <c r="AB84" i="133"/>
  <c r="AO84" i="133"/>
  <c r="B84" i="133"/>
  <c r="V44" i="135" s="1"/>
  <c r="F84" i="133"/>
  <c r="D84" i="133" s="1"/>
  <c r="AB86" i="133"/>
  <c r="AO86" i="133"/>
  <c r="B86" i="133"/>
  <c r="V46" i="135" s="1"/>
  <c r="F86" i="133"/>
  <c r="D86" i="133" s="1"/>
  <c r="AB88" i="133"/>
  <c r="AO88" i="133"/>
  <c r="B88" i="133"/>
  <c r="V48" i="135" s="1"/>
  <c r="F88" i="133"/>
  <c r="D88" i="133" s="1"/>
  <c r="AB89" i="133"/>
  <c r="B89" i="133"/>
  <c r="V49" i="135" s="1"/>
  <c r="F89" i="133"/>
  <c r="D89" i="133" s="1"/>
  <c r="AO89" i="133"/>
  <c r="R48" i="133"/>
  <c r="R49" i="133"/>
  <c r="R50" i="133"/>
  <c r="R51" i="133"/>
  <c r="R52" i="133"/>
  <c r="R53" i="133"/>
  <c r="R54" i="133"/>
  <c r="R55" i="133"/>
  <c r="R56" i="133"/>
  <c r="R57" i="133"/>
  <c r="R58" i="133"/>
  <c r="R59" i="133"/>
  <c r="R60" i="133"/>
  <c r="R61" i="133"/>
  <c r="R62" i="133"/>
  <c r="R63" i="133"/>
  <c r="R64" i="133"/>
  <c r="R65" i="133"/>
  <c r="R66" i="133"/>
  <c r="R67" i="133"/>
  <c r="R68" i="133"/>
  <c r="R70" i="133"/>
  <c r="R72" i="133"/>
  <c r="R76" i="133"/>
  <c r="R77" i="133"/>
  <c r="R78" i="133"/>
  <c r="R80" i="133"/>
  <c r="R82" i="133"/>
  <c r="H82" i="133" s="1"/>
  <c r="R84" i="133"/>
  <c r="R86" i="133"/>
  <c r="H86" i="133" s="1"/>
  <c r="R69" i="133"/>
  <c r="R71" i="133"/>
  <c r="R73" i="133"/>
  <c r="R74" i="133"/>
  <c r="R75" i="133"/>
  <c r="R79" i="133"/>
  <c r="H79" i="133" s="1"/>
  <c r="R81" i="133"/>
  <c r="H81" i="133" s="1"/>
  <c r="R83" i="133"/>
  <c r="R85" i="133"/>
  <c r="R87" i="133"/>
  <c r="R88" i="133"/>
  <c r="R89" i="133"/>
  <c r="H89" i="133" s="1"/>
  <c r="AB70" i="131"/>
  <c r="AB72" i="131"/>
  <c r="AQ72" i="131" s="1"/>
  <c r="AB74" i="131"/>
  <c r="AQ74" i="131" s="1"/>
  <c r="R48" i="131"/>
  <c r="R49" i="131"/>
  <c r="R50" i="131"/>
  <c r="R51" i="131"/>
  <c r="R52" i="131"/>
  <c r="R53" i="131"/>
  <c r="R54" i="131"/>
  <c r="R55" i="131"/>
  <c r="R56" i="131"/>
  <c r="R57" i="131"/>
  <c r="R58" i="131"/>
  <c r="R59" i="131"/>
  <c r="R60" i="131"/>
  <c r="R61" i="131"/>
  <c r="R62" i="131"/>
  <c r="R63" i="131"/>
  <c r="R64" i="131"/>
  <c r="R65" i="131"/>
  <c r="R66" i="131"/>
  <c r="R67" i="131"/>
  <c r="R68" i="131"/>
  <c r="AO70" i="131"/>
  <c r="B70" i="131"/>
  <c r="P30" i="135" s="1"/>
  <c r="AC70" i="131"/>
  <c r="AR70" i="131" s="1"/>
  <c r="R70" i="131"/>
  <c r="AO72" i="131"/>
  <c r="B72" i="131"/>
  <c r="P32" i="135" s="1"/>
  <c r="AC72" i="131"/>
  <c r="AR72" i="131" s="1"/>
  <c r="R72" i="131"/>
  <c r="AO74" i="131"/>
  <c r="B74" i="131"/>
  <c r="P34" i="135" s="1"/>
  <c r="AC74" i="131"/>
  <c r="AR74" i="131" s="1"/>
  <c r="R76" i="131"/>
  <c r="AB77" i="131"/>
  <c r="AQ77" i="131" s="1"/>
  <c r="AO77" i="131"/>
  <c r="B77" i="131"/>
  <c r="P37" i="135" s="1"/>
  <c r="AC77" i="131"/>
  <c r="Q77" i="131" s="1"/>
  <c r="R77" i="131"/>
  <c r="AB78" i="131"/>
  <c r="AQ78" i="131" s="1"/>
  <c r="AO78" i="131"/>
  <c r="B78" i="131"/>
  <c r="P38" i="135" s="1"/>
  <c r="R78" i="131"/>
  <c r="AB80" i="131"/>
  <c r="AO80" i="131"/>
  <c r="B80" i="131"/>
  <c r="P40" i="135" s="1"/>
  <c r="F80" i="131"/>
  <c r="D80" i="131" s="1"/>
  <c r="R80" i="131"/>
  <c r="H80" i="131" s="1"/>
  <c r="AB82" i="131"/>
  <c r="AO82" i="131"/>
  <c r="B82" i="131"/>
  <c r="P42" i="135" s="1"/>
  <c r="F82" i="131"/>
  <c r="D82" i="131" s="1"/>
  <c r="R82" i="131"/>
  <c r="H82" i="131" s="1"/>
  <c r="AB84" i="131"/>
  <c r="AO84" i="131"/>
  <c r="B84" i="131"/>
  <c r="P44" i="135" s="1"/>
  <c r="F84" i="131"/>
  <c r="D84" i="131" s="1"/>
  <c r="R84" i="131"/>
  <c r="H84" i="131" s="1"/>
  <c r="AB86" i="131"/>
  <c r="AO86" i="131"/>
  <c r="B86" i="131"/>
  <c r="P46" i="135" s="1"/>
  <c r="F86" i="131"/>
  <c r="D86" i="131" s="1"/>
  <c r="R86" i="131"/>
  <c r="H86" i="131" s="1"/>
  <c r="AC88" i="131"/>
  <c r="AO88" i="131"/>
  <c r="B88" i="131"/>
  <c r="P48" i="135" s="1"/>
  <c r="F88" i="131"/>
  <c r="D88" i="131" s="1"/>
  <c r="AB89" i="131"/>
  <c r="AO89" i="131"/>
  <c r="F89" i="131"/>
  <c r="D89" i="131" s="1"/>
  <c r="B89" i="131"/>
  <c r="P49" i="135" s="1"/>
  <c r="AB69" i="131"/>
  <c r="AQ69" i="131" s="1"/>
  <c r="AB71" i="131"/>
  <c r="AQ71" i="131" s="1"/>
  <c r="AB73" i="131"/>
  <c r="AQ73" i="131" s="1"/>
  <c r="AO48" i="131"/>
  <c r="B48" i="131"/>
  <c r="P8" i="135" s="1"/>
  <c r="AC48" i="131"/>
  <c r="AC49" i="131"/>
  <c r="Q49" i="131" s="1"/>
  <c r="AO49" i="131"/>
  <c r="B49" i="131"/>
  <c r="P9" i="135" s="1"/>
  <c r="AO50" i="131"/>
  <c r="B50" i="131"/>
  <c r="P10" i="135" s="1"/>
  <c r="AC50" i="131"/>
  <c r="AC51" i="131"/>
  <c r="AO51" i="131"/>
  <c r="B51" i="131"/>
  <c r="P11" i="135" s="1"/>
  <c r="AO52" i="131"/>
  <c r="B52" i="131"/>
  <c r="P12" i="135" s="1"/>
  <c r="AC52" i="131"/>
  <c r="AC53" i="131"/>
  <c r="AO53" i="131"/>
  <c r="B53" i="131"/>
  <c r="P13" i="135" s="1"/>
  <c r="AO54" i="131"/>
  <c r="B54" i="131"/>
  <c r="P14" i="135" s="1"/>
  <c r="AC54" i="131"/>
  <c r="AC55" i="131"/>
  <c r="AO55" i="131"/>
  <c r="B55" i="131"/>
  <c r="P15" i="135" s="1"/>
  <c r="AO56" i="131"/>
  <c r="B56" i="131"/>
  <c r="P16" i="135" s="1"/>
  <c r="AC56" i="131"/>
  <c r="AC57" i="131"/>
  <c r="AO57" i="131"/>
  <c r="B57" i="131"/>
  <c r="P17" i="135" s="1"/>
  <c r="AO58" i="131"/>
  <c r="B58" i="131"/>
  <c r="P18" i="135" s="1"/>
  <c r="AC58" i="131"/>
  <c r="AC59" i="131"/>
  <c r="AO59" i="131"/>
  <c r="B59" i="131"/>
  <c r="P19" i="135" s="1"/>
  <c r="AO60" i="131"/>
  <c r="B60" i="131"/>
  <c r="P20" i="135" s="1"/>
  <c r="AC60" i="131"/>
  <c r="AC61" i="131"/>
  <c r="AO61" i="131"/>
  <c r="B61" i="131"/>
  <c r="P21" i="135" s="1"/>
  <c r="AO62" i="131"/>
  <c r="B62" i="131"/>
  <c r="P22" i="135" s="1"/>
  <c r="AC62" i="131"/>
  <c r="AC63" i="131"/>
  <c r="AO63" i="131"/>
  <c r="B63" i="131"/>
  <c r="P23" i="135" s="1"/>
  <c r="AO64" i="131"/>
  <c r="B64" i="131"/>
  <c r="P24" i="135" s="1"/>
  <c r="AC64" i="131"/>
  <c r="AC65" i="131"/>
  <c r="AO65" i="131"/>
  <c r="B65" i="131"/>
  <c r="P25" i="135" s="1"/>
  <c r="AO66" i="131"/>
  <c r="B66" i="131"/>
  <c r="P26" i="135" s="1"/>
  <c r="AC66" i="131"/>
  <c r="AC67" i="131"/>
  <c r="AO67" i="131"/>
  <c r="B67" i="131"/>
  <c r="P27" i="135" s="1"/>
  <c r="AO68" i="131"/>
  <c r="B68" i="131"/>
  <c r="P28" i="135" s="1"/>
  <c r="AC68" i="131"/>
  <c r="AC69" i="131"/>
  <c r="AR69" i="131" s="1"/>
  <c r="AO69" i="131"/>
  <c r="B69" i="131"/>
  <c r="P29" i="135" s="1"/>
  <c r="R69" i="131"/>
  <c r="AC71" i="131"/>
  <c r="AR71" i="131" s="1"/>
  <c r="AO71" i="131"/>
  <c r="B71" i="131"/>
  <c r="P31" i="135" s="1"/>
  <c r="R71" i="131"/>
  <c r="AO73" i="131"/>
  <c r="B73" i="131"/>
  <c r="P33" i="135" s="1"/>
  <c r="R73" i="131"/>
  <c r="R74" i="131"/>
  <c r="AB75" i="131"/>
  <c r="AQ75" i="131" s="1"/>
  <c r="AO75" i="131"/>
  <c r="B75" i="131"/>
  <c r="P35" i="135" s="1"/>
  <c r="AC75" i="131"/>
  <c r="R75" i="131"/>
  <c r="AB76" i="131"/>
  <c r="AQ76" i="131" s="1"/>
  <c r="AO76" i="131"/>
  <c r="B76" i="131"/>
  <c r="P36" i="135" s="1"/>
  <c r="AC76" i="131"/>
  <c r="AB79" i="131"/>
  <c r="F79" i="131"/>
  <c r="D79" i="131" s="1"/>
  <c r="AO79" i="131"/>
  <c r="B79" i="131"/>
  <c r="P39" i="135" s="1"/>
  <c r="R79" i="131"/>
  <c r="H79" i="131" s="1"/>
  <c r="AB81" i="131"/>
  <c r="F81" i="131"/>
  <c r="D81" i="131" s="1"/>
  <c r="AO81" i="131"/>
  <c r="B81" i="131"/>
  <c r="P41" i="135" s="1"/>
  <c r="R81" i="131"/>
  <c r="H81" i="131" s="1"/>
  <c r="AB83" i="131"/>
  <c r="F83" i="131"/>
  <c r="D83" i="131" s="1"/>
  <c r="AO83" i="131"/>
  <c r="B83" i="131"/>
  <c r="P43" i="135" s="1"/>
  <c r="R83" i="131"/>
  <c r="AB85" i="131"/>
  <c r="F85" i="131"/>
  <c r="D85" i="131" s="1"/>
  <c r="AO85" i="131"/>
  <c r="B85" i="131"/>
  <c r="P45" i="135" s="1"/>
  <c r="R85" i="131"/>
  <c r="AB87" i="131"/>
  <c r="F87" i="131"/>
  <c r="D87" i="131" s="1"/>
  <c r="AO87" i="131"/>
  <c r="B87" i="131"/>
  <c r="P47" i="135" s="1"/>
  <c r="R87" i="131"/>
  <c r="H87" i="131" s="1"/>
  <c r="R88" i="131"/>
  <c r="H88" i="131" s="1"/>
  <c r="R89" i="131"/>
  <c r="H89" i="131" s="1"/>
  <c r="Q44" i="129"/>
  <c r="Q52" i="129"/>
  <c r="Q53" i="129"/>
  <c r="Q54" i="129"/>
  <c r="Q55" i="129"/>
  <c r="Q56" i="129"/>
  <c r="Q57" i="129"/>
  <c r="Q58" i="129"/>
  <c r="Q59" i="129"/>
  <c r="Q60" i="129"/>
  <c r="Q69" i="129"/>
  <c r="Q71" i="129"/>
  <c r="Q73" i="129"/>
  <c r="J73" i="129" s="1"/>
  <c r="Q74" i="129"/>
  <c r="J74" i="129" s="1"/>
  <c r="Q75" i="129"/>
  <c r="Q79" i="129"/>
  <c r="Q81" i="129"/>
  <c r="Q83" i="129"/>
  <c r="H83" i="129" s="1"/>
  <c r="Q85" i="129"/>
  <c r="Q87" i="129"/>
  <c r="Q88" i="129"/>
  <c r="Q89" i="129"/>
  <c r="Q61" i="129"/>
  <c r="Q62" i="129"/>
  <c r="Q63" i="129"/>
  <c r="Q64" i="129"/>
  <c r="Q65" i="129"/>
  <c r="Q66" i="129"/>
  <c r="Q67" i="129"/>
  <c r="Q68" i="129"/>
  <c r="Q70" i="129"/>
  <c r="Q72" i="129"/>
  <c r="Q76" i="129"/>
  <c r="J76" i="129" s="1"/>
  <c r="Q77" i="129"/>
  <c r="Q78" i="129"/>
  <c r="Q80" i="129"/>
  <c r="H80" i="129" s="1"/>
  <c r="Q82" i="129"/>
  <c r="H82" i="129" s="1"/>
  <c r="Q84" i="129"/>
  <c r="H84" i="129" s="1"/>
  <c r="Q86" i="129"/>
  <c r="H86" i="129" s="1"/>
  <c r="AV47" i="129"/>
  <c r="AB70" i="129"/>
  <c r="AA70" i="129"/>
  <c r="AB72" i="129"/>
  <c r="AO72" i="129" s="1"/>
  <c r="AB75" i="129"/>
  <c r="AO75" i="129" s="1"/>
  <c r="AB78" i="129"/>
  <c r="AO78" i="129" s="1"/>
  <c r="AB71" i="129"/>
  <c r="AA71" i="129"/>
  <c r="AB80" i="129"/>
  <c r="AB84" i="129"/>
  <c r="AB88" i="129"/>
  <c r="X63" i="129"/>
  <c r="AB62" i="129"/>
  <c r="AO62" i="129" s="1"/>
  <c r="AB79" i="129"/>
  <c r="AO79" i="129" s="1"/>
  <c r="AB81" i="129"/>
  <c r="AO81" i="129" s="1"/>
  <c r="AB83" i="129"/>
  <c r="AO83" i="129" s="1"/>
  <c r="AB87" i="129"/>
  <c r="AO87" i="129" s="1"/>
  <c r="M75" i="129"/>
  <c r="H45" i="131"/>
  <c r="I45" i="131" s="1"/>
  <c r="T47" i="131"/>
  <c r="H47" i="131"/>
  <c r="I47" i="131" s="1"/>
  <c r="T46" i="131"/>
  <c r="H46" i="131"/>
  <c r="I46" i="131" s="1"/>
  <c r="AB63" i="133"/>
  <c r="AQ63" i="133" s="1"/>
  <c r="AB65" i="133"/>
  <c r="AQ65" i="133" s="1"/>
  <c r="AB67" i="133"/>
  <c r="AQ67" i="133" s="1"/>
  <c r="AB46" i="133"/>
  <c r="AQ46" i="133" s="1"/>
  <c r="AB48" i="133"/>
  <c r="AQ48" i="133" s="1"/>
  <c r="AB49" i="133"/>
  <c r="AQ49" i="133" s="1"/>
  <c r="AB50" i="133"/>
  <c r="AQ50" i="133" s="1"/>
  <c r="AB51" i="133"/>
  <c r="AQ51" i="133" s="1"/>
  <c r="AB52" i="133"/>
  <c r="AQ52" i="133" s="1"/>
  <c r="AB53" i="133"/>
  <c r="AQ53" i="133" s="1"/>
  <c r="AB54" i="133"/>
  <c r="AQ54" i="133" s="1"/>
  <c r="AB55" i="133"/>
  <c r="AQ55" i="133" s="1"/>
  <c r="AB56" i="133"/>
  <c r="AQ56" i="133" s="1"/>
  <c r="AB57" i="133"/>
  <c r="AQ57" i="133" s="1"/>
  <c r="AB58" i="133"/>
  <c r="AQ58" i="133" s="1"/>
  <c r="AB59" i="133"/>
  <c r="AQ59" i="133" s="1"/>
  <c r="AB60" i="133"/>
  <c r="AQ60" i="133" s="1"/>
  <c r="AB61" i="133"/>
  <c r="AQ61" i="133" s="1"/>
  <c r="AB62" i="133"/>
  <c r="AQ62" i="133" s="1"/>
  <c r="AB64" i="133"/>
  <c r="AQ64" i="133" s="1"/>
  <c r="AB66" i="133"/>
  <c r="AQ66" i="133" s="1"/>
  <c r="AB68" i="133"/>
  <c r="AQ68" i="133" s="1"/>
  <c r="AB69" i="133"/>
  <c r="AQ69" i="133" s="1"/>
  <c r="AB70" i="133"/>
  <c r="AQ70" i="133" s="1"/>
  <c r="AB71" i="133"/>
  <c r="AQ71" i="133" s="1"/>
  <c r="AB72" i="133"/>
  <c r="AQ72" i="133" s="1"/>
  <c r="AB73" i="133"/>
  <c r="AQ73" i="133" s="1"/>
  <c r="N75" i="133"/>
  <c r="AB77" i="133"/>
  <c r="AQ77" i="133" s="1"/>
  <c r="AB78" i="133"/>
  <c r="AQ78" i="133" s="1"/>
  <c r="AB49" i="131"/>
  <c r="AQ49" i="131" s="1"/>
  <c r="AB67" i="131"/>
  <c r="AQ67" i="131" s="1"/>
  <c r="AB50" i="131"/>
  <c r="AQ50" i="131" s="1"/>
  <c r="AB51" i="131"/>
  <c r="AQ51" i="131" s="1"/>
  <c r="AB52" i="131"/>
  <c r="AQ52" i="131" s="1"/>
  <c r="AB53" i="131"/>
  <c r="AQ53" i="131" s="1"/>
  <c r="AB54" i="131"/>
  <c r="AQ54" i="131" s="1"/>
  <c r="AB55" i="131"/>
  <c r="AQ55" i="131" s="1"/>
  <c r="AB56" i="131"/>
  <c r="AQ56" i="131" s="1"/>
  <c r="AB57" i="131"/>
  <c r="AQ57" i="131" s="1"/>
  <c r="AB58" i="131"/>
  <c r="AQ58" i="131" s="1"/>
  <c r="AB59" i="131"/>
  <c r="AQ59" i="131" s="1"/>
  <c r="AB60" i="131"/>
  <c r="AQ60" i="131" s="1"/>
  <c r="AB61" i="131"/>
  <c r="AQ61" i="131" s="1"/>
  <c r="AB62" i="131"/>
  <c r="AQ62" i="131" s="1"/>
  <c r="AB63" i="131"/>
  <c r="AQ63" i="131" s="1"/>
  <c r="AB64" i="131"/>
  <c r="AQ64" i="131" s="1"/>
  <c r="AB65" i="131"/>
  <c r="AQ65" i="131" s="1"/>
  <c r="AB66" i="131"/>
  <c r="AQ66" i="131" s="1"/>
  <c r="AB68" i="131"/>
  <c r="AQ68" i="131" s="1"/>
  <c r="AB48" i="131"/>
  <c r="AQ48" i="131" s="1"/>
  <c r="Q70" i="131"/>
  <c r="N75" i="131"/>
  <c r="Q75" i="131"/>
  <c r="AA67" i="129"/>
  <c r="AA44" i="129"/>
  <c r="Y44" i="129" s="1"/>
  <c r="P45" i="129"/>
  <c r="AA45" i="129"/>
  <c r="Y45" i="129" s="1"/>
  <c r="AA46" i="129"/>
  <c r="AA47" i="129"/>
  <c r="Y47" i="129" s="1"/>
  <c r="AA48" i="129"/>
  <c r="Y48" i="129" s="1"/>
  <c r="AA49" i="129"/>
  <c r="Y49" i="129" s="1"/>
  <c r="AA50" i="129"/>
  <c r="Y50" i="129" s="1"/>
  <c r="AA51" i="129"/>
  <c r="Y51" i="129" s="1"/>
  <c r="AA52" i="129"/>
  <c r="AA53" i="129"/>
  <c r="Y53" i="129" s="1"/>
  <c r="AA54" i="129"/>
  <c r="AA55" i="129"/>
  <c r="Y55" i="129" s="1"/>
  <c r="AA56" i="129"/>
  <c r="Y56" i="129" s="1"/>
  <c r="AA57" i="129"/>
  <c r="AA58" i="129"/>
  <c r="Y58" i="129" s="1"/>
  <c r="AA59" i="129"/>
  <c r="AA60" i="129"/>
  <c r="Y60" i="129" s="1"/>
  <c r="AA61" i="129"/>
  <c r="Y61" i="129" s="1"/>
  <c r="AA62" i="129"/>
  <c r="AA63" i="129"/>
  <c r="AA64" i="129"/>
  <c r="AA65" i="129"/>
  <c r="AA66" i="129"/>
  <c r="AA68" i="129"/>
  <c r="P82" i="129"/>
  <c r="P71" i="129"/>
  <c r="P73" i="129"/>
  <c r="P74" i="129"/>
  <c r="P76" i="129"/>
  <c r="B88" i="639" l="1"/>
  <c r="W122" i="102"/>
  <c r="AA122" i="102" s="1"/>
  <c r="U6" i="639" s="1"/>
  <c r="AV6" i="639"/>
  <c r="W133" i="129"/>
  <c r="AA133" i="129" s="1"/>
  <c r="L17" i="639" s="1"/>
  <c r="AM17" i="639"/>
  <c r="V122" i="103"/>
  <c r="Z122" i="103" s="1"/>
  <c r="W81" i="639" s="1"/>
  <c r="Q122" i="104"/>
  <c r="S122" i="104"/>
  <c r="S122" i="103"/>
  <c r="W122" i="103" s="1"/>
  <c r="Q122" i="103"/>
  <c r="AR48" i="22"/>
  <c r="N8" i="194" s="1"/>
  <c r="Y52" i="129"/>
  <c r="J77" i="129"/>
  <c r="Y59" i="129"/>
  <c r="P83" i="129"/>
  <c r="J79" i="129"/>
  <c r="J70" i="129"/>
  <c r="J75" i="129"/>
  <c r="Y57" i="129"/>
  <c r="AP51" i="129"/>
  <c r="P77" i="129"/>
  <c r="Y46" i="129"/>
  <c r="AX89" i="129"/>
  <c r="P79" i="129"/>
  <c r="J81" i="129"/>
  <c r="L8" i="195"/>
  <c r="AB89" i="129"/>
  <c r="J89" i="129" s="1"/>
  <c r="AD89" i="129"/>
  <c r="AB85" i="129"/>
  <c r="AO85" i="129" s="1"/>
  <c r="P75" i="129"/>
  <c r="AP50" i="129"/>
  <c r="J88" i="129"/>
  <c r="AP49" i="129"/>
  <c r="P87" i="129"/>
  <c r="J87" i="129"/>
  <c r="J71" i="129"/>
  <c r="J78" i="129"/>
  <c r="AB86" i="129"/>
  <c r="AD86" i="129"/>
  <c r="Y54" i="129"/>
  <c r="AP47" i="129"/>
  <c r="P135" i="129"/>
  <c r="S134" i="129"/>
  <c r="T134" i="129"/>
  <c r="X134" i="129" s="1"/>
  <c r="AB134" i="129" s="1"/>
  <c r="R134" i="129"/>
  <c r="V134" i="129" s="1"/>
  <c r="Z134" i="129" s="1"/>
  <c r="L93" i="639" s="1"/>
  <c r="BC41" i="193"/>
  <c r="AS90" i="133"/>
  <c r="BC37" i="193"/>
  <c r="AB47" i="133"/>
  <c r="AQ47" i="133" s="1"/>
  <c r="R46" i="133"/>
  <c r="J46" i="133" s="1"/>
  <c r="AC47" i="133"/>
  <c r="AO47" i="133"/>
  <c r="AS90" i="131"/>
  <c r="AW90" i="129"/>
  <c r="K123" i="129" s="1"/>
  <c r="Q123" i="129" s="1"/>
  <c r="AU90" i="129"/>
  <c r="BG90" i="129" s="1"/>
  <c r="R122" i="104"/>
  <c r="V122" i="104" s="1"/>
  <c r="Z122" i="104" s="1"/>
  <c r="X81" i="639" s="1"/>
  <c r="AC89" i="133"/>
  <c r="AQ89" i="133"/>
  <c r="AC86" i="133"/>
  <c r="AQ86" i="133"/>
  <c r="T5" i="193"/>
  <c r="T4" i="490" s="1"/>
  <c r="AC82" i="133"/>
  <c r="J82" i="133" s="1"/>
  <c r="AQ82" i="133"/>
  <c r="AC79" i="133"/>
  <c r="AQ79" i="133"/>
  <c r="AC83" i="133"/>
  <c r="J83" i="133" s="1"/>
  <c r="AQ83" i="133"/>
  <c r="AC85" i="133"/>
  <c r="J85" i="133" s="1"/>
  <c r="AQ85" i="133"/>
  <c r="AC45" i="133"/>
  <c r="AR45" i="133" s="1"/>
  <c r="T6" i="193"/>
  <c r="T5" i="490" s="1"/>
  <c r="R44" i="133"/>
  <c r="AC88" i="133"/>
  <c r="AR88" i="133" s="1"/>
  <c r="AQ88" i="133"/>
  <c r="AC84" i="133"/>
  <c r="J84" i="133" s="1"/>
  <c r="AQ84" i="133"/>
  <c r="AC81" i="133"/>
  <c r="J81" i="133" s="1"/>
  <c r="AQ81" i="133"/>
  <c r="AC80" i="133"/>
  <c r="AQ80" i="133"/>
  <c r="AC87" i="133"/>
  <c r="J87" i="133" s="1"/>
  <c r="AQ87" i="133"/>
  <c r="N39" i="490"/>
  <c r="N6" i="193"/>
  <c r="N5" i="490" s="1"/>
  <c r="AC81" i="131"/>
  <c r="AQ81" i="131"/>
  <c r="AC89" i="131"/>
  <c r="AQ89" i="131"/>
  <c r="AC80" i="131"/>
  <c r="AQ80" i="131"/>
  <c r="BC39" i="193"/>
  <c r="BC38" i="193"/>
  <c r="N8" i="193"/>
  <c r="N7" i="490" s="1"/>
  <c r="Z71" i="131"/>
  <c r="AP71" i="131" s="1"/>
  <c r="AC87" i="131"/>
  <c r="Q87" i="131" s="1"/>
  <c r="AQ87" i="131"/>
  <c r="AC86" i="131"/>
  <c r="AQ86" i="131"/>
  <c r="AC85" i="131"/>
  <c r="AR85" i="131" s="1"/>
  <c r="AQ85" i="131"/>
  <c r="AC84" i="131"/>
  <c r="AQ84" i="131"/>
  <c r="AC83" i="131"/>
  <c r="Q83" i="131" s="1"/>
  <c r="AQ83" i="131"/>
  <c r="AC82" i="131"/>
  <c r="AQ82" i="131"/>
  <c r="N7" i="193"/>
  <c r="N6" i="490" s="1"/>
  <c r="AC79" i="131"/>
  <c r="Q79" i="131" s="1"/>
  <c r="AQ79" i="131"/>
  <c r="Z70" i="131"/>
  <c r="AP70" i="131" s="1"/>
  <c r="AQ70" i="131"/>
  <c r="H81" i="129"/>
  <c r="H87" i="133"/>
  <c r="BO45" i="193"/>
  <c r="T44" i="490"/>
  <c r="BO46" i="193"/>
  <c r="T45" i="490"/>
  <c r="BO50" i="193"/>
  <c r="T49" i="490"/>
  <c r="W4" i="491" s="1"/>
  <c r="BO47" i="193"/>
  <c r="T46" i="490"/>
  <c r="BO48" i="193"/>
  <c r="T47" i="490"/>
  <c r="B44" i="133"/>
  <c r="V4" i="135" s="1"/>
  <c r="H88" i="133"/>
  <c r="AC44" i="133"/>
  <c r="AR44" i="133" s="1"/>
  <c r="AY44" i="133" s="1"/>
  <c r="AX44" i="133" s="1"/>
  <c r="BL44" i="133" s="1"/>
  <c r="AO44" i="133"/>
  <c r="AW44" i="133" s="1"/>
  <c r="BK44" i="133" s="1"/>
  <c r="AB44" i="133"/>
  <c r="BO49" i="193"/>
  <c r="T48" i="490"/>
  <c r="Q72" i="131"/>
  <c r="H88" i="129"/>
  <c r="J80" i="133"/>
  <c r="B45" i="133"/>
  <c r="V5" i="135" s="1"/>
  <c r="BB45" i="133"/>
  <c r="BA45" i="133" s="1"/>
  <c r="BB47" i="133"/>
  <c r="BA47" i="133" s="1"/>
  <c r="AO45" i="133"/>
  <c r="AB45" i="133"/>
  <c r="P137" i="27"/>
  <c r="BB46" i="131"/>
  <c r="BA46" i="131" s="1"/>
  <c r="Z72" i="131"/>
  <c r="AP72" i="131" s="1"/>
  <c r="BB47" i="131"/>
  <c r="BA47" i="131" s="1"/>
  <c r="AX47" i="129"/>
  <c r="AU47" i="129" s="1"/>
  <c r="BG47" i="129" s="1"/>
  <c r="H80" i="133"/>
  <c r="J79" i="133"/>
  <c r="H83" i="133"/>
  <c r="H84" i="133"/>
  <c r="H85" i="129"/>
  <c r="H87" i="129"/>
  <c r="H85" i="133"/>
  <c r="H79" i="129"/>
  <c r="J86" i="133"/>
  <c r="J89" i="133"/>
  <c r="J84" i="129"/>
  <c r="H89" i="129"/>
  <c r="AX90" i="131"/>
  <c r="BJ90" i="131" s="1"/>
  <c r="AZ90" i="131"/>
  <c r="AZ90" i="133"/>
  <c r="AX90" i="133"/>
  <c r="BL90" i="133" s="1"/>
  <c r="Q74" i="131"/>
  <c r="Z69" i="131"/>
  <c r="AP69" i="131" s="1"/>
  <c r="Z74" i="131"/>
  <c r="AB46" i="131"/>
  <c r="AQ46" i="131" s="1"/>
  <c r="BO36" i="193"/>
  <c r="BO37" i="193"/>
  <c r="BO38" i="193"/>
  <c r="BO42" i="193"/>
  <c r="BO43" i="193"/>
  <c r="BO44" i="193"/>
  <c r="BO39" i="193"/>
  <c r="BO35" i="193"/>
  <c r="BO31" i="193"/>
  <c r="BO34" i="193"/>
  <c r="BO41" i="193"/>
  <c r="BO32" i="193"/>
  <c r="BO40" i="193"/>
  <c r="BO33" i="193"/>
  <c r="J83" i="129"/>
  <c r="J82" i="129"/>
  <c r="L43" i="195"/>
  <c r="AV83" i="129"/>
  <c r="L35" i="195"/>
  <c r="AV75" i="129"/>
  <c r="AU75" i="129" s="1"/>
  <c r="BG75" i="129" s="1"/>
  <c r="AT83" i="129"/>
  <c r="AP83" i="129"/>
  <c r="AT80" i="129"/>
  <c r="BF80" i="129" s="1"/>
  <c r="AT56" i="129"/>
  <c r="AP56" i="129"/>
  <c r="AP48" i="129"/>
  <c r="AT73" i="129"/>
  <c r="BF73" i="129" s="1"/>
  <c r="AP73" i="129"/>
  <c r="L42" i="195"/>
  <c r="AV82" i="129"/>
  <c r="AU82" i="129" s="1"/>
  <c r="BG82" i="129" s="1"/>
  <c r="AT66" i="129"/>
  <c r="BF66" i="129" s="1"/>
  <c r="L14" i="195"/>
  <c r="AV54" i="129"/>
  <c r="L6" i="195"/>
  <c r="AV46" i="129"/>
  <c r="AU46" i="129" s="1"/>
  <c r="BG46" i="129" s="1"/>
  <c r="L21" i="195"/>
  <c r="AV61" i="129"/>
  <c r="AU61" i="129" s="1"/>
  <c r="BG61" i="129" s="1"/>
  <c r="AT78" i="129"/>
  <c r="AP78" i="129"/>
  <c r="AT57" i="129"/>
  <c r="AP57" i="129"/>
  <c r="P88" i="129"/>
  <c r="AO88" i="129"/>
  <c r="AP88" i="129" s="1"/>
  <c r="AT55" i="129"/>
  <c r="BF55" i="129" s="1"/>
  <c r="AP55" i="129"/>
  <c r="L41" i="195"/>
  <c r="AV81" i="129"/>
  <c r="P84" i="129"/>
  <c r="AO84" i="129"/>
  <c r="L32" i="195"/>
  <c r="AV72" i="129"/>
  <c r="AT64" i="129"/>
  <c r="BF64" i="129" s="1"/>
  <c r="L16" i="195"/>
  <c r="AV56" i="129"/>
  <c r="L33" i="195"/>
  <c r="AV73" i="129"/>
  <c r="AT77" i="129"/>
  <c r="AP77" i="129"/>
  <c r="AT70" i="129"/>
  <c r="BF70" i="129" s="1"/>
  <c r="AT84" i="129"/>
  <c r="BF84" i="129" s="1"/>
  <c r="AT58" i="129"/>
  <c r="BF58" i="129" s="1"/>
  <c r="AP58" i="129"/>
  <c r="L17" i="195"/>
  <c r="AV57" i="129"/>
  <c r="AU57" i="129" s="1"/>
  <c r="BG57" i="129" s="1"/>
  <c r="J72" i="129"/>
  <c r="P81" i="129"/>
  <c r="P80" i="129"/>
  <c r="AO80" i="129"/>
  <c r="AP80" i="129" s="1"/>
  <c r="P72" i="129"/>
  <c r="AU83" i="129"/>
  <c r="BG83" i="129" s="1"/>
  <c r="AU56" i="129"/>
  <c r="BG56" i="129" s="1"/>
  <c r="AT88" i="129"/>
  <c r="BF88" i="129" s="1"/>
  <c r="L15" i="195"/>
  <c r="AV55" i="129"/>
  <c r="AU55" i="129" s="1"/>
  <c r="BG55" i="129" s="1"/>
  <c r="L7" i="195"/>
  <c r="AT62" i="129"/>
  <c r="AP62" i="129"/>
  <c r="AT76" i="129"/>
  <c r="BF76" i="129" s="1"/>
  <c r="AP76" i="129"/>
  <c r="AT65" i="129"/>
  <c r="BF65" i="129" s="1"/>
  <c r="L47" i="195"/>
  <c r="AV87" i="129"/>
  <c r="AU87" i="129" s="1"/>
  <c r="BG87" i="129" s="1"/>
  <c r="L39" i="195"/>
  <c r="AV79" i="129"/>
  <c r="AT71" i="129"/>
  <c r="BF71" i="129" s="1"/>
  <c r="AP71" i="129"/>
  <c r="AT60" i="129"/>
  <c r="AP60" i="129"/>
  <c r="AT52" i="129"/>
  <c r="BF52" i="129" s="1"/>
  <c r="AP52" i="129"/>
  <c r="AP44" i="129"/>
  <c r="AT44" i="129"/>
  <c r="BF44" i="129" s="1"/>
  <c r="AT85" i="129"/>
  <c r="AP85" i="129"/>
  <c r="AT67" i="129"/>
  <c r="BF67" i="129" s="1"/>
  <c r="L37" i="195"/>
  <c r="AV77" i="129"/>
  <c r="AU77" i="129" s="1"/>
  <c r="BG77" i="129" s="1"/>
  <c r="AT79" i="129"/>
  <c r="BF79" i="129" s="1"/>
  <c r="AP79" i="129"/>
  <c r="L18" i="195"/>
  <c r="AV58" i="129"/>
  <c r="AU58" i="129" s="1"/>
  <c r="BG58" i="129" s="1"/>
  <c r="L10" i="195"/>
  <c r="AT86" i="129"/>
  <c r="BF86" i="129" s="1"/>
  <c r="AT74" i="129"/>
  <c r="BF74" i="129" s="1"/>
  <c r="AP74" i="129"/>
  <c r="AT53" i="129"/>
  <c r="BF53" i="129" s="1"/>
  <c r="AP53" i="129"/>
  <c r="AT45" i="129"/>
  <c r="AP45" i="129"/>
  <c r="Y71" i="129"/>
  <c r="AO71" i="129"/>
  <c r="Y70" i="129"/>
  <c r="AO70" i="129"/>
  <c r="AP70" i="129" s="1"/>
  <c r="AU81" i="129"/>
  <c r="BG81" i="129" s="1"/>
  <c r="AU73" i="129"/>
  <c r="BG73" i="129" s="1"/>
  <c r="AT59" i="129"/>
  <c r="BF59" i="129" s="1"/>
  <c r="AP59" i="129"/>
  <c r="L36" i="195"/>
  <c r="AV76" i="129"/>
  <c r="AU76" i="129" s="1"/>
  <c r="BG76" i="129" s="1"/>
  <c r="L45" i="195"/>
  <c r="AV85" i="129"/>
  <c r="AU85" i="129" s="1"/>
  <c r="BG85" i="129" s="1"/>
  <c r="L22" i="195"/>
  <c r="AV62" i="129"/>
  <c r="AU62" i="129" s="1"/>
  <c r="BG62" i="129" s="1"/>
  <c r="L38" i="195"/>
  <c r="AV78" i="129"/>
  <c r="AU78" i="129" s="1"/>
  <c r="BG78" i="129" s="1"/>
  <c r="AU72" i="129"/>
  <c r="BG72" i="129" s="1"/>
  <c r="L20" i="195"/>
  <c r="AV60" i="129"/>
  <c r="AU60" i="129" s="1"/>
  <c r="BG60" i="129" s="1"/>
  <c r="L12" i="195"/>
  <c r="AV52" i="129"/>
  <c r="AU52" i="129" s="1"/>
  <c r="BG52" i="129" s="1"/>
  <c r="AV44" i="129"/>
  <c r="AU44" i="129" s="1"/>
  <c r="BG44" i="129" s="1"/>
  <c r="L4" i="195"/>
  <c r="AT82" i="129"/>
  <c r="AP82" i="129"/>
  <c r="AT75" i="129"/>
  <c r="AP75" i="129"/>
  <c r="AT72" i="129"/>
  <c r="AP72" i="129"/>
  <c r="AT54" i="129"/>
  <c r="AP54" i="129"/>
  <c r="AT46" i="129"/>
  <c r="BF46" i="129" s="1"/>
  <c r="AP46" i="129"/>
  <c r="AT61" i="129"/>
  <c r="AP61" i="129"/>
  <c r="L34" i="195"/>
  <c r="AV74" i="129"/>
  <c r="AU74" i="129" s="1"/>
  <c r="BG74" i="129" s="1"/>
  <c r="L13" i="195"/>
  <c r="AV53" i="129"/>
  <c r="AU53" i="129" s="1"/>
  <c r="BG53" i="129" s="1"/>
  <c r="AV45" i="129"/>
  <c r="AU45" i="129" s="1"/>
  <c r="BG45" i="129" s="1"/>
  <c r="L5" i="195"/>
  <c r="P85" i="129"/>
  <c r="P78" i="129"/>
  <c r="J80" i="129"/>
  <c r="AU79" i="129"/>
  <c r="BG79" i="129" s="1"/>
  <c r="AU54" i="129"/>
  <c r="BG54" i="129" s="1"/>
  <c r="AT68" i="129"/>
  <c r="BF68" i="129" s="1"/>
  <c r="W124" i="104"/>
  <c r="AA124" i="104" s="1"/>
  <c r="X8" i="639" s="1"/>
  <c r="X124" i="104"/>
  <c r="AB124" i="104" s="1"/>
  <c r="V124" i="104"/>
  <c r="Z124" i="104" s="1"/>
  <c r="X83" i="639" s="1"/>
  <c r="AT63" i="129"/>
  <c r="BF63" i="129" s="1"/>
  <c r="L19" i="195"/>
  <c r="AV59" i="129"/>
  <c r="AU59" i="129" s="1"/>
  <c r="BG59" i="129" s="1"/>
  <c r="L11" i="195"/>
  <c r="AT87" i="129"/>
  <c r="BF87" i="129" s="1"/>
  <c r="AP87" i="129"/>
  <c r="AT81" i="129"/>
  <c r="AP81" i="129"/>
  <c r="AT69" i="129"/>
  <c r="BF69" i="129" s="1"/>
  <c r="AT89" i="129"/>
  <c r="B162" i="105"/>
  <c r="W125" i="105"/>
  <c r="C162" i="105"/>
  <c r="K125" i="25"/>
  <c r="Q125" i="25" s="1"/>
  <c r="T123" i="102"/>
  <c r="X123" i="102" s="1"/>
  <c r="AB123" i="102" s="1"/>
  <c r="R123" i="102"/>
  <c r="V123" i="102" s="1"/>
  <c r="Z123" i="102" s="1"/>
  <c r="U82" i="639" s="1"/>
  <c r="S123" i="102"/>
  <c r="AG65" i="101"/>
  <c r="X64" i="101"/>
  <c r="AB47" i="131"/>
  <c r="AQ47" i="131" s="1"/>
  <c r="AW88" i="133"/>
  <c r="BK88" i="133" s="1"/>
  <c r="AW84" i="133"/>
  <c r="BK84" i="133" s="1"/>
  <c r="Q84" i="133"/>
  <c r="AR84" i="133"/>
  <c r="AW80" i="133"/>
  <c r="BK80" i="133" s="1"/>
  <c r="Q80" i="133"/>
  <c r="AR80" i="133"/>
  <c r="AW78" i="133"/>
  <c r="BK78" i="133" s="1"/>
  <c r="AR77" i="133"/>
  <c r="AC78" i="133"/>
  <c r="Z77" i="133"/>
  <c r="AP77" i="133" s="1"/>
  <c r="AR74" i="133"/>
  <c r="AS74" i="133" s="1"/>
  <c r="Z74" i="133"/>
  <c r="AP74" i="133" s="1"/>
  <c r="AW72" i="133"/>
  <c r="BK72" i="133" s="1"/>
  <c r="AR70" i="133"/>
  <c r="AS70" i="133" s="1"/>
  <c r="Z70" i="133"/>
  <c r="AP70" i="133" s="1"/>
  <c r="AW85" i="133"/>
  <c r="BK85" i="133" s="1"/>
  <c r="Q85" i="133"/>
  <c r="AR85" i="133"/>
  <c r="AW81" i="133"/>
  <c r="BK81" i="133" s="1"/>
  <c r="AW76" i="133"/>
  <c r="BK76" i="133" s="1"/>
  <c r="AR73" i="133"/>
  <c r="Z73" i="133"/>
  <c r="AP73" i="133" s="1"/>
  <c r="AR71" i="133"/>
  <c r="Z71" i="133"/>
  <c r="AP71" i="133" s="1"/>
  <c r="AW71" i="133"/>
  <c r="BK71" i="133" s="1"/>
  <c r="AR69" i="133"/>
  <c r="Z69" i="133"/>
  <c r="AP69" i="133" s="1"/>
  <c r="AW68" i="133"/>
  <c r="BK68" i="133" s="1"/>
  <c r="AR67" i="133"/>
  <c r="Z67" i="133"/>
  <c r="AP67" i="133" s="1"/>
  <c r="AW67" i="133"/>
  <c r="BK67" i="133" s="1"/>
  <c r="AR66" i="133"/>
  <c r="Z66" i="133"/>
  <c r="AP66" i="133" s="1"/>
  <c r="AR65" i="133"/>
  <c r="Z65" i="133"/>
  <c r="AP65" i="133" s="1"/>
  <c r="AW64" i="133"/>
  <c r="BK64" i="133" s="1"/>
  <c r="Z63" i="133"/>
  <c r="AP63" i="133" s="1"/>
  <c r="AR63" i="133"/>
  <c r="AS63" i="133" s="1"/>
  <c r="AW63" i="133"/>
  <c r="BK63" i="133" s="1"/>
  <c r="AR62" i="133"/>
  <c r="AS62" i="133" s="1"/>
  <c r="Z62" i="133"/>
  <c r="AP62" i="133" s="1"/>
  <c r="AR61" i="133"/>
  <c r="Z61" i="133"/>
  <c r="AP61" i="133" s="1"/>
  <c r="AW60" i="133"/>
  <c r="BK60" i="133" s="1"/>
  <c r="Z59" i="133"/>
  <c r="AP59" i="133" s="1"/>
  <c r="AR59" i="133"/>
  <c r="AS59" i="133" s="1"/>
  <c r="AW59" i="133"/>
  <c r="BK59" i="133" s="1"/>
  <c r="AR58" i="133"/>
  <c r="Z58" i="133"/>
  <c r="AP58" i="133" s="1"/>
  <c r="AR57" i="133"/>
  <c r="Z57" i="133"/>
  <c r="AP57" i="133" s="1"/>
  <c r="AW56" i="133"/>
  <c r="BK56" i="133" s="1"/>
  <c r="Z55" i="133"/>
  <c r="AP55" i="133" s="1"/>
  <c r="AR55" i="133"/>
  <c r="AS55" i="133" s="1"/>
  <c r="AW55" i="133"/>
  <c r="BK55" i="133" s="1"/>
  <c r="AR54" i="133"/>
  <c r="AS54" i="133" s="1"/>
  <c r="Z54" i="133"/>
  <c r="AP54" i="133" s="1"/>
  <c r="AR53" i="133"/>
  <c r="Z53" i="133"/>
  <c r="AP53" i="133" s="1"/>
  <c r="AW52" i="133"/>
  <c r="BK52" i="133" s="1"/>
  <c r="Z51" i="133"/>
  <c r="AP51" i="133" s="1"/>
  <c r="AR51" i="133"/>
  <c r="AS51" i="133" s="1"/>
  <c r="AW51" i="133"/>
  <c r="BK51" i="133" s="1"/>
  <c r="AR50" i="133"/>
  <c r="AS50" i="133" s="1"/>
  <c r="Z50" i="133"/>
  <c r="AP50" i="133" s="1"/>
  <c r="AR49" i="133"/>
  <c r="Z49" i="133"/>
  <c r="AP49" i="133" s="1"/>
  <c r="AW48" i="133"/>
  <c r="BK48" i="133" s="1"/>
  <c r="Z47" i="133"/>
  <c r="AP47" i="133" s="1"/>
  <c r="AR47" i="133"/>
  <c r="AS47" i="133" s="1"/>
  <c r="AW47" i="133"/>
  <c r="BK47" i="133" s="1"/>
  <c r="AR46" i="133"/>
  <c r="AS46" i="133" s="1"/>
  <c r="Z46" i="133"/>
  <c r="AP46" i="133" s="1"/>
  <c r="AW89" i="133"/>
  <c r="BK89" i="133" s="1"/>
  <c r="Q89" i="133"/>
  <c r="AR89" i="133"/>
  <c r="AW86" i="133"/>
  <c r="BK86" i="133" s="1"/>
  <c r="Q86" i="133"/>
  <c r="AR86" i="133"/>
  <c r="AS86" i="133" s="1"/>
  <c r="AW82" i="133"/>
  <c r="BK82" i="133" s="1"/>
  <c r="AW77" i="133"/>
  <c r="BK77" i="133" s="1"/>
  <c r="AS77" i="133"/>
  <c r="AW74" i="133"/>
  <c r="BK74" i="133" s="1"/>
  <c r="Z72" i="133"/>
  <c r="AP72" i="133" s="1"/>
  <c r="AR72" i="133"/>
  <c r="AS72" i="133" s="1"/>
  <c r="AW70" i="133"/>
  <c r="BK70" i="133" s="1"/>
  <c r="AW87" i="133"/>
  <c r="BK87" i="133" s="1"/>
  <c r="AR87" i="133"/>
  <c r="AW83" i="133"/>
  <c r="BK83" i="133" s="1"/>
  <c r="AR83" i="133"/>
  <c r="AW79" i="133"/>
  <c r="BK79" i="133" s="1"/>
  <c r="Z76" i="133"/>
  <c r="AP76" i="133" s="1"/>
  <c r="AR76" i="133"/>
  <c r="AS76" i="133" s="1"/>
  <c r="AR75" i="133"/>
  <c r="Z75" i="133"/>
  <c r="AP75" i="133" s="1"/>
  <c r="AW75" i="133"/>
  <c r="BK75" i="133" s="1"/>
  <c r="AW73" i="133"/>
  <c r="BK73" i="133" s="1"/>
  <c r="AW69" i="133"/>
  <c r="BK69" i="133" s="1"/>
  <c r="Z68" i="133"/>
  <c r="AP68" i="133" s="1"/>
  <c r="AR68" i="133"/>
  <c r="AS68" i="133" s="1"/>
  <c r="AS66" i="133"/>
  <c r="AW66" i="133"/>
  <c r="BK66" i="133" s="1"/>
  <c r="AW65" i="133"/>
  <c r="BK65" i="133" s="1"/>
  <c r="AR64" i="133"/>
  <c r="Z64" i="133"/>
  <c r="AP64" i="133" s="1"/>
  <c r="AW62" i="133"/>
  <c r="BK62" i="133" s="1"/>
  <c r="AW61" i="133"/>
  <c r="BK61" i="133" s="1"/>
  <c r="AR60" i="133"/>
  <c r="Z60" i="133"/>
  <c r="AP60" i="133" s="1"/>
  <c r="AS58" i="133"/>
  <c r="AW58" i="133"/>
  <c r="BK58" i="133" s="1"/>
  <c r="AW57" i="133"/>
  <c r="BK57" i="133" s="1"/>
  <c r="AR56" i="133"/>
  <c r="Z56" i="133"/>
  <c r="AP56" i="133" s="1"/>
  <c r="AW54" i="133"/>
  <c r="BK54" i="133" s="1"/>
  <c r="AW53" i="133"/>
  <c r="BK53" i="133" s="1"/>
  <c r="AR52" i="133"/>
  <c r="Z52" i="133"/>
  <c r="AP52" i="133" s="1"/>
  <c r="AW50" i="133"/>
  <c r="BK50" i="133" s="1"/>
  <c r="AW49" i="133"/>
  <c r="BK49" i="133" s="1"/>
  <c r="AR48" i="133"/>
  <c r="Z48" i="133"/>
  <c r="AP48" i="133" s="1"/>
  <c r="AW46" i="133"/>
  <c r="BK46" i="133" s="1"/>
  <c r="AW45" i="133"/>
  <c r="BK45" i="133" s="1"/>
  <c r="AY69" i="131"/>
  <c r="AX69" i="131" s="1"/>
  <c r="P29" i="195"/>
  <c r="AY74" i="131"/>
  <c r="AX74" i="131" s="1"/>
  <c r="P34" i="195"/>
  <c r="AY70" i="131"/>
  <c r="AX70" i="131" s="1"/>
  <c r="P30" i="195"/>
  <c r="AY71" i="131"/>
  <c r="AX71" i="131" s="1"/>
  <c r="P31" i="195"/>
  <c r="AY72" i="131"/>
  <c r="AX72" i="131" s="1"/>
  <c r="P32" i="195"/>
  <c r="J86" i="129"/>
  <c r="H83" i="131"/>
  <c r="H85" i="131"/>
  <c r="AB45" i="131"/>
  <c r="AQ45" i="131" s="1"/>
  <c r="AC45" i="131"/>
  <c r="Q45" i="131" s="1"/>
  <c r="AO45" i="131"/>
  <c r="B45" i="131"/>
  <c r="P5" i="135" s="1"/>
  <c r="R47" i="131"/>
  <c r="AW87" i="131"/>
  <c r="BI87" i="131" s="1"/>
  <c r="AW85" i="131"/>
  <c r="BI85" i="131" s="1"/>
  <c r="Q85" i="131"/>
  <c r="AW83" i="131"/>
  <c r="BI83" i="131" s="1"/>
  <c r="AW81" i="131"/>
  <c r="BI81" i="131" s="1"/>
  <c r="Q81" i="131"/>
  <c r="AR81" i="131"/>
  <c r="AW79" i="131"/>
  <c r="BI79" i="131" s="1"/>
  <c r="AR79" i="131"/>
  <c r="AW73" i="131"/>
  <c r="BI73" i="131" s="1"/>
  <c r="AW71" i="131"/>
  <c r="BI71" i="131" s="1"/>
  <c r="AS71" i="131"/>
  <c r="AR67" i="131"/>
  <c r="AS67" i="131" s="1"/>
  <c r="Z67" i="131"/>
  <c r="AP67" i="131" s="1"/>
  <c r="AR65" i="131"/>
  <c r="AS65" i="131" s="1"/>
  <c r="Z65" i="131"/>
  <c r="AP65" i="131" s="1"/>
  <c r="AR63" i="131"/>
  <c r="AS63" i="131" s="1"/>
  <c r="Z63" i="131"/>
  <c r="AP63" i="131" s="1"/>
  <c r="AR61" i="131"/>
  <c r="AS61" i="131" s="1"/>
  <c r="Z61" i="131"/>
  <c r="AP61" i="131" s="1"/>
  <c r="AR59" i="131"/>
  <c r="AS59" i="131" s="1"/>
  <c r="Z59" i="131"/>
  <c r="AP59" i="131" s="1"/>
  <c r="AR57" i="131"/>
  <c r="AS57" i="131" s="1"/>
  <c r="Z57" i="131"/>
  <c r="AP57" i="131" s="1"/>
  <c r="AR55" i="131"/>
  <c r="AS55" i="131" s="1"/>
  <c r="Z55" i="131"/>
  <c r="AP55" i="131" s="1"/>
  <c r="AR53" i="131"/>
  <c r="AS53" i="131" s="1"/>
  <c r="Z53" i="131"/>
  <c r="AP53" i="131" s="1"/>
  <c r="AR51" i="131"/>
  <c r="AS51" i="131" s="1"/>
  <c r="Z51" i="131"/>
  <c r="AP51" i="131" s="1"/>
  <c r="AR49" i="131"/>
  <c r="AS49" i="131" s="1"/>
  <c r="Z49" i="131"/>
  <c r="AP49" i="131" s="1"/>
  <c r="Q89" i="131"/>
  <c r="AR89" i="131"/>
  <c r="AS89" i="131" s="1"/>
  <c r="Q88" i="131"/>
  <c r="AR88" i="131"/>
  <c r="AS88" i="131" s="1"/>
  <c r="Q86" i="131"/>
  <c r="AR86" i="131"/>
  <c r="AS86" i="131" s="1"/>
  <c r="Q82" i="131"/>
  <c r="AR82" i="131"/>
  <c r="AS82" i="131" s="1"/>
  <c r="AW78" i="131"/>
  <c r="BI78" i="131" s="1"/>
  <c r="AR77" i="131"/>
  <c r="Z77" i="131"/>
  <c r="AW77" i="131"/>
  <c r="BI77" i="131" s="1"/>
  <c r="AS74" i="131"/>
  <c r="AW74" i="131"/>
  <c r="BI74" i="131" s="1"/>
  <c r="AS70" i="131"/>
  <c r="AW70" i="131"/>
  <c r="Q76" i="131"/>
  <c r="Q69" i="131"/>
  <c r="AO46" i="131"/>
  <c r="B46" i="131"/>
  <c r="P6" i="135" s="1"/>
  <c r="AC46" i="131"/>
  <c r="Q46" i="131" s="1"/>
  <c r="R46" i="131"/>
  <c r="AC47" i="131"/>
  <c r="Q47" i="131" s="1"/>
  <c r="AO47" i="131"/>
  <c r="B47" i="131"/>
  <c r="P7" i="135" s="1"/>
  <c r="Z76" i="131"/>
  <c r="AP76" i="131" s="1"/>
  <c r="AR76" i="131"/>
  <c r="AW76" i="131"/>
  <c r="BI76" i="131" s="1"/>
  <c r="AR75" i="131"/>
  <c r="AS75" i="131" s="1"/>
  <c r="Z75" i="131"/>
  <c r="AP75" i="131" s="1"/>
  <c r="AW75" i="131"/>
  <c r="BI75" i="131" s="1"/>
  <c r="AW69" i="131"/>
  <c r="AS69" i="131"/>
  <c r="Z68" i="131"/>
  <c r="AP68" i="131" s="1"/>
  <c r="AR68" i="131"/>
  <c r="AW68" i="131"/>
  <c r="BI68" i="131" s="1"/>
  <c r="AW67" i="131"/>
  <c r="BI67" i="131" s="1"/>
  <c r="Z66" i="131"/>
  <c r="AP66" i="131" s="1"/>
  <c r="AR66" i="131"/>
  <c r="AW66" i="131"/>
  <c r="BI66" i="131" s="1"/>
  <c r="AW65" i="131"/>
  <c r="BI65" i="131" s="1"/>
  <c r="Z64" i="131"/>
  <c r="AP64" i="131" s="1"/>
  <c r="AR64" i="131"/>
  <c r="AW64" i="131"/>
  <c r="BI64" i="131" s="1"/>
  <c r="AW63" i="131"/>
  <c r="BI63" i="131" s="1"/>
  <c r="Z62" i="131"/>
  <c r="AP62" i="131" s="1"/>
  <c r="AR62" i="131"/>
  <c r="AW62" i="131"/>
  <c r="BI62" i="131" s="1"/>
  <c r="AW61" i="131"/>
  <c r="BI61" i="131" s="1"/>
  <c r="Z60" i="131"/>
  <c r="AP60" i="131" s="1"/>
  <c r="AR60" i="131"/>
  <c r="AW60" i="131"/>
  <c r="BI60" i="131" s="1"/>
  <c r="AW59" i="131"/>
  <c r="BI59" i="131" s="1"/>
  <c r="Z58" i="131"/>
  <c r="AP58" i="131" s="1"/>
  <c r="AR58" i="131"/>
  <c r="AW58" i="131"/>
  <c r="BI58" i="131" s="1"/>
  <c r="AW57" i="131"/>
  <c r="BI57" i="131" s="1"/>
  <c r="Z56" i="131"/>
  <c r="AP56" i="131" s="1"/>
  <c r="AR56" i="131"/>
  <c r="AW56" i="131"/>
  <c r="BI56" i="131" s="1"/>
  <c r="AW55" i="131"/>
  <c r="BI55" i="131" s="1"/>
  <c r="Z54" i="131"/>
  <c r="AP54" i="131" s="1"/>
  <c r="AR54" i="131"/>
  <c r="AW54" i="131"/>
  <c r="BI54" i="131" s="1"/>
  <c r="AW53" i="131"/>
  <c r="BI53" i="131" s="1"/>
  <c r="Z52" i="131"/>
  <c r="AP52" i="131" s="1"/>
  <c r="AR52" i="131"/>
  <c r="AW52" i="131"/>
  <c r="BI52" i="131" s="1"/>
  <c r="AW51" i="131"/>
  <c r="BI51" i="131" s="1"/>
  <c r="Z50" i="131"/>
  <c r="AP50" i="131" s="1"/>
  <c r="AR50" i="131"/>
  <c r="AW50" i="131"/>
  <c r="BI50" i="131" s="1"/>
  <c r="AW49" i="131"/>
  <c r="BI49" i="131" s="1"/>
  <c r="Z48" i="131"/>
  <c r="AP48" i="131" s="1"/>
  <c r="AR48" i="131"/>
  <c r="AW48" i="131"/>
  <c r="BI48" i="131" s="1"/>
  <c r="AW89" i="131"/>
  <c r="BI89" i="131" s="1"/>
  <c r="AW88" i="131"/>
  <c r="BI88" i="131" s="1"/>
  <c r="AW86" i="131"/>
  <c r="BI86" i="131" s="1"/>
  <c r="AW84" i="131"/>
  <c r="BI84" i="131" s="1"/>
  <c r="AW82" i="131"/>
  <c r="BI82" i="131" s="1"/>
  <c r="AW80" i="131"/>
  <c r="BI80" i="131" s="1"/>
  <c r="AS72" i="131"/>
  <c r="AW72" i="131"/>
  <c r="Q71" i="131"/>
  <c r="BA62" i="16"/>
  <c r="AV48" i="129"/>
  <c r="AU48" i="129" s="1"/>
  <c r="BG48" i="129" s="1"/>
  <c r="AT48" i="129"/>
  <c r="BF48" i="129" s="1"/>
  <c r="AW47" i="129"/>
  <c r="AR49" i="22"/>
  <c r="N9" i="194" s="1"/>
  <c r="Y62" i="129"/>
  <c r="X64" i="129"/>
  <c r="AB63" i="129"/>
  <c r="J63" i="129" s="1"/>
  <c r="P70" i="129"/>
  <c r="T45" i="131"/>
  <c r="Q58" i="133"/>
  <c r="Q50" i="133"/>
  <c r="Q54" i="133"/>
  <c r="Q46" i="133"/>
  <c r="Q60" i="133"/>
  <c r="Q56" i="133"/>
  <c r="Q52" i="133"/>
  <c r="Q48" i="133"/>
  <c r="J65" i="133"/>
  <c r="J64" i="133"/>
  <c r="J60" i="133"/>
  <c r="J58" i="133"/>
  <c r="J56" i="133"/>
  <c r="J54" i="133"/>
  <c r="J52" i="133"/>
  <c r="J50" i="133"/>
  <c r="J48" i="133"/>
  <c r="J62" i="133"/>
  <c r="J63" i="133"/>
  <c r="Q64" i="133"/>
  <c r="Q61" i="133"/>
  <c r="Q59" i="133"/>
  <c r="Q57" i="133"/>
  <c r="Q55" i="133"/>
  <c r="Q53" i="133"/>
  <c r="Q51" i="133"/>
  <c r="Q49" i="133"/>
  <c r="Q47" i="133"/>
  <c r="J61" i="133"/>
  <c r="J59" i="133"/>
  <c r="J57" i="133"/>
  <c r="J55" i="133"/>
  <c r="J53" i="133"/>
  <c r="J51" i="133"/>
  <c r="J49" i="133"/>
  <c r="J47" i="133"/>
  <c r="Q65" i="133"/>
  <c r="Q68" i="131"/>
  <c r="Q66" i="131"/>
  <c r="Q65" i="131"/>
  <c r="Q64" i="131"/>
  <c r="Q63" i="131"/>
  <c r="Q62" i="131"/>
  <c r="Q61" i="131"/>
  <c r="Q60" i="131"/>
  <c r="Q59" i="131"/>
  <c r="Q58" i="131"/>
  <c r="Q57" i="131"/>
  <c r="Q56" i="131"/>
  <c r="Q55" i="131"/>
  <c r="Q54" i="131"/>
  <c r="Q53" i="131"/>
  <c r="Q52" i="131"/>
  <c r="Q51" i="131"/>
  <c r="Q50" i="131"/>
  <c r="Q67" i="131"/>
  <c r="Q48" i="131"/>
  <c r="P46" i="129"/>
  <c r="P44" i="129"/>
  <c r="J61" i="129"/>
  <c r="J59" i="129"/>
  <c r="J57" i="129"/>
  <c r="J55" i="129"/>
  <c r="J53" i="129"/>
  <c r="J51" i="129"/>
  <c r="J49" i="129"/>
  <c r="J47" i="129"/>
  <c r="J45" i="129"/>
  <c r="J60" i="129"/>
  <c r="J56" i="129"/>
  <c r="J52" i="129"/>
  <c r="J48" i="129"/>
  <c r="J44" i="129"/>
  <c r="P63" i="129"/>
  <c r="P62" i="129"/>
  <c r="P61" i="129"/>
  <c r="P60" i="129"/>
  <c r="P59" i="129"/>
  <c r="P58" i="129"/>
  <c r="P57" i="129"/>
  <c r="P56" i="129"/>
  <c r="P55" i="129"/>
  <c r="P54" i="129"/>
  <c r="P53" i="129"/>
  <c r="P52" i="129"/>
  <c r="P51" i="129"/>
  <c r="P50" i="129"/>
  <c r="P49" i="129"/>
  <c r="P48" i="129"/>
  <c r="P47" i="129"/>
  <c r="J62" i="129"/>
  <c r="J58" i="129"/>
  <c r="J54" i="129"/>
  <c r="J50" i="129"/>
  <c r="J46" i="129"/>
  <c r="W123" i="102" l="1"/>
  <c r="AA123" i="102" s="1"/>
  <c r="U7" i="639" s="1"/>
  <c r="AV7" i="639"/>
  <c r="W134" i="129"/>
  <c r="AA134" i="129" s="1"/>
  <c r="L18" i="639" s="1"/>
  <c r="AM18" i="639"/>
  <c r="W122" i="104"/>
  <c r="AA122" i="104" s="1"/>
  <c r="X6" i="639" s="1"/>
  <c r="AY6" i="639"/>
  <c r="AA122" i="103"/>
  <c r="W6" i="639" s="1"/>
  <c r="AX6" i="639"/>
  <c r="Q83" i="133"/>
  <c r="J44" i="133"/>
  <c r="Y122" i="129"/>
  <c r="U122" i="129"/>
  <c r="AW60" i="129"/>
  <c r="BF60" i="129"/>
  <c r="J85" i="129"/>
  <c r="AW45" i="129"/>
  <c r="BF45" i="129"/>
  <c r="AW85" i="129"/>
  <c r="BF85" i="129"/>
  <c r="AW72" i="129"/>
  <c r="BF72" i="129"/>
  <c r="AW78" i="129"/>
  <c r="BF78" i="129"/>
  <c r="P136" i="129"/>
  <c r="S135" i="129"/>
  <c r="R135" i="129"/>
  <c r="V135" i="129" s="1"/>
  <c r="Z135" i="129" s="1"/>
  <c r="L94" i="639" s="1"/>
  <c r="T135" i="129"/>
  <c r="X135" i="129" s="1"/>
  <c r="AB135" i="129" s="1"/>
  <c r="AW54" i="129"/>
  <c r="BF54" i="129"/>
  <c r="AW56" i="129"/>
  <c r="BF56" i="129"/>
  <c r="AW77" i="129"/>
  <c r="BF77" i="129"/>
  <c r="AO89" i="129"/>
  <c r="P89" i="129"/>
  <c r="AW57" i="129"/>
  <c r="BF57" i="129"/>
  <c r="AW81" i="129"/>
  <c r="BF81" i="129"/>
  <c r="AW61" i="129"/>
  <c r="BF61" i="129"/>
  <c r="AW75" i="129"/>
  <c r="BF75" i="129"/>
  <c r="AW62" i="129"/>
  <c r="BF62" i="129"/>
  <c r="AW83" i="129"/>
  <c r="BF83" i="129"/>
  <c r="BF89" i="129"/>
  <c r="AW82" i="129"/>
  <c r="BF82" i="129"/>
  <c r="AO86" i="129"/>
  <c r="P86" i="129"/>
  <c r="AZ70" i="131"/>
  <c r="BI70" i="131"/>
  <c r="AZ69" i="131"/>
  <c r="BI69" i="131"/>
  <c r="AZ72" i="131"/>
  <c r="BI72" i="131"/>
  <c r="Q44" i="133"/>
  <c r="V4" i="195"/>
  <c r="J71" i="131"/>
  <c r="BJ71" i="131"/>
  <c r="J70" i="131"/>
  <c r="BJ70" i="131"/>
  <c r="J74" i="131"/>
  <c r="BJ74" i="131"/>
  <c r="J72" i="131"/>
  <c r="BJ72" i="131"/>
  <c r="J69" i="131"/>
  <c r="BJ69" i="131"/>
  <c r="AS44" i="133"/>
  <c r="Q88" i="133"/>
  <c r="J88" i="133"/>
  <c r="Q87" i="133"/>
  <c r="Z44" i="133"/>
  <c r="AP44" i="133" s="1"/>
  <c r="AQ44" i="133"/>
  <c r="AR82" i="133"/>
  <c r="Q82" i="133"/>
  <c r="Y122" i="133"/>
  <c r="U122" i="133"/>
  <c r="AC122" i="133" s="1"/>
  <c r="AD122" i="133" s="1"/>
  <c r="AE122" i="133" s="1"/>
  <c r="AF122" i="133" s="1"/>
  <c r="AR81" i="133"/>
  <c r="AS81" i="133" s="1"/>
  <c r="J45" i="133"/>
  <c r="Q45" i="133"/>
  <c r="Q81" i="133"/>
  <c r="Z45" i="133"/>
  <c r="AP45" i="133" s="1"/>
  <c r="AQ45" i="133"/>
  <c r="AR79" i="133"/>
  <c r="Q79" i="133"/>
  <c r="AR87" i="131"/>
  <c r="AY87" i="131" s="1"/>
  <c r="AX87" i="131" s="1"/>
  <c r="AR84" i="131"/>
  <c r="Q84" i="131"/>
  <c r="Z73" i="131"/>
  <c r="AP74" i="131"/>
  <c r="Z78" i="131"/>
  <c r="AP77" i="131"/>
  <c r="AR83" i="131"/>
  <c r="AR80" i="131"/>
  <c r="Q80" i="131"/>
  <c r="U122" i="131"/>
  <c r="AC122" i="131" s="1"/>
  <c r="AD122" i="131" s="1"/>
  <c r="AE122" i="131" s="1"/>
  <c r="AF122" i="131" s="1"/>
  <c r="Y122" i="131"/>
  <c r="P138" i="27"/>
  <c r="BB45" i="131"/>
  <c r="BA45" i="131" s="1"/>
  <c r="AZ71" i="131"/>
  <c r="AZ74" i="131"/>
  <c r="AZ44" i="133"/>
  <c r="AW76" i="129"/>
  <c r="AW55" i="129"/>
  <c r="X125" i="104"/>
  <c r="AB125" i="104" s="1"/>
  <c r="V125" i="104"/>
  <c r="Z125" i="104" s="1"/>
  <c r="X84" i="639" s="1"/>
  <c r="W125" i="104"/>
  <c r="AA125" i="104" s="1"/>
  <c r="X9" i="639" s="1"/>
  <c r="L44" i="195"/>
  <c r="AV84" i="129"/>
  <c r="AU84" i="129" s="1"/>
  <c r="BG84" i="129" s="1"/>
  <c r="Y63" i="129"/>
  <c r="AO63" i="129"/>
  <c r="AW87" i="129"/>
  <c r="AW53" i="129"/>
  <c r="AW44" i="129"/>
  <c r="AW59" i="129"/>
  <c r="L30" i="195"/>
  <c r="AV70" i="129"/>
  <c r="AU70" i="129" s="1"/>
  <c r="BG70" i="129" s="1"/>
  <c r="AW79" i="129"/>
  <c r="AW58" i="129"/>
  <c r="AW74" i="129"/>
  <c r="L40" i="195"/>
  <c r="AV80" i="129"/>
  <c r="AU80" i="129" s="1"/>
  <c r="BG80" i="129" s="1"/>
  <c r="AP84" i="129"/>
  <c r="L48" i="195"/>
  <c r="AV88" i="129"/>
  <c r="AU88" i="129" s="1"/>
  <c r="BG88" i="129" s="1"/>
  <c r="AW46" i="129"/>
  <c r="L31" i="195"/>
  <c r="AV71" i="129"/>
  <c r="AU71" i="129" s="1"/>
  <c r="BG71" i="129" s="1"/>
  <c r="AW52" i="129"/>
  <c r="AW73" i="129"/>
  <c r="C163" i="105"/>
  <c r="B163" i="105"/>
  <c r="W126" i="105"/>
  <c r="K126" i="25"/>
  <c r="Q126" i="25" s="1"/>
  <c r="R124" i="102"/>
  <c r="V124" i="102" s="1"/>
  <c r="Z124" i="102" s="1"/>
  <c r="U83" i="639" s="1"/>
  <c r="S124" i="102"/>
  <c r="T124" i="102"/>
  <c r="X124" i="102" s="1"/>
  <c r="AB124" i="102" s="1"/>
  <c r="AG66" i="101"/>
  <c r="X65" i="101"/>
  <c r="AY48" i="133"/>
  <c r="AX48" i="133" s="1"/>
  <c r="BL48" i="133" s="1"/>
  <c r="V8" i="195"/>
  <c r="AY52" i="133"/>
  <c r="AX52" i="133" s="1"/>
  <c r="BL52" i="133" s="1"/>
  <c r="V12" i="195"/>
  <c r="AY56" i="133"/>
  <c r="AX56" i="133" s="1"/>
  <c r="BL56" i="133" s="1"/>
  <c r="V16" i="195"/>
  <c r="AY60" i="133"/>
  <c r="AX60" i="133" s="1"/>
  <c r="BL60" i="133" s="1"/>
  <c r="V20" i="195"/>
  <c r="AY64" i="133"/>
  <c r="AX64" i="133" s="1"/>
  <c r="BL64" i="133" s="1"/>
  <c r="V24" i="195"/>
  <c r="AY75" i="133"/>
  <c r="AX75" i="133" s="1"/>
  <c r="BL75" i="133" s="1"/>
  <c r="V35" i="195"/>
  <c r="AY45" i="133"/>
  <c r="AX45" i="133" s="1"/>
  <c r="BL45" i="133" s="1"/>
  <c r="V5" i="195"/>
  <c r="AY46" i="133"/>
  <c r="AX46" i="133" s="1"/>
  <c r="BL46" i="133" s="1"/>
  <c r="V6" i="195"/>
  <c r="AY49" i="133"/>
  <c r="AX49" i="133" s="1"/>
  <c r="BL49" i="133" s="1"/>
  <c r="V9" i="195"/>
  <c r="AY50" i="133"/>
  <c r="AX50" i="133" s="1"/>
  <c r="BL50" i="133" s="1"/>
  <c r="V10" i="195"/>
  <c r="AY53" i="133"/>
  <c r="AX53" i="133" s="1"/>
  <c r="BL53" i="133" s="1"/>
  <c r="V13" i="195"/>
  <c r="AY54" i="133"/>
  <c r="AX54" i="133" s="1"/>
  <c r="BL54" i="133" s="1"/>
  <c r="V14" i="195"/>
  <c r="AY57" i="133"/>
  <c r="AX57" i="133" s="1"/>
  <c r="BL57" i="133" s="1"/>
  <c r="V17" i="195"/>
  <c r="AY58" i="133"/>
  <c r="AX58" i="133" s="1"/>
  <c r="BL58" i="133" s="1"/>
  <c r="V18" i="195"/>
  <c r="AY61" i="133"/>
  <c r="AX61" i="133" s="1"/>
  <c r="BL61" i="133" s="1"/>
  <c r="V21" i="195"/>
  <c r="AY62" i="133"/>
  <c r="AX62" i="133" s="1"/>
  <c r="BL62" i="133" s="1"/>
  <c r="V22" i="195"/>
  <c r="AY65" i="133"/>
  <c r="AX65" i="133" s="1"/>
  <c r="BL65" i="133" s="1"/>
  <c r="V25" i="195"/>
  <c r="AY66" i="133"/>
  <c r="AX66" i="133" s="1"/>
  <c r="BL66" i="133" s="1"/>
  <c r="V26" i="195"/>
  <c r="AY67" i="133"/>
  <c r="AX67" i="133" s="1"/>
  <c r="BL67" i="133" s="1"/>
  <c r="V27" i="195"/>
  <c r="AY69" i="133"/>
  <c r="AX69" i="133" s="1"/>
  <c r="BL69" i="133" s="1"/>
  <c r="V29" i="195"/>
  <c r="AY71" i="133"/>
  <c r="AX71" i="133" s="1"/>
  <c r="BL71" i="133" s="1"/>
  <c r="V31" i="195"/>
  <c r="AY73" i="133"/>
  <c r="AX73" i="133" s="1"/>
  <c r="BL73" i="133" s="1"/>
  <c r="V33" i="195"/>
  <c r="AY70" i="133"/>
  <c r="AX70" i="133" s="1"/>
  <c r="BL70" i="133" s="1"/>
  <c r="V30" i="195"/>
  <c r="AY74" i="133"/>
  <c r="AX74" i="133" s="1"/>
  <c r="BL74" i="133" s="1"/>
  <c r="V34" i="195"/>
  <c r="Z78" i="133"/>
  <c r="AP78" i="133" s="1"/>
  <c r="AR78" i="133"/>
  <c r="AY80" i="133"/>
  <c r="AX80" i="133" s="1"/>
  <c r="BL80" i="133" s="1"/>
  <c r="V40" i="195"/>
  <c r="AY84" i="133"/>
  <c r="AX84" i="133" s="1"/>
  <c r="BL84" i="133" s="1"/>
  <c r="V44" i="195"/>
  <c r="AY88" i="133"/>
  <c r="AX88" i="133" s="1"/>
  <c r="BL88" i="133" s="1"/>
  <c r="V48" i="195"/>
  <c r="AY68" i="133"/>
  <c r="AX68" i="133" s="1"/>
  <c r="BL68" i="133" s="1"/>
  <c r="V28" i="195"/>
  <c r="AY76" i="133"/>
  <c r="AX76" i="133" s="1"/>
  <c r="BL76" i="133" s="1"/>
  <c r="V36" i="195"/>
  <c r="AY83" i="133"/>
  <c r="AX83" i="133" s="1"/>
  <c r="BL83" i="133" s="1"/>
  <c r="V43" i="195"/>
  <c r="AY87" i="133"/>
  <c r="AX87" i="133" s="1"/>
  <c r="BL87" i="133" s="1"/>
  <c r="V47" i="195"/>
  <c r="AY72" i="133"/>
  <c r="AX72" i="133" s="1"/>
  <c r="BL72" i="133" s="1"/>
  <c r="V32" i="195"/>
  <c r="AY86" i="133"/>
  <c r="AX86" i="133" s="1"/>
  <c r="BL86" i="133" s="1"/>
  <c r="V46" i="195"/>
  <c r="V49" i="195"/>
  <c r="AY89" i="133"/>
  <c r="AX89" i="133" s="1"/>
  <c r="BL89" i="133" s="1"/>
  <c r="AY47" i="133"/>
  <c r="AX47" i="133" s="1"/>
  <c r="BL47" i="133" s="1"/>
  <c r="V7" i="195"/>
  <c r="AY51" i="133"/>
  <c r="AX51" i="133" s="1"/>
  <c r="BL51" i="133" s="1"/>
  <c r="V11" i="195"/>
  <c r="AY55" i="133"/>
  <c r="AX55" i="133" s="1"/>
  <c r="BL55" i="133" s="1"/>
  <c r="V15" i="195"/>
  <c r="AY59" i="133"/>
  <c r="AX59" i="133" s="1"/>
  <c r="BL59" i="133" s="1"/>
  <c r="V19" i="195"/>
  <c r="AY63" i="133"/>
  <c r="AX63" i="133" s="1"/>
  <c r="BL63" i="133" s="1"/>
  <c r="V23" i="195"/>
  <c r="AY81" i="133"/>
  <c r="AX81" i="133" s="1"/>
  <c r="BL81" i="133" s="1"/>
  <c r="V41" i="195"/>
  <c r="AY85" i="133"/>
  <c r="AX85" i="133" s="1"/>
  <c r="BL85" i="133" s="1"/>
  <c r="V45" i="195"/>
  <c r="AY77" i="133"/>
  <c r="AX77" i="133" s="1"/>
  <c r="BL77" i="133" s="1"/>
  <c r="V37" i="195"/>
  <c r="AS48" i="133"/>
  <c r="AS52" i="133"/>
  <c r="AS56" i="133"/>
  <c r="AS60" i="133"/>
  <c r="AS64" i="133"/>
  <c r="AZ67" i="133"/>
  <c r="AZ80" i="133"/>
  <c r="AS45" i="133"/>
  <c r="AS49" i="133"/>
  <c r="AS53" i="133"/>
  <c r="AS57" i="133"/>
  <c r="AS61" i="133"/>
  <c r="AS65" i="133"/>
  <c r="AS69" i="133"/>
  <c r="AS73" i="133"/>
  <c r="AS75" i="133"/>
  <c r="AS83" i="133"/>
  <c r="AS87" i="133"/>
  <c r="AS89" i="133"/>
  <c r="AS67" i="133"/>
  <c r="AS71" i="133"/>
  <c r="AS85" i="133"/>
  <c r="AS80" i="133"/>
  <c r="AS84" i="133"/>
  <c r="AS88" i="133"/>
  <c r="AY52" i="131"/>
  <c r="AX52" i="131" s="1"/>
  <c r="P12" i="195"/>
  <c r="AY56" i="131"/>
  <c r="AX56" i="131" s="1"/>
  <c r="P16" i="195"/>
  <c r="AY60" i="131"/>
  <c r="AX60" i="131" s="1"/>
  <c r="P20" i="195"/>
  <c r="AY64" i="131"/>
  <c r="AX64" i="131" s="1"/>
  <c r="P24" i="195"/>
  <c r="AY68" i="131"/>
  <c r="AX68" i="131" s="1"/>
  <c r="P28" i="195"/>
  <c r="AY77" i="131"/>
  <c r="AX77" i="131" s="1"/>
  <c r="P37" i="195"/>
  <c r="AY82" i="131"/>
  <c r="AX82" i="131" s="1"/>
  <c r="P42" i="195"/>
  <c r="AY86" i="131"/>
  <c r="AX86" i="131" s="1"/>
  <c r="P46" i="195"/>
  <c r="AY88" i="131"/>
  <c r="AX88" i="131" s="1"/>
  <c r="P48" i="195"/>
  <c r="AY89" i="131"/>
  <c r="AX89" i="131" s="1"/>
  <c r="P49" i="195"/>
  <c r="AY81" i="131"/>
  <c r="AX81" i="131" s="1"/>
  <c r="P41" i="195"/>
  <c r="AY85" i="131"/>
  <c r="AX85" i="131" s="1"/>
  <c r="P45" i="195"/>
  <c r="AY50" i="131"/>
  <c r="AX50" i="131" s="1"/>
  <c r="P10" i="195"/>
  <c r="AY54" i="131"/>
  <c r="AX54" i="131" s="1"/>
  <c r="P14" i="195"/>
  <c r="AY58" i="131"/>
  <c r="AX58" i="131" s="1"/>
  <c r="P18" i="195"/>
  <c r="AY62" i="131"/>
  <c r="AX62" i="131" s="1"/>
  <c r="P22" i="195"/>
  <c r="AY66" i="131"/>
  <c r="AX66" i="131" s="1"/>
  <c r="P26" i="195"/>
  <c r="AY75" i="131"/>
  <c r="AX75" i="131" s="1"/>
  <c r="P35" i="195"/>
  <c r="AY76" i="131"/>
  <c r="AX76" i="131" s="1"/>
  <c r="P36" i="195"/>
  <c r="AY49" i="131"/>
  <c r="AX49" i="131" s="1"/>
  <c r="P9" i="195"/>
  <c r="AY51" i="131"/>
  <c r="AX51" i="131" s="1"/>
  <c r="P11" i="195"/>
  <c r="AY53" i="131"/>
  <c r="AX53" i="131" s="1"/>
  <c r="P13" i="195"/>
  <c r="AY55" i="131"/>
  <c r="AX55" i="131" s="1"/>
  <c r="P15" i="195"/>
  <c r="AY57" i="131"/>
  <c r="AX57" i="131" s="1"/>
  <c r="P17" i="195"/>
  <c r="AY59" i="131"/>
  <c r="AX59" i="131" s="1"/>
  <c r="P19" i="195"/>
  <c r="AY61" i="131"/>
  <c r="AX61" i="131" s="1"/>
  <c r="P21" i="195"/>
  <c r="AY63" i="131"/>
  <c r="AX63" i="131" s="1"/>
  <c r="P23" i="195"/>
  <c r="AY65" i="131"/>
  <c r="AX65" i="131" s="1"/>
  <c r="P25" i="195"/>
  <c r="AY67" i="131"/>
  <c r="AX67" i="131" s="1"/>
  <c r="P27" i="195"/>
  <c r="AY79" i="131"/>
  <c r="AX79" i="131" s="1"/>
  <c r="P39" i="195"/>
  <c r="AY83" i="131"/>
  <c r="AX83" i="131" s="1"/>
  <c r="P43" i="195"/>
  <c r="AY48" i="131"/>
  <c r="AX48" i="131" s="1"/>
  <c r="P8" i="195"/>
  <c r="R45" i="131"/>
  <c r="AW47" i="131"/>
  <c r="BI47" i="131" s="1"/>
  <c r="Z46" i="131"/>
  <c r="AP46" i="131" s="1"/>
  <c r="AR46" i="131"/>
  <c r="AW46" i="131"/>
  <c r="BI46" i="131" s="1"/>
  <c r="AW45" i="131"/>
  <c r="BI45" i="131" s="1"/>
  <c r="AS48" i="131"/>
  <c r="AS50" i="131"/>
  <c r="AS52" i="131"/>
  <c r="AS54" i="131"/>
  <c r="AS56" i="131"/>
  <c r="AS58" i="131"/>
  <c r="AS60" i="131"/>
  <c r="AS62" i="131"/>
  <c r="AS64" i="131"/>
  <c r="AS66" i="131"/>
  <c r="AS68" i="131"/>
  <c r="AS76" i="131"/>
  <c r="AS77" i="131"/>
  <c r="AS79" i="131"/>
  <c r="AS81" i="131"/>
  <c r="AS83" i="131"/>
  <c r="AS85" i="131"/>
  <c r="AR47" i="131"/>
  <c r="Z47" i="131"/>
  <c r="AP47" i="131" s="1"/>
  <c r="AR45" i="131"/>
  <c r="Z45" i="131"/>
  <c r="AP45" i="131" s="1"/>
  <c r="BA63" i="16"/>
  <c r="AV49" i="129"/>
  <c r="AU49" i="129" s="1"/>
  <c r="BG49" i="129" s="1"/>
  <c r="AT49" i="129"/>
  <c r="BF49" i="129" s="1"/>
  <c r="AW48" i="129"/>
  <c r="AR50" i="22"/>
  <c r="N10" i="194" s="1"/>
  <c r="X65" i="129"/>
  <c r="AB64" i="129"/>
  <c r="AO64" i="129" s="1"/>
  <c r="T44" i="131"/>
  <c r="H44" i="131"/>
  <c r="I44" i="131" s="1"/>
  <c r="W124" i="102" l="1"/>
  <c r="AA124" i="102" s="1"/>
  <c r="U8" i="639" s="1"/>
  <c r="AV8" i="639"/>
  <c r="W135" i="129"/>
  <c r="AA135" i="129" s="1"/>
  <c r="L19" i="639" s="1"/>
  <c r="AM19" i="639"/>
  <c r="AP86" i="129"/>
  <c r="L46" i="195"/>
  <c r="AV86" i="129"/>
  <c r="AP89" i="129"/>
  <c r="AV89" i="129"/>
  <c r="L49" i="195"/>
  <c r="AW70" i="129"/>
  <c r="P137" i="129"/>
  <c r="T136" i="129"/>
  <c r="X136" i="129" s="1"/>
  <c r="AB136" i="129" s="1"/>
  <c r="S136" i="129"/>
  <c r="R136" i="129"/>
  <c r="V136" i="129" s="1"/>
  <c r="Z136" i="129" s="1"/>
  <c r="L95" i="639" s="1"/>
  <c r="AZ57" i="133"/>
  <c r="AZ48" i="133"/>
  <c r="J75" i="131"/>
  <c r="BJ75" i="131"/>
  <c r="J67" i="131"/>
  <c r="BJ67" i="131"/>
  <c r="J59" i="131"/>
  <c r="BJ59" i="131"/>
  <c r="J51" i="131"/>
  <c r="BJ51" i="131"/>
  <c r="J66" i="131"/>
  <c r="BJ66" i="131"/>
  <c r="J50" i="131"/>
  <c r="BJ50" i="131"/>
  <c r="J88" i="131"/>
  <c r="BJ88" i="131"/>
  <c r="J68" i="131"/>
  <c r="BJ68" i="131"/>
  <c r="J52" i="131"/>
  <c r="BJ52" i="131"/>
  <c r="J61" i="131"/>
  <c r="BJ61" i="131"/>
  <c r="J87" i="131"/>
  <c r="BJ87" i="131"/>
  <c r="J54" i="131"/>
  <c r="BJ54" i="131"/>
  <c r="J48" i="131"/>
  <c r="BJ48" i="131"/>
  <c r="J65" i="131"/>
  <c r="BJ65" i="131"/>
  <c r="J57" i="131"/>
  <c r="BJ57" i="131"/>
  <c r="J49" i="131"/>
  <c r="BJ49" i="131"/>
  <c r="J62" i="131"/>
  <c r="BJ62" i="131"/>
  <c r="J85" i="131"/>
  <c r="BJ85" i="131"/>
  <c r="J86" i="131"/>
  <c r="BJ86" i="131"/>
  <c r="J64" i="131"/>
  <c r="BJ64" i="131"/>
  <c r="J77" i="131"/>
  <c r="BJ77" i="131"/>
  <c r="J53" i="131"/>
  <c r="BJ53" i="131"/>
  <c r="J89" i="131"/>
  <c r="BJ89" i="131"/>
  <c r="J83" i="131"/>
  <c r="BJ83" i="131"/>
  <c r="J63" i="131"/>
  <c r="BJ63" i="131"/>
  <c r="J55" i="131"/>
  <c r="BJ55" i="131"/>
  <c r="J76" i="131"/>
  <c r="BJ76" i="131"/>
  <c r="J58" i="131"/>
  <c r="BJ58" i="131"/>
  <c r="J81" i="131"/>
  <c r="BJ81" i="131"/>
  <c r="J82" i="131"/>
  <c r="BJ82" i="131"/>
  <c r="J60" i="131"/>
  <c r="BJ60" i="131"/>
  <c r="J79" i="131"/>
  <c r="BJ79" i="131"/>
  <c r="J56" i="131"/>
  <c r="BJ56" i="131"/>
  <c r="AZ68" i="133"/>
  <c r="AZ65" i="133"/>
  <c r="AZ49" i="133"/>
  <c r="AZ64" i="133"/>
  <c r="AZ56" i="133"/>
  <c r="AZ45" i="133"/>
  <c r="AS87" i="131"/>
  <c r="P47" i="195"/>
  <c r="AZ83" i="133"/>
  <c r="AY79" i="133"/>
  <c r="AS79" i="133"/>
  <c r="V39" i="195"/>
  <c r="AZ51" i="133"/>
  <c r="AZ81" i="133"/>
  <c r="AY82" i="133"/>
  <c r="AS82" i="133"/>
  <c r="V42" i="195"/>
  <c r="AZ72" i="133"/>
  <c r="AZ71" i="133"/>
  <c r="AC78" i="131"/>
  <c r="AP78" i="131"/>
  <c r="AC73" i="131"/>
  <c r="AP73" i="131"/>
  <c r="AY80" i="131"/>
  <c r="P40" i="195"/>
  <c r="AS80" i="131"/>
  <c r="AY84" i="131"/>
  <c r="P44" i="195"/>
  <c r="AS84" i="131"/>
  <c r="N5" i="193"/>
  <c r="N4" i="490" s="1"/>
  <c r="AZ87" i="133"/>
  <c r="AZ60" i="133"/>
  <c r="AZ46" i="133"/>
  <c r="AZ61" i="133"/>
  <c r="AZ84" i="133"/>
  <c r="AZ62" i="133"/>
  <c r="AZ68" i="131"/>
  <c r="AZ77" i="133"/>
  <c r="AZ59" i="133"/>
  <c r="AZ74" i="133"/>
  <c r="AZ70" i="133"/>
  <c r="AZ54" i="133"/>
  <c r="AZ53" i="133"/>
  <c r="P139" i="27"/>
  <c r="BB44" i="131"/>
  <c r="BA44" i="131" s="1"/>
  <c r="AZ51" i="131"/>
  <c r="AW84" i="129"/>
  <c r="AZ89" i="133"/>
  <c r="AZ56" i="131"/>
  <c r="AZ61" i="131"/>
  <c r="AZ59" i="131"/>
  <c r="AZ67" i="131"/>
  <c r="AZ49" i="131"/>
  <c r="AZ57" i="131"/>
  <c r="AZ65" i="131"/>
  <c r="AZ53" i="131"/>
  <c r="AZ87" i="131"/>
  <c r="AZ82" i="131"/>
  <c r="AZ81" i="131"/>
  <c r="AZ60" i="131"/>
  <c r="AZ77" i="131"/>
  <c r="AZ86" i="131"/>
  <c r="AZ63" i="131"/>
  <c r="AZ55" i="131"/>
  <c r="AZ89" i="131"/>
  <c r="AZ64" i="131"/>
  <c r="AZ58" i="131"/>
  <c r="AZ76" i="133"/>
  <c r="AW88" i="129"/>
  <c r="AW71" i="129"/>
  <c r="AZ86" i="133"/>
  <c r="AZ85" i="133"/>
  <c r="L23" i="195"/>
  <c r="AV63" i="129"/>
  <c r="AP63" i="129"/>
  <c r="AZ75" i="131"/>
  <c r="AZ66" i="133"/>
  <c r="AZ50" i="133"/>
  <c r="AZ55" i="133"/>
  <c r="AW80" i="129"/>
  <c r="AZ88" i="131"/>
  <c r="AZ83" i="131"/>
  <c r="AZ52" i="131"/>
  <c r="AZ75" i="133"/>
  <c r="L24" i="195"/>
  <c r="AV64" i="129"/>
  <c r="AP64" i="129"/>
  <c r="AZ79" i="131"/>
  <c r="AZ73" i="133"/>
  <c r="AZ85" i="131"/>
  <c r="AZ52" i="133"/>
  <c r="AZ58" i="133"/>
  <c r="AZ88" i="133"/>
  <c r="AZ63" i="133"/>
  <c r="AZ47" i="133"/>
  <c r="AZ69" i="133"/>
  <c r="X126" i="104"/>
  <c r="AB126" i="104" s="1"/>
  <c r="V126" i="104"/>
  <c r="Z126" i="104" s="1"/>
  <c r="X85" i="639" s="1"/>
  <c r="W126" i="104"/>
  <c r="AA126" i="104" s="1"/>
  <c r="X10" i="639" s="1"/>
  <c r="C164" i="105"/>
  <c r="B164" i="105"/>
  <c r="W127" i="105"/>
  <c r="K127" i="25"/>
  <c r="Q127" i="25" s="1"/>
  <c r="T125" i="102"/>
  <c r="X125" i="102" s="1"/>
  <c r="AB125" i="102" s="1"/>
  <c r="R125" i="102"/>
  <c r="V125" i="102" s="1"/>
  <c r="Z125" i="102" s="1"/>
  <c r="U84" i="639" s="1"/>
  <c r="S125" i="102"/>
  <c r="X66" i="101"/>
  <c r="AG67" i="101"/>
  <c r="AZ66" i="131"/>
  <c r="AZ50" i="131"/>
  <c r="AY78" i="133"/>
  <c r="V38" i="195"/>
  <c r="AS78" i="133"/>
  <c r="AZ48" i="131"/>
  <c r="AZ76" i="131"/>
  <c r="AZ62" i="131"/>
  <c r="AZ54" i="131"/>
  <c r="AY45" i="131"/>
  <c r="AZ45" i="131" s="1"/>
  <c r="P5" i="195"/>
  <c r="AY47" i="131"/>
  <c r="AX47" i="131" s="1"/>
  <c r="P7" i="195"/>
  <c r="AY46" i="131"/>
  <c r="AX46" i="131" s="1"/>
  <c r="P6" i="195"/>
  <c r="R44" i="131"/>
  <c r="AO44" i="131"/>
  <c r="B44" i="131"/>
  <c r="P4" i="135" s="1"/>
  <c r="AC44" i="131"/>
  <c r="AR44" i="131" s="1"/>
  <c r="AS45" i="131"/>
  <c r="AS46" i="131"/>
  <c r="AS47" i="131"/>
  <c r="BA64" i="16"/>
  <c r="AV50" i="129"/>
  <c r="AU50" i="129" s="1"/>
  <c r="BG50" i="129" s="1"/>
  <c r="AT50" i="129"/>
  <c r="BF50" i="129" s="1"/>
  <c r="AW49" i="129"/>
  <c r="AR51" i="22"/>
  <c r="N11" i="194" s="1"/>
  <c r="X66" i="129"/>
  <c r="AB65" i="129"/>
  <c r="AO65" i="129" s="1"/>
  <c r="Y64" i="129"/>
  <c r="P64" i="129"/>
  <c r="J64" i="129"/>
  <c r="AB44" i="131"/>
  <c r="AQ44" i="131" s="1"/>
  <c r="W136" i="129" l="1"/>
  <c r="AA136" i="129" s="1"/>
  <c r="L20" i="639" s="1"/>
  <c r="AM20" i="639"/>
  <c r="W125" i="102"/>
  <c r="AA125" i="102" s="1"/>
  <c r="U9" i="639" s="1"/>
  <c r="AV9" i="639"/>
  <c r="P138" i="129"/>
  <c r="S137" i="129"/>
  <c r="R137" i="129"/>
  <c r="V137" i="129" s="1"/>
  <c r="Z137" i="129" s="1"/>
  <c r="L96" i="639" s="1"/>
  <c r="T137" i="129"/>
  <c r="X137" i="129" s="1"/>
  <c r="AB137" i="129" s="1"/>
  <c r="AU89" i="129"/>
  <c r="BG89" i="129" s="1"/>
  <c r="AW89" i="129"/>
  <c r="K122" i="129" s="1"/>
  <c r="Q122" i="129" s="1"/>
  <c r="AU86" i="129"/>
  <c r="BG86" i="129" s="1"/>
  <c r="AW86" i="129"/>
  <c r="J46" i="131"/>
  <c r="BJ46" i="131"/>
  <c r="J47" i="131"/>
  <c r="BJ47" i="131"/>
  <c r="AX82" i="133"/>
  <c r="BL82" i="133" s="1"/>
  <c r="AZ82" i="133"/>
  <c r="AX79" i="133"/>
  <c r="BL79" i="133" s="1"/>
  <c r="AZ79" i="133"/>
  <c r="AX80" i="131"/>
  <c r="AZ80" i="131"/>
  <c r="AX84" i="131"/>
  <c r="AZ84" i="131"/>
  <c r="Q73" i="131"/>
  <c r="AR73" i="131"/>
  <c r="AR78" i="131"/>
  <c r="Q78" i="131"/>
  <c r="AZ46" i="131"/>
  <c r="P140" i="27"/>
  <c r="AZ47" i="131"/>
  <c r="AX45" i="131"/>
  <c r="AU64" i="129"/>
  <c r="BG64" i="129" s="1"/>
  <c r="AW64" i="129"/>
  <c r="X127" i="104"/>
  <c r="AB127" i="104" s="1"/>
  <c r="W127" i="104"/>
  <c r="AA127" i="104" s="1"/>
  <c r="X11" i="639" s="1"/>
  <c r="V127" i="104"/>
  <c r="Z127" i="104" s="1"/>
  <c r="X86" i="639" s="1"/>
  <c r="L25" i="195"/>
  <c r="AV65" i="129"/>
  <c r="AP65" i="129"/>
  <c r="Q44" i="131"/>
  <c r="AU63" i="129"/>
  <c r="BG63" i="129" s="1"/>
  <c r="AW63" i="129"/>
  <c r="K128" i="25"/>
  <c r="Q128" i="25" s="1"/>
  <c r="C165" i="105"/>
  <c r="W128" i="105"/>
  <c r="B165" i="105"/>
  <c r="S126" i="102"/>
  <c r="T126" i="102"/>
  <c r="X126" i="102" s="1"/>
  <c r="AB126" i="102" s="1"/>
  <c r="R126" i="102"/>
  <c r="V126" i="102" s="1"/>
  <c r="Z126" i="102" s="1"/>
  <c r="U85" i="639" s="1"/>
  <c r="X67" i="101"/>
  <c r="AG68" i="101"/>
  <c r="AX78" i="133"/>
  <c r="BL78" i="133" s="1"/>
  <c r="AZ78" i="133"/>
  <c r="AY44" i="131"/>
  <c r="AX44" i="131" s="1"/>
  <c r="P4" i="195"/>
  <c r="AS44" i="131"/>
  <c r="AW44" i="131"/>
  <c r="BI44" i="131" s="1"/>
  <c r="BA65" i="16"/>
  <c r="AV51" i="129"/>
  <c r="AT51" i="129"/>
  <c r="BF51" i="129" s="1"/>
  <c r="AW50" i="129"/>
  <c r="X67" i="129"/>
  <c r="AB66" i="129"/>
  <c r="AO66" i="129" s="1"/>
  <c r="Y65" i="129"/>
  <c r="J65" i="129"/>
  <c r="P65" i="129"/>
  <c r="Z44" i="131"/>
  <c r="AP44" i="131" s="1"/>
  <c r="W126" i="102" l="1"/>
  <c r="AA126" i="102" s="1"/>
  <c r="U10" i="639" s="1"/>
  <c r="AV10" i="639"/>
  <c r="W137" i="129"/>
  <c r="AA137" i="129" s="1"/>
  <c r="L21" i="639" s="1"/>
  <c r="AM21" i="639"/>
  <c r="P139" i="129"/>
  <c r="T138" i="129"/>
  <c r="X138" i="129" s="1"/>
  <c r="AB138" i="129" s="1"/>
  <c r="R138" i="129"/>
  <c r="V138" i="129" s="1"/>
  <c r="Z138" i="129" s="1"/>
  <c r="L97" i="639" s="1"/>
  <c r="S138" i="129"/>
  <c r="J45" i="131"/>
  <c r="BJ45" i="131"/>
  <c r="J44" i="131"/>
  <c r="BJ44" i="131"/>
  <c r="J84" i="131"/>
  <c r="BJ84" i="131"/>
  <c r="J80" i="131"/>
  <c r="BJ80" i="131"/>
  <c r="P38" i="195"/>
  <c r="AS78" i="131"/>
  <c r="AY78" i="131"/>
  <c r="P33" i="195"/>
  <c r="AY73" i="131"/>
  <c r="AS73" i="131"/>
  <c r="P141" i="27"/>
  <c r="AZ44" i="131"/>
  <c r="AU65" i="129"/>
  <c r="BG65" i="129" s="1"/>
  <c r="AW65" i="129"/>
  <c r="L26" i="195"/>
  <c r="AV66" i="129"/>
  <c r="AP66" i="129"/>
  <c r="X128" i="104"/>
  <c r="AB128" i="104" s="1"/>
  <c r="W128" i="104"/>
  <c r="AA128" i="104" s="1"/>
  <c r="X12" i="639" s="1"/>
  <c r="V128" i="104"/>
  <c r="Z128" i="104" s="1"/>
  <c r="X87" i="639" s="1"/>
  <c r="AU51" i="129"/>
  <c r="BG51" i="129" s="1"/>
  <c r="B166" i="105"/>
  <c r="W129" i="105"/>
  <c r="C166" i="105"/>
  <c r="K129" i="25"/>
  <c r="Q129" i="25" s="1"/>
  <c r="S127" i="102"/>
  <c r="R127" i="102"/>
  <c r="V127" i="102" s="1"/>
  <c r="Z127" i="102" s="1"/>
  <c r="U86" i="639" s="1"/>
  <c r="T127" i="102"/>
  <c r="X127" i="102" s="1"/>
  <c r="AB127" i="102" s="1"/>
  <c r="AG69" i="101"/>
  <c r="X68" i="101"/>
  <c r="BA66" i="16"/>
  <c r="AW51" i="129"/>
  <c r="X68" i="129"/>
  <c r="AB67" i="129"/>
  <c r="AO67" i="129" s="1"/>
  <c r="Y66" i="129"/>
  <c r="P66" i="129"/>
  <c r="J66" i="129"/>
  <c r="W138" i="129" l="1"/>
  <c r="AA138" i="129" s="1"/>
  <c r="L22" i="639" s="1"/>
  <c r="AM22" i="639"/>
  <c r="W127" i="102"/>
  <c r="AA127" i="102" s="1"/>
  <c r="U11" i="639" s="1"/>
  <c r="AV11" i="639"/>
  <c r="P140" i="129"/>
  <c r="T139" i="129"/>
  <c r="X139" i="129" s="1"/>
  <c r="AB139" i="129" s="1"/>
  <c r="R139" i="129"/>
  <c r="V139" i="129" s="1"/>
  <c r="Z139" i="129" s="1"/>
  <c r="L98" i="639" s="1"/>
  <c r="S139" i="129"/>
  <c r="AX73" i="131"/>
  <c r="AZ73" i="131"/>
  <c r="AX78" i="131"/>
  <c r="AZ78" i="131"/>
  <c r="P142" i="27"/>
  <c r="L27" i="195"/>
  <c r="AV67" i="129"/>
  <c r="AP67" i="129"/>
  <c r="X129" i="104"/>
  <c r="AB129" i="104" s="1"/>
  <c r="W129" i="104"/>
  <c r="AA129" i="104" s="1"/>
  <c r="X13" i="639" s="1"/>
  <c r="V129" i="104"/>
  <c r="Z129" i="104" s="1"/>
  <c r="X88" i="639" s="1"/>
  <c r="AU66" i="129"/>
  <c r="BG66" i="129" s="1"/>
  <c r="AW66" i="129"/>
  <c r="C167" i="105"/>
  <c r="B167" i="105"/>
  <c r="W130" i="105"/>
  <c r="R128" i="102"/>
  <c r="V128" i="102" s="1"/>
  <c r="Z128" i="102" s="1"/>
  <c r="U87" i="639" s="1"/>
  <c r="S128" i="102"/>
  <c r="T128" i="102"/>
  <c r="X128" i="102" s="1"/>
  <c r="AB128" i="102" s="1"/>
  <c r="X69" i="101"/>
  <c r="AG70" i="101"/>
  <c r="BA67" i="16"/>
  <c r="X69" i="129"/>
  <c r="AB69" i="129" s="1"/>
  <c r="AO69" i="129" s="1"/>
  <c r="AB68" i="129"/>
  <c r="AO68" i="129" s="1"/>
  <c r="Y67" i="129"/>
  <c r="P67" i="129"/>
  <c r="J67" i="129"/>
  <c r="W128" i="102" l="1"/>
  <c r="AA128" i="102" s="1"/>
  <c r="U12" i="639" s="1"/>
  <c r="AV12" i="639"/>
  <c r="W139" i="129"/>
  <c r="AA139" i="129" s="1"/>
  <c r="L23" i="639" s="1"/>
  <c r="AM23" i="639"/>
  <c r="P141" i="129"/>
  <c r="T140" i="129"/>
  <c r="X140" i="129" s="1"/>
  <c r="AB140" i="129" s="1"/>
  <c r="S140" i="129"/>
  <c r="R140" i="129"/>
  <c r="V140" i="129" s="1"/>
  <c r="Z140" i="129" s="1"/>
  <c r="L99" i="639" s="1"/>
  <c r="J78" i="131"/>
  <c r="BJ78" i="131"/>
  <c r="J73" i="131"/>
  <c r="BJ73" i="131"/>
  <c r="L28" i="195"/>
  <c r="AV68" i="129"/>
  <c r="AP68" i="129"/>
  <c r="P131" i="103"/>
  <c r="L29" i="195"/>
  <c r="AV69" i="129"/>
  <c r="AP69" i="129"/>
  <c r="P131" i="104"/>
  <c r="AU67" i="129"/>
  <c r="BG67" i="129" s="1"/>
  <c r="AW67" i="129"/>
  <c r="C168" i="105"/>
  <c r="B168" i="105"/>
  <c r="W131" i="105"/>
  <c r="T129" i="102"/>
  <c r="X129" i="102" s="1"/>
  <c r="AB129" i="102" s="1"/>
  <c r="R129" i="102"/>
  <c r="V129" i="102" s="1"/>
  <c r="Z129" i="102" s="1"/>
  <c r="U88" i="639" s="1"/>
  <c r="S129" i="102"/>
  <c r="AG71" i="101"/>
  <c r="X70" i="101"/>
  <c r="BA68" i="16"/>
  <c r="Y69" i="129"/>
  <c r="J69" i="129"/>
  <c r="P69" i="129"/>
  <c r="Y68" i="129"/>
  <c r="J68" i="129"/>
  <c r="P68" i="129"/>
  <c r="W140" i="129" l="1"/>
  <c r="AA140" i="129" s="1"/>
  <c r="L24" i="639" s="1"/>
  <c r="AM24" i="639"/>
  <c r="W129" i="102"/>
  <c r="AA129" i="102" s="1"/>
  <c r="U13" i="639" s="1"/>
  <c r="AV13" i="639"/>
  <c r="P142" i="129"/>
  <c r="T141" i="129"/>
  <c r="X141" i="129" s="1"/>
  <c r="AB141" i="129" s="1"/>
  <c r="R141" i="129"/>
  <c r="V141" i="129" s="1"/>
  <c r="Z141" i="129" s="1"/>
  <c r="L100" i="639" s="1"/>
  <c r="S141" i="129"/>
  <c r="P132" i="104"/>
  <c r="P132" i="103"/>
  <c r="AU69" i="129"/>
  <c r="BG69" i="129" s="1"/>
  <c r="AW69" i="129"/>
  <c r="AU68" i="129"/>
  <c r="BG68" i="129" s="1"/>
  <c r="AW68" i="129"/>
  <c r="C169" i="105"/>
  <c r="W132" i="105"/>
  <c r="B169" i="105"/>
  <c r="P131" i="102"/>
  <c r="AG72" i="101"/>
  <c r="X71" i="101"/>
  <c r="W141" i="129" l="1"/>
  <c r="AA141" i="129" s="1"/>
  <c r="L25" i="639" s="1"/>
  <c r="AM25" i="639"/>
  <c r="T142" i="129"/>
  <c r="X142" i="129" s="1"/>
  <c r="AB142" i="129" s="1"/>
  <c r="S142" i="129"/>
  <c r="R142" i="129"/>
  <c r="V142" i="129" s="1"/>
  <c r="Z142" i="129" s="1"/>
  <c r="L101" i="639" s="1"/>
  <c r="P133" i="103"/>
  <c r="P133" i="104"/>
  <c r="B170" i="105"/>
  <c r="W133" i="105"/>
  <c r="C170" i="105"/>
  <c r="P132" i="102"/>
  <c r="X72" i="101"/>
  <c r="AG73" i="101"/>
  <c r="L103" i="639" l="1"/>
  <c r="W142" i="129"/>
  <c r="AA142" i="129" s="1"/>
  <c r="L26" i="639" s="1"/>
  <c r="AM26" i="639"/>
  <c r="P134" i="104"/>
  <c r="P134" i="103"/>
  <c r="C171" i="105"/>
  <c r="B171" i="105"/>
  <c r="W134" i="105"/>
  <c r="P133" i="102"/>
  <c r="X73" i="101"/>
  <c r="AG74" i="101"/>
  <c r="L32" i="639" l="1"/>
  <c r="P135" i="103"/>
  <c r="P135" i="104"/>
  <c r="C172" i="105"/>
  <c r="B172" i="105"/>
  <c r="W135" i="105"/>
  <c r="P134" i="102"/>
  <c r="AG75" i="101"/>
  <c r="X74" i="101"/>
  <c r="AA90" i="105"/>
  <c r="AB90" i="105" s="1"/>
  <c r="S89" i="105"/>
  <c r="I89" i="105"/>
  <c r="S88" i="105"/>
  <c r="I88" i="105"/>
  <c r="S87" i="105"/>
  <c r="M87" i="105"/>
  <c r="I87" i="105"/>
  <c r="S86" i="105"/>
  <c r="N86" i="105"/>
  <c r="M86" i="105" s="1"/>
  <c r="I86" i="105"/>
  <c r="S85" i="105"/>
  <c r="M85" i="105"/>
  <c r="I85" i="105"/>
  <c r="S84" i="105"/>
  <c r="N84" i="105"/>
  <c r="M84" i="105" s="1"/>
  <c r="I84" i="105"/>
  <c r="S83" i="105"/>
  <c r="M83" i="105"/>
  <c r="I83" i="105"/>
  <c r="S82" i="105"/>
  <c r="N82" i="105"/>
  <c r="M82" i="105" s="1"/>
  <c r="I82" i="105"/>
  <c r="S81" i="105"/>
  <c r="M81" i="105"/>
  <c r="I81" i="105"/>
  <c r="S80" i="105"/>
  <c r="N80" i="105"/>
  <c r="M80" i="105" s="1"/>
  <c r="I80" i="105"/>
  <c r="S79" i="105"/>
  <c r="M79" i="105"/>
  <c r="I79" i="105"/>
  <c r="S78" i="105"/>
  <c r="N78" i="105"/>
  <c r="M78" i="105" s="1"/>
  <c r="K78" i="105"/>
  <c r="I78" i="105" s="1"/>
  <c r="F78" i="105"/>
  <c r="H78" i="105" s="1"/>
  <c r="S77" i="105"/>
  <c r="M77" i="105"/>
  <c r="K77" i="105"/>
  <c r="I77" i="105" s="1"/>
  <c r="F77" i="105"/>
  <c r="H77" i="105" s="1"/>
  <c r="S76" i="105"/>
  <c r="K76" i="105"/>
  <c r="I76" i="105" s="1"/>
  <c r="F76" i="105"/>
  <c r="H76" i="105" s="1"/>
  <c r="S75" i="105"/>
  <c r="N75" i="105"/>
  <c r="N76" i="105" s="1"/>
  <c r="M76" i="105" s="1"/>
  <c r="K75" i="105"/>
  <c r="I75" i="105" s="1"/>
  <c r="F75" i="105"/>
  <c r="H75" i="105" s="1"/>
  <c r="S74" i="105"/>
  <c r="M74" i="105"/>
  <c r="K74" i="105"/>
  <c r="F74" i="105"/>
  <c r="H74" i="105" s="1"/>
  <c r="I74" i="105" s="1"/>
  <c r="S73" i="105"/>
  <c r="K73" i="105"/>
  <c r="F73" i="105"/>
  <c r="H73" i="105" s="1"/>
  <c r="S72" i="105"/>
  <c r="K72" i="105"/>
  <c r="F72" i="105"/>
  <c r="H72" i="105" s="1"/>
  <c r="I72" i="105" s="1"/>
  <c r="S71" i="105"/>
  <c r="K71" i="105"/>
  <c r="F71" i="105"/>
  <c r="H71" i="105" s="1"/>
  <c r="I71" i="105" s="1"/>
  <c r="S70" i="105"/>
  <c r="K70" i="105"/>
  <c r="F70" i="105"/>
  <c r="H70" i="105" s="1"/>
  <c r="S69" i="105"/>
  <c r="K69" i="105"/>
  <c r="AA69" i="105" s="1"/>
  <c r="F69" i="105"/>
  <c r="H69" i="105" s="1"/>
  <c r="I69" i="105" s="1"/>
  <c r="S68" i="105"/>
  <c r="F68" i="105"/>
  <c r="H68" i="105" s="1"/>
  <c r="I68" i="105" s="1"/>
  <c r="S67" i="105"/>
  <c r="F67" i="105"/>
  <c r="H67" i="105" s="1"/>
  <c r="I67" i="105" s="1"/>
  <c r="S66" i="105"/>
  <c r="F66" i="105"/>
  <c r="H66" i="105" s="1"/>
  <c r="I66" i="105" s="1"/>
  <c r="S65" i="105"/>
  <c r="F65" i="105"/>
  <c r="H65" i="105" s="1"/>
  <c r="I65" i="105" s="1"/>
  <c r="S64" i="105"/>
  <c r="F64" i="105"/>
  <c r="H64" i="105" s="1"/>
  <c r="I64" i="105" s="1"/>
  <c r="S63" i="105"/>
  <c r="F63" i="105"/>
  <c r="H63" i="105" s="1"/>
  <c r="I63" i="105" s="1"/>
  <c r="S62" i="105"/>
  <c r="F62" i="105"/>
  <c r="H62" i="105" s="1"/>
  <c r="I62" i="105" s="1"/>
  <c r="S61" i="105"/>
  <c r="F61" i="105"/>
  <c r="H61" i="105" s="1"/>
  <c r="I61" i="105" s="1"/>
  <c r="S60" i="105"/>
  <c r="F60" i="105"/>
  <c r="H60" i="105" s="1"/>
  <c r="I60" i="105" s="1"/>
  <c r="S59" i="105"/>
  <c r="F59" i="105"/>
  <c r="H59" i="105" s="1"/>
  <c r="I59" i="105" s="1"/>
  <c r="S58" i="105"/>
  <c r="F58" i="105"/>
  <c r="H58" i="105" s="1"/>
  <c r="I58" i="105" s="1"/>
  <c r="S57" i="105"/>
  <c r="F57" i="105"/>
  <c r="H57" i="105" s="1"/>
  <c r="I57" i="105" s="1"/>
  <c r="S56" i="105"/>
  <c r="F56" i="105"/>
  <c r="H56" i="105" s="1"/>
  <c r="I56" i="105" s="1"/>
  <c r="S55" i="105"/>
  <c r="F55" i="105"/>
  <c r="H55" i="105" s="1"/>
  <c r="I55" i="105" s="1"/>
  <c r="S54" i="105"/>
  <c r="F54" i="105"/>
  <c r="H54" i="105" s="1"/>
  <c r="I54" i="105" s="1"/>
  <c r="S53" i="105"/>
  <c r="F53" i="105"/>
  <c r="H53" i="105" s="1"/>
  <c r="I53" i="105" s="1"/>
  <c r="S52" i="105"/>
  <c r="F52" i="105"/>
  <c r="H52" i="105" s="1"/>
  <c r="I52" i="105" s="1"/>
  <c r="S51" i="105"/>
  <c r="F51" i="105"/>
  <c r="H51" i="105" s="1"/>
  <c r="I51" i="105" s="1"/>
  <c r="S50" i="105"/>
  <c r="F50" i="105"/>
  <c r="H50" i="105" s="1"/>
  <c r="I50" i="105" s="1"/>
  <c r="S49" i="105"/>
  <c r="F49" i="105"/>
  <c r="H49" i="105" s="1"/>
  <c r="I49" i="105" s="1"/>
  <c r="S48" i="105"/>
  <c r="Q48" i="105" s="1"/>
  <c r="F48" i="105"/>
  <c r="B48" i="105" s="1"/>
  <c r="Y8" i="135" s="1"/>
  <c r="S47" i="105"/>
  <c r="Q47" i="105" s="1"/>
  <c r="F47" i="105"/>
  <c r="B47" i="105" s="1"/>
  <c r="Y7" i="135" s="1"/>
  <c r="S46" i="105"/>
  <c r="Q46" i="105" s="1"/>
  <c r="F46" i="105"/>
  <c r="B46" i="105" s="1"/>
  <c r="Y6" i="135" s="1"/>
  <c r="S45" i="105"/>
  <c r="Q45" i="105" s="1"/>
  <c r="F45" i="105"/>
  <c r="B45" i="105" s="1"/>
  <c r="Y5" i="135" s="1"/>
  <c r="S44" i="105"/>
  <c r="Q44" i="105" s="1"/>
  <c r="F44" i="105"/>
  <c r="B44" i="105" s="1"/>
  <c r="Y4" i="135" s="1"/>
  <c r="AA90" i="104"/>
  <c r="S89" i="104"/>
  <c r="S88" i="104"/>
  <c r="I88" i="104"/>
  <c r="S87" i="104"/>
  <c r="M87" i="104"/>
  <c r="I87" i="104"/>
  <c r="S86" i="104"/>
  <c r="N86" i="104"/>
  <c r="M86" i="104" s="1"/>
  <c r="I86" i="104"/>
  <c r="S85" i="104"/>
  <c r="M85" i="104"/>
  <c r="I85" i="104"/>
  <c r="S84" i="104"/>
  <c r="N84" i="104"/>
  <c r="M84" i="104" s="1"/>
  <c r="I84" i="104"/>
  <c r="S83" i="104"/>
  <c r="M83" i="104"/>
  <c r="I83" i="104"/>
  <c r="S82" i="104"/>
  <c r="M82" i="104"/>
  <c r="I82" i="104"/>
  <c r="S81" i="104"/>
  <c r="M81" i="104"/>
  <c r="I81" i="104"/>
  <c r="S80" i="104"/>
  <c r="M80" i="104"/>
  <c r="I80" i="104"/>
  <c r="S79" i="104"/>
  <c r="M79" i="104"/>
  <c r="I79" i="104"/>
  <c r="X78" i="104"/>
  <c r="S78" i="104"/>
  <c r="N78" i="104"/>
  <c r="M78" i="104" s="1"/>
  <c r="K78" i="104"/>
  <c r="I78" i="104" s="1"/>
  <c r="F78" i="104"/>
  <c r="H78" i="104" s="1"/>
  <c r="X77" i="104"/>
  <c r="S77" i="104"/>
  <c r="M77" i="104"/>
  <c r="K77" i="104"/>
  <c r="I77" i="104" s="1"/>
  <c r="F77" i="104"/>
  <c r="H77" i="104" s="1"/>
  <c r="X76" i="104"/>
  <c r="S76" i="104"/>
  <c r="K76" i="104"/>
  <c r="I76" i="104" s="1"/>
  <c r="F76" i="104"/>
  <c r="H76" i="104" s="1"/>
  <c r="X75" i="104"/>
  <c r="S75" i="104"/>
  <c r="N75" i="104"/>
  <c r="N76" i="104" s="1"/>
  <c r="M76" i="104" s="1"/>
  <c r="K75" i="104"/>
  <c r="I75" i="104" s="1"/>
  <c r="F75" i="104"/>
  <c r="H75" i="104" s="1"/>
  <c r="X74" i="104"/>
  <c r="S74" i="104"/>
  <c r="M74" i="104"/>
  <c r="K74" i="104"/>
  <c r="F74" i="104"/>
  <c r="H74" i="104" s="1"/>
  <c r="I74" i="104" s="1"/>
  <c r="X73" i="104"/>
  <c r="S73" i="104"/>
  <c r="K73" i="104"/>
  <c r="F73" i="104"/>
  <c r="H73" i="104" s="1"/>
  <c r="I73" i="104" s="1"/>
  <c r="X72" i="104"/>
  <c r="S72" i="104"/>
  <c r="K72" i="104"/>
  <c r="F72" i="104"/>
  <c r="H72" i="104" s="1"/>
  <c r="I72" i="104" s="1"/>
  <c r="X71" i="104"/>
  <c r="S71" i="104"/>
  <c r="F71" i="104"/>
  <c r="H71" i="104" s="1"/>
  <c r="I71" i="104" s="1"/>
  <c r="X70" i="104"/>
  <c r="S70" i="104"/>
  <c r="F70" i="104"/>
  <c r="H70" i="104" s="1"/>
  <c r="I70" i="104" s="1"/>
  <c r="X69" i="104"/>
  <c r="S69" i="104"/>
  <c r="F69" i="104"/>
  <c r="H69" i="104" s="1"/>
  <c r="I69" i="104" s="1"/>
  <c r="X68" i="104"/>
  <c r="S68" i="104"/>
  <c r="F68" i="104"/>
  <c r="H68" i="104" s="1"/>
  <c r="I68" i="104" s="1"/>
  <c r="X67" i="104"/>
  <c r="S67" i="104"/>
  <c r="F67" i="104"/>
  <c r="H67" i="104" s="1"/>
  <c r="I67" i="104" s="1"/>
  <c r="X66" i="104"/>
  <c r="S66" i="104"/>
  <c r="F66" i="104"/>
  <c r="H66" i="104" s="1"/>
  <c r="I66" i="104" s="1"/>
  <c r="X65" i="104"/>
  <c r="S65" i="104"/>
  <c r="F65" i="104"/>
  <c r="H65" i="104" s="1"/>
  <c r="I65" i="104" s="1"/>
  <c r="X64" i="104"/>
  <c r="S64" i="104"/>
  <c r="F64" i="104"/>
  <c r="H64" i="104" s="1"/>
  <c r="I64" i="104" s="1"/>
  <c r="X63" i="104"/>
  <c r="S63" i="104"/>
  <c r="F63" i="104"/>
  <c r="H63" i="104" s="1"/>
  <c r="I63" i="104" s="1"/>
  <c r="X62" i="104"/>
  <c r="S62" i="104"/>
  <c r="F62" i="104"/>
  <c r="H62" i="104" s="1"/>
  <c r="I62" i="104" s="1"/>
  <c r="X61" i="104"/>
  <c r="S61" i="104"/>
  <c r="F61" i="104"/>
  <c r="H61" i="104" s="1"/>
  <c r="I61" i="104" s="1"/>
  <c r="X60" i="104"/>
  <c r="S60" i="104"/>
  <c r="F60" i="104"/>
  <c r="H60" i="104" s="1"/>
  <c r="I60" i="104" s="1"/>
  <c r="X59" i="104"/>
  <c r="S59" i="104"/>
  <c r="F59" i="104"/>
  <c r="H59" i="104" s="1"/>
  <c r="I59" i="104" s="1"/>
  <c r="X58" i="104"/>
  <c r="S58" i="104"/>
  <c r="F58" i="104"/>
  <c r="H58" i="104" s="1"/>
  <c r="I58" i="104" s="1"/>
  <c r="X57" i="104"/>
  <c r="S57" i="104"/>
  <c r="F57" i="104"/>
  <c r="H57" i="104" s="1"/>
  <c r="I57" i="104" s="1"/>
  <c r="X56" i="104"/>
  <c r="S56" i="104"/>
  <c r="F56" i="104"/>
  <c r="H56" i="104" s="1"/>
  <c r="I56" i="104" s="1"/>
  <c r="X55" i="104"/>
  <c r="S55" i="104"/>
  <c r="F55" i="104"/>
  <c r="H55" i="104" s="1"/>
  <c r="I55" i="104" s="1"/>
  <c r="X54" i="104"/>
  <c r="S54" i="104"/>
  <c r="F54" i="104"/>
  <c r="H54" i="104" s="1"/>
  <c r="I54" i="104" s="1"/>
  <c r="X53" i="104"/>
  <c r="S53" i="104"/>
  <c r="F53" i="104"/>
  <c r="H53" i="104" s="1"/>
  <c r="I53" i="104" s="1"/>
  <c r="X52" i="104"/>
  <c r="S52" i="104"/>
  <c r="F52" i="104"/>
  <c r="H52" i="104" s="1"/>
  <c r="I52" i="104" s="1"/>
  <c r="X51" i="104"/>
  <c r="S51" i="104"/>
  <c r="F51" i="104"/>
  <c r="H51" i="104" s="1"/>
  <c r="I51" i="104" s="1"/>
  <c r="X50" i="104"/>
  <c r="S50" i="104"/>
  <c r="F50" i="104"/>
  <c r="H50" i="104" s="1"/>
  <c r="I50" i="104" s="1"/>
  <c r="X49" i="104"/>
  <c r="S49" i="104"/>
  <c r="F49" i="104"/>
  <c r="H49" i="104" s="1"/>
  <c r="X48" i="104"/>
  <c r="S48" i="104"/>
  <c r="F48" i="104"/>
  <c r="H48" i="104" s="1"/>
  <c r="X47" i="104"/>
  <c r="S47" i="104"/>
  <c r="F47" i="104"/>
  <c r="H47" i="104" s="1"/>
  <c r="X46" i="104"/>
  <c r="S46" i="104"/>
  <c r="F46" i="104"/>
  <c r="H46" i="104" s="1"/>
  <c r="X45" i="104"/>
  <c r="S45" i="104"/>
  <c r="F45" i="104"/>
  <c r="H45" i="104" s="1"/>
  <c r="X44" i="104"/>
  <c r="S44" i="104"/>
  <c r="F44" i="104"/>
  <c r="H44" i="104" s="1"/>
  <c r="AA90" i="103"/>
  <c r="S89" i="103"/>
  <c r="U50" i="193"/>
  <c r="U49" i="490" s="1"/>
  <c r="X4" i="491" s="1"/>
  <c r="S88" i="103"/>
  <c r="S87" i="103"/>
  <c r="M87" i="103"/>
  <c r="U48" i="193"/>
  <c r="U47" i="490" s="1"/>
  <c r="S86" i="103"/>
  <c r="N86" i="103"/>
  <c r="M86" i="103" s="1"/>
  <c r="U47" i="193"/>
  <c r="U46" i="490" s="1"/>
  <c r="S85" i="103"/>
  <c r="M85" i="103"/>
  <c r="U46" i="193"/>
  <c r="U45" i="490" s="1"/>
  <c r="S84" i="103"/>
  <c r="N84" i="103"/>
  <c r="M84" i="103" s="1"/>
  <c r="U45" i="193"/>
  <c r="U44" i="490" s="1"/>
  <c r="S83" i="103"/>
  <c r="M83" i="103"/>
  <c r="I83" i="103"/>
  <c r="U44" i="193" s="1"/>
  <c r="U43" i="490" s="1"/>
  <c r="S82" i="103"/>
  <c r="N82" i="103"/>
  <c r="M82" i="103" s="1"/>
  <c r="I82" i="103"/>
  <c r="U43" i="193" s="1"/>
  <c r="U42" i="490" s="1"/>
  <c r="S81" i="103"/>
  <c r="M81" i="103"/>
  <c r="I81" i="103"/>
  <c r="U42" i="193" s="1"/>
  <c r="U41" i="490" s="1"/>
  <c r="S80" i="103"/>
  <c r="N80" i="103"/>
  <c r="M80" i="103" s="1"/>
  <c r="I80" i="103"/>
  <c r="U41" i="193" s="1"/>
  <c r="U40" i="490" s="1"/>
  <c r="S79" i="103"/>
  <c r="M79" i="103"/>
  <c r="I79" i="103"/>
  <c r="U40" i="193" s="1"/>
  <c r="U39" i="490" s="1"/>
  <c r="X78" i="103"/>
  <c r="S78" i="103"/>
  <c r="N78" i="103"/>
  <c r="M78" i="103" s="1"/>
  <c r="K78" i="103"/>
  <c r="I78" i="103" s="1"/>
  <c r="U39" i="193" s="1"/>
  <c r="U38" i="490" s="1"/>
  <c r="X77" i="103"/>
  <c r="S77" i="103"/>
  <c r="M77" i="103"/>
  <c r="K77" i="103"/>
  <c r="I77" i="103" s="1"/>
  <c r="U38" i="193" s="1"/>
  <c r="U37" i="490" s="1"/>
  <c r="F77" i="103"/>
  <c r="H77" i="103" s="1"/>
  <c r="X76" i="103"/>
  <c r="S76" i="103"/>
  <c r="K76" i="103"/>
  <c r="I76" i="103" s="1"/>
  <c r="U37" i="193" s="1"/>
  <c r="U36" i="490" s="1"/>
  <c r="F76" i="103"/>
  <c r="H76" i="103" s="1"/>
  <c r="X75" i="103"/>
  <c r="S75" i="103"/>
  <c r="N75" i="103"/>
  <c r="N76" i="103" s="1"/>
  <c r="M76" i="103" s="1"/>
  <c r="K75" i="103"/>
  <c r="F75" i="103"/>
  <c r="H75" i="103" s="1"/>
  <c r="X74" i="103"/>
  <c r="S74" i="103"/>
  <c r="M74" i="103"/>
  <c r="K74" i="103"/>
  <c r="F74" i="103"/>
  <c r="H74" i="103" s="1"/>
  <c r="X73" i="103"/>
  <c r="S73" i="103"/>
  <c r="F73" i="103"/>
  <c r="H73" i="103" s="1"/>
  <c r="X72" i="103"/>
  <c r="S72" i="103"/>
  <c r="F72" i="103"/>
  <c r="H72" i="103" s="1"/>
  <c r="X71" i="103"/>
  <c r="S71" i="103"/>
  <c r="F71" i="103"/>
  <c r="H71" i="103" s="1"/>
  <c r="X70" i="103"/>
  <c r="S70" i="103"/>
  <c r="F70" i="103"/>
  <c r="H70" i="103" s="1"/>
  <c r="X69" i="103"/>
  <c r="S69" i="103"/>
  <c r="F69" i="103"/>
  <c r="H69" i="103" s="1"/>
  <c r="X68" i="103"/>
  <c r="S68" i="103"/>
  <c r="F68" i="103"/>
  <c r="H68" i="103" s="1"/>
  <c r="X67" i="103"/>
  <c r="S67" i="103"/>
  <c r="F67" i="103"/>
  <c r="H67" i="103" s="1"/>
  <c r="X66" i="103"/>
  <c r="S66" i="103"/>
  <c r="F66" i="103"/>
  <c r="H66" i="103" s="1"/>
  <c r="X65" i="103"/>
  <c r="S65" i="103"/>
  <c r="F65" i="103"/>
  <c r="H65" i="103" s="1"/>
  <c r="X64" i="103"/>
  <c r="S64" i="103"/>
  <c r="F64" i="103"/>
  <c r="H64" i="103" s="1"/>
  <c r="X63" i="103"/>
  <c r="S63" i="103"/>
  <c r="F63" i="103"/>
  <c r="H63" i="103" s="1"/>
  <c r="X62" i="103"/>
  <c r="S62" i="103"/>
  <c r="F62" i="103"/>
  <c r="H62" i="103" s="1"/>
  <c r="X61" i="103"/>
  <c r="S61" i="103"/>
  <c r="F61" i="103"/>
  <c r="H61" i="103" s="1"/>
  <c r="X60" i="103"/>
  <c r="S60" i="103"/>
  <c r="F60" i="103"/>
  <c r="H60" i="103" s="1"/>
  <c r="X59" i="103"/>
  <c r="S59" i="103"/>
  <c r="F59" i="103"/>
  <c r="H59" i="103" s="1"/>
  <c r="X58" i="103"/>
  <c r="S58" i="103"/>
  <c r="F58" i="103"/>
  <c r="H58" i="103" s="1"/>
  <c r="X57" i="103"/>
  <c r="S57" i="103"/>
  <c r="F57" i="103"/>
  <c r="H57" i="103" s="1"/>
  <c r="X56" i="103"/>
  <c r="S56" i="103"/>
  <c r="F56" i="103"/>
  <c r="H56" i="103" s="1"/>
  <c r="X55" i="103"/>
  <c r="S55" i="103"/>
  <c r="F55" i="103"/>
  <c r="H55" i="103" s="1"/>
  <c r="X54" i="103"/>
  <c r="S54" i="103"/>
  <c r="F54" i="103"/>
  <c r="H54" i="103" s="1"/>
  <c r="X53" i="103"/>
  <c r="S53" i="103"/>
  <c r="F53" i="103"/>
  <c r="H53" i="103" s="1"/>
  <c r="X52" i="103"/>
  <c r="S52" i="103"/>
  <c r="F52" i="103"/>
  <c r="H52" i="103" s="1"/>
  <c r="X51" i="103"/>
  <c r="S51" i="103"/>
  <c r="F51" i="103"/>
  <c r="H51" i="103" s="1"/>
  <c r="X50" i="103"/>
  <c r="S50" i="103"/>
  <c r="F50" i="103"/>
  <c r="H50" i="103" s="1"/>
  <c r="X49" i="103"/>
  <c r="S49" i="103"/>
  <c r="F49" i="103"/>
  <c r="H49" i="103" s="1"/>
  <c r="X48" i="103"/>
  <c r="S48" i="103"/>
  <c r="F48" i="103"/>
  <c r="H48" i="103" s="1"/>
  <c r="X47" i="103"/>
  <c r="S47" i="103"/>
  <c r="F47" i="103"/>
  <c r="H47" i="103" s="1"/>
  <c r="X46" i="103"/>
  <c r="S46" i="103"/>
  <c r="F46" i="103"/>
  <c r="H46" i="103" s="1"/>
  <c r="X45" i="103"/>
  <c r="S45" i="103"/>
  <c r="F45" i="103"/>
  <c r="H45" i="103" s="1"/>
  <c r="X44" i="103"/>
  <c r="S44" i="103"/>
  <c r="F44" i="103"/>
  <c r="H44" i="103" s="1"/>
  <c r="S89" i="102"/>
  <c r="BQ89" i="102" s="1"/>
  <c r="BT89" i="102" s="1"/>
  <c r="BU89" i="102" s="1"/>
  <c r="I89" i="102"/>
  <c r="I90" i="102" s="1"/>
  <c r="S88" i="102"/>
  <c r="BQ88" i="102" s="1"/>
  <c r="BT88" i="102" s="1"/>
  <c r="BU88" i="102" s="1"/>
  <c r="I88" i="102"/>
  <c r="S87" i="102"/>
  <c r="BQ87" i="102" s="1"/>
  <c r="BT87" i="102" s="1"/>
  <c r="BU87" i="102" s="1"/>
  <c r="M87" i="102"/>
  <c r="I87" i="102"/>
  <c r="S86" i="102"/>
  <c r="BQ86" i="102" s="1"/>
  <c r="BT86" i="102" s="1"/>
  <c r="BU86" i="102" s="1"/>
  <c r="N86" i="102"/>
  <c r="M86" i="102" s="1"/>
  <c r="I86" i="102"/>
  <c r="S85" i="102"/>
  <c r="BQ85" i="102" s="1"/>
  <c r="BT85" i="102" s="1"/>
  <c r="BU85" i="102" s="1"/>
  <c r="M85" i="102"/>
  <c r="I85" i="102"/>
  <c r="S84" i="102"/>
  <c r="BQ84" i="102" s="1"/>
  <c r="BT84" i="102" s="1"/>
  <c r="BU84" i="102" s="1"/>
  <c r="M84" i="102"/>
  <c r="I84" i="102"/>
  <c r="S83" i="102"/>
  <c r="BQ83" i="102" s="1"/>
  <c r="BT83" i="102" s="1"/>
  <c r="BU83" i="102" s="1"/>
  <c r="M83" i="102"/>
  <c r="I83" i="102"/>
  <c r="S82" i="102"/>
  <c r="BQ82" i="102" s="1"/>
  <c r="BT82" i="102" s="1"/>
  <c r="BU82" i="102" s="1"/>
  <c r="N82" i="102"/>
  <c r="M82" i="102" s="1"/>
  <c r="I82" i="102"/>
  <c r="S81" i="102"/>
  <c r="BQ81" i="102" s="1"/>
  <c r="BT81" i="102" s="1"/>
  <c r="BU81" i="102" s="1"/>
  <c r="M81" i="102"/>
  <c r="I81" i="102"/>
  <c r="S80" i="102"/>
  <c r="BQ80" i="102" s="1"/>
  <c r="BT80" i="102" s="1"/>
  <c r="BU80" i="102" s="1"/>
  <c r="N80" i="102"/>
  <c r="M80" i="102" s="1"/>
  <c r="I80" i="102"/>
  <c r="AA80" i="102" s="1"/>
  <c r="AP80" i="102" s="1"/>
  <c r="S79" i="102"/>
  <c r="BQ79" i="102" s="1"/>
  <c r="BT79" i="102" s="1"/>
  <c r="BU79" i="102" s="1"/>
  <c r="M79" i="102"/>
  <c r="I79" i="102"/>
  <c r="S78" i="102"/>
  <c r="BQ78" i="102" s="1"/>
  <c r="BT78" i="102" s="1"/>
  <c r="BU78" i="102" s="1"/>
  <c r="N78" i="102"/>
  <c r="M78" i="102" s="1"/>
  <c r="K78" i="102"/>
  <c r="I78" i="102" s="1"/>
  <c r="F78" i="102"/>
  <c r="H78" i="102" s="1"/>
  <c r="X77" i="102"/>
  <c r="S77" i="102"/>
  <c r="BQ77" i="102" s="1"/>
  <c r="BT77" i="102" s="1"/>
  <c r="BU77" i="102" s="1"/>
  <c r="M77" i="102"/>
  <c r="K77" i="102"/>
  <c r="I77" i="102" s="1"/>
  <c r="F77" i="102"/>
  <c r="H77" i="102" s="1"/>
  <c r="X76" i="102"/>
  <c r="S76" i="102"/>
  <c r="BQ76" i="102" s="1"/>
  <c r="BT76" i="102" s="1"/>
  <c r="BU76" i="102" s="1"/>
  <c r="K76" i="102"/>
  <c r="I76" i="102" s="1"/>
  <c r="F76" i="102"/>
  <c r="H76" i="102" s="1"/>
  <c r="X75" i="102"/>
  <c r="S75" i="102"/>
  <c r="BQ75" i="102" s="1"/>
  <c r="BT75" i="102" s="1"/>
  <c r="BU75" i="102" s="1"/>
  <c r="N75" i="102"/>
  <c r="N76" i="102" s="1"/>
  <c r="M76" i="102" s="1"/>
  <c r="K75" i="102"/>
  <c r="F75" i="102"/>
  <c r="H75" i="102" s="1"/>
  <c r="I75" i="102" s="1"/>
  <c r="X74" i="102"/>
  <c r="S74" i="102"/>
  <c r="BQ74" i="102" s="1"/>
  <c r="BT74" i="102" s="1"/>
  <c r="BU74" i="102" s="1"/>
  <c r="M74" i="102"/>
  <c r="K74" i="102"/>
  <c r="F74" i="102"/>
  <c r="H74" i="102" s="1"/>
  <c r="I74" i="102" s="1"/>
  <c r="X73" i="102"/>
  <c r="S73" i="102"/>
  <c r="BQ73" i="102" s="1"/>
  <c r="BT73" i="102" s="1"/>
  <c r="BU73" i="102" s="1"/>
  <c r="K73" i="102"/>
  <c r="F73" i="102"/>
  <c r="H73" i="102" s="1"/>
  <c r="I73" i="102" s="1"/>
  <c r="X72" i="102"/>
  <c r="S72" i="102"/>
  <c r="BQ72" i="102" s="1"/>
  <c r="BT72" i="102" s="1"/>
  <c r="BU72" i="102" s="1"/>
  <c r="K72" i="102"/>
  <c r="F72" i="102"/>
  <c r="H72" i="102" s="1"/>
  <c r="I72" i="102" s="1"/>
  <c r="X71" i="102"/>
  <c r="S71" i="102"/>
  <c r="BQ71" i="102" s="1"/>
  <c r="BT71" i="102" s="1"/>
  <c r="BU71" i="102" s="1"/>
  <c r="K71" i="102"/>
  <c r="F71" i="102"/>
  <c r="H71" i="102" s="1"/>
  <c r="I71" i="102" s="1"/>
  <c r="X70" i="102"/>
  <c r="S70" i="102"/>
  <c r="BQ70" i="102" s="1"/>
  <c r="BT70" i="102" s="1"/>
  <c r="BU70" i="102" s="1"/>
  <c r="K70" i="102"/>
  <c r="F70" i="102"/>
  <c r="H70" i="102" s="1"/>
  <c r="I70" i="102" s="1"/>
  <c r="X69" i="102"/>
  <c r="S69" i="102"/>
  <c r="BQ69" i="102" s="1"/>
  <c r="BT69" i="102" s="1"/>
  <c r="BU69" i="102" s="1"/>
  <c r="K69" i="102"/>
  <c r="F69" i="102"/>
  <c r="H69" i="102" s="1"/>
  <c r="I69" i="102" s="1"/>
  <c r="X68" i="102"/>
  <c r="S68" i="102"/>
  <c r="BQ68" i="102" s="1"/>
  <c r="BT68" i="102" s="1"/>
  <c r="BU68" i="102" s="1"/>
  <c r="F68" i="102"/>
  <c r="H68" i="102" s="1"/>
  <c r="I68" i="102" s="1"/>
  <c r="X67" i="102"/>
  <c r="S67" i="102"/>
  <c r="BQ67" i="102" s="1"/>
  <c r="BT67" i="102" s="1"/>
  <c r="BU67" i="102" s="1"/>
  <c r="F67" i="102"/>
  <c r="H67" i="102" s="1"/>
  <c r="I67" i="102" s="1"/>
  <c r="X66" i="102"/>
  <c r="S66" i="102"/>
  <c r="BQ66" i="102" s="1"/>
  <c r="BT66" i="102" s="1"/>
  <c r="BU66" i="102" s="1"/>
  <c r="F66" i="102"/>
  <c r="H66" i="102" s="1"/>
  <c r="I66" i="102" s="1"/>
  <c r="X65" i="102"/>
  <c r="S65" i="102"/>
  <c r="BQ65" i="102" s="1"/>
  <c r="BT65" i="102" s="1"/>
  <c r="BU65" i="102" s="1"/>
  <c r="F65" i="102"/>
  <c r="H65" i="102" s="1"/>
  <c r="I65" i="102" s="1"/>
  <c r="X64" i="102"/>
  <c r="S64" i="102"/>
  <c r="BQ64" i="102" s="1"/>
  <c r="BT64" i="102" s="1"/>
  <c r="BU64" i="102" s="1"/>
  <c r="F64" i="102"/>
  <c r="H64" i="102" s="1"/>
  <c r="I64" i="102" s="1"/>
  <c r="X63" i="102"/>
  <c r="S63" i="102"/>
  <c r="BQ63" i="102" s="1"/>
  <c r="BT63" i="102" s="1"/>
  <c r="BU63" i="102" s="1"/>
  <c r="F63" i="102"/>
  <c r="H63" i="102" s="1"/>
  <c r="I63" i="102" s="1"/>
  <c r="X62" i="102"/>
  <c r="S62" i="102"/>
  <c r="BQ62" i="102" s="1"/>
  <c r="BT62" i="102" s="1"/>
  <c r="BU62" i="102" s="1"/>
  <c r="F62" i="102"/>
  <c r="H62" i="102" s="1"/>
  <c r="I62" i="102" s="1"/>
  <c r="X61" i="102"/>
  <c r="S61" i="102"/>
  <c r="BQ61" i="102" s="1"/>
  <c r="BT61" i="102" s="1"/>
  <c r="BU61" i="102" s="1"/>
  <c r="F61" i="102"/>
  <c r="H61" i="102" s="1"/>
  <c r="I61" i="102" s="1"/>
  <c r="X60" i="102"/>
  <c r="S60" i="102"/>
  <c r="BQ60" i="102" s="1"/>
  <c r="BT60" i="102" s="1"/>
  <c r="BU60" i="102" s="1"/>
  <c r="F60" i="102"/>
  <c r="H60" i="102" s="1"/>
  <c r="I60" i="102" s="1"/>
  <c r="X59" i="102"/>
  <c r="S59" i="102"/>
  <c r="BQ59" i="102" s="1"/>
  <c r="BT59" i="102" s="1"/>
  <c r="BU59" i="102" s="1"/>
  <c r="F59" i="102"/>
  <c r="H59" i="102" s="1"/>
  <c r="I59" i="102" s="1"/>
  <c r="X58" i="102"/>
  <c r="S58" i="102"/>
  <c r="BQ58" i="102" s="1"/>
  <c r="BT58" i="102" s="1"/>
  <c r="BU58" i="102" s="1"/>
  <c r="F58" i="102"/>
  <c r="H58" i="102" s="1"/>
  <c r="I58" i="102" s="1"/>
  <c r="X57" i="102"/>
  <c r="S57" i="102"/>
  <c r="BQ57" i="102" s="1"/>
  <c r="BT57" i="102" s="1"/>
  <c r="BU57" i="102" s="1"/>
  <c r="F57" i="102"/>
  <c r="H57" i="102" s="1"/>
  <c r="I57" i="102" s="1"/>
  <c r="X56" i="102"/>
  <c r="S56" i="102"/>
  <c r="BQ56" i="102" s="1"/>
  <c r="BT56" i="102" s="1"/>
  <c r="BU56" i="102" s="1"/>
  <c r="F56" i="102"/>
  <c r="H56" i="102" s="1"/>
  <c r="I56" i="102" s="1"/>
  <c r="X55" i="102"/>
  <c r="S55" i="102"/>
  <c r="BQ55" i="102" s="1"/>
  <c r="BT55" i="102" s="1"/>
  <c r="BU55" i="102" s="1"/>
  <c r="F55" i="102"/>
  <c r="H55" i="102" s="1"/>
  <c r="I55" i="102" s="1"/>
  <c r="X54" i="102"/>
  <c r="S54" i="102"/>
  <c r="BQ54" i="102" s="1"/>
  <c r="BT54" i="102" s="1"/>
  <c r="BU54" i="102" s="1"/>
  <c r="F54" i="102"/>
  <c r="H54" i="102" s="1"/>
  <c r="I54" i="102" s="1"/>
  <c r="X53" i="102"/>
  <c r="S53" i="102"/>
  <c r="BQ53" i="102" s="1"/>
  <c r="BT53" i="102" s="1"/>
  <c r="BU53" i="102" s="1"/>
  <c r="F53" i="102"/>
  <c r="H53" i="102" s="1"/>
  <c r="I53" i="102" s="1"/>
  <c r="X52" i="102"/>
  <c r="S52" i="102"/>
  <c r="BQ52" i="102" s="1"/>
  <c r="BT52" i="102" s="1"/>
  <c r="BU52" i="102" s="1"/>
  <c r="F52" i="102"/>
  <c r="H52" i="102" s="1"/>
  <c r="I52" i="102" s="1"/>
  <c r="X51" i="102"/>
  <c r="S51" i="102"/>
  <c r="BQ51" i="102" s="1"/>
  <c r="BT51" i="102" s="1"/>
  <c r="BU51" i="102" s="1"/>
  <c r="F51" i="102"/>
  <c r="H51" i="102" s="1"/>
  <c r="I51" i="102" s="1"/>
  <c r="X50" i="102"/>
  <c r="S50" i="102"/>
  <c r="BQ50" i="102" s="1"/>
  <c r="BT50" i="102" s="1"/>
  <c r="BU50" i="102" s="1"/>
  <c r="F50" i="102"/>
  <c r="H50" i="102" s="1"/>
  <c r="I50" i="102" s="1"/>
  <c r="X49" i="102"/>
  <c r="S49" i="102"/>
  <c r="BQ49" i="102" s="1"/>
  <c r="BT49" i="102" s="1"/>
  <c r="BU49" i="102" s="1"/>
  <c r="F49" i="102"/>
  <c r="H49" i="102" s="1"/>
  <c r="I49" i="102" s="1"/>
  <c r="X48" i="102"/>
  <c r="S48" i="102"/>
  <c r="BQ48" i="102" s="1"/>
  <c r="BT48" i="102" s="1"/>
  <c r="BU48" i="102" s="1"/>
  <c r="F48" i="102"/>
  <c r="H48" i="102" s="1"/>
  <c r="I48" i="102" s="1"/>
  <c r="X47" i="102"/>
  <c r="S47" i="102"/>
  <c r="BQ47" i="102" s="1"/>
  <c r="BT47" i="102" s="1"/>
  <c r="BU47" i="102" s="1"/>
  <c r="F47" i="102"/>
  <c r="H47" i="102" s="1"/>
  <c r="I47" i="102" s="1"/>
  <c r="X46" i="102"/>
  <c r="S46" i="102"/>
  <c r="BQ46" i="102" s="1"/>
  <c r="BT46" i="102" s="1"/>
  <c r="BU46" i="102" s="1"/>
  <c r="F46" i="102"/>
  <c r="H46" i="102" s="1"/>
  <c r="I46" i="102" s="1"/>
  <c r="X45" i="102"/>
  <c r="S45" i="102"/>
  <c r="BQ45" i="102" s="1"/>
  <c r="BT45" i="102" s="1"/>
  <c r="BU45" i="102" s="1"/>
  <c r="F45" i="102"/>
  <c r="H45" i="102" s="1"/>
  <c r="I45" i="102" s="1"/>
  <c r="X44" i="102"/>
  <c r="S44" i="102"/>
  <c r="BQ44" i="102" s="1"/>
  <c r="BT44" i="102" s="1"/>
  <c r="BU44" i="102" s="1"/>
  <c r="F44" i="102"/>
  <c r="H44" i="102" s="1"/>
  <c r="I44" i="102" s="1"/>
  <c r="AB90" i="101"/>
  <c r="AY90" i="101" s="1"/>
  <c r="S89" i="101"/>
  <c r="I89" i="101"/>
  <c r="AA88" i="101"/>
  <c r="S87" i="101"/>
  <c r="M87" i="101"/>
  <c r="I87" i="101"/>
  <c r="S86" i="101"/>
  <c r="N86" i="101"/>
  <c r="M86" i="101" s="1"/>
  <c r="I86" i="101"/>
  <c r="S85" i="101"/>
  <c r="M85" i="101"/>
  <c r="I85" i="101"/>
  <c r="S84" i="101"/>
  <c r="N84" i="101"/>
  <c r="M84" i="101" s="1"/>
  <c r="I84" i="101"/>
  <c r="S83" i="101"/>
  <c r="M83" i="101"/>
  <c r="I83" i="101"/>
  <c r="S82" i="101"/>
  <c r="N82" i="101"/>
  <c r="M82" i="101" s="1"/>
  <c r="I82" i="101"/>
  <c r="S81" i="101"/>
  <c r="M81" i="101"/>
  <c r="I81" i="101"/>
  <c r="S80" i="101"/>
  <c r="N80" i="101"/>
  <c r="M80" i="101" s="1"/>
  <c r="I80" i="101"/>
  <c r="S79" i="101"/>
  <c r="M79" i="101"/>
  <c r="I79" i="101"/>
  <c r="S78" i="101"/>
  <c r="N78" i="101"/>
  <c r="M78" i="101" s="1"/>
  <c r="K78" i="101"/>
  <c r="I78" i="101" s="1"/>
  <c r="S77" i="101"/>
  <c r="M77" i="101"/>
  <c r="K77" i="101"/>
  <c r="I77" i="101" s="1"/>
  <c r="F77" i="101"/>
  <c r="H77" i="101" s="1"/>
  <c r="S76" i="101"/>
  <c r="K76" i="101"/>
  <c r="F76" i="101"/>
  <c r="H76" i="101" s="1"/>
  <c r="I76" i="101" s="1"/>
  <c r="S75" i="101"/>
  <c r="N75" i="101"/>
  <c r="M75" i="101" s="1"/>
  <c r="K75" i="101"/>
  <c r="F75" i="101"/>
  <c r="H75" i="101" s="1"/>
  <c r="I75" i="101" s="1"/>
  <c r="S74" i="101"/>
  <c r="M74" i="101"/>
  <c r="K74" i="101"/>
  <c r="F74" i="101"/>
  <c r="H74" i="101" s="1"/>
  <c r="I74" i="101" s="1"/>
  <c r="S73" i="101"/>
  <c r="K73" i="101"/>
  <c r="F73" i="101"/>
  <c r="H73" i="101" s="1"/>
  <c r="I73" i="101" s="1"/>
  <c r="S72" i="101"/>
  <c r="K72" i="101"/>
  <c r="F72" i="101"/>
  <c r="H72" i="101" s="1"/>
  <c r="I72" i="101" s="1"/>
  <c r="S71" i="101"/>
  <c r="K71" i="101"/>
  <c r="F71" i="101"/>
  <c r="H71" i="101" s="1"/>
  <c r="I71" i="101" s="1"/>
  <c r="S70" i="101"/>
  <c r="K70" i="101"/>
  <c r="F70" i="101"/>
  <c r="H70" i="101" s="1"/>
  <c r="I70" i="101" s="1"/>
  <c r="S69" i="101"/>
  <c r="K69" i="101"/>
  <c r="F69" i="101"/>
  <c r="H69" i="101" s="1"/>
  <c r="I69" i="101" s="1"/>
  <c r="S68" i="101"/>
  <c r="F68" i="101"/>
  <c r="H68" i="101" s="1"/>
  <c r="I68" i="101" s="1"/>
  <c r="S67" i="101"/>
  <c r="F67" i="101"/>
  <c r="H67" i="101" s="1"/>
  <c r="I67" i="101" s="1"/>
  <c r="S66" i="101"/>
  <c r="F66" i="101"/>
  <c r="H66" i="101" s="1"/>
  <c r="I66" i="101" s="1"/>
  <c r="S65" i="101"/>
  <c r="F65" i="101"/>
  <c r="H65" i="101" s="1"/>
  <c r="I65" i="101" s="1"/>
  <c r="S64" i="101"/>
  <c r="F64" i="101"/>
  <c r="H64" i="101" s="1"/>
  <c r="I64" i="101" s="1"/>
  <c r="S63" i="101"/>
  <c r="F63" i="101"/>
  <c r="H63" i="101" s="1"/>
  <c r="I63" i="101" s="1"/>
  <c r="S62" i="101"/>
  <c r="F62" i="101"/>
  <c r="H62" i="101" s="1"/>
  <c r="I62" i="101" s="1"/>
  <c r="S61" i="101"/>
  <c r="F61" i="101"/>
  <c r="H61" i="101" s="1"/>
  <c r="I61" i="101" s="1"/>
  <c r="S60" i="101"/>
  <c r="F60" i="101"/>
  <c r="H60" i="101" s="1"/>
  <c r="I60" i="101" s="1"/>
  <c r="S59" i="101"/>
  <c r="F59" i="101"/>
  <c r="H59" i="101" s="1"/>
  <c r="I59" i="101" s="1"/>
  <c r="S58" i="101"/>
  <c r="F58" i="101"/>
  <c r="H58" i="101" s="1"/>
  <c r="I58" i="101" s="1"/>
  <c r="S57" i="101"/>
  <c r="F57" i="101"/>
  <c r="H57" i="101" s="1"/>
  <c r="I57" i="101" s="1"/>
  <c r="S56" i="101"/>
  <c r="F56" i="101"/>
  <c r="H56" i="101" s="1"/>
  <c r="I56" i="101" s="1"/>
  <c r="S55" i="101"/>
  <c r="F55" i="101"/>
  <c r="H55" i="101" s="1"/>
  <c r="I55" i="101" s="1"/>
  <c r="S54" i="101"/>
  <c r="F54" i="101"/>
  <c r="H54" i="101" s="1"/>
  <c r="I54" i="101" s="1"/>
  <c r="S53" i="101"/>
  <c r="F53" i="101"/>
  <c r="H53" i="101" s="1"/>
  <c r="I53" i="101" s="1"/>
  <c r="S52" i="101"/>
  <c r="F52" i="101"/>
  <c r="H52" i="101" s="1"/>
  <c r="I52" i="101" s="1"/>
  <c r="S51" i="101"/>
  <c r="F51" i="101"/>
  <c r="H51" i="101" s="1"/>
  <c r="I51" i="101" s="1"/>
  <c r="S50" i="101"/>
  <c r="F50" i="101"/>
  <c r="H50" i="101" s="1"/>
  <c r="I50" i="101" s="1"/>
  <c r="S49" i="101"/>
  <c r="F49" i="101"/>
  <c r="H49" i="101" s="1"/>
  <c r="I49" i="101" s="1"/>
  <c r="S48" i="101"/>
  <c r="F48" i="101"/>
  <c r="H48" i="101" s="1"/>
  <c r="I48" i="101" s="1"/>
  <c r="S47" i="101"/>
  <c r="F47" i="101"/>
  <c r="H47" i="101" s="1"/>
  <c r="I47" i="101" s="1"/>
  <c r="S46" i="101"/>
  <c r="F46" i="101"/>
  <c r="H46" i="101" s="1"/>
  <c r="I46" i="101" s="1"/>
  <c r="S45" i="101"/>
  <c r="F45" i="101"/>
  <c r="H45" i="101" s="1"/>
  <c r="I45" i="101" s="1"/>
  <c r="S44" i="101"/>
  <c r="F44" i="101"/>
  <c r="H44" i="101" s="1"/>
  <c r="I44" i="101" s="1"/>
  <c r="M77" i="27"/>
  <c r="M79" i="27"/>
  <c r="M81" i="27"/>
  <c r="M83" i="27"/>
  <c r="M85" i="27"/>
  <c r="M87" i="27"/>
  <c r="M74" i="27"/>
  <c r="Z80" i="26"/>
  <c r="Z81" i="26"/>
  <c r="Z82" i="26"/>
  <c r="Z83" i="26"/>
  <c r="Z84" i="26"/>
  <c r="Z85" i="26"/>
  <c r="Z86" i="26"/>
  <c r="Z87" i="26"/>
  <c r="Z89" i="26"/>
  <c r="Z79" i="26"/>
  <c r="M70" i="26"/>
  <c r="N71" i="26"/>
  <c r="M71" i="26" s="1"/>
  <c r="M77" i="26"/>
  <c r="M79" i="26"/>
  <c r="M81" i="26"/>
  <c r="M83" i="26"/>
  <c r="M85" i="26"/>
  <c r="M87" i="26"/>
  <c r="M74" i="26"/>
  <c r="S44" i="25"/>
  <c r="BA44" i="25" s="1"/>
  <c r="AZ44" i="25" s="1"/>
  <c r="S45" i="25"/>
  <c r="BA45" i="25" s="1"/>
  <c r="AZ45" i="25" s="1"/>
  <c r="S46" i="25"/>
  <c r="BA46" i="25" s="1"/>
  <c r="AZ46" i="25" s="1"/>
  <c r="S47" i="25"/>
  <c r="BA47" i="25" s="1"/>
  <c r="AZ47" i="25" s="1"/>
  <c r="S48" i="25"/>
  <c r="BA48" i="25" s="1"/>
  <c r="AZ48" i="25" s="1"/>
  <c r="S49" i="25"/>
  <c r="BA49" i="25" s="1"/>
  <c r="AZ49" i="25" s="1"/>
  <c r="M77" i="25"/>
  <c r="M79" i="25"/>
  <c r="M81" i="25"/>
  <c r="M83" i="25"/>
  <c r="M85" i="25"/>
  <c r="M87" i="25"/>
  <c r="M74" i="25"/>
  <c r="AA44" i="24"/>
  <c r="Y44" i="24" s="1"/>
  <c r="AA45" i="24"/>
  <c r="Y45" i="24" s="1"/>
  <c r="AA46" i="24"/>
  <c r="Y46" i="24" s="1"/>
  <c r="AA47" i="24"/>
  <c r="Y47" i="24" s="1"/>
  <c r="AA48" i="24"/>
  <c r="Y48" i="24" s="1"/>
  <c r="AA49" i="24"/>
  <c r="Y49" i="24" s="1"/>
  <c r="AA50" i="24"/>
  <c r="Y50" i="24" s="1"/>
  <c r="AA51" i="24"/>
  <c r="Y51" i="24" s="1"/>
  <c r="AA52" i="24"/>
  <c r="Y52" i="24" s="1"/>
  <c r="AA53" i="24"/>
  <c r="Y53" i="24" s="1"/>
  <c r="AA54" i="24"/>
  <c r="Y54" i="24" s="1"/>
  <c r="AA55" i="24"/>
  <c r="Y55" i="24" s="1"/>
  <c r="AA56" i="24"/>
  <c r="Y56" i="24" s="1"/>
  <c r="AA57" i="24"/>
  <c r="Y57" i="24" s="1"/>
  <c r="AA58" i="24"/>
  <c r="Y58" i="24" s="1"/>
  <c r="AA59" i="24"/>
  <c r="Y59" i="24" s="1"/>
  <c r="AA60" i="24"/>
  <c r="Y60" i="24" s="1"/>
  <c r="AA61" i="24"/>
  <c r="Y61" i="24" s="1"/>
  <c r="AA62" i="24"/>
  <c r="Y62" i="24" s="1"/>
  <c r="AA63" i="24"/>
  <c r="Y63" i="24" s="1"/>
  <c r="AA64" i="24"/>
  <c r="Y64" i="24" s="1"/>
  <c r="AA65" i="24"/>
  <c r="Y65" i="24" s="1"/>
  <c r="AA66" i="24"/>
  <c r="Y66" i="24" s="1"/>
  <c r="AA67" i="24"/>
  <c r="Y67" i="24" s="1"/>
  <c r="AA68" i="24"/>
  <c r="Y68" i="24" s="1"/>
  <c r="AA69" i="24"/>
  <c r="Y69" i="24" s="1"/>
  <c r="AA70" i="24"/>
  <c r="Y70" i="24" s="1"/>
  <c r="AA71" i="24"/>
  <c r="Y71" i="24" s="1"/>
  <c r="AA72" i="24"/>
  <c r="Y72" i="24" s="1"/>
  <c r="AA73" i="24"/>
  <c r="Y73" i="24" s="1"/>
  <c r="AA75" i="24"/>
  <c r="AA76" i="24"/>
  <c r="AA77" i="24"/>
  <c r="AA78" i="24"/>
  <c r="AA79" i="24"/>
  <c r="AA80" i="24"/>
  <c r="AA81" i="24"/>
  <c r="AA82" i="24"/>
  <c r="AA83" i="24"/>
  <c r="AA84" i="24"/>
  <c r="AA85" i="24"/>
  <c r="AA86" i="24"/>
  <c r="AA87" i="24"/>
  <c r="AA89" i="24"/>
  <c r="Y89" i="24" s="1"/>
  <c r="AA74" i="24"/>
  <c r="S88" i="24"/>
  <c r="O88" i="24" s="1"/>
  <c r="S89" i="24"/>
  <c r="O89" i="24"/>
  <c r="S80" i="24"/>
  <c r="O80" i="24" s="1"/>
  <c r="S81" i="24"/>
  <c r="O81" i="24" s="1"/>
  <c r="S82" i="24"/>
  <c r="O82" i="24" s="1"/>
  <c r="S83" i="24"/>
  <c r="O83" i="24" s="1"/>
  <c r="S84" i="24"/>
  <c r="O84" i="24" s="1"/>
  <c r="S85" i="24"/>
  <c r="O85" i="24" s="1"/>
  <c r="S86" i="24"/>
  <c r="O86" i="24" s="1"/>
  <c r="S87" i="24"/>
  <c r="O87" i="24" s="1"/>
  <c r="S79" i="24"/>
  <c r="O79" i="24" s="1"/>
  <c r="U77" i="24"/>
  <c r="T77" i="24" s="1"/>
  <c r="O77" i="24" s="1"/>
  <c r="U79" i="24"/>
  <c r="T79" i="24" s="1"/>
  <c r="U81" i="24"/>
  <c r="T81" i="24" s="1"/>
  <c r="U83" i="24"/>
  <c r="T83" i="24" s="1"/>
  <c r="U85" i="24"/>
  <c r="T85" i="24" s="1"/>
  <c r="U87" i="24"/>
  <c r="T87" i="24" s="1"/>
  <c r="U74" i="24"/>
  <c r="T74" i="24" s="1"/>
  <c r="O74" i="24" s="1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Q34" i="196" s="1"/>
  <c r="K75" i="24"/>
  <c r="Q35" i="196" s="1"/>
  <c r="K76" i="24"/>
  <c r="Q36" i="196" s="1"/>
  <c r="K77" i="24"/>
  <c r="Q37" i="196" s="1"/>
  <c r="K78" i="24"/>
  <c r="Q38" i="196" s="1"/>
  <c r="K79" i="24"/>
  <c r="Q39" i="196" s="1"/>
  <c r="K80" i="24"/>
  <c r="Q40" i="196" s="1"/>
  <c r="K81" i="24"/>
  <c r="Q41" i="196" s="1"/>
  <c r="K82" i="24"/>
  <c r="Q42" i="196" s="1"/>
  <c r="K83" i="24"/>
  <c r="Q43" i="196" s="1"/>
  <c r="K84" i="24"/>
  <c r="Q44" i="196" s="1"/>
  <c r="K85" i="24"/>
  <c r="Q45" i="196" s="1"/>
  <c r="K86" i="24"/>
  <c r="Q46" i="196" s="1"/>
  <c r="K87" i="24"/>
  <c r="Q47" i="196" s="1"/>
  <c r="Q49" i="196"/>
  <c r="I122" i="24" s="1"/>
  <c r="I48" i="24"/>
  <c r="V78" i="24"/>
  <c r="U78" i="24" s="1"/>
  <c r="T78" i="24" s="1"/>
  <c r="O78" i="24" s="1"/>
  <c r="V80" i="24"/>
  <c r="U80" i="24" s="1"/>
  <c r="T80" i="24" s="1"/>
  <c r="V82" i="24"/>
  <c r="U82" i="24" s="1"/>
  <c r="T82" i="24" s="1"/>
  <c r="I80" i="23"/>
  <c r="M41" i="193" s="1"/>
  <c r="I81" i="23"/>
  <c r="M42" i="193" s="1"/>
  <c r="I82" i="23"/>
  <c r="M43" i="193" s="1"/>
  <c r="I83" i="23"/>
  <c r="M44" i="193" s="1"/>
  <c r="I79" i="23"/>
  <c r="M40" i="193" s="1"/>
  <c r="L69" i="23"/>
  <c r="L70" i="23"/>
  <c r="L71" i="23"/>
  <c r="L72" i="23"/>
  <c r="L73" i="23"/>
  <c r="L74" i="23"/>
  <c r="L75" i="23"/>
  <c r="L76" i="23"/>
  <c r="L77" i="23"/>
  <c r="L78" i="23"/>
  <c r="S44" i="22"/>
  <c r="M89" i="22"/>
  <c r="M77" i="22"/>
  <c r="M79" i="22"/>
  <c r="I79" i="22" s="1"/>
  <c r="M81" i="22"/>
  <c r="I81" i="22" s="1"/>
  <c r="M83" i="22"/>
  <c r="M85" i="22"/>
  <c r="M87" i="22"/>
  <c r="M74" i="22"/>
  <c r="N77" i="21"/>
  <c r="N79" i="21"/>
  <c r="N81" i="21"/>
  <c r="N83" i="21"/>
  <c r="N85" i="21"/>
  <c r="N87" i="21"/>
  <c r="N74" i="21"/>
  <c r="T44" i="20"/>
  <c r="BB44" i="20" s="1"/>
  <c r="N77" i="20"/>
  <c r="N79" i="20"/>
  <c r="N81" i="20"/>
  <c r="N83" i="20"/>
  <c r="N85" i="20"/>
  <c r="N74" i="20"/>
  <c r="N86" i="27"/>
  <c r="M86" i="27" s="1"/>
  <c r="N84" i="27"/>
  <c r="M84" i="27" s="1"/>
  <c r="N82" i="27"/>
  <c r="M82" i="27" s="1"/>
  <c r="N80" i="27"/>
  <c r="M80" i="27" s="1"/>
  <c r="N78" i="27"/>
  <c r="M78" i="27" s="1"/>
  <c r="N75" i="27"/>
  <c r="N76" i="27" s="1"/>
  <c r="M76" i="27" s="1"/>
  <c r="N86" i="26"/>
  <c r="M86" i="26" s="1"/>
  <c r="N84" i="26"/>
  <c r="M84" i="26" s="1"/>
  <c r="N82" i="26"/>
  <c r="M82" i="26" s="1"/>
  <c r="N80" i="26"/>
  <c r="M80" i="26" s="1"/>
  <c r="N78" i="26"/>
  <c r="M78" i="26" s="1"/>
  <c r="N75" i="26"/>
  <c r="N76" i="26" s="1"/>
  <c r="M76" i="26" s="1"/>
  <c r="N86" i="25"/>
  <c r="M86" i="25" s="1"/>
  <c r="N84" i="25"/>
  <c r="M84" i="25" s="1"/>
  <c r="N82" i="25"/>
  <c r="M82" i="25" s="1"/>
  <c r="N80" i="25"/>
  <c r="M80" i="25" s="1"/>
  <c r="N78" i="25"/>
  <c r="M78" i="25" s="1"/>
  <c r="N75" i="25"/>
  <c r="N76" i="25" s="1"/>
  <c r="M76" i="25" s="1"/>
  <c r="V86" i="24"/>
  <c r="U86" i="24" s="1"/>
  <c r="T86" i="24" s="1"/>
  <c r="V84" i="24"/>
  <c r="U84" i="24" s="1"/>
  <c r="T84" i="24" s="1"/>
  <c r="V75" i="24"/>
  <c r="V76" i="24" s="1"/>
  <c r="U76" i="24" s="1"/>
  <c r="T76" i="24" s="1"/>
  <c r="O76" i="24" s="1"/>
  <c r="O86" i="23"/>
  <c r="O84" i="23"/>
  <c r="O82" i="23"/>
  <c r="O80" i="23"/>
  <c r="O78" i="23"/>
  <c r="O75" i="23"/>
  <c r="O76" i="23" s="1"/>
  <c r="N86" i="22"/>
  <c r="M86" i="22" s="1"/>
  <c r="N84" i="22"/>
  <c r="M84" i="22" s="1"/>
  <c r="N82" i="22"/>
  <c r="M82" i="22" s="1"/>
  <c r="I82" i="22" s="1"/>
  <c r="N80" i="22"/>
  <c r="M80" i="22" s="1"/>
  <c r="I80" i="22" s="1"/>
  <c r="N78" i="22"/>
  <c r="M78" i="22" s="1"/>
  <c r="N75" i="22"/>
  <c r="N76" i="22" s="1"/>
  <c r="M76" i="22" s="1"/>
  <c r="O86" i="21"/>
  <c r="N86" i="21" s="1"/>
  <c r="O84" i="21"/>
  <c r="N84" i="21" s="1"/>
  <c r="O82" i="21"/>
  <c r="N82" i="21" s="1"/>
  <c r="O80" i="21"/>
  <c r="N80" i="21" s="1"/>
  <c r="O78" i="21"/>
  <c r="N78" i="21" s="1"/>
  <c r="O75" i="21"/>
  <c r="O76" i="21" s="1"/>
  <c r="N76" i="21" s="1"/>
  <c r="O86" i="20"/>
  <c r="N86" i="20" s="1"/>
  <c r="O84" i="20"/>
  <c r="N84" i="20" s="1"/>
  <c r="O82" i="20"/>
  <c r="N82" i="20" s="1"/>
  <c r="O80" i="20"/>
  <c r="N80" i="20" s="1"/>
  <c r="O78" i="20"/>
  <c r="N78" i="20" s="1"/>
  <c r="O75" i="20"/>
  <c r="O76" i="20" s="1"/>
  <c r="N76" i="20" s="1"/>
  <c r="BE46" i="103" l="1"/>
  <c r="BC46" i="103" s="1"/>
  <c r="BM46" i="103"/>
  <c r="BE54" i="103"/>
  <c r="BC54" i="103" s="1"/>
  <c r="BM54" i="103"/>
  <c r="BE62" i="103"/>
  <c r="BC62" i="103" s="1"/>
  <c r="BM62" i="103"/>
  <c r="BE70" i="103"/>
  <c r="BC70" i="103" s="1"/>
  <c r="BM70" i="103"/>
  <c r="BE78" i="103"/>
  <c r="BC78" i="103" s="1"/>
  <c r="BM78" i="103"/>
  <c r="BD83" i="103"/>
  <c r="BC83" i="103" s="1"/>
  <c r="BM83" i="103"/>
  <c r="BE49" i="103"/>
  <c r="BC49" i="103" s="1"/>
  <c r="BM49" i="103"/>
  <c r="BE44" i="103"/>
  <c r="BC44" i="103" s="1"/>
  <c r="BM44" i="103"/>
  <c r="BE52" i="103"/>
  <c r="BC52" i="103" s="1"/>
  <c r="BM52" i="103"/>
  <c r="BE60" i="103"/>
  <c r="BC60" i="103" s="1"/>
  <c r="BM60" i="103"/>
  <c r="BE68" i="103"/>
  <c r="BC68" i="103" s="1"/>
  <c r="BM68" i="103"/>
  <c r="BD81" i="103"/>
  <c r="BC81" i="103" s="1"/>
  <c r="BM81" i="103"/>
  <c r="BE57" i="103"/>
  <c r="BC57" i="103" s="1"/>
  <c r="BM57" i="103"/>
  <c r="BE47" i="103"/>
  <c r="BC47" i="103" s="1"/>
  <c r="BM47" i="103"/>
  <c r="BE55" i="103"/>
  <c r="BC55" i="103" s="1"/>
  <c r="BM55" i="103"/>
  <c r="BE63" i="103"/>
  <c r="BC63" i="103" s="1"/>
  <c r="BM63" i="103"/>
  <c r="BE71" i="103"/>
  <c r="BC71" i="103" s="1"/>
  <c r="BM71" i="103"/>
  <c r="BE75" i="103"/>
  <c r="BC75" i="103" s="1"/>
  <c r="BM75" i="103"/>
  <c r="BD84" i="103"/>
  <c r="BC84" i="103" s="1"/>
  <c r="BM84" i="103"/>
  <c r="BE65" i="103"/>
  <c r="BC65" i="103" s="1"/>
  <c r="BM65" i="103"/>
  <c r="BD86" i="103"/>
  <c r="BC86" i="103" s="1"/>
  <c r="BM86" i="103"/>
  <c r="BE50" i="103"/>
  <c r="BC50" i="103" s="1"/>
  <c r="BM50" i="103"/>
  <c r="BE58" i="103"/>
  <c r="BC58" i="103" s="1"/>
  <c r="BM58" i="103"/>
  <c r="BE66" i="103"/>
  <c r="BC66" i="103" s="1"/>
  <c r="BM66" i="103"/>
  <c r="BE77" i="103"/>
  <c r="BC77" i="103" s="1"/>
  <c r="BM77" i="103"/>
  <c r="BE79" i="103"/>
  <c r="BC79" i="103" s="1"/>
  <c r="BM79" i="103"/>
  <c r="BD87" i="103"/>
  <c r="BC87" i="103" s="1"/>
  <c r="BM87" i="103"/>
  <c r="BE45" i="103"/>
  <c r="BC45" i="103" s="1"/>
  <c r="BM45" i="103"/>
  <c r="BE53" i="103"/>
  <c r="BC53" i="103" s="1"/>
  <c r="BM53" i="103"/>
  <c r="BE61" i="103"/>
  <c r="BC61" i="103" s="1"/>
  <c r="BM61" i="103"/>
  <c r="BE69" i="103"/>
  <c r="BC69" i="103" s="1"/>
  <c r="BM69" i="103"/>
  <c r="BD82" i="103"/>
  <c r="BC82" i="103" s="1"/>
  <c r="BM82" i="103"/>
  <c r="BD88" i="103"/>
  <c r="BC88" i="103" s="1"/>
  <c r="BM88" i="103"/>
  <c r="BE48" i="103"/>
  <c r="BC48" i="103" s="1"/>
  <c r="BM48" i="103"/>
  <c r="BE56" i="103"/>
  <c r="BC56" i="103" s="1"/>
  <c r="BM56" i="103"/>
  <c r="BE64" i="103"/>
  <c r="BC64" i="103" s="1"/>
  <c r="BM64" i="103"/>
  <c r="BE72" i="103"/>
  <c r="BC72" i="103" s="1"/>
  <c r="BM72" i="103"/>
  <c r="BE74" i="103"/>
  <c r="BC74" i="103" s="1"/>
  <c r="BM74" i="103"/>
  <c r="BD85" i="103"/>
  <c r="BC85" i="103" s="1"/>
  <c r="BM85" i="103"/>
  <c r="BE73" i="103"/>
  <c r="BC73" i="103" s="1"/>
  <c r="BM73" i="103"/>
  <c r="AY44" i="22"/>
  <c r="AX44" i="22" s="1"/>
  <c r="BE51" i="103"/>
  <c r="BC51" i="103" s="1"/>
  <c r="BM51" i="103"/>
  <c r="BE59" i="103"/>
  <c r="BC59" i="103" s="1"/>
  <c r="BM59" i="103"/>
  <c r="BE67" i="103"/>
  <c r="BC67" i="103" s="1"/>
  <c r="BM67" i="103"/>
  <c r="BE76" i="103"/>
  <c r="BC76" i="103" s="1"/>
  <c r="BM76" i="103"/>
  <c r="BD80" i="103"/>
  <c r="BC80" i="103" s="1"/>
  <c r="BM80" i="103"/>
  <c r="BD89" i="103"/>
  <c r="BC89" i="103" s="1"/>
  <c r="BM89" i="103"/>
  <c r="AB90" i="104"/>
  <c r="AQ90" i="104" s="1"/>
  <c r="AX90" i="104" s="1"/>
  <c r="AP90" i="104"/>
  <c r="I47" i="103"/>
  <c r="U8" i="193" s="1"/>
  <c r="U7" i="490" s="1"/>
  <c r="I55" i="103"/>
  <c r="U16" i="193" s="1"/>
  <c r="U15" i="490" s="1"/>
  <c r="AB90" i="103"/>
  <c r="AT90" i="103" s="1"/>
  <c r="BA90" i="103" s="1"/>
  <c r="AS90" i="103"/>
  <c r="AB88" i="101"/>
  <c r="AX88" i="101"/>
  <c r="I68" i="103"/>
  <c r="U29" i="193" s="1"/>
  <c r="U28" i="490" s="1"/>
  <c r="BA50" i="104"/>
  <c r="AZ50" i="104" s="1"/>
  <c r="BA58" i="104"/>
  <c r="AZ58" i="104" s="1"/>
  <c r="BA88" i="104"/>
  <c r="AZ88" i="104" s="1"/>
  <c r="BA73" i="104"/>
  <c r="AZ73" i="104" s="1"/>
  <c r="BA47" i="104"/>
  <c r="AZ47" i="104" s="1"/>
  <c r="BA55" i="104"/>
  <c r="AZ55" i="104" s="1"/>
  <c r="BA63" i="104"/>
  <c r="AZ63" i="104" s="1"/>
  <c r="BA68" i="104"/>
  <c r="AZ68" i="104" s="1"/>
  <c r="BA82" i="104"/>
  <c r="AZ82" i="104" s="1"/>
  <c r="BA71" i="104"/>
  <c r="AZ71" i="104" s="1"/>
  <c r="BA53" i="104"/>
  <c r="AZ53" i="104" s="1"/>
  <c r="BA48" i="104"/>
  <c r="AZ48" i="104" s="1"/>
  <c r="BA56" i="104"/>
  <c r="AZ56" i="104" s="1"/>
  <c r="BA64" i="104"/>
  <c r="AZ64" i="104" s="1"/>
  <c r="BA69" i="104"/>
  <c r="AZ69" i="104" s="1"/>
  <c r="BA78" i="104"/>
  <c r="AZ78" i="104" s="1"/>
  <c r="BA83" i="104"/>
  <c r="AZ83" i="104" s="1"/>
  <c r="AR90" i="104"/>
  <c r="BA51" i="104"/>
  <c r="AZ51" i="104" s="1"/>
  <c r="BA59" i="104"/>
  <c r="AZ59" i="104" s="1"/>
  <c r="BA75" i="104"/>
  <c r="AZ75" i="104" s="1"/>
  <c r="BA86" i="104"/>
  <c r="AZ86" i="104" s="1"/>
  <c r="BA80" i="104"/>
  <c r="AZ80" i="104" s="1"/>
  <c r="BA46" i="104"/>
  <c r="AZ46" i="104" s="1"/>
  <c r="BA54" i="104"/>
  <c r="AZ54" i="104" s="1"/>
  <c r="BA62" i="104"/>
  <c r="AZ62" i="104" s="1"/>
  <c r="BA67" i="104"/>
  <c r="AZ67" i="104" s="1"/>
  <c r="BA72" i="104"/>
  <c r="AZ72" i="104" s="1"/>
  <c r="AA74" i="104"/>
  <c r="BA81" i="104"/>
  <c r="AZ81" i="104" s="1"/>
  <c r="BA66" i="104"/>
  <c r="AZ66" i="104" s="1"/>
  <c r="BA76" i="104"/>
  <c r="AZ76" i="104" s="1"/>
  <c r="BA85" i="104"/>
  <c r="AZ85" i="104" s="1"/>
  <c r="BA45" i="104"/>
  <c r="AZ45" i="104" s="1"/>
  <c r="BA61" i="104"/>
  <c r="AZ61" i="104" s="1"/>
  <c r="BA89" i="104"/>
  <c r="AZ89" i="104" s="1"/>
  <c r="BA49" i="104"/>
  <c r="AZ49" i="104" s="1"/>
  <c r="BA57" i="104"/>
  <c r="AZ57" i="104" s="1"/>
  <c r="BA65" i="104"/>
  <c r="AZ65" i="104" s="1"/>
  <c r="BA70" i="104"/>
  <c r="AZ70" i="104" s="1"/>
  <c r="BA77" i="104"/>
  <c r="AZ77" i="104" s="1"/>
  <c r="BA84" i="104"/>
  <c r="AZ84" i="104" s="1"/>
  <c r="BA44" i="104"/>
  <c r="AZ44" i="104" s="1"/>
  <c r="BA52" i="104"/>
  <c r="AZ52" i="104" s="1"/>
  <c r="BA60" i="104"/>
  <c r="AZ60" i="104" s="1"/>
  <c r="BA74" i="104"/>
  <c r="AZ74" i="104" s="1"/>
  <c r="BA79" i="104"/>
  <c r="AZ79" i="104" s="1"/>
  <c r="BA87" i="104"/>
  <c r="AZ87" i="104" s="1"/>
  <c r="I45" i="103"/>
  <c r="U6" i="193" s="1"/>
  <c r="U5" i="490" s="1"/>
  <c r="I53" i="103"/>
  <c r="U14" i="193" s="1"/>
  <c r="U13" i="490" s="1"/>
  <c r="I58" i="103"/>
  <c r="U19" i="193" s="1"/>
  <c r="U18" i="490" s="1"/>
  <c r="I48" i="103"/>
  <c r="U9" i="193" s="1"/>
  <c r="U8" i="490" s="1"/>
  <c r="I51" i="103"/>
  <c r="U12" i="193" s="1"/>
  <c r="U11" i="490" s="1"/>
  <c r="I64" i="103"/>
  <c r="U25" i="193" s="1"/>
  <c r="U24" i="490" s="1"/>
  <c r="I72" i="103"/>
  <c r="U33" i="193" s="1"/>
  <c r="U32" i="490" s="1"/>
  <c r="I46" i="103"/>
  <c r="U7" i="193" s="1"/>
  <c r="U6" i="490" s="1"/>
  <c r="I54" i="103"/>
  <c r="U15" i="193" s="1"/>
  <c r="U14" i="490" s="1"/>
  <c r="I59" i="103"/>
  <c r="U20" i="193" s="1"/>
  <c r="U19" i="490" s="1"/>
  <c r="I67" i="103"/>
  <c r="U28" i="193" s="1"/>
  <c r="U27" i="490" s="1"/>
  <c r="I49" i="103"/>
  <c r="U10" i="193" s="1"/>
  <c r="U9" i="490" s="1"/>
  <c r="I62" i="103"/>
  <c r="U23" i="193" s="1"/>
  <c r="U22" i="490" s="1"/>
  <c r="I63" i="103"/>
  <c r="U24" i="193" s="1"/>
  <c r="U23" i="490" s="1"/>
  <c r="I44" i="103"/>
  <c r="U5" i="193" s="1"/>
  <c r="U4" i="490" s="1"/>
  <c r="I52" i="103"/>
  <c r="U13" i="193" s="1"/>
  <c r="U12" i="490" s="1"/>
  <c r="I57" i="103"/>
  <c r="U18" i="193" s="1"/>
  <c r="U17" i="490" s="1"/>
  <c r="BA88" i="102"/>
  <c r="AZ88" i="102" s="1"/>
  <c r="AA71" i="102"/>
  <c r="BA48" i="102"/>
  <c r="AZ48" i="102" s="1"/>
  <c r="BA56" i="102"/>
  <c r="AZ56" i="102" s="1"/>
  <c r="BA64" i="102"/>
  <c r="AZ64" i="102" s="1"/>
  <c r="BA69" i="102"/>
  <c r="AZ69" i="102" s="1"/>
  <c r="BA71" i="102"/>
  <c r="AZ71" i="102" s="1"/>
  <c r="BA83" i="102"/>
  <c r="AZ83" i="102" s="1"/>
  <c r="BA89" i="102"/>
  <c r="AZ89" i="102" s="1"/>
  <c r="BA53" i="102"/>
  <c r="AZ53" i="102" s="1"/>
  <c r="AA69" i="102"/>
  <c r="AN90" i="102"/>
  <c r="AV90" i="102" s="1"/>
  <c r="BF90" i="102" s="1"/>
  <c r="S51" i="193"/>
  <c r="S50" i="490" s="1"/>
  <c r="V5" i="491" s="1"/>
  <c r="B90" i="102"/>
  <c r="U50" i="135" s="1"/>
  <c r="BA51" i="102"/>
  <c r="AZ51" i="102" s="1"/>
  <c r="BA59" i="102"/>
  <c r="AZ59" i="102" s="1"/>
  <c r="BA67" i="102"/>
  <c r="AZ67" i="102" s="1"/>
  <c r="BA73" i="102"/>
  <c r="AZ73" i="102" s="1"/>
  <c r="BA78" i="102"/>
  <c r="AZ78" i="102" s="1"/>
  <c r="BA86" i="102"/>
  <c r="AZ86" i="102" s="1"/>
  <c r="AA90" i="102"/>
  <c r="BA50" i="102"/>
  <c r="AZ50" i="102" s="1"/>
  <c r="BA46" i="102"/>
  <c r="AZ46" i="102" s="1"/>
  <c r="BA54" i="102"/>
  <c r="AZ54" i="102" s="1"/>
  <c r="BA62" i="102"/>
  <c r="AZ62" i="102" s="1"/>
  <c r="BA81" i="102"/>
  <c r="AZ81" i="102" s="1"/>
  <c r="BA49" i="102"/>
  <c r="AZ49" i="102" s="1"/>
  <c r="BA57" i="102"/>
  <c r="AZ57" i="102" s="1"/>
  <c r="BA65" i="102"/>
  <c r="AZ65" i="102" s="1"/>
  <c r="AA70" i="102"/>
  <c r="BA75" i="102"/>
  <c r="AZ75" i="102" s="1"/>
  <c r="BA84" i="102"/>
  <c r="AZ84" i="102" s="1"/>
  <c r="BA58" i="102"/>
  <c r="AZ58" i="102" s="1"/>
  <c r="BA66" i="102"/>
  <c r="AZ66" i="102" s="1"/>
  <c r="BA74" i="102"/>
  <c r="AZ74" i="102" s="1"/>
  <c r="BA85" i="102"/>
  <c r="AZ85" i="102" s="1"/>
  <c r="BA80" i="102"/>
  <c r="AZ80" i="102" s="1"/>
  <c r="BA44" i="102"/>
  <c r="AZ44" i="102" s="1"/>
  <c r="BA52" i="102"/>
  <c r="AZ52" i="102" s="1"/>
  <c r="BA60" i="102"/>
  <c r="AZ60" i="102" s="1"/>
  <c r="BA68" i="102"/>
  <c r="AZ68" i="102" s="1"/>
  <c r="BA70" i="102"/>
  <c r="AZ70" i="102" s="1"/>
  <c r="BA77" i="102"/>
  <c r="AZ77" i="102" s="1"/>
  <c r="BA79" i="102"/>
  <c r="AZ79" i="102" s="1"/>
  <c r="BA87" i="102"/>
  <c r="AZ87" i="102" s="1"/>
  <c r="BA45" i="102"/>
  <c r="AZ45" i="102" s="1"/>
  <c r="BA61" i="102"/>
  <c r="AZ61" i="102" s="1"/>
  <c r="BA76" i="102"/>
  <c r="AZ76" i="102" s="1"/>
  <c r="BA47" i="102"/>
  <c r="AZ47" i="102" s="1"/>
  <c r="BA55" i="102"/>
  <c r="AZ55" i="102" s="1"/>
  <c r="BA63" i="102"/>
  <c r="AZ63" i="102" s="1"/>
  <c r="BA72" i="102"/>
  <c r="AZ72" i="102" s="1"/>
  <c r="BA82" i="102"/>
  <c r="AZ82" i="102" s="1"/>
  <c r="BI45" i="101"/>
  <c r="BH45" i="101" s="1"/>
  <c r="BI73" i="101"/>
  <c r="BH73" i="101" s="1"/>
  <c r="BI53" i="101"/>
  <c r="BH53" i="101" s="1"/>
  <c r="BI64" i="101"/>
  <c r="BH64" i="101" s="1"/>
  <c r="BI68" i="101"/>
  <c r="BH68" i="101" s="1"/>
  <c r="BI75" i="101"/>
  <c r="BH75" i="101" s="1"/>
  <c r="BI80" i="101"/>
  <c r="BH80" i="101" s="1"/>
  <c r="BI89" i="101"/>
  <c r="BH89" i="101" s="1"/>
  <c r="BI46" i="101"/>
  <c r="BH46" i="101" s="1"/>
  <c r="BI50" i="101"/>
  <c r="BH50" i="101" s="1"/>
  <c r="BI57" i="101"/>
  <c r="BH57" i="101" s="1"/>
  <c r="BI71" i="101"/>
  <c r="BH71" i="101" s="1"/>
  <c r="BI83" i="101"/>
  <c r="BH83" i="101" s="1"/>
  <c r="AZ90" i="101"/>
  <c r="BF90" i="101"/>
  <c r="BI49" i="101"/>
  <c r="BH49" i="101" s="1"/>
  <c r="BI60" i="101"/>
  <c r="BH60" i="101" s="1"/>
  <c r="BI85" i="101"/>
  <c r="BH85" i="101" s="1"/>
  <c r="BI54" i="101"/>
  <c r="BH54" i="101" s="1"/>
  <c r="BI61" i="101"/>
  <c r="BH61" i="101" s="1"/>
  <c r="BI65" i="101"/>
  <c r="BH65" i="101" s="1"/>
  <c r="BI78" i="101"/>
  <c r="BH78" i="101" s="1"/>
  <c r="BI86" i="101"/>
  <c r="BH86" i="101" s="1"/>
  <c r="BI47" i="101"/>
  <c r="BH47" i="101" s="1"/>
  <c r="BI51" i="101"/>
  <c r="BH51" i="101" s="1"/>
  <c r="BI58" i="101"/>
  <c r="BH58" i="101" s="1"/>
  <c r="BI69" i="101"/>
  <c r="BH69" i="101" s="1"/>
  <c r="BI74" i="101"/>
  <c r="BH74" i="101" s="1"/>
  <c r="BI76" i="101"/>
  <c r="BH76" i="101" s="1"/>
  <c r="BI81" i="101"/>
  <c r="BH81" i="101" s="1"/>
  <c r="BI44" i="101"/>
  <c r="BH44" i="101" s="1"/>
  <c r="BI55" i="101"/>
  <c r="BH55" i="101" s="1"/>
  <c r="BI62" i="101"/>
  <c r="BH62" i="101" s="1"/>
  <c r="BI66" i="101"/>
  <c r="BH66" i="101" s="1"/>
  <c r="BI72" i="101"/>
  <c r="BH72" i="101" s="1"/>
  <c r="BI84" i="101"/>
  <c r="BH84" i="101" s="1"/>
  <c r="BI48" i="101"/>
  <c r="BH48" i="101" s="1"/>
  <c r="BI52" i="101"/>
  <c r="BH52" i="101" s="1"/>
  <c r="BI59" i="101"/>
  <c r="BH59" i="101" s="1"/>
  <c r="BI79" i="101"/>
  <c r="BH79" i="101" s="1"/>
  <c r="BI87" i="101"/>
  <c r="BH87" i="101" s="1"/>
  <c r="BI77" i="101"/>
  <c r="BH77" i="101" s="1"/>
  <c r="BI56" i="101"/>
  <c r="BH56" i="101" s="1"/>
  <c r="BI63" i="101"/>
  <c r="BH63" i="101" s="1"/>
  <c r="BI67" i="101"/>
  <c r="BH67" i="101" s="1"/>
  <c r="BI70" i="101"/>
  <c r="BH70" i="101" s="1"/>
  <c r="BI82" i="101"/>
  <c r="BH82" i="101" s="1"/>
  <c r="BA44" i="20"/>
  <c r="U49" i="193"/>
  <c r="U48" i="490" s="1"/>
  <c r="AA88" i="103"/>
  <c r="AS88" i="103" s="1"/>
  <c r="I71" i="103"/>
  <c r="U32" i="193" s="1"/>
  <c r="U31" i="490" s="1"/>
  <c r="AN80" i="22"/>
  <c r="F80" i="22"/>
  <c r="D80" i="22" s="1"/>
  <c r="B80" i="22"/>
  <c r="M40" i="135" s="1"/>
  <c r="AN82" i="22"/>
  <c r="F82" i="22"/>
  <c r="D82" i="22" s="1"/>
  <c r="B82" i="22"/>
  <c r="M42" i="135" s="1"/>
  <c r="AC69" i="104"/>
  <c r="V30" i="193"/>
  <c r="V29" i="490" s="1"/>
  <c r="AN69" i="104"/>
  <c r="B69" i="104"/>
  <c r="X29" i="135" s="1"/>
  <c r="AN84" i="22"/>
  <c r="F84" i="22"/>
  <c r="D84" i="22" s="1"/>
  <c r="B84" i="22"/>
  <c r="M44" i="135" s="1"/>
  <c r="N88" i="24"/>
  <c r="AI88" i="24"/>
  <c r="AN86" i="22"/>
  <c r="F86" i="22"/>
  <c r="D86" i="22" s="1"/>
  <c r="B86" i="22"/>
  <c r="M46" i="135" s="1"/>
  <c r="AN83" i="22"/>
  <c r="AT83" i="22" s="1"/>
  <c r="BF83" i="22" s="1"/>
  <c r="F83" i="22"/>
  <c r="D83" i="22" s="1"/>
  <c r="B83" i="22"/>
  <c r="M43" i="135" s="1"/>
  <c r="M75" i="22"/>
  <c r="M48" i="490"/>
  <c r="AO88" i="23"/>
  <c r="F88" i="23"/>
  <c r="D88" i="23" s="1"/>
  <c r="B88" i="23"/>
  <c r="N48" i="135" s="1"/>
  <c r="M40" i="490"/>
  <c r="AO80" i="23"/>
  <c r="F80" i="23"/>
  <c r="D80" i="23" s="1"/>
  <c r="B80" i="23"/>
  <c r="N40" i="135" s="1"/>
  <c r="L72" i="24"/>
  <c r="Q32" i="196"/>
  <c r="L64" i="24"/>
  <c r="Q24" i="196"/>
  <c r="L56" i="24"/>
  <c r="Q16" i="196"/>
  <c r="B74" i="24"/>
  <c r="O34" i="135" s="1"/>
  <c r="N74" i="24"/>
  <c r="B87" i="24"/>
  <c r="O47" i="135" s="1"/>
  <c r="N87" i="24"/>
  <c r="AC57" i="104"/>
  <c r="V18" i="193"/>
  <c r="V17" i="490" s="1"/>
  <c r="AN57" i="104"/>
  <c r="B57" i="104"/>
  <c r="X17" i="135" s="1"/>
  <c r="AC65" i="104"/>
  <c r="V26" i="193"/>
  <c r="V25" i="490" s="1"/>
  <c r="AN65" i="104"/>
  <c r="B65" i="104"/>
  <c r="X25" i="135" s="1"/>
  <c r="AC74" i="104"/>
  <c r="V35" i="193"/>
  <c r="AN74" i="104"/>
  <c r="B74" i="104"/>
  <c r="X34" i="135" s="1"/>
  <c r="AA77" i="104"/>
  <c r="V38" i="193"/>
  <c r="AN77" i="104"/>
  <c r="B77" i="104"/>
  <c r="X37" i="135" s="1"/>
  <c r="AC77" i="104"/>
  <c r="AA84" i="104"/>
  <c r="V45" i="193"/>
  <c r="AN84" i="104"/>
  <c r="F84" i="104"/>
  <c r="D84" i="104" s="1"/>
  <c r="B84" i="104"/>
  <c r="X44" i="135" s="1"/>
  <c r="AA80" i="105"/>
  <c r="AB80" i="105" s="1"/>
  <c r="AN80" i="105"/>
  <c r="F80" i="105"/>
  <c r="D80" i="105" s="1"/>
  <c r="B80" i="105"/>
  <c r="Y40" i="135" s="1"/>
  <c r="AA88" i="105"/>
  <c r="AB88" i="105" s="1"/>
  <c r="AN88" i="105"/>
  <c r="F88" i="105"/>
  <c r="D88" i="105" s="1"/>
  <c r="B88" i="105"/>
  <c r="Y48" i="135" s="1"/>
  <c r="N88" i="22"/>
  <c r="M47" i="490"/>
  <c r="AO87" i="23"/>
  <c r="F87" i="23"/>
  <c r="D87" i="23" s="1"/>
  <c r="B87" i="23"/>
  <c r="N47" i="135" s="1"/>
  <c r="L71" i="24"/>
  <c r="Q31" i="196"/>
  <c r="L63" i="24"/>
  <c r="Q23" i="196"/>
  <c r="L55" i="24"/>
  <c r="Q15" i="196"/>
  <c r="B86" i="24"/>
  <c r="O46" i="135" s="1"/>
  <c r="N86" i="24"/>
  <c r="B89" i="24"/>
  <c r="O49" i="135" s="1"/>
  <c r="N89" i="24"/>
  <c r="V13" i="193"/>
  <c r="V12" i="490" s="1"/>
  <c r="AN52" i="104"/>
  <c r="B52" i="104"/>
  <c r="X12" i="135" s="1"/>
  <c r="AC60" i="104"/>
  <c r="V21" i="193"/>
  <c r="V20" i="490" s="1"/>
  <c r="AN60" i="104"/>
  <c r="B60" i="104"/>
  <c r="X20" i="135" s="1"/>
  <c r="AC70" i="104"/>
  <c r="V31" i="193"/>
  <c r="AN70" i="104"/>
  <c r="B70" i="104"/>
  <c r="X30" i="135" s="1"/>
  <c r="AA79" i="104"/>
  <c r="AP79" i="104" s="1"/>
  <c r="V40" i="193"/>
  <c r="AN79" i="104"/>
  <c r="F79" i="104"/>
  <c r="D79" i="104" s="1"/>
  <c r="B79" i="104"/>
  <c r="X39" i="135" s="1"/>
  <c r="AA87" i="104"/>
  <c r="V48" i="193"/>
  <c r="AN87" i="104"/>
  <c r="B87" i="104"/>
  <c r="X47" i="135" s="1"/>
  <c r="F87" i="104"/>
  <c r="D87" i="104" s="1"/>
  <c r="AN52" i="105"/>
  <c r="B52" i="105"/>
  <c r="Y12" i="135" s="1"/>
  <c r="AN56" i="105"/>
  <c r="B56" i="105"/>
  <c r="Y16" i="135" s="1"/>
  <c r="AN60" i="105"/>
  <c r="B60" i="105"/>
  <c r="Y20" i="135" s="1"/>
  <c r="AN64" i="105"/>
  <c r="B64" i="105"/>
  <c r="Y24" i="135" s="1"/>
  <c r="AN68" i="105"/>
  <c r="B68" i="105"/>
  <c r="Y28" i="135" s="1"/>
  <c r="AB68" i="105"/>
  <c r="AN71" i="105"/>
  <c r="AB71" i="105"/>
  <c r="B71" i="105"/>
  <c r="Y31" i="135" s="1"/>
  <c r="AA83" i="105"/>
  <c r="AB83" i="105" s="1"/>
  <c r="AN83" i="105"/>
  <c r="F83" i="105"/>
  <c r="D83" i="105" s="1"/>
  <c r="B83" i="105"/>
  <c r="Y43" i="135" s="1"/>
  <c r="AN81" i="22"/>
  <c r="AT81" i="22" s="1"/>
  <c r="BF81" i="22" s="1"/>
  <c r="F81" i="22"/>
  <c r="D81" i="22" s="1"/>
  <c r="B81" i="22"/>
  <c r="M41" i="135" s="1"/>
  <c r="M46" i="490"/>
  <c r="AO86" i="23"/>
  <c r="F86" i="23"/>
  <c r="D86" i="23" s="1"/>
  <c r="B86" i="23"/>
  <c r="N46" i="135" s="1"/>
  <c r="L70" i="24"/>
  <c r="Q30" i="196"/>
  <c r="L62" i="24"/>
  <c r="Q22" i="196"/>
  <c r="L54" i="24"/>
  <c r="Q14" i="196"/>
  <c r="B85" i="24"/>
  <c r="O45" i="135" s="1"/>
  <c r="N85" i="24"/>
  <c r="AA69" i="101"/>
  <c r="I56" i="103"/>
  <c r="U17" i="193" s="1"/>
  <c r="U16" i="490" s="1"/>
  <c r="I61" i="103"/>
  <c r="U22" i="193" s="1"/>
  <c r="U21" i="490" s="1"/>
  <c r="I66" i="103"/>
  <c r="U27" i="193" s="1"/>
  <c r="U26" i="490" s="1"/>
  <c r="V16" i="193"/>
  <c r="V15" i="490" s="1"/>
  <c r="AN55" i="104"/>
  <c r="B55" i="104"/>
  <c r="X15" i="135" s="1"/>
  <c r="AC63" i="104"/>
  <c r="V24" i="193"/>
  <c r="V23" i="490" s="1"/>
  <c r="AN63" i="104"/>
  <c r="B63" i="104"/>
  <c r="X23" i="135" s="1"/>
  <c r="AC68" i="104"/>
  <c r="V29" i="193"/>
  <c r="V28" i="490" s="1"/>
  <c r="AN68" i="104"/>
  <c r="B68" i="104"/>
  <c r="X28" i="135" s="1"/>
  <c r="AA82" i="104"/>
  <c r="V43" i="193"/>
  <c r="AN82" i="104"/>
  <c r="F82" i="104"/>
  <c r="D82" i="104" s="1"/>
  <c r="B82" i="104"/>
  <c r="X42" i="135" s="1"/>
  <c r="AA71" i="105"/>
  <c r="AN74" i="105"/>
  <c r="B74" i="105"/>
  <c r="Y34" i="135" s="1"/>
  <c r="AB74" i="105"/>
  <c r="AA78" i="105"/>
  <c r="AN78" i="105"/>
  <c r="AB78" i="105"/>
  <c r="B78" i="105"/>
  <c r="Y38" i="135" s="1"/>
  <c r="AA86" i="105"/>
  <c r="AB86" i="105" s="1"/>
  <c r="AN86" i="105"/>
  <c r="B86" i="105"/>
  <c r="Y46" i="135" s="1"/>
  <c r="F86" i="105"/>
  <c r="D86" i="105" s="1"/>
  <c r="AA89" i="105"/>
  <c r="AB89" i="105" s="1"/>
  <c r="AN89" i="105"/>
  <c r="F89" i="105"/>
  <c r="D89" i="105" s="1"/>
  <c r="B89" i="105"/>
  <c r="Y49" i="135" s="1"/>
  <c r="B76" i="24"/>
  <c r="O36" i="135" s="1"/>
  <c r="N76" i="24"/>
  <c r="N75" i="20"/>
  <c r="AN89" i="22"/>
  <c r="AT89" i="22" s="1"/>
  <c r="F89" i="22"/>
  <c r="D89" i="22" s="1"/>
  <c r="B89" i="22"/>
  <c r="M49" i="135" s="1"/>
  <c r="M45" i="490"/>
  <c r="AO85" i="23"/>
  <c r="F85" i="23"/>
  <c r="D85" i="23" s="1"/>
  <c r="B85" i="23"/>
  <c r="N45" i="135" s="1"/>
  <c r="L69" i="24"/>
  <c r="Q29" i="196"/>
  <c r="L61" i="24"/>
  <c r="Q21" i="196"/>
  <c r="L53" i="24"/>
  <c r="Q13" i="196"/>
  <c r="B84" i="24"/>
  <c r="O44" i="135" s="1"/>
  <c r="N84" i="24"/>
  <c r="I69" i="103"/>
  <c r="U30" i="193" s="1"/>
  <c r="U29" i="490" s="1"/>
  <c r="V11" i="193"/>
  <c r="V10" i="490" s="1"/>
  <c r="AN50" i="104"/>
  <c r="B50" i="104"/>
  <c r="X10" i="135" s="1"/>
  <c r="AC58" i="104"/>
  <c r="V19" i="193"/>
  <c r="V18" i="490" s="1"/>
  <c r="AN58" i="104"/>
  <c r="B58" i="104"/>
  <c r="X18" i="135" s="1"/>
  <c r="AC66" i="104"/>
  <c r="V27" i="193"/>
  <c r="V26" i="490" s="1"/>
  <c r="AN66" i="104"/>
  <c r="B66" i="104"/>
  <c r="X26" i="135" s="1"/>
  <c r="AA85" i="104"/>
  <c r="V46" i="193"/>
  <c r="AN85" i="104"/>
  <c r="B85" i="104"/>
  <c r="X45" i="135" s="1"/>
  <c r="F85" i="104"/>
  <c r="D85" i="104" s="1"/>
  <c r="AN49" i="105"/>
  <c r="B49" i="105"/>
  <c r="Y9" i="135" s="1"/>
  <c r="AN53" i="105"/>
  <c r="B53" i="105"/>
  <c r="Y13" i="135" s="1"/>
  <c r="AN57" i="105"/>
  <c r="B57" i="105"/>
  <c r="Y17" i="135" s="1"/>
  <c r="AN61" i="105"/>
  <c r="B61" i="105"/>
  <c r="Y21" i="135" s="1"/>
  <c r="AN65" i="105"/>
  <c r="B65" i="105"/>
  <c r="Y25" i="135" s="1"/>
  <c r="AN69" i="105"/>
  <c r="AB69" i="105"/>
  <c r="B69" i="105"/>
  <c r="Y29" i="135" s="1"/>
  <c r="AA74" i="105"/>
  <c r="AA76" i="105"/>
  <c r="AN76" i="105"/>
  <c r="B76" i="105"/>
  <c r="Y36" i="135" s="1"/>
  <c r="AB76" i="105"/>
  <c r="AA81" i="105"/>
  <c r="AB81" i="105" s="1"/>
  <c r="AN81" i="105"/>
  <c r="F81" i="105"/>
  <c r="D81" i="105" s="1"/>
  <c r="B81" i="105"/>
  <c r="Y41" i="135" s="1"/>
  <c r="P136" i="104"/>
  <c r="AN87" i="22"/>
  <c r="AT87" i="22" s="1"/>
  <c r="BF87" i="22" s="1"/>
  <c r="F87" i="22"/>
  <c r="D87" i="22" s="1"/>
  <c r="B87" i="22"/>
  <c r="M47" i="135" s="1"/>
  <c r="AN79" i="22"/>
  <c r="AT79" i="22" s="1"/>
  <c r="BF79" i="22" s="1"/>
  <c r="B79" i="22"/>
  <c r="M39" i="135" s="1"/>
  <c r="F79" i="22"/>
  <c r="D79" i="22" s="1"/>
  <c r="M44" i="490"/>
  <c r="AO84" i="23"/>
  <c r="F84" i="23"/>
  <c r="D84" i="23" s="1"/>
  <c r="B84" i="23"/>
  <c r="N44" i="135" s="1"/>
  <c r="L68" i="24"/>
  <c r="Q28" i="196"/>
  <c r="L60" i="24"/>
  <c r="Q20" i="196"/>
  <c r="L52" i="24"/>
  <c r="Q12" i="196"/>
  <c r="B83" i="24"/>
  <c r="O43" i="135" s="1"/>
  <c r="N83" i="24"/>
  <c r="V14" i="193"/>
  <c r="V13" i="490" s="1"/>
  <c r="AN53" i="104"/>
  <c r="B53" i="104"/>
  <c r="X13" i="135" s="1"/>
  <c r="AC61" i="104"/>
  <c r="V22" i="193"/>
  <c r="V21" i="490" s="1"/>
  <c r="AN61" i="104"/>
  <c r="B61" i="104"/>
  <c r="X21" i="135" s="1"/>
  <c r="AC71" i="104"/>
  <c r="V32" i="193"/>
  <c r="AN71" i="104"/>
  <c r="B71" i="104"/>
  <c r="X31" i="135" s="1"/>
  <c r="AC73" i="104"/>
  <c r="V34" i="193"/>
  <c r="AN73" i="104"/>
  <c r="B73" i="104"/>
  <c r="X33" i="135" s="1"/>
  <c r="AA76" i="104"/>
  <c r="AP76" i="104" s="1"/>
  <c r="V37" i="193"/>
  <c r="AN76" i="104"/>
  <c r="B76" i="104"/>
  <c r="X36" i="135" s="1"/>
  <c r="AC76" i="104"/>
  <c r="AA80" i="104"/>
  <c r="V41" i="193"/>
  <c r="AN80" i="104"/>
  <c r="B80" i="104"/>
  <c r="X40" i="135" s="1"/>
  <c r="F80" i="104"/>
  <c r="D80" i="104" s="1"/>
  <c r="AA88" i="104"/>
  <c r="V49" i="193"/>
  <c r="AN88" i="104"/>
  <c r="B88" i="104"/>
  <c r="X48" i="135" s="1"/>
  <c r="F88" i="104"/>
  <c r="D88" i="104" s="1"/>
  <c r="AN72" i="105"/>
  <c r="AB72" i="105"/>
  <c r="B72" i="105"/>
  <c r="Y32" i="135" s="1"/>
  <c r="AA84" i="105"/>
  <c r="AB84" i="105" s="1"/>
  <c r="AN84" i="105"/>
  <c r="B84" i="105"/>
  <c r="Y44" i="135" s="1"/>
  <c r="F84" i="105"/>
  <c r="D84" i="105" s="1"/>
  <c r="M43" i="490"/>
  <c r="AO83" i="23"/>
  <c r="F83" i="23"/>
  <c r="D83" i="23" s="1"/>
  <c r="B83" i="23"/>
  <c r="N43" i="135" s="1"/>
  <c r="L67" i="24"/>
  <c r="Q27" i="196"/>
  <c r="L59" i="24"/>
  <c r="Q19" i="196"/>
  <c r="L51" i="24"/>
  <c r="Q11" i="196"/>
  <c r="B82" i="24"/>
  <c r="O42" i="135" s="1"/>
  <c r="N82" i="24"/>
  <c r="V17" i="193"/>
  <c r="V16" i="490" s="1"/>
  <c r="AN56" i="104"/>
  <c r="B56" i="104"/>
  <c r="X16" i="135" s="1"/>
  <c r="AC64" i="104"/>
  <c r="V25" i="193"/>
  <c r="V24" i="490" s="1"/>
  <c r="AN64" i="104"/>
  <c r="B64" i="104"/>
  <c r="X24" i="135" s="1"/>
  <c r="AA73" i="104"/>
  <c r="AP73" i="104" s="1"/>
  <c r="AA78" i="104"/>
  <c r="V39" i="193"/>
  <c r="AN78" i="104"/>
  <c r="B78" i="104"/>
  <c r="X38" i="135" s="1"/>
  <c r="AC78" i="104"/>
  <c r="AA83" i="104"/>
  <c r="V44" i="193"/>
  <c r="AN83" i="104"/>
  <c r="F83" i="104"/>
  <c r="D83" i="104" s="1"/>
  <c r="B83" i="104"/>
  <c r="X43" i="135" s="1"/>
  <c r="AN50" i="105"/>
  <c r="B50" i="105"/>
  <c r="Y10" i="135" s="1"/>
  <c r="AN54" i="105"/>
  <c r="B54" i="105"/>
  <c r="Y14" i="135" s="1"/>
  <c r="AN58" i="105"/>
  <c r="B58" i="105"/>
  <c r="Y18" i="135" s="1"/>
  <c r="AN62" i="105"/>
  <c r="B62" i="105"/>
  <c r="Y22" i="135" s="1"/>
  <c r="AN66" i="105"/>
  <c r="B66" i="105"/>
  <c r="Y26" i="135" s="1"/>
  <c r="AB66" i="105"/>
  <c r="AA72" i="105"/>
  <c r="AA79" i="105"/>
  <c r="AB79" i="105" s="1"/>
  <c r="AN79" i="105"/>
  <c r="F79" i="105"/>
  <c r="D79" i="105" s="1"/>
  <c r="B79" i="105"/>
  <c r="Y39" i="135" s="1"/>
  <c r="AA87" i="105"/>
  <c r="AB87" i="105" s="1"/>
  <c r="AN87" i="105"/>
  <c r="F87" i="105"/>
  <c r="D87" i="105" s="1"/>
  <c r="B87" i="105"/>
  <c r="Y47" i="135" s="1"/>
  <c r="AN85" i="22"/>
  <c r="AT85" i="22" s="1"/>
  <c r="BF85" i="22" s="1"/>
  <c r="F85" i="22"/>
  <c r="D85" i="22" s="1"/>
  <c r="B85" i="22"/>
  <c r="M45" i="135" s="1"/>
  <c r="M39" i="490"/>
  <c r="AO79" i="23"/>
  <c r="F79" i="23"/>
  <c r="D79" i="23" s="1"/>
  <c r="B79" i="23"/>
  <c r="N39" i="135" s="1"/>
  <c r="M42" i="490"/>
  <c r="AO82" i="23"/>
  <c r="F82" i="23"/>
  <c r="D82" i="23" s="1"/>
  <c r="B82" i="23"/>
  <c r="N42" i="135" s="1"/>
  <c r="B78" i="24"/>
  <c r="O38" i="135" s="1"/>
  <c r="N78" i="24"/>
  <c r="L66" i="24"/>
  <c r="Q26" i="196"/>
  <c r="L58" i="24"/>
  <c r="Q18" i="196"/>
  <c r="L50" i="24"/>
  <c r="Q10" i="196"/>
  <c r="B77" i="24"/>
  <c r="O37" i="135" s="1"/>
  <c r="N77" i="24"/>
  <c r="B81" i="24"/>
  <c r="O41" i="135" s="1"/>
  <c r="N81" i="24"/>
  <c r="AA73" i="101"/>
  <c r="I50" i="103"/>
  <c r="U11" i="193" s="1"/>
  <c r="U10" i="490" s="1"/>
  <c r="I70" i="103"/>
  <c r="U31" i="193" s="1"/>
  <c r="U30" i="490" s="1"/>
  <c r="V12" i="193"/>
  <c r="V11" i="490" s="1"/>
  <c r="AN51" i="104"/>
  <c r="B51" i="104"/>
  <c r="X11" i="135" s="1"/>
  <c r="AC59" i="104"/>
  <c r="V20" i="193"/>
  <c r="V19" i="490" s="1"/>
  <c r="AN59" i="104"/>
  <c r="B59" i="104"/>
  <c r="X19" i="135" s="1"/>
  <c r="AA75" i="104"/>
  <c r="V36" i="193"/>
  <c r="AN75" i="104"/>
  <c r="B75" i="104"/>
  <c r="X35" i="135" s="1"/>
  <c r="AC75" i="104"/>
  <c r="AA86" i="104"/>
  <c r="V47" i="193"/>
  <c r="AN86" i="104"/>
  <c r="B86" i="104"/>
  <c r="X46" i="135" s="1"/>
  <c r="F86" i="104"/>
  <c r="D86" i="104" s="1"/>
  <c r="AA89" i="104"/>
  <c r="BS50" i="193"/>
  <c r="AN89" i="104"/>
  <c r="B89" i="104"/>
  <c r="X49" i="135" s="1"/>
  <c r="F89" i="104"/>
  <c r="D89" i="104" s="1"/>
  <c r="I70" i="105"/>
  <c r="AA77" i="105"/>
  <c r="AN77" i="105"/>
  <c r="AB77" i="105"/>
  <c r="B77" i="105"/>
  <c r="Y37" i="135" s="1"/>
  <c r="AA82" i="105"/>
  <c r="AB82" i="105" s="1"/>
  <c r="AN82" i="105"/>
  <c r="B82" i="105"/>
  <c r="Y42" i="135" s="1"/>
  <c r="F82" i="105"/>
  <c r="D82" i="105" s="1"/>
  <c r="M49" i="490"/>
  <c r="P4" i="491" s="1"/>
  <c r="AO89" i="23"/>
  <c r="F89" i="23"/>
  <c r="D89" i="23" s="1"/>
  <c r="B89" i="23"/>
  <c r="N49" i="135" s="1"/>
  <c r="M41" i="490"/>
  <c r="AO81" i="23"/>
  <c r="F81" i="23"/>
  <c r="D81" i="23" s="1"/>
  <c r="B81" i="23"/>
  <c r="N41" i="135" s="1"/>
  <c r="I47" i="24"/>
  <c r="Q7" i="194" s="1"/>
  <c r="Q8" i="194"/>
  <c r="L73" i="24"/>
  <c r="Q33" i="196"/>
  <c r="L65" i="24"/>
  <c r="Q25" i="196"/>
  <c r="L57" i="24"/>
  <c r="Q17" i="196"/>
  <c r="L49" i="24"/>
  <c r="Q9" i="196"/>
  <c r="B79" i="24"/>
  <c r="O39" i="135" s="1"/>
  <c r="N79" i="24"/>
  <c r="B80" i="24"/>
  <c r="O40" i="135" s="1"/>
  <c r="N80" i="24"/>
  <c r="I60" i="103"/>
  <c r="U21" i="193" s="1"/>
  <c r="U20" i="490" s="1"/>
  <c r="I65" i="103"/>
  <c r="U26" i="193" s="1"/>
  <c r="U25" i="490" s="1"/>
  <c r="I75" i="103"/>
  <c r="U36" i="193" s="1"/>
  <c r="U35" i="490" s="1"/>
  <c r="V15" i="193"/>
  <c r="V14" i="490" s="1"/>
  <c r="AN54" i="104"/>
  <c r="B54" i="104"/>
  <c r="X14" i="135" s="1"/>
  <c r="AC62" i="104"/>
  <c r="V23" i="193"/>
  <c r="V22" i="490" s="1"/>
  <c r="AN62" i="104"/>
  <c r="B62" i="104"/>
  <c r="X22" i="135" s="1"/>
  <c r="AC67" i="104"/>
  <c r="V28" i="193"/>
  <c r="V27" i="490" s="1"/>
  <c r="AN67" i="104"/>
  <c r="B67" i="104"/>
  <c r="X27" i="135" s="1"/>
  <c r="AC72" i="104"/>
  <c r="V33" i="193"/>
  <c r="AN72" i="104"/>
  <c r="B72" i="104"/>
  <c r="X32" i="135" s="1"/>
  <c r="AA81" i="104"/>
  <c r="V42" i="193"/>
  <c r="AN81" i="104"/>
  <c r="B81" i="104"/>
  <c r="X41" i="135" s="1"/>
  <c r="F81" i="104"/>
  <c r="D81" i="104" s="1"/>
  <c r="AN51" i="105"/>
  <c r="B51" i="105"/>
  <c r="Y11" i="135" s="1"/>
  <c r="AN55" i="105"/>
  <c r="B55" i="105"/>
  <c r="Y15" i="135" s="1"/>
  <c r="AN59" i="105"/>
  <c r="B59" i="105"/>
  <c r="Y19" i="135" s="1"/>
  <c r="AN63" i="105"/>
  <c r="B63" i="105"/>
  <c r="Y23" i="135" s="1"/>
  <c r="AN67" i="105"/>
  <c r="B67" i="105"/>
  <c r="Y27" i="135" s="1"/>
  <c r="AB67" i="105"/>
  <c r="AA70" i="105"/>
  <c r="I73" i="105"/>
  <c r="AA73" i="105" s="1"/>
  <c r="AA75" i="105"/>
  <c r="AN75" i="105"/>
  <c r="B75" i="105"/>
  <c r="Y35" i="135" s="1"/>
  <c r="AB75" i="105"/>
  <c r="AA85" i="105"/>
  <c r="AB85" i="105" s="1"/>
  <c r="AN85" i="105"/>
  <c r="B85" i="105"/>
  <c r="Y45" i="135" s="1"/>
  <c r="F85" i="105"/>
  <c r="D85" i="105" s="1"/>
  <c r="P136" i="103"/>
  <c r="C173" i="105"/>
  <c r="W136" i="105"/>
  <c r="B173" i="105"/>
  <c r="AA75" i="102"/>
  <c r="AP75" i="102" s="1"/>
  <c r="S12" i="193"/>
  <c r="S11" i="490" s="1"/>
  <c r="AN51" i="102"/>
  <c r="B51" i="102"/>
  <c r="U11" i="135" s="1"/>
  <c r="S20" i="193"/>
  <c r="S19" i="490" s="1"/>
  <c r="AN59" i="102"/>
  <c r="B59" i="102"/>
  <c r="U19" i="135" s="1"/>
  <c r="S8" i="193"/>
  <c r="S7" i="490" s="1"/>
  <c r="AN47" i="102"/>
  <c r="B47" i="102"/>
  <c r="U7" i="135" s="1"/>
  <c r="S16" i="193"/>
  <c r="S15" i="490" s="1"/>
  <c r="AN55" i="102"/>
  <c r="B55" i="102"/>
  <c r="U15" i="135" s="1"/>
  <c r="S24" i="193"/>
  <c r="S23" i="490" s="1"/>
  <c r="AN63" i="102"/>
  <c r="B63" i="102"/>
  <c r="U23" i="135" s="1"/>
  <c r="S7" i="193"/>
  <c r="S6" i="490" s="1"/>
  <c r="AN46" i="102"/>
  <c r="B46" i="102"/>
  <c r="U6" i="135" s="1"/>
  <c r="S11" i="193"/>
  <c r="S10" i="490" s="1"/>
  <c r="AN50" i="102"/>
  <c r="B50" i="102"/>
  <c r="U10" i="135" s="1"/>
  <c r="S15" i="193"/>
  <c r="S14" i="490" s="1"/>
  <c r="AN54" i="102"/>
  <c r="B54" i="102"/>
  <c r="U14" i="135" s="1"/>
  <c r="S19" i="193"/>
  <c r="S18" i="490" s="1"/>
  <c r="AN58" i="102"/>
  <c r="B58" i="102"/>
  <c r="U18" i="135" s="1"/>
  <c r="S23" i="193"/>
  <c r="S22" i="490" s="1"/>
  <c r="AN62" i="102"/>
  <c r="B62" i="102"/>
  <c r="U22" i="135" s="1"/>
  <c r="S26" i="193"/>
  <c r="S25" i="490" s="1"/>
  <c r="AN65" i="102"/>
  <c r="B65" i="102"/>
  <c r="U25" i="135" s="1"/>
  <c r="S28" i="193"/>
  <c r="S27" i="490" s="1"/>
  <c r="AN67" i="102"/>
  <c r="B67" i="102"/>
  <c r="U27" i="135" s="1"/>
  <c r="S30" i="193"/>
  <c r="S29" i="490" s="1"/>
  <c r="AN69" i="102"/>
  <c r="B69" i="102"/>
  <c r="U29" i="135" s="1"/>
  <c r="S31" i="193"/>
  <c r="S30" i="490" s="1"/>
  <c r="AN70" i="102"/>
  <c r="B70" i="102"/>
  <c r="U30" i="135" s="1"/>
  <c r="S32" i="193"/>
  <c r="S31" i="490" s="1"/>
  <c r="AN71" i="102"/>
  <c r="B71" i="102"/>
  <c r="U31" i="135" s="1"/>
  <c r="S36" i="193"/>
  <c r="S35" i="490" s="1"/>
  <c r="AN75" i="102"/>
  <c r="B75" i="102"/>
  <c r="U35" i="135" s="1"/>
  <c r="AA76" i="102"/>
  <c r="S37" i="193"/>
  <c r="S36" i="490" s="1"/>
  <c r="B76" i="102"/>
  <c r="U36" i="135" s="1"/>
  <c r="AN76" i="102"/>
  <c r="AA77" i="102"/>
  <c r="S38" i="193"/>
  <c r="S37" i="490" s="1"/>
  <c r="AN77" i="102"/>
  <c r="B77" i="102"/>
  <c r="U37" i="135" s="1"/>
  <c r="S41" i="193"/>
  <c r="S40" i="490" s="1"/>
  <c r="B80" i="102"/>
  <c r="U40" i="135" s="1"/>
  <c r="AN80" i="102"/>
  <c r="F80" i="102"/>
  <c r="D80" i="102" s="1"/>
  <c r="AA82" i="102"/>
  <c r="S43" i="193"/>
  <c r="S42" i="490" s="1"/>
  <c r="AN82" i="102"/>
  <c r="B82" i="102"/>
  <c r="U42" i="135" s="1"/>
  <c r="F82" i="102"/>
  <c r="D82" i="102" s="1"/>
  <c r="AA84" i="102"/>
  <c r="AP84" i="102" s="1"/>
  <c r="S45" i="193"/>
  <c r="S44" i="490" s="1"/>
  <c r="B84" i="102"/>
  <c r="U44" i="135" s="1"/>
  <c r="AN84" i="102"/>
  <c r="F84" i="102"/>
  <c r="D84" i="102" s="1"/>
  <c r="AA86" i="102"/>
  <c r="S47" i="193"/>
  <c r="S46" i="490" s="1"/>
  <c r="AN86" i="102"/>
  <c r="B86" i="102"/>
  <c r="U46" i="135" s="1"/>
  <c r="F86" i="102"/>
  <c r="D86" i="102" s="1"/>
  <c r="AA88" i="102"/>
  <c r="AP88" i="102" s="1"/>
  <c r="S49" i="193"/>
  <c r="S48" i="490" s="1"/>
  <c r="B88" i="102"/>
  <c r="U48" i="135" s="1"/>
  <c r="AN88" i="102"/>
  <c r="F88" i="102"/>
  <c r="D88" i="102" s="1"/>
  <c r="AA89" i="102"/>
  <c r="AP89" i="102" s="1"/>
  <c r="S50" i="193"/>
  <c r="S49" i="490" s="1"/>
  <c r="V4" i="491" s="1"/>
  <c r="AN89" i="102"/>
  <c r="F89" i="102"/>
  <c r="D89" i="102" s="1"/>
  <c r="B89" i="102"/>
  <c r="U49" i="135" s="1"/>
  <c r="P135" i="102"/>
  <c r="AA72" i="102"/>
  <c r="AP72" i="102" s="1"/>
  <c r="AA73" i="102"/>
  <c r="AA74" i="102"/>
  <c r="S5" i="193"/>
  <c r="S4" i="490" s="1"/>
  <c r="B44" i="102"/>
  <c r="U4" i="135" s="1"/>
  <c r="AN44" i="102"/>
  <c r="S6" i="193"/>
  <c r="S5" i="490" s="1"/>
  <c r="AN45" i="102"/>
  <c r="B45" i="102"/>
  <c r="U5" i="135" s="1"/>
  <c r="S9" i="193"/>
  <c r="S8" i="490" s="1"/>
  <c r="B48" i="102"/>
  <c r="U8" i="135" s="1"/>
  <c r="AN48" i="102"/>
  <c r="S10" i="193"/>
  <c r="S9" i="490" s="1"/>
  <c r="AN49" i="102"/>
  <c r="B49" i="102"/>
  <c r="U9" i="135" s="1"/>
  <c r="S13" i="193"/>
  <c r="S12" i="490" s="1"/>
  <c r="B52" i="102"/>
  <c r="U12" i="135" s="1"/>
  <c r="AN52" i="102"/>
  <c r="S14" i="193"/>
  <c r="S13" i="490" s="1"/>
  <c r="AN53" i="102"/>
  <c r="B53" i="102"/>
  <c r="U13" i="135" s="1"/>
  <c r="S17" i="193"/>
  <c r="S16" i="490" s="1"/>
  <c r="B56" i="102"/>
  <c r="U16" i="135" s="1"/>
  <c r="AN56" i="102"/>
  <c r="S18" i="193"/>
  <c r="S17" i="490" s="1"/>
  <c r="AN57" i="102"/>
  <c r="B57" i="102"/>
  <c r="U17" i="135" s="1"/>
  <c r="S21" i="193"/>
  <c r="S20" i="490" s="1"/>
  <c r="B60" i="102"/>
  <c r="U20" i="135" s="1"/>
  <c r="AN60" i="102"/>
  <c r="S22" i="193"/>
  <c r="S21" i="490" s="1"/>
  <c r="AN61" i="102"/>
  <c r="B61" i="102"/>
  <c r="U21" i="135" s="1"/>
  <c r="S25" i="193"/>
  <c r="S24" i="490" s="1"/>
  <c r="B64" i="102"/>
  <c r="U24" i="135" s="1"/>
  <c r="AN64" i="102"/>
  <c r="S27" i="193"/>
  <c r="S26" i="490" s="1"/>
  <c r="AN66" i="102"/>
  <c r="B66" i="102"/>
  <c r="U26" i="135" s="1"/>
  <c r="S29" i="193"/>
  <c r="S28" i="490" s="1"/>
  <c r="B68" i="102"/>
  <c r="U28" i="135" s="1"/>
  <c r="AN68" i="102"/>
  <c r="S33" i="193"/>
  <c r="S32" i="490" s="1"/>
  <c r="B72" i="102"/>
  <c r="U32" i="135" s="1"/>
  <c r="AN72" i="102"/>
  <c r="S34" i="193"/>
  <c r="S33" i="490" s="1"/>
  <c r="AN73" i="102"/>
  <c r="B73" i="102"/>
  <c r="U33" i="135" s="1"/>
  <c r="S35" i="193"/>
  <c r="S34" i="490" s="1"/>
  <c r="AN74" i="102"/>
  <c r="B74" i="102"/>
  <c r="U34" i="135" s="1"/>
  <c r="AB75" i="102"/>
  <c r="AQ75" i="102" s="1"/>
  <c r="AA78" i="102"/>
  <c r="S39" i="193"/>
  <c r="S38" i="490" s="1"/>
  <c r="AN78" i="102"/>
  <c r="B78" i="102"/>
  <c r="U38" i="135" s="1"/>
  <c r="AA79" i="102"/>
  <c r="AP79" i="102" s="1"/>
  <c r="S40" i="193"/>
  <c r="S39" i="490" s="1"/>
  <c r="F79" i="102"/>
  <c r="D79" i="102" s="1"/>
  <c r="AN79" i="102"/>
  <c r="B79" i="102"/>
  <c r="U39" i="135" s="1"/>
  <c r="AA81" i="102"/>
  <c r="AP81" i="102" s="1"/>
  <c r="S42" i="193"/>
  <c r="S41" i="490" s="1"/>
  <c r="AN81" i="102"/>
  <c r="F81" i="102"/>
  <c r="D81" i="102" s="1"/>
  <c r="B81" i="102"/>
  <c r="U41" i="135" s="1"/>
  <c r="AA83" i="102"/>
  <c r="AP83" i="102" s="1"/>
  <c r="S44" i="193"/>
  <c r="S43" i="490" s="1"/>
  <c r="F83" i="102"/>
  <c r="D83" i="102" s="1"/>
  <c r="AN83" i="102"/>
  <c r="B83" i="102"/>
  <c r="U43" i="135" s="1"/>
  <c r="AA85" i="102"/>
  <c r="AP85" i="102" s="1"/>
  <c r="S46" i="193"/>
  <c r="S45" i="490" s="1"/>
  <c r="AN85" i="102"/>
  <c r="F85" i="102"/>
  <c r="D85" i="102" s="1"/>
  <c r="B85" i="102"/>
  <c r="U45" i="135" s="1"/>
  <c r="AA87" i="102"/>
  <c r="AP87" i="102" s="1"/>
  <c r="S48" i="193"/>
  <c r="S47" i="490" s="1"/>
  <c r="F87" i="102"/>
  <c r="D87" i="102" s="1"/>
  <c r="AN87" i="102"/>
  <c r="B87" i="102"/>
  <c r="U47" i="135" s="1"/>
  <c r="AB47" i="101"/>
  <c r="R8" i="193"/>
  <c r="R7" i="490" s="1"/>
  <c r="B47" i="101"/>
  <c r="T7" i="135" s="1"/>
  <c r="AV47" i="101"/>
  <c r="R16" i="193"/>
  <c r="R15" i="490" s="1"/>
  <c r="B55" i="101"/>
  <c r="T15" i="135" s="1"/>
  <c r="AV55" i="101"/>
  <c r="R24" i="193"/>
  <c r="R23" i="490" s="1"/>
  <c r="B63" i="101"/>
  <c r="T23" i="135" s="1"/>
  <c r="AV63" i="101"/>
  <c r="AB51" i="101"/>
  <c r="R12" i="193"/>
  <c r="R11" i="490" s="1"/>
  <c r="B51" i="101"/>
  <c r="T11" i="135" s="1"/>
  <c r="AV51" i="101"/>
  <c r="R20" i="193"/>
  <c r="R19" i="490" s="1"/>
  <c r="B59" i="101"/>
  <c r="T19" i="135" s="1"/>
  <c r="AV59" i="101"/>
  <c r="R35" i="193"/>
  <c r="R34" i="490" s="1"/>
  <c r="AV74" i="101"/>
  <c r="B74" i="101"/>
  <c r="T34" i="135" s="1"/>
  <c r="AB45" i="101"/>
  <c r="R6" i="193"/>
  <c r="R5" i="490" s="1"/>
  <c r="B45" i="101"/>
  <c r="T5" i="135" s="1"/>
  <c r="AV45" i="101"/>
  <c r="AB46" i="101"/>
  <c r="R7" i="193"/>
  <c r="R6" i="490" s="1"/>
  <c r="AV46" i="101"/>
  <c r="B46" i="101"/>
  <c r="T6" i="135" s="1"/>
  <c r="AB49" i="101"/>
  <c r="R10" i="193"/>
  <c r="R9" i="490" s="1"/>
  <c r="B49" i="101"/>
  <c r="T9" i="135" s="1"/>
  <c r="AV49" i="101"/>
  <c r="AB50" i="101"/>
  <c r="R11" i="193"/>
  <c r="R10" i="490" s="1"/>
  <c r="AV50" i="101"/>
  <c r="B50" i="101"/>
  <c r="T10" i="135" s="1"/>
  <c r="AB53" i="101"/>
  <c r="R14" i="193"/>
  <c r="R13" i="490" s="1"/>
  <c r="B53" i="101"/>
  <c r="T13" i="135" s="1"/>
  <c r="AV53" i="101"/>
  <c r="R15" i="193"/>
  <c r="R14" i="490" s="1"/>
  <c r="AV54" i="101"/>
  <c r="B54" i="101"/>
  <c r="T14" i="135" s="1"/>
  <c r="R18" i="193"/>
  <c r="R17" i="490" s="1"/>
  <c r="B57" i="101"/>
  <c r="T17" i="135" s="1"/>
  <c r="AV57" i="101"/>
  <c r="R19" i="193"/>
  <c r="R18" i="490" s="1"/>
  <c r="AV58" i="101"/>
  <c r="B58" i="101"/>
  <c r="T18" i="135" s="1"/>
  <c r="R22" i="193"/>
  <c r="R21" i="490" s="1"/>
  <c r="B61" i="101"/>
  <c r="T21" i="135" s="1"/>
  <c r="AV61" i="101"/>
  <c r="R23" i="193"/>
  <c r="R22" i="490" s="1"/>
  <c r="AV62" i="101"/>
  <c r="B62" i="101"/>
  <c r="T22" i="135" s="1"/>
  <c r="R31" i="193"/>
  <c r="R30" i="490" s="1"/>
  <c r="AV70" i="101"/>
  <c r="B70" i="101"/>
  <c r="T30" i="135" s="1"/>
  <c r="R33" i="193"/>
  <c r="R32" i="490" s="1"/>
  <c r="AV72" i="101"/>
  <c r="B72" i="101"/>
  <c r="T32" i="135" s="1"/>
  <c r="R36" i="193"/>
  <c r="R35" i="490" s="1"/>
  <c r="B75" i="101"/>
  <c r="T35" i="135" s="1"/>
  <c r="AV75" i="101"/>
  <c r="R37" i="193"/>
  <c r="R36" i="490" s="1"/>
  <c r="AV76" i="101"/>
  <c r="B76" i="101"/>
  <c r="T36" i="135" s="1"/>
  <c r="R38" i="193"/>
  <c r="R37" i="490" s="1"/>
  <c r="B77" i="101"/>
  <c r="T37" i="135" s="1"/>
  <c r="AV77" i="101"/>
  <c r="AA79" i="101"/>
  <c r="R40" i="193"/>
  <c r="R39" i="490" s="1"/>
  <c r="B79" i="101"/>
  <c r="T39" i="135" s="1"/>
  <c r="AV79" i="101"/>
  <c r="F79" i="101"/>
  <c r="D79" i="101" s="1"/>
  <c r="AA81" i="101"/>
  <c r="R42" i="193"/>
  <c r="R41" i="490" s="1"/>
  <c r="B81" i="101"/>
  <c r="T41" i="135" s="1"/>
  <c r="AV81" i="101"/>
  <c r="F81" i="101"/>
  <c r="D81" i="101" s="1"/>
  <c r="AA83" i="101"/>
  <c r="R44" i="193"/>
  <c r="R43" i="490" s="1"/>
  <c r="B83" i="101"/>
  <c r="T43" i="135" s="1"/>
  <c r="AV83" i="101"/>
  <c r="F83" i="101"/>
  <c r="D83" i="101" s="1"/>
  <c r="AA85" i="101"/>
  <c r="R46" i="193"/>
  <c r="R45" i="490" s="1"/>
  <c r="B85" i="101"/>
  <c r="T45" i="135" s="1"/>
  <c r="AV85" i="101"/>
  <c r="F85" i="101"/>
  <c r="D85" i="101" s="1"/>
  <c r="AA87" i="101"/>
  <c r="R48" i="193"/>
  <c r="R47" i="490" s="1"/>
  <c r="B87" i="101"/>
  <c r="T47" i="135" s="1"/>
  <c r="AV87" i="101"/>
  <c r="F87" i="101"/>
  <c r="D87" i="101" s="1"/>
  <c r="AG76" i="101"/>
  <c r="X75" i="101"/>
  <c r="R5" i="193"/>
  <c r="R4" i="490" s="1"/>
  <c r="AV44" i="101"/>
  <c r="B44" i="101"/>
  <c r="T4" i="135" s="1"/>
  <c r="AB48" i="101"/>
  <c r="R9" i="193"/>
  <c r="R8" i="490" s="1"/>
  <c r="AV48" i="101"/>
  <c r="B48" i="101"/>
  <c r="T8" i="135" s="1"/>
  <c r="AB52" i="101"/>
  <c r="R13" i="193"/>
  <c r="R12" i="490" s="1"/>
  <c r="AV52" i="101"/>
  <c r="B52" i="101"/>
  <c r="T12" i="135" s="1"/>
  <c r="R17" i="193"/>
  <c r="R16" i="490" s="1"/>
  <c r="AV56" i="101"/>
  <c r="B56" i="101"/>
  <c r="T16" i="135" s="1"/>
  <c r="R21" i="193"/>
  <c r="R20" i="490" s="1"/>
  <c r="AV60" i="101"/>
  <c r="B60" i="101"/>
  <c r="T20" i="135" s="1"/>
  <c r="R25" i="193"/>
  <c r="R24" i="490" s="1"/>
  <c r="AV64" i="101"/>
  <c r="B64" i="101"/>
  <c r="T24" i="135" s="1"/>
  <c r="R26" i="193"/>
  <c r="R25" i="490" s="1"/>
  <c r="B65" i="101"/>
  <c r="T25" i="135" s="1"/>
  <c r="AV65" i="101"/>
  <c r="R27" i="193"/>
  <c r="R26" i="490" s="1"/>
  <c r="AV66" i="101"/>
  <c r="B66" i="101"/>
  <c r="T26" i="135" s="1"/>
  <c r="R28" i="193"/>
  <c r="R27" i="490" s="1"/>
  <c r="B67" i="101"/>
  <c r="T27" i="135" s="1"/>
  <c r="AV67" i="101"/>
  <c r="R29" i="193"/>
  <c r="R28" i="490" s="1"/>
  <c r="AV68" i="101"/>
  <c r="B68" i="101"/>
  <c r="T28" i="135" s="1"/>
  <c r="R30" i="193"/>
  <c r="R29" i="490" s="1"/>
  <c r="B69" i="101"/>
  <c r="T29" i="135" s="1"/>
  <c r="AV69" i="101"/>
  <c r="R32" i="193"/>
  <c r="R31" i="490" s="1"/>
  <c r="B71" i="101"/>
  <c r="T31" i="135" s="1"/>
  <c r="AV71" i="101"/>
  <c r="R34" i="193"/>
  <c r="R33" i="490" s="1"/>
  <c r="B73" i="101"/>
  <c r="T33" i="135" s="1"/>
  <c r="AV73" i="101"/>
  <c r="AA78" i="101"/>
  <c r="AX78" i="101" s="1"/>
  <c r="R39" i="193"/>
  <c r="R38" i="490" s="1"/>
  <c r="AV78" i="101"/>
  <c r="F78" i="101"/>
  <c r="D78" i="101" s="1"/>
  <c r="B78" i="101"/>
  <c r="T38" i="135" s="1"/>
  <c r="AA80" i="101"/>
  <c r="R41" i="193"/>
  <c r="R40" i="490" s="1"/>
  <c r="AV80" i="101"/>
  <c r="F80" i="101"/>
  <c r="D80" i="101" s="1"/>
  <c r="B80" i="101"/>
  <c r="T40" i="135" s="1"/>
  <c r="AA82" i="101"/>
  <c r="R43" i="193"/>
  <c r="R42" i="490" s="1"/>
  <c r="AV82" i="101"/>
  <c r="F82" i="101"/>
  <c r="D82" i="101" s="1"/>
  <c r="B82" i="101"/>
  <c r="T42" i="135" s="1"/>
  <c r="AA84" i="101"/>
  <c r="R45" i="193"/>
  <c r="R44" i="490" s="1"/>
  <c r="AV84" i="101"/>
  <c r="F84" i="101"/>
  <c r="D84" i="101" s="1"/>
  <c r="B84" i="101"/>
  <c r="T44" i="135" s="1"/>
  <c r="AA86" i="101"/>
  <c r="R47" i="193"/>
  <c r="R46" i="490" s="1"/>
  <c r="AV86" i="101"/>
  <c r="F86" i="101"/>
  <c r="D86" i="101" s="1"/>
  <c r="B86" i="101"/>
  <c r="T46" i="135" s="1"/>
  <c r="P88" i="101"/>
  <c r="AY88" i="101"/>
  <c r="AE88" i="101"/>
  <c r="AG88" i="101" s="1"/>
  <c r="AA89" i="101"/>
  <c r="R50" i="193"/>
  <c r="R49" i="490" s="1"/>
  <c r="U4" i="491" s="1"/>
  <c r="B89" i="101"/>
  <c r="T49" i="135" s="1"/>
  <c r="AV89" i="101"/>
  <c r="F89" i="101"/>
  <c r="D89" i="101" s="1"/>
  <c r="AA70" i="101"/>
  <c r="AX70" i="101" s="1"/>
  <c r="M75" i="26"/>
  <c r="N72" i="26"/>
  <c r="M75" i="25"/>
  <c r="M122" i="24"/>
  <c r="Q122" i="24" s="1"/>
  <c r="L122" i="24"/>
  <c r="P122" i="24" s="1"/>
  <c r="K122" i="24"/>
  <c r="O122" i="24" s="1"/>
  <c r="J122" i="24"/>
  <c r="N122" i="24" s="1"/>
  <c r="I44" i="104"/>
  <c r="AA44" i="104" s="1"/>
  <c r="AP44" i="104" s="1"/>
  <c r="I46" i="104"/>
  <c r="AA46" i="104" s="1"/>
  <c r="AP46" i="104" s="1"/>
  <c r="I48" i="104"/>
  <c r="AA48" i="104" s="1"/>
  <c r="AP48" i="104" s="1"/>
  <c r="I45" i="104"/>
  <c r="AA45" i="104" s="1"/>
  <c r="AP45" i="104" s="1"/>
  <c r="I47" i="104"/>
  <c r="AA47" i="104" s="1"/>
  <c r="AP47" i="104" s="1"/>
  <c r="Q44" i="101"/>
  <c r="Q47" i="101"/>
  <c r="Q48" i="101"/>
  <c r="Q51" i="101"/>
  <c r="Q52" i="101"/>
  <c r="Q55" i="101"/>
  <c r="Q56" i="101"/>
  <c r="Q59" i="101"/>
  <c r="Q60" i="101"/>
  <c r="Q63" i="101"/>
  <c r="Q64" i="101"/>
  <c r="Q65" i="101"/>
  <c r="Q66" i="101"/>
  <c r="Q67" i="101"/>
  <c r="Q68" i="101"/>
  <c r="Q70" i="101"/>
  <c r="Q72" i="101"/>
  <c r="Q74" i="101"/>
  <c r="Q76" i="101"/>
  <c r="Q77" i="101"/>
  <c r="Q79" i="101"/>
  <c r="H79" i="101" s="1"/>
  <c r="Q81" i="101"/>
  <c r="Q83" i="101"/>
  <c r="H83" i="101" s="1"/>
  <c r="Q85" i="101"/>
  <c r="Q87" i="101"/>
  <c r="H87" i="101" s="1"/>
  <c r="Q89" i="101"/>
  <c r="H89" i="101" s="1"/>
  <c r="Q46" i="102"/>
  <c r="Q47" i="102"/>
  <c r="Q50" i="102"/>
  <c r="Q51" i="102"/>
  <c r="Q54" i="102"/>
  <c r="Q55" i="102"/>
  <c r="Q58" i="102"/>
  <c r="Q59" i="102"/>
  <c r="Q62" i="102"/>
  <c r="Q63" i="102"/>
  <c r="Q65" i="102"/>
  <c r="Q67" i="102"/>
  <c r="Q72" i="102"/>
  <c r="Q73" i="102"/>
  <c r="Q75" i="102"/>
  <c r="Q76" i="102"/>
  <c r="Q78" i="102"/>
  <c r="Q79" i="102"/>
  <c r="Q81" i="102"/>
  <c r="Q83" i="102"/>
  <c r="H83" i="102" s="1"/>
  <c r="Q85" i="102"/>
  <c r="H85" i="102" s="1"/>
  <c r="Q87" i="102"/>
  <c r="Q88" i="102"/>
  <c r="H88" i="102" s="1"/>
  <c r="Q89" i="102"/>
  <c r="Q45" i="104"/>
  <c r="Q47" i="104"/>
  <c r="Q49" i="104"/>
  <c r="Q51" i="104"/>
  <c r="Q53" i="104"/>
  <c r="Q55" i="104"/>
  <c r="Q57" i="104"/>
  <c r="Q59" i="104"/>
  <c r="Q61" i="104"/>
  <c r="Q63" i="104"/>
  <c r="Q65" i="104"/>
  <c r="Q68" i="104"/>
  <c r="Q69" i="104"/>
  <c r="Q71" i="104"/>
  <c r="Q72" i="104"/>
  <c r="Q74" i="104"/>
  <c r="Q76" i="104"/>
  <c r="Q78" i="104"/>
  <c r="Q79" i="104"/>
  <c r="Q81" i="104"/>
  <c r="H81" i="104" s="1"/>
  <c r="Q83" i="104"/>
  <c r="Q85" i="104"/>
  <c r="H85" i="104" s="1"/>
  <c r="Q87" i="104"/>
  <c r="H87" i="104" s="1"/>
  <c r="Q88" i="104"/>
  <c r="H88" i="104" s="1"/>
  <c r="Q89" i="104"/>
  <c r="H89" i="104" s="1"/>
  <c r="Q69" i="105"/>
  <c r="J69" i="105" s="1"/>
  <c r="AY69" i="105"/>
  <c r="Q71" i="105"/>
  <c r="J71" i="105" s="1"/>
  <c r="AY71" i="105"/>
  <c r="Q73" i="105"/>
  <c r="AY73" i="105"/>
  <c r="Q74" i="105"/>
  <c r="J74" i="105" s="1"/>
  <c r="AY74" i="105"/>
  <c r="Q75" i="105"/>
  <c r="J75" i="105" s="1"/>
  <c r="AY75" i="105"/>
  <c r="Q79" i="105"/>
  <c r="J79" i="105" s="1"/>
  <c r="AY79" i="105"/>
  <c r="Q81" i="105"/>
  <c r="J81" i="105" s="1"/>
  <c r="AY81" i="105"/>
  <c r="Q83" i="105"/>
  <c r="J83" i="105" s="1"/>
  <c r="AY83" i="105"/>
  <c r="Q85" i="105"/>
  <c r="J85" i="105" s="1"/>
  <c r="AY85" i="105"/>
  <c r="Q87" i="105"/>
  <c r="J87" i="105" s="1"/>
  <c r="AY87" i="105"/>
  <c r="Q88" i="105"/>
  <c r="J88" i="105" s="1"/>
  <c r="AY88" i="105"/>
  <c r="Q89" i="105"/>
  <c r="J89" i="105" s="1"/>
  <c r="AY89" i="105"/>
  <c r="Q45" i="101"/>
  <c r="Q46" i="101"/>
  <c r="Q49" i="101"/>
  <c r="Q50" i="101"/>
  <c r="Q53" i="101"/>
  <c r="Q54" i="101"/>
  <c r="Q57" i="101"/>
  <c r="Q58" i="101"/>
  <c r="Q61" i="101"/>
  <c r="Q62" i="101"/>
  <c r="Q69" i="101"/>
  <c r="Q71" i="101"/>
  <c r="Q73" i="101"/>
  <c r="Q75" i="101"/>
  <c r="Q78" i="101"/>
  <c r="Q80" i="101"/>
  <c r="H80" i="101" s="1"/>
  <c r="Q82" i="101"/>
  <c r="H82" i="101" s="1"/>
  <c r="Q84" i="101"/>
  <c r="H84" i="101" s="1"/>
  <c r="Q86" i="101"/>
  <c r="H86" i="101" s="1"/>
  <c r="Q44" i="102"/>
  <c r="Q45" i="102"/>
  <c r="Q48" i="102"/>
  <c r="Q49" i="102"/>
  <c r="Q52" i="102"/>
  <c r="Q53" i="102"/>
  <c r="Q56" i="102"/>
  <c r="Q57" i="102"/>
  <c r="Q60" i="102"/>
  <c r="Q61" i="102"/>
  <c r="Q64" i="102"/>
  <c r="Q66" i="102"/>
  <c r="Q68" i="102"/>
  <c r="Q69" i="102"/>
  <c r="Q70" i="102"/>
  <c r="Q71" i="102"/>
  <c r="Q74" i="102"/>
  <c r="Q77" i="102"/>
  <c r="Q80" i="102"/>
  <c r="H80" i="102" s="1"/>
  <c r="Q82" i="102"/>
  <c r="H82" i="102" s="1"/>
  <c r="Q84" i="102"/>
  <c r="H84" i="102" s="1"/>
  <c r="Q86" i="102"/>
  <c r="H86" i="102" s="1"/>
  <c r="Q44" i="104"/>
  <c r="Q46" i="104"/>
  <c r="Q48" i="104"/>
  <c r="Q50" i="104"/>
  <c r="Q52" i="104"/>
  <c r="Q54" i="104"/>
  <c r="Q56" i="104"/>
  <c r="Q58" i="104"/>
  <c r="Q60" i="104"/>
  <c r="Q62" i="104"/>
  <c r="Q64" i="104"/>
  <c r="Q66" i="104"/>
  <c r="Q67" i="104"/>
  <c r="Q70" i="104"/>
  <c r="Q73" i="104"/>
  <c r="Q75" i="104"/>
  <c r="Q77" i="104"/>
  <c r="Q80" i="104"/>
  <c r="H80" i="104" s="1"/>
  <c r="Q82" i="104"/>
  <c r="H82" i="104" s="1"/>
  <c r="Q84" i="104"/>
  <c r="H84" i="104" s="1"/>
  <c r="Q86" i="104"/>
  <c r="H86" i="104" s="1"/>
  <c r="Q49" i="105"/>
  <c r="AY49" i="105"/>
  <c r="Q50" i="105"/>
  <c r="AY50" i="105"/>
  <c r="Q51" i="105"/>
  <c r="AY51" i="105"/>
  <c r="Q52" i="105"/>
  <c r="AY52" i="105"/>
  <c r="Q53" i="105"/>
  <c r="AY53" i="105"/>
  <c r="Q54" i="105"/>
  <c r="AY54" i="105"/>
  <c r="Q55" i="105"/>
  <c r="AY55" i="105"/>
  <c r="Q56" i="105"/>
  <c r="AY56" i="105"/>
  <c r="Q57" i="105"/>
  <c r="AY57" i="105"/>
  <c r="Q58" i="105"/>
  <c r="AY58" i="105"/>
  <c r="Q59" i="105"/>
  <c r="AY59" i="105"/>
  <c r="Q60" i="105"/>
  <c r="AY60" i="105"/>
  <c r="Q61" i="105"/>
  <c r="AY61" i="105"/>
  <c r="Q62" i="105"/>
  <c r="AY62" i="105"/>
  <c r="Q63" i="105"/>
  <c r="AY63" i="105"/>
  <c r="Q64" i="105"/>
  <c r="AY64" i="105"/>
  <c r="Q65" i="105"/>
  <c r="AY65" i="105"/>
  <c r="Q66" i="105"/>
  <c r="AY66" i="105"/>
  <c r="Q67" i="105"/>
  <c r="AY67" i="105"/>
  <c r="Q68" i="105"/>
  <c r="AY68" i="105"/>
  <c r="Q70" i="105"/>
  <c r="AY70" i="105"/>
  <c r="Q72" i="105"/>
  <c r="J72" i="105" s="1"/>
  <c r="AY72" i="105"/>
  <c r="Q76" i="105"/>
  <c r="J76" i="105" s="1"/>
  <c r="AY76" i="105"/>
  <c r="Q77" i="105"/>
  <c r="J77" i="105" s="1"/>
  <c r="AY77" i="105"/>
  <c r="Q78" i="105"/>
  <c r="J78" i="105" s="1"/>
  <c r="AY78" i="105"/>
  <c r="Q80" i="105"/>
  <c r="J80" i="105" s="1"/>
  <c r="AY80" i="105"/>
  <c r="Q82" i="105"/>
  <c r="J82" i="105" s="1"/>
  <c r="AY82" i="105"/>
  <c r="Q84" i="105"/>
  <c r="J84" i="105" s="1"/>
  <c r="AY84" i="105"/>
  <c r="Q86" i="105"/>
  <c r="J86" i="105" s="1"/>
  <c r="AY86" i="105"/>
  <c r="B53" i="103"/>
  <c r="W13" i="135" s="1"/>
  <c r="Q44" i="103"/>
  <c r="Q45" i="103"/>
  <c r="Q48" i="103"/>
  <c r="Q49" i="103"/>
  <c r="Q52" i="103"/>
  <c r="Q53" i="103"/>
  <c r="AQ55" i="103"/>
  <c r="B55" i="103"/>
  <c r="W15" i="135" s="1"/>
  <c r="Q56" i="103"/>
  <c r="Q57" i="103"/>
  <c r="AQ58" i="103"/>
  <c r="B58" i="103"/>
  <c r="W18" i="135" s="1"/>
  <c r="AQ59" i="103"/>
  <c r="B59" i="103"/>
  <c r="W19" i="135" s="1"/>
  <c r="Q60" i="103"/>
  <c r="Q61" i="103"/>
  <c r="Q64" i="103"/>
  <c r="Q66" i="103"/>
  <c r="AQ67" i="103"/>
  <c r="B67" i="103"/>
  <c r="W27" i="135" s="1"/>
  <c r="AC67" i="103"/>
  <c r="AB67" i="103"/>
  <c r="Q68" i="103"/>
  <c r="AQ69" i="103"/>
  <c r="Q69" i="103"/>
  <c r="Q70" i="103"/>
  <c r="Q71" i="103"/>
  <c r="Q74" i="103"/>
  <c r="AA76" i="103"/>
  <c r="AQ76" i="103"/>
  <c r="B76" i="103"/>
  <c r="W36" i="135" s="1"/>
  <c r="AA77" i="103"/>
  <c r="B77" i="103"/>
  <c r="W37" i="135" s="1"/>
  <c r="AQ77" i="103"/>
  <c r="Q77" i="103"/>
  <c r="AA78" i="103"/>
  <c r="AQ78" i="103"/>
  <c r="F78" i="103"/>
  <c r="B78" i="103"/>
  <c r="W38" i="135" s="1"/>
  <c r="Q78" i="103"/>
  <c r="AA79" i="103"/>
  <c r="AQ79" i="103"/>
  <c r="B79" i="103"/>
  <c r="W39" i="135" s="1"/>
  <c r="F79" i="103"/>
  <c r="D79" i="103" s="1"/>
  <c r="Q79" i="103"/>
  <c r="AA81" i="103"/>
  <c r="B81" i="103"/>
  <c r="W41" i="135" s="1"/>
  <c r="F81" i="103"/>
  <c r="D81" i="103" s="1"/>
  <c r="AQ81" i="103"/>
  <c r="Q81" i="103"/>
  <c r="H81" i="103" s="1"/>
  <c r="AA83" i="103"/>
  <c r="AQ83" i="103"/>
  <c r="B83" i="103"/>
  <c r="W43" i="135" s="1"/>
  <c r="F83" i="103"/>
  <c r="D83" i="103" s="1"/>
  <c r="Q83" i="103"/>
  <c r="AA85" i="103"/>
  <c r="B85" i="103"/>
  <c r="W45" i="135" s="1"/>
  <c r="F85" i="103"/>
  <c r="D85" i="103" s="1"/>
  <c r="AQ85" i="103"/>
  <c r="Q85" i="103"/>
  <c r="H85" i="103" s="1"/>
  <c r="AA87" i="103"/>
  <c r="AQ87" i="103"/>
  <c r="B87" i="103"/>
  <c r="W47" i="135" s="1"/>
  <c r="F87" i="103"/>
  <c r="D87" i="103" s="1"/>
  <c r="Q87" i="103"/>
  <c r="Q88" i="103"/>
  <c r="Q89" i="103"/>
  <c r="H89" i="103" s="1"/>
  <c r="Q46" i="103"/>
  <c r="Q47" i="103"/>
  <c r="B48" i="103"/>
  <c r="W8" i="135" s="1"/>
  <c r="Q50" i="103"/>
  <c r="Q51" i="103"/>
  <c r="Q54" i="103"/>
  <c r="Q55" i="103"/>
  <c r="AQ56" i="103"/>
  <c r="B56" i="103"/>
  <c r="W16" i="135" s="1"/>
  <c r="Q58" i="103"/>
  <c r="Q59" i="103"/>
  <c r="B60" i="103"/>
  <c r="W20" i="135" s="1"/>
  <c r="Q62" i="103"/>
  <c r="Q63" i="103"/>
  <c r="Q65" i="103"/>
  <c r="Q67" i="103"/>
  <c r="AQ68" i="103"/>
  <c r="Q72" i="103"/>
  <c r="Q73" i="103"/>
  <c r="Q75" i="103"/>
  <c r="Q76" i="103"/>
  <c r="AA80" i="103"/>
  <c r="F80" i="103"/>
  <c r="D80" i="103" s="1"/>
  <c r="AQ80" i="103"/>
  <c r="B80" i="103"/>
  <c r="W40" i="135" s="1"/>
  <c r="Q80" i="103"/>
  <c r="AA82" i="103"/>
  <c r="AQ82" i="103"/>
  <c r="F82" i="103"/>
  <c r="D82" i="103" s="1"/>
  <c r="B82" i="103"/>
  <c r="W42" i="135" s="1"/>
  <c r="Q82" i="103"/>
  <c r="H82" i="103" s="1"/>
  <c r="AA84" i="103"/>
  <c r="F84" i="103"/>
  <c r="D84" i="103" s="1"/>
  <c r="AQ84" i="103"/>
  <c r="B84" i="103"/>
  <c r="W44" i="135" s="1"/>
  <c r="Q84" i="103"/>
  <c r="AA86" i="103"/>
  <c r="AQ86" i="103"/>
  <c r="F86" i="103"/>
  <c r="D86" i="103" s="1"/>
  <c r="B86" i="103"/>
  <c r="W46" i="135" s="1"/>
  <c r="Q86" i="103"/>
  <c r="H86" i="103" s="1"/>
  <c r="F88" i="103"/>
  <c r="D88" i="103" s="1"/>
  <c r="AQ88" i="103"/>
  <c r="B88" i="103"/>
  <c r="W48" i="135" s="1"/>
  <c r="AA89" i="103"/>
  <c r="B89" i="103"/>
  <c r="W49" i="135" s="1"/>
  <c r="F89" i="103"/>
  <c r="D89" i="103" s="1"/>
  <c r="AQ89" i="103"/>
  <c r="I73" i="103"/>
  <c r="U34" i="193" s="1"/>
  <c r="U33" i="490" s="1"/>
  <c r="I74" i="103"/>
  <c r="U35" i="193" s="1"/>
  <c r="U34" i="490" s="1"/>
  <c r="I49" i="104"/>
  <c r="AB49" i="104" s="1"/>
  <c r="AB73" i="104"/>
  <c r="AQ73" i="104" s="1"/>
  <c r="AA69" i="104"/>
  <c r="AP69" i="104" s="1"/>
  <c r="AA70" i="104"/>
  <c r="AA71" i="104"/>
  <c r="AP71" i="104" s="1"/>
  <c r="AA72" i="104"/>
  <c r="AI76" i="24"/>
  <c r="AI78" i="24"/>
  <c r="AI74" i="24"/>
  <c r="AI77" i="24"/>
  <c r="I46" i="24"/>
  <c r="Q6" i="194" s="1"/>
  <c r="K47" i="24"/>
  <c r="AI79" i="24"/>
  <c r="AI86" i="24"/>
  <c r="AI84" i="24"/>
  <c r="AI82" i="24"/>
  <c r="AI80" i="24"/>
  <c r="K48" i="24"/>
  <c r="U75" i="24"/>
  <c r="T75" i="24" s="1"/>
  <c r="O75" i="24" s="1"/>
  <c r="AI89" i="24"/>
  <c r="AI87" i="24"/>
  <c r="AI85" i="24"/>
  <c r="AI83" i="24"/>
  <c r="AI81" i="24"/>
  <c r="AB86" i="22"/>
  <c r="AO86" i="22" s="1"/>
  <c r="AB84" i="22"/>
  <c r="AO84" i="22" s="1"/>
  <c r="AB82" i="22"/>
  <c r="AO82" i="22" s="1"/>
  <c r="AB80" i="22"/>
  <c r="AO80" i="22" s="1"/>
  <c r="AB87" i="22"/>
  <c r="AO87" i="22" s="1"/>
  <c r="AB85" i="22"/>
  <c r="AO85" i="22" s="1"/>
  <c r="AB83" i="22"/>
  <c r="AO83" i="22" s="1"/>
  <c r="AB81" i="22"/>
  <c r="AO81" i="22" s="1"/>
  <c r="AB79" i="22"/>
  <c r="AO79" i="22" s="1"/>
  <c r="M75" i="103"/>
  <c r="M75" i="102"/>
  <c r="AA77" i="101"/>
  <c r="AA71" i="101"/>
  <c r="AA72" i="101"/>
  <c r="AX72" i="101" s="1"/>
  <c r="AA74" i="101"/>
  <c r="AA75" i="101"/>
  <c r="AX75" i="101" s="1"/>
  <c r="AA76" i="101"/>
  <c r="N76" i="101"/>
  <c r="M76" i="101" s="1"/>
  <c r="M75" i="27"/>
  <c r="AA49" i="105"/>
  <c r="AB49" i="105"/>
  <c r="AB50" i="105"/>
  <c r="AA50" i="105"/>
  <c r="AA67" i="105"/>
  <c r="P80" i="105"/>
  <c r="P89" i="105"/>
  <c r="AA51" i="105"/>
  <c r="AB51" i="105"/>
  <c r="AB52" i="105"/>
  <c r="AA52" i="105"/>
  <c r="AA53" i="105"/>
  <c r="AB53" i="105"/>
  <c r="AB54" i="105"/>
  <c r="AA54" i="105"/>
  <c r="AA55" i="105"/>
  <c r="AB55" i="105"/>
  <c r="AB56" i="105"/>
  <c r="AA56" i="105"/>
  <c r="AA57" i="105"/>
  <c r="AB57" i="105"/>
  <c r="AB58" i="105"/>
  <c r="AA58" i="105"/>
  <c r="AA59" i="105"/>
  <c r="AB59" i="105"/>
  <c r="AB60" i="105"/>
  <c r="AA60" i="105"/>
  <c r="AA61" i="105"/>
  <c r="AB61" i="105"/>
  <c r="AB62" i="105"/>
  <c r="AA62" i="105"/>
  <c r="AA63" i="105"/>
  <c r="AB63" i="105"/>
  <c r="AB64" i="105"/>
  <c r="AA64" i="105"/>
  <c r="AA65" i="105"/>
  <c r="AB65" i="105"/>
  <c r="AA66" i="105"/>
  <c r="AA68" i="105"/>
  <c r="P84" i="105"/>
  <c r="P88" i="105"/>
  <c r="P74" i="105"/>
  <c r="P77" i="105"/>
  <c r="P72" i="105"/>
  <c r="M75" i="105"/>
  <c r="P75" i="105"/>
  <c r="P78" i="105"/>
  <c r="AA51" i="104"/>
  <c r="AP51" i="104" s="1"/>
  <c r="AB51" i="104"/>
  <c r="AB52" i="104"/>
  <c r="AA52" i="104"/>
  <c r="AP52" i="104" s="1"/>
  <c r="AA53" i="104"/>
  <c r="AP53" i="104" s="1"/>
  <c r="AB53" i="104"/>
  <c r="AQ53" i="104" s="1"/>
  <c r="AB54" i="104"/>
  <c r="AA54" i="104"/>
  <c r="AP54" i="104" s="1"/>
  <c r="AA55" i="104"/>
  <c r="AP55" i="104" s="1"/>
  <c r="AB55" i="104"/>
  <c r="AQ55" i="104" s="1"/>
  <c r="AB56" i="104"/>
  <c r="AA56" i="104"/>
  <c r="AP56" i="104" s="1"/>
  <c r="AA57" i="104"/>
  <c r="AA58" i="104"/>
  <c r="AA59" i="104"/>
  <c r="AA60" i="104"/>
  <c r="AA61" i="104"/>
  <c r="AA62" i="104"/>
  <c r="AA63" i="104"/>
  <c r="AA64" i="104"/>
  <c r="AA65" i="104"/>
  <c r="AA66" i="104"/>
  <c r="AP66" i="104" s="1"/>
  <c r="AA68" i="104"/>
  <c r="AP68" i="104" s="1"/>
  <c r="AB44" i="104"/>
  <c r="AB46" i="104"/>
  <c r="AB50" i="104"/>
  <c r="AA50" i="104"/>
  <c r="AP50" i="104" s="1"/>
  <c r="AA67" i="104"/>
  <c r="AP67" i="104" s="1"/>
  <c r="AB47" i="104"/>
  <c r="M75" i="104"/>
  <c r="AA67" i="103"/>
  <c r="AB53" i="103"/>
  <c r="AA53" i="103"/>
  <c r="AS53" i="103" s="1"/>
  <c r="AB55" i="103"/>
  <c r="AA55" i="103"/>
  <c r="AS55" i="103" s="1"/>
  <c r="AA56" i="103"/>
  <c r="AS56" i="103" s="1"/>
  <c r="AB56" i="103"/>
  <c r="AA58" i="103"/>
  <c r="AS58" i="103" s="1"/>
  <c r="AB58" i="103"/>
  <c r="AB59" i="103"/>
  <c r="AT59" i="103" s="1"/>
  <c r="AA59" i="103"/>
  <c r="AS59" i="103" s="1"/>
  <c r="AB64" i="103"/>
  <c r="AT64" i="103" s="1"/>
  <c r="AA66" i="103"/>
  <c r="AS66" i="103" s="1"/>
  <c r="AA67" i="102"/>
  <c r="AP67" i="102" s="1"/>
  <c r="AA44" i="102"/>
  <c r="AP44" i="102" s="1"/>
  <c r="AB44" i="102"/>
  <c r="AB45" i="102"/>
  <c r="AA45" i="102"/>
  <c r="AP45" i="102" s="1"/>
  <c r="AA46" i="102"/>
  <c r="AP46" i="102" s="1"/>
  <c r="AB46" i="102"/>
  <c r="AQ46" i="102" s="1"/>
  <c r="AB47" i="102"/>
  <c r="AA47" i="102"/>
  <c r="AP47" i="102" s="1"/>
  <c r="AA48" i="102"/>
  <c r="AP48" i="102" s="1"/>
  <c r="AB48" i="102"/>
  <c r="AB49" i="102"/>
  <c r="AQ49" i="102" s="1"/>
  <c r="AA49" i="102"/>
  <c r="AP49" i="102" s="1"/>
  <c r="AA50" i="102"/>
  <c r="AP50" i="102" s="1"/>
  <c r="AB50" i="102"/>
  <c r="AB51" i="102"/>
  <c r="AQ51" i="102" s="1"/>
  <c r="AA51" i="102"/>
  <c r="AP51" i="102" s="1"/>
  <c r="AA52" i="102"/>
  <c r="AP52" i="102" s="1"/>
  <c r="AB52" i="102"/>
  <c r="AQ52" i="102" s="1"/>
  <c r="AB53" i="102"/>
  <c r="AQ53" i="102" s="1"/>
  <c r="AA53" i="102"/>
  <c r="AP53" i="102" s="1"/>
  <c r="AA54" i="102"/>
  <c r="AP54" i="102" s="1"/>
  <c r="AB54" i="102"/>
  <c r="AQ54" i="102" s="1"/>
  <c r="AB55" i="102"/>
  <c r="AQ55" i="102" s="1"/>
  <c r="AA55" i="102"/>
  <c r="AP55" i="102" s="1"/>
  <c r="AA56" i="102"/>
  <c r="AP56" i="102" s="1"/>
  <c r="AB56" i="102"/>
  <c r="AB57" i="102"/>
  <c r="AQ57" i="102" s="1"/>
  <c r="AA57" i="102"/>
  <c r="AP57" i="102" s="1"/>
  <c r="AA58" i="102"/>
  <c r="AA59" i="102"/>
  <c r="AA60" i="102"/>
  <c r="AA61" i="102"/>
  <c r="AA62" i="102"/>
  <c r="AA63" i="102"/>
  <c r="AA64" i="102"/>
  <c r="AA65" i="102"/>
  <c r="AA66" i="102"/>
  <c r="AP66" i="102" s="1"/>
  <c r="AA68" i="102"/>
  <c r="AP68" i="102" s="1"/>
  <c r="AA67" i="101"/>
  <c r="AX67" i="101" s="1"/>
  <c r="AA44" i="101"/>
  <c r="AX44" i="101" s="1"/>
  <c r="AB44" i="101"/>
  <c r="AY44" i="101" s="1"/>
  <c r="AA45" i="101"/>
  <c r="AX45" i="101" s="1"/>
  <c r="AA46" i="101"/>
  <c r="AX46" i="101" s="1"/>
  <c r="AA47" i="101"/>
  <c r="AX47" i="101" s="1"/>
  <c r="AA48" i="101"/>
  <c r="AX48" i="101" s="1"/>
  <c r="AA49" i="101"/>
  <c r="AX49" i="101" s="1"/>
  <c r="AA50" i="101"/>
  <c r="AX50" i="101" s="1"/>
  <c r="AA51" i="101"/>
  <c r="AX51" i="101" s="1"/>
  <c r="AA52" i="101"/>
  <c r="AX52" i="101" s="1"/>
  <c r="AA53" i="101"/>
  <c r="AX53" i="101" s="1"/>
  <c r="AA54" i="101"/>
  <c r="AA55" i="101"/>
  <c r="AA56" i="101"/>
  <c r="AA57" i="101"/>
  <c r="AA58" i="101"/>
  <c r="AA59" i="101"/>
  <c r="AA60" i="101"/>
  <c r="AA61" i="101"/>
  <c r="AA62" i="101"/>
  <c r="AA63" i="101"/>
  <c r="AA64" i="101"/>
  <c r="AA65" i="101"/>
  <c r="AA66" i="101"/>
  <c r="AA68" i="101"/>
  <c r="AX68" i="101" s="1"/>
  <c r="AB89" i="22"/>
  <c r="AB97" i="22" s="1"/>
  <c r="AO97" i="22" s="1"/>
  <c r="N75" i="21"/>
  <c r="AB45" i="103" l="1"/>
  <c r="AQ45" i="103"/>
  <c r="AQ71" i="103"/>
  <c r="AB54" i="103"/>
  <c r="B45" i="103"/>
  <c r="W5" i="135" s="1"/>
  <c r="AA54" i="103"/>
  <c r="AS54" i="103" s="1"/>
  <c r="AQ57" i="103"/>
  <c r="AA57" i="103"/>
  <c r="AS57" i="103" s="1"/>
  <c r="B47" i="103"/>
  <c r="W7" i="135" s="1"/>
  <c r="B57" i="103"/>
  <c r="W17" i="135" s="1"/>
  <c r="AB57" i="103"/>
  <c r="J57" i="103" s="1"/>
  <c r="AQ47" i="103"/>
  <c r="AA47" i="103"/>
  <c r="AS47" i="103" s="1"/>
  <c r="AA71" i="103"/>
  <c r="B54" i="103"/>
  <c r="W14" i="135" s="1"/>
  <c r="AB47" i="103"/>
  <c r="P47" i="103" s="1"/>
  <c r="AQ54" i="103"/>
  <c r="AA45" i="103"/>
  <c r="AS45" i="103" s="1"/>
  <c r="B71" i="103"/>
  <c r="W31" i="135" s="1"/>
  <c r="BF89" i="22"/>
  <c r="U122" i="22"/>
  <c r="P80" i="22"/>
  <c r="P81" i="22"/>
  <c r="AV97" i="22"/>
  <c r="AP97" i="22"/>
  <c r="P82" i="22"/>
  <c r="AC68" i="103"/>
  <c r="AA68" i="103"/>
  <c r="AS68" i="103" s="1"/>
  <c r="B68" i="103"/>
  <c r="W28" i="135" s="1"/>
  <c r="J67" i="103"/>
  <c r="AA61" i="103"/>
  <c r="AS61" i="103" s="1"/>
  <c r="AQ61" i="103"/>
  <c r="AB61" i="103"/>
  <c r="AT61" i="103" s="1"/>
  <c r="B61" i="103"/>
  <c r="W21" i="135" s="1"/>
  <c r="AQ53" i="103"/>
  <c r="AY53" i="103" s="1"/>
  <c r="BO53" i="103" s="1"/>
  <c r="AB68" i="103"/>
  <c r="AB45" i="104"/>
  <c r="AB48" i="104"/>
  <c r="AB49" i="103"/>
  <c r="AA48" i="103"/>
  <c r="AS48" i="103" s="1"/>
  <c r="B49" i="103"/>
  <c r="W9" i="135" s="1"/>
  <c r="AQ48" i="103"/>
  <c r="AA50" i="103"/>
  <c r="AS50" i="103" s="1"/>
  <c r="AA49" i="103"/>
  <c r="AS49" i="103" s="1"/>
  <c r="AB48" i="103"/>
  <c r="P48" i="103" s="1"/>
  <c r="AQ49" i="103"/>
  <c r="AQ62" i="103"/>
  <c r="AQ51" i="103"/>
  <c r="AY51" i="103" s="1"/>
  <c r="BO51" i="103" s="1"/>
  <c r="AA62" i="103"/>
  <c r="AS62" i="103" s="1"/>
  <c r="AB62" i="103"/>
  <c r="AA51" i="103"/>
  <c r="AS51" i="103" s="1"/>
  <c r="AB51" i="103"/>
  <c r="B62" i="103"/>
  <c r="W22" i="135" s="1"/>
  <c r="B51" i="103"/>
  <c r="W11" i="135" s="1"/>
  <c r="AU90" i="103"/>
  <c r="AB72" i="104"/>
  <c r="AQ72" i="104" s="1"/>
  <c r="AX72" i="104" s="1"/>
  <c r="AW72" i="104" s="1"/>
  <c r="BJ72" i="104" s="1"/>
  <c r="AP72" i="104"/>
  <c r="AB80" i="104"/>
  <c r="AP80" i="104"/>
  <c r="AB65" i="104"/>
  <c r="AQ65" i="104" s="1"/>
  <c r="AP65" i="104"/>
  <c r="AB57" i="104"/>
  <c r="AQ57" i="104" s="1"/>
  <c r="AX57" i="104" s="1"/>
  <c r="AW57" i="104" s="1"/>
  <c r="BJ57" i="104" s="1"/>
  <c r="AP57" i="104"/>
  <c r="AB64" i="104"/>
  <c r="AQ64" i="104" s="1"/>
  <c r="AR64" i="104" s="1"/>
  <c r="AP64" i="104"/>
  <c r="AB70" i="104"/>
  <c r="AQ70" i="104" s="1"/>
  <c r="AP70" i="104"/>
  <c r="AB89" i="104"/>
  <c r="AP89" i="104"/>
  <c r="AB85" i="104"/>
  <c r="J85" i="104" s="1"/>
  <c r="AP85" i="104"/>
  <c r="AB87" i="104"/>
  <c r="J87" i="104" s="1"/>
  <c r="AP87" i="104"/>
  <c r="AB63" i="104"/>
  <c r="AQ63" i="104" s="1"/>
  <c r="AP63" i="104"/>
  <c r="AB78" i="104"/>
  <c r="AQ78" i="104" s="1"/>
  <c r="AX78" i="104" s="1"/>
  <c r="AW78" i="104" s="1"/>
  <c r="BJ78" i="104" s="1"/>
  <c r="AP78" i="104"/>
  <c r="AB88" i="104"/>
  <c r="AP88" i="104"/>
  <c r="AB74" i="104"/>
  <c r="AP74" i="104"/>
  <c r="AB81" i="104"/>
  <c r="AP81" i="104"/>
  <c r="AB75" i="104"/>
  <c r="AP75" i="104"/>
  <c r="AB59" i="104"/>
  <c r="AQ59" i="104" s="1"/>
  <c r="AX59" i="104" s="1"/>
  <c r="AW59" i="104" s="1"/>
  <c r="BJ59" i="104" s="1"/>
  <c r="AP59" i="104"/>
  <c r="AB86" i="104"/>
  <c r="J86" i="104" s="1"/>
  <c r="AP86" i="104"/>
  <c r="AB58" i="104"/>
  <c r="AP58" i="104"/>
  <c r="AB84" i="104"/>
  <c r="J84" i="104" s="1"/>
  <c r="AP84" i="104"/>
  <c r="AB61" i="104"/>
  <c r="AQ61" i="104" s="1"/>
  <c r="AR61" i="104" s="1"/>
  <c r="AP61" i="104"/>
  <c r="AB82" i="104"/>
  <c r="J82" i="104" s="1"/>
  <c r="AP82" i="104"/>
  <c r="AB77" i="104"/>
  <c r="AQ77" i="104" s="1"/>
  <c r="AP77" i="104"/>
  <c r="AB62" i="104"/>
  <c r="P62" i="104" s="1"/>
  <c r="AP62" i="104"/>
  <c r="AB60" i="104"/>
  <c r="AQ60" i="104" s="1"/>
  <c r="AP60" i="104"/>
  <c r="AB83" i="104"/>
  <c r="P83" i="104" s="1"/>
  <c r="AP83" i="104"/>
  <c r="AB87" i="103"/>
  <c r="P87" i="103" s="1"/>
  <c r="AS87" i="103"/>
  <c r="AB79" i="103"/>
  <c r="P79" i="103" s="1"/>
  <c r="AS79" i="103"/>
  <c r="AA64" i="103"/>
  <c r="AS64" i="103" s="1"/>
  <c r="AB89" i="103"/>
  <c r="J89" i="103" s="1"/>
  <c r="AS89" i="103"/>
  <c r="AB81" i="103"/>
  <c r="AS81" i="103"/>
  <c r="AB77" i="103"/>
  <c r="AS77" i="103"/>
  <c r="AB84" i="103"/>
  <c r="J84" i="103" s="1"/>
  <c r="AS84" i="103"/>
  <c r="AA63" i="103"/>
  <c r="AS63" i="103" s="1"/>
  <c r="P67" i="103"/>
  <c r="AS67" i="103"/>
  <c r="AB86" i="103"/>
  <c r="AT86" i="103" s="1"/>
  <c r="W46" i="195" s="1"/>
  <c r="AS86" i="103"/>
  <c r="B63" i="103"/>
  <c r="W23" i="135" s="1"/>
  <c r="AB63" i="103"/>
  <c r="AT63" i="103" s="1"/>
  <c r="BA63" i="103" s="1"/>
  <c r="AZ63" i="103" s="1"/>
  <c r="BP63" i="103" s="1"/>
  <c r="AB80" i="103"/>
  <c r="P80" i="103" s="1"/>
  <c r="AS80" i="103"/>
  <c r="B64" i="103"/>
  <c r="W24" i="135" s="1"/>
  <c r="AB83" i="103"/>
  <c r="AS83" i="103"/>
  <c r="AQ64" i="103"/>
  <c r="W24" i="195" s="1"/>
  <c r="AB76" i="103"/>
  <c r="AT76" i="103" s="1"/>
  <c r="AU76" i="103" s="1"/>
  <c r="AS76" i="103"/>
  <c r="AB71" i="103"/>
  <c r="AS71" i="103"/>
  <c r="AB88" i="103"/>
  <c r="J88" i="103" s="1"/>
  <c r="AB82" i="103"/>
  <c r="AS82" i="103"/>
  <c r="AB85" i="103"/>
  <c r="J85" i="103" s="1"/>
  <c r="AS85" i="103"/>
  <c r="AB78" i="103"/>
  <c r="J78" i="103" s="1"/>
  <c r="AS78" i="103"/>
  <c r="AB69" i="102"/>
  <c r="J69" i="102" s="1"/>
  <c r="AP69" i="102"/>
  <c r="AB65" i="102"/>
  <c r="AQ65" i="102" s="1"/>
  <c r="AR65" i="102" s="1"/>
  <c r="AP65" i="102"/>
  <c r="AB71" i="102"/>
  <c r="J71" i="102" s="1"/>
  <c r="AP71" i="102"/>
  <c r="AB58" i="102"/>
  <c r="AQ58" i="102" s="1"/>
  <c r="AP58" i="102"/>
  <c r="AB64" i="102"/>
  <c r="AQ64" i="102" s="1"/>
  <c r="AR64" i="102" s="1"/>
  <c r="AP64" i="102"/>
  <c r="AB62" i="102"/>
  <c r="AQ62" i="102" s="1"/>
  <c r="AX62" i="102" s="1"/>
  <c r="AW62" i="102" s="1"/>
  <c r="BG62" i="102" s="1"/>
  <c r="AP62" i="102"/>
  <c r="J75" i="102"/>
  <c r="AB74" i="102"/>
  <c r="AP74" i="102"/>
  <c r="AB76" i="102"/>
  <c r="J76" i="102" s="1"/>
  <c r="AP76" i="102"/>
  <c r="AB77" i="102"/>
  <c r="AP77" i="102"/>
  <c r="AB63" i="102"/>
  <c r="AQ63" i="102" s="1"/>
  <c r="U23" i="195" s="1"/>
  <c r="AP63" i="102"/>
  <c r="AB61" i="102"/>
  <c r="AQ61" i="102" s="1"/>
  <c r="AP61" i="102"/>
  <c r="AB73" i="102"/>
  <c r="J73" i="102" s="1"/>
  <c r="AP73" i="102"/>
  <c r="AB70" i="102"/>
  <c r="AQ70" i="102" s="1"/>
  <c r="AX70" i="102" s="1"/>
  <c r="AW70" i="102" s="1"/>
  <c r="BG70" i="102" s="1"/>
  <c r="AP70" i="102"/>
  <c r="AB60" i="102"/>
  <c r="AQ60" i="102" s="1"/>
  <c r="AX60" i="102" s="1"/>
  <c r="AW60" i="102" s="1"/>
  <c r="BG60" i="102" s="1"/>
  <c r="AP60" i="102"/>
  <c r="J74" i="102"/>
  <c r="AB86" i="102"/>
  <c r="AQ86" i="102" s="1"/>
  <c r="AX86" i="102" s="1"/>
  <c r="AW86" i="102" s="1"/>
  <c r="BG86" i="102" s="1"/>
  <c r="AP86" i="102"/>
  <c r="AB90" i="102"/>
  <c r="AQ90" i="102" s="1"/>
  <c r="AX90" i="102" s="1"/>
  <c r="AY90" i="102" s="1"/>
  <c r="AP90" i="102"/>
  <c r="AB82" i="102"/>
  <c r="J82" i="102" s="1"/>
  <c r="AP82" i="102"/>
  <c r="AB59" i="102"/>
  <c r="AQ59" i="102" s="1"/>
  <c r="AP59" i="102"/>
  <c r="AB78" i="102"/>
  <c r="AQ78" i="102" s="1"/>
  <c r="AP78" i="102"/>
  <c r="Y123" i="102"/>
  <c r="U123" i="102"/>
  <c r="AC123" i="102" s="1"/>
  <c r="AD123" i="102" s="1"/>
  <c r="AE123" i="102" s="1"/>
  <c r="AF123" i="102" s="1"/>
  <c r="AB60" i="101"/>
  <c r="AY60" i="101" s="1"/>
  <c r="AZ60" i="101" s="1"/>
  <c r="AX60" i="101"/>
  <c r="AB74" i="101"/>
  <c r="J74" i="101" s="1"/>
  <c r="AX74" i="101"/>
  <c r="AB83" i="101"/>
  <c r="J83" i="101" s="1"/>
  <c r="AX83" i="101"/>
  <c r="AB61" i="101"/>
  <c r="AY61" i="101" s="1"/>
  <c r="AZ61" i="101" s="1"/>
  <c r="AX61" i="101"/>
  <c r="AB80" i="101"/>
  <c r="AE80" i="101" s="1"/>
  <c r="AG80" i="101" s="1"/>
  <c r="AX80" i="101"/>
  <c r="AB59" i="101"/>
  <c r="AY59" i="101" s="1"/>
  <c r="T19" i="195" s="1"/>
  <c r="AX59" i="101"/>
  <c r="AB66" i="101"/>
  <c r="AY66" i="101" s="1"/>
  <c r="AX66" i="101"/>
  <c r="AB58" i="101"/>
  <c r="AY58" i="101" s="1"/>
  <c r="BF58" i="101" s="1"/>
  <c r="BE58" i="101" s="1"/>
  <c r="BQ58" i="101" s="1"/>
  <c r="AX58" i="101"/>
  <c r="AB71" i="101"/>
  <c r="AY71" i="101" s="1"/>
  <c r="AZ71" i="101" s="1"/>
  <c r="AX71" i="101"/>
  <c r="AB89" i="101"/>
  <c r="AY89" i="101" s="1"/>
  <c r="AZ89" i="101" s="1"/>
  <c r="AX89" i="101"/>
  <c r="AB86" i="101"/>
  <c r="P86" i="101" s="1"/>
  <c r="AX86" i="101"/>
  <c r="AB79" i="101"/>
  <c r="J79" i="101" s="1"/>
  <c r="AX79" i="101"/>
  <c r="AB69" i="101"/>
  <c r="J69" i="101" s="1"/>
  <c r="AX69" i="101"/>
  <c r="AB65" i="101"/>
  <c r="AY65" i="101" s="1"/>
  <c r="BF65" i="101" s="1"/>
  <c r="BE65" i="101" s="1"/>
  <c r="BQ65" i="101" s="1"/>
  <c r="AX65" i="101"/>
  <c r="AB57" i="101"/>
  <c r="AY57" i="101" s="1"/>
  <c r="AX57" i="101"/>
  <c r="AB77" i="101"/>
  <c r="AY77" i="101" s="1"/>
  <c r="AZ77" i="101" s="1"/>
  <c r="AX77" i="101"/>
  <c r="AB85" i="101"/>
  <c r="J85" i="101" s="1"/>
  <c r="AX85" i="101"/>
  <c r="AB56" i="101"/>
  <c r="AY56" i="101" s="1"/>
  <c r="T16" i="195" s="1"/>
  <c r="AX56" i="101"/>
  <c r="AB82" i="101"/>
  <c r="P82" i="101" s="1"/>
  <c r="AX82" i="101"/>
  <c r="AB73" i="101"/>
  <c r="AY73" i="101" s="1"/>
  <c r="BF73" i="101" s="1"/>
  <c r="BE73" i="101" s="1"/>
  <c r="BQ73" i="101" s="1"/>
  <c r="AX73" i="101"/>
  <c r="AB55" i="101"/>
  <c r="AY55" i="101" s="1"/>
  <c r="T15" i="195" s="1"/>
  <c r="AX55" i="101"/>
  <c r="AB81" i="101"/>
  <c r="J81" i="101" s="1"/>
  <c r="AX81" i="101"/>
  <c r="AB84" i="101"/>
  <c r="J84" i="101" s="1"/>
  <c r="AX84" i="101"/>
  <c r="AB64" i="101"/>
  <c r="AY64" i="101" s="1"/>
  <c r="T24" i="195" s="1"/>
  <c r="AX64" i="101"/>
  <c r="AB63" i="101"/>
  <c r="AY63" i="101" s="1"/>
  <c r="T23" i="195" s="1"/>
  <c r="AX63" i="101"/>
  <c r="AB62" i="101"/>
  <c r="AY62" i="101" s="1"/>
  <c r="BF62" i="101" s="1"/>
  <c r="BE62" i="101" s="1"/>
  <c r="BQ62" i="101" s="1"/>
  <c r="AX62" i="101"/>
  <c r="AB54" i="101"/>
  <c r="AY54" i="101" s="1"/>
  <c r="AZ54" i="101" s="1"/>
  <c r="AX54" i="101"/>
  <c r="AB76" i="101"/>
  <c r="AY76" i="101" s="1"/>
  <c r="AZ76" i="101" s="1"/>
  <c r="AX76" i="101"/>
  <c r="AB87" i="101"/>
  <c r="P87" i="101" s="1"/>
  <c r="AX87" i="101"/>
  <c r="BS32" i="193"/>
  <c r="V31" i="490"/>
  <c r="BS40" i="193"/>
  <c r="V39" i="490"/>
  <c r="BS38" i="193"/>
  <c r="V37" i="490"/>
  <c r="BS42" i="193"/>
  <c r="V41" i="490"/>
  <c r="BS41" i="193"/>
  <c r="V40" i="490"/>
  <c r="BS37" i="193"/>
  <c r="V36" i="490"/>
  <c r="J83" i="104"/>
  <c r="BS39" i="193"/>
  <c r="V38" i="490"/>
  <c r="BS34" i="193"/>
  <c r="V33" i="490"/>
  <c r="BS48" i="193"/>
  <c r="V47" i="490"/>
  <c r="BS45" i="193"/>
  <c r="V44" i="490"/>
  <c r="BS36" i="193"/>
  <c r="V35" i="490"/>
  <c r="BS35" i="193"/>
  <c r="V34" i="490"/>
  <c r="BS49" i="193"/>
  <c r="V48" i="490"/>
  <c r="BS47" i="193"/>
  <c r="V46" i="490"/>
  <c r="P70" i="104"/>
  <c r="BS33" i="193"/>
  <c r="V32" i="490"/>
  <c r="BS44" i="193"/>
  <c r="V43" i="490"/>
  <c r="BS46" i="193"/>
  <c r="V45" i="490"/>
  <c r="BS43" i="193"/>
  <c r="V42" i="490"/>
  <c r="BS31" i="193"/>
  <c r="V30" i="490"/>
  <c r="B44" i="103"/>
  <c r="W4" i="135" s="1"/>
  <c r="J50" i="101"/>
  <c r="J46" i="101"/>
  <c r="AA50" i="135"/>
  <c r="AB50" i="135" s="1"/>
  <c r="AQ65" i="103"/>
  <c r="AY65" i="103" s="1"/>
  <c r="BO65" i="103" s="1"/>
  <c r="AQ63" i="103"/>
  <c r="J53" i="104"/>
  <c r="P77" i="104"/>
  <c r="J77" i="104"/>
  <c r="AY90" i="104"/>
  <c r="AW90" i="104"/>
  <c r="BJ90" i="104" s="1"/>
  <c r="J78" i="104"/>
  <c r="P78" i="104"/>
  <c r="J65" i="104"/>
  <c r="P60" i="104"/>
  <c r="J70" i="104"/>
  <c r="AA46" i="103"/>
  <c r="AS46" i="103" s="1"/>
  <c r="AQ60" i="103"/>
  <c r="AQ44" i="103"/>
  <c r="AY44" i="103" s="1"/>
  <c r="BO44" i="103" s="1"/>
  <c r="B70" i="103"/>
  <c r="W30" i="135" s="1"/>
  <c r="AA72" i="103"/>
  <c r="B65" i="103"/>
  <c r="W25" i="135" s="1"/>
  <c r="AQ70" i="103"/>
  <c r="AY70" i="103" s="1"/>
  <c r="BO70" i="103" s="1"/>
  <c r="B72" i="103"/>
  <c r="W32" i="135" s="1"/>
  <c r="AA65" i="103"/>
  <c r="AS65" i="103" s="1"/>
  <c r="B46" i="103"/>
  <c r="W6" i="135" s="1"/>
  <c r="AQ72" i="103"/>
  <c r="AY72" i="103" s="1"/>
  <c r="BO72" i="103" s="1"/>
  <c r="AB65" i="103"/>
  <c r="AT65" i="103" s="1"/>
  <c r="AU65" i="103" s="1"/>
  <c r="AB44" i="103"/>
  <c r="J44" i="103" s="1"/>
  <c r="AA70" i="103"/>
  <c r="B52" i="103"/>
  <c r="W12" i="135" s="1"/>
  <c r="AQ46" i="103"/>
  <c r="AY46" i="103" s="1"/>
  <c r="BO46" i="103" s="1"/>
  <c r="AB60" i="103"/>
  <c r="AT60" i="103" s="1"/>
  <c r="BA60" i="103" s="1"/>
  <c r="AZ60" i="103" s="1"/>
  <c r="BP60" i="103" s="1"/>
  <c r="AB52" i="103"/>
  <c r="J52" i="103" s="1"/>
  <c r="AA44" i="103"/>
  <c r="AQ52" i="103"/>
  <c r="AY52" i="103" s="1"/>
  <c r="BO52" i="103" s="1"/>
  <c r="AB46" i="103"/>
  <c r="J46" i="103" s="1"/>
  <c r="AA60" i="103"/>
  <c r="AS60" i="103" s="1"/>
  <c r="AA52" i="103"/>
  <c r="AS52" i="103" s="1"/>
  <c r="AC65" i="103"/>
  <c r="B75" i="103"/>
  <c r="W35" i="135" s="1"/>
  <c r="J83" i="103"/>
  <c r="AQ75" i="103"/>
  <c r="AA75" i="103"/>
  <c r="BG90" i="101"/>
  <c r="BE90" i="101"/>
  <c r="BQ90" i="101" s="1"/>
  <c r="P79" i="22"/>
  <c r="H83" i="104"/>
  <c r="H81" i="101"/>
  <c r="J68" i="105"/>
  <c r="H83" i="103"/>
  <c r="J66" i="105"/>
  <c r="H87" i="103"/>
  <c r="H79" i="103"/>
  <c r="J81" i="104"/>
  <c r="J51" i="104"/>
  <c r="J67" i="105"/>
  <c r="AB90" i="22"/>
  <c r="AO90" i="22" s="1"/>
  <c r="AB96" i="22"/>
  <c r="AO96" i="22" s="1"/>
  <c r="AB93" i="22"/>
  <c r="AO93" i="22" s="1"/>
  <c r="AB95" i="22"/>
  <c r="AO95" i="22" s="1"/>
  <c r="AB92" i="22"/>
  <c r="AO92" i="22" s="1"/>
  <c r="AB91" i="22"/>
  <c r="AO91" i="22" s="1"/>
  <c r="AB94" i="22"/>
  <c r="AO94" i="22" s="1"/>
  <c r="AB50" i="103"/>
  <c r="AC69" i="103"/>
  <c r="B69" i="103"/>
  <c r="W29" i="135" s="1"/>
  <c r="B50" i="103"/>
  <c r="W10" i="135" s="1"/>
  <c r="AQ50" i="103"/>
  <c r="AY50" i="103" s="1"/>
  <c r="BO50" i="103" s="1"/>
  <c r="AC66" i="103"/>
  <c r="AA69" i="103"/>
  <c r="AB66" i="103"/>
  <c r="J66" i="103" s="1"/>
  <c r="AZ90" i="103"/>
  <c r="BP90" i="103" s="1"/>
  <c r="BB90" i="103"/>
  <c r="J81" i="103"/>
  <c r="B66" i="103"/>
  <c r="W26" i="135" s="1"/>
  <c r="AQ66" i="103"/>
  <c r="AY66" i="103" s="1"/>
  <c r="BO66" i="103" s="1"/>
  <c r="J68" i="103"/>
  <c r="H88" i="103"/>
  <c r="AW90" i="102"/>
  <c r="BG90" i="102" s="1"/>
  <c r="P85" i="22"/>
  <c r="P83" i="22"/>
  <c r="P84" i="22"/>
  <c r="P87" i="22"/>
  <c r="P86" i="22"/>
  <c r="V10" i="193"/>
  <c r="V9" i="490" s="1"/>
  <c r="AN49" i="104"/>
  <c r="B49" i="104"/>
  <c r="X9" i="135" s="1"/>
  <c r="P87" i="105"/>
  <c r="AC87" i="105"/>
  <c r="AO87" i="105"/>
  <c r="X87" i="105"/>
  <c r="AT61" i="105"/>
  <c r="AC71" i="105"/>
  <c r="AO71" i="105"/>
  <c r="Y71" i="105"/>
  <c r="AT64" i="105"/>
  <c r="AR70" i="104"/>
  <c r="AV70" i="104"/>
  <c r="BI70" i="104" s="1"/>
  <c r="AV52" i="104"/>
  <c r="BI52" i="104" s="1"/>
  <c r="AT80" i="105"/>
  <c r="P89" i="22"/>
  <c r="AO89" i="22"/>
  <c r="J55" i="104"/>
  <c r="AX65" i="104"/>
  <c r="AW65" i="104" s="1"/>
  <c r="BJ65" i="104" s="1"/>
  <c r="X25" i="195"/>
  <c r="P54" i="104"/>
  <c r="AQ54" i="104"/>
  <c r="AR54" i="104" s="1"/>
  <c r="AC62" i="105"/>
  <c r="AO62" i="105"/>
  <c r="AC58" i="105"/>
  <c r="AO58" i="105"/>
  <c r="AC54" i="105"/>
  <c r="AO54" i="105"/>
  <c r="AP85" i="22"/>
  <c r="M45" i="195"/>
  <c r="AV85" i="22"/>
  <c r="AW85" i="22" s="1"/>
  <c r="M44" i="195"/>
  <c r="AV84" i="22"/>
  <c r="L47" i="24"/>
  <c r="Q7" i="196"/>
  <c r="AA49" i="104"/>
  <c r="D78" i="103"/>
  <c r="H78" i="103"/>
  <c r="P85" i="105"/>
  <c r="AC85" i="105"/>
  <c r="AO85" i="105"/>
  <c r="X85" i="105"/>
  <c r="AC67" i="105"/>
  <c r="AO67" i="105"/>
  <c r="Y67" i="105"/>
  <c r="AT59" i="105"/>
  <c r="AW81" i="23"/>
  <c r="BJ81" i="23" s="1"/>
  <c r="AT82" i="105"/>
  <c r="AN70" i="105"/>
  <c r="AB70" i="105"/>
  <c r="B70" i="105"/>
  <c r="Y30" i="135" s="1"/>
  <c r="AV86" i="104"/>
  <c r="BI86" i="104" s="1"/>
  <c r="AT66" i="105"/>
  <c r="AV83" i="104"/>
  <c r="BI83" i="104" s="1"/>
  <c r="AC84" i="105"/>
  <c r="AO84" i="105"/>
  <c r="X84" i="105"/>
  <c r="AV88" i="104"/>
  <c r="BI88" i="104" s="1"/>
  <c r="P81" i="105"/>
  <c r="AC81" i="105"/>
  <c r="AO81" i="105"/>
  <c r="X81" i="105"/>
  <c r="AC69" i="105"/>
  <c r="AO69" i="105"/>
  <c r="Y69" i="105"/>
  <c r="AT49" i="105"/>
  <c r="AV66" i="104"/>
  <c r="BI66" i="104" s="1"/>
  <c r="AV50" i="104"/>
  <c r="BI50" i="104" s="1"/>
  <c r="P86" i="105"/>
  <c r="AC86" i="105"/>
  <c r="AO86" i="105"/>
  <c r="X86" i="105"/>
  <c r="AT74" i="105"/>
  <c r="AP71" i="105"/>
  <c r="AT71" i="105"/>
  <c r="AT52" i="105"/>
  <c r="AT84" i="22"/>
  <c r="BF84" i="22" s="1"/>
  <c r="AP84" i="22"/>
  <c r="BA59" i="103"/>
  <c r="AZ59" i="103" s="1"/>
  <c r="BP59" i="103" s="1"/>
  <c r="W19" i="195"/>
  <c r="AX53" i="104"/>
  <c r="AW53" i="104" s="1"/>
  <c r="BJ53" i="104" s="1"/>
  <c r="X13" i="195"/>
  <c r="AC65" i="105"/>
  <c r="AO65" i="105"/>
  <c r="AC61" i="105"/>
  <c r="AO61" i="105"/>
  <c r="AC57" i="105"/>
  <c r="AO57" i="105"/>
  <c r="AC53" i="105"/>
  <c r="AO53" i="105"/>
  <c r="B75" i="24"/>
  <c r="O35" i="135" s="1"/>
  <c r="N75" i="24"/>
  <c r="AC75" i="105"/>
  <c r="AO75" i="105"/>
  <c r="Y75" i="105"/>
  <c r="AV59" i="104"/>
  <c r="BI59" i="104" s="1"/>
  <c r="AW82" i="23"/>
  <c r="BJ82" i="23" s="1"/>
  <c r="AP54" i="105"/>
  <c r="AT54" i="105"/>
  <c r="AC76" i="105"/>
  <c r="AO76" i="105"/>
  <c r="Y76" i="105"/>
  <c r="AP69" i="105"/>
  <c r="AT69" i="105"/>
  <c r="AT89" i="105"/>
  <c r="AV68" i="104"/>
  <c r="BI68" i="104" s="1"/>
  <c r="AV55" i="104"/>
  <c r="BI55" i="104" s="1"/>
  <c r="AR55" i="104"/>
  <c r="AV79" i="104"/>
  <c r="BI79" i="104" s="1"/>
  <c r="AC80" i="105"/>
  <c r="AO80" i="105"/>
  <c r="X80" i="105"/>
  <c r="AW88" i="23"/>
  <c r="BJ88" i="23" s="1"/>
  <c r="AP82" i="22"/>
  <c r="AT82" i="22"/>
  <c r="BF82" i="22" s="1"/>
  <c r="P58" i="104"/>
  <c r="AQ58" i="104"/>
  <c r="AR58" i="104" s="1"/>
  <c r="AP79" i="22"/>
  <c r="M39" i="195"/>
  <c r="AV79" i="22"/>
  <c r="AW79" i="22" s="1"/>
  <c r="AP87" i="22"/>
  <c r="M47" i="195"/>
  <c r="AV87" i="22"/>
  <c r="AW87" i="22" s="1"/>
  <c r="M46" i="195"/>
  <c r="AV86" i="22"/>
  <c r="L48" i="24"/>
  <c r="Q8" i="196"/>
  <c r="J80" i="103"/>
  <c r="AP67" i="105"/>
  <c r="AT67" i="105"/>
  <c r="AV81" i="104"/>
  <c r="BI81" i="104" s="1"/>
  <c r="AV67" i="104"/>
  <c r="BI67" i="104" s="1"/>
  <c r="AV54" i="104"/>
  <c r="BI54" i="104" s="1"/>
  <c r="P82" i="105"/>
  <c r="AC82" i="105"/>
  <c r="AO82" i="105"/>
  <c r="X82" i="105"/>
  <c r="AT79" i="105"/>
  <c r="AV64" i="104"/>
  <c r="BI64" i="104" s="1"/>
  <c r="AW83" i="23"/>
  <c r="BJ83" i="23" s="1"/>
  <c r="AC72" i="105"/>
  <c r="AO72" i="105"/>
  <c r="Y72" i="105"/>
  <c r="AV76" i="104"/>
  <c r="BI76" i="104" s="1"/>
  <c r="AV71" i="104"/>
  <c r="BI71" i="104" s="1"/>
  <c r="AV53" i="104"/>
  <c r="BI53" i="104" s="1"/>
  <c r="AR53" i="104"/>
  <c r="AP57" i="105"/>
  <c r="AT57" i="105"/>
  <c r="AC78" i="105"/>
  <c r="AO78" i="105"/>
  <c r="Y78" i="105"/>
  <c r="P71" i="105"/>
  <c r="AC68" i="105"/>
  <c r="AO68" i="105"/>
  <c r="Y68" i="105"/>
  <c r="AT60" i="105"/>
  <c r="AT88" i="105"/>
  <c r="AV77" i="104"/>
  <c r="BI77" i="104" s="1"/>
  <c r="AR77" i="104"/>
  <c r="AV65" i="104"/>
  <c r="AR65" i="104"/>
  <c r="AP86" i="22"/>
  <c r="AT86" i="22"/>
  <c r="BF86" i="22" s="1"/>
  <c r="AQ49" i="104"/>
  <c r="AX63" i="104"/>
  <c r="AW63" i="104" s="1"/>
  <c r="BJ63" i="104" s="1"/>
  <c r="X23" i="195"/>
  <c r="AX70" i="104"/>
  <c r="AW70" i="104" s="1"/>
  <c r="BJ70" i="104" s="1"/>
  <c r="X30" i="195"/>
  <c r="P137" i="103"/>
  <c r="AP75" i="105"/>
  <c r="AT75" i="105"/>
  <c r="AT55" i="105"/>
  <c r="AV89" i="104"/>
  <c r="BI89" i="104" s="1"/>
  <c r="AP62" i="105"/>
  <c r="AT62" i="105"/>
  <c r="AP72" i="105"/>
  <c r="AT72" i="105"/>
  <c r="P137" i="104"/>
  <c r="AP76" i="105"/>
  <c r="AT76" i="105"/>
  <c r="AC89" i="105"/>
  <c r="AO89" i="105"/>
  <c r="X89" i="105"/>
  <c r="AP78" i="105"/>
  <c r="AT78" i="105"/>
  <c r="AW86" i="23"/>
  <c r="BJ86" i="23" s="1"/>
  <c r="AT83" i="105"/>
  <c r="AB79" i="104"/>
  <c r="AQ79" i="104" s="1"/>
  <c r="AR60" i="104"/>
  <c r="AV60" i="104"/>
  <c r="BI60" i="104" s="1"/>
  <c r="AV69" i="104"/>
  <c r="BI69" i="104" s="1"/>
  <c r="J63" i="104"/>
  <c r="P56" i="104"/>
  <c r="AQ56" i="104"/>
  <c r="AR56" i="104" s="1"/>
  <c r="P52" i="104"/>
  <c r="AQ52" i="104"/>
  <c r="AR52" i="104" s="1"/>
  <c r="AC64" i="105"/>
  <c r="AO64" i="105"/>
  <c r="AP64" i="105" s="1"/>
  <c r="AC60" i="105"/>
  <c r="AO60" i="105"/>
  <c r="AP60" i="105" s="1"/>
  <c r="AC56" i="105"/>
  <c r="AO56" i="105"/>
  <c r="AC52" i="105"/>
  <c r="AO52" i="105"/>
  <c r="AP52" i="105" s="1"/>
  <c r="AC50" i="105"/>
  <c r="AO50" i="105"/>
  <c r="AP81" i="22"/>
  <c r="M41" i="195"/>
  <c r="AV81" i="22"/>
  <c r="AW81" i="22" s="1"/>
  <c r="M40" i="195"/>
  <c r="AV80" i="22"/>
  <c r="J77" i="103"/>
  <c r="P81" i="104"/>
  <c r="AQ81" i="104"/>
  <c r="AW89" i="23"/>
  <c r="AC77" i="105"/>
  <c r="AO77" i="105"/>
  <c r="Y77" i="105"/>
  <c r="P79" i="105"/>
  <c r="AC79" i="105"/>
  <c r="AO79" i="105"/>
  <c r="X79" i="105"/>
  <c r="AP50" i="105"/>
  <c r="AT50" i="105"/>
  <c r="AB76" i="104"/>
  <c r="P76" i="104" s="1"/>
  <c r="AP65" i="105"/>
  <c r="AT65" i="105"/>
  <c r="AV85" i="104"/>
  <c r="BI85" i="104" s="1"/>
  <c r="AV58" i="104"/>
  <c r="BI58" i="104" s="1"/>
  <c r="AP68" i="105"/>
  <c r="AT68" i="105"/>
  <c r="AV87" i="104"/>
  <c r="BI87" i="104" s="1"/>
  <c r="AC88" i="105"/>
  <c r="AO88" i="105"/>
  <c r="X88" i="105"/>
  <c r="AX77" i="104"/>
  <c r="AW77" i="104" s="1"/>
  <c r="BJ77" i="104" s="1"/>
  <c r="X37" i="195"/>
  <c r="BA61" i="103"/>
  <c r="AZ61" i="103" s="1"/>
  <c r="BP61" i="103" s="1"/>
  <c r="P51" i="104"/>
  <c r="AQ51" i="104"/>
  <c r="J63" i="105"/>
  <c r="AC63" i="105"/>
  <c r="AO63" i="105"/>
  <c r="J59" i="105"/>
  <c r="AC59" i="105"/>
  <c r="AO59" i="105"/>
  <c r="AP59" i="105" s="1"/>
  <c r="J55" i="105"/>
  <c r="AC55" i="105"/>
  <c r="AO55" i="105"/>
  <c r="AP55" i="105" s="1"/>
  <c r="J51" i="105"/>
  <c r="AC51" i="105"/>
  <c r="AO51" i="105"/>
  <c r="AX73" i="104"/>
  <c r="AW73" i="104" s="1"/>
  <c r="BJ73" i="104" s="1"/>
  <c r="X33" i="195"/>
  <c r="AP63" i="105"/>
  <c r="AT63" i="105"/>
  <c r="AP77" i="105"/>
  <c r="AT77" i="105"/>
  <c r="AV75" i="104"/>
  <c r="BI75" i="104" s="1"/>
  <c r="AV51" i="104"/>
  <c r="BI51" i="104" s="1"/>
  <c r="AR51" i="104"/>
  <c r="AW79" i="23"/>
  <c r="BJ79" i="23" s="1"/>
  <c r="AP87" i="105"/>
  <c r="AT87" i="105"/>
  <c r="AR78" i="104"/>
  <c r="AV78" i="104"/>
  <c r="BI78" i="104" s="1"/>
  <c r="P69" i="105"/>
  <c r="AV80" i="104"/>
  <c r="BI80" i="104" s="1"/>
  <c r="P76" i="105"/>
  <c r="AP53" i="105"/>
  <c r="AT53" i="105"/>
  <c r="AV82" i="104"/>
  <c r="BI82" i="104" s="1"/>
  <c r="AV63" i="104"/>
  <c r="BI63" i="104" s="1"/>
  <c r="AR63" i="104"/>
  <c r="P83" i="105"/>
  <c r="AC83" i="105"/>
  <c r="AO83" i="105"/>
  <c r="AP83" i="105" s="1"/>
  <c r="X83" i="105"/>
  <c r="AP56" i="105"/>
  <c r="AT56" i="105"/>
  <c r="AW87" i="23"/>
  <c r="BJ87" i="23" s="1"/>
  <c r="AV84" i="104"/>
  <c r="BI84" i="104" s="1"/>
  <c r="AW80" i="23"/>
  <c r="BJ80" i="23" s="1"/>
  <c r="AT80" i="22"/>
  <c r="BF80" i="22" s="1"/>
  <c r="AP80" i="22"/>
  <c r="AX55" i="104"/>
  <c r="AW55" i="104" s="1"/>
  <c r="BJ55" i="104" s="1"/>
  <c r="X15" i="195"/>
  <c r="AC49" i="105"/>
  <c r="AO49" i="105"/>
  <c r="BA64" i="103"/>
  <c r="AZ64" i="103" s="1"/>
  <c r="BP64" i="103" s="1"/>
  <c r="P50" i="104"/>
  <c r="AQ50" i="104"/>
  <c r="AR50" i="104" s="1"/>
  <c r="AX60" i="104"/>
  <c r="AW60" i="104" s="1"/>
  <c r="BJ60" i="104" s="1"/>
  <c r="X20" i="195"/>
  <c r="J73" i="104"/>
  <c r="AP83" i="22"/>
  <c r="M43" i="195"/>
  <c r="AV83" i="22"/>
  <c r="AW83" i="22" s="1"/>
  <c r="M42" i="195"/>
  <c r="AV82" i="22"/>
  <c r="P73" i="104"/>
  <c r="AP85" i="105"/>
  <c r="AT85" i="105"/>
  <c r="AN73" i="105"/>
  <c r="B73" i="105"/>
  <c r="Y33" i="135" s="1"/>
  <c r="AB73" i="105"/>
  <c r="AP51" i="105"/>
  <c r="AT51" i="105"/>
  <c r="AV72" i="104"/>
  <c r="BI72" i="104" s="1"/>
  <c r="AV62" i="104"/>
  <c r="BI62" i="104" s="1"/>
  <c r="AC66" i="105"/>
  <c r="AO66" i="105"/>
  <c r="Y66" i="105"/>
  <c r="AP58" i="105"/>
  <c r="AT58" i="105"/>
  <c r="AV56" i="104"/>
  <c r="BI56" i="104" s="1"/>
  <c r="AP84" i="105"/>
  <c r="AT84" i="105"/>
  <c r="AV73" i="104"/>
  <c r="BI73" i="104" s="1"/>
  <c r="AR73" i="104"/>
  <c r="AV61" i="104"/>
  <c r="BI61" i="104" s="1"/>
  <c r="AW84" i="23"/>
  <c r="BJ84" i="23" s="1"/>
  <c r="AP81" i="105"/>
  <c r="AT81" i="105"/>
  <c r="AW85" i="23"/>
  <c r="BJ85" i="23" s="1"/>
  <c r="AP86" i="105"/>
  <c r="AT86" i="105"/>
  <c r="AC74" i="105"/>
  <c r="AO74" i="105"/>
  <c r="Y74" i="105"/>
  <c r="AV74" i="104"/>
  <c r="BI74" i="104" s="1"/>
  <c r="AV57" i="104"/>
  <c r="BI57" i="104" s="1"/>
  <c r="AX86" i="105"/>
  <c r="AX84" i="105"/>
  <c r="AX82" i="105"/>
  <c r="AX80" i="105"/>
  <c r="AX78" i="105"/>
  <c r="AX77" i="105"/>
  <c r="AX76" i="105"/>
  <c r="AX72" i="105"/>
  <c r="AX70" i="105"/>
  <c r="AX68" i="105"/>
  <c r="AX67" i="105"/>
  <c r="AX66" i="105"/>
  <c r="AX65" i="105"/>
  <c r="AX64" i="105"/>
  <c r="AX63" i="105"/>
  <c r="AX62" i="105"/>
  <c r="AX61" i="105"/>
  <c r="AX60" i="105"/>
  <c r="AX59" i="105"/>
  <c r="AX58" i="105"/>
  <c r="AX57" i="105"/>
  <c r="AX56" i="105"/>
  <c r="AX55" i="105"/>
  <c r="AX54" i="105"/>
  <c r="AX53" i="105"/>
  <c r="AX52" i="105"/>
  <c r="AX51" i="105"/>
  <c r="AX50" i="105"/>
  <c r="AX49" i="105"/>
  <c r="AX89" i="105"/>
  <c r="AX88" i="105"/>
  <c r="AX87" i="105"/>
  <c r="AX85" i="105"/>
  <c r="AX83" i="105"/>
  <c r="AX81" i="105"/>
  <c r="AX79" i="105"/>
  <c r="AX75" i="105"/>
  <c r="AX74" i="105"/>
  <c r="AX73" i="105"/>
  <c r="AX71" i="105"/>
  <c r="AX69" i="105"/>
  <c r="B174" i="105"/>
  <c r="W137" i="105"/>
  <c r="C174" i="105"/>
  <c r="AB68" i="102"/>
  <c r="AQ68" i="102" s="1"/>
  <c r="AR68" i="102" s="1"/>
  <c r="AX63" i="102"/>
  <c r="AW63" i="102" s="1"/>
  <c r="BG63" i="102" s="1"/>
  <c r="AX58" i="102"/>
  <c r="AW58" i="102" s="1"/>
  <c r="BG58" i="102" s="1"/>
  <c r="U18" i="195"/>
  <c r="AX53" i="102"/>
  <c r="AW53" i="102" s="1"/>
  <c r="BG53" i="102" s="1"/>
  <c r="U13" i="195"/>
  <c r="AX51" i="102"/>
  <c r="U11" i="195"/>
  <c r="AX49" i="102"/>
  <c r="AW49" i="102" s="1"/>
  <c r="BG49" i="102" s="1"/>
  <c r="U9" i="195"/>
  <c r="P47" i="102"/>
  <c r="AQ47" i="102"/>
  <c r="AR47" i="102" s="1"/>
  <c r="AB66" i="102"/>
  <c r="AQ66" i="102" s="1"/>
  <c r="AX61" i="102"/>
  <c r="AW61" i="102" s="1"/>
  <c r="BG61" i="102" s="1"/>
  <c r="U21" i="195"/>
  <c r="AX59" i="102"/>
  <c r="AW59" i="102" s="1"/>
  <c r="BG59" i="102" s="1"/>
  <c r="U19" i="195"/>
  <c r="P56" i="102"/>
  <c r="AQ56" i="102"/>
  <c r="AX54" i="102"/>
  <c r="AW54" i="102" s="1"/>
  <c r="BG54" i="102" s="1"/>
  <c r="U14" i="195"/>
  <c r="AX52" i="102"/>
  <c r="AW52" i="102" s="1"/>
  <c r="BG52" i="102" s="1"/>
  <c r="U12" i="195"/>
  <c r="P50" i="102"/>
  <c r="AQ50" i="102"/>
  <c r="AR50" i="102" s="1"/>
  <c r="Y48" i="102"/>
  <c r="AO48" i="102" s="1"/>
  <c r="AQ48" i="102"/>
  <c r="AX46" i="102"/>
  <c r="AW46" i="102" s="1"/>
  <c r="BG46" i="102" s="1"/>
  <c r="U6" i="195"/>
  <c r="P44" i="102"/>
  <c r="AQ44" i="102"/>
  <c r="AR44" i="102" s="1"/>
  <c r="AB67" i="102"/>
  <c r="AQ67" i="102" s="1"/>
  <c r="AR67" i="102" s="1"/>
  <c r="AV87" i="102"/>
  <c r="BF87" i="102" s="1"/>
  <c r="AV85" i="102"/>
  <c r="BF85" i="102" s="1"/>
  <c r="AB85" i="102"/>
  <c r="AQ85" i="102" s="1"/>
  <c r="AV83" i="102"/>
  <c r="BF83" i="102" s="1"/>
  <c r="AV81" i="102"/>
  <c r="BF81" i="102" s="1"/>
  <c r="AB81" i="102"/>
  <c r="AQ81" i="102" s="1"/>
  <c r="AV79" i="102"/>
  <c r="BF79" i="102" s="1"/>
  <c r="AX75" i="102"/>
  <c r="AW75" i="102" s="1"/>
  <c r="BG75" i="102" s="1"/>
  <c r="U35" i="195"/>
  <c r="AV73" i="102"/>
  <c r="BF73" i="102" s="1"/>
  <c r="AV72" i="102"/>
  <c r="BF72" i="102" s="1"/>
  <c r="AB72" i="102"/>
  <c r="P72" i="102" s="1"/>
  <c r="P136" i="102"/>
  <c r="AB88" i="102"/>
  <c r="AQ88" i="102" s="1"/>
  <c r="AR88" i="102" s="1"/>
  <c r="AB84" i="102"/>
  <c r="AQ84" i="102" s="1"/>
  <c r="AR84" i="102" s="1"/>
  <c r="AB80" i="102"/>
  <c r="AQ80" i="102" s="1"/>
  <c r="AR80" i="102" s="1"/>
  <c r="AV77" i="102"/>
  <c r="BF77" i="102" s="1"/>
  <c r="AV75" i="102"/>
  <c r="BF75" i="102" s="1"/>
  <c r="AR75" i="102"/>
  <c r="AR70" i="102"/>
  <c r="AV70" i="102"/>
  <c r="BF70" i="102" s="1"/>
  <c r="AV67" i="102"/>
  <c r="BF67" i="102" s="1"/>
  <c r="AV62" i="102"/>
  <c r="BF62" i="102" s="1"/>
  <c r="AR54" i="102"/>
  <c r="AV54" i="102"/>
  <c r="BF54" i="102" s="1"/>
  <c r="AR46" i="102"/>
  <c r="AV46" i="102"/>
  <c r="BF46" i="102" s="1"/>
  <c r="AV55" i="102"/>
  <c r="BF55" i="102" s="1"/>
  <c r="AR55" i="102"/>
  <c r="AV59" i="102"/>
  <c r="BF59" i="102" s="1"/>
  <c r="AR59" i="102"/>
  <c r="J81" i="102"/>
  <c r="H89" i="102"/>
  <c r="H87" i="102"/>
  <c r="H79" i="102"/>
  <c r="AW51" i="102"/>
  <c r="BG51" i="102" s="1"/>
  <c r="AX57" i="102"/>
  <c r="AW57" i="102" s="1"/>
  <c r="BG57" i="102" s="1"/>
  <c r="U17" i="195"/>
  <c r="AX55" i="102"/>
  <c r="AW55" i="102" s="1"/>
  <c r="BG55" i="102" s="1"/>
  <c r="U15" i="195"/>
  <c r="P45" i="102"/>
  <c r="AQ45" i="102"/>
  <c r="AR45" i="102" s="1"/>
  <c r="AB87" i="102"/>
  <c r="AQ87" i="102" s="1"/>
  <c r="AB83" i="102"/>
  <c r="AB79" i="102"/>
  <c r="AQ79" i="102" s="1"/>
  <c r="AV78" i="102"/>
  <c r="BF78" i="102" s="1"/>
  <c r="AV74" i="102"/>
  <c r="BF74" i="102" s="1"/>
  <c r="AV68" i="102"/>
  <c r="BF68" i="102" s="1"/>
  <c r="AR66" i="102"/>
  <c r="AV66" i="102"/>
  <c r="BF66" i="102" s="1"/>
  <c r="AV64" i="102"/>
  <c r="BF64" i="102" s="1"/>
  <c r="AV61" i="102"/>
  <c r="AR61" i="102"/>
  <c r="AV60" i="102"/>
  <c r="BF60" i="102" s="1"/>
  <c r="AV57" i="102"/>
  <c r="BF57" i="102" s="1"/>
  <c r="AR57" i="102"/>
  <c r="AR56" i="102"/>
  <c r="AV56" i="102"/>
  <c r="BF56" i="102" s="1"/>
  <c r="AV53" i="102"/>
  <c r="AR53" i="102"/>
  <c r="AR52" i="102"/>
  <c r="AV52" i="102"/>
  <c r="AV49" i="102"/>
  <c r="AR49" i="102"/>
  <c r="AR48" i="102"/>
  <c r="AV48" i="102"/>
  <c r="BF48" i="102" s="1"/>
  <c r="AV45" i="102"/>
  <c r="BF45" i="102" s="1"/>
  <c r="AV44" i="102"/>
  <c r="BF44" i="102" s="1"/>
  <c r="AV89" i="102"/>
  <c r="BF89" i="102" s="1"/>
  <c r="AB89" i="102"/>
  <c r="AQ89" i="102" s="1"/>
  <c r="AV88" i="102"/>
  <c r="BF88" i="102" s="1"/>
  <c r="AR86" i="102"/>
  <c r="AV86" i="102"/>
  <c r="BF86" i="102" s="1"/>
  <c r="AV84" i="102"/>
  <c r="BF84" i="102" s="1"/>
  <c r="AV82" i="102"/>
  <c r="BF82" i="102" s="1"/>
  <c r="AV80" i="102"/>
  <c r="BF80" i="102" s="1"/>
  <c r="AV76" i="102"/>
  <c r="BF76" i="102" s="1"/>
  <c r="AV71" i="102"/>
  <c r="BF71" i="102" s="1"/>
  <c r="AV69" i="102"/>
  <c r="BF69" i="102" s="1"/>
  <c r="AV65" i="102"/>
  <c r="AR58" i="102"/>
  <c r="AV58" i="102"/>
  <c r="BF58" i="102" s="1"/>
  <c r="AV50" i="102"/>
  <c r="BF50" i="102" s="1"/>
  <c r="AV63" i="102"/>
  <c r="AR63" i="102"/>
  <c r="AV47" i="102"/>
  <c r="BF47" i="102" s="1"/>
  <c r="AV51" i="102"/>
  <c r="AR51" i="102"/>
  <c r="P75" i="102"/>
  <c r="AB68" i="101"/>
  <c r="AY68" i="101" s="1"/>
  <c r="T18" i="195"/>
  <c r="T4" i="195"/>
  <c r="BF44" i="101"/>
  <c r="BE44" i="101" s="1"/>
  <c r="BQ44" i="101" s="1"/>
  <c r="T36" i="195"/>
  <c r="P89" i="101"/>
  <c r="T48" i="195"/>
  <c r="BF88" i="101"/>
  <c r="BG88" i="101" s="1"/>
  <c r="AZ88" i="101"/>
  <c r="BD86" i="101"/>
  <c r="BP86" i="101" s="1"/>
  <c r="AY86" i="101"/>
  <c r="AE86" i="101"/>
  <c r="AG86" i="101" s="1"/>
  <c r="BD82" i="101"/>
  <c r="BP82" i="101" s="1"/>
  <c r="AY82" i="101"/>
  <c r="AE82" i="101"/>
  <c r="AG82" i="101" s="1"/>
  <c r="BD78" i="101"/>
  <c r="BP78" i="101" s="1"/>
  <c r="AB78" i="101"/>
  <c r="AY78" i="101" s="1"/>
  <c r="BD71" i="101"/>
  <c r="BP71" i="101" s="1"/>
  <c r="BD60" i="101"/>
  <c r="BP60" i="101" s="1"/>
  <c r="BD52" i="101"/>
  <c r="BP52" i="101" s="1"/>
  <c r="AY52" i="101"/>
  <c r="Y52" i="101"/>
  <c r="AW52" i="101" s="1"/>
  <c r="BD48" i="101"/>
  <c r="BP48" i="101" s="1"/>
  <c r="AY48" i="101"/>
  <c r="Y48" i="101"/>
  <c r="AW48" i="101" s="1"/>
  <c r="BD44" i="101"/>
  <c r="BP44" i="101" s="1"/>
  <c r="AZ44" i="101"/>
  <c r="BD85" i="101"/>
  <c r="BP85" i="101" s="1"/>
  <c r="P83" i="101"/>
  <c r="AY83" i="101"/>
  <c r="AZ83" i="101" s="1"/>
  <c r="AE83" i="101"/>
  <c r="AG83" i="101" s="1"/>
  <c r="BD81" i="101"/>
  <c r="BP81" i="101" s="1"/>
  <c r="AE79" i="101"/>
  <c r="AG79" i="101" s="1"/>
  <c r="BD70" i="101"/>
  <c r="BP70" i="101" s="1"/>
  <c r="Y53" i="101"/>
  <c r="AW53" i="101" s="1"/>
  <c r="AY53" i="101"/>
  <c r="AZ53" i="101" s="1"/>
  <c r="BD50" i="101"/>
  <c r="BP50" i="101" s="1"/>
  <c r="AY50" i="101"/>
  <c r="AZ50" i="101" s="1"/>
  <c r="Y50" i="101"/>
  <c r="AW50" i="101" s="1"/>
  <c r="AY49" i="101"/>
  <c r="AZ49" i="101" s="1"/>
  <c r="Y49" i="101"/>
  <c r="AW49" i="101" s="1"/>
  <c r="BD46" i="101"/>
  <c r="BP46" i="101" s="1"/>
  <c r="AY46" i="101"/>
  <c r="AZ46" i="101" s="1"/>
  <c r="Y46" i="101"/>
  <c r="AW46" i="101" s="1"/>
  <c r="AY45" i="101"/>
  <c r="AZ45" i="101" s="1"/>
  <c r="Y45" i="101"/>
  <c r="AW45" i="101" s="1"/>
  <c r="BD74" i="101"/>
  <c r="BP74" i="101" s="1"/>
  <c r="BD59" i="101"/>
  <c r="BP59" i="101" s="1"/>
  <c r="AZ59" i="101"/>
  <c r="AY51" i="101"/>
  <c r="AZ51" i="101" s="1"/>
  <c r="Y51" i="101"/>
  <c r="AW51" i="101" s="1"/>
  <c r="BD55" i="101"/>
  <c r="BP55" i="101" s="1"/>
  <c r="AY47" i="101"/>
  <c r="AZ47" i="101" s="1"/>
  <c r="Y47" i="101"/>
  <c r="AW47" i="101" s="1"/>
  <c r="T26" i="195"/>
  <c r="BF66" i="101"/>
  <c r="BE66" i="101" s="1"/>
  <c r="BQ66" i="101" s="1"/>
  <c r="AB67" i="101"/>
  <c r="T25" i="195"/>
  <c r="T21" i="195"/>
  <c r="T17" i="195"/>
  <c r="BF57" i="101"/>
  <c r="BE57" i="101" s="1"/>
  <c r="BQ57" i="101" s="1"/>
  <c r="AB75" i="101"/>
  <c r="AB72" i="101"/>
  <c r="AB70" i="101"/>
  <c r="BD89" i="101"/>
  <c r="BD84" i="101"/>
  <c r="BP84" i="101" s="1"/>
  <c r="AY84" i="101"/>
  <c r="BD80" i="101"/>
  <c r="BP80" i="101" s="1"/>
  <c r="BD73" i="101"/>
  <c r="BP73" i="101" s="1"/>
  <c r="BD69" i="101"/>
  <c r="BP69" i="101" s="1"/>
  <c r="BD68" i="101"/>
  <c r="BP68" i="101" s="1"/>
  <c r="AZ68" i="101"/>
  <c r="BD67" i="101"/>
  <c r="BP67" i="101" s="1"/>
  <c r="BD66" i="101"/>
  <c r="BP66" i="101" s="1"/>
  <c r="AZ66" i="101"/>
  <c r="BD65" i="101"/>
  <c r="BP65" i="101" s="1"/>
  <c r="AZ65" i="101"/>
  <c r="BD64" i="101"/>
  <c r="BP64" i="101" s="1"/>
  <c r="BD56" i="101"/>
  <c r="BP56" i="101" s="1"/>
  <c r="AZ56" i="101"/>
  <c r="X76" i="101"/>
  <c r="AG77" i="101"/>
  <c r="X77" i="101" s="1"/>
  <c r="BD87" i="101"/>
  <c r="BP87" i="101" s="1"/>
  <c r="BD83" i="101"/>
  <c r="BP83" i="101" s="1"/>
  <c r="BD79" i="101"/>
  <c r="BP79" i="101" s="1"/>
  <c r="BD77" i="101"/>
  <c r="BP77" i="101" s="1"/>
  <c r="BD76" i="101"/>
  <c r="BD75" i="101"/>
  <c r="BP75" i="101" s="1"/>
  <c r="BD72" i="101"/>
  <c r="BP72" i="101" s="1"/>
  <c r="BD62" i="101"/>
  <c r="BD61" i="101"/>
  <c r="BP61" i="101" s="1"/>
  <c r="BD58" i="101"/>
  <c r="BP58" i="101" s="1"/>
  <c r="BD57" i="101"/>
  <c r="BP57" i="101" s="1"/>
  <c r="AZ57" i="101"/>
  <c r="BD54" i="101"/>
  <c r="BP54" i="101" s="1"/>
  <c r="BD53" i="101"/>
  <c r="BP53" i="101" s="1"/>
  <c r="BD49" i="101"/>
  <c r="BP49" i="101" s="1"/>
  <c r="BD45" i="101"/>
  <c r="BP45" i="101" s="1"/>
  <c r="BD51" i="101"/>
  <c r="BP51" i="101" s="1"/>
  <c r="BD63" i="101"/>
  <c r="BP63" i="101" s="1"/>
  <c r="BD47" i="101"/>
  <c r="BP47" i="101" s="1"/>
  <c r="J58" i="101"/>
  <c r="P66" i="101"/>
  <c r="N73" i="26"/>
  <c r="M73" i="26" s="1"/>
  <c r="M72" i="26"/>
  <c r="H85" i="101"/>
  <c r="J82" i="101"/>
  <c r="J86" i="101"/>
  <c r="H81" i="102"/>
  <c r="H79" i="104"/>
  <c r="J89" i="104"/>
  <c r="J80" i="104"/>
  <c r="J82" i="103"/>
  <c r="H80" i="103"/>
  <c r="H84" i="103"/>
  <c r="Y47" i="104"/>
  <c r="AO47" i="104" s="1"/>
  <c r="AQ47" i="104"/>
  <c r="P48" i="104"/>
  <c r="AQ48" i="104"/>
  <c r="P44" i="104"/>
  <c r="AQ44" i="104"/>
  <c r="Y45" i="104"/>
  <c r="AO45" i="104" s="1"/>
  <c r="AQ45" i="104"/>
  <c r="P46" i="104"/>
  <c r="AQ46" i="104"/>
  <c r="V8" i="193"/>
  <c r="V7" i="490" s="1"/>
  <c r="AN47" i="104"/>
  <c r="B47" i="104"/>
  <c r="X7" i="135" s="1"/>
  <c r="V6" i="193"/>
  <c r="V5" i="490" s="1"/>
  <c r="AN45" i="104"/>
  <c r="B45" i="104"/>
  <c r="X5" i="135" s="1"/>
  <c r="V9" i="193"/>
  <c r="V8" i="490" s="1"/>
  <c r="AN48" i="104"/>
  <c r="B48" i="104"/>
  <c r="X8" i="135" s="1"/>
  <c r="V7" i="193"/>
  <c r="V6" i="490" s="1"/>
  <c r="B46" i="104"/>
  <c r="X6" i="135" s="1"/>
  <c r="AN46" i="104"/>
  <c r="V5" i="193"/>
  <c r="V4" i="490" s="1"/>
  <c r="AN44" i="104"/>
  <c r="B44" i="104"/>
  <c r="X4" i="135" s="1"/>
  <c r="P55" i="103"/>
  <c r="AT55" i="103"/>
  <c r="P53" i="103"/>
  <c r="AT53" i="103"/>
  <c r="P51" i="103"/>
  <c r="AT51" i="103"/>
  <c r="P49" i="103"/>
  <c r="AT49" i="103"/>
  <c r="AU49" i="103" s="1"/>
  <c r="P45" i="103"/>
  <c r="AT45" i="103"/>
  <c r="AU45" i="103" s="1"/>
  <c r="AQ74" i="103"/>
  <c r="B74" i="103"/>
  <c r="W34" i="135" s="1"/>
  <c r="AY88" i="103"/>
  <c r="BO88" i="103" s="1"/>
  <c r="AY84" i="103"/>
  <c r="BO84" i="103" s="1"/>
  <c r="AY80" i="103"/>
  <c r="BO80" i="103" s="1"/>
  <c r="AT68" i="103"/>
  <c r="AU68" i="103" s="1"/>
  <c r="Y68" i="103"/>
  <c r="AR68" i="103" s="1"/>
  <c r="AY68" i="103"/>
  <c r="BO68" i="103" s="1"/>
  <c r="AU64" i="103"/>
  <c r="AY64" i="103"/>
  <c r="BO64" i="103" s="1"/>
  <c r="AY56" i="103"/>
  <c r="BO56" i="103" s="1"/>
  <c r="AY48" i="103"/>
  <c r="BO48" i="103" s="1"/>
  <c r="AY87" i="103"/>
  <c r="BO87" i="103" s="1"/>
  <c r="AY85" i="103"/>
  <c r="BO85" i="103" s="1"/>
  <c r="AY83" i="103"/>
  <c r="BO83" i="103" s="1"/>
  <c r="AY81" i="103"/>
  <c r="BO81" i="103" s="1"/>
  <c r="AY79" i="103"/>
  <c r="BO79" i="103" s="1"/>
  <c r="AY78" i="103"/>
  <c r="BO78" i="103" s="1"/>
  <c r="AY77" i="103"/>
  <c r="BO77" i="103" s="1"/>
  <c r="AY76" i="103"/>
  <c r="BO76" i="103" s="1"/>
  <c r="AY67" i="103"/>
  <c r="BO67" i="103" s="1"/>
  <c r="P62" i="103"/>
  <c r="AT62" i="103"/>
  <c r="Y58" i="103"/>
  <c r="AR58" i="103" s="1"/>
  <c r="AT58" i="103"/>
  <c r="P56" i="103"/>
  <c r="AT56" i="103"/>
  <c r="P54" i="103"/>
  <c r="AT54" i="103"/>
  <c r="AU54" i="103" s="1"/>
  <c r="AT52" i="103"/>
  <c r="B73" i="103"/>
  <c r="W33" i="135" s="1"/>
  <c r="AQ73" i="103"/>
  <c r="AA73" i="103"/>
  <c r="AY89" i="103"/>
  <c r="BO89" i="103" s="1"/>
  <c r="AY86" i="103"/>
  <c r="BO86" i="103" s="1"/>
  <c r="AY82" i="103"/>
  <c r="BO82" i="103" s="1"/>
  <c r="P83" i="103"/>
  <c r="AT83" i="103"/>
  <c r="P81" i="103"/>
  <c r="AT81" i="103"/>
  <c r="P78" i="103"/>
  <c r="AT78" i="103"/>
  <c r="AY75" i="103"/>
  <c r="BO75" i="103" s="1"/>
  <c r="AY71" i="103"/>
  <c r="BO71" i="103" s="1"/>
  <c r="AY69" i="103"/>
  <c r="BO69" i="103" s="1"/>
  <c r="AT67" i="103"/>
  <c r="AU67" i="103" s="1"/>
  <c r="Y67" i="103"/>
  <c r="AR67" i="103" s="1"/>
  <c r="AU63" i="103"/>
  <c r="AY62" i="103"/>
  <c r="BO62" i="103" s="1"/>
  <c r="AY59" i="103"/>
  <c r="BO59" i="103" s="1"/>
  <c r="AU59" i="103"/>
  <c r="AY58" i="103"/>
  <c r="BO58" i="103" s="1"/>
  <c r="AY55" i="103"/>
  <c r="BO55" i="103" s="1"/>
  <c r="AY54" i="103"/>
  <c r="BO54" i="103" s="1"/>
  <c r="AY47" i="103"/>
  <c r="BO47" i="103" s="1"/>
  <c r="AY61" i="103"/>
  <c r="BO61" i="103" s="1"/>
  <c r="AY45" i="103"/>
  <c r="BO45" i="103" s="1"/>
  <c r="AY57" i="103"/>
  <c r="BO57" i="103" s="1"/>
  <c r="AY49" i="103"/>
  <c r="BO49" i="103" s="1"/>
  <c r="AA74" i="103"/>
  <c r="Y49" i="105"/>
  <c r="AB67" i="104"/>
  <c r="P67" i="104" s="1"/>
  <c r="AB68" i="104"/>
  <c r="P68" i="104" s="1"/>
  <c r="AB71" i="104"/>
  <c r="AB69" i="104"/>
  <c r="AB66" i="104"/>
  <c r="P66" i="104" s="1"/>
  <c r="AI75" i="24"/>
  <c r="I45" i="24"/>
  <c r="Q5" i="194" s="1"/>
  <c r="K46" i="24"/>
  <c r="P67" i="105"/>
  <c r="Y65" i="105"/>
  <c r="Y63" i="105"/>
  <c r="Y61" i="105"/>
  <c r="Y59" i="105"/>
  <c r="Y57" i="105"/>
  <c r="Y55" i="105"/>
  <c r="Y53" i="105"/>
  <c r="Y51" i="105"/>
  <c r="Y55" i="104"/>
  <c r="AO55" i="104" s="1"/>
  <c r="Y53" i="104"/>
  <c r="AO53" i="104" s="1"/>
  <c r="P64" i="103"/>
  <c r="Y60" i="103"/>
  <c r="AR60" i="103" s="1"/>
  <c r="P58" i="103"/>
  <c r="Y46" i="102"/>
  <c r="AO46" i="102" s="1"/>
  <c r="P66" i="102"/>
  <c r="Y52" i="102"/>
  <c r="AO52" i="102" s="1"/>
  <c r="Y56" i="102"/>
  <c r="AO56" i="102" s="1"/>
  <c r="Y54" i="102"/>
  <c r="AO54" i="102" s="1"/>
  <c r="P52" i="102"/>
  <c r="Y50" i="102"/>
  <c r="AO50" i="102" s="1"/>
  <c r="P48" i="102"/>
  <c r="P46" i="102"/>
  <c r="J68" i="101"/>
  <c r="Y44" i="101"/>
  <c r="AW44" i="101" s="1"/>
  <c r="Y64" i="105"/>
  <c r="J64" i="105"/>
  <c r="Y62" i="105"/>
  <c r="J62" i="105"/>
  <c r="Y60" i="105"/>
  <c r="J60" i="105"/>
  <c r="Y58" i="105"/>
  <c r="J58" i="105"/>
  <c r="Y56" i="105"/>
  <c r="J56" i="105"/>
  <c r="Y54" i="105"/>
  <c r="J54" i="105"/>
  <c r="Y52" i="105"/>
  <c r="J52" i="105"/>
  <c r="Y50" i="105"/>
  <c r="J49" i="105"/>
  <c r="J65" i="105"/>
  <c r="J61" i="105"/>
  <c r="J57" i="105"/>
  <c r="J53" i="105"/>
  <c r="P68" i="105"/>
  <c r="P66" i="105"/>
  <c r="P65" i="105"/>
  <c r="P64" i="105"/>
  <c r="P63" i="105"/>
  <c r="P62" i="105"/>
  <c r="P61" i="105"/>
  <c r="P60" i="105"/>
  <c r="P59" i="105"/>
  <c r="P58" i="105"/>
  <c r="P57" i="105"/>
  <c r="P56" i="105"/>
  <c r="P55" i="105"/>
  <c r="P54" i="105"/>
  <c r="P53" i="105"/>
  <c r="P52" i="105"/>
  <c r="P51" i="105"/>
  <c r="P50" i="105"/>
  <c r="J50" i="105"/>
  <c r="P49" i="105"/>
  <c r="P49" i="104"/>
  <c r="P47" i="104"/>
  <c r="P45" i="104"/>
  <c r="J49" i="104"/>
  <c r="J45" i="104"/>
  <c r="P65" i="104"/>
  <c r="P63" i="104"/>
  <c r="P55" i="104"/>
  <c r="P53" i="104"/>
  <c r="Y50" i="104"/>
  <c r="AO50" i="104" s="1"/>
  <c r="J50" i="104"/>
  <c r="Y48" i="104"/>
  <c r="AO48" i="104" s="1"/>
  <c r="J48" i="104"/>
  <c r="Y46" i="104"/>
  <c r="AO46" i="104" s="1"/>
  <c r="J46" i="104"/>
  <c r="Y44" i="104"/>
  <c r="AO44" i="104" s="1"/>
  <c r="J44" i="104"/>
  <c r="J60" i="104"/>
  <c r="J58" i="104"/>
  <c r="Y56" i="104"/>
  <c r="AO56" i="104" s="1"/>
  <c r="J56" i="104"/>
  <c r="Y54" i="104"/>
  <c r="AO54" i="104" s="1"/>
  <c r="J54" i="104"/>
  <c r="Y52" i="104"/>
  <c r="AO52" i="104" s="1"/>
  <c r="J52" i="104"/>
  <c r="J47" i="104"/>
  <c r="Y51" i="104"/>
  <c r="AO51" i="104" s="1"/>
  <c r="J63" i="103"/>
  <c r="Y59" i="103"/>
  <c r="AR59" i="103" s="1"/>
  <c r="J59" i="103"/>
  <c r="Y55" i="103"/>
  <c r="AR55" i="103" s="1"/>
  <c r="J55" i="103"/>
  <c r="Y53" i="103"/>
  <c r="AR53" i="103" s="1"/>
  <c r="J53" i="103"/>
  <c r="J51" i="103"/>
  <c r="Y49" i="103"/>
  <c r="AR49" i="103" s="1"/>
  <c r="J49" i="103"/>
  <c r="J47" i="103"/>
  <c r="Y45" i="103"/>
  <c r="AR45" i="103" s="1"/>
  <c r="J45" i="103"/>
  <c r="P68" i="103"/>
  <c r="Y56" i="103"/>
  <c r="AR56" i="103" s="1"/>
  <c r="Y54" i="103"/>
  <c r="AR54" i="103" s="1"/>
  <c r="J64" i="103"/>
  <c r="J60" i="103"/>
  <c r="J56" i="103"/>
  <c r="P63" i="103"/>
  <c r="P60" i="103"/>
  <c r="P59" i="103"/>
  <c r="J62" i="103"/>
  <c r="J58" i="103"/>
  <c r="J54" i="103"/>
  <c r="J61" i="102"/>
  <c r="J59" i="102"/>
  <c r="Y57" i="102"/>
  <c r="AO57" i="102" s="1"/>
  <c r="J57" i="102"/>
  <c r="Y55" i="102"/>
  <c r="AO55" i="102" s="1"/>
  <c r="J55" i="102"/>
  <c r="Y53" i="102"/>
  <c r="AO53" i="102" s="1"/>
  <c r="J53" i="102"/>
  <c r="Y51" i="102"/>
  <c r="AO51" i="102" s="1"/>
  <c r="J51" i="102"/>
  <c r="Y49" i="102"/>
  <c r="AO49" i="102" s="1"/>
  <c r="J49" i="102"/>
  <c r="Y47" i="102"/>
  <c r="AO47" i="102" s="1"/>
  <c r="J47" i="102"/>
  <c r="Y45" i="102"/>
  <c r="AO45" i="102" s="1"/>
  <c r="J45" i="102"/>
  <c r="Y44" i="102"/>
  <c r="AO44" i="102" s="1"/>
  <c r="J56" i="102"/>
  <c r="J52" i="102"/>
  <c r="J48" i="102"/>
  <c r="J44" i="102"/>
  <c r="P64" i="102"/>
  <c r="P61" i="102"/>
  <c r="P59" i="102"/>
  <c r="P58" i="102"/>
  <c r="P57" i="102"/>
  <c r="P55" i="102"/>
  <c r="P54" i="102"/>
  <c r="P53" i="102"/>
  <c r="P51" i="102"/>
  <c r="P49" i="102"/>
  <c r="J58" i="102"/>
  <c r="J54" i="102"/>
  <c r="J50" i="102"/>
  <c r="J46" i="102"/>
  <c r="J57" i="101"/>
  <c r="J53" i="101"/>
  <c r="J51" i="101"/>
  <c r="J49" i="101"/>
  <c r="J47" i="101"/>
  <c r="J45" i="101"/>
  <c r="J56" i="101"/>
  <c r="J52" i="101"/>
  <c r="J48" i="101"/>
  <c r="J44" i="101"/>
  <c r="P65" i="101"/>
  <c r="P61" i="101"/>
  <c r="P57" i="101"/>
  <c r="P53" i="101"/>
  <c r="P52" i="101"/>
  <c r="P51" i="101"/>
  <c r="P50" i="101"/>
  <c r="P49" i="101"/>
  <c r="P48" i="101"/>
  <c r="P47" i="101"/>
  <c r="P46" i="101"/>
  <c r="P45" i="101"/>
  <c r="P44" i="101"/>
  <c r="N88" i="19"/>
  <c r="O86" i="19"/>
  <c r="N86" i="19" s="1"/>
  <c r="O84" i="19"/>
  <c r="N84" i="19" s="1"/>
  <c r="O82" i="19"/>
  <c r="N82" i="19" s="1"/>
  <c r="O80" i="19"/>
  <c r="N80" i="19" s="1"/>
  <c r="O78" i="19"/>
  <c r="N78" i="19" s="1"/>
  <c r="O75" i="19"/>
  <c r="O76" i="19" s="1"/>
  <c r="N76" i="19" s="1"/>
  <c r="N77" i="19"/>
  <c r="N79" i="19"/>
  <c r="N81" i="19"/>
  <c r="N83" i="19"/>
  <c r="N85" i="19"/>
  <c r="N87" i="19"/>
  <c r="N74" i="19"/>
  <c r="Q77" i="29"/>
  <c r="Q79" i="29"/>
  <c r="Q81" i="29"/>
  <c r="Q83" i="29"/>
  <c r="Q85" i="29"/>
  <c r="Q87" i="29"/>
  <c r="Q74" i="29"/>
  <c r="R86" i="29"/>
  <c r="Q86" i="29" s="1"/>
  <c r="R84" i="29"/>
  <c r="Q84" i="29" s="1"/>
  <c r="R82" i="29"/>
  <c r="Q82" i="29" s="1"/>
  <c r="R80" i="29"/>
  <c r="Q80" i="29" s="1"/>
  <c r="R78" i="29"/>
  <c r="Q78" i="29" s="1"/>
  <c r="R75" i="29"/>
  <c r="R76" i="29" s="1"/>
  <c r="Q76" i="29" s="1"/>
  <c r="I79" i="29"/>
  <c r="I80" i="29"/>
  <c r="I81" i="29"/>
  <c r="AE81" i="29" s="1"/>
  <c r="I82" i="29"/>
  <c r="I83" i="29"/>
  <c r="I84" i="29"/>
  <c r="AE84" i="29" s="1"/>
  <c r="I85" i="29"/>
  <c r="AE85" i="29" s="1"/>
  <c r="I86" i="29"/>
  <c r="AE86" i="29" s="1"/>
  <c r="I87" i="29"/>
  <c r="I88" i="29"/>
  <c r="AE88" i="29" s="1"/>
  <c r="I89" i="29"/>
  <c r="AE89" i="29" s="1"/>
  <c r="O86" i="63"/>
  <c r="O84" i="63"/>
  <c r="O82" i="63"/>
  <c r="O80" i="63"/>
  <c r="N80" i="63" s="1"/>
  <c r="O78" i="63"/>
  <c r="N78" i="63" s="1"/>
  <c r="O75" i="63"/>
  <c r="O76" i="63" s="1"/>
  <c r="O73" i="63"/>
  <c r="AA90" i="27"/>
  <c r="S89" i="27"/>
  <c r="I89" i="27"/>
  <c r="Q50" i="193" s="1"/>
  <c r="S88" i="27"/>
  <c r="I88" i="27"/>
  <c r="S87" i="27"/>
  <c r="I87" i="27"/>
  <c r="Q48" i="193" s="1"/>
  <c r="S86" i="27"/>
  <c r="I86" i="27"/>
  <c r="Q47" i="193" s="1"/>
  <c r="S85" i="27"/>
  <c r="I85" i="27"/>
  <c r="Q46" i="193" s="1"/>
  <c r="S84" i="27"/>
  <c r="I84" i="27"/>
  <c r="Q45" i="193" s="1"/>
  <c r="S83" i="27"/>
  <c r="I83" i="27"/>
  <c r="Q44" i="193" s="1"/>
  <c r="S82" i="27"/>
  <c r="I82" i="27"/>
  <c r="Q43" i="193" s="1"/>
  <c r="S81" i="27"/>
  <c r="I81" i="27"/>
  <c r="Q42" i="193" s="1"/>
  <c r="S80" i="27"/>
  <c r="I80" i="27"/>
  <c r="Q41" i="193" s="1"/>
  <c r="S79" i="27"/>
  <c r="I79" i="27"/>
  <c r="Q40" i="193" s="1"/>
  <c r="S78" i="27"/>
  <c r="K78" i="27"/>
  <c r="I78" i="27" s="1"/>
  <c r="Q39" i="193" s="1"/>
  <c r="F78" i="27"/>
  <c r="H78" i="27" s="1"/>
  <c r="S77" i="27"/>
  <c r="K77" i="27"/>
  <c r="I77" i="27" s="1"/>
  <c r="Q38" i="193" s="1"/>
  <c r="F77" i="27"/>
  <c r="H77" i="27" s="1"/>
  <c r="S76" i="27"/>
  <c r="K76" i="27"/>
  <c r="I76" i="27" s="1"/>
  <c r="Q37" i="193" s="1"/>
  <c r="F76" i="27"/>
  <c r="H76" i="27" s="1"/>
  <c r="S75" i="27"/>
  <c r="K75" i="27"/>
  <c r="I75" i="27" s="1"/>
  <c r="Q36" i="193" s="1"/>
  <c r="F75" i="27"/>
  <c r="H75" i="27" s="1"/>
  <c r="S74" i="27"/>
  <c r="F74" i="27"/>
  <c r="H74" i="27" s="1"/>
  <c r="I74" i="27" s="1"/>
  <c r="Q35" i="193" s="1"/>
  <c r="S73" i="27"/>
  <c r="F73" i="27"/>
  <c r="H73" i="27" s="1"/>
  <c r="I73" i="27" s="1"/>
  <c r="Q34" i="193" s="1"/>
  <c r="S72" i="27"/>
  <c r="F72" i="27"/>
  <c r="H72" i="27" s="1"/>
  <c r="I72" i="27" s="1"/>
  <c r="Q33" i="193" s="1"/>
  <c r="S71" i="27"/>
  <c r="F71" i="27"/>
  <c r="H71" i="27" s="1"/>
  <c r="I71" i="27" s="1"/>
  <c r="Q32" i="193" s="1"/>
  <c r="S70" i="27"/>
  <c r="F70" i="27"/>
  <c r="H70" i="27" s="1"/>
  <c r="I70" i="27" s="1"/>
  <c r="Q31" i="193" s="1"/>
  <c r="S69" i="27"/>
  <c r="F69" i="27"/>
  <c r="H69" i="27" s="1"/>
  <c r="I69" i="27" s="1"/>
  <c r="Q30" i="193" s="1"/>
  <c r="S68" i="27"/>
  <c r="F68" i="27"/>
  <c r="H68" i="27" s="1"/>
  <c r="I68" i="27" s="1"/>
  <c r="Q29" i="193" s="1"/>
  <c r="S67" i="27"/>
  <c r="F67" i="27"/>
  <c r="S66" i="27"/>
  <c r="F66" i="27"/>
  <c r="H66" i="27" s="1"/>
  <c r="I66" i="27" s="1"/>
  <c r="Q27" i="193" s="1"/>
  <c r="S65" i="27"/>
  <c r="F65" i="27"/>
  <c r="H65" i="27" s="1"/>
  <c r="I65" i="27" s="1"/>
  <c r="Q26" i="193" s="1"/>
  <c r="S64" i="27"/>
  <c r="F64" i="27"/>
  <c r="H64" i="27" s="1"/>
  <c r="I64" i="27" s="1"/>
  <c r="Q25" i="193" s="1"/>
  <c r="S63" i="27"/>
  <c r="F63" i="27"/>
  <c r="H63" i="27" s="1"/>
  <c r="I63" i="27" s="1"/>
  <c r="Q24" i="193" s="1"/>
  <c r="S62" i="27"/>
  <c r="F62" i="27"/>
  <c r="H62" i="27" s="1"/>
  <c r="I62" i="27" s="1"/>
  <c r="Q23" i="193" s="1"/>
  <c r="S61" i="27"/>
  <c r="F61" i="27"/>
  <c r="H61" i="27" s="1"/>
  <c r="I61" i="27" s="1"/>
  <c r="Q22" i="193" s="1"/>
  <c r="S60" i="27"/>
  <c r="F60" i="27"/>
  <c r="H60" i="27" s="1"/>
  <c r="I60" i="27" s="1"/>
  <c r="Q21" i="193" s="1"/>
  <c r="S59" i="27"/>
  <c r="F59" i="27"/>
  <c r="H59" i="27" s="1"/>
  <c r="I59" i="27" s="1"/>
  <c r="S58" i="27"/>
  <c r="F58" i="27"/>
  <c r="H58" i="27" s="1"/>
  <c r="I58" i="27" s="1"/>
  <c r="Q19" i="193" s="1"/>
  <c r="S57" i="27"/>
  <c r="F57" i="27"/>
  <c r="H57" i="27" s="1"/>
  <c r="I57" i="27" s="1"/>
  <c r="Q18" i="193" s="1"/>
  <c r="S56" i="27"/>
  <c r="F56" i="27"/>
  <c r="H56" i="27" s="1"/>
  <c r="I56" i="27" s="1"/>
  <c r="Q17" i="193" s="1"/>
  <c r="S55" i="27"/>
  <c r="F55" i="27"/>
  <c r="H55" i="27" s="1"/>
  <c r="I55" i="27" s="1"/>
  <c r="Q16" i="193" s="1"/>
  <c r="S54" i="27"/>
  <c r="F54" i="27"/>
  <c r="H54" i="27" s="1"/>
  <c r="I54" i="27" s="1"/>
  <c r="Q15" i="193" s="1"/>
  <c r="S53" i="27"/>
  <c r="F53" i="27"/>
  <c r="H53" i="27" s="1"/>
  <c r="I53" i="27" s="1"/>
  <c r="Q14" i="193" s="1"/>
  <c r="S52" i="27"/>
  <c r="F52" i="27"/>
  <c r="H52" i="27" s="1"/>
  <c r="I52" i="27" s="1"/>
  <c r="Q13" i="193" s="1"/>
  <c r="S51" i="27"/>
  <c r="F51" i="27"/>
  <c r="H51" i="27" s="1"/>
  <c r="I51" i="27" s="1"/>
  <c r="Q12" i="193" s="1"/>
  <c r="S50" i="27"/>
  <c r="F50" i="27"/>
  <c r="H50" i="27" s="1"/>
  <c r="I50" i="27" s="1"/>
  <c r="Q11" i="193" s="1"/>
  <c r="S49" i="27"/>
  <c r="F49" i="27"/>
  <c r="H49" i="27" s="1"/>
  <c r="I49" i="27" s="1"/>
  <c r="Q10" i="193" s="1"/>
  <c r="S48" i="27"/>
  <c r="F48" i="27"/>
  <c r="H48" i="27" s="1"/>
  <c r="I48" i="27" s="1"/>
  <c r="Q9" i="193" s="1"/>
  <c r="S47" i="27"/>
  <c r="F47" i="27"/>
  <c r="H47" i="27" s="1"/>
  <c r="I47" i="27" s="1"/>
  <c r="Q8" i="193" s="1"/>
  <c r="S46" i="27"/>
  <c r="F46" i="27"/>
  <c r="H46" i="27" s="1"/>
  <c r="I46" i="27" s="1"/>
  <c r="Q7" i="193" s="1"/>
  <c r="S45" i="27"/>
  <c r="F45" i="27"/>
  <c r="H45" i="27" s="1"/>
  <c r="I45" i="27" s="1"/>
  <c r="Q6" i="193" s="1"/>
  <c r="S44" i="27"/>
  <c r="F44" i="27"/>
  <c r="H44" i="27" s="1"/>
  <c r="I44" i="27" s="1"/>
  <c r="Q5" i="193" s="1"/>
  <c r="I89" i="26"/>
  <c r="I88" i="26"/>
  <c r="S87" i="26"/>
  <c r="BA87" i="26" s="1"/>
  <c r="AZ87" i="26" s="1"/>
  <c r="I87" i="26"/>
  <c r="S86" i="26"/>
  <c r="BA86" i="26" s="1"/>
  <c r="AZ86" i="26" s="1"/>
  <c r="I86" i="26"/>
  <c r="S85" i="26"/>
  <c r="BA85" i="26" s="1"/>
  <c r="AZ85" i="26" s="1"/>
  <c r="I85" i="26"/>
  <c r="S84" i="26"/>
  <c r="BA84" i="26" s="1"/>
  <c r="AZ84" i="26" s="1"/>
  <c r="I84" i="26"/>
  <c r="S83" i="26"/>
  <c r="BA83" i="26" s="1"/>
  <c r="AZ83" i="26" s="1"/>
  <c r="I83" i="26"/>
  <c r="S82" i="26"/>
  <c r="BA82" i="26" s="1"/>
  <c r="AZ82" i="26" s="1"/>
  <c r="I82" i="26"/>
  <c r="S81" i="26"/>
  <c r="BA81" i="26" s="1"/>
  <c r="AZ81" i="26" s="1"/>
  <c r="I81" i="26"/>
  <c r="S80" i="26"/>
  <c r="BA80" i="26" s="1"/>
  <c r="AZ80" i="26" s="1"/>
  <c r="I80" i="26"/>
  <c r="S79" i="26"/>
  <c r="BA79" i="26" s="1"/>
  <c r="AZ79" i="26" s="1"/>
  <c r="I79" i="26"/>
  <c r="S78" i="26"/>
  <c r="BA78" i="26" s="1"/>
  <c r="AZ78" i="26" s="1"/>
  <c r="K78" i="26"/>
  <c r="I78" i="26" s="1"/>
  <c r="F78" i="26"/>
  <c r="H78" i="26" s="1"/>
  <c r="S77" i="26"/>
  <c r="BA77" i="26" s="1"/>
  <c r="AZ77" i="26" s="1"/>
  <c r="K77" i="26"/>
  <c r="I77" i="26" s="1"/>
  <c r="F77" i="26"/>
  <c r="H77" i="26" s="1"/>
  <c r="S76" i="26"/>
  <c r="BA76" i="26" s="1"/>
  <c r="AZ76" i="26" s="1"/>
  <c r="K76" i="26"/>
  <c r="I76" i="26" s="1"/>
  <c r="F76" i="26"/>
  <c r="H76" i="26" s="1"/>
  <c r="S75" i="26"/>
  <c r="BA75" i="26" s="1"/>
  <c r="AZ75" i="26" s="1"/>
  <c r="K75" i="26"/>
  <c r="I75" i="26" s="1"/>
  <c r="F75" i="26"/>
  <c r="H75" i="26" s="1"/>
  <c r="S74" i="26"/>
  <c r="BA74" i="26" s="1"/>
  <c r="AZ74" i="26" s="1"/>
  <c r="K74" i="26"/>
  <c r="I74" i="26" s="1"/>
  <c r="F74" i="26"/>
  <c r="H74" i="26" s="1"/>
  <c r="S73" i="26"/>
  <c r="BA73" i="26" s="1"/>
  <c r="AZ73" i="26" s="1"/>
  <c r="K73" i="26"/>
  <c r="I73" i="26" s="1"/>
  <c r="F73" i="26"/>
  <c r="H73" i="26" s="1"/>
  <c r="S72" i="26"/>
  <c r="BA72" i="26" s="1"/>
  <c r="AZ72" i="26" s="1"/>
  <c r="K72" i="26"/>
  <c r="I72" i="26" s="1"/>
  <c r="F72" i="26"/>
  <c r="H72" i="26" s="1"/>
  <c r="S71" i="26"/>
  <c r="BA71" i="26" s="1"/>
  <c r="AZ71" i="26" s="1"/>
  <c r="K71" i="26"/>
  <c r="I71" i="26" s="1"/>
  <c r="F71" i="26"/>
  <c r="H71" i="26" s="1"/>
  <c r="S70" i="26"/>
  <c r="BA70" i="26" s="1"/>
  <c r="AZ70" i="26" s="1"/>
  <c r="K70" i="26"/>
  <c r="I70" i="26" s="1"/>
  <c r="F70" i="26"/>
  <c r="H70" i="26" s="1"/>
  <c r="S69" i="26"/>
  <c r="BA69" i="26" s="1"/>
  <c r="AZ69" i="26" s="1"/>
  <c r="K69" i="26"/>
  <c r="F69" i="26"/>
  <c r="H69" i="26" s="1"/>
  <c r="S68" i="26"/>
  <c r="BA68" i="26" s="1"/>
  <c r="AZ68" i="26" s="1"/>
  <c r="F68" i="26"/>
  <c r="H68" i="26" s="1"/>
  <c r="S67" i="26"/>
  <c r="BA67" i="26" s="1"/>
  <c r="AZ67" i="26" s="1"/>
  <c r="F67" i="26"/>
  <c r="H67" i="26" s="1"/>
  <c r="S66" i="26"/>
  <c r="BA66" i="26" s="1"/>
  <c r="AZ66" i="26" s="1"/>
  <c r="F66" i="26"/>
  <c r="H66" i="26" s="1"/>
  <c r="S65" i="26"/>
  <c r="BA65" i="26" s="1"/>
  <c r="AZ65" i="26" s="1"/>
  <c r="F65" i="26"/>
  <c r="H65" i="26" s="1"/>
  <c r="S64" i="26"/>
  <c r="BA64" i="26" s="1"/>
  <c r="AZ64" i="26" s="1"/>
  <c r="F64" i="26"/>
  <c r="H64" i="26" s="1"/>
  <c r="S63" i="26"/>
  <c r="BA63" i="26" s="1"/>
  <c r="AZ63" i="26" s="1"/>
  <c r="F63" i="26"/>
  <c r="H63" i="26" s="1"/>
  <c r="S62" i="26"/>
  <c r="BA62" i="26" s="1"/>
  <c r="AZ62" i="26" s="1"/>
  <c r="F62" i="26"/>
  <c r="H62" i="26" s="1"/>
  <c r="S61" i="26"/>
  <c r="BA61" i="26" s="1"/>
  <c r="AZ61" i="26" s="1"/>
  <c r="F61" i="26"/>
  <c r="H61" i="26" s="1"/>
  <c r="S60" i="26"/>
  <c r="BA60" i="26" s="1"/>
  <c r="AZ60" i="26" s="1"/>
  <c r="F60" i="26"/>
  <c r="H60" i="26" s="1"/>
  <c r="S59" i="26"/>
  <c r="BA59" i="26" s="1"/>
  <c r="AZ59" i="26" s="1"/>
  <c r="F59" i="26"/>
  <c r="H59" i="26" s="1"/>
  <c r="S58" i="26"/>
  <c r="BA58" i="26" s="1"/>
  <c r="AZ58" i="26" s="1"/>
  <c r="F58" i="26"/>
  <c r="H58" i="26" s="1"/>
  <c r="S57" i="26"/>
  <c r="BA57" i="26" s="1"/>
  <c r="AZ57" i="26" s="1"/>
  <c r="F57" i="26"/>
  <c r="H57" i="26" s="1"/>
  <c r="S56" i="26"/>
  <c r="BA56" i="26" s="1"/>
  <c r="AZ56" i="26" s="1"/>
  <c r="F56" i="26"/>
  <c r="H56" i="26" s="1"/>
  <c r="S55" i="26"/>
  <c r="BA55" i="26" s="1"/>
  <c r="AZ55" i="26" s="1"/>
  <c r="F55" i="26"/>
  <c r="H55" i="26" s="1"/>
  <c r="S54" i="26"/>
  <c r="BA54" i="26" s="1"/>
  <c r="AZ54" i="26" s="1"/>
  <c r="F54" i="26"/>
  <c r="H54" i="26" s="1"/>
  <c r="S53" i="26"/>
  <c r="BA53" i="26" s="1"/>
  <c r="AZ53" i="26" s="1"/>
  <c r="F53" i="26"/>
  <c r="H53" i="26" s="1"/>
  <c r="S52" i="26"/>
  <c r="BA52" i="26" s="1"/>
  <c r="AZ52" i="26" s="1"/>
  <c r="F52" i="26"/>
  <c r="H52" i="26" s="1"/>
  <c r="S51" i="26"/>
  <c r="BA51" i="26" s="1"/>
  <c r="AZ51" i="26" s="1"/>
  <c r="F51" i="26"/>
  <c r="H51" i="26" s="1"/>
  <c r="S50" i="26"/>
  <c r="BA50" i="26" s="1"/>
  <c r="AZ50" i="26" s="1"/>
  <c r="F50" i="26"/>
  <c r="H50" i="26" s="1"/>
  <c r="S49" i="26"/>
  <c r="BA49" i="26" s="1"/>
  <c r="AZ49" i="26" s="1"/>
  <c r="F49" i="26"/>
  <c r="H49" i="26" s="1"/>
  <c r="S48" i="26"/>
  <c r="BA48" i="26" s="1"/>
  <c r="AZ48" i="26" s="1"/>
  <c r="F48" i="26"/>
  <c r="H48" i="26" s="1"/>
  <c r="S47" i="26"/>
  <c r="BA47" i="26" s="1"/>
  <c r="AZ47" i="26" s="1"/>
  <c r="F47" i="26"/>
  <c r="H47" i="26" s="1"/>
  <c r="S46" i="26"/>
  <c r="BA46" i="26" s="1"/>
  <c r="AZ46" i="26" s="1"/>
  <c r="F46" i="26"/>
  <c r="H46" i="26" s="1"/>
  <c r="S45" i="26"/>
  <c r="BA45" i="26" s="1"/>
  <c r="AZ45" i="26" s="1"/>
  <c r="F45" i="26"/>
  <c r="H45" i="26" s="1"/>
  <c r="S44" i="26"/>
  <c r="BA44" i="26" s="1"/>
  <c r="AZ44" i="26" s="1"/>
  <c r="F44" i="26"/>
  <c r="H44" i="26" s="1"/>
  <c r="AB90" i="25"/>
  <c r="AQ90" i="25" s="1"/>
  <c r="AX90" i="25" s="1"/>
  <c r="S89" i="25"/>
  <c r="BA89" i="25" s="1"/>
  <c r="AZ89" i="25" s="1"/>
  <c r="I89" i="25"/>
  <c r="AA89" i="25" s="1"/>
  <c r="I88" i="25"/>
  <c r="S87" i="25"/>
  <c r="BA87" i="25" s="1"/>
  <c r="AZ87" i="25" s="1"/>
  <c r="I87" i="25"/>
  <c r="S86" i="25"/>
  <c r="BA86" i="25" s="1"/>
  <c r="AZ86" i="25" s="1"/>
  <c r="I86" i="25"/>
  <c r="S85" i="25"/>
  <c r="BA85" i="25" s="1"/>
  <c r="AZ85" i="25" s="1"/>
  <c r="I85" i="25"/>
  <c r="S84" i="25"/>
  <c r="BA84" i="25" s="1"/>
  <c r="AZ84" i="25" s="1"/>
  <c r="I84" i="25"/>
  <c r="S83" i="25"/>
  <c r="BA83" i="25" s="1"/>
  <c r="AZ83" i="25" s="1"/>
  <c r="I83" i="25"/>
  <c r="S82" i="25"/>
  <c r="BA82" i="25" s="1"/>
  <c r="AZ82" i="25" s="1"/>
  <c r="I82" i="25"/>
  <c r="S81" i="25"/>
  <c r="BA81" i="25" s="1"/>
  <c r="AZ81" i="25" s="1"/>
  <c r="I81" i="25"/>
  <c r="S80" i="25"/>
  <c r="BA80" i="25" s="1"/>
  <c r="AZ80" i="25" s="1"/>
  <c r="I80" i="25"/>
  <c r="S79" i="25"/>
  <c r="BA79" i="25" s="1"/>
  <c r="AZ79" i="25" s="1"/>
  <c r="I79" i="25"/>
  <c r="S78" i="25"/>
  <c r="BA78" i="25" s="1"/>
  <c r="AZ78" i="25" s="1"/>
  <c r="K78" i="25"/>
  <c r="I78" i="25" s="1"/>
  <c r="F78" i="25"/>
  <c r="H78" i="25" s="1"/>
  <c r="S77" i="25"/>
  <c r="BA77" i="25" s="1"/>
  <c r="AZ77" i="25" s="1"/>
  <c r="K77" i="25"/>
  <c r="I77" i="25" s="1"/>
  <c r="F77" i="25"/>
  <c r="H77" i="25" s="1"/>
  <c r="S76" i="25"/>
  <c r="BA76" i="25" s="1"/>
  <c r="AZ76" i="25" s="1"/>
  <c r="K76" i="25"/>
  <c r="F76" i="25"/>
  <c r="H76" i="25" s="1"/>
  <c r="I76" i="25" s="1"/>
  <c r="S75" i="25"/>
  <c r="BA75" i="25" s="1"/>
  <c r="AZ75" i="25" s="1"/>
  <c r="K75" i="25"/>
  <c r="AA75" i="25" s="1"/>
  <c r="AP75" i="25" s="1"/>
  <c r="F75" i="25"/>
  <c r="H75" i="25" s="1"/>
  <c r="I75" i="25" s="1"/>
  <c r="S74" i="25"/>
  <c r="BA74" i="25" s="1"/>
  <c r="AZ74" i="25" s="1"/>
  <c r="K74" i="25"/>
  <c r="F74" i="25"/>
  <c r="H74" i="25" s="1"/>
  <c r="I74" i="25" s="1"/>
  <c r="S73" i="25"/>
  <c r="BA73" i="25" s="1"/>
  <c r="AZ73" i="25" s="1"/>
  <c r="K73" i="25"/>
  <c r="F73" i="25"/>
  <c r="H73" i="25" s="1"/>
  <c r="I73" i="25" s="1"/>
  <c r="S72" i="25"/>
  <c r="BA72" i="25" s="1"/>
  <c r="AZ72" i="25" s="1"/>
  <c r="K72" i="25"/>
  <c r="F72" i="25"/>
  <c r="H72" i="25" s="1"/>
  <c r="I72" i="25" s="1"/>
  <c r="S71" i="25"/>
  <c r="BA71" i="25" s="1"/>
  <c r="AZ71" i="25" s="1"/>
  <c r="K71" i="25"/>
  <c r="F71" i="25"/>
  <c r="H71" i="25" s="1"/>
  <c r="I71" i="25" s="1"/>
  <c r="S70" i="25"/>
  <c r="BA70" i="25" s="1"/>
  <c r="AZ70" i="25" s="1"/>
  <c r="K70" i="25"/>
  <c r="F70" i="25"/>
  <c r="H70" i="25" s="1"/>
  <c r="I70" i="25" s="1"/>
  <c r="S69" i="25"/>
  <c r="BA69" i="25" s="1"/>
  <c r="AZ69" i="25" s="1"/>
  <c r="K69" i="25"/>
  <c r="F69" i="25"/>
  <c r="H69" i="25" s="1"/>
  <c r="I69" i="25" s="1"/>
  <c r="S68" i="25"/>
  <c r="BA68" i="25" s="1"/>
  <c r="AZ68" i="25" s="1"/>
  <c r="F68" i="25"/>
  <c r="H68" i="25" s="1"/>
  <c r="I68" i="25" s="1"/>
  <c r="S67" i="25"/>
  <c r="BA67" i="25" s="1"/>
  <c r="AZ67" i="25" s="1"/>
  <c r="F67" i="25"/>
  <c r="H67" i="25" s="1"/>
  <c r="I67" i="25" s="1"/>
  <c r="S66" i="25"/>
  <c r="BA66" i="25" s="1"/>
  <c r="AZ66" i="25" s="1"/>
  <c r="F66" i="25"/>
  <c r="H66" i="25" s="1"/>
  <c r="I66" i="25" s="1"/>
  <c r="S65" i="25"/>
  <c r="BA65" i="25" s="1"/>
  <c r="AZ65" i="25" s="1"/>
  <c r="F65" i="25"/>
  <c r="H65" i="25" s="1"/>
  <c r="I65" i="25" s="1"/>
  <c r="S64" i="25"/>
  <c r="BA64" i="25" s="1"/>
  <c r="AZ64" i="25" s="1"/>
  <c r="F64" i="25"/>
  <c r="H64" i="25" s="1"/>
  <c r="I64" i="25" s="1"/>
  <c r="S63" i="25"/>
  <c r="BA63" i="25" s="1"/>
  <c r="AZ63" i="25" s="1"/>
  <c r="F63" i="25"/>
  <c r="H63" i="25" s="1"/>
  <c r="I63" i="25" s="1"/>
  <c r="S62" i="25"/>
  <c r="BA62" i="25" s="1"/>
  <c r="AZ62" i="25" s="1"/>
  <c r="F62" i="25"/>
  <c r="H62" i="25" s="1"/>
  <c r="I62" i="25" s="1"/>
  <c r="S61" i="25"/>
  <c r="BA61" i="25" s="1"/>
  <c r="AZ61" i="25" s="1"/>
  <c r="F61" i="25"/>
  <c r="H61" i="25" s="1"/>
  <c r="I61" i="25" s="1"/>
  <c r="S60" i="25"/>
  <c r="BA60" i="25" s="1"/>
  <c r="AZ60" i="25" s="1"/>
  <c r="F60" i="25"/>
  <c r="H60" i="25" s="1"/>
  <c r="I60" i="25" s="1"/>
  <c r="S59" i="25"/>
  <c r="BA59" i="25" s="1"/>
  <c r="AZ59" i="25" s="1"/>
  <c r="F59" i="25"/>
  <c r="H59" i="25" s="1"/>
  <c r="I59" i="25" s="1"/>
  <c r="S58" i="25"/>
  <c r="BA58" i="25" s="1"/>
  <c r="AZ58" i="25" s="1"/>
  <c r="F58" i="25"/>
  <c r="H58" i="25" s="1"/>
  <c r="I58" i="25" s="1"/>
  <c r="S57" i="25"/>
  <c r="BA57" i="25" s="1"/>
  <c r="AZ57" i="25" s="1"/>
  <c r="F57" i="25"/>
  <c r="H57" i="25" s="1"/>
  <c r="I57" i="25" s="1"/>
  <c r="S56" i="25"/>
  <c r="BA56" i="25" s="1"/>
  <c r="AZ56" i="25" s="1"/>
  <c r="F56" i="25"/>
  <c r="H56" i="25" s="1"/>
  <c r="I56" i="25" s="1"/>
  <c r="S55" i="25"/>
  <c r="BA55" i="25" s="1"/>
  <c r="AZ55" i="25" s="1"/>
  <c r="F55" i="25"/>
  <c r="H55" i="25" s="1"/>
  <c r="I55" i="25" s="1"/>
  <c r="S54" i="25"/>
  <c r="BA54" i="25" s="1"/>
  <c r="AZ54" i="25" s="1"/>
  <c r="F54" i="25"/>
  <c r="H54" i="25" s="1"/>
  <c r="I54" i="25" s="1"/>
  <c r="S53" i="25"/>
  <c r="BA53" i="25" s="1"/>
  <c r="AZ53" i="25" s="1"/>
  <c r="F53" i="25"/>
  <c r="H53" i="25" s="1"/>
  <c r="I53" i="25" s="1"/>
  <c r="S52" i="25"/>
  <c r="BA52" i="25" s="1"/>
  <c r="AZ52" i="25" s="1"/>
  <c r="F52" i="25"/>
  <c r="H52" i="25" s="1"/>
  <c r="I52" i="25" s="1"/>
  <c r="S51" i="25"/>
  <c r="BA51" i="25" s="1"/>
  <c r="AZ51" i="25" s="1"/>
  <c r="F51" i="25"/>
  <c r="H51" i="25" s="1"/>
  <c r="I51" i="25" s="1"/>
  <c r="S50" i="25"/>
  <c r="BA50" i="25" s="1"/>
  <c r="AZ50" i="25" s="1"/>
  <c r="F50" i="25"/>
  <c r="H50" i="25" s="1"/>
  <c r="I50" i="25" s="1"/>
  <c r="Q49" i="25"/>
  <c r="F49" i="25"/>
  <c r="H49" i="25" s="1"/>
  <c r="I49" i="25" s="1"/>
  <c r="Q48" i="25"/>
  <c r="F48" i="25"/>
  <c r="H48" i="25" s="1"/>
  <c r="I48" i="25" s="1"/>
  <c r="Q47" i="25"/>
  <c r="F47" i="25"/>
  <c r="H47" i="25" s="1"/>
  <c r="I47" i="25" s="1"/>
  <c r="Q46" i="25"/>
  <c r="F46" i="25"/>
  <c r="H46" i="25" s="1"/>
  <c r="I46" i="25" s="1"/>
  <c r="Q45" i="25"/>
  <c r="F45" i="25"/>
  <c r="H45" i="25" s="1"/>
  <c r="I45" i="25" s="1"/>
  <c r="Q44" i="25"/>
  <c r="F44" i="25"/>
  <c r="H44" i="25" s="1"/>
  <c r="I44" i="25" s="1"/>
  <c r="R123" i="24"/>
  <c r="AJ89" i="24"/>
  <c r="AF89" i="24" s="1"/>
  <c r="AJ88" i="24"/>
  <c r="AF88" i="24" s="1"/>
  <c r="Y87" i="24"/>
  <c r="AJ87" i="24"/>
  <c r="AF87" i="24" s="1"/>
  <c r="Y86" i="24"/>
  <c r="AJ86" i="24"/>
  <c r="AF86" i="24" s="1"/>
  <c r="Y85" i="24"/>
  <c r="AJ85" i="24"/>
  <c r="AF85" i="24" s="1"/>
  <c r="Y84" i="24"/>
  <c r="AJ84" i="24"/>
  <c r="AF84" i="24" s="1"/>
  <c r="Y83" i="24"/>
  <c r="AJ83" i="24"/>
  <c r="AF83" i="24" s="1"/>
  <c r="Y82" i="24"/>
  <c r="AJ82" i="24"/>
  <c r="AF82" i="24" s="1"/>
  <c r="Y81" i="24"/>
  <c r="AJ81" i="24"/>
  <c r="AF81" i="24" s="1"/>
  <c r="Y80" i="24"/>
  <c r="AJ80" i="24"/>
  <c r="AF80" i="24" s="1"/>
  <c r="Y79" i="24"/>
  <c r="AJ79" i="24"/>
  <c r="AF79" i="24" s="1"/>
  <c r="Y78" i="24"/>
  <c r="F78" i="24"/>
  <c r="Y77" i="24"/>
  <c r="F77" i="24"/>
  <c r="Y76" i="24"/>
  <c r="F76" i="24"/>
  <c r="Y75" i="24"/>
  <c r="F75" i="24"/>
  <c r="Y74" i="24"/>
  <c r="AM73" i="24" s="1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T89" i="23"/>
  <c r="AB89" i="23"/>
  <c r="T88" i="23"/>
  <c r="AB88" i="23"/>
  <c r="T87" i="23"/>
  <c r="N87" i="23"/>
  <c r="AB87" i="23"/>
  <c r="T86" i="23"/>
  <c r="N86" i="23"/>
  <c r="AB86" i="23"/>
  <c r="T85" i="23"/>
  <c r="N85" i="23"/>
  <c r="AB85" i="23"/>
  <c r="T84" i="23"/>
  <c r="N84" i="23"/>
  <c r="AB84" i="23"/>
  <c r="T83" i="23"/>
  <c r="N83" i="23"/>
  <c r="AB83" i="23"/>
  <c r="T82" i="23"/>
  <c r="N82" i="23"/>
  <c r="AB82" i="23"/>
  <c r="T81" i="23"/>
  <c r="N81" i="23"/>
  <c r="AB81" i="23"/>
  <c r="T80" i="23"/>
  <c r="N80" i="23"/>
  <c r="AB80" i="23"/>
  <c r="T79" i="23"/>
  <c r="N79" i="23"/>
  <c r="AB79" i="23"/>
  <c r="T78" i="23"/>
  <c r="N78" i="23"/>
  <c r="I78" i="23"/>
  <c r="M39" i="193" s="1"/>
  <c r="F78" i="23"/>
  <c r="H78" i="23" s="1"/>
  <c r="T77" i="23"/>
  <c r="N77" i="23"/>
  <c r="I77" i="23"/>
  <c r="M38" i="193" s="1"/>
  <c r="F77" i="23"/>
  <c r="H77" i="23" s="1"/>
  <c r="T76" i="23"/>
  <c r="N76" i="23"/>
  <c r="I76" i="23"/>
  <c r="M37" i="193" s="1"/>
  <c r="F76" i="23"/>
  <c r="H76" i="23" s="1"/>
  <c r="T75" i="23"/>
  <c r="N75" i="23"/>
  <c r="I75" i="23"/>
  <c r="M36" i="193" s="1"/>
  <c r="F75" i="23"/>
  <c r="H75" i="23" s="1"/>
  <c r="T74" i="23"/>
  <c r="N74" i="23"/>
  <c r="I74" i="23"/>
  <c r="M35" i="193" s="1"/>
  <c r="F74" i="23"/>
  <c r="H74" i="23" s="1"/>
  <c r="T73" i="23"/>
  <c r="I73" i="23"/>
  <c r="M34" i="193" s="1"/>
  <c r="F73" i="23"/>
  <c r="H73" i="23" s="1"/>
  <c r="T72" i="23"/>
  <c r="I72" i="23"/>
  <c r="M33" i="193" s="1"/>
  <c r="F72" i="23"/>
  <c r="H72" i="23" s="1"/>
  <c r="T71" i="23"/>
  <c r="I71" i="23"/>
  <c r="M32" i="193" s="1"/>
  <c r="F71" i="23"/>
  <c r="H71" i="23" s="1"/>
  <c r="T70" i="23"/>
  <c r="I70" i="23"/>
  <c r="M31" i="193" s="1"/>
  <c r="F70" i="23"/>
  <c r="H70" i="23" s="1"/>
  <c r="T69" i="23"/>
  <c r="I69" i="23"/>
  <c r="M30" i="193" s="1"/>
  <c r="F69" i="23"/>
  <c r="H69" i="23" s="1"/>
  <c r="T68" i="23"/>
  <c r="F68" i="23"/>
  <c r="T67" i="23"/>
  <c r="F67" i="23"/>
  <c r="T66" i="23"/>
  <c r="F66" i="23"/>
  <c r="T65" i="23"/>
  <c r="F65" i="23"/>
  <c r="T64" i="23"/>
  <c r="F64" i="23"/>
  <c r="T63" i="23"/>
  <c r="F63" i="23"/>
  <c r="T62" i="23"/>
  <c r="F62" i="23"/>
  <c r="T61" i="23"/>
  <c r="F61" i="23"/>
  <c r="T60" i="23"/>
  <c r="F60" i="23"/>
  <c r="T59" i="23"/>
  <c r="F59" i="23"/>
  <c r="T58" i="23"/>
  <c r="F58" i="23"/>
  <c r="T57" i="23"/>
  <c r="F57" i="23"/>
  <c r="T56" i="23"/>
  <c r="F56" i="23"/>
  <c r="T55" i="23"/>
  <c r="F55" i="23"/>
  <c r="T54" i="23"/>
  <c r="F54" i="23"/>
  <c r="T53" i="23"/>
  <c r="F53" i="23"/>
  <c r="T52" i="23"/>
  <c r="F52" i="23"/>
  <c r="T51" i="23"/>
  <c r="F51" i="23"/>
  <c r="T50" i="23"/>
  <c r="F50" i="23"/>
  <c r="T49" i="23"/>
  <c r="F49" i="23"/>
  <c r="T48" i="23"/>
  <c r="F48" i="23"/>
  <c r="T47" i="23"/>
  <c r="F47" i="23"/>
  <c r="T46" i="23"/>
  <c r="F46" i="23"/>
  <c r="T45" i="23"/>
  <c r="F45" i="23"/>
  <c r="T44" i="23"/>
  <c r="F44" i="23"/>
  <c r="AA90" i="22"/>
  <c r="S89" i="22"/>
  <c r="AA89" i="22"/>
  <c r="S87" i="22"/>
  <c r="AA87" i="22"/>
  <c r="S86" i="22"/>
  <c r="AA86" i="22"/>
  <c r="S85" i="22"/>
  <c r="AA85" i="22"/>
  <c r="S84" i="22"/>
  <c r="AA84" i="22"/>
  <c r="S83" i="22"/>
  <c r="AA83" i="22"/>
  <c r="S82" i="22"/>
  <c r="AA82" i="22"/>
  <c r="S81" i="22"/>
  <c r="AA81" i="22"/>
  <c r="S80" i="22"/>
  <c r="AA80" i="22"/>
  <c r="S79" i="22"/>
  <c r="AA79" i="22"/>
  <c r="S78" i="22"/>
  <c r="F78" i="22"/>
  <c r="H78" i="22" s="1"/>
  <c r="I78" i="22" s="1"/>
  <c r="S77" i="22"/>
  <c r="F77" i="22"/>
  <c r="H77" i="22" s="1"/>
  <c r="I77" i="22" s="1"/>
  <c r="S76" i="22"/>
  <c r="F76" i="22"/>
  <c r="H76" i="22" s="1"/>
  <c r="I76" i="22" s="1"/>
  <c r="S75" i="22"/>
  <c r="F75" i="22"/>
  <c r="H75" i="22" s="1"/>
  <c r="I75" i="22" s="1"/>
  <c r="AA75" i="22" s="1"/>
  <c r="S74" i="22"/>
  <c r="F74" i="22"/>
  <c r="H74" i="22" s="1"/>
  <c r="I74" i="22" s="1"/>
  <c r="S73" i="22"/>
  <c r="F73" i="22"/>
  <c r="H73" i="22" s="1"/>
  <c r="I73" i="22" s="1"/>
  <c r="AA73" i="22" s="1"/>
  <c r="S72" i="22"/>
  <c r="F72" i="22"/>
  <c r="H72" i="22" s="1"/>
  <c r="I72" i="22" s="1"/>
  <c r="AA72" i="22" s="1"/>
  <c r="S71" i="22"/>
  <c r="F71" i="22"/>
  <c r="H71" i="22" s="1"/>
  <c r="I71" i="22" s="1"/>
  <c r="S70" i="22"/>
  <c r="F70" i="22"/>
  <c r="H70" i="22" s="1"/>
  <c r="I70" i="22" s="1"/>
  <c r="S69" i="22"/>
  <c r="F69" i="22"/>
  <c r="H69" i="22" s="1"/>
  <c r="I69" i="22" s="1"/>
  <c r="S68" i="22"/>
  <c r="F68" i="22"/>
  <c r="H68" i="22" s="1"/>
  <c r="I68" i="22" s="1"/>
  <c r="S67" i="22"/>
  <c r="F67" i="22"/>
  <c r="S66" i="22"/>
  <c r="F66" i="22"/>
  <c r="S65" i="22"/>
  <c r="F65" i="22"/>
  <c r="H65" i="22" s="1"/>
  <c r="I65" i="22" s="1"/>
  <c r="S64" i="22"/>
  <c r="F64" i="22"/>
  <c r="S63" i="22"/>
  <c r="F63" i="22"/>
  <c r="S62" i="22"/>
  <c r="F62" i="22"/>
  <c r="S61" i="22"/>
  <c r="F61" i="22"/>
  <c r="AX60" i="22"/>
  <c r="F60" i="22"/>
  <c r="S59" i="22"/>
  <c r="F59" i="22"/>
  <c r="S58" i="22"/>
  <c r="F58" i="22"/>
  <c r="S57" i="22"/>
  <c r="F57" i="22"/>
  <c r="S56" i="22"/>
  <c r="F56" i="22"/>
  <c r="S55" i="22"/>
  <c r="F55" i="22"/>
  <c r="S54" i="22"/>
  <c r="F54" i="22"/>
  <c r="S53" i="22"/>
  <c r="F53" i="22"/>
  <c r="Q52" i="22"/>
  <c r="F52" i="22"/>
  <c r="S51" i="22"/>
  <c r="F51" i="22"/>
  <c r="S50" i="22"/>
  <c r="F50" i="22"/>
  <c r="S49" i="22"/>
  <c r="F49" i="22"/>
  <c r="S48" i="22"/>
  <c r="F48" i="22"/>
  <c r="S47" i="22"/>
  <c r="F47" i="22"/>
  <c r="S46" i="22"/>
  <c r="F46" i="22"/>
  <c r="S45" i="22"/>
  <c r="F45" i="22"/>
  <c r="Q44" i="22"/>
  <c r="F44" i="22"/>
  <c r="AC90" i="21"/>
  <c r="AR90" i="21" s="1"/>
  <c r="AS90" i="21" s="1"/>
  <c r="T89" i="21"/>
  <c r="T88" i="21"/>
  <c r="T87" i="21"/>
  <c r="T86" i="21"/>
  <c r="T85" i="21"/>
  <c r="T84" i="21"/>
  <c r="T83" i="21"/>
  <c r="I83" i="21"/>
  <c r="K44" i="193" s="1"/>
  <c r="T82" i="21"/>
  <c r="I82" i="21"/>
  <c r="K43" i="193" s="1"/>
  <c r="T81" i="21"/>
  <c r="I81" i="21"/>
  <c r="K42" i="193" s="1"/>
  <c r="T80" i="21"/>
  <c r="I80" i="21"/>
  <c r="K41" i="193" s="1"/>
  <c r="T79" i="21"/>
  <c r="I79" i="21"/>
  <c r="K40" i="193" s="1"/>
  <c r="T78" i="21"/>
  <c r="L78" i="21"/>
  <c r="I78" i="21" s="1"/>
  <c r="K39" i="193" s="1"/>
  <c r="F78" i="21"/>
  <c r="H78" i="21" s="1"/>
  <c r="T77" i="21"/>
  <c r="L77" i="21"/>
  <c r="I77" i="21" s="1"/>
  <c r="K38" i="193" s="1"/>
  <c r="F77" i="21"/>
  <c r="H77" i="21" s="1"/>
  <c r="T76" i="21"/>
  <c r="L76" i="21"/>
  <c r="I76" i="21" s="1"/>
  <c r="K37" i="193" s="1"/>
  <c r="F76" i="21"/>
  <c r="H76" i="21" s="1"/>
  <c r="T75" i="21"/>
  <c r="L75" i="21"/>
  <c r="I75" i="21" s="1"/>
  <c r="K36" i="193" s="1"/>
  <c r="F75" i="21"/>
  <c r="H75" i="21" s="1"/>
  <c r="T74" i="21"/>
  <c r="F74" i="21"/>
  <c r="H74" i="21" s="1"/>
  <c r="T73" i="21"/>
  <c r="F73" i="21"/>
  <c r="H73" i="21" s="1"/>
  <c r="T72" i="21"/>
  <c r="F72" i="21"/>
  <c r="H72" i="21" s="1"/>
  <c r="T71" i="21"/>
  <c r="F71" i="21"/>
  <c r="H71" i="21" s="1"/>
  <c r="T70" i="21"/>
  <c r="F70" i="21"/>
  <c r="H70" i="21" s="1"/>
  <c r="T69" i="21"/>
  <c r="F69" i="21"/>
  <c r="H69" i="21" s="1"/>
  <c r="T68" i="21"/>
  <c r="F68" i="21"/>
  <c r="H68" i="21" s="1"/>
  <c r="T67" i="21"/>
  <c r="F67" i="21"/>
  <c r="H67" i="21" s="1"/>
  <c r="T66" i="21"/>
  <c r="F66" i="21"/>
  <c r="H66" i="21" s="1"/>
  <c r="T65" i="21"/>
  <c r="F65" i="21"/>
  <c r="H65" i="21" s="1"/>
  <c r="T64" i="21"/>
  <c r="F64" i="21"/>
  <c r="H64" i="21" s="1"/>
  <c r="T63" i="21"/>
  <c r="F63" i="21"/>
  <c r="H63" i="21" s="1"/>
  <c r="T62" i="21"/>
  <c r="F62" i="21"/>
  <c r="H62" i="21" s="1"/>
  <c r="T61" i="21"/>
  <c r="F61" i="21"/>
  <c r="H61" i="21" s="1"/>
  <c r="T60" i="21"/>
  <c r="F60" i="21"/>
  <c r="H60" i="21" s="1"/>
  <c r="T59" i="21"/>
  <c r="F59" i="21"/>
  <c r="H59" i="21" s="1"/>
  <c r="T58" i="21"/>
  <c r="F58" i="21"/>
  <c r="H58" i="21" s="1"/>
  <c r="T57" i="21"/>
  <c r="F57" i="21"/>
  <c r="H57" i="21" s="1"/>
  <c r="T56" i="21"/>
  <c r="F56" i="21"/>
  <c r="H56" i="21" s="1"/>
  <c r="T55" i="21"/>
  <c r="F55" i="21"/>
  <c r="H55" i="21" s="1"/>
  <c r="T54" i="21"/>
  <c r="F54" i="21"/>
  <c r="H54" i="21" s="1"/>
  <c r="T53" i="21"/>
  <c r="F53" i="21"/>
  <c r="H53" i="21" s="1"/>
  <c r="T52" i="21"/>
  <c r="F52" i="21"/>
  <c r="H52" i="21" s="1"/>
  <c r="T51" i="21"/>
  <c r="F51" i="21"/>
  <c r="H51" i="21" s="1"/>
  <c r="T50" i="21"/>
  <c r="F50" i="21"/>
  <c r="H50" i="21" s="1"/>
  <c r="T49" i="21"/>
  <c r="F49" i="21"/>
  <c r="H49" i="21" s="1"/>
  <c r="T48" i="21"/>
  <c r="F48" i="21"/>
  <c r="H48" i="21" s="1"/>
  <c r="T47" i="21"/>
  <c r="F47" i="21"/>
  <c r="H47" i="21" s="1"/>
  <c r="T46" i="21"/>
  <c r="F46" i="21"/>
  <c r="H46" i="21" s="1"/>
  <c r="T45" i="21"/>
  <c r="F45" i="21"/>
  <c r="H45" i="21" s="1"/>
  <c r="T44" i="21"/>
  <c r="F44" i="21"/>
  <c r="H44" i="21" s="1"/>
  <c r="T89" i="20"/>
  <c r="I89" i="20"/>
  <c r="J50" i="193" s="1"/>
  <c r="T88" i="20"/>
  <c r="I88" i="20"/>
  <c r="J49" i="193" s="1"/>
  <c r="T87" i="20"/>
  <c r="I87" i="20"/>
  <c r="J48" i="193" s="1"/>
  <c r="T86" i="20"/>
  <c r="I86" i="20"/>
  <c r="J47" i="193" s="1"/>
  <c r="T85" i="20"/>
  <c r="I85" i="20"/>
  <c r="J46" i="193" s="1"/>
  <c r="T84" i="20"/>
  <c r="I84" i="20"/>
  <c r="J45" i="193" s="1"/>
  <c r="T83" i="20"/>
  <c r="I83" i="20"/>
  <c r="J44" i="193" s="1"/>
  <c r="T82" i="20"/>
  <c r="I82" i="20"/>
  <c r="J43" i="193" s="1"/>
  <c r="T81" i="20"/>
  <c r="I81" i="20"/>
  <c r="J42" i="193" s="1"/>
  <c r="T80" i="20"/>
  <c r="I80" i="20"/>
  <c r="J41" i="193" s="1"/>
  <c r="T79" i="20"/>
  <c r="I79" i="20"/>
  <c r="J40" i="193" s="1"/>
  <c r="T78" i="20"/>
  <c r="L78" i="20"/>
  <c r="I78" i="20" s="1"/>
  <c r="F78" i="20"/>
  <c r="H78" i="20" s="1"/>
  <c r="T77" i="20"/>
  <c r="L77" i="20"/>
  <c r="I77" i="20" s="1"/>
  <c r="J38" i="193" s="1"/>
  <c r="F77" i="20"/>
  <c r="H77" i="20" s="1"/>
  <c r="T76" i="20"/>
  <c r="L76" i="20"/>
  <c r="I76" i="20" s="1"/>
  <c r="J37" i="193" s="1"/>
  <c r="F76" i="20"/>
  <c r="H76" i="20" s="1"/>
  <c r="T75" i="20"/>
  <c r="L75" i="20"/>
  <c r="I75" i="20" s="1"/>
  <c r="J36" i="193" s="1"/>
  <c r="F75" i="20"/>
  <c r="H75" i="20" s="1"/>
  <c r="T74" i="20"/>
  <c r="L74" i="20"/>
  <c r="I74" i="20" s="1"/>
  <c r="J35" i="193" s="1"/>
  <c r="F74" i="20"/>
  <c r="H74" i="20" s="1"/>
  <c r="T73" i="20"/>
  <c r="L73" i="20"/>
  <c r="I73" i="20" s="1"/>
  <c r="J34" i="193" s="1"/>
  <c r="F73" i="20"/>
  <c r="H73" i="20" s="1"/>
  <c r="T72" i="20"/>
  <c r="L72" i="20"/>
  <c r="I72" i="20" s="1"/>
  <c r="J33" i="193" s="1"/>
  <c r="F72" i="20"/>
  <c r="H72" i="20" s="1"/>
  <c r="T71" i="20"/>
  <c r="L71" i="20"/>
  <c r="I71" i="20" s="1"/>
  <c r="J32" i="193" s="1"/>
  <c r="F71" i="20"/>
  <c r="H71" i="20" s="1"/>
  <c r="T70" i="20"/>
  <c r="L70" i="20"/>
  <c r="I70" i="20" s="1"/>
  <c r="J31" i="193" s="1"/>
  <c r="F70" i="20"/>
  <c r="H70" i="20" s="1"/>
  <c r="T69" i="20"/>
  <c r="L69" i="20"/>
  <c r="I69" i="20" s="1"/>
  <c r="J30" i="193" s="1"/>
  <c r="F69" i="20"/>
  <c r="H69" i="20" s="1"/>
  <c r="T68" i="20"/>
  <c r="F68" i="20"/>
  <c r="T67" i="20"/>
  <c r="F67" i="20"/>
  <c r="H67" i="20" s="1"/>
  <c r="I67" i="20" s="1"/>
  <c r="J28" i="193" s="1"/>
  <c r="T66" i="20"/>
  <c r="F66" i="20"/>
  <c r="T65" i="20"/>
  <c r="F65" i="20"/>
  <c r="T64" i="20"/>
  <c r="F64" i="20"/>
  <c r="T63" i="20"/>
  <c r="F63" i="20"/>
  <c r="T62" i="20"/>
  <c r="F62" i="20"/>
  <c r="T61" i="20"/>
  <c r="F61" i="20"/>
  <c r="T60" i="20"/>
  <c r="F60" i="20"/>
  <c r="T59" i="20"/>
  <c r="F59" i="20"/>
  <c r="T58" i="20"/>
  <c r="F58" i="20"/>
  <c r="T57" i="20"/>
  <c r="F57" i="20"/>
  <c r="T56" i="20"/>
  <c r="F56" i="20"/>
  <c r="T55" i="20"/>
  <c r="F55" i="20"/>
  <c r="T54" i="20"/>
  <c r="F54" i="20"/>
  <c r="T53" i="20"/>
  <c r="F53" i="20"/>
  <c r="T52" i="20"/>
  <c r="F52" i="20"/>
  <c r="T51" i="20"/>
  <c r="F51" i="20"/>
  <c r="T50" i="20"/>
  <c r="F50" i="20"/>
  <c r="T49" i="20"/>
  <c r="F49" i="20"/>
  <c r="T48" i="20"/>
  <c r="F48" i="20"/>
  <c r="T47" i="20"/>
  <c r="F47" i="20"/>
  <c r="T46" i="20"/>
  <c r="F46" i="20"/>
  <c r="T45" i="20"/>
  <c r="F45" i="20"/>
  <c r="R44" i="20"/>
  <c r="F44" i="20"/>
  <c r="H44" i="20" s="1"/>
  <c r="I44" i="20" s="1"/>
  <c r="J5" i="193" s="1"/>
  <c r="AC90" i="19"/>
  <c r="T89" i="19"/>
  <c r="BB89" i="19" s="1"/>
  <c r="T88" i="19"/>
  <c r="BB88" i="19" s="1"/>
  <c r="T87" i="19"/>
  <c r="BB87" i="19" s="1"/>
  <c r="T86" i="19"/>
  <c r="BB86" i="19" s="1"/>
  <c r="T85" i="19"/>
  <c r="BB85" i="19" s="1"/>
  <c r="T84" i="19"/>
  <c r="BB84" i="19" s="1"/>
  <c r="T83" i="19"/>
  <c r="BB83" i="19" s="1"/>
  <c r="I83" i="19"/>
  <c r="I44" i="193" s="1"/>
  <c r="T82" i="19"/>
  <c r="BB82" i="19" s="1"/>
  <c r="I82" i="19"/>
  <c r="I43" i="193" s="1"/>
  <c r="T81" i="19"/>
  <c r="BB81" i="19" s="1"/>
  <c r="I81" i="19"/>
  <c r="I42" i="193" s="1"/>
  <c r="T80" i="19"/>
  <c r="BB80" i="19" s="1"/>
  <c r="I80" i="19"/>
  <c r="I41" i="193" s="1"/>
  <c r="T79" i="19"/>
  <c r="BB79" i="19" s="1"/>
  <c r="I79" i="19"/>
  <c r="I40" i="193" s="1"/>
  <c r="T78" i="19"/>
  <c r="BB78" i="19" s="1"/>
  <c r="L78" i="19"/>
  <c r="F78" i="19"/>
  <c r="H78" i="19" s="1"/>
  <c r="I78" i="19" s="1"/>
  <c r="I39" i="193" s="1"/>
  <c r="T77" i="19"/>
  <c r="BB77" i="19" s="1"/>
  <c r="L77" i="19"/>
  <c r="F77" i="19"/>
  <c r="H77" i="19" s="1"/>
  <c r="I77" i="19" s="1"/>
  <c r="I38" i="193" s="1"/>
  <c r="T76" i="19"/>
  <c r="BB76" i="19" s="1"/>
  <c r="L76" i="19"/>
  <c r="F76" i="19"/>
  <c r="H76" i="19" s="1"/>
  <c r="I76" i="19" s="1"/>
  <c r="I37" i="193" s="1"/>
  <c r="T75" i="19"/>
  <c r="BB75" i="19" s="1"/>
  <c r="L75" i="19"/>
  <c r="F75" i="19"/>
  <c r="H75" i="19" s="1"/>
  <c r="I75" i="19" s="1"/>
  <c r="I36" i="193" s="1"/>
  <c r="T74" i="19"/>
  <c r="BB74" i="19" s="1"/>
  <c r="L74" i="19"/>
  <c r="F74" i="19"/>
  <c r="H74" i="19" s="1"/>
  <c r="I74" i="19" s="1"/>
  <c r="I35" i="193" s="1"/>
  <c r="T73" i="19"/>
  <c r="BB73" i="19" s="1"/>
  <c r="L73" i="19"/>
  <c r="F73" i="19"/>
  <c r="H73" i="19" s="1"/>
  <c r="I73" i="19" s="1"/>
  <c r="I34" i="193" s="1"/>
  <c r="T72" i="19"/>
  <c r="BB72" i="19" s="1"/>
  <c r="L72" i="19"/>
  <c r="F72" i="19"/>
  <c r="H72" i="19" s="1"/>
  <c r="I72" i="19" s="1"/>
  <c r="I33" i="193" s="1"/>
  <c r="T71" i="19"/>
  <c r="BB71" i="19" s="1"/>
  <c r="L71" i="19"/>
  <c r="F71" i="19"/>
  <c r="H71" i="19" s="1"/>
  <c r="I71" i="19" s="1"/>
  <c r="I32" i="193" s="1"/>
  <c r="T70" i="19"/>
  <c r="BB70" i="19" s="1"/>
  <c r="L70" i="19"/>
  <c r="F70" i="19"/>
  <c r="H70" i="19" s="1"/>
  <c r="I70" i="19" s="1"/>
  <c r="I31" i="193" s="1"/>
  <c r="T69" i="19"/>
  <c r="BB69" i="19" s="1"/>
  <c r="L69" i="19"/>
  <c r="F69" i="19"/>
  <c r="H69" i="19" s="1"/>
  <c r="I69" i="19" s="1"/>
  <c r="I30" i="193" s="1"/>
  <c r="T68" i="19"/>
  <c r="BB68" i="19" s="1"/>
  <c r="F68" i="19"/>
  <c r="H68" i="19" s="1"/>
  <c r="I68" i="19" s="1"/>
  <c r="I29" i="193" s="1"/>
  <c r="T67" i="19"/>
  <c r="BB67" i="19" s="1"/>
  <c r="F67" i="19"/>
  <c r="H67" i="19" s="1"/>
  <c r="I67" i="19" s="1"/>
  <c r="I28" i="193" s="1"/>
  <c r="T66" i="19"/>
  <c r="BB66" i="19" s="1"/>
  <c r="F66" i="19"/>
  <c r="H66" i="19" s="1"/>
  <c r="I66" i="19" s="1"/>
  <c r="I27" i="193" s="1"/>
  <c r="T65" i="19"/>
  <c r="BB65" i="19" s="1"/>
  <c r="F65" i="19"/>
  <c r="H65" i="19" s="1"/>
  <c r="I65" i="19" s="1"/>
  <c r="I26" i="193" s="1"/>
  <c r="T64" i="19"/>
  <c r="BB64" i="19" s="1"/>
  <c r="F64" i="19"/>
  <c r="H64" i="19" s="1"/>
  <c r="I64" i="19" s="1"/>
  <c r="I25" i="193" s="1"/>
  <c r="T63" i="19"/>
  <c r="BB63" i="19" s="1"/>
  <c r="F63" i="19"/>
  <c r="H63" i="19" s="1"/>
  <c r="I63" i="19" s="1"/>
  <c r="I24" i="193" s="1"/>
  <c r="T62" i="19"/>
  <c r="BB62" i="19" s="1"/>
  <c r="F62" i="19"/>
  <c r="H62" i="19" s="1"/>
  <c r="I62" i="19" s="1"/>
  <c r="I23" i="193" s="1"/>
  <c r="T61" i="19"/>
  <c r="BB61" i="19" s="1"/>
  <c r="F61" i="19"/>
  <c r="H61" i="19" s="1"/>
  <c r="I61" i="19" s="1"/>
  <c r="I22" i="193" s="1"/>
  <c r="T60" i="19"/>
  <c r="BB60" i="19" s="1"/>
  <c r="F60" i="19"/>
  <c r="H60" i="19" s="1"/>
  <c r="I60" i="19" s="1"/>
  <c r="I21" i="193" s="1"/>
  <c r="T59" i="19"/>
  <c r="BB59" i="19" s="1"/>
  <c r="F59" i="19"/>
  <c r="H59" i="19" s="1"/>
  <c r="I59" i="19" s="1"/>
  <c r="I20" i="193" s="1"/>
  <c r="T58" i="19"/>
  <c r="BB58" i="19" s="1"/>
  <c r="F58" i="19"/>
  <c r="H58" i="19" s="1"/>
  <c r="I58" i="19" s="1"/>
  <c r="I19" i="193" s="1"/>
  <c r="T57" i="19"/>
  <c r="BB57" i="19" s="1"/>
  <c r="F57" i="19"/>
  <c r="H57" i="19" s="1"/>
  <c r="I57" i="19" s="1"/>
  <c r="I18" i="193" s="1"/>
  <c r="T56" i="19"/>
  <c r="BB56" i="19" s="1"/>
  <c r="F56" i="19"/>
  <c r="H56" i="19" s="1"/>
  <c r="I56" i="19" s="1"/>
  <c r="I17" i="193" s="1"/>
  <c r="T55" i="19"/>
  <c r="BB55" i="19" s="1"/>
  <c r="F55" i="19"/>
  <c r="H55" i="19" s="1"/>
  <c r="I55" i="19" s="1"/>
  <c r="I16" i="193" s="1"/>
  <c r="T54" i="19"/>
  <c r="BB54" i="19" s="1"/>
  <c r="F54" i="19"/>
  <c r="H54" i="19" s="1"/>
  <c r="I54" i="19" s="1"/>
  <c r="I15" i="193" s="1"/>
  <c r="T53" i="19"/>
  <c r="BB53" i="19" s="1"/>
  <c r="F53" i="19"/>
  <c r="H53" i="19" s="1"/>
  <c r="I53" i="19" s="1"/>
  <c r="I14" i="193" s="1"/>
  <c r="T52" i="19"/>
  <c r="BB52" i="19" s="1"/>
  <c r="F52" i="19"/>
  <c r="H52" i="19" s="1"/>
  <c r="I52" i="19" s="1"/>
  <c r="I13" i="193" s="1"/>
  <c r="T51" i="19"/>
  <c r="BB51" i="19" s="1"/>
  <c r="F51" i="19"/>
  <c r="H51" i="19" s="1"/>
  <c r="I51" i="19" s="1"/>
  <c r="I12" i="193" s="1"/>
  <c r="T50" i="19"/>
  <c r="BB50" i="19" s="1"/>
  <c r="F50" i="19"/>
  <c r="H50" i="19" s="1"/>
  <c r="I50" i="19" s="1"/>
  <c r="I11" i="193" s="1"/>
  <c r="T49" i="19"/>
  <c r="BB49" i="19" s="1"/>
  <c r="F49" i="19"/>
  <c r="H49" i="19" s="1"/>
  <c r="I49" i="19" s="1"/>
  <c r="I10" i="193" s="1"/>
  <c r="T48" i="19"/>
  <c r="BB48" i="19" s="1"/>
  <c r="F48" i="19"/>
  <c r="H48" i="19" s="1"/>
  <c r="I48" i="19" s="1"/>
  <c r="I9" i="193" s="1"/>
  <c r="T47" i="19"/>
  <c r="BB47" i="19" s="1"/>
  <c r="F47" i="19"/>
  <c r="H47" i="19" s="1"/>
  <c r="I47" i="19" s="1"/>
  <c r="I8" i="193" s="1"/>
  <c r="T46" i="19"/>
  <c r="BB46" i="19" s="1"/>
  <c r="F46" i="19"/>
  <c r="H46" i="19" s="1"/>
  <c r="I46" i="19" s="1"/>
  <c r="I7" i="193" s="1"/>
  <c r="T45" i="19"/>
  <c r="BB45" i="19" s="1"/>
  <c r="F45" i="19"/>
  <c r="H45" i="19" s="1"/>
  <c r="I45" i="19" s="1"/>
  <c r="I6" i="193" s="1"/>
  <c r="T44" i="19"/>
  <c r="BB44" i="19" s="1"/>
  <c r="F44" i="19"/>
  <c r="H44" i="19" s="1"/>
  <c r="I44" i="19" s="1"/>
  <c r="I5" i="193" s="1"/>
  <c r="AE90" i="29"/>
  <c r="W89" i="29"/>
  <c r="W88" i="29"/>
  <c r="W87" i="29"/>
  <c r="AE87" i="29"/>
  <c r="W86" i="29"/>
  <c r="W85" i="29"/>
  <c r="W84" i="29"/>
  <c r="W83" i="29"/>
  <c r="AE83" i="29"/>
  <c r="W82" i="29"/>
  <c r="AE82" i="29"/>
  <c r="W81" i="29"/>
  <c r="W80" i="29"/>
  <c r="W79" i="29"/>
  <c r="W78" i="29"/>
  <c r="F78" i="29"/>
  <c r="H78" i="29" s="1"/>
  <c r="I78" i="29" s="1"/>
  <c r="W77" i="29"/>
  <c r="F77" i="29"/>
  <c r="H77" i="29" s="1"/>
  <c r="I77" i="29" s="1"/>
  <c r="W76" i="29"/>
  <c r="F76" i="29"/>
  <c r="H76" i="29" s="1"/>
  <c r="I76" i="29" s="1"/>
  <c r="W75" i="29"/>
  <c r="F75" i="29"/>
  <c r="H75" i="29" s="1"/>
  <c r="I75" i="29" s="1"/>
  <c r="W74" i="29"/>
  <c r="F74" i="29"/>
  <c r="H74" i="29" s="1"/>
  <c r="I74" i="29" s="1"/>
  <c r="W73" i="29"/>
  <c r="F73" i="29"/>
  <c r="H73" i="29" s="1"/>
  <c r="I73" i="29" s="1"/>
  <c r="W72" i="29"/>
  <c r="F72" i="29"/>
  <c r="H72" i="29" s="1"/>
  <c r="I72" i="29" s="1"/>
  <c r="W71" i="29"/>
  <c r="F71" i="29"/>
  <c r="H71" i="29" s="1"/>
  <c r="I71" i="29" s="1"/>
  <c r="W70" i="29"/>
  <c r="F70" i="29"/>
  <c r="H70" i="29" s="1"/>
  <c r="I70" i="29" s="1"/>
  <c r="W69" i="29"/>
  <c r="F69" i="29"/>
  <c r="H69" i="29" s="1"/>
  <c r="I69" i="29" s="1"/>
  <c r="W68" i="29"/>
  <c r="F68" i="29"/>
  <c r="H68" i="29" s="1"/>
  <c r="I68" i="29" s="1"/>
  <c r="W67" i="29"/>
  <c r="F67" i="29"/>
  <c r="W66" i="29"/>
  <c r="F66" i="29"/>
  <c r="H66" i="29" s="1"/>
  <c r="W65" i="29"/>
  <c r="F65" i="29"/>
  <c r="H65" i="29" s="1"/>
  <c r="I65" i="29" s="1"/>
  <c r="W64" i="29"/>
  <c r="F64" i="29"/>
  <c r="H64" i="29" s="1"/>
  <c r="I64" i="29" s="1"/>
  <c r="W63" i="29"/>
  <c r="F63" i="29"/>
  <c r="H63" i="29" s="1"/>
  <c r="I63" i="29" s="1"/>
  <c r="W62" i="29"/>
  <c r="F62" i="29"/>
  <c r="H62" i="29" s="1"/>
  <c r="I62" i="29" s="1"/>
  <c r="W61" i="29"/>
  <c r="F61" i="29"/>
  <c r="H61" i="29" s="1"/>
  <c r="I61" i="29" s="1"/>
  <c r="W60" i="29"/>
  <c r="F60" i="29"/>
  <c r="H60" i="29" s="1"/>
  <c r="I60" i="29" s="1"/>
  <c r="W59" i="29"/>
  <c r="F59" i="29"/>
  <c r="H59" i="29" s="1"/>
  <c r="I59" i="29" s="1"/>
  <c r="W58" i="29"/>
  <c r="F58" i="29"/>
  <c r="H58" i="29" s="1"/>
  <c r="I58" i="29" s="1"/>
  <c r="W57" i="29"/>
  <c r="F57" i="29"/>
  <c r="H57" i="29" s="1"/>
  <c r="I57" i="29" s="1"/>
  <c r="W56" i="29"/>
  <c r="F56" i="29"/>
  <c r="H56" i="29" s="1"/>
  <c r="I56" i="29" s="1"/>
  <c r="W55" i="29"/>
  <c r="F55" i="29"/>
  <c r="H55" i="29" s="1"/>
  <c r="I55" i="29" s="1"/>
  <c r="W54" i="29"/>
  <c r="F54" i="29"/>
  <c r="H54" i="29" s="1"/>
  <c r="I54" i="29" s="1"/>
  <c r="W53" i="29"/>
  <c r="F53" i="29"/>
  <c r="H53" i="29" s="1"/>
  <c r="I53" i="29" s="1"/>
  <c r="W52" i="29"/>
  <c r="F52" i="29"/>
  <c r="H52" i="29" s="1"/>
  <c r="I52" i="29" s="1"/>
  <c r="W51" i="29"/>
  <c r="F51" i="29"/>
  <c r="H51" i="29" s="1"/>
  <c r="I51" i="29" s="1"/>
  <c r="W50" i="29"/>
  <c r="F50" i="29"/>
  <c r="H50" i="29" s="1"/>
  <c r="I50" i="29" s="1"/>
  <c r="W49" i="29"/>
  <c r="F49" i="29"/>
  <c r="H49" i="29" s="1"/>
  <c r="I49" i="29" s="1"/>
  <c r="W48" i="29"/>
  <c r="F48" i="29"/>
  <c r="H48" i="29" s="1"/>
  <c r="I48" i="29" s="1"/>
  <c r="W47" i="29"/>
  <c r="BE47" i="29" s="1"/>
  <c r="F47" i="29"/>
  <c r="H47" i="29" s="1"/>
  <c r="I47" i="29" s="1"/>
  <c r="W46" i="29"/>
  <c r="F46" i="29"/>
  <c r="H46" i="29" s="1"/>
  <c r="I46" i="29" s="1"/>
  <c r="W45" i="29"/>
  <c r="F45" i="29"/>
  <c r="H45" i="29" s="1"/>
  <c r="I45" i="29" s="1"/>
  <c r="F44" i="29"/>
  <c r="I89" i="63"/>
  <c r="AE89" i="63" s="1"/>
  <c r="I88" i="63"/>
  <c r="AE88" i="63" s="1"/>
  <c r="N87" i="63"/>
  <c r="I87" i="63"/>
  <c r="AE87" i="63" s="1"/>
  <c r="N86" i="63"/>
  <c r="I86" i="63"/>
  <c r="AE86" i="63" s="1"/>
  <c r="N85" i="63"/>
  <c r="I85" i="63"/>
  <c r="AE85" i="63" s="1"/>
  <c r="N84" i="63"/>
  <c r="I84" i="63"/>
  <c r="AE84" i="63" s="1"/>
  <c r="N83" i="63"/>
  <c r="I83" i="63"/>
  <c r="AE83" i="63" s="1"/>
  <c r="N82" i="63"/>
  <c r="I82" i="63"/>
  <c r="AE82" i="63" s="1"/>
  <c r="N81" i="63"/>
  <c r="I81" i="63"/>
  <c r="AE81" i="63" s="1"/>
  <c r="I80" i="63"/>
  <c r="AE80" i="63" s="1"/>
  <c r="N79" i="63"/>
  <c r="I79" i="63"/>
  <c r="AE79" i="63" s="1"/>
  <c r="L78" i="63"/>
  <c r="I78" i="63" s="1"/>
  <c r="AE78" i="63" s="1"/>
  <c r="N77" i="63"/>
  <c r="L77" i="63"/>
  <c r="I77" i="63" s="1"/>
  <c r="AE77" i="63" s="1"/>
  <c r="F77" i="63"/>
  <c r="L76" i="63"/>
  <c r="I76" i="63" s="1"/>
  <c r="F76" i="63"/>
  <c r="N75" i="63"/>
  <c r="L75" i="63"/>
  <c r="I75" i="63" s="1"/>
  <c r="AE75" i="63" s="1"/>
  <c r="F75" i="63"/>
  <c r="N74" i="63"/>
  <c r="L74" i="63"/>
  <c r="I74" i="63" s="1"/>
  <c r="AE74" i="63" s="1"/>
  <c r="F74" i="63"/>
  <c r="L73" i="63"/>
  <c r="I73" i="63" s="1"/>
  <c r="AE73" i="63" s="1"/>
  <c r="F73" i="63"/>
  <c r="L72" i="63"/>
  <c r="I72" i="63" s="1"/>
  <c r="AE72" i="63" s="1"/>
  <c r="F72" i="63"/>
  <c r="L71" i="63"/>
  <c r="I71" i="63" s="1"/>
  <c r="AE71" i="63" s="1"/>
  <c r="F71" i="63"/>
  <c r="L70" i="63"/>
  <c r="I70" i="63" s="1"/>
  <c r="F70" i="63"/>
  <c r="L69" i="63"/>
  <c r="I69" i="63" s="1"/>
  <c r="F69" i="63"/>
  <c r="F68" i="63"/>
  <c r="I68" i="63" s="1"/>
  <c r="AE68" i="63" s="1"/>
  <c r="F67" i="63"/>
  <c r="I67" i="63" s="1"/>
  <c r="AE67" i="63" s="1"/>
  <c r="F66" i="63"/>
  <c r="I66" i="63" s="1"/>
  <c r="AE66" i="63" s="1"/>
  <c r="F65" i="63"/>
  <c r="I65" i="63" s="1"/>
  <c r="AE65" i="63" s="1"/>
  <c r="F64" i="63"/>
  <c r="I64" i="63" s="1"/>
  <c r="AE64" i="63" s="1"/>
  <c r="F63" i="63"/>
  <c r="I63" i="63" s="1"/>
  <c r="AE63" i="63" s="1"/>
  <c r="F62" i="63"/>
  <c r="I62" i="63" s="1"/>
  <c r="AE62" i="63" s="1"/>
  <c r="F61" i="63"/>
  <c r="I61" i="63" s="1"/>
  <c r="AE61" i="63" s="1"/>
  <c r="F60" i="63"/>
  <c r="I60" i="63" s="1"/>
  <c r="AE60" i="63" s="1"/>
  <c r="F59" i="63"/>
  <c r="I59" i="63" s="1"/>
  <c r="AE59" i="63" s="1"/>
  <c r="F58" i="63"/>
  <c r="I58" i="63" s="1"/>
  <c r="AE58" i="63" s="1"/>
  <c r="F57" i="63"/>
  <c r="I57" i="63" s="1"/>
  <c r="AE57" i="63" s="1"/>
  <c r="F56" i="63"/>
  <c r="I56" i="63" s="1"/>
  <c r="AE56" i="63" s="1"/>
  <c r="F55" i="63"/>
  <c r="I55" i="63" s="1"/>
  <c r="AE55" i="63" s="1"/>
  <c r="F54" i="63"/>
  <c r="I54" i="63" s="1"/>
  <c r="AE54" i="63" s="1"/>
  <c r="I53" i="63"/>
  <c r="AE53" i="63" s="1"/>
  <c r="F53" i="63"/>
  <c r="F52" i="63"/>
  <c r="I52" i="63" s="1"/>
  <c r="AE52" i="63" s="1"/>
  <c r="F51" i="63"/>
  <c r="I51" i="63" s="1"/>
  <c r="AE51" i="63" s="1"/>
  <c r="F50" i="63"/>
  <c r="I50" i="63" s="1"/>
  <c r="AE50" i="63" s="1"/>
  <c r="F49" i="63"/>
  <c r="I49" i="63" s="1"/>
  <c r="AE49" i="63" s="1"/>
  <c r="F48" i="63"/>
  <c r="I48" i="63" s="1"/>
  <c r="AE48" i="63" s="1"/>
  <c r="F47" i="63"/>
  <c r="I47" i="63" s="1"/>
  <c r="AE47" i="63" s="1"/>
  <c r="F46" i="63"/>
  <c r="I46" i="63" s="1"/>
  <c r="AE46" i="63" s="1"/>
  <c r="I45" i="63"/>
  <c r="AE45" i="63" s="1"/>
  <c r="F45" i="63"/>
  <c r="F44" i="63"/>
  <c r="I44" i="63" s="1"/>
  <c r="AE44" i="63" s="1"/>
  <c r="AC65" i="18"/>
  <c r="AS65" i="18" s="1"/>
  <c r="AE90" i="18"/>
  <c r="O78" i="18"/>
  <c r="I78" i="18" s="1"/>
  <c r="O77" i="18"/>
  <c r="I77" i="18" s="1"/>
  <c r="AE77" i="18" s="1"/>
  <c r="O76" i="18"/>
  <c r="I76" i="18" s="1"/>
  <c r="AE76" i="18" s="1"/>
  <c r="O75" i="18"/>
  <c r="I75" i="18" s="1"/>
  <c r="O74" i="18"/>
  <c r="I74" i="18" s="1"/>
  <c r="O73" i="18"/>
  <c r="I73" i="18" s="1"/>
  <c r="O72" i="18"/>
  <c r="I72" i="18" s="1"/>
  <c r="O71" i="18"/>
  <c r="I71" i="18" s="1"/>
  <c r="O70" i="18"/>
  <c r="I70" i="18" s="1"/>
  <c r="O69" i="18"/>
  <c r="I69" i="18" s="1"/>
  <c r="AE69" i="18" s="1"/>
  <c r="R86" i="18"/>
  <c r="Q86" i="18" s="1"/>
  <c r="R84" i="18"/>
  <c r="R82" i="18"/>
  <c r="R80" i="18"/>
  <c r="Q80" i="18" s="1"/>
  <c r="R78" i="18"/>
  <c r="Q78" i="18" s="1"/>
  <c r="R75" i="18"/>
  <c r="R76" i="18" s="1"/>
  <c r="Q76" i="18" s="1"/>
  <c r="Y45" i="51"/>
  <c r="Y46" i="51"/>
  <c r="Y47" i="51"/>
  <c r="Y48" i="51"/>
  <c r="Y49" i="51"/>
  <c r="Y50" i="51"/>
  <c r="Y51" i="51"/>
  <c r="Y52" i="51"/>
  <c r="Y53" i="51"/>
  <c r="Y54" i="51"/>
  <c r="Y55" i="51"/>
  <c r="Y56" i="51"/>
  <c r="Y57" i="51"/>
  <c r="Y58" i="51"/>
  <c r="Y59" i="51"/>
  <c r="Y60" i="51"/>
  <c r="Y61" i="51"/>
  <c r="Y62" i="51"/>
  <c r="Y63" i="51"/>
  <c r="Y64" i="51"/>
  <c r="Y65" i="51"/>
  <c r="Y66" i="51"/>
  <c r="Y67" i="51"/>
  <c r="Y68" i="51"/>
  <c r="Y69" i="51"/>
  <c r="Y70" i="51"/>
  <c r="Y71" i="51"/>
  <c r="Y72" i="51"/>
  <c r="Y73" i="51"/>
  <c r="Y74" i="51"/>
  <c r="Y75" i="51"/>
  <c r="Y76" i="51"/>
  <c r="Y77" i="51"/>
  <c r="Y78" i="51"/>
  <c r="Y44" i="51"/>
  <c r="L70" i="51"/>
  <c r="L71" i="51"/>
  <c r="L72" i="51"/>
  <c r="L73" i="51"/>
  <c r="L74" i="51"/>
  <c r="L75" i="51"/>
  <c r="L76" i="51"/>
  <c r="L77" i="51"/>
  <c r="L78" i="51"/>
  <c r="I80" i="51"/>
  <c r="AA80" i="51" s="1"/>
  <c r="I81" i="51"/>
  <c r="AA81" i="51" s="1"/>
  <c r="I82" i="51"/>
  <c r="I83" i="51"/>
  <c r="I84" i="51"/>
  <c r="AA84" i="51" s="1"/>
  <c r="I85" i="51"/>
  <c r="AA85" i="51" s="1"/>
  <c r="I86" i="51"/>
  <c r="AA86" i="51" s="1"/>
  <c r="I87" i="51"/>
  <c r="I88" i="51"/>
  <c r="AA88" i="51" s="1"/>
  <c r="I89" i="51"/>
  <c r="AA89" i="51" s="1"/>
  <c r="I79" i="51"/>
  <c r="T45" i="51"/>
  <c r="T46" i="51"/>
  <c r="BB46" i="51" s="1"/>
  <c r="BA46" i="51" s="1"/>
  <c r="T47" i="51"/>
  <c r="BB47" i="51" s="1"/>
  <c r="BA47" i="51" s="1"/>
  <c r="T48" i="51"/>
  <c r="T49" i="51"/>
  <c r="BB49" i="51" s="1"/>
  <c r="BA49" i="51" s="1"/>
  <c r="T50" i="51"/>
  <c r="BB50" i="51" s="1"/>
  <c r="BA50" i="51" s="1"/>
  <c r="T51" i="51"/>
  <c r="T52" i="51"/>
  <c r="T53" i="51"/>
  <c r="T54" i="51"/>
  <c r="BB54" i="51" s="1"/>
  <c r="BA54" i="51" s="1"/>
  <c r="T55" i="51"/>
  <c r="BB55" i="51" s="1"/>
  <c r="BA55" i="51" s="1"/>
  <c r="T56" i="51"/>
  <c r="T57" i="51"/>
  <c r="BB57" i="51" s="1"/>
  <c r="BA57" i="51" s="1"/>
  <c r="T58" i="51"/>
  <c r="BB58" i="51" s="1"/>
  <c r="BA58" i="51" s="1"/>
  <c r="T59" i="51"/>
  <c r="T60" i="51"/>
  <c r="T61" i="51"/>
  <c r="T62" i="51"/>
  <c r="T63" i="51"/>
  <c r="T64" i="51"/>
  <c r="T65" i="51"/>
  <c r="T66" i="51"/>
  <c r="BB66" i="51" s="1"/>
  <c r="BA66" i="51" s="1"/>
  <c r="T67" i="51"/>
  <c r="BB67" i="51" s="1"/>
  <c r="BA67" i="51" s="1"/>
  <c r="T68" i="51"/>
  <c r="T69" i="51"/>
  <c r="BB69" i="51" s="1"/>
  <c r="BA69" i="51" s="1"/>
  <c r="T70" i="51"/>
  <c r="T71" i="51"/>
  <c r="BB71" i="51" s="1"/>
  <c r="BA71" i="51" s="1"/>
  <c r="T72" i="51"/>
  <c r="T73" i="51"/>
  <c r="BB73" i="51" s="1"/>
  <c r="BA73" i="51" s="1"/>
  <c r="T74" i="51"/>
  <c r="T75" i="51"/>
  <c r="T76" i="51"/>
  <c r="T77" i="51"/>
  <c r="BB77" i="51" s="1"/>
  <c r="BA77" i="51" s="1"/>
  <c r="T78" i="51"/>
  <c r="BB78" i="51" s="1"/>
  <c r="BA78" i="51" s="1"/>
  <c r="T79" i="51"/>
  <c r="T80" i="51"/>
  <c r="BB80" i="51" s="1"/>
  <c r="BA80" i="51" s="1"/>
  <c r="T81" i="51"/>
  <c r="T82" i="51"/>
  <c r="BB82" i="51" s="1"/>
  <c r="BA82" i="51" s="1"/>
  <c r="T83" i="51"/>
  <c r="T84" i="51"/>
  <c r="T85" i="51"/>
  <c r="BB85" i="51" s="1"/>
  <c r="BA85" i="51" s="1"/>
  <c r="T86" i="51"/>
  <c r="T87" i="51"/>
  <c r="T88" i="51"/>
  <c r="T89" i="51"/>
  <c r="O86" i="51"/>
  <c r="O84" i="51"/>
  <c r="N84" i="51" s="1"/>
  <c r="O82" i="51"/>
  <c r="N82" i="51" s="1"/>
  <c r="O80" i="51"/>
  <c r="N80" i="51" s="1"/>
  <c r="O78" i="51"/>
  <c r="N78" i="51" s="1"/>
  <c r="O75" i="51"/>
  <c r="O76" i="51" s="1"/>
  <c r="N76" i="51" s="1"/>
  <c r="W45" i="18"/>
  <c r="BE45" i="18" s="1"/>
  <c r="W46" i="18"/>
  <c r="W47" i="18"/>
  <c r="W48" i="18"/>
  <c r="W49" i="18"/>
  <c r="W50" i="18"/>
  <c r="W51" i="18"/>
  <c r="W52" i="18"/>
  <c r="BE52" i="18" s="1"/>
  <c r="W53" i="18"/>
  <c r="W54" i="18"/>
  <c r="W55" i="18"/>
  <c r="W56" i="18"/>
  <c r="W57" i="18"/>
  <c r="W58" i="18"/>
  <c r="W59" i="18"/>
  <c r="W60" i="18"/>
  <c r="W61" i="18"/>
  <c r="W62" i="18"/>
  <c r="W63" i="18"/>
  <c r="BE63" i="18" s="1"/>
  <c r="W64" i="18"/>
  <c r="W65" i="18"/>
  <c r="W66" i="18"/>
  <c r="W67" i="18"/>
  <c r="BE67" i="18" s="1"/>
  <c r="W68" i="18"/>
  <c r="W69" i="18"/>
  <c r="W70" i="18"/>
  <c r="W71" i="18"/>
  <c r="BE71" i="18" s="1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BE86" i="18" s="1"/>
  <c r="W87" i="18"/>
  <c r="W88" i="18"/>
  <c r="BE88" i="18" s="1"/>
  <c r="W89" i="18"/>
  <c r="Q87" i="18"/>
  <c r="Q85" i="18"/>
  <c r="Q84" i="18"/>
  <c r="Q83" i="18"/>
  <c r="Q82" i="18"/>
  <c r="Q81" i="18"/>
  <c r="Q79" i="18"/>
  <c r="F78" i="18"/>
  <c r="H78" i="18" s="1"/>
  <c r="Q77" i="18"/>
  <c r="F77" i="18"/>
  <c r="H77" i="18" s="1"/>
  <c r="F76" i="18"/>
  <c r="H76" i="18" s="1"/>
  <c r="F75" i="18"/>
  <c r="H75" i="18" s="1"/>
  <c r="Q74" i="18"/>
  <c r="F74" i="18"/>
  <c r="H74" i="18" s="1"/>
  <c r="F73" i="18"/>
  <c r="H73" i="18" s="1"/>
  <c r="F72" i="18"/>
  <c r="H72" i="18" s="1"/>
  <c r="F71" i="18"/>
  <c r="H71" i="18" s="1"/>
  <c r="F70" i="18"/>
  <c r="H70" i="18" s="1"/>
  <c r="F69" i="18"/>
  <c r="H69" i="18" s="1"/>
  <c r="F68" i="18"/>
  <c r="H68" i="18" s="1"/>
  <c r="I68" i="18" s="1"/>
  <c r="F67" i="18"/>
  <c r="H67" i="18" s="1"/>
  <c r="I67" i="18" s="1"/>
  <c r="F66" i="18"/>
  <c r="H66" i="18" s="1"/>
  <c r="I66" i="18" s="1"/>
  <c r="F65" i="18"/>
  <c r="H65" i="18" s="1"/>
  <c r="I65" i="18" s="1"/>
  <c r="F64" i="18"/>
  <c r="H64" i="18" s="1"/>
  <c r="I64" i="18" s="1"/>
  <c r="F63" i="18"/>
  <c r="H63" i="18" s="1"/>
  <c r="I63" i="18" s="1"/>
  <c r="F62" i="18"/>
  <c r="H62" i="18" s="1"/>
  <c r="I62" i="18" s="1"/>
  <c r="F61" i="18"/>
  <c r="H61" i="18" s="1"/>
  <c r="I61" i="18" s="1"/>
  <c r="F60" i="18"/>
  <c r="H60" i="18" s="1"/>
  <c r="I60" i="18" s="1"/>
  <c r="F59" i="18"/>
  <c r="H59" i="18" s="1"/>
  <c r="I59" i="18" s="1"/>
  <c r="F58" i="18"/>
  <c r="H58" i="18" s="1"/>
  <c r="I58" i="18" s="1"/>
  <c r="F57" i="18"/>
  <c r="H57" i="18" s="1"/>
  <c r="I57" i="18" s="1"/>
  <c r="F56" i="18"/>
  <c r="H56" i="18" s="1"/>
  <c r="I56" i="18" s="1"/>
  <c r="F55" i="18"/>
  <c r="H55" i="18" s="1"/>
  <c r="I55" i="18" s="1"/>
  <c r="F54" i="18"/>
  <c r="H54" i="18" s="1"/>
  <c r="I54" i="18" s="1"/>
  <c r="F53" i="18"/>
  <c r="H53" i="18" s="1"/>
  <c r="I53" i="18" s="1"/>
  <c r="F52" i="18"/>
  <c r="H52" i="18" s="1"/>
  <c r="I52" i="18" s="1"/>
  <c r="F51" i="18"/>
  <c r="H51" i="18" s="1"/>
  <c r="I51" i="18" s="1"/>
  <c r="F50" i="18"/>
  <c r="H50" i="18" s="1"/>
  <c r="I50" i="18" s="1"/>
  <c r="F49" i="18"/>
  <c r="H49" i="18" s="1"/>
  <c r="I49" i="18" s="1"/>
  <c r="F48" i="18"/>
  <c r="H48" i="18" s="1"/>
  <c r="I48" i="18" s="1"/>
  <c r="F47" i="18"/>
  <c r="H47" i="18" s="1"/>
  <c r="I47" i="18" s="1"/>
  <c r="F46" i="18"/>
  <c r="H46" i="18" s="1"/>
  <c r="I46" i="18" s="1"/>
  <c r="F45" i="18"/>
  <c r="H45" i="18" s="1"/>
  <c r="I45" i="18" s="1"/>
  <c r="F44" i="18"/>
  <c r="H44" i="18" s="1"/>
  <c r="I44" i="18" s="1"/>
  <c r="N87" i="51"/>
  <c r="N86" i="51"/>
  <c r="N85" i="51"/>
  <c r="N83" i="51"/>
  <c r="N81" i="51"/>
  <c r="N79" i="51"/>
  <c r="F78" i="51"/>
  <c r="H78" i="51" s="1"/>
  <c r="I78" i="51" s="1"/>
  <c r="AA78" i="51" s="1"/>
  <c r="N77" i="51"/>
  <c r="F77" i="51"/>
  <c r="H77" i="51" s="1"/>
  <c r="F76" i="51"/>
  <c r="H76" i="51" s="1"/>
  <c r="F75" i="51"/>
  <c r="H75" i="51" s="1"/>
  <c r="N74" i="51"/>
  <c r="F74" i="51"/>
  <c r="H74" i="51" s="1"/>
  <c r="F73" i="51"/>
  <c r="H73" i="51" s="1"/>
  <c r="H72" i="51"/>
  <c r="I72" i="51" s="1"/>
  <c r="F72" i="51"/>
  <c r="F71" i="51"/>
  <c r="H71" i="51" s="1"/>
  <c r="F70" i="51"/>
  <c r="H70" i="51" s="1"/>
  <c r="F69" i="51"/>
  <c r="H69" i="51" s="1"/>
  <c r="F68" i="51"/>
  <c r="H68" i="51" s="1"/>
  <c r="F67" i="51"/>
  <c r="H67" i="51" s="1"/>
  <c r="F66" i="51"/>
  <c r="H66" i="51" s="1"/>
  <c r="F65" i="51"/>
  <c r="H65" i="51" s="1"/>
  <c r="I65" i="51" s="1"/>
  <c r="F64" i="51"/>
  <c r="H64" i="51" s="1"/>
  <c r="F63" i="51"/>
  <c r="H63" i="51" s="1"/>
  <c r="F62" i="51"/>
  <c r="H62" i="51" s="1"/>
  <c r="F61" i="51"/>
  <c r="H61" i="51" s="1"/>
  <c r="F60" i="51"/>
  <c r="H60" i="51" s="1"/>
  <c r="F59" i="51"/>
  <c r="H59" i="51" s="1"/>
  <c r="F58" i="51"/>
  <c r="H58" i="51" s="1"/>
  <c r="F57" i="51"/>
  <c r="H57" i="51" s="1"/>
  <c r="I57" i="51" s="1"/>
  <c r="F56" i="51"/>
  <c r="H56" i="51" s="1"/>
  <c r="F55" i="51"/>
  <c r="H55" i="51" s="1"/>
  <c r="F54" i="51"/>
  <c r="H54" i="51" s="1"/>
  <c r="F53" i="51"/>
  <c r="H53" i="51" s="1"/>
  <c r="F52" i="51"/>
  <c r="H52" i="51" s="1"/>
  <c r="F51" i="51"/>
  <c r="H51" i="51" s="1"/>
  <c r="F50" i="51"/>
  <c r="H50" i="51" s="1"/>
  <c r="F49" i="51"/>
  <c r="H49" i="51" s="1"/>
  <c r="I49" i="51" s="1"/>
  <c r="F48" i="51"/>
  <c r="H48" i="51" s="1"/>
  <c r="F47" i="51"/>
  <c r="H47" i="51" s="1"/>
  <c r="F46" i="51"/>
  <c r="H46" i="51" s="1"/>
  <c r="F45" i="51"/>
  <c r="H45" i="51" s="1"/>
  <c r="F44" i="51"/>
  <c r="H44" i="51" s="1"/>
  <c r="P77" i="3"/>
  <c r="P79" i="3"/>
  <c r="P81" i="3"/>
  <c r="P83" i="3"/>
  <c r="P74" i="3"/>
  <c r="I80" i="3"/>
  <c r="I81" i="3"/>
  <c r="I82" i="3"/>
  <c r="I83" i="3"/>
  <c r="I84" i="3"/>
  <c r="I85" i="3"/>
  <c r="I86" i="3"/>
  <c r="I87" i="3"/>
  <c r="I88" i="3"/>
  <c r="I89" i="3"/>
  <c r="I79" i="3"/>
  <c r="V45" i="3"/>
  <c r="BB46" i="3"/>
  <c r="BA46" i="3" s="1"/>
  <c r="V47" i="3"/>
  <c r="BB47" i="3" s="1"/>
  <c r="BA47" i="3" s="1"/>
  <c r="V48" i="3"/>
  <c r="BB48" i="3" s="1"/>
  <c r="BA48" i="3" s="1"/>
  <c r="V49" i="3"/>
  <c r="BB49" i="3" s="1"/>
  <c r="BA49" i="3" s="1"/>
  <c r="V50" i="3"/>
  <c r="BB50" i="3" s="1"/>
  <c r="BA50" i="3" s="1"/>
  <c r="V51" i="3"/>
  <c r="BB51" i="3" s="1"/>
  <c r="BA51" i="3" s="1"/>
  <c r="V52" i="3"/>
  <c r="BB52" i="3" s="1"/>
  <c r="BA52" i="3" s="1"/>
  <c r="V53" i="3"/>
  <c r="BB53" i="3" s="1"/>
  <c r="BA53" i="3" s="1"/>
  <c r="V54" i="3"/>
  <c r="BB54" i="3" s="1"/>
  <c r="BA54" i="3" s="1"/>
  <c r="V55" i="3"/>
  <c r="BB55" i="3" s="1"/>
  <c r="BA55" i="3" s="1"/>
  <c r="V56" i="3"/>
  <c r="BB56" i="3" s="1"/>
  <c r="BA56" i="3" s="1"/>
  <c r="V57" i="3"/>
  <c r="BB57" i="3" s="1"/>
  <c r="BA57" i="3" s="1"/>
  <c r="V58" i="3"/>
  <c r="BB58" i="3" s="1"/>
  <c r="BA58" i="3" s="1"/>
  <c r="V59" i="3"/>
  <c r="BB59" i="3" s="1"/>
  <c r="BA59" i="3" s="1"/>
  <c r="V60" i="3"/>
  <c r="BB60" i="3" s="1"/>
  <c r="BA60" i="3" s="1"/>
  <c r="V61" i="3"/>
  <c r="BB61" i="3" s="1"/>
  <c r="BA61" i="3" s="1"/>
  <c r="V62" i="3"/>
  <c r="BB62" i="3" s="1"/>
  <c r="BA62" i="3" s="1"/>
  <c r="V63" i="3"/>
  <c r="BB63" i="3" s="1"/>
  <c r="BA63" i="3" s="1"/>
  <c r="V64" i="3"/>
  <c r="BB64" i="3" s="1"/>
  <c r="BA64" i="3" s="1"/>
  <c r="V65" i="3"/>
  <c r="BB65" i="3" s="1"/>
  <c r="BA65" i="3" s="1"/>
  <c r="V66" i="3"/>
  <c r="BB66" i="3" s="1"/>
  <c r="BA66" i="3" s="1"/>
  <c r="V67" i="3"/>
  <c r="BB67" i="3" s="1"/>
  <c r="BA67" i="3" s="1"/>
  <c r="V68" i="3"/>
  <c r="BB68" i="3" s="1"/>
  <c r="BA68" i="3" s="1"/>
  <c r="V69" i="3"/>
  <c r="BB69" i="3" s="1"/>
  <c r="BA69" i="3" s="1"/>
  <c r="V70" i="3"/>
  <c r="BB70" i="3" s="1"/>
  <c r="BA70" i="3" s="1"/>
  <c r="V71" i="3"/>
  <c r="BB71" i="3" s="1"/>
  <c r="BA71" i="3" s="1"/>
  <c r="V72" i="3"/>
  <c r="BB72" i="3" s="1"/>
  <c r="BA72" i="3" s="1"/>
  <c r="V73" i="3"/>
  <c r="BB73" i="3" s="1"/>
  <c r="BA73" i="3" s="1"/>
  <c r="V74" i="3"/>
  <c r="BB74" i="3" s="1"/>
  <c r="BA74" i="3" s="1"/>
  <c r="V75" i="3"/>
  <c r="BB75" i="3" s="1"/>
  <c r="BA75" i="3" s="1"/>
  <c r="V76" i="3"/>
  <c r="BB76" i="3" s="1"/>
  <c r="BA76" i="3" s="1"/>
  <c r="V77" i="3"/>
  <c r="BB77" i="3" s="1"/>
  <c r="BA77" i="3" s="1"/>
  <c r="V78" i="3"/>
  <c r="BB78" i="3" s="1"/>
  <c r="BA78" i="3" s="1"/>
  <c r="V79" i="3"/>
  <c r="BB79" i="3" s="1"/>
  <c r="BA79" i="3" s="1"/>
  <c r="V80" i="3"/>
  <c r="BB80" i="3" s="1"/>
  <c r="BA80" i="3" s="1"/>
  <c r="V81" i="3"/>
  <c r="BB81" i="3" s="1"/>
  <c r="BA81" i="3" s="1"/>
  <c r="V82" i="3"/>
  <c r="BB82" i="3" s="1"/>
  <c r="BA82" i="3" s="1"/>
  <c r="V83" i="3"/>
  <c r="BB83" i="3" s="1"/>
  <c r="BA83" i="3" s="1"/>
  <c r="V88" i="3"/>
  <c r="BB88" i="3" s="1"/>
  <c r="BA88" i="3" s="1"/>
  <c r="V89" i="3"/>
  <c r="BA44" i="3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6" i="4"/>
  <c r="T76" i="4" s="1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5" i="4"/>
  <c r="Q96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AQ87" i="104" l="1"/>
  <c r="AR72" i="104"/>
  <c r="AQ86" i="104"/>
  <c r="AR86" i="104" s="1"/>
  <c r="P72" i="104"/>
  <c r="X24" i="195"/>
  <c r="P87" i="104"/>
  <c r="P86" i="104"/>
  <c r="AX64" i="104"/>
  <c r="AW64" i="104" s="1"/>
  <c r="BJ64" i="104" s="1"/>
  <c r="X32" i="195"/>
  <c r="J64" i="104"/>
  <c r="AQ82" i="104"/>
  <c r="AR82" i="104" s="1"/>
  <c r="P82" i="104"/>
  <c r="J72" i="104"/>
  <c r="AQ83" i="104"/>
  <c r="P64" i="104"/>
  <c r="Y47" i="103"/>
  <c r="AR47" i="103" s="1"/>
  <c r="Y57" i="103"/>
  <c r="AR57" i="103" s="1"/>
  <c r="AT47" i="103"/>
  <c r="AU47" i="103" s="1"/>
  <c r="Y65" i="103"/>
  <c r="AR65" i="103" s="1"/>
  <c r="W23" i="195"/>
  <c r="AU51" i="103"/>
  <c r="J79" i="103"/>
  <c r="AU53" i="103"/>
  <c r="Y51" i="103"/>
  <c r="AR51" i="103" s="1"/>
  <c r="AU61" i="103"/>
  <c r="BA86" i="103"/>
  <c r="AT57" i="103"/>
  <c r="AU57" i="103" s="1"/>
  <c r="Y50" i="103"/>
  <c r="AR50" i="103" s="1"/>
  <c r="AU60" i="103"/>
  <c r="P57" i="103"/>
  <c r="U25" i="195"/>
  <c r="P63" i="102"/>
  <c r="P68" i="102"/>
  <c r="AX65" i="102"/>
  <c r="AW65" i="102" s="1"/>
  <c r="BG65" i="102" s="1"/>
  <c r="P60" i="102"/>
  <c r="J63" i="102"/>
  <c r="P65" i="102"/>
  <c r="J65" i="102"/>
  <c r="AY80" i="101"/>
  <c r="BJ89" i="23"/>
  <c r="Y122" i="23"/>
  <c r="AU86" i="103"/>
  <c r="AW97" i="22"/>
  <c r="K130" i="22" s="1"/>
  <c r="P130" i="22"/>
  <c r="J87" i="103"/>
  <c r="J86" i="103"/>
  <c r="AT87" i="103"/>
  <c r="BA87" i="103" s="1"/>
  <c r="AZ87" i="103" s="1"/>
  <c r="BP87" i="103" s="1"/>
  <c r="P86" i="103"/>
  <c r="I67" i="51"/>
  <c r="AB78" i="51"/>
  <c r="AB86" i="51"/>
  <c r="I75" i="51"/>
  <c r="AB84" i="51"/>
  <c r="AB85" i="51"/>
  <c r="AB89" i="51"/>
  <c r="AB81" i="51"/>
  <c r="AB88" i="51"/>
  <c r="AB80" i="51"/>
  <c r="AA69" i="63"/>
  <c r="AE69" i="63"/>
  <c r="AI76" i="63"/>
  <c r="AE76" i="63"/>
  <c r="AE70" i="63"/>
  <c r="AS70" i="63" s="1"/>
  <c r="AA69" i="25"/>
  <c r="AP69" i="25" s="1"/>
  <c r="AP89" i="25"/>
  <c r="AD89" i="25"/>
  <c r="AA73" i="25"/>
  <c r="AP73" i="25" s="1"/>
  <c r="Q20" i="193"/>
  <c r="Q19" i="490" s="1"/>
  <c r="AB59" i="27"/>
  <c r="AQ59" i="27" s="1"/>
  <c r="AZ55" i="101"/>
  <c r="P80" i="101"/>
  <c r="BF55" i="101"/>
  <c r="BE55" i="101" s="1"/>
  <c r="BQ55" i="101" s="1"/>
  <c r="J87" i="101"/>
  <c r="P55" i="101"/>
  <c r="J55" i="101"/>
  <c r="AZ63" i="101"/>
  <c r="BF60" i="101"/>
  <c r="BE60" i="101" s="1"/>
  <c r="BQ60" i="101" s="1"/>
  <c r="AE87" i="101"/>
  <c r="AG87" i="101" s="1"/>
  <c r="T20" i="195"/>
  <c r="AY87" i="101"/>
  <c r="AZ87" i="101" s="1"/>
  <c r="P60" i="101"/>
  <c r="J60" i="101"/>
  <c r="J63" i="101"/>
  <c r="AE85" i="101"/>
  <c r="AG85" i="101" s="1"/>
  <c r="J80" i="101"/>
  <c r="AY85" i="101"/>
  <c r="BF85" i="101" s="1"/>
  <c r="BE85" i="101" s="1"/>
  <c r="BQ85" i="101" s="1"/>
  <c r="BF71" i="101"/>
  <c r="BE71" i="101" s="1"/>
  <c r="BQ71" i="101" s="1"/>
  <c r="P63" i="101"/>
  <c r="P85" i="101"/>
  <c r="BF63" i="101"/>
  <c r="BE63" i="101" s="1"/>
  <c r="BQ63" i="101" s="1"/>
  <c r="T31" i="195"/>
  <c r="J66" i="101"/>
  <c r="J64" i="101"/>
  <c r="J59" i="101"/>
  <c r="AZ64" i="101"/>
  <c r="BF64" i="101"/>
  <c r="BE64" i="101" s="1"/>
  <c r="BQ64" i="101" s="1"/>
  <c r="T22" i="195"/>
  <c r="J89" i="101"/>
  <c r="P56" i="101"/>
  <c r="P64" i="101"/>
  <c r="J61" i="101"/>
  <c r="J77" i="101"/>
  <c r="AZ62" i="101"/>
  <c r="U122" i="101"/>
  <c r="AC122" i="101" s="1"/>
  <c r="AD122" i="101" s="1"/>
  <c r="AE122" i="101" s="1"/>
  <c r="AF122" i="101" s="1"/>
  <c r="BP89" i="101"/>
  <c r="BF76" i="101"/>
  <c r="BE76" i="101" s="1"/>
  <c r="BQ76" i="101" s="1"/>
  <c r="P77" i="101"/>
  <c r="BG62" i="101"/>
  <c r="BP62" i="101"/>
  <c r="P58" i="101"/>
  <c r="J65" i="101"/>
  <c r="AE81" i="101"/>
  <c r="AG81" i="101" s="1"/>
  <c r="BF77" i="101"/>
  <c r="BE77" i="101" s="1"/>
  <c r="BQ77" i="101" s="1"/>
  <c r="BF59" i="101"/>
  <c r="BE59" i="101" s="1"/>
  <c r="BQ59" i="101" s="1"/>
  <c r="AY79" i="101"/>
  <c r="AZ79" i="101" s="1"/>
  <c r="P59" i="101"/>
  <c r="AY81" i="101"/>
  <c r="T41" i="195" s="1"/>
  <c r="T37" i="195"/>
  <c r="BF56" i="101"/>
  <c r="BE56" i="101" s="1"/>
  <c r="BQ56" i="101" s="1"/>
  <c r="P79" i="101"/>
  <c r="AE89" i="101"/>
  <c r="AG89" i="101" s="1"/>
  <c r="AZ58" i="101"/>
  <c r="P81" i="101"/>
  <c r="BF61" i="101"/>
  <c r="BE61" i="101" s="1"/>
  <c r="BQ61" i="101" s="1"/>
  <c r="BP76" i="101"/>
  <c r="P62" i="101"/>
  <c r="J62" i="101"/>
  <c r="J67" i="102"/>
  <c r="J86" i="102"/>
  <c r="AY52" i="102"/>
  <c r="BF52" i="102"/>
  <c r="P86" i="102"/>
  <c r="U24" i="195"/>
  <c r="AY61" i="102"/>
  <c r="BF61" i="102"/>
  <c r="AX64" i="102"/>
  <c r="AW64" i="102" s="1"/>
  <c r="BG64" i="102" s="1"/>
  <c r="AY63" i="102"/>
  <c r="BF63" i="102"/>
  <c r="AY49" i="102"/>
  <c r="BF49" i="102"/>
  <c r="AY51" i="102"/>
  <c r="BF51" i="102"/>
  <c r="BF65" i="102"/>
  <c r="U46" i="195"/>
  <c r="AY53" i="102"/>
  <c r="BF53" i="102"/>
  <c r="J64" i="102"/>
  <c r="W21" i="195"/>
  <c r="Y52" i="103"/>
  <c r="AR52" i="103" s="1"/>
  <c r="P52" i="103"/>
  <c r="W20" i="195"/>
  <c r="P61" i="103"/>
  <c r="J61" i="103"/>
  <c r="AY60" i="103"/>
  <c r="BO60" i="103" s="1"/>
  <c r="Y61" i="103"/>
  <c r="AR61" i="103" s="1"/>
  <c r="Y62" i="103"/>
  <c r="AR62" i="103" s="1"/>
  <c r="AY65" i="104"/>
  <c r="BI65" i="104"/>
  <c r="AY61" i="22"/>
  <c r="AX61" i="22" s="1"/>
  <c r="AY72" i="22"/>
  <c r="AX72" i="22" s="1"/>
  <c r="AY76" i="22"/>
  <c r="AX76" i="22" s="1"/>
  <c r="AY80" i="22"/>
  <c r="AX80" i="22" s="1"/>
  <c r="AY84" i="22"/>
  <c r="AX84" i="22" s="1"/>
  <c r="AY89" i="22"/>
  <c r="AX89" i="22" s="1"/>
  <c r="AY73" i="22"/>
  <c r="AX73" i="22" s="1"/>
  <c r="AY77" i="22"/>
  <c r="AX77" i="22" s="1"/>
  <c r="AY81" i="22"/>
  <c r="AX81" i="22" s="1"/>
  <c r="AY85" i="22"/>
  <c r="AX85" i="22" s="1"/>
  <c r="AY69" i="22"/>
  <c r="AX69" i="22" s="1"/>
  <c r="AY46" i="22"/>
  <c r="AX46" i="22" s="1"/>
  <c r="AY50" i="22"/>
  <c r="AX50" i="22" s="1"/>
  <c r="AY54" i="22"/>
  <c r="AX54" i="22" s="1"/>
  <c r="AY58" i="22"/>
  <c r="AX58" i="22" s="1"/>
  <c r="AY62" i="22"/>
  <c r="AX62" i="22" s="1"/>
  <c r="AY66" i="22"/>
  <c r="AX66" i="22" s="1"/>
  <c r="AY70" i="22"/>
  <c r="AX70" i="22" s="1"/>
  <c r="AY53" i="22"/>
  <c r="AX53" i="22" s="1"/>
  <c r="AY74" i="22"/>
  <c r="AX74" i="22" s="1"/>
  <c r="AY78" i="22"/>
  <c r="AX78" i="22" s="1"/>
  <c r="AY82" i="22"/>
  <c r="AX82" i="22" s="1"/>
  <c r="AY86" i="22"/>
  <c r="AX86" i="22" s="1"/>
  <c r="AY45" i="22"/>
  <c r="AX45" i="22" s="1"/>
  <c r="AY65" i="22"/>
  <c r="AX65" i="22" s="1"/>
  <c r="AY47" i="22"/>
  <c r="AX47" i="22" s="1"/>
  <c r="AY51" i="22"/>
  <c r="AX51" i="22" s="1"/>
  <c r="AY55" i="22"/>
  <c r="AX55" i="22" s="1"/>
  <c r="AY59" i="22"/>
  <c r="AX59" i="22" s="1"/>
  <c r="AY63" i="22"/>
  <c r="AX63" i="22" s="1"/>
  <c r="AY67" i="22"/>
  <c r="AX67" i="22" s="1"/>
  <c r="AY71" i="22"/>
  <c r="AX71" i="22" s="1"/>
  <c r="AY49" i="22"/>
  <c r="AX49" i="22" s="1"/>
  <c r="AY75" i="22"/>
  <c r="AX75" i="22" s="1"/>
  <c r="AY79" i="22"/>
  <c r="AX79" i="22" s="1"/>
  <c r="AY83" i="22"/>
  <c r="AX83" i="22" s="1"/>
  <c r="AY87" i="22"/>
  <c r="AX87" i="22" s="1"/>
  <c r="AY57" i="22"/>
  <c r="AX57" i="22" s="1"/>
  <c r="AY48" i="22"/>
  <c r="AX48" i="22" s="1"/>
  <c r="AY56" i="22"/>
  <c r="AX56" i="22" s="1"/>
  <c r="AY64" i="22"/>
  <c r="AX64" i="22" s="1"/>
  <c r="AY68" i="22"/>
  <c r="AX68" i="22" s="1"/>
  <c r="X38" i="195"/>
  <c r="J48" i="103"/>
  <c r="Y48" i="103"/>
  <c r="AR48" i="103" s="1"/>
  <c r="AT48" i="103"/>
  <c r="BB59" i="103"/>
  <c r="BA76" i="103"/>
  <c r="BB76" i="103" s="1"/>
  <c r="AT85" i="103"/>
  <c r="BA85" i="103" s="1"/>
  <c r="AZ85" i="103" s="1"/>
  <c r="BP85" i="103" s="1"/>
  <c r="P85" i="103"/>
  <c r="AT84" i="103"/>
  <c r="P84" i="103"/>
  <c r="W36" i="195"/>
  <c r="AT79" i="103"/>
  <c r="J76" i="103"/>
  <c r="P76" i="103"/>
  <c r="P71" i="101"/>
  <c r="J71" i="101"/>
  <c r="J76" i="101"/>
  <c r="P76" i="101"/>
  <c r="P57" i="104"/>
  <c r="AX61" i="104"/>
  <c r="AW61" i="104" s="1"/>
  <c r="BJ61" i="104" s="1"/>
  <c r="P59" i="104"/>
  <c r="AQ85" i="104"/>
  <c r="AX85" i="104" s="1"/>
  <c r="J59" i="104"/>
  <c r="AR59" i="104"/>
  <c r="AQ84" i="104"/>
  <c r="P84" i="104"/>
  <c r="AQ75" i="104"/>
  <c r="P75" i="104"/>
  <c r="AQ89" i="104"/>
  <c r="P89" i="104"/>
  <c r="AQ88" i="104"/>
  <c r="P88" i="104"/>
  <c r="P61" i="104"/>
  <c r="J88" i="104"/>
  <c r="P85" i="104"/>
  <c r="J61" i="104"/>
  <c r="AQ80" i="104"/>
  <c r="P80" i="104"/>
  <c r="J62" i="104"/>
  <c r="AY72" i="104"/>
  <c r="AQ62" i="104"/>
  <c r="AR62" i="104" s="1"/>
  <c r="Y49" i="104"/>
  <c r="AO49" i="104" s="1"/>
  <c r="AP49" i="104"/>
  <c r="X19" i="195"/>
  <c r="J57" i="104"/>
  <c r="AR57" i="104"/>
  <c r="X17" i="195"/>
  <c r="J75" i="104"/>
  <c r="AQ74" i="104"/>
  <c r="P74" i="104"/>
  <c r="X21" i="195"/>
  <c r="J74" i="104"/>
  <c r="AB69" i="103"/>
  <c r="AT69" i="103" s="1"/>
  <c r="AS69" i="103"/>
  <c r="AB74" i="103"/>
  <c r="AS74" i="103"/>
  <c r="AT44" i="103"/>
  <c r="AU44" i="103" s="1"/>
  <c r="AT88" i="103"/>
  <c r="BA88" i="103" s="1"/>
  <c r="AZ88" i="103" s="1"/>
  <c r="BP88" i="103" s="1"/>
  <c r="W25" i="195"/>
  <c r="AY63" i="103"/>
  <c r="P44" i="103"/>
  <c r="P88" i="103"/>
  <c r="BA65" i="103"/>
  <c r="AZ65" i="103" s="1"/>
  <c r="BP65" i="103" s="1"/>
  <c r="AT46" i="103"/>
  <c r="W6" i="195" s="1"/>
  <c r="AT80" i="103"/>
  <c r="Y46" i="103"/>
  <c r="AR46" i="103" s="1"/>
  <c r="Y64" i="103"/>
  <c r="AR64" i="103" s="1"/>
  <c r="AB73" i="103"/>
  <c r="P73" i="103" s="1"/>
  <c r="AS73" i="103"/>
  <c r="P46" i="103"/>
  <c r="AT89" i="103"/>
  <c r="AU89" i="103" s="1"/>
  <c r="AT77" i="103"/>
  <c r="P77" i="103"/>
  <c r="AT71" i="103"/>
  <c r="P71" i="103"/>
  <c r="P65" i="103"/>
  <c r="Y63" i="103"/>
  <c r="AR63" i="103" s="1"/>
  <c r="P89" i="103"/>
  <c r="AB75" i="103"/>
  <c r="AS75" i="103"/>
  <c r="AB72" i="103"/>
  <c r="AS72" i="103"/>
  <c r="Y44" i="103"/>
  <c r="AR44" i="103" s="1"/>
  <c r="AS44" i="103"/>
  <c r="J65" i="103"/>
  <c r="AB70" i="103"/>
  <c r="AS70" i="103"/>
  <c r="AT82" i="103"/>
  <c r="P82" i="103"/>
  <c r="J71" i="103"/>
  <c r="Y122" i="103"/>
  <c r="U122" i="103"/>
  <c r="AC122" i="103" s="1"/>
  <c r="AD122" i="103" s="1"/>
  <c r="AE122" i="103" s="1"/>
  <c r="AF122" i="103" s="1"/>
  <c r="AQ82" i="102"/>
  <c r="P82" i="102"/>
  <c r="AQ71" i="102"/>
  <c r="P71" i="102"/>
  <c r="J62" i="102"/>
  <c r="AQ77" i="102"/>
  <c r="P77" i="102"/>
  <c r="J60" i="102"/>
  <c r="AR60" i="102"/>
  <c r="U20" i="195"/>
  <c r="J70" i="102"/>
  <c r="AQ73" i="102"/>
  <c r="P73" i="102"/>
  <c r="U30" i="195"/>
  <c r="AR62" i="102"/>
  <c r="J77" i="102"/>
  <c r="AQ76" i="102"/>
  <c r="P76" i="102"/>
  <c r="U22" i="195"/>
  <c r="AR90" i="102"/>
  <c r="Y122" i="102"/>
  <c r="U122" i="102"/>
  <c r="AC122" i="102" s="1"/>
  <c r="AD122" i="102" s="1"/>
  <c r="AE122" i="102" s="1"/>
  <c r="AF122" i="102" s="1"/>
  <c r="P62" i="102"/>
  <c r="P70" i="102"/>
  <c r="AQ74" i="102"/>
  <c r="P74" i="102"/>
  <c r="AQ69" i="102"/>
  <c r="P69" i="102"/>
  <c r="J73" i="101"/>
  <c r="AZ73" i="101"/>
  <c r="P84" i="101"/>
  <c r="P73" i="101"/>
  <c r="BG73" i="101"/>
  <c r="P54" i="101"/>
  <c r="T33" i="195"/>
  <c r="Y122" i="101"/>
  <c r="BF54" i="101"/>
  <c r="BE54" i="101" s="1"/>
  <c r="BQ54" i="101" s="1"/>
  <c r="J54" i="101"/>
  <c r="T14" i="195"/>
  <c r="AY74" i="101"/>
  <c r="P74" i="101"/>
  <c r="AE84" i="101"/>
  <c r="AG84" i="101" s="1"/>
  <c r="AY69" i="101"/>
  <c r="P69" i="101"/>
  <c r="AA88" i="27"/>
  <c r="AP88" i="27" s="1"/>
  <c r="Q49" i="193"/>
  <c r="AB90" i="27"/>
  <c r="AQ90" i="27" s="1"/>
  <c r="AP90" i="27"/>
  <c r="AC84" i="23"/>
  <c r="AR84" i="23" s="1"/>
  <c r="AQ84" i="23"/>
  <c r="AC79" i="23"/>
  <c r="AR79" i="23" s="1"/>
  <c r="AQ79" i="23"/>
  <c r="AC87" i="23"/>
  <c r="AR87" i="23" s="1"/>
  <c r="AQ87" i="23"/>
  <c r="AC82" i="23"/>
  <c r="AR82" i="23" s="1"/>
  <c r="AQ82" i="23"/>
  <c r="AC85" i="23"/>
  <c r="AR85" i="23" s="1"/>
  <c r="AQ85" i="23"/>
  <c r="AC80" i="23"/>
  <c r="Q80" i="23" s="1"/>
  <c r="AQ80" i="23"/>
  <c r="AC88" i="23"/>
  <c r="AQ88" i="23"/>
  <c r="AC83" i="23"/>
  <c r="AR83" i="23" s="1"/>
  <c r="AQ83" i="23"/>
  <c r="AC86" i="23"/>
  <c r="AR86" i="23" s="1"/>
  <c r="AQ86" i="23"/>
  <c r="AC89" i="23"/>
  <c r="AQ89" i="23"/>
  <c r="AC81" i="23"/>
  <c r="AQ81" i="23"/>
  <c r="J39" i="193"/>
  <c r="AB78" i="20"/>
  <c r="AD90" i="19"/>
  <c r="AR90" i="19" s="1"/>
  <c r="AY90" i="19" s="1"/>
  <c r="AQ90" i="19"/>
  <c r="AF81" i="29"/>
  <c r="AT81" i="29"/>
  <c r="AF89" i="29"/>
  <c r="T89" i="29" s="1"/>
  <c r="AT89" i="29"/>
  <c r="AF84" i="29"/>
  <c r="AT84" i="29"/>
  <c r="AF88" i="29"/>
  <c r="AU88" i="29" s="1"/>
  <c r="AT88" i="29"/>
  <c r="AF83" i="29"/>
  <c r="AT83" i="29"/>
  <c r="AF85" i="29"/>
  <c r="AT85" i="29"/>
  <c r="AF86" i="29"/>
  <c r="AT86" i="29"/>
  <c r="AF90" i="29"/>
  <c r="AU90" i="29" s="1"/>
  <c r="AV90" i="29" s="1"/>
  <c r="AT90" i="29"/>
  <c r="AF82" i="29"/>
  <c r="AT82" i="29"/>
  <c r="AF87" i="29"/>
  <c r="AT87" i="29"/>
  <c r="AF88" i="63"/>
  <c r="AS88" i="63"/>
  <c r="AF82" i="63"/>
  <c r="AT82" i="63" s="1"/>
  <c r="AS82" i="63"/>
  <c r="AF76" i="18"/>
  <c r="AU76" i="18" s="1"/>
  <c r="AT76" i="18"/>
  <c r="AF69" i="18"/>
  <c r="AU69" i="18" s="1"/>
  <c r="AT69" i="18"/>
  <c r="AF77" i="18"/>
  <c r="AU77" i="18" s="1"/>
  <c r="AT77" i="18"/>
  <c r="AF90" i="18"/>
  <c r="AU90" i="18" s="1"/>
  <c r="BB90" i="18" s="1"/>
  <c r="AT90" i="18"/>
  <c r="BB45" i="3"/>
  <c r="BA45" i="3" s="1"/>
  <c r="U122" i="104"/>
  <c r="AC122" i="104" s="1"/>
  <c r="AD122" i="104" s="1"/>
  <c r="AE122" i="104" s="1"/>
  <c r="AF122" i="104" s="1"/>
  <c r="Y122" i="104"/>
  <c r="AY78" i="104"/>
  <c r="AY73" i="104"/>
  <c r="AY64" i="102"/>
  <c r="AY58" i="102"/>
  <c r="AY54" i="102"/>
  <c r="BG66" i="101"/>
  <c r="BG56" i="101"/>
  <c r="U122" i="23"/>
  <c r="AC122" i="23" s="1"/>
  <c r="AD122" i="23" s="1"/>
  <c r="AE122" i="23" s="1"/>
  <c r="AF122" i="23" s="1"/>
  <c r="I50" i="51"/>
  <c r="I44" i="51"/>
  <c r="I52" i="51"/>
  <c r="AB52" i="51" s="1"/>
  <c r="AR52" i="51" s="1"/>
  <c r="AS52" i="51" s="1"/>
  <c r="I46" i="51"/>
  <c r="I47" i="51"/>
  <c r="I48" i="51"/>
  <c r="AT66" i="103"/>
  <c r="AU66" i="103" s="1"/>
  <c r="BB65" i="103"/>
  <c r="AY60" i="102"/>
  <c r="AY46" i="102"/>
  <c r="I60" i="51"/>
  <c r="AA60" i="51" s="1"/>
  <c r="AY57" i="104"/>
  <c r="AY63" i="104"/>
  <c r="P79" i="104"/>
  <c r="AY53" i="104"/>
  <c r="AY59" i="104"/>
  <c r="BB86" i="103"/>
  <c r="AT50" i="103"/>
  <c r="W10" i="195" s="1"/>
  <c r="AZ86" i="103"/>
  <c r="BP86" i="103" s="1"/>
  <c r="P50" i="103"/>
  <c r="J50" i="103"/>
  <c r="P66" i="103"/>
  <c r="Y66" i="103"/>
  <c r="AR66" i="103" s="1"/>
  <c r="BB64" i="103"/>
  <c r="BB61" i="103"/>
  <c r="J80" i="102"/>
  <c r="J66" i="102"/>
  <c r="AY57" i="102"/>
  <c r="BG77" i="101"/>
  <c r="BG71" i="101"/>
  <c r="J78" i="101"/>
  <c r="BG44" i="101"/>
  <c r="BG58" i="101"/>
  <c r="BA44" i="27"/>
  <c r="AZ44" i="27" s="1"/>
  <c r="BA68" i="27"/>
  <c r="AZ68" i="27" s="1"/>
  <c r="BA64" i="27"/>
  <c r="AZ64" i="27" s="1"/>
  <c r="BA86" i="27"/>
  <c r="AZ86" i="27" s="1"/>
  <c r="BA45" i="27"/>
  <c r="AZ45" i="27" s="1"/>
  <c r="BA49" i="27"/>
  <c r="AZ49" i="27" s="1"/>
  <c r="BA53" i="27"/>
  <c r="AZ53" i="27" s="1"/>
  <c r="BA57" i="27"/>
  <c r="AZ57" i="27" s="1"/>
  <c r="BA61" i="27"/>
  <c r="AZ61" i="27" s="1"/>
  <c r="BA65" i="27"/>
  <c r="AZ65" i="27" s="1"/>
  <c r="BA69" i="27"/>
  <c r="AZ69" i="27" s="1"/>
  <c r="BA73" i="27"/>
  <c r="AZ73" i="27" s="1"/>
  <c r="BA76" i="27"/>
  <c r="AZ76" i="27" s="1"/>
  <c r="BA79" i="27"/>
  <c r="AZ79" i="27" s="1"/>
  <c r="BA83" i="27"/>
  <c r="AZ83" i="27" s="1"/>
  <c r="BA87" i="27"/>
  <c r="AZ87" i="27" s="1"/>
  <c r="BA56" i="27"/>
  <c r="AZ56" i="27" s="1"/>
  <c r="BA46" i="27"/>
  <c r="AZ46" i="27" s="1"/>
  <c r="BA50" i="27"/>
  <c r="AZ50" i="27" s="1"/>
  <c r="BA54" i="27"/>
  <c r="AZ54" i="27" s="1"/>
  <c r="BA58" i="27"/>
  <c r="AZ58" i="27" s="1"/>
  <c r="BA62" i="27"/>
  <c r="AZ62" i="27" s="1"/>
  <c r="BA66" i="27"/>
  <c r="AZ66" i="27" s="1"/>
  <c r="BA70" i="27"/>
  <c r="AZ70" i="27" s="1"/>
  <c r="BA74" i="27"/>
  <c r="AZ74" i="27" s="1"/>
  <c r="BA80" i="27"/>
  <c r="AZ80" i="27" s="1"/>
  <c r="BA84" i="27"/>
  <c r="AZ84" i="27" s="1"/>
  <c r="BA88" i="27"/>
  <c r="AZ88" i="27" s="1"/>
  <c r="BA48" i="27"/>
  <c r="AZ48" i="27" s="1"/>
  <c r="BA78" i="27"/>
  <c r="AZ78" i="27" s="1"/>
  <c r="BA77" i="27"/>
  <c r="AZ77" i="27" s="1"/>
  <c r="BA60" i="27"/>
  <c r="AZ60" i="27" s="1"/>
  <c r="BA82" i="27"/>
  <c r="AZ82" i="27" s="1"/>
  <c r="BA47" i="27"/>
  <c r="AZ47" i="27" s="1"/>
  <c r="BA51" i="27"/>
  <c r="AZ51" i="27" s="1"/>
  <c r="BA55" i="27"/>
  <c r="AZ55" i="27" s="1"/>
  <c r="BA59" i="27"/>
  <c r="AZ59" i="27" s="1"/>
  <c r="BA63" i="27"/>
  <c r="AZ63" i="27" s="1"/>
  <c r="BA67" i="27"/>
  <c r="AZ67" i="27" s="1"/>
  <c r="BA71" i="27"/>
  <c r="AZ71" i="27" s="1"/>
  <c r="BA81" i="27"/>
  <c r="AZ81" i="27" s="1"/>
  <c r="BA85" i="27"/>
  <c r="AZ85" i="27" s="1"/>
  <c r="BA89" i="27"/>
  <c r="AZ89" i="27" s="1"/>
  <c r="BA52" i="27"/>
  <c r="AZ52" i="27" s="1"/>
  <c r="Q72" i="27"/>
  <c r="BA72" i="27"/>
  <c r="BA75" i="27"/>
  <c r="AZ75" i="27" s="1"/>
  <c r="AR90" i="27"/>
  <c r="AX90" i="27"/>
  <c r="AR90" i="25"/>
  <c r="BB84" i="23"/>
  <c r="BA84" i="23" s="1"/>
  <c r="BB47" i="23"/>
  <c r="BA47" i="23" s="1"/>
  <c r="BB51" i="23"/>
  <c r="BA51" i="23" s="1"/>
  <c r="BB55" i="23"/>
  <c r="BA55" i="23" s="1"/>
  <c r="BB59" i="23"/>
  <c r="BA59" i="23" s="1"/>
  <c r="BB63" i="23"/>
  <c r="BA63" i="23" s="1"/>
  <c r="BB67" i="23"/>
  <c r="BA67" i="23" s="1"/>
  <c r="BB70" i="23"/>
  <c r="BA70" i="23" s="1"/>
  <c r="BB79" i="23"/>
  <c r="BA79" i="23" s="1"/>
  <c r="BB87" i="23"/>
  <c r="BA87" i="23" s="1"/>
  <c r="BB73" i="23"/>
  <c r="BA73" i="23" s="1"/>
  <c r="BB75" i="23"/>
  <c r="BA75" i="23" s="1"/>
  <c r="BB77" i="23"/>
  <c r="BA77" i="23" s="1"/>
  <c r="BB82" i="23"/>
  <c r="BA82" i="23" s="1"/>
  <c r="BB44" i="23"/>
  <c r="BA44" i="23" s="1"/>
  <c r="BB48" i="23"/>
  <c r="BA48" i="23" s="1"/>
  <c r="BB52" i="23"/>
  <c r="BA52" i="23" s="1"/>
  <c r="BB56" i="23"/>
  <c r="BA56" i="23" s="1"/>
  <c r="BB60" i="23"/>
  <c r="BA60" i="23" s="1"/>
  <c r="BB64" i="23"/>
  <c r="BA64" i="23" s="1"/>
  <c r="BB68" i="23"/>
  <c r="BA68" i="23" s="1"/>
  <c r="BB85" i="23"/>
  <c r="BA85" i="23" s="1"/>
  <c r="BB88" i="23"/>
  <c r="BA88" i="23" s="1"/>
  <c r="BB71" i="23"/>
  <c r="BA71" i="23" s="1"/>
  <c r="BB80" i="23"/>
  <c r="BA80" i="23" s="1"/>
  <c r="BB45" i="23"/>
  <c r="BA45" i="23" s="1"/>
  <c r="BB49" i="23"/>
  <c r="BA49" i="23" s="1"/>
  <c r="BB53" i="23"/>
  <c r="BA53" i="23" s="1"/>
  <c r="BB57" i="23"/>
  <c r="BA57" i="23" s="1"/>
  <c r="BB61" i="23"/>
  <c r="BA61" i="23" s="1"/>
  <c r="BB65" i="23"/>
  <c r="BA65" i="23" s="1"/>
  <c r="BB83" i="23"/>
  <c r="BA83" i="23" s="1"/>
  <c r="BB89" i="23"/>
  <c r="BA89" i="23" s="1"/>
  <c r="BB69" i="23"/>
  <c r="BA69" i="23" s="1"/>
  <c r="BB74" i="23"/>
  <c r="BA74" i="23" s="1"/>
  <c r="BB76" i="23"/>
  <c r="BA76" i="23" s="1"/>
  <c r="BB78" i="23"/>
  <c r="BA78" i="23" s="1"/>
  <c r="BB86" i="23"/>
  <c r="BA86" i="23" s="1"/>
  <c r="BB46" i="23"/>
  <c r="BA46" i="23" s="1"/>
  <c r="BB50" i="23"/>
  <c r="BA50" i="23" s="1"/>
  <c r="BB54" i="23"/>
  <c r="BA54" i="23" s="1"/>
  <c r="BB58" i="23"/>
  <c r="BA58" i="23" s="1"/>
  <c r="BB62" i="23"/>
  <c r="BA62" i="23" s="1"/>
  <c r="BB66" i="23"/>
  <c r="BA66" i="23" s="1"/>
  <c r="BB72" i="23"/>
  <c r="BA72" i="23" s="1"/>
  <c r="BB81" i="23"/>
  <c r="BA81" i="23" s="1"/>
  <c r="BB75" i="21"/>
  <c r="BA75" i="21" s="1"/>
  <c r="BB88" i="21"/>
  <c r="BA88" i="21" s="1"/>
  <c r="BB44" i="21"/>
  <c r="BA44" i="21" s="1"/>
  <c r="BB48" i="21"/>
  <c r="BA48" i="21" s="1"/>
  <c r="BB52" i="21"/>
  <c r="BA52" i="21" s="1"/>
  <c r="BB56" i="21"/>
  <c r="BA56" i="21" s="1"/>
  <c r="BB60" i="21"/>
  <c r="BA60" i="21" s="1"/>
  <c r="BB64" i="21"/>
  <c r="BA64" i="21" s="1"/>
  <c r="BB68" i="21"/>
  <c r="BA68" i="21" s="1"/>
  <c r="BB72" i="21"/>
  <c r="BA72" i="21" s="1"/>
  <c r="BB78" i="21"/>
  <c r="BA78" i="21" s="1"/>
  <c r="BB82" i="21"/>
  <c r="BA82" i="21" s="1"/>
  <c r="BB89" i="21"/>
  <c r="BA89" i="21" s="1"/>
  <c r="BB45" i="21"/>
  <c r="BA45" i="21" s="1"/>
  <c r="BB49" i="21"/>
  <c r="BA49" i="21" s="1"/>
  <c r="BB53" i="21"/>
  <c r="BA53" i="21" s="1"/>
  <c r="BB57" i="21"/>
  <c r="BA57" i="21" s="1"/>
  <c r="BB61" i="21"/>
  <c r="BA61" i="21" s="1"/>
  <c r="BB65" i="21"/>
  <c r="BA65" i="21" s="1"/>
  <c r="BB69" i="21"/>
  <c r="BA69" i="21" s="1"/>
  <c r="BB73" i="21"/>
  <c r="BA73" i="21" s="1"/>
  <c r="BB76" i="21"/>
  <c r="BA76" i="21" s="1"/>
  <c r="BB79" i="21"/>
  <c r="BA79" i="21" s="1"/>
  <c r="BB83" i="21"/>
  <c r="BA83" i="21" s="1"/>
  <c r="BB84" i="21"/>
  <c r="BA84" i="21" s="1"/>
  <c r="BB46" i="21"/>
  <c r="BA46" i="21" s="1"/>
  <c r="BB50" i="21"/>
  <c r="BA50" i="21" s="1"/>
  <c r="BB54" i="21"/>
  <c r="BA54" i="21" s="1"/>
  <c r="BB58" i="21"/>
  <c r="BA58" i="21" s="1"/>
  <c r="BB62" i="21"/>
  <c r="BA62" i="21" s="1"/>
  <c r="BB66" i="21"/>
  <c r="BA66" i="21" s="1"/>
  <c r="BB70" i="21"/>
  <c r="BA70" i="21" s="1"/>
  <c r="BB74" i="21"/>
  <c r="BA74" i="21" s="1"/>
  <c r="BB80" i="21"/>
  <c r="BA80" i="21" s="1"/>
  <c r="BB85" i="21"/>
  <c r="BA85" i="21" s="1"/>
  <c r="BB77" i="21"/>
  <c r="BA77" i="21" s="1"/>
  <c r="BB86" i="21"/>
  <c r="BA86" i="21" s="1"/>
  <c r="BB47" i="21"/>
  <c r="BA47" i="21" s="1"/>
  <c r="BB51" i="21"/>
  <c r="BA51" i="21" s="1"/>
  <c r="BB55" i="21"/>
  <c r="BA55" i="21" s="1"/>
  <c r="BB59" i="21"/>
  <c r="BA59" i="21" s="1"/>
  <c r="BB63" i="21"/>
  <c r="BA63" i="21" s="1"/>
  <c r="BB67" i="21"/>
  <c r="BA67" i="21" s="1"/>
  <c r="BB71" i="21"/>
  <c r="BA71" i="21" s="1"/>
  <c r="BB81" i="21"/>
  <c r="BA81" i="21" s="1"/>
  <c r="BB87" i="21"/>
  <c r="BA87" i="21" s="1"/>
  <c r="BB47" i="20"/>
  <c r="BA47" i="20" s="1"/>
  <c r="BB51" i="20"/>
  <c r="BA51" i="20" s="1"/>
  <c r="BB55" i="20"/>
  <c r="BA55" i="20" s="1"/>
  <c r="BB59" i="20"/>
  <c r="BA59" i="20" s="1"/>
  <c r="BB63" i="20"/>
  <c r="BA63" i="20" s="1"/>
  <c r="BB67" i="20"/>
  <c r="BA67" i="20" s="1"/>
  <c r="BB70" i="20"/>
  <c r="BA70" i="20" s="1"/>
  <c r="BB78" i="20"/>
  <c r="BA78" i="20" s="1"/>
  <c r="BB82" i="20"/>
  <c r="BA82" i="20" s="1"/>
  <c r="BB86" i="20"/>
  <c r="BA86" i="20" s="1"/>
  <c r="BB73" i="20"/>
  <c r="BA73" i="20" s="1"/>
  <c r="BB76" i="20"/>
  <c r="BA76" i="20" s="1"/>
  <c r="BB79" i="20"/>
  <c r="BA79" i="20" s="1"/>
  <c r="BB83" i="20"/>
  <c r="BA83" i="20" s="1"/>
  <c r="BB87" i="20"/>
  <c r="BA87" i="20" s="1"/>
  <c r="BB71" i="20"/>
  <c r="BA71" i="20" s="1"/>
  <c r="BB52" i="20"/>
  <c r="BA52" i="20" s="1"/>
  <c r="BB64" i="20"/>
  <c r="BA64" i="20" s="1"/>
  <c r="BB45" i="20"/>
  <c r="BA45" i="20" s="1"/>
  <c r="BB49" i="20"/>
  <c r="BA49" i="20" s="1"/>
  <c r="BB53" i="20"/>
  <c r="BA53" i="20" s="1"/>
  <c r="BB57" i="20"/>
  <c r="BA57" i="20" s="1"/>
  <c r="BB61" i="20"/>
  <c r="BA61" i="20" s="1"/>
  <c r="BB65" i="20"/>
  <c r="BA65" i="20" s="1"/>
  <c r="BB74" i="20"/>
  <c r="BA74" i="20" s="1"/>
  <c r="BB80" i="20"/>
  <c r="BA80" i="20" s="1"/>
  <c r="BB84" i="20"/>
  <c r="BA84" i="20" s="1"/>
  <c r="BB88" i="20"/>
  <c r="BA88" i="20" s="1"/>
  <c r="BB48" i="20"/>
  <c r="BA48" i="20" s="1"/>
  <c r="BB68" i="20"/>
  <c r="BA68" i="20" s="1"/>
  <c r="BB69" i="20"/>
  <c r="BA69" i="20" s="1"/>
  <c r="BB77" i="20"/>
  <c r="BA77" i="20" s="1"/>
  <c r="BB75" i="20"/>
  <c r="BA75" i="20" s="1"/>
  <c r="BB56" i="20"/>
  <c r="BA56" i="20" s="1"/>
  <c r="BB60" i="20"/>
  <c r="BA60" i="20" s="1"/>
  <c r="BB46" i="20"/>
  <c r="BA46" i="20" s="1"/>
  <c r="BB50" i="20"/>
  <c r="BA50" i="20" s="1"/>
  <c r="BB54" i="20"/>
  <c r="BA54" i="20" s="1"/>
  <c r="BB58" i="20"/>
  <c r="BA58" i="20" s="1"/>
  <c r="BB62" i="20"/>
  <c r="BA62" i="20" s="1"/>
  <c r="BB66" i="20"/>
  <c r="BA66" i="20" s="1"/>
  <c r="BB72" i="20"/>
  <c r="BA72" i="20" s="1"/>
  <c r="BB81" i="20"/>
  <c r="BA81" i="20" s="1"/>
  <c r="BB85" i="20"/>
  <c r="BA85" i="20" s="1"/>
  <c r="BB89" i="20"/>
  <c r="BA89" i="20" s="1"/>
  <c r="BE45" i="29"/>
  <c r="BD45" i="29" s="1"/>
  <c r="BE49" i="29"/>
  <c r="BD49" i="29" s="1"/>
  <c r="BE53" i="29"/>
  <c r="BD53" i="29" s="1"/>
  <c r="BE57" i="29"/>
  <c r="BD57" i="29" s="1"/>
  <c r="BE61" i="29"/>
  <c r="BD61" i="29" s="1"/>
  <c r="BE65" i="29"/>
  <c r="BD65" i="29" s="1"/>
  <c r="BE69" i="29"/>
  <c r="BD69" i="29" s="1"/>
  <c r="BE73" i="29"/>
  <c r="BD73" i="29" s="1"/>
  <c r="BE77" i="29"/>
  <c r="BD77" i="29" s="1"/>
  <c r="BE82" i="29"/>
  <c r="BD82" i="29" s="1"/>
  <c r="BE86" i="29"/>
  <c r="BD86" i="29" s="1"/>
  <c r="BE46" i="29"/>
  <c r="BD46" i="29" s="1"/>
  <c r="BE50" i="29"/>
  <c r="BD50" i="29" s="1"/>
  <c r="BE54" i="29"/>
  <c r="BD54" i="29" s="1"/>
  <c r="BE58" i="29"/>
  <c r="BD58" i="29" s="1"/>
  <c r="BE62" i="29"/>
  <c r="BD62" i="29" s="1"/>
  <c r="BE66" i="29"/>
  <c r="BD66" i="29" s="1"/>
  <c r="BE70" i="29"/>
  <c r="BD70" i="29" s="1"/>
  <c r="BE74" i="29"/>
  <c r="BD74" i="29" s="1"/>
  <c r="BE78" i="29"/>
  <c r="BD78" i="29" s="1"/>
  <c r="BE83" i="29"/>
  <c r="BD83" i="29" s="1"/>
  <c r="BE87" i="29"/>
  <c r="BD87" i="29" s="1"/>
  <c r="BE79" i="29"/>
  <c r="BD79" i="29" s="1"/>
  <c r="BE88" i="29"/>
  <c r="BD88" i="29" s="1"/>
  <c r="BD47" i="29"/>
  <c r="BE51" i="29"/>
  <c r="BD51" i="29" s="1"/>
  <c r="BE55" i="29"/>
  <c r="BD55" i="29" s="1"/>
  <c r="BE59" i="29"/>
  <c r="BD59" i="29" s="1"/>
  <c r="BE63" i="29"/>
  <c r="BD63" i="29" s="1"/>
  <c r="BE67" i="29"/>
  <c r="BD67" i="29" s="1"/>
  <c r="BE71" i="29"/>
  <c r="BD71" i="29" s="1"/>
  <c r="BE75" i="29"/>
  <c r="BD75" i="29" s="1"/>
  <c r="BE80" i="29"/>
  <c r="BD80" i="29" s="1"/>
  <c r="BE84" i="29"/>
  <c r="BD84" i="29" s="1"/>
  <c r="H44" i="29"/>
  <c r="I44" i="29" s="1"/>
  <c r="BE89" i="29"/>
  <c r="BD89" i="29" s="1"/>
  <c r="BE44" i="29"/>
  <c r="BD44" i="29" s="1"/>
  <c r="BE48" i="29"/>
  <c r="BD48" i="29" s="1"/>
  <c r="BE52" i="29"/>
  <c r="BD52" i="29" s="1"/>
  <c r="BE56" i="29"/>
  <c r="BD56" i="29" s="1"/>
  <c r="BE60" i="29"/>
  <c r="BD60" i="29" s="1"/>
  <c r="BE64" i="29"/>
  <c r="BD64" i="29" s="1"/>
  <c r="BE68" i="29"/>
  <c r="BD68" i="29" s="1"/>
  <c r="BE72" i="29"/>
  <c r="BD72" i="29" s="1"/>
  <c r="BE76" i="29"/>
  <c r="BD76" i="29" s="1"/>
  <c r="BE81" i="29"/>
  <c r="BD81" i="29" s="1"/>
  <c r="BE85" i="29"/>
  <c r="BD85" i="29" s="1"/>
  <c r="I68" i="51"/>
  <c r="AW68" i="51" s="1"/>
  <c r="BG68" i="51" s="1"/>
  <c r="I54" i="51"/>
  <c r="D15" i="193" s="1"/>
  <c r="D14" i="490" s="1"/>
  <c r="I56" i="51"/>
  <c r="I63" i="51"/>
  <c r="I64" i="51"/>
  <c r="AB64" i="51" s="1"/>
  <c r="AR64" i="51" s="1"/>
  <c r="AS64" i="51" s="1"/>
  <c r="I51" i="51"/>
  <c r="AW51" i="51" s="1"/>
  <c r="BG51" i="51" s="1"/>
  <c r="AY90" i="21"/>
  <c r="AW80" i="22"/>
  <c r="R81" i="19"/>
  <c r="H81" i="19" s="1"/>
  <c r="R44" i="19"/>
  <c r="BA44" i="19"/>
  <c r="AZ72" i="27"/>
  <c r="AV94" i="22"/>
  <c r="P127" i="22" s="1"/>
  <c r="AP94" i="22"/>
  <c r="AV91" i="22"/>
  <c r="P124" i="22" s="1"/>
  <c r="AP91" i="22"/>
  <c r="AV92" i="22"/>
  <c r="P125" i="22" s="1"/>
  <c r="AP92" i="22"/>
  <c r="AV95" i="22"/>
  <c r="P128" i="22" s="1"/>
  <c r="AP95" i="22"/>
  <c r="AV93" i="22"/>
  <c r="P126" i="22" s="1"/>
  <c r="AP93" i="22"/>
  <c r="AV96" i="22"/>
  <c r="P129" i="22" s="1"/>
  <c r="AP96" i="22"/>
  <c r="AV90" i="22"/>
  <c r="P123" i="22" s="1"/>
  <c r="AP90" i="22"/>
  <c r="AW84" i="22"/>
  <c r="P78" i="101"/>
  <c r="AU89" i="29"/>
  <c r="I55" i="51"/>
  <c r="BB89" i="3"/>
  <c r="BA89" i="3" s="1"/>
  <c r="T89" i="3"/>
  <c r="U88" i="18"/>
  <c r="H88" i="18" s="1"/>
  <c r="D36" i="193"/>
  <c r="D35" i="490" s="1"/>
  <c r="B75" i="51"/>
  <c r="D35" i="135" s="1"/>
  <c r="E23" i="193"/>
  <c r="E22" i="490" s="1"/>
  <c r="AR62" i="18"/>
  <c r="B62" i="18"/>
  <c r="E22" i="135" s="1"/>
  <c r="AF62" i="18"/>
  <c r="AU62" i="18" s="1"/>
  <c r="AE62" i="18"/>
  <c r="AT62" i="18" s="1"/>
  <c r="I58" i="51"/>
  <c r="D7" i="193"/>
  <c r="D6" i="490" s="1"/>
  <c r="AW46" i="51"/>
  <c r="BG46" i="51" s="1"/>
  <c r="B46" i="51"/>
  <c r="D6" i="135" s="1"/>
  <c r="AB46" i="51"/>
  <c r="I66" i="51"/>
  <c r="AA66" i="51" s="1"/>
  <c r="AW54" i="51"/>
  <c r="BG54" i="51" s="1"/>
  <c r="B54" i="51"/>
  <c r="D14" i="135" s="1"/>
  <c r="AB54" i="51"/>
  <c r="AR54" i="51" s="1"/>
  <c r="AS54" i="51" s="1"/>
  <c r="AY78" i="51"/>
  <c r="I62" i="51"/>
  <c r="AA62" i="51" s="1"/>
  <c r="I74" i="51"/>
  <c r="D11" i="193"/>
  <c r="D10" i="490" s="1"/>
  <c r="B50" i="51"/>
  <c r="D10" i="135" s="1"/>
  <c r="AB50" i="51"/>
  <c r="D24" i="193"/>
  <c r="D23" i="490" s="1"/>
  <c r="AW63" i="51"/>
  <c r="BG63" i="51" s="1"/>
  <c r="B63" i="51"/>
  <c r="D23" i="135" s="1"/>
  <c r="AB63" i="51"/>
  <c r="AR63" i="51" s="1"/>
  <c r="AS63" i="51" s="1"/>
  <c r="AC79" i="3"/>
  <c r="C40" i="193"/>
  <c r="C39" i="490" s="1"/>
  <c r="AW79" i="3"/>
  <c r="BH79" i="3" s="1"/>
  <c r="B79" i="3"/>
  <c r="C39" i="135" s="1"/>
  <c r="F79" i="3"/>
  <c r="D79" i="3" s="1"/>
  <c r="AC82" i="3"/>
  <c r="C43" i="193"/>
  <c r="C42" i="490" s="1"/>
  <c r="AW82" i="3"/>
  <c r="BH82" i="3" s="1"/>
  <c r="B82" i="3"/>
  <c r="C42" i="135" s="1"/>
  <c r="F82" i="3"/>
  <c r="D82" i="3" s="1"/>
  <c r="I53" i="51"/>
  <c r="I69" i="51"/>
  <c r="E10" i="193"/>
  <c r="E9" i="490" s="1"/>
  <c r="AR49" i="18"/>
  <c r="B49" i="18"/>
  <c r="E9" i="135" s="1"/>
  <c r="AE49" i="18"/>
  <c r="AT49" i="18" s="1"/>
  <c r="AF49" i="18"/>
  <c r="E18" i="193"/>
  <c r="E17" i="490" s="1"/>
  <c r="AR57" i="18"/>
  <c r="B57" i="18"/>
  <c r="E17" i="135" s="1"/>
  <c r="AE57" i="18"/>
  <c r="AT57" i="18" s="1"/>
  <c r="AF57" i="18"/>
  <c r="E25" i="193"/>
  <c r="E24" i="490" s="1"/>
  <c r="AR64" i="18"/>
  <c r="B64" i="18"/>
  <c r="E24" i="135" s="1"/>
  <c r="AE64" i="18"/>
  <c r="AT64" i="18" s="1"/>
  <c r="AF64" i="18"/>
  <c r="E42" i="193"/>
  <c r="E41" i="490" s="1"/>
  <c r="AR81" i="18"/>
  <c r="B81" i="18"/>
  <c r="E41" i="135" s="1"/>
  <c r="F81" i="18"/>
  <c r="D81" i="18" s="1"/>
  <c r="AE81" i="18"/>
  <c r="E46" i="193"/>
  <c r="AR85" i="18"/>
  <c r="B85" i="18"/>
  <c r="E45" i="135" s="1"/>
  <c r="F85" i="18"/>
  <c r="D85" i="18" s="1"/>
  <c r="AE85" i="18"/>
  <c r="AY80" i="51"/>
  <c r="AX80" i="51" s="1"/>
  <c r="BH80" i="51" s="1"/>
  <c r="D44" i="193"/>
  <c r="D43" i="490" s="1"/>
  <c r="F83" i="51"/>
  <c r="D83" i="51" s="1"/>
  <c r="B83" i="51"/>
  <c r="D43" i="135" s="1"/>
  <c r="AA83" i="51"/>
  <c r="AB48" i="51"/>
  <c r="AR48" i="51" s="1"/>
  <c r="AS48" i="51" s="1"/>
  <c r="E36" i="193"/>
  <c r="E35" i="490" s="1"/>
  <c r="AR75" i="18"/>
  <c r="B75" i="18"/>
  <c r="E35" i="135" s="1"/>
  <c r="AE75" i="18"/>
  <c r="I30" i="490"/>
  <c r="AO70" i="19"/>
  <c r="B70" i="19"/>
  <c r="I30" i="135" s="1"/>
  <c r="AD70" i="19"/>
  <c r="AR70" i="19" s="1"/>
  <c r="I38" i="490"/>
  <c r="AO78" i="19"/>
  <c r="B78" i="19"/>
  <c r="I38" i="135" s="1"/>
  <c r="AD78" i="19"/>
  <c r="AR78" i="19" s="1"/>
  <c r="J27" i="490"/>
  <c r="AO67" i="20"/>
  <c r="B67" i="20"/>
  <c r="J27" i="135" s="1"/>
  <c r="AC67" i="20"/>
  <c r="AC89" i="3"/>
  <c r="C50" i="193"/>
  <c r="AW89" i="3"/>
  <c r="F89" i="3"/>
  <c r="D89" i="3" s="1"/>
  <c r="B89" i="3"/>
  <c r="C49" i="135" s="1"/>
  <c r="AC81" i="3"/>
  <c r="C42" i="193"/>
  <c r="C41" i="490" s="1"/>
  <c r="AW81" i="3"/>
  <c r="BH81" i="3" s="1"/>
  <c r="B81" i="3"/>
  <c r="C41" i="135" s="1"/>
  <c r="F81" i="3"/>
  <c r="D81" i="3" s="1"/>
  <c r="D9" i="193"/>
  <c r="D8" i="490" s="1"/>
  <c r="AW48" i="51"/>
  <c r="BG48" i="51" s="1"/>
  <c r="B48" i="51"/>
  <c r="D8" i="135" s="1"/>
  <c r="I59" i="51"/>
  <c r="D25" i="193"/>
  <c r="D24" i="490" s="1"/>
  <c r="B64" i="51"/>
  <c r="D24" i="135" s="1"/>
  <c r="E11" i="193"/>
  <c r="E10" i="490" s="1"/>
  <c r="AR50" i="18"/>
  <c r="B50" i="18"/>
  <c r="E10" i="135" s="1"/>
  <c r="AF50" i="18"/>
  <c r="AE50" i="18"/>
  <c r="AT50" i="18" s="1"/>
  <c r="E19" i="193"/>
  <c r="E18" i="490" s="1"/>
  <c r="AR58" i="18"/>
  <c r="B58" i="18"/>
  <c r="E18" i="135" s="1"/>
  <c r="AF58" i="18"/>
  <c r="AE58" i="18"/>
  <c r="AT58" i="18" s="1"/>
  <c r="E26" i="193"/>
  <c r="E25" i="490" s="1"/>
  <c r="AR65" i="18"/>
  <c r="B65" i="18"/>
  <c r="E25" i="135" s="1"/>
  <c r="AE65" i="18"/>
  <c r="AT65" i="18" s="1"/>
  <c r="E50" i="193"/>
  <c r="AR89" i="18"/>
  <c r="F89" i="18"/>
  <c r="D89" i="18" s="1"/>
  <c r="B89" i="18"/>
  <c r="E49" i="135" s="1"/>
  <c r="AF89" i="18"/>
  <c r="AU89" i="18" s="1"/>
  <c r="AY86" i="51"/>
  <c r="I7" i="490"/>
  <c r="AO47" i="19"/>
  <c r="B47" i="19"/>
  <c r="I7" i="135" s="1"/>
  <c r="AD47" i="19"/>
  <c r="AR47" i="19" s="1"/>
  <c r="I11" i="490"/>
  <c r="AO51" i="19"/>
  <c r="B51" i="19"/>
  <c r="I11" i="135" s="1"/>
  <c r="AD51" i="19"/>
  <c r="AR51" i="19" s="1"/>
  <c r="I15" i="490"/>
  <c r="AO55" i="19"/>
  <c r="B55" i="19"/>
  <c r="I15" i="135" s="1"/>
  <c r="AD55" i="19"/>
  <c r="AR55" i="19" s="1"/>
  <c r="I19" i="490"/>
  <c r="AO59" i="19"/>
  <c r="B59" i="19"/>
  <c r="I19" i="135" s="1"/>
  <c r="AD59" i="19"/>
  <c r="AR59" i="19" s="1"/>
  <c r="I23" i="490"/>
  <c r="AO63" i="19"/>
  <c r="B63" i="19"/>
  <c r="I23" i="135" s="1"/>
  <c r="AD63" i="19"/>
  <c r="AR63" i="19" s="1"/>
  <c r="I27" i="490"/>
  <c r="AO67" i="19"/>
  <c r="B67" i="19"/>
  <c r="I27" i="135" s="1"/>
  <c r="AD67" i="19"/>
  <c r="AR67" i="19" s="1"/>
  <c r="I33" i="490"/>
  <c r="AO73" i="19"/>
  <c r="B73" i="19"/>
  <c r="I33" i="135" s="1"/>
  <c r="AD73" i="19"/>
  <c r="AR73" i="19" s="1"/>
  <c r="AC88" i="3"/>
  <c r="C49" i="193"/>
  <c r="AW88" i="3"/>
  <c r="BH88" i="3" s="1"/>
  <c r="B88" i="3"/>
  <c r="C48" i="135" s="1"/>
  <c r="F88" i="3"/>
  <c r="D88" i="3" s="1"/>
  <c r="AC80" i="3"/>
  <c r="C41" i="193"/>
  <c r="C40" i="490" s="1"/>
  <c r="AW80" i="3"/>
  <c r="BH80" i="3" s="1"/>
  <c r="B80" i="3"/>
  <c r="C40" i="135" s="1"/>
  <c r="F80" i="3"/>
  <c r="D80" i="3" s="1"/>
  <c r="D10" i="193"/>
  <c r="D9" i="490" s="1"/>
  <c r="B49" i="51"/>
  <c r="D9" i="135" s="1"/>
  <c r="AB49" i="51"/>
  <c r="AR49" i="51" s="1"/>
  <c r="AS49" i="51" s="1"/>
  <c r="D26" i="193"/>
  <c r="D25" i="490" s="1"/>
  <c r="B65" i="51"/>
  <c r="D25" i="135" s="1"/>
  <c r="AB65" i="51"/>
  <c r="AR65" i="51" s="1"/>
  <c r="AS65" i="51" s="1"/>
  <c r="I70" i="51"/>
  <c r="AA70" i="51" s="1"/>
  <c r="E12" i="193"/>
  <c r="E11" i="490" s="1"/>
  <c r="AR51" i="18"/>
  <c r="B51" i="18"/>
  <c r="E11" i="135" s="1"/>
  <c r="AF51" i="18"/>
  <c r="AE51" i="18"/>
  <c r="AT51" i="18" s="1"/>
  <c r="E20" i="193"/>
  <c r="E19" i="490" s="1"/>
  <c r="AR59" i="18"/>
  <c r="B59" i="18"/>
  <c r="E19" i="135" s="1"/>
  <c r="AF59" i="18"/>
  <c r="AE59" i="18"/>
  <c r="AT59" i="18" s="1"/>
  <c r="E27" i="193"/>
  <c r="E26" i="490" s="1"/>
  <c r="AR66" i="18"/>
  <c r="B66" i="18"/>
  <c r="E26" i="135" s="1"/>
  <c r="AE66" i="18"/>
  <c r="E43" i="193"/>
  <c r="E42" i="490" s="1"/>
  <c r="AR82" i="18"/>
  <c r="B82" i="18"/>
  <c r="E42" i="135" s="1"/>
  <c r="F82" i="18"/>
  <c r="D82" i="18" s="1"/>
  <c r="AE82" i="18"/>
  <c r="E47" i="193"/>
  <c r="AR86" i="18"/>
  <c r="F86" i="18"/>
  <c r="D86" i="18" s="1"/>
  <c r="B86" i="18"/>
  <c r="E46" i="135" s="1"/>
  <c r="AE86" i="18"/>
  <c r="AY89" i="51"/>
  <c r="I36" i="490"/>
  <c r="AO76" i="19"/>
  <c r="B76" i="19"/>
  <c r="I36" i="135" s="1"/>
  <c r="AD76" i="19"/>
  <c r="AR76" i="19" s="1"/>
  <c r="AC87" i="3"/>
  <c r="C48" i="193"/>
  <c r="C47" i="490" s="1"/>
  <c r="AW87" i="3"/>
  <c r="BH87" i="3" s="1"/>
  <c r="D5" i="193"/>
  <c r="D4" i="490" s="1"/>
  <c r="B44" i="51"/>
  <c r="D4" i="135" s="1"/>
  <c r="AB44" i="51"/>
  <c r="AR44" i="51" s="1"/>
  <c r="AS44" i="51" s="1"/>
  <c r="D16" i="193"/>
  <c r="D15" i="490" s="1"/>
  <c r="I76" i="51"/>
  <c r="E13" i="193"/>
  <c r="E12" i="490" s="1"/>
  <c r="AR52" i="18"/>
  <c r="B52" i="18"/>
  <c r="E12" i="135" s="1"/>
  <c r="AF52" i="18"/>
  <c r="AE52" i="18"/>
  <c r="AT52" i="18" s="1"/>
  <c r="E21" i="193"/>
  <c r="E20" i="490" s="1"/>
  <c r="AR60" i="18"/>
  <c r="B60" i="18"/>
  <c r="E20" i="135" s="1"/>
  <c r="AF60" i="18"/>
  <c r="AE60" i="18"/>
  <c r="AT60" i="18" s="1"/>
  <c r="E28" i="193"/>
  <c r="E27" i="490" s="1"/>
  <c r="AR67" i="18"/>
  <c r="B67" i="18"/>
  <c r="E27" i="135" s="1"/>
  <c r="AE67" i="18"/>
  <c r="AY88" i="51"/>
  <c r="E31" i="193"/>
  <c r="E30" i="490" s="1"/>
  <c r="AR70" i="18"/>
  <c r="B70" i="18"/>
  <c r="E30" i="135" s="1"/>
  <c r="AE70" i="18"/>
  <c r="E39" i="193"/>
  <c r="E38" i="490" s="1"/>
  <c r="AR78" i="18"/>
  <c r="B78" i="18"/>
  <c r="E38" i="135" s="1"/>
  <c r="AE78" i="18"/>
  <c r="AF65" i="18"/>
  <c r="AU65" i="18" s="1"/>
  <c r="I4" i="490"/>
  <c r="AO44" i="19"/>
  <c r="B44" i="19"/>
  <c r="I4" i="135" s="1"/>
  <c r="AD44" i="19"/>
  <c r="I8" i="490"/>
  <c r="AO48" i="19"/>
  <c r="B48" i="19"/>
  <c r="I8" i="135" s="1"/>
  <c r="AD48" i="19"/>
  <c r="AR48" i="19" s="1"/>
  <c r="I12" i="490"/>
  <c r="AO52" i="19"/>
  <c r="B52" i="19"/>
  <c r="I12" i="135" s="1"/>
  <c r="AD52" i="19"/>
  <c r="AR52" i="19" s="1"/>
  <c r="I16" i="490"/>
  <c r="AO56" i="19"/>
  <c r="B56" i="19"/>
  <c r="I16" i="135" s="1"/>
  <c r="AD56" i="19"/>
  <c r="AR56" i="19" s="1"/>
  <c r="I20" i="490"/>
  <c r="AO60" i="19"/>
  <c r="B60" i="19"/>
  <c r="I20" i="135" s="1"/>
  <c r="AD60" i="19"/>
  <c r="AR60" i="19" s="1"/>
  <c r="I24" i="490"/>
  <c r="AO64" i="19"/>
  <c r="B64" i="19"/>
  <c r="I24" i="135" s="1"/>
  <c r="AD64" i="19"/>
  <c r="AR64" i="19" s="1"/>
  <c r="I28" i="490"/>
  <c r="AO68" i="19"/>
  <c r="B68" i="19"/>
  <c r="I28" i="135" s="1"/>
  <c r="AD68" i="19"/>
  <c r="AR68" i="19" s="1"/>
  <c r="I31" i="490"/>
  <c r="AO71" i="19"/>
  <c r="B71" i="19"/>
  <c r="I31" i="135" s="1"/>
  <c r="AD71" i="19"/>
  <c r="AR71" i="19" s="1"/>
  <c r="AB65" i="22"/>
  <c r="AO65" i="22" s="1"/>
  <c r="AN65" i="22"/>
  <c r="AT65" i="22" s="1"/>
  <c r="BF65" i="22" s="1"/>
  <c r="B65" i="22"/>
  <c r="M25" i="135" s="1"/>
  <c r="AC86" i="3"/>
  <c r="C47" i="193"/>
  <c r="C46" i="490" s="1"/>
  <c r="AW86" i="3"/>
  <c r="BH86" i="3" s="1"/>
  <c r="I45" i="51"/>
  <c r="I61" i="51"/>
  <c r="I77" i="51"/>
  <c r="AA77" i="51" s="1"/>
  <c r="E14" i="193"/>
  <c r="E13" i="490" s="1"/>
  <c r="AR53" i="18"/>
  <c r="B53" i="18"/>
  <c r="E13" i="135" s="1"/>
  <c r="AF53" i="18"/>
  <c r="AE53" i="18"/>
  <c r="AT53" i="18" s="1"/>
  <c r="E22" i="193"/>
  <c r="E21" i="490" s="1"/>
  <c r="AR61" i="18"/>
  <c r="B61" i="18"/>
  <c r="E21" i="135" s="1"/>
  <c r="AF61" i="18"/>
  <c r="AE61" i="18"/>
  <c r="AT61" i="18" s="1"/>
  <c r="U67" i="18"/>
  <c r="E40" i="193"/>
  <c r="E39" i="490" s="1"/>
  <c r="AR79" i="18"/>
  <c r="B79" i="18"/>
  <c r="E39" i="135" s="1"/>
  <c r="F79" i="18"/>
  <c r="D79" i="18" s="1"/>
  <c r="AE79" i="18"/>
  <c r="E44" i="193"/>
  <c r="E43" i="490" s="1"/>
  <c r="AR83" i="18"/>
  <c r="B83" i="18"/>
  <c r="E43" i="135" s="1"/>
  <c r="F83" i="18"/>
  <c r="D83" i="18" s="1"/>
  <c r="AE83" i="18"/>
  <c r="U86" i="18"/>
  <c r="H86" i="18" s="1"/>
  <c r="D48" i="193"/>
  <c r="F87" i="51"/>
  <c r="D87" i="51" s="1"/>
  <c r="B87" i="51"/>
  <c r="D47" i="135" s="1"/>
  <c r="AA87" i="51"/>
  <c r="E32" i="193"/>
  <c r="E31" i="490" s="1"/>
  <c r="AR71" i="18"/>
  <c r="B71" i="18"/>
  <c r="E31" i="135" s="1"/>
  <c r="AE71" i="18"/>
  <c r="BB69" i="18"/>
  <c r="I34" i="490"/>
  <c r="AO74" i="19"/>
  <c r="B74" i="19"/>
  <c r="I34" i="135" s="1"/>
  <c r="AD74" i="19"/>
  <c r="AR74" i="19" s="1"/>
  <c r="AC85" i="3"/>
  <c r="C46" i="193"/>
  <c r="C45" i="490" s="1"/>
  <c r="AW85" i="3"/>
  <c r="BH85" i="3" s="1"/>
  <c r="D17" i="193"/>
  <c r="D16" i="490" s="1"/>
  <c r="D33" i="193"/>
  <c r="D32" i="490" s="1"/>
  <c r="AW72" i="51"/>
  <c r="BG72" i="51" s="1"/>
  <c r="B72" i="51"/>
  <c r="D32" i="135" s="1"/>
  <c r="E15" i="193"/>
  <c r="E14" i="490" s="1"/>
  <c r="AR54" i="18"/>
  <c r="B54" i="18"/>
  <c r="E14" i="135" s="1"/>
  <c r="AF54" i="18"/>
  <c r="AU54" i="18" s="1"/>
  <c r="AE54" i="18"/>
  <c r="AT54" i="18" s="1"/>
  <c r="E29" i="193"/>
  <c r="E28" i="490" s="1"/>
  <c r="AR68" i="18"/>
  <c r="B68" i="18"/>
  <c r="E28" i="135" s="1"/>
  <c r="AE68" i="18"/>
  <c r="E48" i="193"/>
  <c r="AR87" i="18"/>
  <c r="F87" i="18"/>
  <c r="D87" i="18" s="1"/>
  <c r="B87" i="18"/>
  <c r="E47" i="135" s="1"/>
  <c r="AE87" i="18"/>
  <c r="AY85" i="51"/>
  <c r="E33" i="193"/>
  <c r="E32" i="490" s="1"/>
  <c r="AR72" i="18"/>
  <c r="B72" i="18"/>
  <c r="E32" i="135" s="1"/>
  <c r="AE72" i="18"/>
  <c r="I5" i="490"/>
  <c r="AO45" i="19"/>
  <c r="B45" i="19"/>
  <c r="I5" i="135" s="1"/>
  <c r="AD45" i="19"/>
  <c r="AR45" i="19" s="1"/>
  <c r="I9" i="490"/>
  <c r="AO49" i="19"/>
  <c r="B49" i="19"/>
  <c r="I9" i="135" s="1"/>
  <c r="AD49" i="19"/>
  <c r="AR49" i="19" s="1"/>
  <c r="I13" i="490"/>
  <c r="AO53" i="19"/>
  <c r="B53" i="19"/>
  <c r="I13" i="135" s="1"/>
  <c r="AD53" i="19"/>
  <c r="AR53" i="19" s="1"/>
  <c r="I17" i="490"/>
  <c r="AO57" i="19"/>
  <c r="B57" i="19"/>
  <c r="I17" i="135" s="1"/>
  <c r="AD57" i="19"/>
  <c r="AR57" i="19" s="1"/>
  <c r="I21" i="490"/>
  <c r="AO61" i="19"/>
  <c r="B61" i="19"/>
  <c r="I21" i="135" s="1"/>
  <c r="AD61" i="19"/>
  <c r="AR61" i="19" s="1"/>
  <c r="I25" i="490"/>
  <c r="AO65" i="19"/>
  <c r="B65" i="19"/>
  <c r="I25" i="135" s="1"/>
  <c r="AD65" i="19"/>
  <c r="AR65" i="19" s="1"/>
  <c r="I29" i="490"/>
  <c r="AO69" i="19"/>
  <c r="B69" i="19"/>
  <c r="I29" i="135" s="1"/>
  <c r="AD69" i="19"/>
  <c r="AR69" i="19" s="1"/>
  <c r="I37" i="490"/>
  <c r="AO77" i="19"/>
  <c r="B77" i="19"/>
  <c r="I37" i="135" s="1"/>
  <c r="AD77" i="19"/>
  <c r="AR77" i="19" s="1"/>
  <c r="AC84" i="3"/>
  <c r="C45" i="193"/>
  <c r="C44" i="490" s="1"/>
  <c r="AW84" i="3"/>
  <c r="BH84" i="3" s="1"/>
  <c r="D18" i="193"/>
  <c r="D17" i="490" s="1"/>
  <c r="AW57" i="51"/>
  <c r="BG57" i="51" s="1"/>
  <c r="B57" i="51"/>
  <c r="D17" i="135" s="1"/>
  <c r="AB57" i="51"/>
  <c r="AR57" i="51" s="1"/>
  <c r="AS57" i="51" s="1"/>
  <c r="I73" i="51"/>
  <c r="AA73" i="51" s="1"/>
  <c r="E16" i="193"/>
  <c r="E15" i="490" s="1"/>
  <c r="AR55" i="18"/>
  <c r="B55" i="18"/>
  <c r="E15" i="135" s="1"/>
  <c r="AE55" i="18"/>
  <c r="AT55" i="18" s="1"/>
  <c r="AF55" i="18"/>
  <c r="E41" i="193"/>
  <c r="E40" i="490" s="1"/>
  <c r="AR80" i="18"/>
  <c r="B80" i="18"/>
  <c r="E40" i="135" s="1"/>
  <c r="F80" i="18"/>
  <c r="D80" i="18" s="1"/>
  <c r="AE80" i="18"/>
  <c r="E45" i="193"/>
  <c r="AR84" i="18"/>
  <c r="B84" i="18"/>
  <c r="E44" i="135" s="1"/>
  <c r="F84" i="18"/>
  <c r="D84" i="18" s="1"/>
  <c r="AE84" i="18"/>
  <c r="AY84" i="51"/>
  <c r="I71" i="51"/>
  <c r="I32" i="490"/>
  <c r="AO72" i="19"/>
  <c r="B72" i="19"/>
  <c r="I32" i="135" s="1"/>
  <c r="AD72" i="19"/>
  <c r="AR72" i="19" s="1"/>
  <c r="AC83" i="3"/>
  <c r="C44" i="193"/>
  <c r="C43" i="490" s="1"/>
  <c r="AW83" i="3"/>
  <c r="BH83" i="3" s="1"/>
  <c r="B83" i="3"/>
  <c r="C43" i="135" s="1"/>
  <c r="F83" i="3"/>
  <c r="D83" i="3" s="1"/>
  <c r="D8" i="193"/>
  <c r="D7" i="490" s="1"/>
  <c r="B47" i="51"/>
  <c r="D7" i="135" s="1"/>
  <c r="AB47" i="51"/>
  <c r="AR47" i="51" s="1"/>
  <c r="AS47" i="51" s="1"/>
  <c r="B52" i="51"/>
  <c r="D12" i="135" s="1"/>
  <c r="AA63" i="51"/>
  <c r="D29" i="193"/>
  <c r="D28" i="490" s="1"/>
  <c r="D39" i="193"/>
  <c r="D38" i="490" s="1"/>
  <c r="AW78" i="51"/>
  <c r="BG78" i="51" s="1"/>
  <c r="B78" i="51"/>
  <c r="D38" i="135" s="1"/>
  <c r="E17" i="193"/>
  <c r="E16" i="490" s="1"/>
  <c r="AR56" i="18"/>
  <c r="B56" i="18"/>
  <c r="E16" i="135" s="1"/>
  <c r="AE56" i="18"/>
  <c r="AT56" i="18" s="1"/>
  <c r="AF56" i="18"/>
  <c r="E24" i="193"/>
  <c r="E23" i="490" s="1"/>
  <c r="AR63" i="18"/>
  <c r="B63" i="18"/>
  <c r="E23" i="135" s="1"/>
  <c r="AE63" i="18"/>
  <c r="AT63" i="18" s="1"/>
  <c r="AF63" i="18"/>
  <c r="E49" i="193"/>
  <c r="AR88" i="18"/>
  <c r="F88" i="18"/>
  <c r="D88" i="18" s="1"/>
  <c r="B88" i="18"/>
  <c r="E48" i="135" s="1"/>
  <c r="AE88" i="18"/>
  <c r="E35" i="193"/>
  <c r="E34" i="490" s="1"/>
  <c r="AR74" i="18"/>
  <c r="B74" i="18"/>
  <c r="E34" i="135" s="1"/>
  <c r="AE74" i="18"/>
  <c r="BB76" i="18"/>
  <c r="I6" i="490"/>
  <c r="AO46" i="19"/>
  <c r="B46" i="19"/>
  <c r="I6" i="135" s="1"/>
  <c r="AD46" i="19"/>
  <c r="AR46" i="19" s="1"/>
  <c r="I10" i="490"/>
  <c r="AO50" i="19"/>
  <c r="B50" i="19"/>
  <c r="I10" i="135" s="1"/>
  <c r="AD50" i="19"/>
  <c r="AR50" i="19" s="1"/>
  <c r="I14" i="490"/>
  <c r="AO54" i="19"/>
  <c r="B54" i="19"/>
  <c r="I14" i="135" s="1"/>
  <c r="AD54" i="19"/>
  <c r="AR54" i="19" s="1"/>
  <c r="I18" i="490"/>
  <c r="AO58" i="19"/>
  <c r="B58" i="19"/>
  <c r="I18" i="135" s="1"/>
  <c r="AD58" i="19"/>
  <c r="AR58" i="19" s="1"/>
  <c r="I22" i="490"/>
  <c r="AO62" i="19"/>
  <c r="B62" i="19"/>
  <c r="I22" i="135" s="1"/>
  <c r="AD62" i="19"/>
  <c r="AR62" i="19" s="1"/>
  <c r="I26" i="490"/>
  <c r="AO66" i="19"/>
  <c r="B66" i="19"/>
  <c r="I26" i="135" s="1"/>
  <c r="AD66" i="19"/>
  <c r="AR66" i="19" s="1"/>
  <c r="I35" i="490"/>
  <c r="AO75" i="19"/>
  <c r="B75" i="19"/>
  <c r="I35" i="135" s="1"/>
  <c r="AD75" i="19"/>
  <c r="AR75" i="19" s="1"/>
  <c r="AY81" i="51"/>
  <c r="D45" i="193"/>
  <c r="AW84" i="51"/>
  <c r="BG84" i="51" s="1"/>
  <c r="F84" i="51"/>
  <c r="D84" i="51" s="1"/>
  <c r="B84" i="51"/>
  <c r="D44" i="135" s="1"/>
  <c r="AA44" i="63"/>
  <c r="AQ44" i="63" s="1"/>
  <c r="F5" i="193"/>
  <c r="F4" i="490" s="1"/>
  <c r="AP44" i="63"/>
  <c r="B44" i="63"/>
  <c r="F4" i="135" s="1"/>
  <c r="AA55" i="63"/>
  <c r="AQ55" i="63" s="1"/>
  <c r="F16" i="193"/>
  <c r="F15" i="490" s="1"/>
  <c r="AP55" i="63"/>
  <c r="B55" i="63"/>
  <c r="F15" i="135" s="1"/>
  <c r="AA59" i="63"/>
  <c r="AQ59" i="63" s="1"/>
  <c r="F20" i="193"/>
  <c r="F19" i="490" s="1"/>
  <c r="AP59" i="63"/>
  <c r="B59" i="63"/>
  <c r="F19" i="135" s="1"/>
  <c r="AA63" i="63"/>
  <c r="AQ63" i="63" s="1"/>
  <c r="F24" i="193"/>
  <c r="F23" i="490" s="1"/>
  <c r="AP63" i="63"/>
  <c r="B63" i="63"/>
  <c r="F23" i="135" s="1"/>
  <c r="AA67" i="63"/>
  <c r="AQ67" i="63" s="1"/>
  <c r="F28" i="193"/>
  <c r="F27" i="490" s="1"/>
  <c r="AP67" i="63"/>
  <c r="B67" i="63"/>
  <c r="F27" i="135" s="1"/>
  <c r="F31" i="193"/>
  <c r="AP70" i="63"/>
  <c r="B70" i="63"/>
  <c r="F30" i="135" s="1"/>
  <c r="F36" i="193"/>
  <c r="AP75" i="63"/>
  <c r="B75" i="63"/>
  <c r="F35" i="135" s="1"/>
  <c r="F44" i="193"/>
  <c r="AP83" i="63"/>
  <c r="B83" i="63"/>
  <c r="F43" i="135" s="1"/>
  <c r="F83" i="63"/>
  <c r="D83" i="63" s="1"/>
  <c r="H68" i="20"/>
  <c r="I68" i="20" s="1"/>
  <c r="AB76" i="20"/>
  <c r="J36" i="490"/>
  <c r="AO76" i="20"/>
  <c r="B76" i="20"/>
  <c r="J36" i="135" s="1"/>
  <c r="AB79" i="20"/>
  <c r="J39" i="490"/>
  <c r="AO79" i="20"/>
  <c r="F79" i="20"/>
  <c r="D79" i="20" s="1"/>
  <c r="B79" i="20"/>
  <c r="J39" i="135" s="1"/>
  <c r="AB83" i="20"/>
  <c r="J43" i="490"/>
  <c r="AO83" i="20"/>
  <c r="F83" i="20"/>
  <c r="D83" i="20" s="1"/>
  <c r="B83" i="20"/>
  <c r="J43" i="135" s="1"/>
  <c r="AB87" i="20"/>
  <c r="AO87" i="20"/>
  <c r="F87" i="20"/>
  <c r="D87" i="20" s="1"/>
  <c r="B87" i="20"/>
  <c r="J47" i="135" s="1"/>
  <c r="I45" i="21"/>
  <c r="AC45" i="21" s="1"/>
  <c r="I49" i="21"/>
  <c r="K10" i="193" s="1"/>
  <c r="I53" i="21"/>
  <c r="K14" i="193" s="1"/>
  <c r="I57" i="21"/>
  <c r="AB69" i="23"/>
  <c r="M29" i="490"/>
  <c r="AO69" i="23"/>
  <c r="B69" i="23"/>
  <c r="N29" i="135" s="1"/>
  <c r="AR81" i="23"/>
  <c r="Q81" i="23"/>
  <c r="Q33" i="490"/>
  <c r="AN73" i="27"/>
  <c r="B73" i="27"/>
  <c r="S33" i="135" s="1"/>
  <c r="AC73" i="27"/>
  <c r="Q35" i="490"/>
  <c r="AN75" i="27"/>
  <c r="B75" i="27"/>
  <c r="S35" i="135" s="1"/>
  <c r="AC75" i="27"/>
  <c r="L46" i="24"/>
  <c r="Q6" i="196"/>
  <c r="J67" i="104"/>
  <c r="AQ67" i="104"/>
  <c r="BA83" i="103"/>
  <c r="AZ83" i="103" s="1"/>
  <c r="BP83" i="103" s="1"/>
  <c r="W43" i="195"/>
  <c r="BA89" i="103"/>
  <c r="AZ89" i="103" s="1"/>
  <c r="BP89" i="103" s="1"/>
  <c r="W49" i="195"/>
  <c r="BA49" i="103"/>
  <c r="AZ49" i="103" s="1"/>
  <c r="BP49" i="103" s="1"/>
  <c r="W9" i="195"/>
  <c r="BA57" i="103"/>
  <c r="AZ57" i="103" s="1"/>
  <c r="BP57" i="103" s="1"/>
  <c r="W17" i="195"/>
  <c r="AU82" i="105"/>
  <c r="AW77" i="105"/>
  <c r="AV77" i="105"/>
  <c r="Y37" i="195"/>
  <c r="AX79" i="104"/>
  <c r="AW79" i="104" s="1"/>
  <c r="BJ79" i="104" s="1"/>
  <c r="X39" i="195"/>
  <c r="P138" i="104"/>
  <c r="AV82" i="105"/>
  <c r="Y42" i="195"/>
  <c r="AV75" i="105"/>
  <c r="Y35" i="195"/>
  <c r="AV69" i="105"/>
  <c r="Y29" i="195"/>
  <c r="AP89" i="22"/>
  <c r="M49" i="195"/>
  <c r="AV89" i="22"/>
  <c r="E34" i="193"/>
  <c r="E33" i="490" s="1"/>
  <c r="AR73" i="18"/>
  <c r="B73" i="18"/>
  <c r="E33" i="135" s="1"/>
  <c r="AA48" i="63"/>
  <c r="AQ48" i="63" s="1"/>
  <c r="F9" i="193"/>
  <c r="F8" i="490" s="1"/>
  <c r="AP48" i="63"/>
  <c r="B48" i="63"/>
  <c r="F8" i="135" s="1"/>
  <c r="AA52" i="63"/>
  <c r="AQ52" i="63" s="1"/>
  <c r="F13" i="193"/>
  <c r="F12" i="490" s="1"/>
  <c r="AP52" i="63"/>
  <c r="B52" i="63"/>
  <c r="F12" i="135" s="1"/>
  <c r="AS73" i="63"/>
  <c r="F34" i="193"/>
  <c r="AP73" i="63"/>
  <c r="B73" i="63"/>
  <c r="F33" i="135" s="1"/>
  <c r="AS86" i="63"/>
  <c r="F47" i="193"/>
  <c r="AP86" i="63"/>
  <c r="B86" i="63"/>
  <c r="F46" i="135" s="1"/>
  <c r="F86" i="63"/>
  <c r="D86" i="63" s="1"/>
  <c r="AS89" i="63"/>
  <c r="F50" i="193"/>
  <c r="AP89" i="63"/>
  <c r="B89" i="63"/>
  <c r="F49" i="135" s="1"/>
  <c r="F89" i="63"/>
  <c r="D89" i="63" s="1"/>
  <c r="AC74" i="19"/>
  <c r="AQ74" i="19" s="1"/>
  <c r="AC80" i="19"/>
  <c r="I40" i="490"/>
  <c r="AO80" i="19"/>
  <c r="F80" i="19"/>
  <c r="D80" i="19" s="1"/>
  <c r="B80" i="19"/>
  <c r="I40" i="135" s="1"/>
  <c r="AC84" i="19"/>
  <c r="I44" i="490"/>
  <c r="AO84" i="19"/>
  <c r="F84" i="19"/>
  <c r="D84" i="19" s="1"/>
  <c r="B84" i="19"/>
  <c r="I44" i="135" s="1"/>
  <c r="AC88" i="19"/>
  <c r="I48" i="490"/>
  <c r="AO88" i="19"/>
  <c r="F88" i="19"/>
  <c r="D88" i="19" s="1"/>
  <c r="B88" i="19"/>
  <c r="I48" i="135" s="1"/>
  <c r="H45" i="20"/>
  <c r="I45" i="20" s="1"/>
  <c r="J6" i="193" s="1"/>
  <c r="H49" i="20"/>
  <c r="I49" i="20" s="1"/>
  <c r="H53" i="20"/>
  <c r="I53" i="20" s="1"/>
  <c r="J14" i="193" s="1"/>
  <c r="H57" i="20"/>
  <c r="I57" i="20" s="1"/>
  <c r="H61" i="20"/>
  <c r="I61" i="20" s="1"/>
  <c r="J22" i="193" s="1"/>
  <c r="H65" i="20"/>
  <c r="I65" i="20" s="1"/>
  <c r="AB71" i="20"/>
  <c r="AQ71" i="20" s="1"/>
  <c r="J31" i="490"/>
  <c r="AO71" i="20"/>
  <c r="B71" i="20"/>
  <c r="J31" i="135" s="1"/>
  <c r="AC71" i="20"/>
  <c r="H45" i="22"/>
  <c r="I45" i="22" s="1"/>
  <c r="H49" i="22"/>
  <c r="I49" i="22" s="1"/>
  <c r="AA49" i="22" s="1"/>
  <c r="H53" i="22"/>
  <c r="I53" i="22" s="1"/>
  <c r="H57" i="22"/>
  <c r="I57" i="22" s="1"/>
  <c r="AA57" i="22" s="1"/>
  <c r="H61" i="22"/>
  <c r="I61" i="22" s="1"/>
  <c r="AB68" i="22"/>
  <c r="AO68" i="22" s="1"/>
  <c r="AN68" i="22"/>
  <c r="B68" i="22"/>
  <c r="M28" i="135" s="1"/>
  <c r="AB71" i="22"/>
  <c r="AO71" i="22" s="1"/>
  <c r="AN71" i="22"/>
  <c r="AT71" i="22" s="1"/>
  <c r="BF71" i="22" s="1"/>
  <c r="B71" i="22"/>
  <c r="M31" i="135" s="1"/>
  <c r="AB77" i="22"/>
  <c r="AO77" i="22" s="1"/>
  <c r="AN77" i="22"/>
  <c r="AT77" i="22" s="1"/>
  <c r="BF77" i="22" s="1"/>
  <c r="B77" i="22"/>
  <c r="M37" i="135" s="1"/>
  <c r="H46" i="23"/>
  <c r="I46" i="23" s="1"/>
  <c r="M7" i="193" s="1"/>
  <c r="H50" i="23"/>
  <c r="I50" i="23" s="1"/>
  <c r="M11" i="193" s="1"/>
  <c r="H54" i="23"/>
  <c r="I54" i="23" s="1"/>
  <c r="M15" i="193" s="1"/>
  <c r="H58" i="23"/>
  <c r="I58" i="23" s="1"/>
  <c r="M19" i="193" s="1"/>
  <c r="H62" i="23"/>
  <c r="I62" i="23" s="1"/>
  <c r="H66" i="23"/>
  <c r="I66" i="23" s="1"/>
  <c r="M27" i="193" s="1"/>
  <c r="AB72" i="23"/>
  <c r="M32" i="490"/>
  <c r="AO72" i="23"/>
  <c r="B72" i="23"/>
  <c r="N32" i="135" s="1"/>
  <c r="Q4" i="490"/>
  <c r="AN44" i="27"/>
  <c r="B44" i="27"/>
  <c r="S4" i="135" s="1"/>
  <c r="Q8" i="490"/>
  <c r="AN48" i="27"/>
  <c r="B48" i="27"/>
  <c r="S8" i="135" s="1"/>
  <c r="Q12" i="490"/>
  <c r="AN52" i="27"/>
  <c r="B52" i="27"/>
  <c r="S12" i="135" s="1"/>
  <c r="Q16" i="490"/>
  <c r="AN56" i="27"/>
  <c r="B56" i="27"/>
  <c r="S16" i="135" s="1"/>
  <c r="Q20" i="490"/>
  <c r="AN60" i="27"/>
  <c r="B60" i="27"/>
  <c r="S20" i="135" s="1"/>
  <c r="Q24" i="490"/>
  <c r="AN64" i="27"/>
  <c r="B64" i="27"/>
  <c r="S24" i="135" s="1"/>
  <c r="Q28" i="490"/>
  <c r="AN68" i="27"/>
  <c r="B68" i="27"/>
  <c r="S28" i="135" s="1"/>
  <c r="AB68" i="27"/>
  <c r="AC68" i="27"/>
  <c r="Q31" i="490"/>
  <c r="AN71" i="27"/>
  <c r="B71" i="27"/>
  <c r="S31" i="135" s="1"/>
  <c r="AC71" i="27"/>
  <c r="AA78" i="27"/>
  <c r="Q38" i="490"/>
  <c r="AN78" i="27"/>
  <c r="B78" i="27"/>
  <c r="S38" i="135" s="1"/>
  <c r="AA82" i="27"/>
  <c r="Q42" i="490"/>
  <c r="AN82" i="27"/>
  <c r="B82" i="27"/>
  <c r="S42" i="135" s="1"/>
  <c r="F82" i="27"/>
  <c r="D82" i="27" s="1"/>
  <c r="AA86" i="27"/>
  <c r="AN86" i="27"/>
  <c r="B86" i="27"/>
  <c r="S46" i="135" s="1"/>
  <c r="F86" i="27"/>
  <c r="D86" i="27" s="1"/>
  <c r="BA50" i="103"/>
  <c r="AZ50" i="103" s="1"/>
  <c r="BP50" i="103" s="1"/>
  <c r="BA58" i="103"/>
  <c r="AZ58" i="103" s="1"/>
  <c r="BP58" i="103" s="1"/>
  <c r="W18" i="195"/>
  <c r="AU60" i="105"/>
  <c r="AX87" i="104"/>
  <c r="AW87" i="104" s="1"/>
  <c r="BJ87" i="104" s="1"/>
  <c r="X47" i="195"/>
  <c r="AV55" i="105"/>
  <c r="Y15" i="195"/>
  <c r="AV60" i="105"/>
  <c r="Y20" i="195"/>
  <c r="AX62" i="104"/>
  <c r="AW62" i="104" s="1"/>
  <c r="BJ62" i="104" s="1"/>
  <c r="AV89" i="105"/>
  <c r="Y49" i="195"/>
  <c r="AW75" i="105"/>
  <c r="AX83" i="104"/>
  <c r="AW83" i="104" s="1"/>
  <c r="BJ83" i="104" s="1"/>
  <c r="X43" i="195"/>
  <c r="AX58" i="104"/>
  <c r="AW58" i="104" s="1"/>
  <c r="BJ58" i="104" s="1"/>
  <c r="X18" i="195"/>
  <c r="AV57" i="105"/>
  <c r="AW57" i="105" s="1"/>
  <c r="Y17" i="195"/>
  <c r="AV84" i="105"/>
  <c r="AU84" i="105" s="1"/>
  <c r="Y44" i="195"/>
  <c r="AX54" i="104"/>
  <c r="AW54" i="104" s="1"/>
  <c r="BJ54" i="104" s="1"/>
  <c r="X14" i="195"/>
  <c r="AA79" i="51"/>
  <c r="D40" i="193"/>
  <c r="D39" i="490" s="1"/>
  <c r="F79" i="51"/>
  <c r="D79" i="51" s="1"/>
  <c r="B79" i="51"/>
  <c r="D39" i="135" s="1"/>
  <c r="D43" i="193"/>
  <c r="D42" i="490" s="1"/>
  <c r="AW82" i="51"/>
  <c r="BG82" i="51" s="1"/>
  <c r="F82" i="51"/>
  <c r="D82" i="51" s="1"/>
  <c r="B82" i="51"/>
  <c r="D42" i="135" s="1"/>
  <c r="AA82" i="51"/>
  <c r="AA56" i="63"/>
  <c r="AQ56" i="63" s="1"/>
  <c r="F17" i="193"/>
  <c r="F16" i="490" s="1"/>
  <c r="AP56" i="63"/>
  <c r="B56" i="63"/>
  <c r="F16" i="135" s="1"/>
  <c r="AA60" i="63"/>
  <c r="AQ60" i="63" s="1"/>
  <c r="F21" i="193"/>
  <c r="F20" i="490" s="1"/>
  <c r="AP60" i="63"/>
  <c r="B60" i="63"/>
  <c r="F20" i="135" s="1"/>
  <c r="AA64" i="63"/>
  <c r="AQ64" i="63" s="1"/>
  <c r="F25" i="193"/>
  <c r="F24" i="490" s="1"/>
  <c r="AP64" i="63"/>
  <c r="B64" i="63"/>
  <c r="F24" i="135" s="1"/>
  <c r="AA68" i="63"/>
  <c r="AQ68" i="63" s="1"/>
  <c r="F29" i="193"/>
  <c r="F28" i="490" s="1"/>
  <c r="AP68" i="63"/>
  <c r="B68" i="63"/>
  <c r="F28" i="135" s="1"/>
  <c r="AS78" i="63"/>
  <c r="F39" i="193"/>
  <c r="AP78" i="63"/>
  <c r="B78" i="63"/>
  <c r="F38" i="135" s="1"/>
  <c r="F42" i="193"/>
  <c r="AP81" i="63"/>
  <c r="B81" i="63"/>
  <c r="F41" i="135" s="1"/>
  <c r="F81" i="63"/>
  <c r="D81" i="63" s="1"/>
  <c r="AC77" i="19"/>
  <c r="AQ77" i="19" s="1"/>
  <c r="J34" i="490"/>
  <c r="AO74" i="20"/>
  <c r="B74" i="20"/>
  <c r="J34" i="135" s="1"/>
  <c r="AB80" i="20"/>
  <c r="J40" i="490"/>
  <c r="AO80" i="20"/>
  <c r="F80" i="20"/>
  <c r="D80" i="20" s="1"/>
  <c r="B80" i="20"/>
  <c r="J40" i="135" s="1"/>
  <c r="AB84" i="20"/>
  <c r="AO84" i="20"/>
  <c r="F84" i="20"/>
  <c r="D84" i="20" s="1"/>
  <c r="B84" i="20"/>
  <c r="J44" i="135" s="1"/>
  <c r="AB88" i="20"/>
  <c r="AO88" i="20"/>
  <c r="F88" i="20"/>
  <c r="D88" i="20" s="1"/>
  <c r="B88" i="20"/>
  <c r="J48" i="135" s="1"/>
  <c r="I46" i="21"/>
  <c r="K7" i="193" s="1"/>
  <c r="I50" i="21"/>
  <c r="K11" i="193" s="1"/>
  <c r="I54" i="21"/>
  <c r="I58" i="21"/>
  <c r="I70" i="21"/>
  <c r="B70" i="21" s="1"/>
  <c r="K30" i="135" s="1"/>
  <c r="I74" i="21"/>
  <c r="AA71" i="22"/>
  <c r="AB74" i="22"/>
  <c r="AO74" i="22" s="1"/>
  <c r="AN74" i="22"/>
  <c r="B74" i="22"/>
  <c r="M34" i="135" s="1"/>
  <c r="AA77" i="22"/>
  <c r="Q87" i="23"/>
  <c r="AU50" i="103"/>
  <c r="AU58" i="103"/>
  <c r="BA67" i="103"/>
  <c r="AZ67" i="103" s="1"/>
  <c r="BP67" i="103" s="1"/>
  <c r="W27" i="195"/>
  <c r="BA78" i="103"/>
  <c r="AZ78" i="103" s="1"/>
  <c r="BP78" i="103" s="1"/>
  <c r="W38" i="195"/>
  <c r="BA66" i="103"/>
  <c r="AZ66" i="103" s="1"/>
  <c r="BP66" i="103" s="1"/>
  <c r="W26" i="195"/>
  <c r="BA84" i="103"/>
  <c r="AZ84" i="103" s="1"/>
  <c r="BP84" i="103" s="1"/>
  <c r="W44" i="195"/>
  <c r="BA51" i="103"/>
  <c r="AZ51" i="103" s="1"/>
  <c r="BP51" i="103" s="1"/>
  <c r="W11" i="195"/>
  <c r="AU69" i="105"/>
  <c r="AX51" i="104"/>
  <c r="AW51" i="104" s="1"/>
  <c r="BJ51" i="104" s="1"/>
  <c r="X11" i="195"/>
  <c r="AV68" i="105"/>
  <c r="AU68" i="105" s="1"/>
  <c r="Y28" i="195"/>
  <c r="AV80" i="105"/>
  <c r="Y40" i="195"/>
  <c r="AW89" i="105"/>
  <c r="J79" i="104"/>
  <c r="AC70" i="105"/>
  <c r="AO70" i="105"/>
  <c r="Y70" i="105"/>
  <c r="P70" i="105"/>
  <c r="J70" i="105"/>
  <c r="AV71" i="105"/>
  <c r="AW71" i="105" s="1"/>
  <c r="Y31" i="195"/>
  <c r="D50" i="193"/>
  <c r="F89" i="51"/>
  <c r="D89" i="51" s="1"/>
  <c r="B89" i="51"/>
  <c r="D49" i="135" s="1"/>
  <c r="D42" i="193"/>
  <c r="D41" i="490" s="1"/>
  <c r="F81" i="51"/>
  <c r="D81" i="51" s="1"/>
  <c r="B81" i="51"/>
  <c r="D41" i="135" s="1"/>
  <c r="AA45" i="63"/>
  <c r="AQ45" i="63" s="1"/>
  <c r="F6" i="193"/>
  <c r="F5" i="490" s="1"/>
  <c r="AP45" i="63"/>
  <c r="B45" i="63"/>
  <c r="F5" i="135" s="1"/>
  <c r="AA49" i="63"/>
  <c r="AQ49" i="63" s="1"/>
  <c r="F10" i="193"/>
  <c r="F9" i="490" s="1"/>
  <c r="AP49" i="63"/>
  <c r="B49" i="63"/>
  <c r="F9" i="135" s="1"/>
  <c r="AS71" i="63"/>
  <c r="F32" i="193"/>
  <c r="AP71" i="63"/>
  <c r="B71" i="63"/>
  <c r="F31" i="135" s="1"/>
  <c r="AS84" i="63"/>
  <c r="F45" i="193"/>
  <c r="AP84" i="63"/>
  <c r="B84" i="63"/>
  <c r="F44" i="135" s="1"/>
  <c r="F84" i="63"/>
  <c r="D84" i="63" s="1"/>
  <c r="AC72" i="19"/>
  <c r="AQ72" i="19" s="1"/>
  <c r="AC81" i="19"/>
  <c r="I41" i="490"/>
  <c r="AO81" i="19"/>
  <c r="F81" i="19"/>
  <c r="D81" i="19" s="1"/>
  <c r="B81" i="19"/>
  <c r="I41" i="135" s="1"/>
  <c r="AC85" i="19"/>
  <c r="I45" i="490"/>
  <c r="AO85" i="19"/>
  <c r="F85" i="19"/>
  <c r="D85" i="19" s="1"/>
  <c r="B85" i="19"/>
  <c r="I45" i="135" s="1"/>
  <c r="AC89" i="19"/>
  <c r="I49" i="490"/>
  <c r="L4" i="491" s="1"/>
  <c r="AO89" i="19"/>
  <c r="F89" i="19"/>
  <c r="D89" i="19" s="1"/>
  <c r="B89" i="19"/>
  <c r="I49" i="135" s="1"/>
  <c r="H46" i="20"/>
  <c r="I46" i="20" s="1"/>
  <c r="J7" i="193" s="1"/>
  <c r="H50" i="20"/>
  <c r="I50" i="20" s="1"/>
  <c r="J11" i="193" s="1"/>
  <c r="H54" i="20"/>
  <c r="I54" i="20" s="1"/>
  <c r="J15" i="193" s="1"/>
  <c r="H58" i="20"/>
  <c r="I58" i="20" s="1"/>
  <c r="J19" i="193" s="1"/>
  <c r="H62" i="20"/>
  <c r="I62" i="20" s="1"/>
  <c r="J23" i="193" s="1"/>
  <c r="H66" i="20"/>
  <c r="I66" i="20" s="1"/>
  <c r="J27" i="193" s="1"/>
  <c r="AB69" i="20"/>
  <c r="AQ69" i="20" s="1"/>
  <c r="J29" i="490"/>
  <c r="AO69" i="20"/>
  <c r="B69" i="20"/>
  <c r="J29" i="135" s="1"/>
  <c r="AC69" i="20"/>
  <c r="AB77" i="20"/>
  <c r="J37" i="490"/>
  <c r="AO77" i="20"/>
  <c r="B77" i="20"/>
  <c r="J37" i="135" s="1"/>
  <c r="H46" i="22"/>
  <c r="I46" i="22" s="1"/>
  <c r="H50" i="22"/>
  <c r="I50" i="22" s="1"/>
  <c r="AA50" i="22" s="1"/>
  <c r="H54" i="22"/>
  <c r="I54" i="22" s="1"/>
  <c r="H58" i="22"/>
  <c r="I58" i="22" s="1"/>
  <c r="AA58" i="22" s="1"/>
  <c r="H62" i="22"/>
  <c r="I62" i="22" s="1"/>
  <c r="AB69" i="22"/>
  <c r="AO69" i="22" s="1"/>
  <c r="AN69" i="22"/>
  <c r="AT69" i="22" s="1"/>
  <c r="BF69" i="22" s="1"/>
  <c r="B69" i="22"/>
  <c r="M29" i="135" s="1"/>
  <c r="H47" i="23"/>
  <c r="I47" i="23" s="1"/>
  <c r="M8" i="193" s="1"/>
  <c r="H51" i="23"/>
  <c r="I51" i="23" s="1"/>
  <c r="M12" i="193" s="1"/>
  <c r="H55" i="23"/>
  <c r="I55" i="23" s="1"/>
  <c r="M16" i="193" s="1"/>
  <c r="H59" i="23"/>
  <c r="I59" i="23" s="1"/>
  <c r="M20" i="193" s="1"/>
  <c r="H63" i="23"/>
  <c r="I63" i="23" s="1"/>
  <c r="H67" i="23"/>
  <c r="I67" i="23" s="1"/>
  <c r="M28" i="193" s="1"/>
  <c r="AB70" i="23"/>
  <c r="M30" i="490"/>
  <c r="AO70" i="23"/>
  <c r="B70" i="23"/>
  <c r="N30" i="135" s="1"/>
  <c r="AB75" i="23"/>
  <c r="M35" i="490"/>
  <c r="AO75" i="23"/>
  <c r="B75" i="23"/>
  <c r="N35" i="135" s="1"/>
  <c r="AB77" i="23"/>
  <c r="M37" i="490"/>
  <c r="AO77" i="23"/>
  <c r="B77" i="23"/>
  <c r="N37" i="135" s="1"/>
  <c r="Q5" i="490"/>
  <c r="AN45" i="27"/>
  <c r="B45" i="27"/>
  <c r="S5" i="135" s="1"/>
  <c r="Q9" i="490"/>
  <c r="AN49" i="27"/>
  <c r="B49" i="27"/>
  <c r="S9" i="135" s="1"/>
  <c r="Q13" i="490"/>
  <c r="AN53" i="27"/>
  <c r="B53" i="27"/>
  <c r="S13" i="135" s="1"/>
  <c r="Q17" i="490"/>
  <c r="AN57" i="27"/>
  <c r="B57" i="27"/>
  <c r="S17" i="135" s="1"/>
  <c r="Q21" i="490"/>
  <c r="AN61" i="27"/>
  <c r="B61" i="27"/>
  <c r="S21" i="135" s="1"/>
  <c r="Q25" i="490"/>
  <c r="AN65" i="27"/>
  <c r="B65" i="27"/>
  <c r="S25" i="135" s="1"/>
  <c r="AC65" i="27"/>
  <c r="Q29" i="490"/>
  <c r="AN69" i="27"/>
  <c r="B69" i="27"/>
  <c r="S29" i="135" s="1"/>
  <c r="AC69" i="27"/>
  <c r="Q34" i="490"/>
  <c r="AN74" i="27"/>
  <c r="B74" i="27"/>
  <c r="S34" i="135" s="1"/>
  <c r="AC74" i="27"/>
  <c r="AA76" i="27"/>
  <c r="Q36" i="490"/>
  <c r="AN76" i="27"/>
  <c r="B76" i="27"/>
  <c r="S36" i="135" s="1"/>
  <c r="AC76" i="27"/>
  <c r="AA79" i="27"/>
  <c r="Q39" i="490"/>
  <c r="AN79" i="27"/>
  <c r="B79" i="27"/>
  <c r="S39" i="135" s="1"/>
  <c r="F79" i="27"/>
  <c r="D79" i="27" s="1"/>
  <c r="AA83" i="27"/>
  <c r="Q43" i="490"/>
  <c r="AN83" i="27"/>
  <c r="F83" i="27"/>
  <c r="D83" i="27" s="1"/>
  <c r="B83" i="27"/>
  <c r="S43" i="135" s="1"/>
  <c r="AA87" i="27"/>
  <c r="AN87" i="27"/>
  <c r="B87" i="27"/>
  <c r="S47" i="135" s="1"/>
  <c r="F87" i="27"/>
  <c r="D87" i="27" s="1"/>
  <c r="BA52" i="103"/>
  <c r="AZ52" i="103" s="1"/>
  <c r="BP52" i="103" s="1"/>
  <c r="W12" i="195"/>
  <c r="BA62" i="103"/>
  <c r="AZ62" i="103" s="1"/>
  <c r="BP62" i="103" s="1"/>
  <c r="W22" i="195"/>
  <c r="AU71" i="105"/>
  <c r="AU54" i="105"/>
  <c r="AU72" i="105"/>
  <c r="AV66" i="105"/>
  <c r="Y26" i="195"/>
  <c r="AC73" i="105"/>
  <c r="AO73" i="105"/>
  <c r="Y73" i="105"/>
  <c r="J73" i="105"/>
  <c r="AV88" i="105"/>
  <c r="AU88" i="105" s="1"/>
  <c r="Y48" i="195"/>
  <c r="AV50" i="105"/>
  <c r="AW50" i="105" s="1"/>
  <c r="Y10" i="195"/>
  <c r="AV64" i="105"/>
  <c r="Y24" i="195"/>
  <c r="AV72" i="105"/>
  <c r="AW72" i="105" s="1"/>
  <c r="Y32" i="195"/>
  <c r="AP89" i="105"/>
  <c r="AV61" i="105"/>
  <c r="AU61" i="105" s="1"/>
  <c r="Y21" i="195"/>
  <c r="AW74" i="105"/>
  <c r="AV81" i="105"/>
  <c r="AU81" i="105" s="1"/>
  <c r="Y41" i="195"/>
  <c r="AR83" i="104"/>
  <c r="AP70" i="105"/>
  <c r="AT70" i="105"/>
  <c r="AV54" i="105"/>
  <c r="AW54" i="105" s="1"/>
  <c r="Y14" i="195"/>
  <c r="D49" i="193"/>
  <c r="AW88" i="51"/>
  <c r="BG88" i="51" s="1"/>
  <c r="F88" i="51"/>
  <c r="D88" i="51" s="1"/>
  <c r="B88" i="51"/>
  <c r="D48" i="135" s="1"/>
  <c r="D41" i="193"/>
  <c r="D40" i="490" s="1"/>
  <c r="AW80" i="51"/>
  <c r="F80" i="51"/>
  <c r="D80" i="51" s="1"/>
  <c r="B80" i="51"/>
  <c r="D40" i="135" s="1"/>
  <c r="E38" i="193"/>
  <c r="E37" i="490" s="1"/>
  <c r="AR77" i="18"/>
  <c r="E37" i="195" s="1"/>
  <c r="B77" i="18"/>
  <c r="E37" i="135" s="1"/>
  <c r="AA53" i="63"/>
  <c r="AQ53" i="63" s="1"/>
  <c r="F14" i="193"/>
  <c r="F13" i="490" s="1"/>
  <c r="AP53" i="63"/>
  <c r="B53" i="63"/>
  <c r="F13" i="135" s="1"/>
  <c r="AA57" i="63"/>
  <c r="AQ57" i="63" s="1"/>
  <c r="F18" i="193"/>
  <c r="F17" i="490" s="1"/>
  <c r="AP57" i="63"/>
  <c r="B57" i="63"/>
  <c r="F17" i="135" s="1"/>
  <c r="AA61" i="63"/>
  <c r="AQ61" i="63" s="1"/>
  <c r="F22" i="193"/>
  <c r="F21" i="490" s="1"/>
  <c r="AP61" i="63"/>
  <c r="B61" i="63"/>
  <c r="F21" i="135" s="1"/>
  <c r="AA65" i="63"/>
  <c r="AQ65" i="63" s="1"/>
  <c r="F26" i="193"/>
  <c r="F25" i="490" s="1"/>
  <c r="AP65" i="63"/>
  <c r="B65" i="63"/>
  <c r="F25" i="135" s="1"/>
  <c r="F35" i="193"/>
  <c r="AP74" i="63"/>
  <c r="B74" i="63"/>
  <c r="F34" i="135" s="1"/>
  <c r="F37" i="193"/>
  <c r="AP76" i="63"/>
  <c r="B76" i="63"/>
  <c r="F36" i="135" s="1"/>
  <c r="F40" i="193"/>
  <c r="AP79" i="63"/>
  <c r="B79" i="63"/>
  <c r="F39" i="135" s="1"/>
  <c r="F79" i="63"/>
  <c r="D79" i="63" s="1"/>
  <c r="F48" i="193"/>
  <c r="AP87" i="63"/>
  <c r="B87" i="63"/>
  <c r="F47" i="135" s="1"/>
  <c r="F87" i="63"/>
  <c r="D87" i="63" s="1"/>
  <c r="AC75" i="19"/>
  <c r="AQ75" i="19" s="1"/>
  <c r="AB72" i="20"/>
  <c r="AQ72" i="20" s="1"/>
  <c r="J32" i="490"/>
  <c r="AO72" i="20"/>
  <c r="B72" i="20"/>
  <c r="J32" i="135" s="1"/>
  <c r="AB81" i="20"/>
  <c r="J41" i="490"/>
  <c r="AO81" i="20"/>
  <c r="F81" i="20"/>
  <c r="D81" i="20" s="1"/>
  <c r="B81" i="20"/>
  <c r="J41" i="135" s="1"/>
  <c r="AB85" i="20"/>
  <c r="AO85" i="20"/>
  <c r="F85" i="20"/>
  <c r="D85" i="20" s="1"/>
  <c r="B85" i="20"/>
  <c r="J45" i="135" s="1"/>
  <c r="AB89" i="20"/>
  <c r="AO89" i="20"/>
  <c r="F89" i="20"/>
  <c r="D89" i="20" s="1"/>
  <c r="B89" i="20"/>
  <c r="J49" i="135" s="1"/>
  <c r="I47" i="21"/>
  <c r="K8" i="193" s="1"/>
  <c r="I51" i="21"/>
  <c r="K12" i="193" s="1"/>
  <c r="I55" i="21"/>
  <c r="AO55" i="21" s="1"/>
  <c r="H66" i="22"/>
  <c r="I66" i="22" s="1"/>
  <c r="AA69" i="22"/>
  <c r="AB72" i="22"/>
  <c r="AO72" i="22" s="1"/>
  <c r="AN72" i="22"/>
  <c r="B72" i="22"/>
  <c r="M32" i="135" s="1"/>
  <c r="AB75" i="22"/>
  <c r="AO75" i="22" s="1"/>
  <c r="AN75" i="22"/>
  <c r="AT75" i="22" s="1"/>
  <c r="BF75" i="22" s="1"/>
  <c r="B75" i="22"/>
  <c r="M35" i="135" s="1"/>
  <c r="AB78" i="22"/>
  <c r="AO78" i="22" s="1"/>
  <c r="AN78" i="22"/>
  <c r="B78" i="22"/>
  <c r="M38" i="135" s="1"/>
  <c r="AB73" i="23"/>
  <c r="M33" i="490"/>
  <c r="AO73" i="23"/>
  <c r="B73" i="23"/>
  <c r="N33" i="135" s="1"/>
  <c r="Q32" i="490"/>
  <c r="AN72" i="27"/>
  <c r="B72" i="27"/>
  <c r="S32" i="135" s="1"/>
  <c r="AC72" i="27"/>
  <c r="AA74" i="27"/>
  <c r="J66" i="104"/>
  <c r="AQ66" i="104"/>
  <c r="BB49" i="103"/>
  <c r="BA79" i="103"/>
  <c r="AZ79" i="103" s="1"/>
  <c r="BP79" i="103" s="1"/>
  <c r="W39" i="195"/>
  <c r="BA53" i="103"/>
  <c r="AZ53" i="103" s="1"/>
  <c r="BP53" i="103" s="1"/>
  <c r="W13" i="195"/>
  <c r="AU55" i="105"/>
  <c r="AV74" i="105"/>
  <c r="Y34" i="195"/>
  <c r="AW81" i="105"/>
  <c r="AW84" i="105"/>
  <c r="AV59" i="105"/>
  <c r="AU59" i="105" s="1"/>
  <c r="Y19" i="195"/>
  <c r="AV79" i="105"/>
  <c r="AW79" i="105" s="1"/>
  <c r="Y39" i="195"/>
  <c r="AX81" i="104"/>
  <c r="AW81" i="104" s="1"/>
  <c r="BJ81" i="104" s="1"/>
  <c r="X41" i="195"/>
  <c r="AY77" i="104"/>
  <c r="AP79" i="105"/>
  <c r="AR79" i="104"/>
  <c r="AW69" i="105"/>
  <c r="AP74" i="105"/>
  <c r="AV67" i="105"/>
  <c r="AW67" i="105" s="1"/>
  <c r="Y27" i="195"/>
  <c r="AX82" i="104"/>
  <c r="AW82" i="104" s="1"/>
  <c r="BJ82" i="104" s="1"/>
  <c r="X42" i="195"/>
  <c r="E30" i="193"/>
  <c r="E29" i="490" s="1"/>
  <c r="AR69" i="18"/>
  <c r="E29" i="195" s="1"/>
  <c r="B69" i="18"/>
  <c r="E29" i="135" s="1"/>
  <c r="E37" i="193"/>
  <c r="E36" i="490" s="1"/>
  <c r="AR76" i="18"/>
  <c r="B76" i="18"/>
  <c r="E36" i="135" s="1"/>
  <c r="BB77" i="18"/>
  <c r="AE73" i="18"/>
  <c r="AA46" i="63"/>
  <c r="AQ46" i="63" s="1"/>
  <c r="F7" i="193"/>
  <c r="F6" i="490" s="1"/>
  <c r="AP46" i="63"/>
  <c r="B46" i="63"/>
  <c r="F6" i="135" s="1"/>
  <c r="AA50" i="63"/>
  <c r="AQ50" i="63" s="1"/>
  <c r="F11" i="193"/>
  <c r="F10" i="490" s="1"/>
  <c r="AP50" i="63"/>
  <c r="B50" i="63"/>
  <c r="F10" i="135" s="1"/>
  <c r="AS69" i="63"/>
  <c r="F30" i="193"/>
  <c r="F29" i="490" s="1"/>
  <c r="AP69" i="63"/>
  <c r="B69" i="63"/>
  <c r="F29" i="135" s="1"/>
  <c r="F43" i="193"/>
  <c r="AP82" i="63"/>
  <c r="B82" i="63"/>
  <c r="F42" i="135" s="1"/>
  <c r="F82" i="63"/>
  <c r="D82" i="63" s="1"/>
  <c r="AC70" i="19"/>
  <c r="AQ70" i="19" s="1"/>
  <c r="AC78" i="19"/>
  <c r="AQ78" i="19" s="1"/>
  <c r="AC82" i="19"/>
  <c r="I42" i="490"/>
  <c r="AO82" i="19"/>
  <c r="F82" i="19"/>
  <c r="D82" i="19" s="1"/>
  <c r="B82" i="19"/>
  <c r="I42" i="135" s="1"/>
  <c r="AC86" i="19"/>
  <c r="I46" i="490"/>
  <c r="AO86" i="19"/>
  <c r="F86" i="19"/>
  <c r="D86" i="19" s="1"/>
  <c r="B86" i="19"/>
  <c r="I46" i="135" s="1"/>
  <c r="H47" i="20"/>
  <c r="I47" i="20" s="1"/>
  <c r="J8" i="193" s="1"/>
  <c r="H51" i="20"/>
  <c r="I51" i="20" s="1"/>
  <c r="J12" i="193" s="1"/>
  <c r="H55" i="20"/>
  <c r="I55" i="20" s="1"/>
  <c r="H59" i="20"/>
  <c r="I59" i="20" s="1"/>
  <c r="J20" i="193" s="1"/>
  <c r="H63" i="20"/>
  <c r="I63" i="20" s="1"/>
  <c r="J24" i="193" s="1"/>
  <c r="AB75" i="20"/>
  <c r="J35" i="490"/>
  <c r="AO75" i="20"/>
  <c r="B75" i="20"/>
  <c r="J35" i="135" s="1"/>
  <c r="H47" i="22"/>
  <c r="I47" i="22" s="1"/>
  <c r="H51" i="22"/>
  <c r="I51" i="22" s="1"/>
  <c r="AA51" i="22" s="1"/>
  <c r="H55" i="22"/>
  <c r="I55" i="22" s="1"/>
  <c r="H59" i="22"/>
  <c r="I59" i="22" s="1"/>
  <c r="AA59" i="22" s="1"/>
  <c r="H63" i="22"/>
  <c r="I63" i="22" s="1"/>
  <c r="H44" i="23"/>
  <c r="I44" i="23" s="1"/>
  <c r="M5" i="193" s="1"/>
  <c r="H48" i="23"/>
  <c r="I48" i="23" s="1"/>
  <c r="M9" i="193" s="1"/>
  <c r="H52" i="23"/>
  <c r="I52" i="23" s="1"/>
  <c r="M13" i="193" s="1"/>
  <c r="H56" i="23"/>
  <c r="I56" i="23" s="1"/>
  <c r="M17" i="193" s="1"/>
  <c r="H60" i="23"/>
  <c r="I60" i="23" s="1"/>
  <c r="M21" i="193" s="1"/>
  <c r="H64" i="23"/>
  <c r="I64" i="23" s="1"/>
  <c r="M25" i="193" s="1"/>
  <c r="H68" i="23"/>
  <c r="I68" i="23" s="1"/>
  <c r="AR88" i="23"/>
  <c r="Q88" i="23"/>
  <c r="Q6" i="490"/>
  <c r="AN46" i="27"/>
  <c r="B46" i="27"/>
  <c r="S6" i="135" s="1"/>
  <c r="Q10" i="490"/>
  <c r="AN50" i="27"/>
  <c r="B50" i="27"/>
  <c r="S10" i="135" s="1"/>
  <c r="Q14" i="490"/>
  <c r="AN54" i="27"/>
  <c r="B54" i="27"/>
  <c r="S14" i="135" s="1"/>
  <c r="Q18" i="490"/>
  <c r="AN58" i="27"/>
  <c r="B58" i="27"/>
  <c r="S18" i="135" s="1"/>
  <c r="Q22" i="490"/>
  <c r="AN62" i="27"/>
  <c r="B62" i="27"/>
  <c r="S22" i="135" s="1"/>
  <c r="Q26" i="490"/>
  <c r="AN66" i="27"/>
  <c r="B66" i="27"/>
  <c r="S26" i="135" s="1"/>
  <c r="AB66" i="27"/>
  <c r="AC66" i="27"/>
  <c r="AA80" i="27"/>
  <c r="Q40" i="490"/>
  <c r="AN80" i="27"/>
  <c r="B80" i="27"/>
  <c r="S40" i="135" s="1"/>
  <c r="F80" i="27"/>
  <c r="D80" i="27" s="1"/>
  <c r="AA84" i="27"/>
  <c r="AN84" i="27"/>
  <c r="F84" i="27"/>
  <c r="D84" i="27" s="1"/>
  <c r="B84" i="27"/>
  <c r="S44" i="135" s="1"/>
  <c r="AB88" i="27"/>
  <c r="AQ88" i="27" s="1"/>
  <c r="AN88" i="27"/>
  <c r="B88" i="27"/>
  <c r="S48" i="135" s="1"/>
  <c r="F88" i="27"/>
  <c r="D88" i="27" s="1"/>
  <c r="J69" i="104"/>
  <c r="AQ69" i="104"/>
  <c r="BA54" i="103"/>
  <c r="AZ54" i="103" s="1"/>
  <c r="BP54" i="103" s="1"/>
  <c r="W14" i="195"/>
  <c r="BG64" i="101"/>
  <c r="J88" i="102"/>
  <c r="AY75" i="102"/>
  <c r="AU74" i="105"/>
  <c r="AU89" i="105"/>
  <c r="AU64" i="105"/>
  <c r="AU77" i="105"/>
  <c r="AP73" i="105"/>
  <c r="AT73" i="105"/>
  <c r="AR87" i="104"/>
  <c r="AW65" i="105"/>
  <c r="AV52" i="105"/>
  <c r="AU52" i="105" s="1"/>
  <c r="Y12" i="195"/>
  <c r="AX52" i="104"/>
  <c r="AW52" i="104" s="1"/>
  <c r="BJ52" i="104" s="1"/>
  <c r="X12" i="195"/>
  <c r="AX49" i="104"/>
  <c r="AW49" i="104" s="1"/>
  <c r="BJ49" i="104" s="1"/>
  <c r="X9" i="195"/>
  <c r="AW88" i="105"/>
  <c r="AX86" i="104"/>
  <c r="AW86" i="104" s="1"/>
  <c r="BJ86" i="104" s="1"/>
  <c r="X46" i="195"/>
  <c r="AW82" i="22"/>
  <c r="AV65" i="105"/>
  <c r="Y25" i="195"/>
  <c r="AW49" i="105"/>
  <c r="AW66" i="105"/>
  <c r="AW82" i="105"/>
  <c r="AV58" i="105"/>
  <c r="AW58" i="105" s="1"/>
  <c r="Y18" i="195"/>
  <c r="AW80" i="105"/>
  <c r="AY70" i="104"/>
  <c r="AV87" i="105"/>
  <c r="AU87" i="105" s="1"/>
  <c r="Y47" i="195"/>
  <c r="AV49" i="104"/>
  <c r="AR49" i="104"/>
  <c r="D47" i="193"/>
  <c r="AW86" i="51"/>
  <c r="F86" i="51"/>
  <c r="D86" i="51" s="1"/>
  <c r="B86" i="51"/>
  <c r="D46" i="135" s="1"/>
  <c r="AA54" i="63"/>
  <c r="AQ54" i="63" s="1"/>
  <c r="F15" i="193"/>
  <c r="F14" i="490" s="1"/>
  <c r="AP54" i="63"/>
  <c r="B54" i="63"/>
  <c r="F14" i="135" s="1"/>
  <c r="AA58" i="63"/>
  <c r="AQ58" i="63" s="1"/>
  <c r="F19" i="193"/>
  <c r="F18" i="490" s="1"/>
  <c r="AP58" i="63"/>
  <c r="B58" i="63"/>
  <c r="F18" i="135" s="1"/>
  <c r="AA62" i="63"/>
  <c r="AQ62" i="63" s="1"/>
  <c r="F23" i="193"/>
  <c r="F22" i="490" s="1"/>
  <c r="AP62" i="63"/>
  <c r="B62" i="63"/>
  <c r="F22" i="135" s="1"/>
  <c r="AA66" i="63"/>
  <c r="AQ66" i="63" s="1"/>
  <c r="F27" i="193"/>
  <c r="F26" i="490" s="1"/>
  <c r="AP66" i="63"/>
  <c r="B66" i="63"/>
  <c r="F26" i="135" s="1"/>
  <c r="AS72" i="63"/>
  <c r="F33" i="193"/>
  <c r="AP72" i="63"/>
  <c r="B72" i="63"/>
  <c r="F32" i="135" s="1"/>
  <c r="F46" i="193"/>
  <c r="AP85" i="63"/>
  <c r="B85" i="63"/>
  <c r="F45" i="135" s="1"/>
  <c r="F85" i="63"/>
  <c r="D85" i="63" s="1"/>
  <c r="AB70" i="20"/>
  <c r="AQ70" i="20" s="1"/>
  <c r="J30" i="490"/>
  <c r="AO70" i="20"/>
  <c r="B70" i="20"/>
  <c r="J30" i="135" s="1"/>
  <c r="AC70" i="20"/>
  <c r="J38" i="490"/>
  <c r="AO78" i="20"/>
  <c r="B78" i="20"/>
  <c r="J38" i="135" s="1"/>
  <c r="AB82" i="20"/>
  <c r="J42" i="490"/>
  <c r="AO82" i="20"/>
  <c r="F82" i="20"/>
  <c r="D82" i="20" s="1"/>
  <c r="B82" i="20"/>
  <c r="J42" i="135" s="1"/>
  <c r="AB86" i="20"/>
  <c r="AO86" i="20"/>
  <c r="F86" i="20"/>
  <c r="D86" i="20" s="1"/>
  <c r="B86" i="20"/>
  <c r="J46" i="135" s="1"/>
  <c r="I44" i="21"/>
  <c r="K5" i="193" s="1"/>
  <c r="I48" i="21"/>
  <c r="K9" i="193" s="1"/>
  <c r="K8" i="490" s="1"/>
  <c r="I52" i="21"/>
  <c r="I56" i="21"/>
  <c r="I72" i="21"/>
  <c r="H67" i="22"/>
  <c r="I67" i="22" s="1"/>
  <c r="AB70" i="22"/>
  <c r="AO70" i="22" s="1"/>
  <c r="AN70" i="22"/>
  <c r="B70" i="22"/>
  <c r="M30" i="135" s="1"/>
  <c r="AB71" i="23"/>
  <c r="M31" i="490"/>
  <c r="AO71" i="23"/>
  <c r="B71" i="23"/>
  <c r="N31" i="135" s="1"/>
  <c r="Q30" i="490"/>
  <c r="AN70" i="27"/>
  <c r="B70" i="27"/>
  <c r="S30" i="135" s="1"/>
  <c r="AC70" i="27"/>
  <c r="AA77" i="27"/>
  <c r="Q37" i="490"/>
  <c r="AN77" i="27"/>
  <c r="B77" i="27"/>
  <c r="S37" i="135" s="1"/>
  <c r="AC77" i="27"/>
  <c r="J71" i="104"/>
  <c r="AQ71" i="104"/>
  <c r="AU62" i="103"/>
  <c r="BA81" i="103"/>
  <c r="AZ81" i="103" s="1"/>
  <c r="BP81" i="103" s="1"/>
  <c r="W41" i="195"/>
  <c r="BA68" i="103"/>
  <c r="AZ68" i="103" s="1"/>
  <c r="BP68" i="103" s="1"/>
  <c r="W28" i="195"/>
  <c r="BA55" i="103"/>
  <c r="AZ55" i="103" s="1"/>
  <c r="BP55" i="103" s="1"/>
  <c r="W15" i="195"/>
  <c r="AU75" i="105"/>
  <c r="AU49" i="105"/>
  <c r="AU57" i="105"/>
  <c r="AU65" i="105"/>
  <c r="AW86" i="105"/>
  <c r="AX50" i="104"/>
  <c r="AW50" i="104" s="1"/>
  <c r="BJ50" i="104" s="1"/>
  <c r="X10" i="195"/>
  <c r="Y9" i="195"/>
  <c r="AV49" i="105"/>
  <c r="AW87" i="105"/>
  <c r="AV51" i="105"/>
  <c r="AU51" i="105" s="1"/>
  <c r="Y11" i="195"/>
  <c r="AY60" i="104"/>
  <c r="P138" i="103"/>
  <c r="AP88" i="105"/>
  <c r="AV78" i="105"/>
  <c r="AW78" i="105" s="1"/>
  <c r="Y38" i="195"/>
  <c r="AV86" i="105"/>
  <c r="AU86" i="105" s="1"/>
  <c r="Y46" i="195"/>
  <c r="AP49" i="105"/>
  <c r="AP66" i="105"/>
  <c r="AP82" i="105"/>
  <c r="AP80" i="105"/>
  <c r="AW61" i="105"/>
  <c r="D46" i="193"/>
  <c r="D45" i="195"/>
  <c r="F85" i="51"/>
  <c r="D85" i="51" s="1"/>
  <c r="B85" i="51"/>
  <c r="D45" i="135" s="1"/>
  <c r="AA47" i="63"/>
  <c r="AQ47" i="63" s="1"/>
  <c r="F8" i="193"/>
  <c r="F7" i="490" s="1"/>
  <c r="AP47" i="63"/>
  <c r="B47" i="63"/>
  <c r="F7" i="135" s="1"/>
  <c r="AA51" i="63"/>
  <c r="AQ51" i="63" s="1"/>
  <c r="F12" i="193"/>
  <c r="F11" i="490" s="1"/>
  <c r="AP51" i="63"/>
  <c r="B51" i="63"/>
  <c r="F11" i="135" s="1"/>
  <c r="AS77" i="63"/>
  <c r="F38" i="193"/>
  <c r="AP77" i="63"/>
  <c r="B77" i="63"/>
  <c r="F37" i="135" s="1"/>
  <c r="AS80" i="63"/>
  <c r="F41" i="193"/>
  <c r="AP80" i="63"/>
  <c r="B80" i="63"/>
  <c r="F40" i="135" s="1"/>
  <c r="F80" i="63"/>
  <c r="D80" i="63" s="1"/>
  <c r="AT88" i="63"/>
  <c r="F49" i="193"/>
  <c r="AP88" i="63"/>
  <c r="B88" i="63"/>
  <c r="F48" i="135" s="1"/>
  <c r="F88" i="63"/>
  <c r="D88" i="63" s="1"/>
  <c r="AC79" i="19"/>
  <c r="I39" i="490"/>
  <c r="AO79" i="19"/>
  <c r="F79" i="19"/>
  <c r="D79" i="19" s="1"/>
  <c r="B79" i="19"/>
  <c r="I39" i="135" s="1"/>
  <c r="AC83" i="19"/>
  <c r="I43" i="490"/>
  <c r="AO83" i="19"/>
  <c r="F83" i="19"/>
  <c r="D83" i="19" s="1"/>
  <c r="B83" i="19"/>
  <c r="I43" i="135" s="1"/>
  <c r="AC87" i="19"/>
  <c r="I47" i="490"/>
  <c r="AO87" i="19"/>
  <c r="F87" i="19"/>
  <c r="D87" i="19" s="1"/>
  <c r="B87" i="19"/>
  <c r="I47" i="135" s="1"/>
  <c r="J4" i="490"/>
  <c r="AO44" i="20"/>
  <c r="AW44" i="20" s="1"/>
  <c r="BJ44" i="20" s="1"/>
  <c r="B44" i="20"/>
  <c r="J4" i="135" s="1"/>
  <c r="H48" i="20"/>
  <c r="I48" i="20" s="1"/>
  <c r="J9" i="193" s="1"/>
  <c r="H52" i="20"/>
  <c r="I52" i="20" s="1"/>
  <c r="J13" i="193" s="1"/>
  <c r="H56" i="20"/>
  <c r="I56" i="20" s="1"/>
  <c r="J17" i="193" s="1"/>
  <c r="H60" i="20"/>
  <c r="I60" i="20" s="1"/>
  <c r="J21" i="193" s="1"/>
  <c r="H64" i="20"/>
  <c r="I64" i="20" s="1"/>
  <c r="AB73" i="20"/>
  <c r="AQ73" i="20" s="1"/>
  <c r="J33" i="490"/>
  <c r="AO73" i="20"/>
  <c r="B73" i="20"/>
  <c r="J33" i="135" s="1"/>
  <c r="H44" i="22"/>
  <c r="I44" i="22" s="1"/>
  <c r="H48" i="22"/>
  <c r="I48" i="22" s="1"/>
  <c r="AA48" i="22" s="1"/>
  <c r="H52" i="22"/>
  <c r="I52" i="22" s="1"/>
  <c r="H56" i="22"/>
  <c r="I56" i="22" s="1"/>
  <c r="AA56" i="22" s="1"/>
  <c r="H60" i="22"/>
  <c r="I60" i="22" s="1"/>
  <c r="H64" i="22"/>
  <c r="I64" i="22" s="1"/>
  <c r="AA64" i="22" s="1"/>
  <c r="AA70" i="22"/>
  <c r="AB73" i="22"/>
  <c r="AO73" i="22" s="1"/>
  <c r="AN73" i="22"/>
  <c r="AT73" i="22" s="1"/>
  <c r="BF73" i="22" s="1"/>
  <c r="B73" i="22"/>
  <c r="M33" i="135" s="1"/>
  <c r="AB76" i="22"/>
  <c r="AO76" i="22" s="1"/>
  <c r="AN76" i="22"/>
  <c r="B76" i="22"/>
  <c r="M36" i="135" s="1"/>
  <c r="H45" i="23"/>
  <c r="I45" i="23" s="1"/>
  <c r="H49" i="23"/>
  <c r="I49" i="23" s="1"/>
  <c r="M10" i="193" s="1"/>
  <c r="H53" i="23"/>
  <c r="I53" i="23" s="1"/>
  <c r="M14" i="193" s="1"/>
  <c r="H57" i="23"/>
  <c r="I57" i="23" s="1"/>
  <c r="M18" i="193" s="1"/>
  <c r="H61" i="23"/>
  <c r="I61" i="23" s="1"/>
  <c r="M22" i="193" s="1"/>
  <c r="H65" i="23"/>
  <c r="I65" i="23" s="1"/>
  <c r="M26" i="193" s="1"/>
  <c r="M34" i="490"/>
  <c r="AO74" i="23"/>
  <c r="B74" i="23"/>
  <c r="N34" i="135" s="1"/>
  <c r="M36" i="490"/>
  <c r="AO76" i="23"/>
  <c r="B76" i="23"/>
  <c r="N36" i="135" s="1"/>
  <c r="M38" i="490"/>
  <c r="AO78" i="23"/>
  <c r="B78" i="23"/>
  <c r="N38" i="135" s="1"/>
  <c r="AR89" i="23"/>
  <c r="Q89" i="23"/>
  <c r="AA71" i="25"/>
  <c r="AP71" i="25" s="1"/>
  <c r="Q7" i="490"/>
  <c r="AN47" i="27"/>
  <c r="B47" i="27"/>
  <c r="S7" i="135" s="1"/>
  <c r="Q11" i="490"/>
  <c r="AN51" i="27"/>
  <c r="B51" i="27"/>
  <c r="S11" i="135" s="1"/>
  <c r="Q15" i="490"/>
  <c r="AN55" i="27"/>
  <c r="B55" i="27"/>
  <c r="S15" i="135" s="1"/>
  <c r="AN59" i="27"/>
  <c r="B59" i="27"/>
  <c r="S19" i="135" s="1"/>
  <c r="Q23" i="490"/>
  <c r="AN63" i="27"/>
  <c r="B63" i="27"/>
  <c r="S23" i="135" s="1"/>
  <c r="AA81" i="27"/>
  <c r="Q41" i="490"/>
  <c r="AN81" i="27"/>
  <c r="B81" i="27"/>
  <c r="S41" i="135" s="1"/>
  <c r="F81" i="27"/>
  <c r="D81" i="27" s="1"/>
  <c r="AA85" i="27"/>
  <c r="AN85" i="27"/>
  <c r="F85" i="27"/>
  <c r="D85" i="27" s="1"/>
  <c r="B85" i="27"/>
  <c r="S45" i="135" s="1"/>
  <c r="AA89" i="27"/>
  <c r="AN89" i="27"/>
  <c r="B89" i="27"/>
  <c r="S49" i="135" s="1"/>
  <c r="F89" i="27"/>
  <c r="D89" i="27" s="1"/>
  <c r="J68" i="104"/>
  <c r="AQ68" i="104"/>
  <c r="AU55" i="103"/>
  <c r="BA56" i="103"/>
  <c r="AZ56" i="103" s="1"/>
  <c r="BP56" i="103" s="1"/>
  <c r="W16" i="195"/>
  <c r="BA80" i="103"/>
  <c r="AZ80" i="103" s="1"/>
  <c r="BP80" i="103" s="1"/>
  <c r="W40" i="195"/>
  <c r="BG57" i="101"/>
  <c r="BG65" i="101"/>
  <c r="J84" i="102"/>
  <c r="AY59" i="102"/>
  <c r="J68" i="102"/>
  <c r="AU79" i="105"/>
  <c r="AU50" i="105"/>
  <c r="AU58" i="105"/>
  <c r="AU66" i="105"/>
  <c r="AU80" i="105"/>
  <c r="AC47" i="105"/>
  <c r="AB47" i="105" s="1"/>
  <c r="AC45" i="105"/>
  <c r="AB45" i="105" s="1"/>
  <c r="AC46" i="105"/>
  <c r="AB46" i="105" s="1"/>
  <c r="AC48" i="105"/>
  <c r="AB48" i="105" s="1"/>
  <c r="AC44" i="105"/>
  <c r="AB44" i="105" s="1"/>
  <c r="AV83" i="105"/>
  <c r="AW83" i="105" s="1"/>
  <c r="Y43" i="195"/>
  <c r="AV63" i="105"/>
  <c r="AW63" i="105" s="1"/>
  <c r="Y23" i="195"/>
  <c r="AW68" i="105"/>
  <c r="AQ76" i="104"/>
  <c r="J76" i="104"/>
  <c r="AV56" i="105"/>
  <c r="AU56" i="105" s="1"/>
  <c r="Y16" i="195"/>
  <c r="AX56" i="104"/>
  <c r="AW56" i="104" s="1"/>
  <c r="BJ56" i="104" s="1"/>
  <c r="X16" i="195"/>
  <c r="AW55" i="105"/>
  <c r="AW86" i="22"/>
  <c r="AW60" i="105"/>
  <c r="AR81" i="104"/>
  <c r="AY55" i="104"/>
  <c r="AV76" i="105"/>
  <c r="AW76" i="105" s="1"/>
  <c r="Y36" i="195"/>
  <c r="AV53" i="105"/>
  <c r="AU53" i="105" s="1"/>
  <c r="Y13" i="195"/>
  <c r="AW52" i="105"/>
  <c r="AV85" i="105"/>
  <c r="AW85" i="105" s="1"/>
  <c r="Y45" i="195"/>
  <c r="AV62" i="105"/>
  <c r="AW62" i="105" s="1"/>
  <c r="Y22" i="195"/>
  <c r="AW64" i="105"/>
  <c r="AP61" i="105"/>
  <c r="P73" i="105"/>
  <c r="U52" i="18"/>
  <c r="N96" i="4"/>
  <c r="H96" i="4" s="1"/>
  <c r="T96" i="4"/>
  <c r="N94" i="4"/>
  <c r="H94" i="4" s="1"/>
  <c r="T94" i="4"/>
  <c r="N92" i="4"/>
  <c r="H92" i="4" s="1"/>
  <c r="T92" i="4"/>
  <c r="N90" i="4"/>
  <c r="H90" i="4" s="1"/>
  <c r="T90" i="4"/>
  <c r="N88" i="4"/>
  <c r="H88" i="4" s="1"/>
  <c r="T88" i="4"/>
  <c r="N86" i="4"/>
  <c r="H86" i="4" s="1"/>
  <c r="T86" i="4"/>
  <c r="N84" i="4"/>
  <c r="H84" i="4" s="1"/>
  <c r="T84" i="4"/>
  <c r="N82" i="4"/>
  <c r="H82" i="4" s="1"/>
  <c r="T82" i="4"/>
  <c r="N80" i="4"/>
  <c r="H80" i="4" s="1"/>
  <c r="T80" i="4"/>
  <c r="N78" i="4"/>
  <c r="H78" i="4" s="1"/>
  <c r="T78" i="4"/>
  <c r="N76" i="4"/>
  <c r="H76" i="4" s="1"/>
  <c r="N74" i="4"/>
  <c r="H74" i="4" s="1"/>
  <c r="T74" i="4"/>
  <c r="N72" i="4"/>
  <c r="H72" i="4" s="1"/>
  <c r="T72" i="4"/>
  <c r="N70" i="4"/>
  <c r="H70" i="4" s="1"/>
  <c r="T70" i="4"/>
  <c r="N68" i="4"/>
  <c r="H68" i="4" s="1"/>
  <c r="T68" i="4"/>
  <c r="N66" i="4"/>
  <c r="H66" i="4" s="1"/>
  <c r="T66" i="4"/>
  <c r="N64" i="4"/>
  <c r="H64" i="4" s="1"/>
  <c r="T64" i="4"/>
  <c r="N62" i="4"/>
  <c r="H62" i="4" s="1"/>
  <c r="T62" i="4"/>
  <c r="N60" i="4"/>
  <c r="H60" i="4" s="1"/>
  <c r="T60" i="4"/>
  <c r="N58" i="4"/>
  <c r="H58" i="4" s="1"/>
  <c r="T58" i="4"/>
  <c r="N56" i="4"/>
  <c r="H56" i="4" s="1"/>
  <c r="T56" i="4"/>
  <c r="N54" i="4"/>
  <c r="H54" i="4" s="1"/>
  <c r="T54" i="4"/>
  <c r="N52" i="4"/>
  <c r="H52" i="4" s="1"/>
  <c r="T52" i="4"/>
  <c r="H97" i="4"/>
  <c r="T97" i="4"/>
  <c r="N95" i="4"/>
  <c r="H95" i="4" s="1"/>
  <c r="T95" i="4"/>
  <c r="N93" i="4"/>
  <c r="H93" i="4" s="1"/>
  <c r="T93" i="4"/>
  <c r="N91" i="4"/>
  <c r="H91" i="4" s="1"/>
  <c r="T91" i="4"/>
  <c r="N89" i="4"/>
  <c r="H89" i="4" s="1"/>
  <c r="T89" i="4"/>
  <c r="N87" i="4"/>
  <c r="H87" i="4" s="1"/>
  <c r="T87" i="4"/>
  <c r="N85" i="4"/>
  <c r="H85" i="4" s="1"/>
  <c r="T85" i="4"/>
  <c r="N83" i="4"/>
  <c r="H83" i="4" s="1"/>
  <c r="T83" i="4"/>
  <c r="N81" i="4"/>
  <c r="H81" i="4" s="1"/>
  <c r="T81" i="4"/>
  <c r="N79" i="4"/>
  <c r="H79" i="4" s="1"/>
  <c r="T79" i="4"/>
  <c r="N77" i="4"/>
  <c r="H77" i="4" s="1"/>
  <c r="T77" i="4"/>
  <c r="N75" i="4"/>
  <c r="H75" i="4" s="1"/>
  <c r="T75" i="4"/>
  <c r="N73" i="4"/>
  <c r="H73" i="4" s="1"/>
  <c r="T73" i="4"/>
  <c r="N71" i="4"/>
  <c r="H71" i="4" s="1"/>
  <c r="T71" i="4"/>
  <c r="N69" i="4"/>
  <c r="H69" i="4" s="1"/>
  <c r="T69" i="4"/>
  <c r="N67" i="4"/>
  <c r="H67" i="4" s="1"/>
  <c r="T67" i="4"/>
  <c r="N65" i="4"/>
  <c r="H65" i="4" s="1"/>
  <c r="T65" i="4"/>
  <c r="N63" i="4"/>
  <c r="H63" i="4" s="1"/>
  <c r="T63" i="4"/>
  <c r="N61" i="4"/>
  <c r="H61" i="4" s="1"/>
  <c r="T61" i="4"/>
  <c r="N59" i="4"/>
  <c r="H59" i="4" s="1"/>
  <c r="T59" i="4"/>
  <c r="N57" i="4"/>
  <c r="H57" i="4" s="1"/>
  <c r="T57" i="4"/>
  <c r="N55" i="4"/>
  <c r="H55" i="4" s="1"/>
  <c r="T55" i="4"/>
  <c r="N53" i="4"/>
  <c r="H53" i="4" s="1"/>
  <c r="T53" i="4"/>
  <c r="AQ98" i="4"/>
  <c r="BH98" i="4" s="1"/>
  <c r="BN98" i="4" s="1"/>
  <c r="AQ96" i="4"/>
  <c r="BH96" i="4" s="1"/>
  <c r="BN96" i="4" s="1"/>
  <c r="W47" i="193"/>
  <c r="AQ94" i="4"/>
  <c r="BH94" i="4" s="1"/>
  <c r="BN94" i="4" s="1"/>
  <c r="W45" i="193"/>
  <c r="AQ92" i="4"/>
  <c r="BH92" i="4" s="1"/>
  <c r="BN92" i="4" s="1"/>
  <c r="W43" i="193"/>
  <c r="AQ90" i="4"/>
  <c r="BH90" i="4" s="1"/>
  <c r="BN90" i="4" s="1"/>
  <c r="W41" i="193"/>
  <c r="AQ88" i="4"/>
  <c r="BH88" i="4" s="1"/>
  <c r="BN88" i="4" s="1"/>
  <c r="W39" i="193"/>
  <c r="AQ86" i="4"/>
  <c r="BH86" i="4" s="1"/>
  <c r="BN86" i="4" s="1"/>
  <c r="W37" i="193"/>
  <c r="AQ84" i="4"/>
  <c r="BH84" i="4" s="1"/>
  <c r="BN84" i="4" s="1"/>
  <c r="W35" i="193"/>
  <c r="AQ82" i="4"/>
  <c r="BH82" i="4" s="1"/>
  <c r="BN82" i="4" s="1"/>
  <c r="W33" i="193"/>
  <c r="AQ80" i="4"/>
  <c r="BH80" i="4" s="1"/>
  <c r="BN80" i="4" s="1"/>
  <c r="W31" i="193"/>
  <c r="AQ78" i="4"/>
  <c r="BH78" i="4" s="1"/>
  <c r="BN78" i="4" s="1"/>
  <c r="W29" i="193"/>
  <c r="W28" i="490" s="1"/>
  <c r="AQ76" i="4"/>
  <c r="BH76" i="4" s="1"/>
  <c r="BN76" i="4" s="1"/>
  <c r="W27" i="193"/>
  <c r="W26" i="490" s="1"/>
  <c r="AQ74" i="4"/>
  <c r="BH74" i="4" s="1"/>
  <c r="BN74" i="4" s="1"/>
  <c r="W25" i="193"/>
  <c r="W24" i="490" s="1"/>
  <c r="AQ72" i="4"/>
  <c r="BH72" i="4" s="1"/>
  <c r="BN72" i="4" s="1"/>
  <c r="W23" i="193"/>
  <c r="W22" i="490" s="1"/>
  <c r="AQ70" i="4"/>
  <c r="BH70" i="4" s="1"/>
  <c r="BN70" i="4" s="1"/>
  <c r="W21" i="193"/>
  <c r="W20" i="490" s="1"/>
  <c r="AQ68" i="4"/>
  <c r="BH68" i="4" s="1"/>
  <c r="BN68" i="4" s="1"/>
  <c r="W19" i="193"/>
  <c r="W18" i="490" s="1"/>
  <c r="AQ66" i="4"/>
  <c r="BH66" i="4" s="1"/>
  <c r="BN66" i="4" s="1"/>
  <c r="W17" i="193"/>
  <c r="W16" i="490" s="1"/>
  <c r="AQ64" i="4"/>
  <c r="BH64" i="4" s="1"/>
  <c r="BN64" i="4" s="1"/>
  <c r="W15" i="193"/>
  <c r="W14" i="490" s="1"/>
  <c r="AQ62" i="4"/>
  <c r="BH62" i="4" s="1"/>
  <c r="BN62" i="4" s="1"/>
  <c r="W13" i="193"/>
  <c r="W12" i="490" s="1"/>
  <c r="AQ60" i="4"/>
  <c r="BH60" i="4" s="1"/>
  <c r="BN60" i="4" s="1"/>
  <c r="W11" i="193"/>
  <c r="W10" i="490" s="1"/>
  <c r="AQ58" i="4"/>
  <c r="BH58" i="4" s="1"/>
  <c r="BN58" i="4" s="1"/>
  <c r="W9" i="193"/>
  <c r="W8" i="490" s="1"/>
  <c r="AQ56" i="4"/>
  <c r="BH56" i="4" s="1"/>
  <c r="BN56" i="4" s="1"/>
  <c r="W7" i="193"/>
  <c r="W6" i="490" s="1"/>
  <c r="AQ54" i="4"/>
  <c r="BH54" i="4" s="1"/>
  <c r="BN54" i="4" s="1"/>
  <c r="W5" i="193"/>
  <c r="W4" i="490" s="1"/>
  <c r="AQ52" i="4"/>
  <c r="BH52" i="4" s="1"/>
  <c r="BN52" i="4" s="1"/>
  <c r="AX85" i="51"/>
  <c r="BH85" i="51" s="1"/>
  <c r="R85" i="51"/>
  <c r="H85" i="51" s="1"/>
  <c r="Q85" i="51" s="1"/>
  <c r="R77" i="51"/>
  <c r="R73" i="51"/>
  <c r="R71" i="51"/>
  <c r="R69" i="51"/>
  <c r="R67" i="51"/>
  <c r="R57" i="51"/>
  <c r="R55" i="51"/>
  <c r="R49" i="51"/>
  <c r="R47" i="51"/>
  <c r="C175" i="105"/>
  <c r="B175" i="105"/>
  <c r="W138" i="105"/>
  <c r="AQ95" i="4"/>
  <c r="BH95" i="4" s="1"/>
  <c r="BN95" i="4" s="1"/>
  <c r="W46" i="193"/>
  <c r="AQ93" i="4"/>
  <c r="BH93" i="4" s="1"/>
  <c r="BN93" i="4" s="1"/>
  <c r="W44" i="193"/>
  <c r="AQ91" i="4"/>
  <c r="BH91" i="4" s="1"/>
  <c r="BN91" i="4" s="1"/>
  <c r="W42" i="193"/>
  <c r="AQ89" i="4"/>
  <c r="BH89" i="4" s="1"/>
  <c r="BN89" i="4" s="1"/>
  <c r="W40" i="193"/>
  <c r="AQ87" i="4"/>
  <c r="BH87" i="4" s="1"/>
  <c r="BN87" i="4" s="1"/>
  <c r="W38" i="193"/>
  <c r="AQ85" i="4"/>
  <c r="BH85" i="4" s="1"/>
  <c r="BN85" i="4" s="1"/>
  <c r="W36" i="193"/>
  <c r="AQ83" i="4"/>
  <c r="BH83" i="4" s="1"/>
  <c r="BN83" i="4" s="1"/>
  <c r="W34" i="193"/>
  <c r="AQ81" i="4"/>
  <c r="BH81" i="4" s="1"/>
  <c r="BN81" i="4" s="1"/>
  <c r="W32" i="193"/>
  <c r="AQ79" i="4"/>
  <c r="BH79" i="4" s="1"/>
  <c r="BN79" i="4" s="1"/>
  <c r="W30" i="193"/>
  <c r="W29" i="490" s="1"/>
  <c r="AQ77" i="4"/>
  <c r="BH77" i="4" s="1"/>
  <c r="BN77" i="4" s="1"/>
  <c r="W28" i="193"/>
  <c r="W27" i="490" s="1"/>
  <c r="AQ75" i="4"/>
  <c r="BH75" i="4" s="1"/>
  <c r="BN75" i="4" s="1"/>
  <c r="W26" i="193"/>
  <c r="W25" i="490" s="1"/>
  <c r="AQ73" i="4"/>
  <c r="BH73" i="4" s="1"/>
  <c r="BN73" i="4" s="1"/>
  <c r="W24" i="193"/>
  <c r="W23" i="490" s="1"/>
  <c r="AQ71" i="4"/>
  <c r="BH71" i="4" s="1"/>
  <c r="BN71" i="4" s="1"/>
  <c r="W22" i="193"/>
  <c r="W21" i="490" s="1"/>
  <c r="AQ69" i="4"/>
  <c r="BH69" i="4" s="1"/>
  <c r="BN69" i="4" s="1"/>
  <c r="W20" i="193"/>
  <c r="W19" i="490" s="1"/>
  <c r="AQ67" i="4"/>
  <c r="BH67" i="4" s="1"/>
  <c r="BN67" i="4" s="1"/>
  <c r="W18" i="193"/>
  <c r="W17" i="490" s="1"/>
  <c r="AQ65" i="4"/>
  <c r="BH65" i="4" s="1"/>
  <c r="BN65" i="4" s="1"/>
  <c r="W16" i="193"/>
  <c r="W15" i="490" s="1"/>
  <c r="AQ63" i="4"/>
  <c r="BH63" i="4" s="1"/>
  <c r="BN63" i="4" s="1"/>
  <c r="W14" i="193"/>
  <c r="W13" i="490" s="1"/>
  <c r="AQ61" i="4"/>
  <c r="BH61" i="4" s="1"/>
  <c r="BN61" i="4" s="1"/>
  <c r="W12" i="193"/>
  <c r="W11" i="490" s="1"/>
  <c r="AQ59" i="4"/>
  <c r="BH59" i="4" s="1"/>
  <c r="BN59" i="4" s="1"/>
  <c r="W10" i="193"/>
  <c r="W9" i="490" s="1"/>
  <c r="AQ57" i="4"/>
  <c r="BH57" i="4" s="1"/>
  <c r="BN57" i="4" s="1"/>
  <c r="W8" i="193"/>
  <c r="W7" i="490" s="1"/>
  <c r="AQ55" i="4"/>
  <c r="BH55" i="4" s="1"/>
  <c r="BN55" i="4" s="1"/>
  <c r="W6" i="193"/>
  <c r="W5" i="490" s="1"/>
  <c r="AQ53" i="4"/>
  <c r="BH53" i="4" s="1"/>
  <c r="BN53" i="4" s="1"/>
  <c r="R82" i="51"/>
  <c r="H82" i="51" s="1"/>
  <c r="R80" i="51"/>
  <c r="H80" i="51" s="1"/>
  <c r="AX78" i="51"/>
  <c r="BH78" i="51" s="1"/>
  <c r="R78" i="51"/>
  <c r="J78" i="51" s="1"/>
  <c r="R66" i="51"/>
  <c r="R58" i="51"/>
  <c r="R54" i="51"/>
  <c r="R50" i="51"/>
  <c r="R46" i="51"/>
  <c r="P85" i="102"/>
  <c r="AY86" i="102"/>
  <c r="P81" i="102"/>
  <c r="P67" i="102"/>
  <c r="AX89" i="102"/>
  <c r="AW89" i="102" s="1"/>
  <c r="BG89" i="102" s="1"/>
  <c r="U49" i="195"/>
  <c r="AX78" i="102"/>
  <c r="AW78" i="102" s="1"/>
  <c r="BG78" i="102" s="1"/>
  <c r="U38" i="195"/>
  <c r="AX79" i="102"/>
  <c r="AW79" i="102" s="1"/>
  <c r="BG79" i="102" s="1"/>
  <c r="U39" i="195"/>
  <c r="AQ83" i="102"/>
  <c r="J83" i="102"/>
  <c r="AX87" i="102"/>
  <c r="AW87" i="102" s="1"/>
  <c r="BG87" i="102" s="1"/>
  <c r="U47" i="195"/>
  <c r="AX45" i="102"/>
  <c r="AW45" i="102" s="1"/>
  <c r="BG45" i="102" s="1"/>
  <c r="U5" i="195"/>
  <c r="AX80" i="102"/>
  <c r="AW80" i="102" s="1"/>
  <c r="BG80" i="102" s="1"/>
  <c r="U40" i="195"/>
  <c r="AX84" i="102"/>
  <c r="AW84" i="102" s="1"/>
  <c r="BG84" i="102" s="1"/>
  <c r="U44" i="195"/>
  <c r="AX88" i="102"/>
  <c r="AW88" i="102" s="1"/>
  <c r="BG88" i="102" s="1"/>
  <c r="U48" i="195"/>
  <c r="P137" i="102"/>
  <c r="AR89" i="102"/>
  <c r="AY62" i="102"/>
  <c r="AY70" i="102"/>
  <c r="J85" i="102"/>
  <c r="AQ72" i="102"/>
  <c r="J72" i="102"/>
  <c r="AX81" i="102"/>
  <c r="AW81" i="102" s="1"/>
  <c r="BG81" i="102" s="1"/>
  <c r="U41" i="195"/>
  <c r="AX85" i="102"/>
  <c r="AW85" i="102" s="1"/>
  <c r="BG85" i="102" s="1"/>
  <c r="U45" i="195"/>
  <c r="AX67" i="102"/>
  <c r="AW67" i="102" s="1"/>
  <c r="BG67" i="102" s="1"/>
  <c r="U27" i="195"/>
  <c r="AX44" i="102"/>
  <c r="AW44" i="102" s="1"/>
  <c r="BG44" i="102" s="1"/>
  <c r="U4" i="195"/>
  <c r="AX48" i="102"/>
  <c r="AW48" i="102" s="1"/>
  <c r="BG48" i="102" s="1"/>
  <c r="U8" i="195"/>
  <c r="AX50" i="102"/>
  <c r="AW50" i="102" s="1"/>
  <c r="BG50" i="102" s="1"/>
  <c r="U10" i="195"/>
  <c r="AX56" i="102"/>
  <c r="AW56" i="102" s="1"/>
  <c r="BG56" i="102" s="1"/>
  <c r="U16" i="195"/>
  <c r="AX66" i="102"/>
  <c r="AW66" i="102" s="1"/>
  <c r="BG66" i="102" s="1"/>
  <c r="U26" i="195"/>
  <c r="AX47" i="102"/>
  <c r="AW47" i="102" s="1"/>
  <c r="BG47" i="102" s="1"/>
  <c r="U7" i="195"/>
  <c r="AX68" i="102"/>
  <c r="AW68" i="102" s="1"/>
  <c r="BG68" i="102" s="1"/>
  <c r="U28" i="195"/>
  <c r="P89" i="102"/>
  <c r="P78" i="102"/>
  <c r="AR78" i="102"/>
  <c r="P79" i="102"/>
  <c r="P83" i="102"/>
  <c r="P87" i="102"/>
  <c r="J79" i="102"/>
  <c r="J87" i="102"/>
  <c r="J89" i="102"/>
  <c r="AY55" i="102"/>
  <c r="P80" i="102"/>
  <c r="P84" i="102"/>
  <c r="P88" i="102"/>
  <c r="AR79" i="102"/>
  <c r="AR81" i="102"/>
  <c r="AR85" i="102"/>
  <c r="AR87" i="102"/>
  <c r="J78" i="102"/>
  <c r="T45" i="195"/>
  <c r="T44" i="195"/>
  <c r="BF84" i="101"/>
  <c r="BE84" i="101" s="1"/>
  <c r="BQ84" i="101" s="1"/>
  <c r="AY70" i="101"/>
  <c r="J70" i="101"/>
  <c r="AY72" i="101"/>
  <c r="J72" i="101"/>
  <c r="AY75" i="101"/>
  <c r="J75" i="101"/>
  <c r="AY67" i="101"/>
  <c r="J67" i="101"/>
  <c r="T13" i="195"/>
  <c r="BF53" i="101"/>
  <c r="BE53" i="101" s="1"/>
  <c r="BQ53" i="101" s="1"/>
  <c r="T43" i="195"/>
  <c r="BF83" i="101"/>
  <c r="BE83" i="101" s="1"/>
  <c r="BQ83" i="101" s="1"/>
  <c r="T8" i="195"/>
  <c r="BF48" i="101"/>
  <c r="BE48" i="101" s="1"/>
  <c r="BQ48" i="101" s="1"/>
  <c r="T12" i="195"/>
  <c r="BF52" i="101"/>
  <c r="BE52" i="101" s="1"/>
  <c r="BQ52" i="101" s="1"/>
  <c r="T42" i="195"/>
  <c r="BF82" i="101"/>
  <c r="BE82" i="101" s="1"/>
  <c r="BQ82" i="101" s="1"/>
  <c r="T46" i="195"/>
  <c r="BF86" i="101"/>
  <c r="BE86" i="101" s="1"/>
  <c r="BQ86" i="101" s="1"/>
  <c r="AZ84" i="101"/>
  <c r="P68" i="101"/>
  <c r="T40" i="195"/>
  <c r="BF80" i="101"/>
  <c r="BE80" i="101" s="1"/>
  <c r="BQ80" i="101" s="1"/>
  <c r="T7" i="195"/>
  <c r="BF47" i="101"/>
  <c r="BE47" i="101" s="1"/>
  <c r="BQ47" i="101" s="1"/>
  <c r="T11" i="195"/>
  <c r="BF51" i="101"/>
  <c r="BE51" i="101" s="1"/>
  <c r="BQ51" i="101" s="1"/>
  <c r="T5" i="195"/>
  <c r="BF45" i="101"/>
  <c r="BE45" i="101" s="1"/>
  <c r="BQ45" i="101" s="1"/>
  <c r="T6" i="195"/>
  <c r="BF46" i="101"/>
  <c r="BE46" i="101" s="1"/>
  <c r="BQ46" i="101" s="1"/>
  <c r="T9" i="195"/>
  <c r="BF49" i="101"/>
  <c r="BE49" i="101" s="1"/>
  <c r="BQ49" i="101" s="1"/>
  <c r="T10" i="195"/>
  <c r="BF50" i="101"/>
  <c r="BE50" i="101" s="1"/>
  <c r="BQ50" i="101" s="1"/>
  <c r="T39" i="195"/>
  <c r="BF79" i="101"/>
  <c r="BE79" i="101" s="1"/>
  <c r="BQ79" i="101" s="1"/>
  <c r="T47" i="195"/>
  <c r="BF87" i="101"/>
  <c r="BE87" i="101" s="1"/>
  <c r="BQ87" i="101" s="1"/>
  <c r="T38" i="195"/>
  <c r="BF78" i="101"/>
  <c r="BE78" i="101" s="1"/>
  <c r="BQ78" i="101" s="1"/>
  <c r="T49" i="195"/>
  <c r="BF89" i="101"/>
  <c r="BE89" i="101" s="1"/>
  <c r="BQ89" i="101" s="1"/>
  <c r="T28" i="195"/>
  <c r="BF68" i="101"/>
  <c r="BE68" i="101" s="1"/>
  <c r="BQ68" i="101" s="1"/>
  <c r="AZ80" i="101"/>
  <c r="P70" i="101"/>
  <c r="P72" i="101"/>
  <c r="P75" i="101"/>
  <c r="P67" i="101"/>
  <c r="BG55" i="101"/>
  <c r="BG59" i="101"/>
  <c r="AZ48" i="101"/>
  <c r="AZ52" i="101"/>
  <c r="AZ78" i="101"/>
  <c r="AZ82" i="101"/>
  <c r="AZ86" i="101"/>
  <c r="I69" i="26"/>
  <c r="AB69" i="26"/>
  <c r="P32" i="193"/>
  <c r="AN71" i="26"/>
  <c r="B71" i="26"/>
  <c r="R31" i="135" s="1"/>
  <c r="P34" i="193"/>
  <c r="B73" i="26"/>
  <c r="R33" i="135" s="1"/>
  <c r="AN73" i="26"/>
  <c r="P37" i="193"/>
  <c r="AN76" i="26"/>
  <c r="B76" i="26"/>
  <c r="R36" i="135" s="1"/>
  <c r="P38" i="193"/>
  <c r="B77" i="26"/>
  <c r="R37" i="135" s="1"/>
  <c r="AN77" i="26"/>
  <c r="P31" i="193"/>
  <c r="AN70" i="26"/>
  <c r="B70" i="26"/>
  <c r="R30" i="135" s="1"/>
  <c r="P33" i="193"/>
  <c r="AN72" i="26"/>
  <c r="B72" i="26"/>
  <c r="R32" i="135" s="1"/>
  <c r="P35" i="193"/>
  <c r="AN74" i="26"/>
  <c r="B74" i="26"/>
  <c r="R34" i="135" s="1"/>
  <c r="P36" i="193"/>
  <c r="AN75" i="26"/>
  <c r="B75" i="26"/>
  <c r="R35" i="135" s="1"/>
  <c r="P39" i="193"/>
  <c r="AN78" i="26"/>
  <c r="B78" i="26"/>
  <c r="R38" i="135" s="1"/>
  <c r="AB79" i="26"/>
  <c r="P40" i="193"/>
  <c r="AN79" i="26"/>
  <c r="B79" i="26"/>
  <c r="R39" i="135" s="1"/>
  <c r="F79" i="26"/>
  <c r="D79" i="26" s="1"/>
  <c r="AB80" i="26"/>
  <c r="P41" i="193"/>
  <c r="AN80" i="26"/>
  <c r="B80" i="26"/>
  <c r="R40" i="135" s="1"/>
  <c r="F80" i="26"/>
  <c r="D80" i="26" s="1"/>
  <c r="AB81" i="26"/>
  <c r="P42" i="193"/>
  <c r="B81" i="26"/>
  <c r="R41" i="135" s="1"/>
  <c r="F81" i="26"/>
  <c r="D81" i="26" s="1"/>
  <c r="AN81" i="26"/>
  <c r="AB82" i="26"/>
  <c r="P82" i="26" s="1"/>
  <c r="P43" i="193"/>
  <c r="AN82" i="26"/>
  <c r="B82" i="26"/>
  <c r="R42" i="135" s="1"/>
  <c r="F82" i="26"/>
  <c r="D82" i="26" s="1"/>
  <c r="AB83" i="26"/>
  <c r="AD83" i="26" s="1"/>
  <c r="P44" i="193"/>
  <c r="AN83" i="26"/>
  <c r="B83" i="26"/>
  <c r="R43" i="135" s="1"/>
  <c r="F83" i="26"/>
  <c r="D83" i="26" s="1"/>
  <c r="AB84" i="26"/>
  <c r="P84" i="26" s="1"/>
  <c r="P45" i="193"/>
  <c r="AN84" i="26"/>
  <c r="B84" i="26"/>
  <c r="R44" i="135" s="1"/>
  <c r="F84" i="26"/>
  <c r="D84" i="26" s="1"/>
  <c r="AB85" i="26"/>
  <c r="AD85" i="26" s="1"/>
  <c r="P46" i="193"/>
  <c r="B85" i="26"/>
  <c r="R45" i="135" s="1"/>
  <c r="F85" i="26"/>
  <c r="D85" i="26" s="1"/>
  <c r="AN85" i="26"/>
  <c r="AB86" i="26"/>
  <c r="P86" i="26" s="1"/>
  <c r="P47" i="193"/>
  <c r="AN86" i="26"/>
  <c r="B86" i="26"/>
  <c r="R46" i="135" s="1"/>
  <c r="F86" i="26"/>
  <c r="D86" i="26" s="1"/>
  <c r="AB87" i="26"/>
  <c r="P48" i="193"/>
  <c r="AN87" i="26"/>
  <c r="B87" i="26"/>
  <c r="R47" i="135" s="1"/>
  <c r="F87" i="26"/>
  <c r="D87" i="26" s="1"/>
  <c r="AB88" i="26"/>
  <c r="P49" i="193"/>
  <c r="P48" i="490" s="1"/>
  <c r="AN88" i="26"/>
  <c r="AB89" i="26"/>
  <c r="X89" i="26" s="1"/>
  <c r="P50" i="193"/>
  <c r="P49" i="490" s="1"/>
  <c r="S4" i="491" s="1"/>
  <c r="B89" i="26"/>
  <c r="R49" i="135" s="1"/>
  <c r="F89" i="26"/>
  <c r="D89" i="26" s="1"/>
  <c r="AN89" i="26"/>
  <c r="AN44" i="25"/>
  <c r="AV44" i="25" s="1"/>
  <c r="BG44" i="25" s="1"/>
  <c r="O5" i="193"/>
  <c r="O4" i="490" s="1"/>
  <c r="B44" i="25"/>
  <c r="Q4" i="135" s="1"/>
  <c r="AN45" i="25"/>
  <c r="AV45" i="25" s="1"/>
  <c r="BG45" i="25" s="1"/>
  <c r="O6" i="193"/>
  <c r="O5" i="490" s="1"/>
  <c r="B45" i="25"/>
  <c r="Q5" i="135" s="1"/>
  <c r="AN46" i="25"/>
  <c r="AV46" i="25" s="1"/>
  <c r="BG46" i="25" s="1"/>
  <c r="O7" i="193"/>
  <c r="O6" i="490" s="1"/>
  <c r="B46" i="25"/>
  <c r="Q6" i="135" s="1"/>
  <c r="O8" i="193"/>
  <c r="O7" i="490" s="1"/>
  <c r="AN47" i="25"/>
  <c r="AV47" i="25" s="1"/>
  <c r="BG47" i="25" s="1"/>
  <c r="B47" i="25"/>
  <c r="Q7" i="135" s="1"/>
  <c r="O9" i="193"/>
  <c r="O8" i="490" s="1"/>
  <c r="B48" i="25"/>
  <c r="Q8" i="135" s="1"/>
  <c r="AN48" i="25"/>
  <c r="AV48" i="25" s="1"/>
  <c r="BG48" i="25" s="1"/>
  <c r="O10" i="193"/>
  <c r="O9" i="490" s="1"/>
  <c r="AN49" i="25"/>
  <c r="B49" i="25"/>
  <c r="Q9" i="135" s="1"/>
  <c r="O11" i="193"/>
  <c r="O10" i="490" s="1"/>
  <c r="AN50" i="25"/>
  <c r="B50" i="25"/>
  <c r="Q10" i="135" s="1"/>
  <c r="O12" i="193"/>
  <c r="O11" i="490" s="1"/>
  <c r="B51" i="25"/>
  <c r="Q11" i="135" s="1"/>
  <c r="AN51" i="25"/>
  <c r="O13" i="193"/>
  <c r="O12" i="490" s="1"/>
  <c r="AN52" i="25"/>
  <c r="B52" i="25"/>
  <c r="Q12" i="135" s="1"/>
  <c r="O14" i="193"/>
  <c r="O13" i="490" s="1"/>
  <c r="AN53" i="25"/>
  <c r="B53" i="25"/>
  <c r="Q13" i="135" s="1"/>
  <c r="O15" i="193"/>
  <c r="O14" i="490" s="1"/>
  <c r="AN54" i="25"/>
  <c r="B54" i="25"/>
  <c r="Q14" i="135" s="1"/>
  <c r="O16" i="193"/>
  <c r="O15" i="490" s="1"/>
  <c r="B55" i="25"/>
  <c r="Q15" i="135" s="1"/>
  <c r="AN55" i="25"/>
  <c r="O17" i="193"/>
  <c r="O16" i="490" s="1"/>
  <c r="AN56" i="25"/>
  <c r="B56" i="25"/>
  <c r="Q16" i="135" s="1"/>
  <c r="O18" i="193"/>
  <c r="O17" i="490" s="1"/>
  <c r="AN57" i="25"/>
  <c r="B57" i="25"/>
  <c r="Q17" i="135" s="1"/>
  <c r="O19" i="193"/>
  <c r="O18" i="490" s="1"/>
  <c r="AN58" i="25"/>
  <c r="B58" i="25"/>
  <c r="Q18" i="135" s="1"/>
  <c r="O20" i="193"/>
  <c r="O19" i="490" s="1"/>
  <c r="B59" i="25"/>
  <c r="Q19" i="135" s="1"/>
  <c r="AN59" i="25"/>
  <c r="O21" i="193"/>
  <c r="O20" i="490" s="1"/>
  <c r="AN60" i="25"/>
  <c r="B60" i="25"/>
  <c r="Q20" i="135" s="1"/>
  <c r="O22" i="193"/>
  <c r="O21" i="490" s="1"/>
  <c r="AN61" i="25"/>
  <c r="B61" i="25"/>
  <c r="Q21" i="135" s="1"/>
  <c r="O23" i="193"/>
  <c r="O22" i="490" s="1"/>
  <c r="AN62" i="25"/>
  <c r="B62" i="25"/>
  <c r="Q22" i="135" s="1"/>
  <c r="O24" i="193"/>
  <c r="O23" i="490" s="1"/>
  <c r="B63" i="25"/>
  <c r="Q23" i="135" s="1"/>
  <c r="AN63" i="25"/>
  <c r="O25" i="193"/>
  <c r="AN64" i="25"/>
  <c r="B64" i="25"/>
  <c r="Q24" i="135" s="1"/>
  <c r="O26" i="193"/>
  <c r="AN65" i="25"/>
  <c r="B65" i="25"/>
  <c r="Q25" i="135" s="1"/>
  <c r="O27" i="193"/>
  <c r="AN66" i="25"/>
  <c r="B66" i="25"/>
  <c r="Q26" i="135" s="1"/>
  <c r="AB66" i="25"/>
  <c r="AQ66" i="25" s="1"/>
  <c r="AX66" i="25" s="1"/>
  <c r="O28" i="193"/>
  <c r="B67" i="25"/>
  <c r="Q27" i="135" s="1"/>
  <c r="AN67" i="25"/>
  <c r="AB67" i="25"/>
  <c r="AQ67" i="25" s="1"/>
  <c r="AX67" i="25" s="1"/>
  <c r="O29" i="193"/>
  <c r="AN68" i="25"/>
  <c r="B68" i="25"/>
  <c r="Q28" i="135" s="1"/>
  <c r="AB68" i="25"/>
  <c r="O30" i="193"/>
  <c r="AN69" i="25"/>
  <c r="B69" i="25"/>
  <c r="Q29" i="135" s="1"/>
  <c r="AB69" i="25"/>
  <c r="O32" i="193"/>
  <c r="B71" i="25"/>
  <c r="Q31" i="135" s="1"/>
  <c r="AN71" i="25"/>
  <c r="AB71" i="25"/>
  <c r="O34" i="193"/>
  <c r="AN73" i="25"/>
  <c r="B73" i="25"/>
  <c r="Q33" i="135" s="1"/>
  <c r="AB73" i="25"/>
  <c r="O36" i="193"/>
  <c r="B75" i="25"/>
  <c r="Q35" i="135" s="1"/>
  <c r="AN75" i="25"/>
  <c r="AB75" i="25"/>
  <c r="O39" i="193"/>
  <c r="AN78" i="25"/>
  <c r="B78" i="25"/>
  <c r="Q38" i="135" s="1"/>
  <c r="AB78" i="25"/>
  <c r="AA79" i="25"/>
  <c r="O40" i="193"/>
  <c r="B79" i="25"/>
  <c r="Q39" i="135" s="1"/>
  <c r="AN79" i="25"/>
  <c r="F79" i="25"/>
  <c r="D79" i="25" s="1"/>
  <c r="AA80" i="25"/>
  <c r="O41" i="193"/>
  <c r="F80" i="25"/>
  <c r="D80" i="25" s="1"/>
  <c r="AN80" i="25"/>
  <c r="B80" i="25"/>
  <c r="Q40" i="135" s="1"/>
  <c r="AA81" i="25"/>
  <c r="O42" i="193"/>
  <c r="AN81" i="25"/>
  <c r="B81" i="25"/>
  <c r="Q41" i="135" s="1"/>
  <c r="F81" i="25"/>
  <c r="D81" i="25" s="1"/>
  <c r="AA82" i="25"/>
  <c r="O43" i="193"/>
  <c r="O42" i="490" s="1"/>
  <c r="AN82" i="25"/>
  <c r="F82" i="25"/>
  <c r="D82" i="25" s="1"/>
  <c r="B82" i="25"/>
  <c r="Q42" i="135" s="1"/>
  <c r="AA83" i="25"/>
  <c r="O44" i="193"/>
  <c r="B83" i="25"/>
  <c r="Q43" i="135" s="1"/>
  <c r="AN83" i="25"/>
  <c r="F83" i="25"/>
  <c r="D83" i="25" s="1"/>
  <c r="AA84" i="25"/>
  <c r="O45" i="193"/>
  <c r="O44" i="490" s="1"/>
  <c r="F84" i="25"/>
  <c r="D84" i="25" s="1"/>
  <c r="AN84" i="25"/>
  <c r="B84" i="25"/>
  <c r="Q44" i="135" s="1"/>
  <c r="AA85" i="25"/>
  <c r="O46" i="193"/>
  <c r="O45" i="490" s="1"/>
  <c r="AN85" i="25"/>
  <c r="B85" i="25"/>
  <c r="Q45" i="135" s="1"/>
  <c r="F85" i="25"/>
  <c r="D85" i="25" s="1"/>
  <c r="AA86" i="25"/>
  <c r="O47" i="193"/>
  <c r="O46" i="490" s="1"/>
  <c r="AN86" i="25"/>
  <c r="F86" i="25"/>
  <c r="D86" i="25" s="1"/>
  <c r="B86" i="25"/>
  <c r="Q46" i="135" s="1"/>
  <c r="AA87" i="25"/>
  <c r="O48" i="193"/>
  <c r="O47" i="490" s="1"/>
  <c r="B87" i="25"/>
  <c r="Q47" i="135" s="1"/>
  <c r="AN87" i="25"/>
  <c r="F87" i="25"/>
  <c r="D87" i="25" s="1"/>
  <c r="AA88" i="25"/>
  <c r="O49" i="193"/>
  <c r="O48" i="490" s="1"/>
  <c r="AN88" i="25"/>
  <c r="AB89" i="25"/>
  <c r="O50" i="193"/>
  <c r="O49" i="490" s="1"/>
  <c r="R4" i="491" s="1"/>
  <c r="AN89" i="25"/>
  <c r="B89" i="25"/>
  <c r="Q49" i="135" s="1"/>
  <c r="F89" i="25"/>
  <c r="D89" i="25" s="1"/>
  <c r="AA70" i="25"/>
  <c r="AP70" i="25" s="1"/>
  <c r="AA72" i="25"/>
  <c r="AP72" i="25" s="1"/>
  <c r="O31" i="193"/>
  <c r="AN70" i="25"/>
  <c r="B70" i="25"/>
  <c r="Q30" i="135" s="1"/>
  <c r="AB70" i="25"/>
  <c r="O33" i="193"/>
  <c r="AN72" i="25"/>
  <c r="B72" i="25"/>
  <c r="Q32" i="135" s="1"/>
  <c r="AB72" i="25"/>
  <c r="O35" i="193"/>
  <c r="AN74" i="25"/>
  <c r="B74" i="25"/>
  <c r="Q34" i="135" s="1"/>
  <c r="AB74" i="25"/>
  <c r="O37" i="193"/>
  <c r="AN76" i="25"/>
  <c r="B76" i="25"/>
  <c r="Q36" i="135" s="1"/>
  <c r="AB76" i="25"/>
  <c r="AA77" i="25"/>
  <c r="AP77" i="25" s="1"/>
  <c r="O38" i="193"/>
  <c r="AN77" i="25"/>
  <c r="B77" i="25"/>
  <c r="Q37" i="135" s="1"/>
  <c r="AB77" i="25"/>
  <c r="U122" i="24"/>
  <c r="Y122" i="24" s="1"/>
  <c r="S122" i="24"/>
  <c r="W122" i="24" s="1"/>
  <c r="T122" i="24"/>
  <c r="X122" i="24" s="1"/>
  <c r="R124" i="24"/>
  <c r="S123" i="24"/>
  <c r="W123" i="24" s="1"/>
  <c r="V123" i="24"/>
  <c r="Z123" i="24" s="1"/>
  <c r="U123" i="24"/>
  <c r="Y123" i="24" s="1"/>
  <c r="T123" i="24"/>
  <c r="X123" i="24" s="1"/>
  <c r="V122" i="24"/>
  <c r="Z122" i="24" s="1"/>
  <c r="AO44" i="21"/>
  <c r="K4" i="490"/>
  <c r="B44" i="21"/>
  <c r="K4" i="135" s="1"/>
  <c r="K6" i="490"/>
  <c r="B46" i="21"/>
  <c r="K6" i="135" s="1"/>
  <c r="AO46" i="21"/>
  <c r="K7" i="490"/>
  <c r="B47" i="21"/>
  <c r="K7" i="135" s="1"/>
  <c r="AO47" i="21"/>
  <c r="K9" i="490"/>
  <c r="AO49" i="21"/>
  <c r="B49" i="21"/>
  <c r="K9" i="135" s="1"/>
  <c r="K10" i="490"/>
  <c r="AO50" i="21"/>
  <c r="B50" i="21"/>
  <c r="K10" i="135" s="1"/>
  <c r="K11" i="490"/>
  <c r="AO51" i="21"/>
  <c r="B51" i="21"/>
  <c r="K11" i="135" s="1"/>
  <c r="K13" i="490"/>
  <c r="AO53" i="21"/>
  <c r="B53" i="21"/>
  <c r="K13" i="135" s="1"/>
  <c r="AO54" i="21"/>
  <c r="B58" i="21"/>
  <c r="K18" i="135" s="1"/>
  <c r="AB75" i="21"/>
  <c r="K35" i="490"/>
  <c r="AO75" i="21"/>
  <c r="B75" i="21"/>
  <c r="K35" i="135" s="1"/>
  <c r="K37" i="490"/>
  <c r="B77" i="21"/>
  <c r="K37" i="135" s="1"/>
  <c r="AO77" i="21"/>
  <c r="AB77" i="21"/>
  <c r="I59" i="21"/>
  <c r="K20" i="193" s="1"/>
  <c r="I60" i="21"/>
  <c r="K21" i="193" s="1"/>
  <c r="I61" i="21"/>
  <c r="K22" i="193" s="1"/>
  <c r="I62" i="21"/>
  <c r="K23" i="193" s="1"/>
  <c r="I63" i="21"/>
  <c r="K24" i="193" s="1"/>
  <c r="I64" i="21"/>
  <c r="K25" i="193" s="1"/>
  <c r="I65" i="21"/>
  <c r="I66" i="21"/>
  <c r="K27" i="193" s="1"/>
  <c r="I67" i="21"/>
  <c r="K28" i="193" s="1"/>
  <c r="I68" i="21"/>
  <c r="K29" i="193" s="1"/>
  <c r="I69" i="21"/>
  <c r="K30" i="193" s="1"/>
  <c r="I71" i="21"/>
  <c r="K32" i="193" s="1"/>
  <c r="I73" i="21"/>
  <c r="K34" i="193" s="1"/>
  <c r="AO70" i="21"/>
  <c r="B72" i="21"/>
  <c r="K32" i="135" s="1"/>
  <c r="AO72" i="21"/>
  <c r="K36" i="490"/>
  <c r="B76" i="21"/>
  <c r="K36" i="135" s="1"/>
  <c r="AO76" i="21"/>
  <c r="K38" i="490"/>
  <c r="AO78" i="21"/>
  <c r="B78" i="21"/>
  <c r="K38" i="135" s="1"/>
  <c r="AB79" i="21"/>
  <c r="AQ79" i="21" s="1"/>
  <c r="K39" i="490"/>
  <c r="AO79" i="21"/>
  <c r="B79" i="21"/>
  <c r="K39" i="135" s="1"/>
  <c r="F79" i="21"/>
  <c r="D79" i="21" s="1"/>
  <c r="AB80" i="21"/>
  <c r="K40" i="490"/>
  <c r="B80" i="21"/>
  <c r="K40" i="135" s="1"/>
  <c r="AO80" i="21"/>
  <c r="F80" i="21"/>
  <c r="D80" i="21" s="1"/>
  <c r="AB81" i="21"/>
  <c r="K41" i="490"/>
  <c r="B81" i="21"/>
  <c r="K41" i="135" s="1"/>
  <c r="F81" i="21"/>
  <c r="D81" i="21" s="1"/>
  <c r="AO81" i="21"/>
  <c r="AB82" i="21"/>
  <c r="K42" i="490"/>
  <c r="AO82" i="21"/>
  <c r="B82" i="21"/>
  <c r="K42" i="135" s="1"/>
  <c r="F82" i="21"/>
  <c r="D82" i="21" s="1"/>
  <c r="AB83" i="21"/>
  <c r="K43" i="490"/>
  <c r="AO83" i="21"/>
  <c r="B83" i="21"/>
  <c r="K43" i="135" s="1"/>
  <c r="F83" i="21"/>
  <c r="D83" i="21" s="1"/>
  <c r="AB84" i="21"/>
  <c r="B84" i="21"/>
  <c r="K44" i="135" s="1"/>
  <c r="AO84" i="21"/>
  <c r="F84" i="21"/>
  <c r="D84" i="21" s="1"/>
  <c r="AB85" i="21"/>
  <c r="B85" i="21"/>
  <c r="K45" i="135" s="1"/>
  <c r="F85" i="21"/>
  <c r="D85" i="21" s="1"/>
  <c r="AO85" i="21"/>
  <c r="AB86" i="21"/>
  <c r="AO86" i="21"/>
  <c r="B86" i="21"/>
  <c r="K46" i="135" s="1"/>
  <c r="F86" i="21"/>
  <c r="D86" i="21" s="1"/>
  <c r="AB87" i="21"/>
  <c r="AO87" i="21"/>
  <c r="B87" i="21"/>
  <c r="K47" i="135" s="1"/>
  <c r="F87" i="21"/>
  <c r="D87" i="21" s="1"/>
  <c r="AB88" i="21"/>
  <c r="B88" i="21"/>
  <c r="K48" i="135" s="1"/>
  <c r="AO88" i="21"/>
  <c r="F88" i="21"/>
  <c r="D88" i="21" s="1"/>
  <c r="AB89" i="21"/>
  <c r="K49" i="135"/>
  <c r="F89" i="21"/>
  <c r="D89" i="21" s="1"/>
  <c r="AO89" i="21"/>
  <c r="H6" i="193"/>
  <c r="H5" i="490" s="1"/>
  <c r="AR45" i="29"/>
  <c r="B45" i="29"/>
  <c r="H5" i="135" s="1"/>
  <c r="AF45" i="29"/>
  <c r="AU45" i="29" s="1"/>
  <c r="AE45" i="29"/>
  <c r="AT45" i="29" s="1"/>
  <c r="H7" i="193"/>
  <c r="H6" i="490" s="1"/>
  <c r="AR46" i="29"/>
  <c r="B46" i="29"/>
  <c r="H6" i="135" s="1"/>
  <c r="AF46" i="29"/>
  <c r="AU46" i="29" s="1"/>
  <c r="AE46" i="29"/>
  <c r="AT46" i="29" s="1"/>
  <c r="H8" i="193"/>
  <c r="H7" i="490" s="1"/>
  <c r="AR47" i="29"/>
  <c r="B47" i="29"/>
  <c r="H7" i="135" s="1"/>
  <c r="AF47" i="29"/>
  <c r="AU47" i="29" s="1"/>
  <c r="AE47" i="29"/>
  <c r="AT47" i="29" s="1"/>
  <c r="H9" i="193"/>
  <c r="H8" i="490" s="1"/>
  <c r="AR48" i="29"/>
  <c r="B48" i="29"/>
  <c r="H8" i="135" s="1"/>
  <c r="AF48" i="29"/>
  <c r="AU48" i="29" s="1"/>
  <c r="AE48" i="29"/>
  <c r="AT48" i="29" s="1"/>
  <c r="H10" i="193"/>
  <c r="H9" i="490" s="1"/>
  <c r="AR49" i="29"/>
  <c r="B49" i="29"/>
  <c r="H9" i="135" s="1"/>
  <c r="AF49" i="29"/>
  <c r="AU49" i="29" s="1"/>
  <c r="AE49" i="29"/>
  <c r="AT49" i="29" s="1"/>
  <c r="H11" i="193"/>
  <c r="H10" i="490" s="1"/>
  <c r="AR50" i="29"/>
  <c r="B50" i="29"/>
  <c r="H10" i="135" s="1"/>
  <c r="AF50" i="29"/>
  <c r="AU50" i="29" s="1"/>
  <c r="AE50" i="29"/>
  <c r="AT50" i="29" s="1"/>
  <c r="H12" i="193"/>
  <c r="H11" i="490" s="1"/>
  <c r="AR51" i="29"/>
  <c r="B51" i="29"/>
  <c r="H11" i="135" s="1"/>
  <c r="AF51" i="29"/>
  <c r="AU51" i="29" s="1"/>
  <c r="AE51" i="29"/>
  <c r="AT51" i="29" s="1"/>
  <c r="H13" i="193"/>
  <c r="H12" i="490" s="1"/>
  <c r="AR52" i="29"/>
  <c r="B52" i="29"/>
  <c r="H12" i="135" s="1"/>
  <c r="AF52" i="29"/>
  <c r="AU52" i="29" s="1"/>
  <c r="AE52" i="29"/>
  <c r="AT52" i="29" s="1"/>
  <c r="H14" i="193"/>
  <c r="H13" i="490" s="1"/>
  <c r="AR53" i="29"/>
  <c r="B53" i="29"/>
  <c r="H13" i="135" s="1"/>
  <c r="AF53" i="29"/>
  <c r="AU53" i="29" s="1"/>
  <c r="AE53" i="29"/>
  <c r="AT53" i="29" s="1"/>
  <c r="H15" i="193"/>
  <c r="H14" i="490" s="1"/>
  <c r="AR54" i="29"/>
  <c r="B54" i="29"/>
  <c r="H14" i="135" s="1"/>
  <c r="AF54" i="29"/>
  <c r="AU54" i="29" s="1"/>
  <c r="AE54" i="29"/>
  <c r="AT54" i="29" s="1"/>
  <c r="H16" i="193"/>
  <c r="H15" i="490" s="1"/>
  <c r="AR55" i="29"/>
  <c r="B55" i="29"/>
  <c r="H15" i="135" s="1"/>
  <c r="AF55" i="29"/>
  <c r="AU55" i="29" s="1"/>
  <c r="AE55" i="29"/>
  <c r="AT55" i="29" s="1"/>
  <c r="H17" i="193"/>
  <c r="H16" i="490" s="1"/>
  <c r="AR56" i="29"/>
  <c r="B56" i="29"/>
  <c r="H16" i="135" s="1"/>
  <c r="AF56" i="29"/>
  <c r="AU56" i="29" s="1"/>
  <c r="AE56" i="29"/>
  <c r="AT56" i="29" s="1"/>
  <c r="H18" i="193"/>
  <c r="H17" i="490" s="1"/>
  <c r="AR57" i="29"/>
  <c r="B57" i="29"/>
  <c r="H17" i="135" s="1"/>
  <c r="AF57" i="29"/>
  <c r="AU57" i="29" s="1"/>
  <c r="H19" i="193"/>
  <c r="H18" i="490" s="1"/>
  <c r="AR58" i="29"/>
  <c r="B58" i="29"/>
  <c r="H18" i="135" s="1"/>
  <c r="AF58" i="29"/>
  <c r="AU58" i="29" s="1"/>
  <c r="H20" i="193"/>
  <c r="H19" i="490" s="1"/>
  <c r="AR59" i="29"/>
  <c r="B59" i="29"/>
  <c r="H19" i="135" s="1"/>
  <c r="AF59" i="29"/>
  <c r="AU59" i="29" s="1"/>
  <c r="H21" i="193"/>
  <c r="H20" i="490" s="1"/>
  <c r="AR60" i="29"/>
  <c r="B60" i="29"/>
  <c r="H20" i="135" s="1"/>
  <c r="AF60" i="29"/>
  <c r="AU60" i="29" s="1"/>
  <c r="H22" i="193"/>
  <c r="H21" i="490" s="1"/>
  <c r="AR61" i="29"/>
  <c r="B61" i="29"/>
  <c r="H21" i="135" s="1"/>
  <c r="AF61" i="29"/>
  <c r="AU61" i="29" s="1"/>
  <c r="H23" i="193"/>
  <c r="H22" i="490" s="1"/>
  <c r="AR62" i="29"/>
  <c r="B62" i="29"/>
  <c r="H22" i="135" s="1"/>
  <c r="AF62" i="29"/>
  <c r="AU62" i="29" s="1"/>
  <c r="H24" i="193"/>
  <c r="H23" i="490" s="1"/>
  <c r="AR63" i="29"/>
  <c r="B63" i="29"/>
  <c r="H23" i="135" s="1"/>
  <c r="AF63" i="29"/>
  <c r="AU63" i="29" s="1"/>
  <c r="H25" i="193"/>
  <c r="H24" i="490" s="1"/>
  <c r="AR64" i="29"/>
  <c r="B64" i="29"/>
  <c r="H24" i="135" s="1"/>
  <c r="AF64" i="29"/>
  <c r="AU64" i="29" s="1"/>
  <c r="H26" i="193"/>
  <c r="H25" i="490" s="1"/>
  <c r="AR65" i="29"/>
  <c r="B65" i="29"/>
  <c r="H25" i="135" s="1"/>
  <c r="AF65" i="29"/>
  <c r="AU65" i="29" s="1"/>
  <c r="H29" i="193"/>
  <c r="H28" i="490" s="1"/>
  <c r="AR68" i="29"/>
  <c r="B68" i="29"/>
  <c r="H28" i="135" s="1"/>
  <c r="AF68" i="29"/>
  <c r="H30" i="193"/>
  <c r="H29" i="490" s="1"/>
  <c r="AR69" i="29"/>
  <c r="B69" i="29"/>
  <c r="H29" i="135" s="1"/>
  <c r="H31" i="193"/>
  <c r="H30" i="490" s="1"/>
  <c r="AR70" i="29"/>
  <c r="B70" i="29"/>
  <c r="H30" i="135" s="1"/>
  <c r="H32" i="193"/>
  <c r="H31" i="490" s="1"/>
  <c r="AR71" i="29"/>
  <c r="B71" i="29"/>
  <c r="H31" i="135" s="1"/>
  <c r="H33" i="193"/>
  <c r="H32" i="490" s="1"/>
  <c r="AR72" i="29"/>
  <c r="B72" i="29"/>
  <c r="H32" i="135" s="1"/>
  <c r="H34" i="193"/>
  <c r="H33" i="490" s="1"/>
  <c r="AR73" i="29"/>
  <c r="B73" i="29"/>
  <c r="H33" i="135" s="1"/>
  <c r="H35" i="193"/>
  <c r="H34" i="490" s="1"/>
  <c r="AR74" i="29"/>
  <c r="B74" i="29"/>
  <c r="H34" i="135" s="1"/>
  <c r="AE74" i="29"/>
  <c r="H36" i="193"/>
  <c r="H35" i="490" s="1"/>
  <c r="AR75" i="29"/>
  <c r="B75" i="29"/>
  <c r="H35" i="135" s="1"/>
  <c r="AE75" i="29"/>
  <c r="H37" i="193"/>
  <c r="H36" i="490" s="1"/>
  <c r="AR76" i="29"/>
  <c r="B76" i="29"/>
  <c r="H36" i="135" s="1"/>
  <c r="AE76" i="29"/>
  <c r="H38" i="193"/>
  <c r="H37" i="490" s="1"/>
  <c r="AR77" i="29"/>
  <c r="B77" i="29"/>
  <c r="H37" i="135" s="1"/>
  <c r="H39" i="193"/>
  <c r="H38" i="490" s="1"/>
  <c r="AR78" i="29"/>
  <c r="B78" i="29"/>
  <c r="H38" i="135" s="1"/>
  <c r="AE78" i="29"/>
  <c r="T81" i="29"/>
  <c r="AU81" i="29"/>
  <c r="T82" i="29"/>
  <c r="AU82" i="29"/>
  <c r="T83" i="29"/>
  <c r="AU83" i="29"/>
  <c r="T84" i="29"/>
  <c r="AU84" i="29"/>
  <c r="T85" i="29"/>
  <c r="AU85" i="29"/>
  <c r="T86" i="29"/>
  <c r="AU86" i="29"/>
  <c r="T87" i="29"/>
  <c r="AU87" i="29"/>
  <c r="H50" i="193"/>
  <c r="H49" i="490" s="1"/>
  <c r="K4" i="491" s="1"/>
  <c r="F89" i="29"/>
  <c r="D89" i="29" s="1"/>
  <c r="AR89" i="29"/>
  <c r="H49" i="195" s="1"/>
  <c r="B89" i="29"/>
  <c r="H49" i="135" s="1"/>
  <c r="H48" i="193"/>
  <c r="H47" i="490" s="1"/>
  <c r="F87" i="29"/>
  <c r="D87" i="29" s="1"/>
  <c r="AR87" i="29"/>
  <c r="B87" i="29"/>
  <c r="H47" i="135" s="1"/>
  <c r="H46" i="193"/>
  <c r="H45" i="490" s="1"/>
  <c r="F85" i="29"/>
  <c r="D85" i="29" s="1"/>
  <c r="AR85" i="29"/>
  <c r="B85" i="29"/>
  <c r="H45" i="135" s="1"/>
  <c r="H44" i="193"/>
  <c r="H43" i="490" s="1"/>
  <c r="F83" i="29"/>
  <c r="D83" i="29" s="1"/>
  <c r="AR83" i="29"/>
  <c r="B83" i="29"/>
  <c r="H43" i="135" s="1"/>
  <c r="H42" i="193"/>
  <c r="H41" i="490" s="1"/>
  <c r="F81" i="29"/>
  <c r="D81" i="29" s="1"/>
  <c r="AR81" i="29"/>
  <c r="B81" i="29"/>
  <c r="H41" i="135" s="1"/>
  <c r="H40" i="193"/>
  <c r="H39" i="490" s="1"/>
  <c r="F79" i="29"/>
  <c r="D79" i="29" s="1"/>
  <c r="AR79" i="29"/>
  <c r="B79" i="29"/>
  <c r="H39" i="135" s="1"/>
  <c r="Q75" i="29"/>
  <c r="BB88" i="29"/>
  <c r="BB89" i="29"/>
  <c r="H49" i="193"/>
  <c r="H48" i="490" s="1"/>
  <c r="AR88" i="29"/>
  <c r="H48" i="195" s="1"/>
  <c r="F88" i="29"/>
  <c r="D88" i="29" s="1"/>
  <c r="B88" i="29"/>
  <c r="H48" i="135" s="1"/>
  <c r="H47" i="193"/>
  <c r="H46" i="490" s="1"/>
  <c r="AR86" i="29"/>
  <c r="F86" i="29"/>
  <c r="D86" i="29" s="1"/>
  <c r="B86" i="29"/>
  <c r="H46" i="135" s="1"/>
  <c r="H45" i="193"/>
  <c r="H44" i="490" s="1"/>
  <c r="AR84" i="29"/>
  <c r="F84" i="29"/>
  <c r="D84" i="29" s="1"/>
  <c r="B84" i="29"/>
  <c r="H44" i="135" s="1"/>
  <c r="H43" i="193"/>
  <c r="H42" i="490" s="1"/>
  <c r="AR82" i="29"/>
  <c r="F82" i="29"/>
  <c r="D82" i="29" s="1"/>
  <c r="B82" i="29"/>
  <c r="H42" i="135" s="1"/>
  <c r="AE80" i="29"/>
  <c r="H41" i="193"/>
  <c r="H40" i="490" s="1"/>
  <c r="AR80" i="29"/>
  <c r="F80" i="29"/>
  <c r="D80" i="29" s="1"/>
  <c r="B80" i="29"/>
  <c r="H40" i="135" s="1"/>
  <c r="I66" i="29"/>
  <c r="AE66" i="29" s="1"/>
  <c r="AT66" i="29" s="1"/>
  <c r="H67" i="29"/>
  <c r="I67" i="29" s="1"/>
  <c r="AE79" i="29"/>
  <c r="E9" i="193"/>
  <c r="E8" i="490" s="1"/>
  <c r="B48" i="18"/>
  <c r="E8" i="135" s="1"/>
  <c r="AR48" i="18"/>
  <c r="AE48" i="18"/>
  <c r="AT48" i="18" s="1"/>
  <c r="AF48" i="18"/>
  <c r="E5" i="193"/>
  <c r="E4" i="490" s="1"/>
  <c r="AR44" i="18"/>
  <c r="B44" i="18"/>
  <c r="E4" i="135" s="1"/>
  <c r="AE44" i="18"/>
  <c r="AT44" i="18" s="1"/>
  <c r="AF44" i="18"/>
  <c r="E7" i="193"/>
  <c r="E6" i="490" s="1"/>
  <c r="B46" i="18"/>
  <c r="E6" i="135" s="1"/>
  <c r="AR46" i="18"/>
  <c r="AE46" i="18"/>
  <c r="AT46" i="18" s="1"/>
  <c r="AF46" i="18"/>
  <c r="AU46" i="18" s="1"/>
  <c r="E8" i="193"/>
  <c r="E7" i="490" s="1"/>
  <c r="B47" i="18"/>
  <c r="E7" i="135" s="1"/>
  <c r="AR47" i="18"/>
  <c r="AE47" i="18"/>
  <c r="AT47" i="18" s="1"/>
  <c r="AF47" i="18"/>
  <c r="E6" i="193"/>
  <c r="E5" i="490" s="1"/>
  <c r="AR45" i="18"/>
  <c r="B45" i="18"/>
  <c r="E5" i="135" s="1"/>
  <c r="AF45" i="18"/>
  <c r="AE45" i="18"/>
  <c r="AT45" i="18" s="1"/>
  <c r="AR44" i="104"/>
  <c r="AV44" i="104"/>
  <c r="BI44" i="104" s="1"/>
  <c r="AR46" i="104"/>
  <c r="AV46" i="104"/>
  <c r="BI46" i="104" s="1"/>
  <c r="AR48" i="104"/>
  <c r="AV48" i="104"/>
  <c r="BI48" i="104" s="1"/>
  <c r="AV47" i="104"/>
  <c r="BI47" i="104" s="1"/>
  <c r="AR47" i="104"/>
  <c r="AX46" i="104"/>
  <c r="AW46" i="104" s="1"/>
  <c r="BJ46" i="104" s="1"/>
  <c r="X6" i="195"/>
  <c r="AX45" i="104"/>
  <c r="AW45" i="104" s="1"/>
  <c r="BJ45" i="104" s="1"/>
  <c r="X5" i="195"/>
  <c r="AV45" i="104"/>
  <c r="BI45" i="104" s="1"/>
  <c r="AR45" i="104"/>
  <c r="X4" i="195"/>
  <c r="AX44" i="104"/>
  <c r="AW44" i="104" s="1"/>
  <c r="BJ44" i="104" s="1"/>
  <c r="AX48" i="104"/>
  <c r="AW48" i="104" s="1"/>
  <c r="BJ48" i="104" s="1"/>
  <c r="X8" i="195"/>
  <c r="AX47" i="104"/>
  <c r="AW47" i="104" s="1"/>
  <c r="BJ47" i="104" s="1"/>
  <c r="X7" i="195"/>
  <c r="BA44" i="103"/>
  <c r="AZ44" i="103" s="1"/>
  <c r="BP44" i="103" s="1"/>
  <c r="BA46" i="103"/>
  <c r="AZ46" i="103" s="1"/>
  <c r="BP46" i="103" s="1"/>
  <c r="BA48" i="103"/>
  <c r="AZ48" i="103" s="1"/>
  <c r="BP48" i="103" s="1"/>
  <c r="W8" i="195"/>
  <c r="BA45" i="103"/>
  <c r="AZ45" i="103" s="1"/>
  <c r="BP45" i="103" s="1"/>
  <c r="W5" i="195"/>
  <c r="BA47" i="103"/>
  <c r="AZ47" i="103" s="1"/>
  <c r="BP47" i="103" s="1"/>
  <c r="W7" i="195"/>
  <c r="P97" i="4"/>
  <c r="S97" i="4" s="1"/>
  <c r="AQ97" i="4"/>
  <c r="J97" i="4"/>
  <c r="Z49" i="135" s="1"/>
  <c r="G97" i="4"/>
  <c r="P93" i="4"/>
  <c r="S93" i="4" s="1"/>
  <c r="J93" i="4"/>
  <c r="Z45" i="135" s="1"/>
  <c r="G93" i="4"/>
  <c r="P89" i="4"/>
  <c r="J89" i="4"/>
  <c r="Z41" i="135" s="1"/>
  <c r="G89" i="4"/>
  <c r="P85" i="4"/>
  <c r="J85" i="4"/>
  <c r="Z37" i="135" s="1"/>
  <c r="G85" i="4"/>
  <c r="P83" i="4"/>
  <c r="J83" i="4"/>
  <c r="Z35" i="135" s="1"/>
  <c r="G83" i="4"/>
  <c r="P79" i="4"/>
  <c r="J79" i="4"/>
  <c r="Z31" i="135" s="1"/>
  <c r="G79" i="4"/>
  <c r="P75" i="4"/>
  <c r="J75" i="4"/>
  <c r="Z27" i="135" s="1"/>
  <c r="G75" i="4"/>
  <c r="P71" i="4"/>
  <c r="J71" i="4"/>
  <c r="Z23" i="135" s="1"/>
  <c r="G71" i="4"/>
  <c r="P67" i="4"/>
  <c r="J67" i="4"/>
  <c r="Z19" i="135" s="1"/>
  <c r="G67" i="4"/>
  <c r="P63" i="4"/>
  <c r="J63" i="4"/>
  <c r="Z15" i="135" s="1"/>
  <c r="G63" i="4"/>
  <c r="P59" i="4"/>
  <c r="J59" i="4"/>
  <c r="Z11" i="135" s="1"/>
  <c r="G59" i="4"/>
  <c r="P55" i="4"/>
  <c r="J55" i="4"/>
  <c r="Z7" i="135" s="1"/>
  <c r="G55" i="4"/>
  <c r="S98" i="4"/>
  <c r="G98" i="4"/>
  <c r="P96" i="4"/>
  <c r="S96" i="4" s="1"/>
  <c r="J96" i="4"/>
  <c r="Z48" i="135" s="1"/>
  <c r="G96" i="4"/>
  <c r="P94" i="4"/>
  <c r="S94" i="4" s="1"/>
  <c r="J94" i="4"/>
  <c r="Z46" i="135" s="1"/>
  <c r="G94" i="4"/>
  <c r="P92" i="4"/>
  <c r="S92" i="4" s="1"/>
  <c r="J92" i="4"/>
  <c r="Z44" i="135" s="1"/>
  <c r="G92" i="4"/>
  <c r="P90" i="4"/>
  <c r="S90" i="4" s="1"/>
  <c r="J90" i="4"/>
  <c r="Z42" i="135" s="1"/>
  <c r="G90" i="4"/>
  <c r="P88" i="4"/>
  <c r="J88" i="4"/>
  <c r="Z40" i="135" s="1"/>
  <c r="G88" i="4"/>
  <c r="P86" i="4"/>
  <c r="J86" i="4"/>
  <c r="Z38" i="135" s="1"/>
  <c r="G86" i="4"/>
  <c r="P84" i="4"/>
  <c r="J84" i="4"/>
  <c r="Z36" i="135" s="1"/>
  <c r="G84" i="4"/>
  <c r="P82" i="4"/>
  <c r="J82" i="4"/>
  <c r="Z34" i="135" s="1"/>
  <c r="G82" i="4"/>
  <c r="P80" i="4"/>
  <c r="J80" i="4"/>
  <c r="Z32" i="135" s="1"/>
  <c r="G80" i="4"/>
  <c r="P78" i="4"/>
  <c r="J78" i="4"/>
  <c r="Z30" i="135" s="1"/>
  <c r="G78" i="4"/>
  <c r="P76" i="4"/>
  <c r="J76" i="4"/>
  <c r="Z28" i="135" s="1"/>
  <c r="G76" i="4"/>
  <c r="P74" i="4"/>
  <c r="J74" i="4"/>
  <c r="Z26" i="135" s="1"/>
  <c r="G74" i="4"/>
  <c r="P72" i="4"/>
  <c r="J72" i="4"/>
  <c r="Z24" i="135" s="1"/>
  <c r="G72" i="4"/>
  <c r="P70" i="4"/>
  <c r="J70" i="4"/>
  <c r="Z22" i="135" s="1"/>
  <c r="G70" i="4"/>
  <c r="P68" i="4"/>
  <c r="J68" i="4"/>
  <c r="Z20" i="135" s="1"/>
  <c r="G68" i="4"/>
  <c r="P66" i="4"/>
  <c r="J66" i="4"/>
  <c r="Z18" i="135" s="1"/>
  <c r="G66" i="4"/>
  <c r="P64" i="4"/>
  <c r="J64" i="4"/>
  <c r="Z16" i="135" s="1"/>
  <c r="G64" i="4"/>
  <c r="P62" i="4"/>
  <c r="J62" i="4"/>
  <c r="Z14" i="135" s="1"/>
  <c r="G62" i="4"/>
  <c r="P60" i="4"/>
  <c r="J60" i="4"/>
  <c r="Z12" i="135" s="1"/>
  <c r="G60" i="4"/>
  <c r="P58" i="4"/>
  <c r="J58" i="4"/>
  <c r="Z10" i="135" s="1"/>
  <c r="G58" i="4"/>
  <c r="P56" i="4"/>
  <c r="J56" i="4"/>
  <c r="Z8" i="135" s="1"/>
  <c r="G56" i="4"/>
  <c r="P54" i="4"/>
  <c r="J54" i="4"/>
  <c r="Z6" i="135" s="1"/>
  <c r="G54" i="4"/>
  <c r="P52" i="4"/>
  <c r="J52" i="4"/>
  <c r="Z4" i="135" s="1"/>
  <c r="G52" i="4"/>
  <c r="U89" i="18"/>
  <c r="H89" i="18" s="1"/>
  <c r="BE89" i="18"/>
  <c r="U87" i="18"/>
  <c r="H87" i="18" s="1"/>
  <c r="BE87" i="18"/>
  <c r="U85" i="18"/>
  <c r="H85" i="18" s="1"/>
  <c r="BE85" i="18"/>
  <c r="G99" i="4"/>
  <c r="P95" i="4"/>
  <c r="S95" i="4" s="1"/>
  <c r="J95" i="4"/>
  <c r="Z47" i="135" s="1"/>
  <c r="G95" i="4"/>
  <c r="P91" i="4"/>
  <c r="S91" i="4" s="1"/>
  <c r="J91" i="4"/>
  <c r="Z43" i="135" s="1"/>
  <c r="G91" i="4"/>
  <c r="P87" i="4"/>
  <c r="J87" i="4"/>
  <c r="Z39" i="135" s="1"/>
  <c r="G87" i="4"/>
  <c r="P81" i="4"/>
  <c r="J81" i="4"/>
  <c r="Z33" i="135" s="1"/>
  <c r="G81" i="4"/>
  <c r="P77" i="4"/>
  <c r="J77" i="4"/>
  <c r="Z29" i="135" s="1"/>
  <c r="G77" i="4"/>
  <c r="P73" i="4"/>
  <c r="J73" i="4"/>
  <c r="Z25" i="135" s="1"/>
  <c r="G73" i="4"/>
  <c r="P69" i="4"/>
  <c r="J69" i="4"/>
  <c r="Z21" i="135" s="1"/>
  <c r="G69" i="4"/>
  <c r="P65" i="4"/>
  <c r="J65" i="4"/>
  <c r="Z17" i="135" s="1"/>
  <c r="G65" i="4"/>
  <c r="P61" i="4"/>
  <c r="J61" i="4"/>
  <c r="Z13" i="135" s="1"/>
  <c r="G61" i="4"/>
  <c r="P57" i="4"/>
  <c r="J57" i="4"/>
  <c r="Z9" i="135" s="1"/>
  <c r="G57" i="4"/>
  <c r="P53" i="4"/>
  <c r="J53" i="4"/>
  <c r="Z5" i="135" s="1"/>
  <c r="G53" i="4"/>
  <c r="U83" i="18"/>
  <c r="H83" i="18" s="1"/>
  <c r="BE83" i="18"/>
  <c r="U81" i="18"/>
  <c r="H81" i="18" s="1"/>
  <c r="BE81" i="18"/>
  <c r="U79" i="18"/>
  <c r="H79" i="18" s="1"/>
  <c r="BE79" i="18"/>
  <c r="U77" i="18"/>
  <c r="BE77" i="18"/>
  <c r="U75" i="18"/>
  <c r="BE75" i="18"/>
  <c r="U73" i="18"/>
  <c r="BE73" i="18"/>
  <c r="U69" i="18"/>
  <c r="BE69" i="18"/>
  <c r="U65" i="18"/>
  <c r="BE65" i="18"/>
  <c r="U61" i="18"/>
  <c r="BE61" i="18"/>
  <c r="U59" i="18"/>
  <c r="BE59" i="18"/>
  <c r="U57" i="18"/>
  <c r="BE57" i="18"/>
  <c r="U55" i="18"/>
  <c r="BE55" i="18"/>
  <c r="U53" i="18"/>
  <c r="BE53" i="18"/>
  <c r="U51" i="18"/>
  <c r="BE51" i="18"/>
  <c r="U49" i="18"/>
  <c r="BE49" i="18"/>
  <c r="U47" i="18"/>
  <c r="BE47" i="18"/>
  <c r="BB89" i="51"/>
  <c r="BA89" i="51" s="1"/>
  <c r="BB87" i="51"/>
  <c r="BA87" i="51" s="1"/>
  <c r="BB83" i="51"/>
  <c r="BA83" i="51" s="1"/>
  <c r="BB81" i="51"/>
  <c r="BA81" i="51" s="1"/>
  <c r="BB79" i="51"/>
  <c r="BA79" i="51" s="1"/>
  <c r="BB75" i="51"/>
  <c r="BA75" i="51" s="1"/>
  <c r="BB65" i="51"/>
  <c r="BA65" i="51" s="1"/>
  <c r="BB63" i="51"/>
  <c r="BA63" i="51" s="1"/>
  <c r="BB61" i="51"/>
  <c r="BA61" i="51" s="1"/>
  <c r="BB59" i="51"/>
  <c r="BA59" i="51" s="1"/>
  <c r="BB53" i="51"/>
  <c r="BA53" i="51" s="1"/>
  <c r="BB51" i="51"/>
  <c r="BA51" i="51" s="1"/>
  <c r="BB45" i="51"/>
  <c r="BA45" i="51" s="1"/>
  <c r="R45" i="63"/>
  <c r="BD45" i="63"/>
  <c r="BC45" i="63" s="1"/>
  <c r="R46" i="63"/>
  <c r="BD46" i="63"/>
  <c r="BC46" i="63" s="1"/>
  <c r="R47" i="63"/>
  <c r="BD47" i="63"/>
  <c r="BC47" i="63" s="1"/>
  <c r="R48" i="63"/>
  <c r="BD48" i="63"/>
  <c r="BC48" i="63" s="1"/>
  <c r="R49" i="63"/>
  <c r="BD49" i="63"/>
  <c r="BC49" i="63" s="1"/>
  <c r="R50" i="63"/>
  <c r="BD50" i="63"/>
  <c r="BC50" i="63" s="1"/>
  <c r="R51" i="63"/>
  <c r="BD51" i="63"/>
  <c r="BC51" i="63" s="1"/>
  <c r="R52" i="63"/>
  <c r="BD52" i="63"/>
  <c r="BC52" i="63" s="1"/>
  <c r="R69" i="63"/>
  <c r="BD69" i="63"/>
  <c r="BC69" i="63" s="1"/>
  <c r="R71" i="63"/>
  <c r="BD71" i="63"/>
  <c r="BC71" i="63" s="1"/>
  <c r="R73" i="63"/>
  <c r="BD73" i="63"/>
  <c r="BC73" i="63" s="1"/>
  <c r="R74" i="63"/>
  <c r="BD74" i="63"/>
  <c r="BC74" i="63" s="1"/>
  <c r="R75" i="63"/>
  <c r="BD75" i="63"/>
  <c r="BC75" i="63" s="1"/>
  <c r="R79" i="63"/>
  <c r="H79" i="63" s="1"/>
  <c r="BD79" i="63"/>
  <c r="BC79" i="63" s="1"/>
  <c r="R81" i="63"/>
  <c r="H81" i="63" s="1"/>
  <c r="BD81" i="63"/>
  <c r="BC81" i="63" s="1"/>
  <c r="R83" i="63"/>
  <c r="H83" i="63" s="1"/>
  <c r="BD83" i="63"/>
  <c r="BC83" i="63" s="1"/>
  <c r="R85" i="63"/>
  <c r="BD85" i="63"/>
  <c r="BC85" i="63" s="1"/>
  <c r="R87" i="63"/>
  <c r="H87" i="63" s="1"/>
  <c r="BD87" i="63"/>
  <c r="BC87" i="63" s="1"/>
  <c r="R88" i="63"/>
  <c r="H88" i="63" s="1"/>
  <c r="BD88" i="63"/>
  <c r="BC88" i="63" s="1"/>
  <c r="R89" i="63"/>
  <c r="H89" i="63" s="1"/>
  <c r="BD89" i="63"/>
  <c r="BC89" i="63" s="1"/>
  <c r="U44" i="29"/>
  <c r="U46" i="29"/>
  <c r="U48" i="29"/>
  <c r="U50" i="29"/>
  <c r="U52" i="29"/>
  <c r="U54" i="29"/>
  <c r="U56" i="29"/>
  <c r="U58" i="29"/>
  <c r="U60" i="29"/>
  <c r="U62" i="29"/>
  <c r="U64" i="29"/>
  <c r="U68" i="29"/>
  <c r="U69" i="29"/>
  <c r="U70" i="29"/>
  <c r="U71" i="29"/>
  <c r="U72" i="29"/>
  <c r="U73" i="29"/>
  <c r="U75" i="29"/>
  <c r="U78" i="29"/>
  <c r="U80" i="29"/>
  <c r="U81" i="29"/>
  <c r="H81" i="29" s="1"/>
  <c r="U82" i="29"/>
  <c r="H82" i="29" s="1"/>
  <c r="U83" i="29"/>
  <c r="J83" i="29" s="1"/>
  <c r="U84" i="29"/>
  <c r="J84" i="29" s="1"/>
  <c r="U85" i="29"/>
  <c r="U86" i="29"/>
  <c r="H86" i="29" s="1"/>
  <c r="U87" i="29"/>
  <c r="H87" i="29" s="1"/>
  <c r="R69" i="19"/>
  <c r="BA69" i="19"/>
  <c r="R71" i="19"/>
  <c r="BA71" i="19"/>
  <c r="R73" i="19"/>
  <c r="BA73" i="19"/>
  <c r="R75" i="19"/>
  <c r="J75" i="19" s="1"/>
  <c r="BA75" i="19"/>
  <c r="R77" i="19"/>
  <c r="J77" i="19" s="1"/>
  <c r="BA77" i="19"/>
  <c r="R67" i="20"/>
  <c r="R68" i="20"/>
  <c r="R70" i="20"/>
  <c r="R72" i="20"/>
  <c r="R74" i="20"/>
  <c r="R76" i="20"/>
  <c r="R78" i="20"/>
  <c r="R79" i="20"/>
  <c r="H79" i="20" s="1"/>
  <c r="R80" i="20"/>
  <c r="R81" i="20"/>
  <c r="R82" i="20"/>
  <c r="R83" i="20"/>
  <c r="H83" i="20" s="1"/>
  <c r="R84" i="20"/>
  <c r="H84" i="20" s="1"/>
  <c r="R85" i="20"/>
  <c r="H85" i="20" s="1"/>
  <c r="R86" i="20"/>
  <c r="R87" i="20"/>
  <c r="H87" i="20" s="1"/>
  <c r="R88" i="20"/>
  <c r="H88" i="20" s="1"/>
  <c r="R89" i="20"/>
  <c r="H89" i="20" s="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70" i="21"/>
  <c r="R72" i="21"/>
  <c r="R75" i="21"/>
  <c r="R77" i="21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57" i="23"/>
  <c r="R58" i="23"/>
  <c r="R59" i="23"/>
  <c r="R60" i="23"/>
  <c r="R61" i="23"/>
  <c r="R62" i="23"/>
  <c r="R63" i="23"/>
  <c r="R64" i="23"/>
  <c r="R65" i="23"/>
  <c r="R66" i="23"/>
  <c r="R67" i="23"/>
  <c r="R68" i="23"/>
  <c r="R70" i="23"/>
  <c r="R72" i="23"/>
  <c r="R79" i="23"/>
  <c r="J79" i="23" s="1"/>
  <c r="R81" i="23"/>
  <c r="J81" i="23" s="1"/>
  <c r="R83" i="23"/>
  <c r="J83" i="23" s="1"/>
  <c r="R85" i="23"/>
  <c r="R87" i="23"/>
  <c r="J87" i="23" s="1"/>
  <c r="R88" i="23"/>
  <c r="J88" i="23" s="1"/>
  <c r="R89" i="23"/>
  <c r="J89" i="23" s="1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70" i="25"/>
  <c r="J70" i="25" s="1"/>
  <c r="Q72" i="25"/>
  <c r="J72" i="25" s="1"/>
  <c r="Q74" i="25"/>
  <c r="Q76" i="25"/>
  <c r="Q78" i="25"/>
  <c r="Q79" i="25"/>
  <c r="Q80" i="25"/>
  <c r="H80" i="25" s="1"/>
  <c r="Q81" i="25"/>
  <c r="H81" i="25" s="1"/>
  <c r="Q82" i="25"/>
  <c r="Q83" i="25"/>
  <c r="Q84" i="25"/>
  <c r="H84" i="25" s="1"/>
  <c r="Q85" i="25"/>
  <c r="Q86" i="25"/>
  <c r="H86" i="25" s="1"/>
  <c r="Q87" i="25"/>
  <c r="H87" i="25" s="1"/>
  <c r="Q89" i="25"/>
  <c r="Q44" i="26"/>
  <c r="Q46" i="26"/>
  <c r="Q48" i="26"/>
  <c r="Q50" i="26"/>
  <c r="Q52" i="26"/>
  <c r="Q54" i="26"/>
  <c r="Q56" i="26"/>
  <c r="Q58" i="26"/>
  <c r="Q60" i="26"/>
  <c r="Q62" i="26"/>
  <c r="Q64" i="26"/>
  <c r="Q66" i="26"/>
  <c r="Q67" i="26"/>
  <c r="Q69" i="26"/>
  <c r="Q71" i="26"/>
  <c r="Q73" i="26"/>
  <c r="Q76" i="26"/>
  <c r="Q77" i="26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70" i="27"/>
  <c r="Q73" i="27"/>
  <c r="Q74" i="27"/>
  <c r="Q76" i="27"/>
  <c r="Q78" i="27"/>
  <c r="Q79" i="27"/>
  <c r="H79" i="27" s="1"/>
  <c r="Q80" i="27"/>
  <c r="H80" i="27" s="1"/>
  <c r="Q81" i="27"/>
  <c r="H81" i="27" s="1"/>
  <c r="Q82" i="27"/>
  <c r="Q83" i="27"/>
  <c r="H83" i="27" s="1"/>
  <c r="Q84" i="27"/>
  <c r="Q85" i="27"/>
  <c r="H85" i="27" s="1"/>
  <c r="Q86" i="27"/>
  <c r="H86" i="27" s="1"/>
  <c r="Q87" i="27"/>
  <c r="H87" i="27" s="1"/>
  <c r="Q88" i="27"/>
  <c r="H88" i="27" s="1"/>
  <c r="Q89" i="27"/>
  <c r="H89" i="27" s="1"/>
  <c r="U44" i="18"/>
  <c r="BE44" i="18"/>
  <c r="U84" i="18"/>
  <c r="H84" i="18" s="1"/>
  <c r="BE84" i="18"/>
  <c r="U82" i="18"/>
  <c r="H82" i="18" s="1"/>
  <c r="BE82" i="18"/>
  <c r="U80" i="18"/>
  <c r="H80" i="18" s="1"/>
  <c r="BE80" i="18"/>
  <c r="U78" i="18"/>
  <c r="BE78" i="18"/>
  <c r="U76" i="18"/>
  <c r="BE76" i="18"/>
  <c r="U74" i="18"/>
  <c r="BE74" i="18"/>
  <c r="U72" i="18"/>
  <c r="BE72" i="18"/>
  <c r="U70" i="18"/>
  <c r="BE70" i="18"/>
  <c r="U68" i="18"/>
  <c r="BE68" i="18"/>
  <c r="U66" i="18"/>
  <c r="BE66" i="18"/>
  <c r="U64" i="18"/>
  <c r="BE64" i="18"/>
  <c r="U62" i="18"/>
  <c r="BE62" i="18"/>
  <c r="U60" i="18"/>
  <c r="BE60" i="18"/>
  <c r="U58" i="18"/>
  <c r="BE58" i="18"/>
  <c r="U56" i="18"/>
  <c r="BE56" i="18"/>
  <c r="U54" i="18"/>
  <c r="BE54" i="18"/>
  <c r="U50" i="18"/>
  <c r="BE50" i="18"/>
  <c r="U48" i="18"/>
  <c r="BE48" i="18"/>
  <c r="U46" i="18"/>
  <c r="BE46" i="18"/>
  <c r="BA44" i="51"/>
  <c r="BB88" i="51"/>
  <c r="BA88" i="51" s="1"/>
  <c r="BB86" i="51"/>
  <c r="BA86" i="51" s="1"/>
  <c r="BB84" i="51"/>
  <c r="BA84" i="51" s="1"/>
  <c r="BB76" i="51"/>
  <c r="BA76" i="51" s="1"/>
  <c r="BB74" i="51"/>
  <c r="BA74" i="51" s="1"/>
  <c r="BB72" i="51"/>
  <c r="BA72" i="51" s="1"/>
  <c r="BB70" i="51"/>
  <c r="BA70" i="51" s="1"/>
  <c r="BB68" i="51"/>
  <c r="BA68" i="51" s="1"/>
  <c r="BB64" i="51"/>
  <c r="BA64" i="51" s="1"/>
  <c r="BB62" i="51"/>
  <c r="BA62" i="51" s="1"/>
  <c r="BB60" i="51"/>
  <c r="BA60" i="51" s="1"/>
  <c r="BB56" i="51"/>
  <c r="BA56" i="51" s="1"/>
  <c r="BB52" i="51"/>
  <c r="BA52" i="51" s="1"/>
  <c r="BB48" i="51"/>
  <c r="BA48" i="51" s="1"/>
  <c r="R44" i="63"/>
  <c r="BD44" i="63"/>
  <c r="BC44" i="63" s="1"/>
  <c r="R53" i="63"/>
  <c r="BD53" i="63"/>
  <c r="BC53" i="63" s="1"/>
  <c r="R54" i="63"/>
  <c r="BD54" i="63"/>
  <c r="BC54" i="63" s="1"/>
  <c r="R55" i="63"/>
  <c r="BD55" i="63"/>
  <c r="BC55" i="63" s="1"/>
  <c r="R56" i="63"/>
  <c r="BD56" i="63"/>
  <c r="BC56" i="63" s="1"/>
  <c r="R57" i="63"/>
  <c r="BD57" i="63"/>
  <c r="BC57" i="63" s="1"/>
  <c r="R58" i="63"/>
  <c r="BD58" i="63"/>
  <c r="BC58" i="63" s="1"/>
  <c r="R59" i="63"/>
  <c r="BD59" i="63"/>
  <c r="BC59" i="63" s="1"/>
  <c r="R60" i="63"/>
  <c r="BD60" i="63"/>
  <c r="BC60" i="63" s="1"/>
  <c r="R61" i="63"/>
  <c r="BD61" i="63"/>
  <c r="BC61" i="63" s="1"/>
  <c r="R62" i="63"/>
  <c r="BD62" i="63"/>
  <c r="BC62" i="63" s="1"/>
  <c r="R63" i="63"/>
  <c r="BD63" i="63"/>
  <c r="BC63" i="63" s="1"/>
  <c r="R64" i="63"/>
  <c r="BD64" i="63"/>
  <c r="BC64" i="63" s="1"/>
  <c r="R65" i="63"/>
  <c r="BD65" i="63"/>
  <c r="BC65" i="63" s="1"/>
  <c r="R66" i="63"/>
  <c r="BD66" i="63"/>
  <c r="BC66" i="63" s="1"/>
  <c r="R67" i="63"/>
  <c r="BD67" i="63"/>
  <c r="BC67" i="63" s="1"/>
  <c r="R68" i="63"/>
  <c r="BD68" i="63"/>
  <c r="BC68" i="63" s="1"/>
  <c r="R70" i="63"/>
  <c r="BD70" i="63"/>
  <c r="BC70" i="63" s="1"/>
  <c r="R72" i="63"/>
  <c r="BD72" i="63"/>
  <c r="BC72" i="63" s="1"/>
  <c r="R76" i="63"/>
  <c r="BD76" i="63"/>
  <c r="BC76" i="63" s="1"/>
  <c r="R77" i="63"/>
  <c r="BD77" i="63"/>
  <c r="BC77" i="63" s="1"/>
  <c r="R78" i="63"/>
  <c r="BD78" i="63"/>
  <c r="BC78" i="63" s="1"/>
  <c r="R80" i="63"/>
  <c r="BD80" i="63"/>
  <c r="BC80" i="63" s="1"/>
  <c r="R82" i="63"/>
  <c r="H82" i="63" s="1"/>
  <c r="BD82" i="63"/>
  <c r="BC82" i="63" s="1"/>
  <c r="R84" i="63"/>
  <c r="H84" i="63" s="1"/>
  <c r="BD84" i="63"/>
  <c r="BC84" i="63" s="1"/>
  <c r="R86" i="63"/>
  <c r="H86" i="63" s="1"/>
  <c r="BD86" i="63"/>
  <c r="BC86" i="63" s="1"/>
  <c r="U45" i="29"/>
  <c r="U47" i="29"/>
  <c r="U49" i="29"/>
  <c r="U51" i="29"/>
  <c r="U53" i="29"/>
  <c r="U55" i="29"/>
  <c r="U57" i="29"/>
  <c r="U59" i="29"/>
  <c r="U61" i="29"/>
  <c r="U63" i="29"/>
  <c r="U65" i="29"/>
  <c r="U66" i="29"/>
  <c r="U67" i="29"/>
  <c r="U74" i="29"/>
  <c r="U76" i="29"/>
  <c r="U77" i="29"/>
  <c r="U79" i="29"/>
  <c r="H79" i="29" s="1"/>
  <c r="U88" i="29"/>
  <c r="H88" i="29" s="1"/>
  <c r="U89" i="29"/>
  <c r="H89" i="29" s="1"/>
  <c r="R45" i="19"/>
  <c r="BA45" i="19"/>
  <c r="R46" i="19"/>
  <c r="R47" i="19"/>
  <c r="BA47" i="19"/>
  <c r="R48" i="19"/>
  <c r="BA48" i="19"/>
  <c r="R49" i="19"/>
  <c r="BA49" i="19"/>
  <c r="R50" i="19"/>
  <c r="BA50" i="19"/>
  <c r="R51" i="19"/>
  <c r="BA51" i="19"/>
  <c r="R52" i="19"/>
  <c r="BA52" i="19"/>
  <c r="R53" i="19"/>
  <c r="BA53" i="19"/>
  <c r="R54" i="19"/>
  <c r="BA54" i="19"/>
  <c r="R55" i="19"/>
  <c r="BA55" i="19"/>
  <c r="R56" i="19"/>
  <c r="BA56" i="19"/>
  <c r="R57" i="19"/>
  <c r="BA57" i="19"/>
  <c r="R58" i="19"/>
  <c r="BA58" i="19"/>
  <c r="R59" i="19"/>
  <c r="BA59" i="19"/>
  <c r="R60" i="19"/>
  <c r="BA60" i="19"/>
  <c r="R61" i="19"/>
  <c r="BA61" i="19"/>
  <c r="R62" i="19"/>
  <c r="BA62" i="19"/>
  <c r="R63" i="19"/>
  <c r="BA63" i="19"/>
  <c r="R64" i="19"/>
  <c r="BA64" i="19"/>
  <c r="R65" i="19"/>
  <c r="BA65" i="19"/>
  <c r="R66" i="19"/>
  <c r="BA66" i="19"/>
  <c r="R67" i="19"/>
  <c r="BA67" i="19"/>
  <c r="R68" i="19"/>
  <c r="BA68" i="19"/>
  <c r="R70" i="19"/>
  <c r="BA70" i="19"/>
  <c r="R72" i="19"/>
  <c r="BA72" i="19"/>
  <c r="R74" i="19"/>
  <c r="J74" i="19" s="1"/>
  <c r="BA74" i="19"/>
  <c r="R76" i="19"/>
  <c r="BA76" i="19"/>
  <c r="R78" i="19"/>
  <c r="BA78" i="19"/>
  <c r="R79" i="19"/>
  <c r="BA79" i="19"/>
  <c r="R80" i="19"/>
  <c r="BA80" i="19"/>
  <c r="BA81" i="19"/>
  <c r="R82" i="19"/>
  <c r="BA82" i="19"/>
  <c r="R83" i="19"/>
  <c r="H83" i="19" s="1"/>
  <c r="BA83" i="19"/>
  <c r="R84" i="19"/>
  <c r="BA84" i="19"/>
  <c r="R85" i="19"/>
  <c r="H85" i="19" s="1"/>
  <c r="BA85" i="19"/>
  <c r="R86" i="19"/>
  <c r="H86" i="19" s="1"/>
  <c r="BA86" i="19"/>
  <c r="R87" i="19"/>
  <c r="H87" i="19" s="1"/>
  <c r="BA87" i="19"/>
  <c r="R88" i="19"/>
  <c r="H88" i="19" s="1"/>
  <c r="BA88" i="19"/>
  <c r="R89" i="19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9" i="20"/>
  <c r="R71" i="20"/>
  <c r="R73" i="20"/>
  <c r="R75" i="20"/>
  <c r="R77" i="20"/>
  <c r="R69" i="21"/>
  <c r="R71" i="21"/>
  <c r="R73" i="21"/>
  <c r="R74" i="21"/>
  <c r="R76" i="21"/>
  <c r="R78" i="21"/>
  <c r="R79" i="21"/>
  <c r="H79" i="21" s="1"/>
  <c r="R80" i="21"/>
  <c r="R81" i="21"/>
  <c r="H81" i="21" s="1"/>
  <c r="R82" i="21"/>
  <c r="H82" i="21" s="1"/>
  <c r="R83" i="21"/>
  <c r="H83" i="21" s="1"/>
  <c r="R84" i="21"/>
  <c r="H84" i="21" s="1"/>
  <c r="R85" i="21"/>
  <c r="H85" i="21" s="1"/>
  <c r="R86" i="21"/>
  <c r="R87" i="21"/>
  <c r="H87" i="21" s="1"/>
  <c r="R88" i="21"/>
  <c r="H88" i="21" s="1"/>
  <c r="R89" i="21"/>
  <c r="H89" i="21" s="1"/>
  <c r="R69" i="23"/>
  <c r="R71" i="23"/>
  <c r="R73" i="23"/>
  <c r="R74" i="23"/>
  <c r="R75" i="23"/>
  <c r="R76" i="23"/>
  <c r="R77" i="23"/>
  <c r="R78" i="23"/>
  <c r="R80" i="23"/>
  <c r="J80" i="23" s="1"/>
  <c r="R82" i="23"/>
  <c r="R84" i="23"/>
  <c r="R86" i="23"/>
  <c r="Q69" i="25"/>
  <c r="J69" i="25" s="1"/>
  <c r="Q71" i="25"/>
  <c r="J71" i="25" s="1"/>
  <c r="Q73" i="25"/>
  <c r="J73" i="25" s="1"/>
  <c r="Q75" i="25"/>
  <c r="J75" i="25" s="1"/>
  <c r="Q77" i="25"/>
  <c r="J77" i="25" s="1"/>
  <c r="Q45" i="26"/>
  <c r="Q47" i="26"/>
  <c r="Q49" i="26"/>
  <c r="Q51" i="26"/>
  <c r="Q53" i="26"/>
  <c r="Q55" i="26"/>
  <c r="Q57" i="26"/>
  <c r="Q59" i="26"/>
  <c r="Q61" i="26"/>
  <c r="Q63" i="26"/>
  <c r="Q65" i="26"/>
  <c r="Q68" i="26"/>
  <c r="Q70" i="26"/>
  <c r="Q72" i="26"/>
  <c r="Q74" i="26"/>
  <c r="Q75" i="26"/>
  <c r="Q78" i="26"/>
  <c r="Q79" i="26"/>
  <c r="H79" i="26" s="1"/>
  <c r="Q80" i="26"/>
  <c r="J80" i="26" s="1"/>
  <c r="Q81" i="26"/>
  <c r="H81" i="26" s="1"/>
  <c r="Q82" i="26"/>
  <c r="Q83" i="26"/>
  <c r="H83" i="26" s="1"/>
  <c r="Q84" i="26"/>
  <c r="Q85" i="26"/>
  <c r="H85" i="26" s="1"/>
  <c r="Q86" i="26"/>
  <c r="Q87" i="26"/>
  <c r="J87" i="26" s="1"/>
  <c r="Q89" i="26"/>
  <c r="H89" i="26" s="1"/>
  <c r="Q69" i="27"/>
  <c r="Q71" i="27"/>
  <c r="Q75" i="27"/>
  <c r="Q77" i="27"/>
  <c r="U45" i="18"/>
  <c r="U63" i="18"/>
  <c r="U71" i="18"/>
  <c r="AY73" i="103"/>
  <c r="BO73" i="103" s="1"/>
  <c r="AY74" i="103"/>
  <c r="BO74" i="103" s="1"/>
  <c r="BB67" i="103"/>
  <c r="AU78" i="103"/>
  <c r="BB79" i="103"/>
  <c r="BB81" i="103"/>
  <c r="AU48" i="103"/>
  <c r="AU52" i="103"/>
  <c r="AU56" i="103"/>
  <c r="AU80" i="103"/>
  <c r="AU84" i="103"/>
  <c r="AU88" i="103"/>
  <c r="AT74" i="103"/>
  <c r="J74" i="103"/>
  <c r="P74" i="103"/>
  <c r="AU79" i="103"/>
  <c r="AU81" i="103"/>
  <c r="AU83" i="103"/>
  <c r="BB80" i="103"/>
  <c r="Q45" i="22"/>
  <c r="Q46" i="22"/>
  <c r="Q47" i="22"/>
  <c r="Q48" i="22"/>
  <c r="Q49" i="22"/>
  <c r="Q50" i="22"/>
  <c r="Q51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8" i="22"/>
  <c r="Q70" i="22"/>
  <c r="J70" i="22" s="1"/>
  <c r="Q72" i="22"/>
  <c r="J72" i="22" s="1"/>
  <c r="Q75" i="22"/>
  <c r="Q76" i="22"/>
  <c r="Q65" i="22"/>
  <c r="Q66" i="22"/>
  <c r="Q67" i="22"/>
  <c r="Q69" i="22"/>
  <c r="Q71" i="22"/>
  <c r="J71" i="22" s="1"/>
  <c r="Q73" i="22"/>
  <c r="Q74" i="22"/>
  <c r="Q77" i="22"/>
  <c r="J77" i="22" s="1"/>
  <c r="Q78" i="22"/>
  <c r="Q79" i="22"/>
  <c r="H79" i="22" s="1"/>
  <c r="Q80" i="22"/>
  <c r="H80" i="22" s="1"/>
  <c r="Q81" i="22"/>
  <c r="H81" i="22" s="1"/>
  <c r="Q82" i="22"/>
  <c r="H82" i="22" s="1"/>
  <c r="Q83" i="22"/>
  <c r="J83" i="22" s="1"/>
  <c r="Q84" i="22"/>
  <c r="J84" i="22" s="1"/>
  <c r="Q85" i="22"/>
  <c r="H85" i="22" s="1"/>
  <c r="Q86" i="22"/>
  <c r="J86" i="22" s="1"/>
  <c r="Q87" i="22"/>
  <c r="J87" i="22" s="1"/>
  <c r="Q89" i="22"/>
  <c r="H89" i="22" s="1"/>
  <c r="P79" i="26"/>
  <c r="AD79" i="26"/>
  <c r="AD70" i="26" s="1"/>
  <c r="P80" i="26"/>
  <c r="AD80" i="26"/>
  <c r="P81" i="26"/>
  <c r="AD81" i="26"/>
  <c r="AD84" i="26"/>
  <c r="P85" i="26"/>
  <c r="P87" i="26"/>
  <c r="AD87" i="26"/>
  <c r="P69" i="104"/>
  <c r="P71" i="104"/>
  <c r="I44" i="24"/>
  <c r="K45" i="24"/>
  <c r="H98" i="4"/>
  <c r="AA75" i="27"/>
  <c r="H67" i="27"/>
  <c r="AM80" i="24"/>
  <c r="AM81" i="24"/>
  <c r="AM82" i="24"/>
  <c r="AM83" i="24"/>
  <c r="AM84" i="24"/>
  <c r="AM85" i="24"/>
  <c r="AM86" i="24"/>
  <c r="AM87" i="24"/>
  <c r="AM88" i="24"/>
  <c r="AM79" i="24"/>
  <c r="AB74" i="20"/>
  <c r="N75" i="19"/>
  <c r="AC69" i="19"/>
  <c r="AQ69" i="19" s="1"/>
  <c r="AC71" i="19"/>
  <c r="AQ71" i="19" s="1"/>
  <c r="AC73" i="19"/>
  <c r="AQ73" i="19" s="1"/>
  <c r="Q72" i="19"/>
  <c r="AC76" i="19"/>
  <c r="AQ76" i="19" s="1"/>
  <c r="AE77" i="29"/>
  <c r="AA44" i="27"/>
  <c r="AP44" i="27" s="1"/>
  <c r="AB44" i="27"/>
  <c r="AA45" i="27"/>
  <c r="AP45" i="27" s="1"/>
  <c r="AB45" i="27"/>
  <c r="AQ45" i="27" s="1"/>
  <c r="AA46" i="27"/>
  <c r="AP46" i="27" s="1"/>
  <c r="AB46" i="27"/>
  <c r="AA47" i="27"/>
  <c r="AP47" i="27" s="1"/>
  <c r="AB47" i="27"/>
  <c r="AQ47" i="27" s="1"/>
  <c r="AA48" i="27"/>
  <c r="AP48" i="27" s="1"/>
  <c r="AB48" i="27"/>
  <c r="AA49" i="27"/>
  <c r="AP49" i="27" s="1"/>
  <c r="AB49" i="27"/>
  <c r="AQ49" i="27" s="1"/>
  <c r="AA50" i="27"/>
  <c r="AP50" i="27" s="1"/>
  <c r="AB50" i="27"/>
  <c r="AA51" i="27"/>
  <c r="AP51" i="27" s="1"/>
  <c r="AB51" i="27"/>
  <c r="AQ51" i="27" s="1"/>
  <c r="AA52" i="27"/>
  <c r="AP52" i="27" s="1"/>
  <c r="AB52" i="27"/>
  <c r="AA53" i="27"/>
  <c r="AP53" i="27" s="1"/>
  <c r="AB53" i="27"/>
  <c r="AQ53" i="27" s="1"/>
  <c r="AA54" i="27"/>
  <c r="AP54" i="27" s="1"/>
  <c r="AB54" i="27"/>
  <c r="AA55" i="27"/>
  <c r="AP55" i="27" s="1"/>
  <c r="AB55" i="27"/>
  <c r="AQ55" i="27" s="1"/>
  <c r="AA56" i="27"/>
  <c r="AP56" i="27" s="1"/>
  <c r="AB56" i="27"/>
  <c r="AA57" i="27"/>
  <c r="AP57" i="27" s="1"/>
  <c r="AB57" i="27"/>
  <c r="AQ57" i="27" s="1"/>
  <c r="AA58" i="27"/>
  <c r="AP58" i="27" s="1"/>
  <c r="AB58" i="27"/>
  <c r="AA59" i="27"/>
  <c r="AP59" i="27" s="1"/>
  <c r="AA60" i="27"/>
  <c r="AP60" i="27" s="1"/>
  <c r="AB60" i="27"/>
  <c r="AA61" i="27"/>
  <c r="AP61" i="27" s="1"/>
  <c r="AB61" i="27"/>
  <c r="AQ61" i="27" s="1"/>
  <c r="AA62" i="27"/>
  <c r="AP62" i="27" s="1"/>
  <c r="AB62" i="27"/>
  <c r="AA63" i="27"/>
  <c r="AP63" i="27" s="1"/>
  <c r="AB63" i="27"/>
  <c r="AQ63" i="27" s="1"/>
  <c r="AA64" i="27"/>
  <c r="AP64" i="27" s="1"/>
  <c r="AB64" i="27"/>
  <c r="AA65" i="27"/>
  <c r="AP65" i="27" s="1"/>
  <c r="AB65" i="27"/>
  <c r="AQ65" i="27" s="1"/>
  <c r="AA66" i="27"/>
  <c r="AP66" i="27" s="1"/>
  <c r="AA68" i="27"/>
  <c r="AP68" i="27" s="1"/>
  <c r="AA69" i="27"/>
  <c r="AA70" i="27"/>
  <c r="AA71" i="27"/>
  <c r="AA72" i="27"/>
  <c r="AA73" i="27"/>
  <c r="P89" i="26"/>
  <c r="P88" i="26"/>
  <c r="AB64" i="25"/>
  <c r="AQ64" i="25" s="1"/>
  <c r="AX64" i="25" s="1"/>
  <c r="AA64" i="25"/>
  <c r="AP64" i="25" s="1"/>
  <c r="AB65" i="25"/>
  <c r="AQ65" i="25" s="1"/>
  <c r="AX65" i="25" s="1"/>
  <c r="AA65" i="25"/>
  <c r="AP65" i="25" s="1"/>
  <c r="AA66" i="25"/>
  <c r="AP66" i="25" s="1"/>
  <c r="AA68" i="25"/>
  <c r="AB44" i="25"/>
  <c r="AQ44" i="25" s="1"/>
  <c r="AX44" i="25" s="1"/>
  <c r="AA44" i="25"/>
  <c r="AP44" i="25" s="1"/>
  <c r="AB45" i="25"/>
  <c r="AQ45" i="25" s="1"/>
  <c r="AX45" i="25" s="1"/>
  <c r="AA45" i="25"/>
  <c r="AP45" i="25" s="1"/>
  <c r="AB46" i="25"/>
  <c r="AQ46" i="25" s="1"/>
  <c r="AX46" i="25" s="1"/>
  <c r="AA46" i="25"/>
  <c r="AP46" i="25" s="1"/>
  <c r="AB47" i="25"/>
  <c r="AQ47" i="25" s="1"/>
  <c r="AX47" i="25" s="1"/>
  <c r="AA47" i="25"/>
  <c r="AP47" i="25" s="1"/>
  <c r="AB48" i="25"/>
  <c r="AQ48" i="25" s="1"/>
  <c r="AX48" i="25" s="1"/>
  <c r="AA48" i="25"/>
  <c r="AP48" i="25" s="1"/>
  <c r="AB49" i="25"/>
  <c r="AQ49" i="25" s="1"/>
  <c r="AX49" i="25" s="1"/>
  <c r="AA49" i="25"/>
  <c r="AP49" i="25" s="1"/>
  <c r="AB50" i="25"/>
  <c r="AQ50" i="25" s="1"/>
  <c r="AX50" i="25" s="1"/>
  <c r="AA50" i="25"/>
  <c r="AP50" i="25" s="1"/>
  <c r="AB51" i="25"/>
  <c r="AQ51" i="25" s="1"/>
  <c r="AX51" i="25" s="1"/>
  <c r="AA51" i="25"/>
  <c r="AP51" i="25" s="1"/>
  <c r="AB52" i="25"/>
  <c r="AQ52" i="25" s="1"/>
  <c r="AX52" i="25" s="1"/>
  <c r="AA52" i="25"/>
  <c r="AP52" i="25" s="1"/>
  <c r="AB53" i="25"/>
  <c r="AQ53" i="25" s="1"/>
  <c r="AX53" i="25" s="1"/>
  <c r="AA53" i="25"/>
  <c r="AP53" i="25" s="1"/>
  <c r="AB54" i="25"/>
  <c r="AQ54" i="25" s="1"/>
  <c r="AX54" i="25" s="1"/>
  <c r="AA54" i="25"/>
  <c r="AP54" i="25" s="1"/>
  <c r="AB55" i="25"/>
  <c r="AQ55" i="25" s="1"/>
  <c r="AX55" i="25" s="1"/>
  <c r="AA55" i="25"/>
  <c r="AP55" i="25" s="1"/>
  <c r="AB56" i="25"/>
  <c r="AQ56" i="25" s="1"/>
  <c r="AX56" i="25" s="1"/>
  <c r="AA56" i="25"/>
  <c r="AP56" i="25" s="1"/>
  <c r="AB57" i="25"/>
  <c r="AQ57" i="25" s="1"/>
  <c r="AX57" i="25" s="1"/>
  <c r="AA57" i="25"/>
  <c r="AP57" i="25" s="1"/>
  <c r="AB58" i="25"/>
  <c r="AQ58" i="25" s="1"/>
  <c r="AX58" i="25" s="1"/>
  <c r="AA58" i="25"/>
  <c r="AP58" i="25" s="1"/>
  <c r="AB59" i="25"/>
  <c r="AQ59" i="25" s="1"/>
  <c r="AX59" i="25" s="1"/>
  <c r="AA59" i="25"/>
  <c r="AP59" i="25" s="1"/>
  <c r="AB60" i="25"/>
  <c r="AQ60" i="25" s="1"/>
  <c r="AX60" i="25" s="1"/>
  <c r="AA60" i="25"/>
  <c r="AP60" i="25" s="1"/>
  <c r="AB61" i="25"/>
  <c r="AQ61" i="25" s="1"/>
  <c r="AX61" i="25" s="1"/>
  <c r="AA61" i="25"/>
  <c r="AP61" i="25" s="1"/>
  <c r="AB62" i="25"/>
  <c r="AQ62" i="25" s="1"/>
  <c r="AX62" i="25" s="1"/>
  <c r="AA62" i="25"/>
  <c r="AP62" i="25" s="1"/>
  <c r="AB63" i="25"/>
  <c r="AQ63" i="25" s="1"/>
  <c r="AX63" i="25" s="1"/>
  <c r="AA63" i="25"/>
  <c r="AP63" i="25" s="1"/>
  <c r="P67" i="25"/>
  <c r="AA67" i="25"/>
  <c r="AP67" i="25" s="1"/>
  <c r="P69" i="25"/>
  <c r="P70" i="25"/>
  <c r="P71" i="25"/>
  <c r="P72" i="25"/>
  <c r="P73" i="25"/>
  <c r="AA74" i="25"/>
  <c r="P75" i="25"/>
  <c r="AA76" i="25"/>
  <c r="AP76" i="25" s="1"/>
  <c r="P77" i="25"/>
  <c r="AA78" i="25"/>
  <c r="AP78" i="25" s="1"/>
  <c r="Q79" i="24"/>
  <c r="M79" i="24"/>
  <c r="Q83" i="24"/>
  <c r="M83" i="24"/>
  <c r="Q87" i="24"/>
  <c r="M87" i="24"/>
  <c r="Q89" i="24"/>
  <c r="M89" i="24"/>
  <c r="Q81" i="24"/>
  <c r="M81" i="24"/>
  <c r="Q85" i="24"/>
  <c r="M85" i="24"/>
  <c r="Q82" i="24"/>
  <c r="Q86" i="24"/>
  <c r="Q80" i="24"/>
  <c r="Q84" i="24"/>
  <c r="M80" i="24"/>
  <c r="M82" i="24"/>
  <c r="M84" i="24"/>
  <c r="M86" i="24"/>
  <c r="AB74" i="23"/>
  <c r="AB76" i="23"/>
  <c r="AB78" i="23"/>
  <c r="AA65" i="22"/>
  <c r="AA68" i="22"/>
  <c r="P70" i="22"/>
  <c r="P71" i="22"/>
  <c r="P72" i="22"/>
  <c r="AA74" i="22"/>
  <c r="AA76" i="22"/>
  <c r="P77" i="22"/>
  <c r="AA78" i="22"/>
  <c r="AC44" i="21"/>
  <c r="AB44" i="21"/>
  <c r="AQ44" i="21" s="1"/>
  <c r="AC46" i="21"/>
  <c r="AR46" i="21" s="1"/>
  <c r="AB46" i="21"/>
  <c r="AQ46" i="21" s="1"/>
  <c r="AC47" i="21"/>
  <c r="AB47" i="21"/>
  <c r="AQ47" i="21" s="1"/>
  <c r="AB48" i="21"/>
  <c r="AQ48" i="21" s="1"/>
  <c r="AC49" i="21"/>
  <c r="AB49" i="21"/>
  <c r="AQ49" i="21" s="1"/>
  <c r="AC50" i="21"/>
  <c r="AR50" i="21" s="1"/>
  <c r="AB50" i="21"/>
  <c r="AQ50" i="21" s="1"/>
  <c r="AC51" i="21"/>
  <c r="AB51" i="21"/>
  <c r="AQ51" i="21" s="1"/>
  <c r="AC52" i="21"/>
  <c r="AR52" i="21" s="1"/>
  <c r="AB52" i="21"/>
  <c r="AQ52" i="21" s="1"/>
  <c r="AC53" i="21"/>
  <c r="AB53" i="21"/>
  <c r="AQ53" i="21" s="1"/>
  <c r="AC54" i="21"/>
  <c r="AR54" i="21" s="1"/>
  <c r="AB54" i="21"/>
  <c r="AQ54" i="21" s="1"/>
  <c r="AB55" i="21"/>
  <c r="AQ55" i="21" s="1"/>
  <c r="AB58" i="21"/>
  <c r="AQ58" i="21" s="1"/>
  <c r="AC59" i="21"/>
  <c r="AB59" i="21"/>
  <c r="AQ59" i="21" s="1"/>
  <c r="AB60" i="21"/>
  <c r="AB63" i="21"/>
  <c r="AB66" i="21"/>
  <c r="AB68" i="21"/>
  <c r="AQ68" i="21" s="1"/>
  <c r="AB67" i="21"/>
  <c r="AQ67" i="21" s="1"/>
  <c r="AB76" i="21"/>
  <c r="AQ76" i="21" s="1"/>
  <c r="AB78" i="21"/>
  <c r="AQ78" i="21" s="1"/>
  <c r="AC44" i="20"/>
  <c r="AR44" i="20" s="1"/>
  <c r="AY44" i="20" s="1"/>
  <c r="AX44" i="20" s="1"/>
  <c r="BK44" i="20" s="1"/>
  <c r="AB44" i="20"/>
  <c r="AQ44" i="20" s="1"/>
  <c r="AB67" i="20"/>
  <c r="AQ67" i="20" s="1"/>
  <c r="AC44" i="19"/>
  <c r="AQ44" i="19" s="1"/>
  <c r="AC45" i="19"/>
  <c r="AC46" i="19"/>
  <c r="AC47" i="19"/>
  <c r="AC48" i="19"/>
  <c r="AC49" i="19"/>
  <c r="AC50" i="19"/>
  <c r="AC51" i="19"/>
  <c r="AC52" i="19"/>
  <c r="AC53" i="19"/>
  <c r="AC54" i="19"/>
  <c r="AC55" i="19"/>
  <c r="AC56" i="19"/>
  <c r="AC57" i="19"/>
  <c r="AC58" i="19"/>
  <c r="AC59" i="19"/>
  <c r="AC60" i="19"/>
  <c r="AC61" i="19"/>
  <c r="AC62" i="19"/>
  <c r="AC63" i="19"/>
  <c r="AC64" i="19"/>
  <c r="AC65" i="19"/>
  <c r="AC66" i="19"/>
  <c r="AQ66" i="19" s="1"/>
  <c r="AC68" i="19"/>
  <c r="AQ68" i="19" s="1"/>
  <c r="AC67" i="19"/>
  <c r="AQ67" i="19" s="1"/>
  <c r="Q77" i="19"/>
  <c r="T46" i="29"/>
  <c r="T54" i="29"/>
  <c r="AE57" i="29"/>
  <c r="AT57" i="29" s="1"/>
  <c r="AE58" i="29"/>
  <c r="AT58" i="29" s="1"/>
  <c r="AE59" i="29"/>
  <c r="AT59" i="29" s="1"/>
  <c r="AE60" i="29"/>
  <c r="AT60" i="29" s="1"/>
  <c r="AE61" i="29"/>
  <c r="AT61" i="29" s="1"/>
  <c r="AE62" i="29"/>
  <c r="AT62" i="29" s="1"/>
  <c r="AE63" i="29"/>
  <c r="AT63" i="29" s="1"/>
  <c r="AE64" i="29"/>
  <c r="AT64" i="29" s="1"/>
  <c r="AE65" i="29"/>
  <c r="AT65" i="29" s="1"/>
  <c r="AE68" i="29"/>
  <c r="AT68" i="29" s="1"/>
  <c r="T88" i="29"/>
  <c r="J85" i="29"/>
  <c r="AE69" i="29"/>
  <c r="AE70" i="29"/>
  <c r="AE71" i="29"/>
  <c r="AE72" i="29"/>
  <c r="AE73" i="29"/>
  <c r="H85" i="29"/>
  <c r="AS74" i="63"/>
  <c r="AS46" i="63"/>
  <c r="AS50" i="63"/>
  <c r="AS54" i="63"/>
  <c r="AS58" i="63"/>
  <c r="AS44" i="63"/>
  <c r="AS48" i="63"/>
  <c r="AS52" i="63"/>
  <c r="AS56" i="63"/>
  <c r="AS59" i="63"/>
  <c r="AS60" i="63"/>
  <c r="AS61" i="63"/>
  <c r="AS62" i="63"/>
  <c r="AS63" i="63"/>
  <c r="AS64" i="63"/>
  <c r="AS65" i="63"/>
  <c r="AS67" i="63"/>
  <c r="AS66" i="63"/>
  <c r="AS68" i="63"/>
  <c r="Q88" i="63"/>
  <c r="AS45" i="63"/>
  <c r="AS47" i="63"/>
  <c r="AS49" i="63"/>
  <c r="AS51" i="63"/>
  <c r="AS53" i="63"/>
  <c r="AS55" i="63"/>
  <c r="AS57" i="63"/>
  <c r="AS75" i="63"/>
  <c r="N76" i="63"/>
  <c r="AS76" i="63"/>
  <c r="AA57" i="51"/>
  <c r="AA61" i="51"/>
  <c r="AA64" i="51"/>
  <c r="AA65" i="51"/>
  <c r="AA69" i="51"/>
  <c r="AA72" i="51"/>
  <c r="AA75" i="51"/>
  <c r="Q75" i="18"/>
  <c r="Q80" i="51"/>
  <c r="Q84" i="51"/>
  <c r="Q88" i="51"/>
  <c r="Q89" i="51"/>
  <c r="N75" i="51"/>
  <c r="T82" i="3"/>
  <c r="T78" i="3"/>
  <c r="T74" i="3"/>
  <c r="T70" i="3"/>
  <c r="T66" i="3"/>
  <c r="T62" i="3"/>
  <c r="T58" i="3"/>
  <c r="T54" i="3"/>
  <c r="T50" i="3"/>
  <c r="T46" i="3"/>
  <c r="T88" i="3"/>
  <c r="T80" i="3"/>
  <c r="T76" i="3"/>
  <c r="T72" i="3"/>
  <c r="T68" i="3"/>
  <c r="T64" i="3"/>
  <c r="T60" i="3"/>
  <c r="T56" i="3"/>
  <c r="T52" i="3"/>
  <c r="T48" i="3"/>
  <c r="T44" i="3"/>
  <c r="T83" i="3"/>
  <c r="T81" i="3"/>
  <c r="T79" i="3"/>
  <c r="T77" i="3"/>
  <c r="T75" i="3"/>
  <c r="T73" i="3"/>
  <c r="T71" i="3"/>
  <c r="T69" i="3"/>
  <c r="T67" i="3"/>
  <c r="T65" i="3"/>
  <c r="T63" i="3"/>
  <c r="T61" i="3"/>
  <c r="T59" i="3"/>
  <c r="T57" i="3"/>
  <c r="T55" i="3"/>
  <c r="T53" i="3"/>
  <c r="T51" i="3"/>
  <c r="T49" i="3"/>
  <c r="T47" i="3"/>
  <c r="T45" i="3"/>
  <c r="Q50" i="51" l="1"/>
  <c r="AR50" i="51"/>
  <c r="AS50" i="51" s="1"/>
  <c r="Q46" i="51"/>
  <c r="AR46" i="51"/>
  <c r="AS46" i="51" s="1"/>
  <c r="AY64" i="104"/>
  <c r="AY61" i="104"/>
  <c r="BB87" i="103"/>
  <c r="W47" i="195"/>
  <c r="AU87" i="103"/>
  <c r="P69" i="103"/>
  <c r="J69" i="103"/>
  <c r="AY45" i="102"/>
  <c r="AY78" i="102"/>
  <c r="AY65" i="102"/>
  <c r="BG63" i="101"/>
  <c r="AZ85" i="101"/>
  <c r="P47" i="25"/>
  <c r="Q83" i="23"/>
  <c r="J82" i="23"/>
  <c r="Q82" i="23"/>
  <c r="J75" i="22"/>
  <c r="P75" i="22"/>
  <c r="AU85" i="103"/>
  <c r="W45" i="195"/>
  <c r="AW89" i="22"/>
  <c r="K122" i="22" s="1"/>
  <c r="P122" i="22"/>
  <c r="P74" i="22"/>
  <c r="J69" i="22"/>
  <c r="Q130" i="22"/>
  <c r="P69" i="22"/>
  <c r="AB45" i="21"/>
  <c r="AQ45" i="21" s="1"/>
  <c r="AO45" i="21"/>
  <c r="Q78" i="19"/>
  <c r="J78" i="19"/>
  <c r="AW52" i="51"/>
  <c r="BG52" i="51" s="1"/>
  <c r="D13" i="193"/>
  <c r="D12" i="490" s="1"/>
  <c r="B60" i="51"/>
  <c r="D20" i="135" s="1"/>
  <c r="U122" i="3"/>
  <c r="BH89" i="3"/>
  <c r="AB75" i="51"/>
  <c r="AB70" i="51"/>
  <c r="AY70" i="51" s="1"/>
  <c r="AX70" i="51" s="1"/>
  <c r="BH70" i="51" s="1"/>
  <c r="AZ86" i="51"/>
  <c r="BG86" i="51"/>
  <c r="AB73" i="51"/>
  <c r="AY73" i="51" s="1"/>
  <c r="AX73" i="51" s="1"/>
  <c r="BH73" i="51" s="1"/>
  <c r="AB77" i="51"/>
  <c r="AB82" i="51"/>
  <c r="AB79" i="51"/>
  <c r="D39" i="195" s="1"/>
  <c r="AB72" i="51"/>
  <c r="AB87" i="51"/>
  <c r="AB83" i="51"/>
  <c r="AB69" i="51"/>
  <c r="AZ80" i="51"/>
  <c r="BG80" i="51"/>
  <c r="J70" i="19"/>
  <c r="Q70" i="19"/>
  <c r="J72" i="19"/>
  <c r="P58" i="25"/>
  <c r="P65" i="25"/>
  <c r="Y59" i="27"/>
  <c r="BG61" i="101"/>
  <c r="AZ81" i="101"/>
  <c r="BF81" i="101"/>
  <c r="BE81" i="101" s="1"/>
  <c r="BQ81" i="101" s="1"/>
  <c r="BG60" i="101"/>
  <c r="BG54" i="101"/>
  <c r="BG76" i="101"/>
  <c r="AY87" i="102"/>
  <c r="BB60" i="103"/>
  <c r="BB63" i="103"/>
  <c r="BO63" i="103"/>
  <c r="AY49" i="104"/>
  <c r="BI49" i="104"/>
  <c r="AY54" i="104"/>
  <c r="AY83" i="104"/>
  <c r="BX56" i="4"/>
  <c r="BQ56" i="4"/>
  <c r="BX64" i="4"/>
  <c r="BQ64" i="4"/>
  <c r="BQ72" i="4"/>
  <c r="BX72" i="4"/>
  <c r="BX80" i="4"/>
  <c r="BQ80" i="4"/>
  <c r="BQ88" i="4"/>
  <c r="BX88" i="4"/>
  <c r="BQ96" i="4"/>
  <c r="BX96" i="4"/>
  <c r="BQ59" i="4"/>
  <c r="BX59" i="4"/>
  <c r="BX67" i="4"/>
  <c r="BQ67" i="4"/>
  <c r="BX75" i="4"/>
  <c r="BQ75" i="4"/>
  <c r="BX83" i="4"/>
  <c r="BQ83" i="4"/>
  <c r="BX91" i="4"/>
  <c r="BQ91" i="4"/>
  <c r="BX98" i="4"/>
  <c r="BQ98" i="4"/>
  <c r="BQ58" i="4"/>
  <c r="BX58" i="4"/>
  <c r="BQ66" i="4"/>
  <c r="BX66" i="4"/>
  <c r="BQ74" i="4"/>
  <c r="BX74" i="4"/>
  <c r="BQ82" i="4"/>
  <c r="BX82" i="4"/>
  <c r="BX90" i="4"/>
  <c r="BQ90" i="4"/>
  <c r="Z49" i="195"/>
  <c r="BH97" i="4"/>
  <c r="BN97" i="4" s="1"/>
  <c r="BX53" i="4"/>
  <c r="BQ53" i="4"/>
  <c r="BQ61" i="4"/>
  <c r="BX61" i="4"/>
  <c r="BX69" i="4"/>
  <c r="BQ69" i="4"/>
  <c r="BX77" i="4"/>
  <c r="BQ77" i="4"/>
  <c r="BX85" i="4"/>
  <c r="BQ85" i="4"/>
  <c r="BX93" i="4"/>
  <c r="BQ93" i="4"/>
  <c r="BQ52" i="4"/>
  <c r="BX52" i="4"/>
  <c r="BX60" i="4"/>
  <c r="BQ60" i="4"/>
  <c r="BX68" i="4"/>
  <c r="BQ68" i="4"/>
  <c r="BX76" i="4"/>
  <c r="BQ76" i="4"/>
  <c r="BX84" i="4"/>
  <c r="BQ84" i="4"/>
  <c r="BX92" i="4"/>
  <c r="BQ92" i="4"/>
  <c r="BQ55" i="4"/>
  <c r="BX55" i="4"/>
  <c r="BQ63" i="4"/>
  <c r="BX63" i="4"/>
  <c r="BQ71" i="4"/>
  <c r="BX71" i="4"/>
  <c r="BQ79" i="4"/>
  <c r="BX79" i="4"/>
  <c r="BQ87" i="4"/>
  <c r="BX87" i="4"/>
  <c r="BQ95" i="4"/>
  <c r="BX95" i="4"/>
  <c r="BQ54" i="4"/>
  <c r="BX54" i="4"/>
  <c r="BX62" i="4"/>
  <c r="BQ62" i="4"/>
  <c r="BX70" i="4"/>
  <c r="BQ70" i="4"/>
  <c r="BX78" i="4"/>
  <c r="BQ78" i="4"/>
  <c r="BX86" i="4"/>
  <c r="BQ86" i="4"/>
  <c r="BX94" i="4"/>
  <c r="BQ94" i="4"/>
  <c r="BX57" i="4"/>
  <c r="BQ57" i="4"/>
  <c r="BX65" i="4"/>
  <c r="BQ65" i="4"/>
  <c r="BX73" i="4"/>
  <c r="BQ73" i="4"/>
  <c r="BX81" i="4"/>
  <c r="BQ81" i="4"/>
  <c r="BX89" i="4"/>
  <c r="BQ89" i="4"/>
  <c r="J87" i="29"/>
  <c r="BB90" i="29"/>
  <c r="J86" i="23"/>
  <c r="J84" i="23"/>
  <c r="Q84" i="23"/>
  <c r="J85" i="23"/>
  <c r="Q86" i="23"/>
  <c r="Q85" i="23"/>
  <c r="AS90" i="19"/>
  <c r="J90" i="18"/>
  <c r="AW85" i="104"/>
  <c r="BJ85" i="104" s="1"/>
  <c r="AY85" i="104"/>
  <c r="AR85" i="104"/>
  <c r="X45" i="195"/>
  <c r="AT73" i="103"/>
  <c r="W33" i="195" s="1"/>
  <c r="AZ76" i="103"/>
  <c r="BP76" i="103" s="1"/>
  <c r="J73" i="103"/>
  <c r="BB84" i="103"/>
  <c r="W48" i="195"/>
  <c r="AR80" i="23"/>
  <c r="Q79" i="23"/>
  <c r="Q82" i="63"/>
  <c r="AR84" i="104"/>
  <c r="AX84" i="104"/>
  <c r="X44" i="195"/>
  <c r="AY51" i="104"/>
  <c r="AR88" i="104"/>
  <c r="AX88" i="104"/>
  <c r="X48" i="195"/>
  <c r="AR80" i="104"/>
  <c r="AX80" i="104"/>
  <c r="X40" i="195"/>
  <c r="AX89" i="104"/>
  <c r="AR89" i="104"/>
  <c r="X49" i="195"/>
  <c r="AR75" i="104"/>
  <c r="AX75" i="104"/>
  <c r="X35" i="195"/>
  <c r="X22" i="195"/>
  <c r="X34" i="195"/>
  <c r="AX74" i="104"/>
  <c r="AR74" i="104"/>
  <c r="AU71" i="103"/>
  <c r="BA71" i="103"/>
  <c r="W31" i="195"/>
  <c r="W4" i="195"/>
  <c r="BB57" i="103"/>
  <c r="AU82" i="103"/>
  <c r="BA82" i="103"/>
  <c r="W42" i="195"/>
  <c r="J72" i="103"/>
  <c r="P72" i="103"/>
  <c r="AT72" i="103"/>
  <c r="BB46" i="103"/>
  <c r="J70" i="103"/>
  <c r="P70" i="103"/>
  <c r="AT70" i="103"/>
  <c r="J75" i="103"/>
  <c r="AT75" i="103"/>
  <c r="P75" i="103"/>
  <c r="AU46" i="103"/>
  <c r="BA77" i="103"/>
  <c r="AU77" i="103"/>
  <c r="W37" i="195"/>
  <c r="AX73" i="102"/>
  <c r="U33" i="195"/>
  <c r="AR73" i="102"/>
  <c r="AX74" i="102"/>
  <c r="U34" i="195"/>
  <c r="AR74" i="102"/>
  <c r="AX76" i="102"/>
  <c r="AR76" i="102"/>
  <c r="U36" i="195"/>
  <c r="AX71" i="102"/>
  <c r="U31" i="195"/>
  <c r="AR71" i="102"/>
  <c r="AX69" i="102"/>
  <c r="U29" i="195"/>
  <c r="AR69" i="102"/>
  <c r="AY84" i="102"/>
  <c r="U42" i="195"/>
  <c r="AR82" i="102"/>
  <c r="AX82" i="102"/>
  <c r="AR77" i="102"/>
  <c r="AX77" i="102"/>
  <c r="U37" i="195"/>
  <c r="AZ74" i="101"/>
  <c r="T34" i="195"/>
  <c r="BF74" i="101"/>
  <c r="BF69" i="101"/>
  <c r="AZ69" i="101"/>
  <c r="T29" i="195"/>
  <c r="AB71" i="27"/>
  <c r="AP71" i="27"/>
  <c r="AB72" i="27"/>
  <c r="P72" i="27" s="1"/>
  <c r="AP72" i="27"/>
  <c r="AB79" i="27"/>
  <c r="AP79" i="27"/>
  <c r="AB70" i="27"/>
  <c r="AP70" i="27"/>
  <c r="AB85" i="27"/>
  <c r="AP85" i="27"/>
  <c r="AB74" i="27"/>
  <c r="AP74" i="27"/>
  <c r="AB82" i="27"/>
  <c r="J82" i="27" s="1"/>
  <c r="AP82" i="27"/>
  <c r="AB83" i="27"/>
  <c r="J83" i="27" s="1"/>
  <c r="AP83" i="27"/>
  <c r="J85" i="27"/>
  <c r="AB84" i="27"/>
  <c r="J84" i="27" s="1"/>
  <c r="AP84" i="27"/>
  <c r="AB69" i="27"/>
  <c r="P69" i="27" s="1"/>
  <c r="AP69" i="27"/>
  <c r="AB80" i="27"/>
  <c r="AP80" i="27"/>
  <c r="AB76" i="27"/>
  <c r="AQ76" i="27" s="1"/>
  <c r="AP76" i="27"/>
  <c r="AB86" i="27"/>
  <c r="AP86" i="27"/>
  <c r="AB75" i="27"/>
  <c r="P75" i="27" s="1"/>
  <c r="AP75" i="27"/>
  <c r="AB89" i="27"/>
  <c r="AP89" i="27"/>
  <c r="AB77" i="27"/>
  <c r="AP77" i="27"/>
  <c r="AB87" i="27"/>
  <c r="J87" i="27" s="1"/>
  <c r="AP87" i="27"/>
  <c r="AB78" i="27"/>
  <c r="J78" i="27" s="1"/>
  <c r="AP78" i="27"/>
  <c r="AB73" i="27"/>
  <c r="AP73" i="27"/>
  <c r="AB81" i="27"/>
  <c r="AP81" i="27"/>
  <c r="AB82" i="25"/>
  <c r="J82" i="25" s="1"/>
  <c r="AP82" i="25"/>
  <c r="AB85" i="25"/>
  <c r="J85" i="25" s="1"/>
  <c r="AP85" i="25"/>
  <c r="AB88" i="25"/>
  <c r="P88" i="25" s="1"/>
  <c r="AP88" i="25"/>
  <c r="AB80" i="25"/>
  <c r="AP80" i="25"/>
  <c r="AB87" i="25"/>
  <c r="J87" i="25" s="1"/>
  <c r="AP87" i="25"/>
  <c r="AB83" i="25"/>
  <c r="J83" i="25" s="1"/>
  <c r="AP83" i="25"/>
  <c r="AB79" i="25"/>
  <c r="AQ79" i="25" s="1"/>
  <c r="AX79" i="25" s="1"/>
  <c r="AP79" i="25"/>
  <c r="J89" i="25"/>
  <c r="AB86" i="25"/>
  <c r="AP86" i="25"/>
  <c r="P50" i="25"/>
  <c r="AB81" i="25"/>
  <c r="J81" i="25" s="1"/>
  <c r="AP81" i="25"/>
  <c r="P74" i="25"/>
  <c r="AP74" i="25"/>
  <c r="J68" i="25"/>
  <c r="AP68" i="25"/>
  <c r="AB84" i="25"/>
  <c r="P84" i="25" s="1"/>
  <c r="AP84" i="25"/>
  <c r="AC73" i="23"/>
  <c r="J73" i="23" s="1"/>
  <c r="AQ73" i="23"/>
  <c r="AC77" i="23"/>
  <c r="AQ77" i="23"/>
  <c r="AC78" i="23"/>
  <c r="AQ78" i="23"/>
  <c r="AB68" i="23"/>
  <c r="AQ68" i="23" s="1"/>
  <c r="M29" i="193"/>
  <c r="M28" i="490" s="1"/>
  <c r="AC76" i="23"/>
  <c r="Q76" i="23" s="1"/>
  <c r="AQ76" i="23"/>
  <c r="AC72" i="23"/>
  <c r="J72" i="23" s="1"/>
  <c r="AQ72" i="23"/>
  <c r="AC70" i="23"/>
  <c r="AQ70" i="23"/>
  <c r="AC71" i="23"/>
  <c r="AR71" i="23" s="1"/>
  <c r="AQ71" i="23"/>
  <c r="AB63" i="23"/>
  <c r="M24" i="193"/>
  <c r="J77" i="23"/>
  <c r="AC74" i="23"/>
  <c r="AQ74" i="23"/>
  <c r="AB62" i="23"/>
  <c r="M23" i="193"/>
  <c r="AC69" i="23"/>
  <c r="AQ69" i="23"/>
  <c r="AC45" i="23"/>
  <c r="AR45" i="23" s="1"/>
  <c r="M6" i="193"/>
  <c r="AC75" i="23"/>
  <c r="AQ75" i="23"/>
  <c r="J71" i="23"/>
  <c r="H81" i="23"/>
  <c r="AC48" i="21"/>
  <c r="AR48" i="21" s="1"/>
  <c r="AC89" i="21"/>
  <c r="AR89" i="21" s="1"/>
  <c r="AS89" i="21" s="1"/>
  <c r="AQ89" i="21"/>
  <c r="AC87" i="21"/>
  <c r="AR87" i="21" s="1"/>
  <c r="AS87" i="21" s="1"/>
  <c r="AQ87" i="21"/>
  <c r="AC85" i="21"/>
  <c r="AR85" i="21" s="1"/>
  <c r="AS85" i="21" s="1"/>
  <c r="AQ85" i="21"/>
  <c r="AC80" i="21"/>
  <c r="AR80" i="21" s="1"/>
  <c r="AS80" i="21" s="1"/>
  <c r="AQ80" i="21"/>
  <c r="AC83" i="21"/>
  <c r="AR83" i="21" s="1"/>
  <c r="AS83" i="21" s="1"/>
  <c r="AQ83" i="21"/>
  <c r="AB64" i="21"/>
  <c r="AC55" i="21"/>
  <c r="Q55" i="21" s="1"/>
  <c r="AC63" i="21"/>
  <c r="AR63" i="21" s="1"/>
  <c r="AY63" i="21" s="1"/>
  <c r="AX63" i="21" s="1"/>
  <c r="BH63" i="21" s="1"/>
  <c r="AQ63" i="21"/>
  <c r="AC81" i="21"/>
  <c r="AR81" i="21" s="1"/>
  <c r="AS81" i="21" s="1"/>
  <c r="AQ81" i="21"/>
  <c r="AB62" i="21"/>
  <c r="AC88" i="21"/>
  <c r="AR88" i="21" s="1"/>
  <c r="AS88" i="21" s="1"/>
  <c r="AQ88" i="21"/>
  <c r="AC86" i="21"/>
  <c r="AR86" i="21" s="1"/>
  <c r="AS86" i="21" s="1"/>
  <c r="AQ86" i="21"/>
  <c r="AC84" i="21"/>
  <c r="AR84" i="21" s="1"/>
  <c r="AS84" i="21" s="1"/>
  <c r="AQ84" i="21"/>
  <c r="AC75" i="21"/>
  <c r="AQ75" i="21"/>
  <c r="B48" i="21"/>
  <c r="K8" i="135" s="1"/>
  <c r="AC66" i="21"/>
  <c r="AR66" i="21" s="1"/>
  <c r="AQ66" i="21"/>
  <c r="AC60" i="21"/>
  <c r="AR60" i="21" s="1"/>
  <c r="AY60" i="21" s="1"/>
  <c r="AX60" i="21" s="1"/>
  <c r="BH60" i="21" s="1"/>
  <c r="AQ60" i="21"/>
  <c r="AC77" i="21"/>
  <c r="J77" i="21" s="1"/>
  <c r="AQ77" i="21"/>
  <c r="AC82" i="21"/>
  <c r="AR82" i="21" s="1"/>
  <c r="AS82" i="21" s="1"/>
  <c r="AQ82" i="21"/>
  <c r="AO48" i="21"/>
  <c r="AW48" i="21" s="1"/>
  <c r="BG48" i="21" s="1"/>
  <c r="Q59" i="21"/>
  <c r="AR59" i="21"/>
  <c r="AS54" i="21"/>
  <c r="AS50" i="21"/>
  <c r="AW47" i="21"/>
  <c r="BG47" i="21" s="1"/>
  <c r="Q44" i="21"/>
  <c r="AR44" i="21"/>
  <c r="AS44" i="21" s="1"/>
  <c r="AW44" i="21"/>
  <c r="BG44" i="21" s="1"/>
  <c r="AR55" i="21"/>
  <c r="AS55" i="21" s="1"/>
  <c r="Q51" i="21"/>
  <c r="AR51" i="21"/>
  <c r="AS51" i="21" s="1"/>
  <c r="Q47" i="21"/>
  <c r="AR47" i="21"/>
  <c r="AS47" i="21" s="1"/>
  <c r="AW46" i="21"/>
  <c r="BG46" i="21" s="1"/>
  <c r="AS46" i="21"/>
  <c r="AW45" i="21"/>
  <c r="BG45" i="21" s="1"/>
  <c r="J50" i="21"/>
  <c r="Q53" i="21"/>
  <c r="AR53" i="21"/>
  <c r="AS53" i="21" s="1"/>
  <c r="Q49" i="21"/>
  <c r="AR49" i="21"/>
  <c r="AS49" i="21" s="1"/>
  <c r="Q45" i="21"/>
  <c r="AR45" i="21"/>
  <c r="AS45" i="21" s="1"/>
  <c r="AO52" i="21"/>
  <c r="AS52" i="21" s="1"/>
  <c r="K13" i="193"/>
  <c r="K12" i="490" s="1"/>
  <c r="AB74" i="21"/>
  <c r="AQ74" i="21" s="1"/>
  <c r="K35" i="193"/>
  <c r="K16" i="193"/>
  <c r="K15" i="490" s="1"/>
  <c r="AB70" i="21"/>
  <c r="K31" i="193"/>
  <c r="K30" i="490" s="1"/>
  <c r="AO58" i="21"/>
  <c r="K19" i="193"/>
  <c r="K18" i="490" s="1"/>
  <c r="AB65" i="21"/>
  <c r="K26" i="193"/>
  <c r="K25" i="490" s="1"/>
  <c r="K15" i="193"/>
  <c r="K14" i="490" s="1"/>
  <c r="AC57" i="21"/>
  <c r="J57" i="21" s="1"/>
  <c r="K18" i="193"/>
  <c r="K17" i="490" s="1"/>
  <c r="K17" i="193"/>
  <c r="K16" i="490" s="1"/>
  <c r="AB61" i="21"/>
  <c r="AB72" i="21"/>
  <c r="K33" i="193"/>
  <c r="K32" i="490" s="1"/>
  <c r="K6" i="193"/>
  <c r="K5" i="490" s="1"/>
  <c r="AC81" i="20"/>
  <c r="J81" i="20" s="1"/>
  <c r="AQ81" i="20"/>
  <c r="AC88" i="20"/>
  <c r="AQ88" i="20"/>
  <c r="AB68" i="20"/>
  <c r="AQ68" i="20" s="1"/>
  <c r="J29" i="193"/>
  <c r="AC76" i="20"/>
  <c r="AR76" i="20" s="1"/>
  <c r="AS76" i="20" s="1"/>
  <c r="AQ76" i="20"/>
  <c r="AB55" i="20"/>
  <c r="AQ55" i="20" s="1"/>
  <c r="J16" i="193"/>
  <c r="AC77" i="20"/>
  <c r="J77" i="20" s="1"/>
  <c r="AQ77" i="20"/>
  <c r="AC80" i="20"/>
  <c r="J80" i="20" s="1"/>
  <c r="AQ80" i="20"/>
  <c r="AC65" i="20"/>
  <c r="AR65" i="20" s="1"/>
  <c r="J26" i="193"/>
  <c r="AC87" i="20"/>
  <c r="AQ87" i="20"/>
  <c r="AC82" i="20"/>
  <c r="J82" i="20" s="1"/>
  <c r="AQ82" i="20"/>
  <c r="AC85" i="20"/>
  <c r="AQ85" i="20"/>
  <c r="AB57" i="20"/>
  <c r="AQ57" i="20" s="1"/>
  <c r="J18" i="193"/>
  <c r="AC79" i="20"/>
  <c r="AQ79" i="20"/>
  <c r="AC74" i="20"/>
  <c r="AQ74" i="20"/>
  <c r="AC84" i="20"/>
  <c r="AQ84" i="20"/>
  <c r="AB64" i="20"/>
  <c r="AQ64" i="20" s="1"/>
  <c r="J25" i="193"/>
  <c r="AC86" i="20"/>
  <c r="AQ86" i="20"/>
  <c r="AB49" i="20"/>
  <c r="AQ49" i="20" s="1"/>
  <c r="J10" i="193"/>
  <c r="AQ78" i="20"/>
  <c r="AC78" i="20"/>
  <c r="AC75" i="20"/>
  <c r="J75" i="20" s="1"/>
  <c r="AQ75" i="20"/>
  <c r="AC89" i="20"/>
  <c r="AQ89" i="20"/>
  <c r="AC83" i="20"/>
  <c r="J83" i="20" s="1"/>
  <c r="AQ83" i="20"/>
  <c r="AA65" i="19"/>
  <c r="AP65" i="19" s="1"/>
  <c r="AQ65" i="19"/>
  <c r="AD80" i="19"/>
  <c r="AQ80" i="19"/>
  <c r="Q75" i="19"/>
  <c r="AA64" i="19"/>
  <c r="AP64" i="19" s="1"/>
  <c r="AQ64" i="19"/>
  <c r="AA56" i="19"/>
  <c r="AP56" i="19" s="1"/>
  <c r="AQ56" i="19"/>
  <c r="AA48" i="19"/>
  <c r="AP48" i="19" s="1"/>
  <c r="AQ48" i="19"/>
  <c r="AD83" i="19"/>
  <c r="J83" i="19" s="1"/>
  <c r="AQ83" i="19"/>
  <c r="AD85" i="19"/>
  <c r="Q85" i="19" s="1"/>
  <c r="AQ85" i="19"/>
  <c r="AA63" i="19"/>
  <c r="AP63" i="19" s="1"/>
  <c r="AQ63" i="19"/>
  <c r="AA55" i="19"/>
  <c r="AP55" i="19" s="1"/>
  <c r="AQ55" i="19"/>
  <c r="AA47" i="19"/>
  <c r="AP47" i="19" s="1"/>
  <c r="AQ47" i="19"/>
  <c r="J80" i="19"/>
  <c r="AD86" i="19"/>
  <c r="AR86" i="19" s="1"/>
  <c r="AQ86" i="19"/>
  <c r="AD84" i="19"/>
  <c r="J84" i="19" s="1"/>
  <c r="AQ84" i="19"/>
  <c r="AR44" i="19"/>
  <c r="AA44" i="19"/>
  <c r="AP44" i="19" s="1"/>
  <c r="AA54" i="19"/>
  <c r="AP54" i="19" s="1"/>
  <c r="AQ54" i="19"/>
  <c r="AA61" i="19"/>
  <c r="AP61" i="19" s="1"/>
  <c r="AQ61" i="19"/>
  <c r="AA53" i="19"/>
  <c r="AP53" i="19" s="1"/>
  <c r="AQ53" i="19"/>
  <c r="AA45" i="19"/>
  <c r="AP45" i="19" s="1"/>
  <c r="AQ45" i="19"/>
  <c r="AD87" i="19"/>
  <c r="J87" i="19" s="1"/>
  <c r="AQ87" i="19"/>
  <c r="AD89" i="19"/>
  <c r="J89" i="19" s="1"/>
  <c r="AQ89" i="19"/>
  <c r="AA49" i="19"/>
  <c r="AP49" i="19" s="1"/>
  <c r="AQ49" i="19"/>
  <c r="AD82" i="19"/>
  <c r="J82" i="19" s="1"/>
  <c r="AQ82" i="19"/>
  <c r="AA46" i="19"/>
  <c r="AP46" i="19" s="1"/>
  <c r="AQ46" i="19"/>
  <c r="AA60" i="19"/>
  <c r="AP60" i="19" s="1"/>
  <c r="AQ60" i="19"/>
  <c r="AA52" i="19"/>
  <c r="AP52" i="19" s="1"/>
  <c r="AQ52" i="19"/>
  <c r="AA62" i="19"/>
  <c r="AP62" i="19" s="1"/>
  <c r="AQ62" i="19"/>
  <c r="AA59" i="19"/>
  <c r="AP59" i="19" s="1"/>
  <c r="AQ59" i="19"/>
  <c r="AA51" i="19"/>
  <c r="AP51" i="19" s="1"/>
  <c r="AQ51" i="19"/>
  <c r="AD79" i="19"/>
  <c r="J79" i="19" s="1"/>
  <c r="AQ79" i="19"/>
  <c r="AD81" i="19"/>
  <c r="AQ81" i="19"/>
  <c r="AD88" i="19"/>
  <c r="Q88" i="19" s="1"/>
  <c r="AQ88" i="19"/>
  <c r="AA57" i="19"/>
  <c r="AP57" i="19" s="1"/>
  <c r="AQ57" i="19"/>
  <c r="AA58" i="19"/>
  <c r="AP58" i="19" s="1"/>
  <c r="AQ58" i="19"/>
  <c r="AA50" i="19"/>
  <c r="AP50" i="19" s="1"/>
  <c r="AQ50" i="19"/>
  <c r="AF75" i="29"/>
  <c r="AU75" i="29" s="1"/>
  <c r="AT75" i="29"/>
  <c r="AF72" i="29"/>
  <c r="J72" i="29" s="1"/>
  <c r="AT72" i="29"/>
  <c r="T64" i="29"/>
  <c r="AF77" i="29"/>
  <c r="AT77" i="29"/>
  <c r="AF80" i="29"/>
  <c r="AT80" i="29"/>
  <c r="AF73" i="29"/>
  <c r="AT73" i="29"/>
  <c r="T60" i="29"/>
  <c r="AF71" i="29"/>
  <c r="AT71" i="29"/>
  <c r="AF70" i="29"/>
  <c r="J70" i="29" s="1"/>
  <c r="AT70" i="29"/>
  <c r="T58" i="29"/>
  <c r="AF79" i="29"/>
  <c r="J79" i="29" s="1"/>
  <c r="AT79" i="29"/>
  <c r="AF76" i="29"/>
  <c r="AU76" i="29" s="1"/>
  <c r="AT76" i="29"/>
  <c r="AF74" i="29"/>
  <c r="AU74" i="29" s="1"/>
  <c r="AT74" i="29"/>
  <c r="J80" i="29"/>
  <c r="AF78" i="29"/>
  <c r="J78" i="29" s="1"/>
  <c r="AT78" i="29"/>
  <c r="AF69" i="29"/>
  <c r="J69" i="29" s="1"/>
  <c r="AT69" i="29"/>
  <c r="T62" i="29"/>
  <c r="AF87" i="63"/>
  <c r="AS87" i="63"/>
  <c r="AF81" i="63"/>
  <c r="AS81" i="63"/>
  <c r="AF85" i="63"/>
  <c r="AS85" i="63"/>
  <c r="AF69" i="63"/>
  <c r="AT69" i="63" s="1"/>
  <c r="F29" i="195" s="1"/>
  <c r="AQ69" i="63"/>
  <c r="AF83" i="63"/>
  <c r="AS83" i="63"/>
  <c r="AF79" i="63"/>
  <c r="AS79" i="63"/>
  <c r="AF79" i="18"/>
  <c r="AU79" i="18" s="1"/>
  <c r="AT79" i="18"/>
  <c r="AF81" i="18"/>
  <c r="AU81" i="18" s="1"/>
  <c r="AT81" i="18"/>
  <c r="AF72" i="18"/>
  <c r="AU72" i="18" s="1"/>
  <c r="AT72" i="18"/>
  <c r="AF84" i="18"/>
  <c r="AT84" i="18"/>
  <c r="AF78" i="18"/>
  <c r="AU78" i="18" s="1"/>
  <c r="AT78" i="18"/>
  <c r="AF66" i="18"/>
  <c r="AU66" i="18" s="1"/>
  <c r="AT66" i="18"/>
  <c r="AF68" i="18"/>
  <c r="AU68" i="18" s="1"/>
  <c r="AT68" i="18"/>
  <c r="AF83" i="18"/>
  <c r="AU83" i="18" s="1"/>
  <c r="AT83" i="18"/>
  <c r="AF67" i="18"/>
  <c r="AU67" i="18" s="1"/>
  <c r="AT67" i="18"/>
  <c r="AF85" i="18"/>
  <c r="AT85" i="18"/>
  <c r="AF88" i="18"/>
  <c r="J88" i="18" s="1"/>
  <c r="AT88" i="18"/>
  <c r="AF73" i="18"/>
  <c r="AU73" i="18" s="1"/>
  <c r="AT73" i="18"/>
  <c r="AF82" i="18"/>
  <c r="J82" i="18" s="1"/>
  <c r="AT82" i="18"/>
  <c r="AF71" i="18"/>
  <c r="AU71" i="18" s="1"/>
  <c r="AT71" i="18"/>
  <c r="AF87" i="18"/>
  <c r="AU87" i="18" s="1"/>
  <c r="AT87" i="18"/>
  <c r="AF70" i="18"/>
  <c r="AU70" i="18" s="1"/>
  <c r="AT70" i="18"/>
  <c r="AF86" i="18"/>
  <c r="AU86" i="18" s="1"/>
  <c r="AT86" i="18"/>
  <c r="AF75" i="18"/>
  <c r="AU75" i="18" s="1"/>
  <c r="AT75" i="18"/>
  <c r="AF74" i="18"/>
  <c r="AU74" i="18" s="1"/>
  <c r="AT74" i="18"/>
  <c r="AF80" i="18"/>
  <c r="AU80" i="18" s="1"/>
  <c r="AT80" i="18"/>
  <c r="Y122" i="3"/>
  <c r="AC122" i="3"/>
  <c r="AY87" i="104"/>
  <c r="AY62" i="104"/>
  <c r="AY86" i="104"/>
  <c r="AY79" i="104"/>
  <c r="AY80" i="102"/>
  <c r="AY79" i="102"/>
  <c r="BG85" i="101"/>
  <c r="BG46" i="101"/>
  <c r="BG49" i="101"/>
  <c r="BI48" i="193"/>
  <c r="Q47" i="490"/>
  <c r="P76" i="27"/>
  <c r="J76" i="27"/>
  <c r="BI45" i="193"/>
  <c r="Q44" i="490"/>
  <c r="BI47" i="193"/>
  <c r="Q46" i="490"/>
  <c r="BI50" i="193"/>
  <c r="Q49" i="490"/>
  <c r="T4" i="491" s="1"/>
  <c r="P88" i="27"/>
  <c r="BI46" i="193"/>
  <c r="Q45" i="490"/>
  <c r="J86" i="27"/>
  <c r="BI49" i="193"/>
  <c r="Q48" i="490"/>
  <c r="BG42" i="193"/>
  <c r="P41" i="490"/>
  <c r="BG37" i="193"/>
  <c r="P36" i="490"/>
  <c r="BG47" i="193"/>
  <c r="P46" i="490"/>
  <c r="BG45" i="193"/>
  <c r="P44" i="490"/>
  <c r="BG36" i="193"/>
  <c r="P35" i="490"/>
  <c r="BG48" i="193"/>
  <c r="P47" i="490"/>
  <c r="BG40" i="193"/>
  <c r="P39" i="490"/>
  <c r="BG31" i="193"/>
  <c r="P30" i="490"/>
  <c r="BG43" i="193"/>
  <c r="P42" i="490"/>
  <c r="BG34" i="193"/>
  <c r="P33" i="490"/>
  <c r="BG46" i="193"/>
  <c r="P45" i="490"/>
  <c r="BG35" i="193"/>
  <c r="P34" i="490"/>
  <c r="BG41" i="193"/>
  <c r="P40" i="490"/>
  <c r="BG38" i="193"/>
  <c r="P37" i="490"/>
  <c r="BG33" i="193"/>
  <c r="P32" i="490"/>
  <c r="BG44" i="193"/>
  <c r="P43" i="490"/>
  <c r="BG39" i="193"/>
  <c r="P38" i="490"/>
  <c r="BG32" i="193"/>
  <c r="P31" i="490"/>
  <c r="BE45" i="193"/>
  <c r="O38" i="490"/>
  <c r="BE40" i="193"/>
  <c r="O33" i="490"/>
  <c r="BE36" i="193"/>
  <c r="O29" i="490"/>
  <c r="BE34" i="193"/>
  <c r="O27" i="490"/>
  <c r="BE43" i="193"/>
  <c r="O36" i="490"/>
  <c r="BE39" i="193"/>
  <c r="O32" i="490"/>
  <c r="BE48" i="193"/>
  <c r="O41" i="490"/>
  <c r="BE31" i="193"/>
  <c r="O24" i="490"/>
  <c r="H82" i="25"/>
  <c r="BE46" i="193"/>
  <c r="O39" i="490"/>
  <c r="BE50" i="193"/>
  <c r="O43" i="490"/>
  <c r="BE44" i="193"/>
  <c r="O37" i="490"/>
  <c r="BE42" i="193"/>
  <c r="O35" i="490"/>
  <c r="BE38" i="193"/>
  <c r="O31" i="490"/>
  <c r="BE35" i="193"/>
  <c r="O28" i="490"/>
  <c r="BE33" i="193"/>
  <c r="O26" i="490"/>
  <c r="BE41" i="193"/>
  <c r="O34" i="490"/>
  <c r="BE37" i="193"/>
  <c r="O30" i="490"/>
  <c r="BE32" i="193"/>
  <c r="O25" i="490"/>
  <c r="BE47" i="193"/>
  <c r="O40" i="490"/>
  <c r="AC58" i="21"/>
  <c r="AR58" i="21" s="1"/>
  <c r="K18" i="195" s="1"/>
  <c r="AS47" i="193"/>
  <c r="K46" i="490"/>
  <c r="AB56" i="21"/>
  <c r="AS50" i="193"/>
  <c r="K49" i="490"/>
  <c r="N4" i="491" s="1"/>
  <c r="B56" i="21"/>
  <c r="K16" i="135" s="1"/>
  <c r="AC56" i="21"/>
  <c r="AR56" i="21" s="1"/>
  <c r="AY56" i="21" s="1"/>
  <c r="AX56" i="21" s="1"/>
  <c r="BH56" i="21" s="1"/>
  <c r="AS45" i="193"/>
  <c r="K44" i="490"/>
  <c r="AO56" i="21"/>
  <c r="AS48" i="193"/>
  <c r="K47" i="490"/>
  <c r="J46" i="21"/>
  <c r="AS46" i="193"/>
  <c r="K45" i="490"/>
  <c r="AS49" i="193"/>
  <c r="K48" i="490"/>
  <c r="AQ48" i="193"/>
  <c r="J47" i="490"/>
  <c r="AQ45" i="193"/>
  <c r="J44" i="490"/>
  <c r="AQ46" i="193"/>
  <c r="J45" i="490"/>
  <c r="AQ50" i="193"/>
  <c r="J49" i="490"/>
  <c r="M4" i="491" s="1"/>
  <c r="AQ47" i="193"/>
  <c r="J46" i="490"/>
  <c r="AQ49" i="193"/>
  <c r="J48" i="490"/>
  <c r="Q74" i="19"/>
  <c r="J81" i="19"/>
  <c r="AI38" i="193"/>
  <c r="F37" i="490"/>
  <c r="AI35" i="193"/>
  <c r="F34" i="490"/>
  <c r="AI34" i="193"/>
  <c r="F33" i="490"/>
  <c r="AI46" i="193"/>
  <c r="F45" i="490"/>
  <c r="AI40" i="193"/>
  <c r="F39" i="490"/>
  <c r="AI36" i="193"/>
  <c r="F35" i="490"/>
  <c r="AI43" i="193"/>
  <c r="F42" i="490"/>
  <c r="AI32" i="193"/>
  <c r="F31" i="490"/>
  <c r="AI41" i="193"/>
  <c r="F40" i="490"/>
  <c r="AI48" i="193"/>
  <c r="F47" i="490"/>
  <c r="AI47" i="193"/>
  <c r="F46" i="490"/>
  <c r="AI31" i="193"/>
  <c r="F30" i="490"/>
  <c r="AI33" i="193"/>
  <c r="F32" i="490"/>
  <c r="AI37" i="193"/>
  <c r="F36" i="490"/>
  <c r="AI44" i="193"/>
  <c r="F43" i="490"/>
  <c r="AI45" i="193"/>
  <c r="F44" i="490"/>
  <c r="AI39" i="193"/>
  <c r="F38" i="490"/>
  <c r="AI42" i="193"/>
  <c r="F41" i="490"/>
  <c r="AI49" i="193"/>
  <c r="F48" i="490"/>
  <c r="AI50" i="193"/>
  <c r="F49" i="490"/>
  <c r="I4" i="491" s="1"/>
  <c r="AG47" i="193"/>
  <c r="E46" i="490"/>
  <c r="AG50" i="193"/>
  <c r="E49" i="490"/>
  <c r="H4" i="491" s="1"/>
  <c r="AG45" i="193"/>
  <c r="E44" i="490"/>
  <c r="T83" i="18"/>
  <c r="AG49" i="193"/>
  <c r="E48" i="490"/>
  <c r="AG46" i="193"/>
  <c r="E45" i="490"/>
  <c r="AG48" i="193"/>
  <c r="E47" i="490"/>
  <c r="AB56" i="51"/>
  <c r="AR56" i="51" s="1"/>
  <c r="AS56" i="51" s="1"/>
  <c r="AZ78" i="51"/>
  <c r="AB55" i="51"/>
  <c r="B56" i="51"/>
  <c r="D16" i="135" s="1"/>
  <c r="B55" i="51"/>
  <c r="D15" i="135" s="1"/>
  <c r="AA68" i="51"/>
  <c r="AB60" i="51"/>
  <c r="AR60" i="51" s="1"/>
  <c r="AS60" i="51" s="1"/>
  <c r="AW60" i="51"/>
  <c r="BG60" i="51" s="1"/>
  <c r="AE46" i="193"/>
  <c r="D45" i="490"/>
  <c r="AE45" i="193"/>
  <c r="D44" i="490"/>
  <c r="D21" i="193"/>
  <c r="D20" i="490" s="1"/>
  <c r="AE47" i="193"/>
  <c r="D46" i="490"/>
  <c r="AZ88" i="51"/>
  <c r="AE49" i="193"/>
  <c r="D48" i="490"/>
  <c r="AE50" i="193"/>
  <c r="D49" i="490"/>
  <c r="G4" i="491" s="1"/>
  <c r="B68" i="51"/>
  <c r="D28" i="135" s="1"/>
  <c r="AE48" i="193"/>
  <c r="D47" i="490"/>
  <c r="AC49" i="193"/>
  <c r="C48" i="490"/>
  <c r="AC50" i="193"/>
  <c r="C49" i="490"/>
  <c r="F4" i="491" s="1"/>
  <c r="H89" i="25"/>
  <c r="J80" i="25"/>
  <c r="H84" i="27"/>
  <c r="H79" i="23"/>
  <c r="BW32" i="193"/>
  <c r="W31" i="490"/>
  <c r="BW40" i="193"/>
  <c r="W39" i="490"/>
  <c r="BW48" i="193"/>
  <c r="W47" i="490"/>
  <c r="BW50" i="193"/>
  <c r="W49" i="490"/>
  <c r="Z4" i="491" s="1"/>
  <c r="BW37" i="193"/>
  <c r="W36" i="490"/>
  <c r="BW45" i="193"/>
  <c r="W44" i="490"/>
  <c r="BW34" i="193"/>
  <c r="W33" i="490"/>
  <c r="BW42" i="193"/>
  <c r="W41" i="490"/>
  <c r="BW31" i="193"/>
  <c r="W30" i="490"/>
  <c r="BW39" i="193"/>
  <c r="W38" i="490"/>
  <c r="BW47" i="193"/>
  <c r="W46" i="490"/>
  <c r="BW36" i="193"/>
  <c r="W35" i="490"/>
  <c r="BW44" i="193"/>
  <c r="W43" i="490"/>
  <c r="BW33" i="193"/>
  <c r="W32" i="490"/>
  <c r="BW41" i="193"/>
  <c r="W40" i="490"/>
  <c r="BW49" i="193"/>
  <c r="W48" i="490"/>
  <c r="BW38" i="193"/>
  <c r="W37" i="490"/>
  <c r="BW46" i="193"/>
  <c r="W45" i="490"/>
  <c r="BW35" i="193"/>
  <c r="W34" i="490"/>
  <c r="BW43" i="193"/>
  <c r="W42" i="490"/>
  <c r="Z50" i="195"/>
  <c r="AW98" i="4"/>
  <c r="BB83" i="103"/>
  <c r="BB78" i="103"/>
  <c r="BB51" i="103"/>
  <c r="P83" i="26"/>
  <c r="AD86" i="26"/>
  <c r="J86" i="26"/>
  <c r="P59" i="25"/>
  <c r="J81" i="29"/>
  <c r="T50" i="29"/>
  <c r="D12" i="193"/>
  <c r="D11" i="490" s="1"/>
  <c r="Z63" i="51"/>
  <c r="AP63" i="51" s="1"/>
  <c r="AB51" i="51"/>
  <c r="AR51" i="51" s="1"/>
  <c r="AS51" i="51" s="1"/>
  <c r="B51" i="51"/>
  <c r="D11" i="135" s="1"/>
  <c r="AY46" i="104"/>
  <c r="AY58" i="104"/>
  <c r="AY52" i="104"/>
  <c r="AY45" i="104"/>
  <c r="BB88" i="103"/>
  <c r="BB48" i="103"/>
  <c r="BB66" i="103"/>
  <c r="BB62" i="103"/>
  <c r="BG52" i="101"/>
  <c r="BG84" i="101"/>
  <c r="BG51" i="101"/>
  <c r="BG45" i="101"/>
  <c r="BG83" i="101"/>
  <c r="AY90" i="27"/>
  <c r="AW90" i="27"/>
  <c r="BH90" i="27" s="1"/>
  <c r="J82" i="26"/>
  <c r="AD82" i="26"/>
  <c r="J84" i="26"/>
  <c r="P51" i="25"/>
  <c r="P54" i="25"/>
  <c r="P63" i="25"/>
  <c r="P62" i="25"/>
  <c r="P46" i="25"/>
  <c r="AY90" i="25"/>
  <c r="AW90" i="25"/>
  <c r="BH90" i="25" s="1"/>
  <c r="P55" i="25"/>
  <c r="AC47" i="23"/>
  <c r="AR47" i="23" s="1"/>
  <c r="AY47" i="23" s="1"/>
  <c r="AX47" i="23" s="1"/>
  <c r="BK47" i="23" s="1"/>
  <c r="AB47" i="23"/>
  <c r="AQ47" i="23" s="1"/>
  <c r="AC60" i="23"/>
  <c r="Q60" i="23" s="1"/>
  <c r="AB60" i="23"/>
  <c r="AQ60" i="23" s="1"/>
  <c r="Q52" i="21"/>
  <c r="J48" i="21"/>
  <c r="Q48" i="21"/>
  <c r="H80" i="20"/>
  <c r="J79" i="20"/>
  <c r="H84" i="19"/>
  <c r="J44" i="19"/>
  <c r="AZ90" i="19"/>
  <c r="AE44" i="29"/>
  <c r="AT44" i="29" s="1"/>
  <c r="AF44" i="29"/>
  <c r="AU44" i="29" s="1"/>
  <c r="H5" i="193"/>
  <c r="H4" i="490" s="1"/>
  <c r="AR44" i="29"/>
  <c r="B44" i="29"/>
  <c r="H4" i="135" s="1"/>
  <c r="T52" i="29"/>
  <c r="T76" i="29"/>
  <c r="J76" i="29"/>
  <c r="AF65" i="63"/>
  <c r="AT65" i="63" s="1"/>
  <c r="AF57" i="63"/>
  <c r="AT57" i="63" s="1"/>
  <c r="AF84" i="63"/>
  <c r="Q84" i="63" s="1"/>
  <c r="AF49" i="63"/>
  <c r="AT49" i="63" s="1"/>
  <c r="AF78" i="63"/>
  <c r="AT78" i="63" s="1"/>
  <c r="AF64" i="63"/>
  <c r="AT64" i="63" s="1"/>
  <c r="AF56" i="63"/>
  <c r="AT56" i="63" s="1"/>
  <c r="AF86" i="63"/>
  <c r="Q86" i="63" s="1"/>
  <c r="AF52" i="63"/>
  <c r="AT52" i="63" s="1"/>
  <c r="AF74" i="63"/>
  <c r="AT74" i="63" s="1"/>
  <c r="AF80" i="63"/>
  <c r="AT80" i="63" s="1"/>
  <c r="AF51" i="63"/>
  <c r="AF66" i="63"/>
  <c r="AT66" i="63" s="1"/>
  <c r="AF58" i="63"/>
  <c r="AT58" i="63" s="1"/>
  <c r="AF46" i="63"/>
  <c r="AT46" i="63" s="1"/>
  <c r="AU46" i="63" s="1"/>
  <c r="AF70" i="63"/>
  <c r="AT70" i="63" s="1"/>
  <c r="AF63" i="63"/>
  <c r="AT63" i="63" s="1"/>
  <c r="AU63" i="63" s="1"/>
  <c r="AF55" i="63"/>
  <c r="AT55" i="63" s="1"/>
  <c r="AF76" i="63"/>
  <c r="AT76" i="63" s="1"/>
  <c r="AF61" i="63"/>
  <c r="AT61" i="63" s="1"/>
  <c r="AF53" i="63"/>
  <c r="AT53" i="63" s="1"/>
  <c r="AF89" i="63"/>
  <c r="Q89" i="63" s="1"/>
  <c r="AF75" i="63"/>
  <c r="AT75" i="63" s="1"/>
  <c r="AF71" i="63"/>
  <c r="AT71" i="63" s="1"/>
  <c r="AF45" i="63"/>
  <c r="AT45" i="63" s="1"/>
  <c r="AF68" i="63"/>
  <c r="AT68" i="63" s="1"/>
  <c r="AF60" i="63"/>
  <c r="AT60" i="63" s="1"/>
  <c r="AF73" i="63"/>
  <c r="AT73" i="63" s="1"/>
  <c r="AF48" i="63"/>
  <c r="AT48" i="63" s="1"/>
  <c r="AF77" i="63"/>
  <c r="AT77" i="63" s="1"/>
  <c r="AF47" i="63"/>
  <c r="AT47" i="63" s="1"/>
  <c r="AF72" i="63"/>
  <c r="AT72" i="63" s="1"/>
  <c r="AF62" i="63"/>
  <c r="AT62" i="63" s="1"/>
  <c r="AF54" i="63"/>
  <c r="AT54" i="63" s="1"/>
  <c r="AF50" i="63"/>
  <c r="AT50" i="63" s="1"/>
  <c r="AF67" i="63"/>
  <c r="AT67" i="63" s="1"/>
  <c r="AF59" i="63"/>
  <c r="AT59" i="63" s="1"/>
  <c r="AF44" i="63"/>
  <c r="AT44" i="63" s="1"/>
  <c r="Z64" i="51"/>
  <c r="AP64" i="51" s="1"/>
  <c r="J45" i="18"/>
  <c r="J52" i="18"/>
  <c r="J48" i="18"/>
  <c r="J58" i="18"/>
  <c r="J47" i="18"/>
  <c r="J55" i="18"/>
  <c r="J65" i="18"/>
  <c r="J63" i="18"/>
  <c r="J50" i="18"/>
  <c r="J49" i="18"/>
  <c r="J57" i="18"/>
  <c r="J54" i="18"/>
  <c r="J62" i="18"/>
  <c r="J70" i="18"/>
  <c r="J51" i="18"/>
  <c r="J59" i="18"/>
  <c r="J73" i="18"/>
  <c r="J81" i="18"/>
  <c r="J46" i="18"/>
  <c r="J53" i="18"/>
  <c r="J61" i="18"/>
  <c r="J75" i="18"/>
  <c r="J83" i="18"/>
  <c r="Z57" i="51"/>
  <c r="AP57" i="51" s="1"/>
  <c r="AB48" i="20"/>
  <c r="AQ48" i="20" s="1"/>
  <c r="AC48" i="20"/>
  <c r="Q48" i="20" s="1"/>
  <c r="J8" i="490"/>
  <c r="AC56" i="20"/>
  <c r="AR56" i="20" s="1"/>
  <c r="AB56" i="20"/>
  <c r="AQ56" i="20" s="1"/>
  <c r="AO47" i="20"/>
  <c r="AB47" i="20"/>
  <c r="AQ47" i="20" s="1"/>
  <c r="AC63" i="20"/>
  <c r="AR63" i="20" s="1"/>
  <c r="AY63" i="20" s="1"/>
  <c r="AX63" i="20" s="1"/>
  <c r="BK63" i="20" s="1"/>
  <c r="AB63" i="20"/>
  <c r="AQ63" i="20" s="1"/>
  <c r="AC54" i="20"/>
  <c r="AR54" i="20" s="1"/>
  <c r="AB54" i="20"/>
  <c r="AQ54" i="20" s="1"/>
  <c r="AC46" i="20"/>
  <c r="AR46" i="20" s="1"/>
  <c r="AB46" i="20"/>
  <c r="AQ46" i="20" s="1"/>
  <c r="J6" i="490"/>
  <c r="AO46" i="20"/>
  <c r="B46" i="20"/>
  <c r="J6" i="135" s="1"/>
  <c r="AC62" i="20"/>
  <c r="AR62" i="20" s="1"/>
  <c r="AB62" i="20"/>
  <c r="AQ62" i="20" s="1"/>
  <c r="J7" i="490"/>
  <c r="AC47" i="20"/>
  <c r="AR47" i="20" s="1"/>
  <c r="AB65" i="20"/>
  <c r="B48" i="20"/>
  <c r="J8" i="135" s="1"/>
  <c r="AO48" i="20"/>
  <c r="AW48" i="20" s="1"/>
  <c r="BJ48" i="20" s="1"/>
  <c r="J65" i="20"/>
  <c r="AC64" i="20"/>
  <c r="AR64" i="20" s="1"/>
  <c r="J78" i="20"/>
  <c r="B47" i="20"/>
  <c r="J7" i="135" s="1"/>
  <c r="B74" i="21"/>
  <c r="K34" i="135" s="1"/>
  <c r="B55" i="21"/>
  <c r="K15" i="135" s="1"/>
  <c r="B52" i="21"/>
  <c r="K12" i="135" s="1"/>
  <c r="AO74" i="21"/>
  <c r="AW74" i="21" s="1"/>
  <c r="BG74" i="21" s="1"/>
  <c r="B57" i="21"/>
  <c r="K17" i="135" s="1"/>
  <c r="J81" i="21"/>
  <c r="K34" i="490"/>
  <c r="AO57" i="21"/>
  <c r="AB57" i="21"/>
  <c r="AQ57" i="21" s="1"/>
  <c r="B54" i="21"/>
  <c r="K14" i="135" s="1"/>
  <c r="J66" i="21"/>
  <c r="B45" i="21"/>
  <c r="K5" i="135" s="1"/>
  <c r="J54" i="21"/>
  <c r="AZ90" i="21"/>
  <c r="AX90" i="21"/>
  <c r="BH90" i="21" s="1"/>
  <c r="J73" i="22"/>
  <c r="P65" i="22"/>
  <c r="P73" i="22"/>
  <c r="J88" i="29"/>
  <c r="H81" i="20"/>
  <c r="H89" i="19"/>
  <c r="J83" i="21"/>
  <c r="H83" i="22"/>
  <c r="H86" i="26"/>
  <c r="J80" i="27"/>
  <c r="J82" i="29"/>
  <c r="J76" i="22"/>
  <c r="H82" i="26"/>
  <c r="J85" i="22"/>
  <c r="J86" i="29"/>
  <c r="H80" i="19"/>
  <c r="H83" i="25"/>
  <c r="J79" i="27"/>
  <c r="J89" i="29"/>
  <c r="H87" i="23"/>
  <c r="J88" i="27"/>
  <c r="H82" i="27"/>
  <c r="H80" i="21"/>
  <c r="H79" i="19"/>
  <c r="J77" i="29"/>
  <c r="J78" i="25"/>
  <c r="H85" i="25"/>
  <c r="J81" i="27"/>
  <c r="H83" i="29"/>
  <c r="J76" i="25"/>
  <c r="J86" i="25"/>
  <c r="H84" i="23"/>
  <c r="J83" i="26"/>
  <c r="J79" i="26"/>
  <c r="J79" i="22"/>
  <c r="J68" i="22"/>
  <c r="J86" i="21"/>
  <c r="J88" i="21"/>
  <c r="AV90" i="18"/>
  <c r="H89" i="23"/>
  <c r="H88" i="23"/>
  <c r="AU96" i="22"/>
  <c r="BG96" i="22" s="1"/>
  <c r="AW96" i="22"/>
  <c r="K129" i="22" s="1"/>
  <c r="Q129" i="22" s="1"/>
  <c r="AU92" i="22"/>
  <c r="BG92" i="22" s="1"/>
  <c r="AW92" i="22"/>
  <c r="K125" i="22" s="1"/>
  <c r="Q125" i="22" s="1"/>
  <c r="AU95" i="22"/>
  <c r="BG95" i="22" s="1"/>
  <c r="AW95" i="22"/>
  <c r="K128" i="22" s="1"/>
  <c r="Q128" i="22" s="1"/>
  <c r="AU93" i="22"/>
  <c r="BG93" i="22" s="1"/>
  <c r="AW93" i="22"/>
  <c r="K126" i="22" s="1"/>
  <c r="Q126" i="22" s="1"/>
  <c r="AU91" i="22"/>
  <c r="BG91" i="22" s="1"/>
  <c r="AW91" i="22"/>
  <c r="K124" i="22" s="1"/>
  <c r="Q124" i="22" s="1"/>
  <c r="BB89" i="103"/>
  <c r="J89" i="27"/>
  <c r="AU90" i="22"/>
  <c r="BG90" i="22" s="1"/>
  <c r="AW90" i="22"/>
  <c r="K123" i="22" s="1"/>
  <c r="J89" i="22"/>
  <c r="BA90" i="29"/>
  <c r="BK90" i="29" s="1"/>
  <c r="BC90" i="29"/>
  <c r="AU94" i="22"/>
  <c r="BG94" i="22" s="1"/>
  <c r="AW94" i="22"/>
  <c r="K127" i="22" s="1"/>
  <c r="Q127" i="22" s="1"/>
  <c r="BB85" i="103"/>
  <c r="BB50" i="103"/>
  <c r="BB45" i="103"/>
  <c r="BB54" i="103"/>
  <c r="BB58" i="103"/>
  <c r="AU69" i="103"/>
  <c r="BA69" i="103"/>
  <c r="W29" i="195"/>
  <c r="H87" i="22"/>
  <c r="J81" i="22"/>
  <c r="J78" i="22"/>
  <c r="H79" i="25"/>
  <c r="H87" i="26"/>
  <c r="H84" i="26"/>
  <c r="H80" i="26"/>
  <c r="AC55" i="23"/>
  <c r="AR55" i="23" s="1"/>
  <c r="AY55" i="23" s="1"/>
  <c r="AX55" i="23" s="1"/>
  <c r="BK55" i="23" s="1"/>
  <c r="AB55" i="23"/>
  <c r="AQ55" i="23" s="1"/>
  <c r="AC52" i="23"/>
  <c r="Q52" i="23" s="1"/>
  <c r="AB52" i="23"/>
  <c r="AQ52" i="23" s="1"/>
  <c r="AC44" i="23"/>
  <c r="AR44" i="23" s="1"/>
  <c r="AB44" i="23"/>
  <c r="AQ44" i="23" s="1"/>
  <c r="AB46" i="23"/>
  <c r="AQ46" i="23" s="1"/>
  <c r="AC46" i="23"/>
  <c r="AR46" i="23" s="1"/>
  <c r="AB53" i="23"/>
  <c r="AC53" i="23"/>
  <c r="AR53" i="23" s="1"/>
  <c r="AY53" i="23" s="1"/>
  <c r="AC54" i="23"/>
  <c r="Q54" i="23" s="1"/>
  <c r="AB54" i="23"/>
  <c r="AQ54" i="23" s="1"/>
  <c r="AC61" i="23"/>
  <c r="AR61" i="23" s="1"/>
  <c r="AB61" i="23"/>
  <c r="AQ61" i="23" s="1"/>
  <c r="H85" i="23"/>
  <c r="H86" i="23"/>
  <c r="AB45" i="23"/>
  <c r="H82" i="23"/>
  <c r="Q71" i="23"/>
  <c r="H83" i="23"/>
  <c r="H86" i="20"/>
  <c r="H82" i="20"/>
  <c r="H80" i="29"/>
  <c r="H84" i="29"/>
  <c r="T56" i="29"/>
  <c r="J68" i="29"/>
  <c r="T75" i="29"/>
  <c r="T48" i="29"/>
  <c r="J75" i="29"/>
  <c r="AT51" i="63"/>
  <c r="H85" i="63"/>
  <c r="T80" i="18"/>
  <c r="T81" i="18"/>
  <c r="T79" i="18"/>
  <c r="BA69" i="18"/>
  <c r="BO69" i="18" s="1"/>
  <c r="J69" i="18"/>
  <c r="T89" i="18"/>
  <c r="BA77" i="18"/>
  <c r="BO77" i="18" s="1"/>
  <c r="J77" i="18"/>
  <c r="J71" i="18"/>
  <c r="J80" i="51"/>
  <c r="BA90" i="18"/>
  <c r="BO90" i="18" s="1"/>
  <c r="BC90" i="18"/>
  <c r="AZ84" i="51"/>
  <c r="BG50" i="193"/>
  <c r="P51" i="193"/>
  <c r="P50" i="490" s="1"/>
  <c r="S5" i="491" s="1"/>
  <c r="AG35" i="193"/>
  <c r="AG36" i="193"/>
  <c r="AG44" i="193"/>
  <c r="AG37" i="193"/>
  <c r="AG38" i="193"/>
  <c r="AG41" i="193"/>
  <c r="AG39" i="193"/>
  <c r="AG34" i="193"/>
  <c r="AG42" i="193"/>
  <c r="AG32" i="193"/>
  <c r="AG33" i="193"/>
  <c r="AG43" i="193"/>
  <c r="AG40" i="193"/>
  <c r="AG31" i="193"/>
  <c r="BI38" i="193"/>
  <c r="BI44" i="193"/>
  <c r="BI41" i="193"/>
  <c r="BI43" i="193"/>
  <c r="BI34" i="193"/>
  <c r="BI35" i="193"/>
  <c r="BI42" i="193"/>
  <c r="BI37" i="193"/>
  <c r="BI32" i="193"/>
  <c r="BI33" i="193"/>
  <c r="BI31" i="193"/>
  <c r="BI40" i="193"/>
  <c r="BI39" i="193"/>
  <c r="BI36" i="193"/>
  <c r="AS44" i="193"/>
  <c r="AS39" i="193"/>
  <c r="AS36" i="193"/>
  <c r="AQ34" i="193"/>
  <c r="AQ35" i="193"/>
  <c r="AE33" i="193"/>
  <c r="AS33" i="193"/>
  <c r="AQ32" i="193"/>
  <c r="AE44" i="193"/>
  <c r="AC43" i="193"/>
  <c r="AS42" i="193"/>
  <c r="AQ42" i="193"/>
  <c r="AE42" i="193"/>
  <c r="AC44" i="193"/>
  <c r="AC41" i="193"/>
  <c r="AS37" i="193"/>
  <c r="AQ39" i="193"/>
  <c r="AE40" i="193"/>
  <c r="AQ40" i="193"/>
  <c r="AE39" i="193"/>
  <c r="AC42" i="193"/>
  <c r="AS40" i="193"/>
  <c r="AQ41" i="193"/>
  <c r="AS43" i="193"/>
  <c r="AS38" i="193"/>
  <c r="AQ33" i="193"/>
  <c r="AQ38" i="193"/>
  <c r="AQ44" i="193"/>
  <c r="AC40" i="193"/>
  <c r="AE36" i="193"/>
  <c r="AS41" i="193"/>
  <c r="AQ43" i="193"/>
  <c r="AQ31" i="193"/>
  <c r="AQ36" i="193"/>
  <c r="AE41" i="193"/>
  <c r="AE43" i="193"/>
  <c r="AQ37" i="193"/>
  <c r="Z65" i="51"/>
  <c r="AP65" i="51" s="1"/>
  <c r="J12" i="490"/>
  <c r="AO52" i="20"/>
  <c r="B52" i="20"/>
  <c r="J12" i="135" s="1"/>
  <c r="AB52" i="20"/>
  <c r="AQ52" i="20" s="1"/>
  <c r="AC52" i="20"/>
  <c r="AR52" i="20" s="1"/>
  <c r="AB61" i="22"/>
  <c r="P61" i="22" s="1"/>
  <c r="AN61" i="22"/>
  <c r="AT61" i="22" s="1"/>
  <c r="BF61" i="22" s="1"/>
  <c r="B61" i="22"/>
  <c r="M21" i="135" s="1"/>
  <c r="AA61" i="22"/>
  <c r="M16" i="490"/>
  <c r="AO56" i="23"/>
  <c r="B56" i="23"/>
  <c r="N16" i="135" s="1"/>
  <c r="AB56" i="23"/>
  <c r="AQ56" i="23" s="1"/>
  <c r="AC56" i="23"/>
  <c r="J56" i="23" s="1"/>
  <c r="M27" i="490"/>
  <c r="AO67" i="23"/>
  <c r="B67" i="23"/>
  <c r="N27" i="135" s="1"/>
  <c r="AB67" i="23"/>
  <c r="AQ67" i="23" s="1"/>
  <c r="AB54" i="22"/>
  <c r="AO54" i="22" s="1"/>
  <c r="AN54" i="22"/>
  <c r="B54" i="22"/>
  <c r="M14" i="135" s="1"/>
  <c r="AA54" i="22"/>
  <c r="J18" i="490"/>
  <c r="AO58" i="20"/>
  <c r="B58" i="20"/>
  <c r="J18" i="135" s="1"/>
  <c r="AC58" i="20"/>
  <c r="Q58" i="20" s="1"/>
  <c r="AB58" i="20"/>
  <c r="AQ58" i="20" s="1"/>
  <c r="M10" i="490"/>
  <c r="AO50" i="23"/>
  <c r="B50" i="23"/>
  <c r="N10" i="135" s="1"/>
  <c r="AB50" i="23"/>
  <c r="AQ50" i="23" s="1"/>
  <c r="AC50" i="23"/>
  <c r="AR50" i="23" s="1"/>
  <c r="AC53" i="20"/>
  <c r="AR53" i="20" s="1"/>
  <c r="J13" i="490"/>
  <c r="AO53" i="20"/>
  <c r="B53" i="20"/>
  <c r="J13" i="135" s="1"/>
  <c r="AB53" i="20"/>
  <c r="AQ53" i="20" s="1"/>
  <c r="M9" i="490"/>
  <c r="AO49" i="23"/>
  <c r="B49" i="23"/>
  <c r="N9" i="135" s="1"/>
  <c r="AC49" i="23"/>
  <c r="AR49" i="23" s="1"/>
  <c r="AB49" i="23"/>
  <c r="AQ49" i="23" s="1"/>
  <c r="AB67" i="22"/>
  <c r="AN67" i="22"/>
  <c r="AT67" i="22" s="1"/>
  <c r="BF67" i="22" s="1"/>
  <c r="B67" i="22"/>
  <c r="M27" i="135" s="1"/>
  <c r="AA67" i="22"/>
  <c r="AB55" i="22"/>
  <c r="P55" i="22" s="1"/>
  <c r="AN55" i="22"/>
  <c r="AT55" i="22" s="1"/>
  <c r="BF55" i="22" s="1"/>
  <c r="B55" i="22"/>
  <c r="M15" i="135" s="1"/>
  <c r="AA55" i="22"/>
  <c r="AB66" i="22"/>
  <c r="AO66" i="22" s="1"/>
  <c r="AN66" i="22"/>
  <c r="B66" i="22"/>
  <c r="M26" i="135" s="1"/>
  <c r="AA66" i="22"/>
  <c r="AB60" i="22"/>
  <c r="Y60" i="22" s="1"/>
  <c r="AN60" i="22"/>
  <c r="B60" i="22"/>
  <c r="M20" i="135" s="1"/>
  <c r="AA60" i="22"/>
  <c r="AB52" i="22"/>
  <c r="P52" i="22" s="1"/>
  <c r="AN52" i="22"/>
  <c r="B52" i="22"/>
  <c r="M12" i="135" s="1"/>
  <c r="AA52" i="22"/>
  <c r="M26" i="490"/>
  <c r="AO66" i="23"/>
  <c r="B66" i="23"/>
  <c r="N26" i="135" s="1"/>
  <c r="AB66" i="23"/>
  <c r="AB53" i="22"/>
  <c r="P53" i="22" s="1"/>
  <c r="AN53" i="22"/>
  <c r="AT53" i="22" s="1"/>
  <c r="BF53" i="22" s="1"/>
  <c r="B53" i="22"/>
  <c r="M13" i="135" s="1"/>
  <c r="AA53" i="22"/>
  <c r="M25" i="490"/>
  <c r="AO65" i="23"/>
  <c r="B65" i="23"/>
  <c r="N25" i="135" s="1"/>
  <c r="AB65" i="23"/>
  <c r="M8" i="490"/>
  <c r="AO48" i="23"/>
  <c r="B48" i="23"/>
  <c r="N8" i="135" s="1"/>
  <c r="AB48" i="23"/>
  <c r="AQ48" i="23" s="1"/>
  <c r="AC48" i="23"/>
  <c r="AR48" i="23" s="1"/>
  <c r="J19" i="490"/>
  <c r="AO59" i="20"/>
  <c r="B59" i="20"/>
  <c r="J19" i="135" s="1"/>
  <c r="AB59" i="20"/>
  <c r="AQ59" i="20" s="1"/>
  <c r="AC59" i="20"/>
  <c r="M19" i="490"/>
  <c r="AO59" i="23"/>
  <c r="B59" i="23"/>
  <c r="N19" i="135" s="1"/>
  <c r="AC59" i="23"/>
  <c r="AR59" i="23" s="1"/>
  <c r="AB59" i="23"/>
  <c r="AQ59" i="23" s="1"/>
  <c r="AN46" i="22"/>
  <c r="B46" i="22"/>
  <c r="M6" i="135" s="1"/>
  <c r="AB46" i="22"/>
  <c r="P46" i="22" s="1"/>
  <c r="AA46" i="22"/>
  <c r="J10" i="490"/>
  <c r="AO50" i="20"/>
  <c r="B50" i="20"/>
  <c r="J10" i="135" s="1"/>
  <c r="AC50" i="20"/>
  <c r="Q50" i="20" s="1"/>
  <c r="AB50" i="20"/>
  <c r="AQ50" i="20" s="1"/>
  <c r="AB45" i="20"/>
  <c r="AQ45" i="20" s="1"/>
  <c r="AC45" i="20"/>
  <c r="Q45" i="20" s="1"/>
  <c r="J5" i="490"/>
  <c r="AO45" i="20"/>
  <c r="B45" i="20"/>
  <c r="J5" i="135" s="1"/>
  <c r="J54" i="22"/>
  <c r="J20" i="490"/>
  <c r="AO60" i="20"/>
  <c r="B60" i="20"/>
  <c r="J20" i="135" s="1"/>
  <c r="AB60" i="20"/>
  <c r="AQ60" i="20" s="1"/>
  <c r="AC60" i="20"/>
  <c r="AR60" i="20" s="1"/>
  <c r="AN47" i="22"/>
  <c r="AT47" i="22" s="1"/>
  <c r="BF47" i="22" s="1"/>
  <c r="B47" i="22"/>
  <c r="M7" i="135" s="1"/>
  <c r="AB47" i="22"/>
  <c r="P47" i="22" s="1"/>
  <c r="AA47" i="22"/>
  <c r="AN44" i="22"/>
  <c r="B44" i="22"/>
  <c r="M4" i="135" s="1"/>
  <c r="AA44" i="22"/>
  <c r="AB44" i="22"/>
  <c r="M24" i="490"/>
  <c r="AO64" i="23"/>
  <c r="B64" i="23"/>
  <c r="N24" i="135" s="1"/>
  <c r="AB64" i="23"/>
  <c r="AB62" i="22"/>
  <c r="AO62" i="22" s="1"/>
  <c r="AN62" i="22"/>
  <c r="B62" i="22"/>
  <c r="M22" i="135" s="1"/>
  <c r="AA62" i="22"/>
  <c r="J26" i="490"/>
  <c r="AO66" i="20"/>
  <c r="B66" i="20"/>
  <c r="J26" i="135" s="1"/>
  <c r="AC66" i="20"/>
  <c r="AB66" i="20"/>
  <c r="AQ66" i="20" s="1"/>
  <c r="M18" i="490"/>
  <c r="AO58" i="23"/>
  <c r="B58" i="23"/>
  <c r="N18" i="135" s="1"/>
  <c r="AB58" i="23"/>
  <c r="AQ58" i="23" s="1"/>
  <c r="AC58" i="23"/>
  <c r="AN45" i="22"/>
  <c r="AT45" i="22" s="1"/>
  <c r="BF45" i="22" s="1"/>
  <c r="B45" i="22"/>
  <c r="M5" i="135" s="1"/>
  <c r="AB45" i="22"/>
  <c r="AO45" i="22" s="1"/>
  <c r="AA45" i="22"/>
  <c r="J21" i="490"/>
  <c r="AO61" i="20"/>
  <c r="B61" i="20"/>
  <c r="J21" i="135" s="1"/>
  <c r="AB61" i="20"/>
  <c r="AQ61" i="20" s="1"/>
  <c r="AC61" i="20"/>
  <c r="Q61" i="20" s="1"/>
  <c r="M17" i="490"/>
  <c r="AO57" i="23"/>
  <c r="B57" i="23"/>
  <c r="N17" i="135" s="1"/>
  <c r="AC57" i="23"/>
  <c r="AR57" i="23" s="1"/>
  <c r="AB57" i="23"/>
  <c r="AQ57" i="23" s="1"/>
  <c r="AB63" i="22"/>
  <c r="AN63" i="22"/>
  <c r="AT63" i="22" s="1"/>
  <c r="BF63" i="22" s="1"/>
  <c r="B63" i="22"/>
  <c r="M23" i="135" s="1"/>
  <c r="AA63" i="22"/>
  <c r="AC51" i="20"/>
  <c r="Q51" i="20" s="1"/>
  <c r="J11" i="490"/>
  <c r="AO51" i="20"/>
  <c r="B51" i="20"/>
  <c r="J11" i="135" s="1"/>
  <c r="AB51" i="20"/>
  <c r="AQ51" i="20" s="1"/>
  <c r="M11" i="490"/>
  <c r="AO51" i="23"/>
  <c r="B51" i="23"/>
  <c r="N11" i="135" s="1"/>
  <c r="AC51" i="23"/>
  <c r="AR51" i="23" s="1"/>
  <c r="AB51" i="23"/>
  <c r="AQ51" i="23" s="1"/>
  <c r="Q46" i="20"/>
  <c r="Q54" i="21"/>
  <c r="Q46" i="21"/>
  <c r="J82" i="22"/>
  <c r="J80" i="22"/>
  <c r="P57" i="25"/>
  <c r="P49" i="25"/>
  <c r="P64" i="25"/>
  <c r="P64" i="27"/>
  <c r="AQ64" i="27"/>
  <c r="P60" i="27"/>
  <c r="AQ60" i="27"/>
  <c r="AR60" i="27" s="1"/>
  <c r="P56" i="27"/>
  <c r="AQ56" i="27"/>
  <c r="AR56" i="27" s="1"/>
  <c r="P52" i="27"/>
  <c r="AQ52" i="27"/>
  <c r="P48" i="27"/>
  <c r="AQ48" i="27"/>
  <c r="P44" i="27"/>
  <c r="AQ44" i="27"/>
  <c r="AR44" i="27" s="1"/>
  <c r="Q79" i="63"/>
  <c r="AT79" i="63"/>
  <c r="AU79" i="63" s="1"/>
  <c r="H80" i="63"/>
  <c r="X88" i="24"/>
  <c r="O48" i="195"/>
  <c r="X80" i="24"/>
  <c r="O40" i="195"/>
  <c r="I48" i="105"/>
  <c r="AO48" i="105"/>
  <c r="J48" i="105"/>
  <c r="AV85" i="27"/>
  <c r="BG85" i="27" s="1"/>
  <c r="AV55" i="27"/>
  <c r="BG55" i="27" s="1"/>
  <c r="AR55" i="27"/>
  <c r="AB56" i="22"/>
  <c r="AN56" i="22"/>
  <c r="B56" i="22"/>
  <c r="M16" i="135" s="1"/>
  <c r="AW73" i="20"/>
  <c r="BJ73" i="20" s="1"/>
  <c r="J16" i="490"/>
  <c r="AO56" i="20"/>
  <c r="B56" i="20"/>
  <c r="J16" i="135" s="1"/>
  <c r="AX71" i="104"/>
  <c r="X31" i="195"/>
  <c r="AR71" i="104"/>
  <c r="AY71" i="23"/>
  <c r="AX71" i="23" s="1"/>
  <c r="BK71" i="23" s="1"/>
  <c r="N31" i="195"/>
  <c r="Q86" i="20"/>
  <c r="AR86" i="20"/>
  <c r="AY85" i="63"/>
  <c r="BK85" i="63" s="1"/>
  <c r="AY66" i="63"/>
  <c r="BK66" i="63" s="1"/>
  <c r="AY58" i="63"/>
  <c r="BK58" i="63" s="1"/>
  <c r="AV54" i="27"/>
  <c r="BG54" i="27" s="1"/>
  <c r="AY82" i="63"/>
  <c r="BK82" i="63" s="1"/>
  <c r="AU82" i="63"/>
  <c r="AY50" i="63"/>
  <c r="BK50" i="63" s="1"/>
  <c r="AU76" i="105"/>
  <c r="AW89" i="20"/>
  <c r="BJ89" i="20" s="1"/>
  <c r="AY74" i="63"/>
  <c r="BK74" i="63" s="1"/>
  <c r="P87" i="27"/>
  <c r="AQ87" i="27"/>
  <c r="AV79" i="27"/>
  <c r="BG79" i="27" s="1"/>
  <c r="AV57" i="27"/>
  <c r="BG57" i="27" s="1"/>
  <c r="AR57" i="27"/>
  <c r="AR69" i="20"/>
  <c r="AS69" i="20" s="1"/>
  <c r="Z69" i="20"/>
  <c r="AP69" i="20" s="1"/>
  <c r="J22" i="490"/>
  <c r="AO62" i="20"/>
  <c r="B62" i="20"/>
  <c r="J22" i="135" s="1"/>
  <c r="AW85" i="19"/>
  <c r="BG85" i="19" s="1"/>
  <c r="AW89" i="51"/>
  <c r="Q88" i="20"/>
  <c r="AR88" i="20"/>
  <c r="AW80" i="20"/>
  <c r="BJ80" i="20" s="1"/>
  <c r="T123" i="22"/>
  <c r="X123" i="22" s="1"/>
  <c r="AB123" i="22" s="1"/>
  <c r="R123" i="22"/>
  <c r="V123" i="22" s="1"/>
  <c r="Z123" i="22" s="1"/>
  <c r="M82" i="639" s="1"/>
  <c r="S123" i="22"/>
  <c r="W123" i="22" s="1"/>
  <c r="AA123" i="22" s="1"/>
  <c r="M7" i="639" s="1"/>
  <c r="Q123" i="22"/>
  <c r="AV86" i="27"/>
  <c r="BG86" i="27" s="1"/>
  <c r="AY84" i="23"/>
  <c r="AZ84" i="23" s="1"/>
  <c r="N44" i="195"/>
  <c r="AS84" i="23"/>
  <c r="M22" i="490"/>
  <c r="AO62" i="23"/>
  <c r="B62" i="23"/>
  <c r="N22" i="135" s="1"/>
  <c r="M6" i="490"/>
  <c r="AO46" i="23"/>
  <c r="B46" i="23"/>
  <c r="N6" i="135" s="1"/>
  <c r="AP71" i="22"/>
  <c r="M31" i="195"/>
  <c r="AV71" i="22"/>
  <c r="AW71" i="22" s="1"/>
  <c r="AB57" i="22"/>
  <c r="AN57" i="22"/>
  <c r="AT57" i="22" s="1"/>
  <c r="BF57" i="22" s="1"/>
  <c r="B57" i="22"/>
  <c r="M17" i="135" s="1"/>
  <c r="P139" i="104"/>
  <c r="AY75" i="63"/>
  <c r="BK75" i="63" s="1"/>
  <c r="I35" i="195"/>
  <c r="AY75" i="19"/>
  <c r="AX75" i="19" s="1"/>
  <c r="BH75" i="19" s="1"/>
  <c r="I22" i="195"/>
  <c r="AY62" i="19"/>
  <c r="AX62" i="19" s="1"/>
  <c r="BH62" i="19" s="1"/>
  <c r="I14" i="195"/>
  <c r="AY54" i="19"/>
  <c r="AX54" i="19" s="1"/>
  <c r="BH54" i="19" s="1"/>
  <c r="I6" i="195"/>
  <c r="AY46" i="19"/>
  <c r="AV74" i="18"/>
  <c r="AZ74" i="18"/>
  <c r="BN74" i="18" s="1"/>
  <c r="AU63" i="18"/>
  <c r="AV63" i="18" s="1"/>
  <c r="AC63" i="18"/>
  <c r="AS63" i="18" s="1"/>
  <c r="AZ56" i="18"/>
  <c r="BN56" i="18" s="1"/>
  <c r="AZ84" i="18"/>
  <c r="BN84" i="18" s="1"/>
  <c r="AW77" i="19"/>
  <c r="BG77" i="19" s="1"/>
  <c r="AS77" i="19"/>
  <c r="AW65" i="19"/>
  <c r="BG65" i="19" s="1"/>
  <c r="AS65" i="19"/>
  <c r="AW57" i="19"/>
  <c r="BG57" i="19" s="1"/>
  <c r="AS57" i="19"/>
  <c r="AW49" i="19"/>
  <c r="BG49" i="19" s="1"/>
  <c r="AS49" i="19"/>
  <c r="AV72" i="18"/>
  <c r="AZ72" i="18"/>
  <c r="BN72" i="18" s="1"/>
  <c r="E14" i="195"/>
  <c r="BB54" i="18"/>
  <c r="BA54" i="18" s="1"/>
  <c r="BO54" i="18" s="1"/>
  <c r="D47" i="195"/>
  <c r="AY87" i="51"/>
  <c r="AX87" i="51" s="1"/>
  <c r="BH87" i="51" s="1"/>
  <c r="AU53" i="18"/>
  <c r="AV53" i="18" s="1"/>
  <c r="AC53" i="18"/>
  <c r="AS53" i="18" s="1"/>
  <c r="I31" i="195"/>
  <c r="AY71" i="19"/>
  <c r="AX71" i="19" s="1"/>
  <c r="BH71" i="19" s="1"/>
  <c r="I24" i="195"/>
  <c r="AY64" i="19"/>
  <c r="AX64" i="19" s="1"/>
  <c r="BH64" i="19" s="1"/>
  <c r="I16" i="195"/>
  <c r="AY56" i="19"/>
  <c r="I8" i="195"/>
  <c r="AY48" i="19"/>
  <c r="AX48" i="19" s="1"/>
  <c r="BH48" i="19" s="1"/>
  <c r="E25" i="195"/>
  <c r="BB65" i="18"/>
  <c r="AZ52" i="18"/>
  <c r="BN52" i="18" s="1"/>
  <c r="AZ50" i="18"/>
  <c r="BN50" i="18" s="1"/>
  <c r="I38" i="195"/>
  <c r="AY78" i="19"/>
  <c r="AX78" i="19" s="1"/>
  <c r="BH78" i="19" s="1"/>
  <c r="E35" i="195"/>
  <c r="BB75" i="18"/>
  <c r="AV81" i="18"/>
  <c r="AZ81" i="18"/>
  <c r="BN81" i="18" s="1"/>
  <c r="D27" i="193"/>
  <c r="D26" i="490" s="1"/>
  <c r="AW66" i="51"/>
  <c r="BG66" i="51" s="1"/>
  <c r="B66" i="51"/>
  <c r="D26" i="135" s="1"/>
  <c r="AB66" i="51"/>
  <c r="AR66" i="51" s="1"/>
  <c r="AS66" i="51" s="1"/>
  <c r="AC62" i="18"/>
  <c r="AS62" i="18" s="1"/>
  <c r="BA73" i="103"/>
  <c r="AZ73" i="103" s="1"/>
  <c r="BP73" i="103" s="1"/>
  <c r="AX76" i="104"/>
  <c r="X36" i="195"/>
  <c r="AR76" i="104"/>
  <c r="AO46" i="105"/>
  <c r="I46" i="105"/>
  <c r="J46" i="105"/>
  <c r="AW76" i="23"/>
  <c r="BJ76" i="23" s="1"/>
  <c r="M21" i="490"/>
  <c r="AO61" i="23"/>
  <c r="N21" i="195" s="1"/>
  <c r="B61" i="23"/>
  <c r="N21" i="135" s="1"/>
  <c r="M5" i="490"/>
  <c r="AO45" i="23"/>
  <c r="N5" i="195" s="1"/>
  <c r="B45" i="23"/>
  <c r="N5" i="135" s="1"/>
  <c r="AP73" i="22"/>
  <c r="M33" i="195"/>
  <c r="AV73" i="22"/>
  <c r="AW73" i="22" s="1"/>
  <c r="AR83" i="19"/>
  <c r="AS83" i="19" s="1"/>
  <c r="AY88" i="63"/>
  <c r="BK88" i="63" s="1"/>
  <c r="AU88" i="63"/>
  <c r="P139" i="103"/>
  <c r="AW53" i="105"/>
  <c r="AV70" i="27"/>
  <c r="BG70" i="27" s="1"/>
  <c r="AR70" i="20"/>
  <c r="AS70" i="20" s="1"/>
  <c r="Z70" i="20"/>
  <c r="AP70" i="20" s="1"/>
  <c r="AX88" i="27"/>
  <c r="S48" i="195"/>
  <c r="AV80" i="27"/>
  <c r="BG80" i="27" s="1"/>
  <c r="AY88" i="23"/>
  <c r="AZ88" i="23" s="1"/>
  <c r="N48" i="195"/>
  <c r="AS88" i="23"/>
  <c r="M20" i="490"/>
  <c r="AO60" i="23"/>
  <c r="B60" i="23"/>
  <c r="N20" i="135" s="1"/>
  <c r="M4" i="490"/>
  <c r="AO44" i="23"/>
  <c r="B44" i="23"/>
  <c r="N4" i="135" s="1"/>
  <c r="AB51" i="22"/>
  <c r="AN51" i="22"/>
  <c r="AT51" i="22" s="1"/>
  <c r="BF51" i="22" s="1"/>
  <c r="B51" i="22"/>
  <c r="M11" i="135" s="1"/>
  <c r="J23" i="490"/>
  <c r="AO63" i="20"/>
  <c r="B63" i="20"/>
  <c r="J23" i="135" s="1"/>
  <c r="AW82" i="19"/>
  <c r="BG82" i="19" s="1"/>
  <c r="AU63" i="105"/>
  <c r="AW73" i="23"/>
  <c r="BJ73" i="23" s="1"/>
  <c r="AY79" i="63"/>
  <c r="BK79" i="63" s="1"/>
  <c r="AU62" i="105"/>
  <c r="AV45" i="27"/>
  <c r="BG45" i="27" s="1"/>
  <c r="AR45" i="27"/>
  <c r="M15" i="490"/>
  <c r="AO55" i="23"/>
  <c r="B55" i="23"/>
  <c r="N15" i="135" s="1"/>
  <c r="AP69" i="22"/>
  <c r="M29" i="195"/>
  <c r="AV69" i="22"/>
  <c r="AW69" i="22" s="1"/>
  <c r="AB50" i="22"/>
  <c r="Y50" i="22" s="1"/>
  <c r="AN50" i="22"/>
  <c r="B50" i="22"/>
  <c r="M10" i="135" s="1"/>
  <c r="AY81" i="63"/>
  <c r="BK81" i="63" s="1"/>
  <c r="AY68" i="63"/>
  <c r="BK68" i="63" s="1"/>
  <c r="AY60" i="63"/>
  <c r="BK60" i="63" s="1"/>
  <c r="AY79" i="51"/>
  <c r="AV78" i="27"/>
  <c r="BG78" i="27" s="1"/>
  <c r="AQ68" i="27"/>
  <c r="Y68" i="27"/>
  <c r="AO68" i="27" s="1"/>
  <c r="AV60" i="27"/>
  <c r="BG60" i="27" s="1"/>
  <c r="AW71" i="20"/>
  <c r="BJ71" i="20" s="1"/>
  <c r="AC57" i="20"/>
  <c r="Z57" i="20" s="1"/>
  <c r="AP57" i="20" s="1"/>
  <c r="J17" i="490"/>
  <c r="AO57" i="20"/>
  <c r="B57" i="20"/>
  <c r="J17" i="135" s="1"/>
  <c r="Q84" i="19"/>
  <c r="AR84" i="19"/>
  <c r="AS84" i="19" s="1"/>
  <c r="AY81" i="104"/>
  <c r="AV73" i="27"/>
  <c r="BG73" i="27" s="1"/>
  <c r="Q87" i="20"/>
  <c r="AR87" i="20"/>
  <c r="AW79" i="20"/>
  <c r="BJ79" i="20" s="1"/>
  <c r="J28" i="490"/>
  <c r="AO68" i="20"/>
  <c r="B68" i="20"/>
  <c r="J28" i="135" s="1"/>
  <c r="AC68" i="20"/>
  <c r="D32" i="193"/>
  <c r="D31" i="490" s="1"/>
  <c r="B71" i="51"/>
  <c r="D31" i="135" s="1"/>
  <c r="AV87" i="18"/>
  <c r="AZ87" i="18"/>
  <c r="BN87" i="18" s="1"/>
  <c r="AW56" i="51"/>
  <c r="BG56" i="51" s="1"/>
  <c r="E38" i="195"/>
  <c r="BB78" i="18"/>
  <c r="AC60" i="18"/>
  <c r="AS60" i="18" s="1"/>
  <c r="AU60" i="18"/>
  <c r="AV60" i="18" s="1"/>
  <c r="AZ51" i="18"/>
  <c r="BN51" i="18" s="1"/>
  <c r="Z49" i="51"/>
  <c r="AP49" i="51" s="1"/>
  <c r="AW73" i="19"/>
  <c r="BG73" i="19" s="1"/>
  <c r="AS73" i="19"/>
  <c r="AW63" i="19"/>
  <c r="BG63" i="19" s="1"/>
  <c r="AS63" i="19"/>
  <c r="AW55" i="19"/>
  <c r="BG55" i="19" s="1"/>
  <c r="AS55" i="19"/>
  <c r="AW47" i="19"/>
  <c r="BG47" i="19" s="1"/>
  <c r="AS47" i="19"/>
  <c r="AU58" i="18"/>
  <c r="AV58" i="18" s="1"/>
  <c r="AC58" i="18"/>
  <c r="AS58" i="18" s="1"/>
  <c r="D30" i="193"/>
  <c r="D29" i="490" s="1"/>
  <c r="D29" i="195"/>
  <c r="B69" i="51"/>
  <c r="D29" i="135" s="1"/>
  <c r="Z50" i="51"/>
  <c r="AP50" i="51" s="1"/>
  <c r="E22" i="195"/>
  <c r="BB62" i="18"/>
  <c r="J16" i="195"/>
  <c r="AY56" i="20"/>
  <c r="F11" i="195"/>
  <c r="BA51" i="63"/>
  <c r="H82" i="19"/>
  <c r="AY45" i="23"/>
  <c r="AX45" i="23" s="1"/>
  <c r="BK45" i="23" s="1"/>
  <c r="H84" i="22"/>
  <c r="J78" i="23"/>
  <c r="AR78" i="23"/>
  <c r="AS78" i="23" s="1"/>
  <c r="Q44" i="23"/>
  <c r="AX63" i="27"/>
  <c r="S23" i="195"/>
  <c r="AX59" i="27"/>
  <c r="AW59" i="27" s="1"/>
  <c r="BH59" i="27" s="1"/>
  <c r="S19" i="195"/>
  <c r="AX55" i="27"/>
  <c r="S15" i="195"/>
  <c r="AX51" i="27"/>
  <c r="AW51" i="27" s="1"/>
  <c r="BH51" i="27" s="1"/>
  <c r="S11" i="195"/>
  <c r="AX47" i="27"/>
  <c r="S7" i="195"/>
  <c r="Q83" i="63"/>
  <c r="AT83" i="63"/>
  <c r="AU83" i="63" s="1"/>
  <c r="X86" i="24"/>
  <c r="O46" i="195"/>
  <c r="BG48" i="101"/>
  <c r="AY89" i="102"/>
  <c r="I45" i="105"/>
  <c r="AO45" i="105"/>
  <c r="J45" i="105"/>
  <c r="P85" i="27"/>
  <c r="AQ85" i="27"/>
  <c r="AR85" i="27" s="1"/>
  <c r="AV63" i="27"/>
  <c r="AR63" i="27"/>
  <c r="AY89" i="23"/>
  <c r="AZ89" i="23" s="1"/>
  <c r="N49" i="195"/>
  <c r="AS89" i="23"/>
  <c r="AW87" i="19"/>
  <c r="BG87" i="19" s="1"/>
  <c r="AY77" i="63"/>
  <c r="BK77" i="63" s="1"/>
  <c r="AY47" i="63"/>
  <c r="BK47" i="63" s="1"/>
  <c r="AU78" i="105"/>
  <c r="AP70" i="22"/>
  <c r="AT70" i="22"/>
  <c r="BF70" i="22" s="1"/>
  <c r="AV62" i="27"/>
  <c r="BG62" i="27" s="1"/>
  <c r="F42" i="195"/>
  <c r="BA82" i="63"/>
  <c r="AY82" i="104"/>
  <c r="Q89" i="20"/>
  <c r="AR89" i="20"/>
  <c r="AS89" i="20" s="1"/>
  <c r="AW81" i="20"/>
  <c r="BJ81" i="20" s="1"/>
  <c r="P79" i="27"/>
  <c r="AQ79" i="27"/>
  <c r="AV74" i="27"/>
  <c r="BG74" i="27" s="1"/>
  <c r="AV65" i="27"/>
  <c r="BG65" i="27" s="1"/>
  <c r="AR65" i="27"/>
  <c r="AW69" i="20"/>
  <c r="BJ69" i="20" s="1"/>
  <c r="AU85" i="105"/>
  <c r="BB56" i="103"/>
  <c r="AT74" i="22"/>
  <c r="BF74" i="22" s="1"/>
  <c r="AP74" i="22"/>
  <c r="Q80" i="20"/>
  <c r="AR80" i="20"/>
  <c r="P86" i="27"/>
  <c r="AQ86" i="27"/>
  <c r="AR48" i="27"/>
  <c r="AV48" i="27"/>
  <c r="BG48" i="27" s="1"/>
  <c r="AW72" i="23"/>
  <c r="BJ72" i="23" s="1"/>
  <c r="AT68" i="22"/>
  <c r="BF68" i="22" s="1"/>
  <c r="AP68" i="22"/>
  <c r="AW88" i="19"/>
  <c r="BG88" i="19" s="1"/>
  <c r="AY89" i="63"/>
  <c r="BK89" i="63" s="1"/>
  <c r="AU67" i="105"/>
  <c r="AW75" i="19"/>
  <c r="BG75" i="19" s="1"/>
  <c r="AS75" i="19"/>
  <c r="AS62" i="19"/>
  <c r="AW62" i="19"/>
  <c r="BG62" i="19" s="1"/>
  <c r="AS54" i="19"/>
  <c r="AW54" i="19"/>
  <c r="AS46" i="19"/>
  <c r="AW46" i="19"/>
  <c r="D28" i="193"/>
  <c r="D27" i="490" s="1"/>
  <c r="B67" i="51"/>
  <c r="D27" i="135" s="1"/>
  <c r="AB67" i="51"/>
  <c r="AR67" i="51" s="1"/>
  <c r="AS67" i="51" s="1"/>
  <c r="E40" i="195"/>
  <c r="BB80" i="18"/>
  <c r="AZ55" i="18"/>
  <c r="BN55" i="18" s="1"/>
  <c r="I29" i="195"/>
  <c r="AY69" i="19"/>
  <c r="I21" i="195"/>
  <c r="AY61" i="19"/>
  <c r="AX61" i="19" s="1"/>
  <c r="BH61" i="19" s="1"/>
  <c r="I13" i="195"/>
  <c r="AY53" i="19"/>
  <c r="AX53" i="19" s="1"/>
  <c r="BH53" i="19" s="1"/>
  <c r="I5" i="195"/>
  <c r="AY45" i="19"/>
  <c r="AX45" i="19" s="1"/>
  <c r="BH45" i="19" s="1"/>
  <c r="AV54" i="18"/>
  <c r="AZ54" i="18"/>
  <c r="BN54" i="18" s="1"/>
  <c r="E31" i="195"/>
  <c r="BB71" i="18"/>
  <c r="BA71" i="18" s="1"/>
  <c r="BO71" i="18" s="1"/>
  <c r="AV83" i="18"/>
  <c r="AZ83" i="18"/>
  <c r="BN83" i="18" s="1"/>
  <c r="AZ53" i="18"/>
  <c r="BN53" i="18" s="1"/>
  <c r="AS71" i="19"/>
  <c r="AW71" i="19"/>
  <c r="AS64" i="19"/>
  <c r="AW64" i="19"/>
  <c r="BG64" i="19" s="1"/>
  <c r="AS56" i="19"/>
  <c r="AW56" i="19"/>
  <c r="AS48" i="19"/>
  <c r="AW48" i="19"/>
  <c r="BG48" i="19" s="1"/>
  <c r="D48" i="195"/>
  <c r="D37" i="193"/>
  <c r="D36" i="490" s="1"/>
  <c r="AW76" i="51"/>
  <c r="BG76" i="51" s="1"/>
  <c r="B76" i="51"/>
  <c r="D36" i="135" s="1"/>
  <c r="AW55" i="51"/>
  <c r="BG55" i="51" s="1"/>
  <c r="D49" i="195"/>
  <c r="AU59" i="18"/>
  <c r="AV59" i="18" s="1"/>
  <c r="AC59" i="18"/>
  <c r="AS59" i="18" s="1"/>
  <c r="AZ89" i="18"/>
  <c r="BN89" i="18" s="1"/>
  <c r="AV89" i="18"/>
  <c r="AS78" i="19"/>
  <c r="AW78" i="19"/>
  <c r="BG78" i="19" s="1"/>
  <c r="AV75" i="18"/>
  <c r="AZ75" i="18"/>
  <c r="BN75" i="18" s="1"/>
  <c r="AW83" i="51"/>
  <c r="BG83" i="51" s="1"/>
  <c r="AC64" i="18"/>
  <c r="AS64" i="18" s="1"/>
  <c r="AU64" i="18"/>
  <c r="AV64" i="18" s="1"/>
  <c r="AZ57" i="18"/>
  <c r="BN57" i="18" s="1"/>
  <c r="D14" i="193"/>
  <c r="D13" i="490" s="1"/>
  <c r="B53" i="51"/>
  <c r="D13" i="135" s="1"/>
  <c r="AB53" i="51"/>
  <c r="D38" i="195"/>
  <c r="Z46" i="51"/>
  <c r="AP46" i="51" s="1"/>
  <c r="K44" i="24"/>
  <c r="Q4" i="194"/>
  <c r="J56" i="20"/>
  <c r="AY64" i="20"/>
  <c r="H86" i="22"/>
  <c r="AY61" i="23"/>
  <c r="AX61" i="23" s="1"/>
  <c r="BK61" i="23" s="1"/>
  <c r="P73" i="27"/>
  <c r="AQ73" i="27"/>
  <c r="AR73" i="27" s="1"/>
  <c r="Q81" i="63"/>
  <c r="AT81" i="63"/>
  <c r="AU81" i="63" s="1"/>
  <c r="X87" i="24"/>
  <c r="O47" i="195"/>
  <c r="AY77" i="51"/>
  <c r="AX77" i="51" s="1"/>
  <c r="BH77" i="51" s="1"/>
  <c r="Q56" i="20"/>
  <c r="H86" i="21"/>
  <c r="Q66" i="21"/>
  <c r="P56" i="25"/>
  <c r="P48" i="25"/>
  <c r="J85" i="26"/>
  <c r="P71" i="27"/>
  <c r="AQ71" i="27"/>
  <c r="AR71" i="27" s="1"/>
  <c r="Q85" i="63"/>
  <c r="AT85" i="63"/>
  <c r="Q74" i="20"/>
  <c r="AR74" i="20"/>
  <c r="AS74" i="20" s="1"/>
  <c r="X85" i="24"/>
  <c r="O45" i="195"/>
  <c r="AW88" i="27"/>
  <c r="BH88" i="27" s="1"/>
  <c r="AW63" i="27"/>
  <c r="BH63" i="27" s="1"/>
  <c r="AW55" i="27"/>
  <c r="BH55" i="27" s="1"/>
  <c r="AW47" i="27"/>
  <c r="BH47" i="27" s="1"/>
  <c r="BG50" i="101"/>
  <c r="BG89" i="101"/>
  <c r="BG47" i="101"/>
  <c r="AY88" i="102"/>
  <c r="I47" i="105"/>
  <c r="AO47" i="105"/>
  <c r="J47" i="105"/>
  <c r="AV89" i="27"/>
  <c r="BG89" i="27" s="1"/>
  <c r="AV51" i="27"/>
  <c r="BG51" i="27" s="1"/>
  <c r="AR51" i="27"/>
  <c r="AP76" i="22"/>
  <c r="AT76" i="22"/>
  <c r="BF76" i="22" s="1"/>
  <c r="F48" i="195"/>
  <c r="BA88" i="63"/>
  <c r="AW82" i="20"/>
  <c r="BJ82" i="20" s="1"/>
  <c r="AW70" i="20"/>
  <c r="BJ70" i="20" s="1"/>
  <c r="AX69" i="104"/>
  <c r="X29" i="195"/>
  <c r="AR69" i="104"/>
  <c r="P80" i="27"/>
  <c r="AQ80" i="27"/>
  <c r="AR80" i="27" s="1"/>
  <c r="AV50" i="27"/>
  <c r="BG50" i="27" s="1"/>
  <c r="AY80" i="23"/>
  <c r="AZ80" i="23" s="1"/>
  <c r="N40" i="195"/>
  <c r="AS80" i="23"/>
  <c r="Q82" i="19"/>
  <c r="AR82" i="19"/>
  <c r="AV76" i="18"/>
  <c r="AZ76" i="18"/>
  <c r="AW56" i="105"/>
  <c r="AP75" i="22"/>
  <c r="M35" i="195"/>
  <c r="AV75" i="22"/>
  <c r="AW75" i="22" s="1"/>
  <c r="AY65" i="63"/>
  <c r="BK65" i="63" s="1"/>
  <c r="AY57" i="63"/>
  <c r="BK57" i="63" s="1"/>
  <c r="AZ77" i="18"/>
  <c r="AV77" i="18"/>
  <c r="AV83" i="27"/>
  <c r="BG83" i="27" s="1"/>
  <c r="AV53" i="27"/>
  <c r="BG53" i="27" s="1"/>
  <c r="AR53" i="27"/>
  <c r="AW75" i="23"/>
  <c r="BJ75" i="23" s="1"/>
  <c r="AW89" i="19"/>
  <c r="BG89" i="19" s="1"/>
  <c r="AY84" i="63"/>
  <c r="BK84" i="63" s="1"/>
  <c r="AY49" i="63"/>
  <c r="BK49" i="63" s="1"/>
  <c r="BB53" i="103"/>
  <c r="AW84" i="20"/>
  <c r="BJ84" i="20" s="1"/>
  <c r="AW59" i="105"/>
  <c r="AU83" i="105"/>
  <c r="AR68" i="27"/>
  <c r="AV68" i="27"/>
  <c r="BG68" i="27" s="1"/>
  <c r="AY73" i="63"/>
  <c r="BK73" i="63" s="1"/>
  <c r="AY48" i="63"/>
  <c r="BK48" i="63" s="1"/>
  <c r="Q79" i="20"/>
  <c r="AR79" i="20"/>
  <c r="AY70" i="63"/>
  <c r="BK70" i="63" s="1"/>
  <c r="AY63" i="63"/>
  <c r="BK63" i="63" s="1"/>
  <c r="AY55" i="63"/>
  <c r="BK55" i="63" s="1"/>
  <c r="AZ63" i="18"/>
  <c r="BN63" i="18" s="1"/>
  <c r="D44" i="195"/>
  <c r="E28" i="195"/>
  <c r="BB68" i="18"/>
  <c r="AW87" i="51"/>
  <c r="BG87" i="51" s="1"/>
  <c r="AU61" i="18"/>
  <c r="AV61" i="18" s="1"/>
  <c r="AC61" i="18"/>
  <c r="AS61" i="18" s="1"/>
  <c r="AV78" i="18"/>
  <c r="AZ78" i="18"/>
  <c r="BN78" i="18" s="1"/>
  <c r="AZ60" i="18"/>
  <c r="BN60" i="18" s="1"/>
  <c r="AA76" i="51"/>
  <c r="E46" i="195"/>
  <c r="BB86" i="18"/>
  <c r="BA86" i="18" s="1"/>
  <c r="BO86" i="18" s="1"/>
  <c r="AZ82" i="18"/>
  <c r="BN82" i="18" s="1"/>
  <c r="D31" i="193"/>
  <c r="D30" i="490" s="1"/>
  <c r="AW70" i="51"/>
  <c r="BG70" i="51" s="1"/>
  <c r="B70" i="51"/>
  <c r="D30" i="135" s="1"/>
  <c r="AW49" i="51"/>
  <c r="BG49" i="51" s="1"/>
  <c r="I27" i="195"/>
  <c r="AY67" i="19"/>
  <c r="AX67" i="19" s="1"/>
  <c r="BH67" i="19" s="1"/>
  <c r="I19" i="195"/>
  <c r="AY59" i="19"/>
  <c r="AX59" i="19" s="1"/>
  <c r="BH59" i="19" s="1"/>
  <c r="I11" i="195"/>
  <c r="AY51" i="19"/>
  <c r="AX51" i="19" s="1"/>
  <c r="BH51" i="19" s="1"/>
  <c r="AZ58" i="18"/>
  <c r="BN58" i="18" s="1"/>
  <c r="AW64" i="51"/>
  <c r="BG64" i="51" s="1"/>
  <c r="AZ85" i="18"/>
  <c r="BN85" i="18" s="1"/>
  <c r="AW50" i="51"/>
  <c r="BG50" i="51" s="1"/>
  <c r="AV62" i="18"/>
  <c r="AZ62" i="18"/>
  <c r="BN62" i="18" s="1"/>
  <c r="H80" i="23"/>
  <c r="Q75" i="51"/>
  <c r="Q65" i="20"/>
  <c r="Q44" i="20"/>
  <c r="AY54" i="20"/>
  <c r="AX54" i="20" s="1"/>
  <c r="BK54" i="20" s="1"/>
  <c r="Q50" i="21"/>
  <c r="AR60" i="23"/>
  <c r="Z52" i="23"/>
  <c r="AP52" i="23" s="1"/>
  <c r="AR52" i="23"/>
  <c r="AY44" i="23"/>
  <c r="N4" i="195"/>
  <c r="P61" i="25"/>
  <c r="P53" i="25"/>
  <c r="P45" i="25"/>
  <c r="J81" i="26"/>
  <c r="J89" i="26"/>
  <c r="P70" i="27"/>
  <c r="AQ70" i="27"/>
  <c r="P62" i="27"/>
  <c r="AQ62" i="27"/>
  <c r="P58" i="27"/>
  <c r="AQ58" i="27"/>
  <c r="P54" i="27"/>
  <c r="AQ54" i="27"/>
  <c r="AR54" i="27" s="1"/>
  <c r="P50" i="27"/>
  <c r="AQ50" i="27"/>
  <c r="AR50" i="27" s="1"/>
  <c r="P46" i="27"/>
  <c r="AQ46" i="27"/>
  <c r="Q87" i="63"/>
  <c r="AT87" i="63"/>
  <c r="AU87" i="63" s="1"/>
  <c r="Q78" i="20"/>
  <c r="AR78" i="20"/>
  <c r="AS78" i="20" s="1"/>
  <c r="X84" i="24"/>
  <c r="O44" i="195"/>
  <c r="L45" i="24"/>
  <c r="Q5" i="196"/>
  <c r="BA74" i="103"/>
  <c r="AZ74" i="103" s="1"/>
  <c r="BP74" i="103" s="1"/>
  <c r="W34" i="195"/>
  <c r="AY47" i="102"/>
  <c r="AY86" i="23"/>
  <c r="AZ86" i="23" s="1"/>
  <c r="N46" i="195"/>
  <c r="AS86" i="23"/>
  <c r="AW74" i="23"/>
  <c r="BJ74" i="23" s="1"/>
  <c r="AB64" i="22"/>
  <c r="AN64" i="22"/>
  <c r="B64" i="22"/>
  <c r="M24" i="135" s="1"/>
  <c r="AN48" i="22"/>
  <c r="B48" i="22"/>
  <c r="M8" i="135" s="1"/>
  <c r="AB48" i="22"/>
  <c r="Y48" i="22" s="1"/>
  <c r="J24" i="490"/>
  <c r="AO64" i="20"/>
  <c r="J24" i="195" s="1"/>
  <c r="B64" i="20"/>
  <c r="J24" i="135" s="1"/>
  <c r="AW79" i="19"/>
  <c r="BG79" i="19" s="1"/>
  <c r="AV77" i="27"/>
  <c r="BG77" i="27" s="1"/>
  <c r="AY83" i="23"/>
  <c r="AZ83" i="23" s="1"/>
  <c r="N43" i="195"/>
  <c r="AS83" i="23"/>
  <c r="M30" i="195"/>
  <c r="AV70" i="22"/>
  <c r="AY72" i="63"/>
  <c r="BK72" i="63" s="1"/>
  <c r="AY62" i="63"/>
  <c r="BK62" i="63" s="1"/>
  <c r="AY54" i="63"/>
  <c r="BK54" i="63" s="1"/>
  <c r="AV84" i="27"/>
  <c r="BG84" i="27" s="1"/>
  <c r="AW86" i="19"/>
  <c r="BG86" i="19" s="1"/>
  <c r="AY69" i="63"/>
  <c r="BK69" i="63" s="1"/>
  <c r="AY46" i="63"/>
  <c r="BK46" i="63" s="1"/>
  <c r="AV72" i="27"/>
  <c r="BG72" i="27" s="1"/>
  <c r="Q81" i="20"/>
  <c r="AR81" i="20"/>
  <c r="AY87" i="63"/>
  <c r="BK87" i="63" s="1"/>
  <c r="AV73" i="105"/>
  <c r="AU73" i="105" s="1"/>
  <c r="Y33" i="195"/>
  <c r="J14" i="490"/>
  <c r="AO54" i="20"/>
  <c r="B54" i="20"/>
  <c r="J14" i="135" s="1"/>
  <c r="AW81" i="51"/>
  <c r="M34" i="195"/>
  <c r="AV74" i="22"/>
  <c r="AW74" i="20"/>
  <c r="BJ74" i="20" s="1"/>
  <c r="AW51" i="105"/>
  <c r="BB52" i="103"/>
  <c r="AV56" i="27"/>
  <c r="BG56" i="27" s="1"/>
  <c r="M14" i="490"/>
  <c r="AO54" i="23"/>
  <c r="B54" i="23"/>
  <c r="N14" i="135" s="1"/>
  <c r="AP77" i="22"/>
  <c r="M37" i="195"/>
  <c r="AV77" i="22"/>
  <c r="AW77" i="22" s="1"/>
  <c r="M28" i="195"/>
  <c r="AV68" i="22"/>
  <c r="AB49" i="22"/>
  <c r="AN49" i="22"/>
  <c r="AT49" i="22" s="1"/>
  <c r="BF49" i="22" s="1"/>
  <c r="B49" i="22"/>
  <c r="M9" i="135" s="1"/>
  <c r="AW80" i="19"/>
  <c r="BG80" i="19" s="1"/>
  <c r="AY81" i="23"/>
  <c r="AZ81" i="23" s="1"/>
  <c r="N41" i="195"/>
  <c r="AS81" i="23"/>
  <c r="AW83" i="20"/>
  <c r="BJ83" i="20" s="1"/>
  <c r="AY83" i="63"/>
  <c r="BK83" i="63" s="1"/>
  <c r="I26" i="195"/>
  <c r="AY66" i="19"/>
  <c r="AX66" i="19" s="1"/>
  <c r="BH66" i="19" s="1"/>
  <c r="I18" i="195"/>
  <c r="AY58" i="19"/>
  <c r="AX58" i="19" s="1"/>
  <c r="BH58" i="19" s="1"/>
  <c r="I10" i="195"/>
  <c r="AY50" i="19"/>
  <c r="AX50" i="19" s="1"/>
  <c r="BH50" i="19" s="1"/>
  <c r="Z47" i="51"/>
  <c r="AP47" i="51" s="1"/>
  <c r="D34" i="193"/>
  <c r="D33" i="490" s="1"/>
  <c r="B73" i="51"/>
  <c r="D33" i="135" s="1"/>
  <c r="AS69" i="19"/>
  <c r="AW69" i="19"/>
  <c r="BG69" i="19" s="1"/>
  <c r="AW61" i="19"/>
  <c r="BG61" i="19" s="1"/>
  <c r="AS61" i="19"/>
  <c r="AW53" i="19"/>
  <c r="BG53" i="19" s="1"/>
  <c r="AS53" i="19"/>
  <c r="AW45" i="19"/>
  <c r="BG45" i="19" s="1"/>
  <c r="AS45" i="19"/>
  <c r="I34" i="195"/>
  <c r="AY74" i="19"/>
  <c r="AX74" i="19" s="1"/>
  <c r="BH74" i="19" s="1"/>
  <c r="AV71" i="18"/>
  <c r="AZ71" i="18"/>
  <c r="BN71" i="18" s="1"/>
  <c r="E39" i="195"/>
  <c r="BB79" i="18"/>
  <c r="D38" i="193"/>
  <c r="D37" i="490" s="1"/>
  <c r="B77" i="51"/>
  <c r="D37" i="135" s="1"/>
  <c r="I28" i="195"/>
  <c r="AY68" i="19"/>
  <c r="AX68" i="19" s="1"/>
  <c r="BH68" i="19" s="1"/>
  <c r="I20" i="195"/>
  <c r="AY60" i="19"/>
  <c r="AX60" i="19" s="1"/>
  <c r="BH60" i="19" s="1"/>
  <c r="I12" i="195"/>
  <c r="AY52" i="19"/>
  <c r="AX52" i="19" s="1"/>
  <c r="BH52" i="19" s="1"/>
  <c r="I4" i="195"/>
  <c r="AY44" i="19"/>
  <c r="AX44" i="19" s="1"/>
  <c r="BH44" i="19" s="1"/>
  <c r="E27" i="195"/>
  <c r="BB67" i="18"/>
  <c r="BA67" i="18" s="1"/>
  <c r="BO67" i="18" s="1"/>
  <c r="AA71" i="51"/>
  <c r="Z44" i="51"/>
  <c r="AP44" i="51" s="1"/>
  <c r="AZ59" i="18"/>
  <c r="BN59" i="18" s="1"/>
  <c r="D46" i="195"/>
  <c r="AR67" i="20"/>
  <c r="Z67" i="20"/>
  <c r="AP67" i="20" s="1"/>
  <c r="I30" i="195"/>
  <c r="AY70" i="19"/>
  <c r="AX70" i="19" s="1"/>
  <c r="BH70" i="19" s="1"/>
  <c r="Z48" i="51"/>
  <c r="AP48" i="51" s="1"/>
  <c r="AU49" i="18"/>
  <c r="AV49" i="18" s="1"/>
  <c r="AC49" i="18"/>
  <c r="AS49" i="18" s="1"/>
  <c r="Z54" i="51"/>
  <c r="AP54" i="51" s="1"/>
  <c r="AV81" i="27"/>
  <c r="BG81" i="27" s="1"/>
  <c r="AV59" i="27"/>
  <c r="BG59" i="27" s="1"/>
  <c r="AR59" i="27"/>
  <c r="M13" i="490"/>
  <c r="AO53" i="23"/>
  <c r="B53" i="23"/>
  <c r="N13" i="135" s="1"/>
  <c r="M36" i="195"/>
  <c r="AV76" i="22"/>
  <c r="Q82" i="20"/>
  <c r="AR82" i="20"/>
  <c r="AQ66" i="27"/>
  <c r="Y66" i="27"/>
  <c r="AO66" i="27" s="1"/>
  <c r="AR58" i="27"/>
  <c r="AV58" i="27"/>
  <c r="BG58" i="27" s="1"/>
  <c r="AO68" i="23"/>
  <c r="B68" i="23"/>
  <c r="N28" i="135" s="1"/>
  <c r="M12" i="490"/>
  <c r="AO52" i="23"/>
  <c r="B52" i="23"/>
  <c r="N12" i="135" s="1"/>
  <c r="AB59" i="22"/>
  <c r="Y59" i="22" s="1"/>
  <c r="AN59" i="22"/>
  <c r="AT59" i="22" s="1"/>
  <c r="BF59" i="22" s="1"/>
  <c r="B59" i="22"/>
  <c r="M19" i="135" s="1"/>
  <c r="AW75" i="20"/>
  <c r="BJ75" i="20" s="1"/>
  <c r="AC55" i="20"/>
  <c r="Z55" i="20" s="1"/>
  <c r="AP55" i="20" s="1"/>
  <c r="J15" i="490"/>
  <c r="AO55" i="20"/>
  <c r="B55" i="20"/>
  <c r="J15" i="135" s="1"/>
  <c r="AP78" i="22"/>
  <c r="AT78" i="22"/>
  <c r="BF78" i="22" s="1"/>
  <c r="AP72" i="22"/>
  <c r="AT72" i="22"/>
  <c r="BF72" i="22" s="1"/>
  <c r="AW85" i="20"/>
  <c r="BJ85" i="20" s="1"/>
  <c r="AY76" i="63"/>
  <c r="BK76" i="63" s="1"/>
  <c r="P83" i="27"/>
  <c r="AQ83" i="27"/>
  <c r="AR83" i="27" s="1"/>
  <c r="AR76" i="27"/>
  <c r="AV76" i="27"/>
  <c r="BG76" i="27" s="1"/>
  <c r="AV61" i="27"/>
  <c r="BG61" i="27" s="1"/>
  <c r="AR61" i="27"/>
  <c r="AY82" i="23"/>
  <c r="AZ82" i="23" s="1"/>
  <c r="N42" i="195"/>
  <c r="AS82" i="23"/>
  <c r="M23" i="490"/>
  <c r="AO63" i="23"/>
  <c r="B63" i="23"/>
  <c r="N23" i="135" s="1"/>
  <c r="M7" i="490"/>
  <c r="AO47" i="23"/>
  <c r="B47" i="23"/>
  <c r="N7" i="135" s="1"/>
  <c r="AB58" i="22"/>
  <c r="J58" i="22" s="1"/>
  <c r="AN58" i="22"/>
  <c r="B58" i="22"/>
  <c r="M18" i="135" s="1"/>
  <c r="AW77" i="20"/>
  <c r="BJ77" i="20" s="1"/>
  <c r="Q89" i="19"/>
  <c r="AR89" i="19"/>
  <c r="AW81" i="19"/>
  <c r="BG81" i="19" s="1"/>
  <c r="AY87" i="23"/>
  <c r="AZ87" i="23" s="1"/>
  <c r="N47" i="195"/>
  <c r="AS87" i="23"/>
  <c r="Q84" i="20"/>
  <c r="AR84" i="20"/>
  <c r="AS84" i="20" s="1"/>
  <c r="AY78" i="63"/>
  <c r="BK78" i="63" s="1"/>
  <c r="AY64" i="63"/>
  <c r="BK64" i="63" s="1"/>
  <c r="AY56" i="63"/>
  <c r="BK56" i="63" s="1"/>
  <c r="AV82" i="27"/>
  <c r="BG82" i="27" s="1"/>
  <c r="AV44" i="27"/>
  <c r="BG44" i="27" s="1"/>
  <c r="J25" i="490"/>
  <c r="AO65" i="20"/>
  <c r="J25" i="195" s="1"/>
  <c r="B65" i="20"/>
  <c r="J25" i="135" s="1"/>
  <c r="AC49" i="20"/>
  <c r="J9" i="490"/>
  <c r="AO49" i="20"/>
  <c r="B49" i="20"/>
  <c r="J9" i="135" s="1"/>
  <c r="AV75" i="27"/>
  <c r="BG75" i="27" s="1"/>
  <c r="AW76" i="20"/>
  <c r="BJ76" i="20" s="1"/>
  <c r="E36" i="195"/>
  <c r="AC56" i="18"/>
  <c r="AS56" i="18" s="1"/>
  <c r="AU56" i="18"/>
  <c r="I32" i="195"/>
  <c r="AY72" i="19"/>
  <c r="AX72" i="19" s="1"/>
  <c r="BH72" i="19" s="1"/>
  <c r="AV80" i="18"/>
  <c r="AZ80" i="18"/>
  <c r="D17" i="195"/>
  <c r="AY57" i="51"/>
  <c r="AX57" i="51" s="1"/>
  <c r="BH57" i="51" s="1"/>
  <c r="AV68" i="18"/>
  <c r="AZ68" i="18"/>
  <c r="BN68" i="18" s="1"/>
  <c r="AZ61" i="18"/>
  <c r="BN61" i="18" s="1"/>
  <c r="D22" i="193"/>
  <c r="D21" i="490" s="1"/>
  <c r="B61" i="51"/>
  <c r="D21" i="135" s="1"/>
  <c r="AB61" i="51"/>
  <c r="AR61" i="51" s="1"/>
  <c r="AS61" i="51" s="1"/>
  <c r="E30" i="195"/>
  <c r="BB70" i="18"/>
  <c r="I36" i="195"/>
  <c r="AY76" i="19"/>
  <c r="AX76" i="19" s="1"/>
  <c r="BH76" i="19" s="1"/>
  <c r="E26" i="195"/>
  <c r="BB66" i="18"/>
  <c r="D25" i="195"/>
  <c r="AY65" i="51"/>
  <c r="AX65" i="51" s="1"/>
  <c r="BH65" i="51" s="1"/>
  <c r="AW67" i="19"/>
  <c r="AS67" i="19"/>
  <c r="AW59" i="19"/>
  <c r="BG59" i="19" s="1"/>
  <c r="AS59" i="19"/>
  <c r="AW51" i="19"/>
  <c r="BG51" i="19" s="1"/>
  <c r="AS51" i="19"/>
  <c r="D20" i="193"/>
  <c r="D19" i="490" s="1"/>
  <c r="B59" i="51"/>
  <c r="D19" i="135" s="1"/>
  <c r="AB59" i="51"/>
  <c r="AR59" i="51" s="1"/>
  <c r="AS59" i="51" s="1"/>
  <c r="D40" i="195"/>
  <c r="E41" i="195"/>
  <c r="BB81" i="18"/>
  <c r="AZ64" i="18"/>
  <c r="BN64" i="18" s="1"/>
  <c r="D23" i="195"/>
  <c r="AY63" i="51"/>
  <c r="AZ63" i="51" s="1"/>
  <c r="D35" i="193"/>
  <c r="D34" i="490" s="1"/>
  <c r="AW74" i="51"/>
  <c r="BG74" i="51" s="1"/>
  <c r="B74" i="51"/>
  <c r="D34" i="135" s="1"/>
  <c r="AY65" i="20"/>
  <c r="AX65" i="20" s="1"/>
  <c r="BK65" i="20" s="1"/>
  <c r="J74" i="23"/>
  <c r="AR74" i="23"/>
  <c r="Z54" i="23"/>
  <c r="AP54" i="23" s="1"/>
  <c r="AR54" i="23"/>
  <c r="AX65" i="27"/>
  <c r="AW65" i="27" s="1"/>
  <c r="BH65" i="27" s="1"/>
  <c r="S25" i="195"/>
  <c r="AX61" i="27"/>
  <c r="AW61" i="27" s="1"/>
  <c r="BH61" i="27" s="1"/>
  <c r="S21" i="195"/>
  <c r="AX57" i="27"/>
  <c r="S17" i="195"/>
  <c r="AX53" i="27"/>
  <c r="AW53" i="27" s="1"/>
  <c r="BH53" i="27" s="1"/>
  <c r="S13" i="195"/>
  <c r="AX49" i="27"/>
  <c r="AW49" i="27" s="1"/>
  <c r="BH49" i="27" s="1"/>
  <c r="S9" i="195"/>
  <c r="AX45" i="27"/>
  <c r="AW45" i="27" s="1"/>
  <c r="BH45" i="27" s="1"/>
  <c r="S5" i="195"/>
  <c r="P79" i="24"/>
  <c r="O39" i="195"/>
  <c r="X82" i="24"/>
  <c r="O42" i="195"/>
  <c r="AX64" i="20"/>
  <c r="BK64" i="20" s="1"/>
  <c r="AX56" i="20"/>
  <c r="BK56" i="20" s="1"/>
  <c r="AX56" i="19"/>
  <c r="BH56" i="19" s="1"/>
  <c r="BB44" i="103"/>
  <c r="BG79" i="101"/>
  <c r="AV47" i="27"/>
  <c r="AR47" i="27"/>
  <c r="AW78" i="23"/>
  <c r="BJ78" i="23" s="1"/>
  <c r="Q79" i="19"/>
  <c r="AR79" i="19"/>
  <c r="AY80" i="63"/>
  <c r="BK80" i="63" s="1"/>
  <c r="AU51" i="63"/>
  <c r="AY51" i="63"/>
  <c r="BK51" i="63" s="1"/>
  <c r="AS71" i="23"/>
  <c r="AW71" i="23"/>
  <c r="AS86" i="20"/>
  <c r="AW86" i="20"/>
  <c r="BJ86" i="20" s="1"/>
  <c r="P84" i="27"/>
  <c r="AQ84" i="27"/>
  <c r="AR46" i="27"/>
  <c r="AV46" i="27"/>
  <c r="BG46" i="27" s="1"/>
  <c r="Q86" i="19"/>
  <c r="AV69" i="18"/>
  <c r="AZ69" i="18"/>
  <c r="AW72" i="20"/>
  <c r="BJ72" i="20" s="1"/>
  <c r="AV87" i="27"/>
  <c r="BG87" i="27" s="1"/>
  <c r="AR87" i="27"/>
  <c r="AV69" i="27"/>
  <c r="BG69" i="27" s="1"/>
  <c r="AV49" i="27"/>
  <c r="BG49" i="27" s="1"/>
  <c r="AR49" i="27"/>
  <c r="AS88" i="20"/>
  <c r="AW88" i="20"/>
  <c r="BJ88" i="20" s="1"/>
  <c r="AY50" i="104"/>
  <c r="AV71" i="27"/>
  <c r="BG71" i="27" s="1"/>
  <c r="AR64" i="27"/>
  <c r="AV64" i="27"/>
  <c r="BG64" i="27" s="1"/>
  <c r="Q80" i="19"/>
  <c r="AR80" i="19"/>
  <c r="BB55" i="103"/>
  <c r="AW69" i="23"/>
  <c r="BJ69" i="23" s="1"/>
  <c r="Q83" i="20"/>
  <c r="AR83" i="20"/>
  <c r="AS83" i="20" s="1"/>
  <c r="AS66" i="19"/>
  <c r="AW66" i="19"/>
  <c r="BG66" i="19" s="1"/>
  <c r="AS58" i="19"/>
  <c r="AW58" i="19"/>
  <c r="BG58" i="19" s="1"/>
  <c r="AS50" i="19"/>
  <c r="AW50" i="19"/>
  <c r="BG50" i="19" s="1"/>
  <c r="E34" i="195"/>
  <c r="BB74" i="18"/>
  <c r="AZ88" i="18"/>
  <c r="BN88" i="18" s="1"/>
  <c r="AW47" i="51"/>
  <c r="BG47" i="51" s="1"/>
  <c r="I37" i="195"/>
  <c r="AY77" i="19"/>
  <c r="AX77" i="19" s="1"/>
  <c r="BH77" i="19" s="1"/>
  <c r="I25" i="195"/>
  <c r="AY65" i="19"/>
  <c r="AX65" i="19" s="1"/>
  <c r="BH65" i="19" s="1"/>
  <c r="I17" i="195"/>
  <c r="AY57" i="19"/>
  <c r="AX57" i="19" s="1"/>
  <c r="BH57" i="19" s="1"/>
  <c r="I9" i="195"/>
  <c r="AY49" i="19"/>
  <c r="AX49" i="19" s="1"/>
  <c r="BH49" i="19" s="1"/>
  <c r="E32" i="195"/>
  <c r="BB72" i="18"/>
  <c r="E47" i="195"/>
  <c r="BB87" i="18"/>
  <c r="AS74" i="19"/>
  <c r="AW74" i="19"/>
  <c r="Z52" i="51"/>
  <c r="AP52" i="51" s="1"/>
  <c r="D6" i="193"/>
  <c r="D5" i="490" s="1"/>
  <c r="AW45" i="51"/>
  <c r="BG45" i="51" s="1"/>
  <c r="B45" i="51"/>
  <c r="D5" i="135" s="1"/>
  <c r="AB45" i="51"/>
  <c r="AR45" i="51" s="1"/>
  <c r="AS45" i="51" s="1"/>
  <c r="AS68" i="19"/>
  <c r="AW68" i="19"/>
  <c r="BG68" i="19" s="1"/>
  <c r="AS60" i="19"/>
  <c r="AW60" i="19"/>
  <c r="BG60" i="19" s="1"/>
  <c r="AS52" i="19"/>
  <c r="AW52" i="19"/>
  <c r="AW44" i="19"/>
  <c r="AS44" i="19"/>
  <c r="AV67" i="18"/>
  <c r="AZ67" i="18"/>
  <c r="BN67" i="18" s="1"/>
  <c r="AC52" i="18"/>
  <c r="AS52" i="18" s="1"/>
  <c r="AU52" i="18"/>
  <c r="AV52" i="18" s="1"/>
  <c r="AW44" i="51"/>
  <c r="BG44" i="51" s="1"/>
  <c r="AV86" i="18"/>
  <c r="AZ86" i="18"/>
  <c r="BN86" i="18" s="1"/>
  <c r="AZ65" i="18"/>
  <c r="AV65" i="18"/>
  <c r="AU50" i="18"/>
  <c r="AV50" i="18" s="1"/>
  <c r="AC50" i="18"/>
  <c r="AS50" i="18" s="1"/>
  <c r="AA59" i="51"/>
  <c r="AW67" i="20"/>
  <c r="BJ67" i="20" s="1"/>
  <c r="AS67" i="20"/>
  <c r="AS70" i="19"/>
  <c r="AW70" i="19"/>
  <c r="BG70" i="19" s="1"/>
  <c r="D24" i="195"/>
  <c r="AY64" i="51"/>
  <c r="AX64" i="51" s="1"/>
  <c r="BH64" i="51" s="1"/>
  <c r="AA74" i="51"/>
  <c r="D19" i="193"/>
  <c r="D18" i="490" s="1"/>
  <c r="B58" i="51"/>
  <c r="D18" i="135" s="1"/>
  <c r="AB58" i="51"/>
  <c r="AR58" i="51" s="1"/>
  <c r="AS58" i="51" s="1"/>
  <c r="AW75" i="51"/>
  <c r="BG75" i="51" s="1"/>
  <c r="X83" i="24"/>
  <c r="O43" i="195"/>
  <c r="AY72" i="51"/>
  <c r="AZ72" i="51" s="1"/>
  <c r="AY69" i="51"/>
  <c r="AX69" i="51" s="1"/>
  <c r="BH69" i="51" s="1"/>
  <c r="Q64" i="20"/>
  <c r="J22" i="195"/>
  <c r="AY62" i="20"/>
  <c r="AX62" i="20" s="1"/>
  <c r="BK62" i="20" s="1"/>
  <c r="J52" i="21"/>
  <c r="Q61" i="23"/>
  <c r="Q45" i="23"/>
  <c r="P60" i="25"/>
  <c r="P52" i="25"/>
  <c r="P44" i="25"/>
  <c r="J74" i="20"/>
  <c r="X89" i="24"/>
  <c r="O49" i="195"/>
  <c r="X81" i="24"/>
  <c r="O41" i="195"/>
  <c r="I67" i="27"/>
  <c r="Q28" i="193" s="1"/>
  <c r="AU73" i="103"/>
  <c r="AW57" i="27"/>
  <c r="BH57" i="27" s="1"/>
  <c r="AX69" i="19"/>
  <c r="BH69" i="19" s="1"/>
  <c r="BB47" i="103"/>
  <c r="BG53" i="101"/>
  <c r="BG82" i="101"/>
  <c r="AY67" i="102"/>
  <c r="AO44" i="105"/>
  <c r="I44" i="105"/>
  <c r="J44" i="105"/>
  <c r="AX68" i="104"/>
  <c r="X28" i="195"/>
  <c r="AR68" i="104"/>
  <c r="P81" i="27"/>
  <c r="AQ81" i="27"/>
  <c r="AR81" i="27" s="1"/>
  <c r="AW83" i="19"/>
  <c r="BG83" i="19" s="1"/>
  <c r="AW85" i="51"/>
  <c r="AY56" i="104"/>
  <c r="AW78" i="20"/>
  <c r="BJ78" i="20" s="1"/>
  <c r="AR88" i="27"/>
  <c r="AV88" i="27"/>
  <c r="BG88" i="27" s="1"/>
  <c r="AR66" i="27"/>
  <c r="AV66" i="27"/>
  <c r="BG66" i="27" s="1"/>
  <c r="E33" i="195"/>
  <c r="BB73" i="18"/>
  <c r="AX66" i="104"/>
  <c r="X26" i="195"/>
  <c r="AR66" i="104"/>
  <c r="AY85" i="23"/>
  <c r="AZ85" i="23" s="1"/>
  <c r="N45" i="195"/>
  <c r="AS85" i="23"/>
  <c r="M38" i="195"/>
  <c r="AV78" i="22"/>
  <c r="AU78" i="22" s="1"/>
  <c r="BG78" i="22" s="1"/>
  <c r="M32" i="195"/>
  <c r="AV72" i="22"/>
  <c r="Q85" i="20"/>
  <c r="AR85" i="20"/>
  <c r="AY61" i="63"/>
  <c r="BK61" i="63" s="1"/>
  <c r="AY53" i="63"/>
  <c r="BK53" i="63" s="1"/>
  <c r="BB68" i="103"/>
  <c r="AX76" i="27"/>
  <c r="AW76" i="27" s="1"/>
  <c r="BH76" i="27" s="1"/>
  <c r="S36" i="195"/>
  <c r="AW77" i="23"/>
  <c r="BJ77" i="23" s="1"/>
  <c r="AW70" i="23"/>
  <c r="BJ70" i="23" s="1"/>
  <c r="Q81" i="19"/>
  <c r="AR81" i="19"/>
  <c r="AY71" i="63"/>
  <c r="BK71" i="63" s="1"/>
  <c r="AY45" i="63"/>
  <c r="BK45" i="63" s="1"/>
  <c r="AV70" i="105"/>
  <c r="AU70" i="105" s="1"/>
  <c r="Y30" i="195"/>
  <c r="AY79" i="23"/>
  <c r="AZ79" i="23" s="1"/>
  <c r="N39" i="195"/>
  <c r="AS79" i="23"/>
  <c r="AW79" i="51"/>
  <c r="AQ82" i="27"/>
  <c r="AR82" i="27" s="1"/>
  <c r="AR52" i="27"/>
  <c r="AV52" i="27"/>
  <c r="BG52" i="27" s="1"/>
  <c r="AR71" i="20"/>
  <c r="AS71" i="20" s="1"/>
  <c r="AP71" i="20"/>
  <c r="AW84" i="19"/>
  <c r="BG84" i="19" s="1"/>
  <c r="AY86" i="63"/>
  <c r="BK86" i="63" s="1"/>
  <c r="AY52" i="63"/>
  <c r="BK52" i="63" s="1"/>
  <c r="AV73" i="18"/>
  <c r="AZ73" i="18"/>
  <c r="BN73" i="18" s="1"/>
  <c r="AX67" i="104"/>
  <c r="X27" i="195"/>
  <c r="AR67" i="104"/>
  <c r="AW87" i="20"/>
  <c r="BJ87" i="20" s="1"/>
  <c r="AS87" i="20"/>
  <c r="AY67" i="63"/>
  <c r="BK67" i="63" s="1"/>
  <c r="AY59" i="63"/>
  <c r="BK59" i="63" s="1"/>
  <c r="AY44" i="63"/>
  <c r="BK44" i="63" s="1"/>
  <c r="D41" i="195"/>
  <c r="AS72" i="19"/>
  <c r="AW72" i="19"/>
  <c r="BG72" i="19" s="1"/>
  <c r="AU55" i="18"/>
  <c r="AV55" i="18" s="1"/>
  <c r="AC55" i="18"/>
  <c r="AS55" i="18" s="1"/>
  <c r="AC54" i="18"/>
  <c r="AS54" i="18" s="1"/>
  <c r="AA67" i="51"/>
  <c r="AY60" i="51"/>
  <c r="E43" i="195"/>
  <c r="BB83" i="18"/>
  <c r="BA83" i="18" s="1"/>
  <c r="BO83" i="18" s="1"/>
  <c r="AZ79" i="18"/>
  <c r="BN79" i="18" s="1"/>
  <c r="AV79" i="18"/>
  <c r="AP65" i="22"/>
  <c r="M25" i="195"/>
  <c r="AV65" i="22"/>
  <c r="AW65" i="22" s="1"/>
  <c r="AV70" i="18"/>
  <c r="AZ70" i="18"/>
  <c r="BN70" i="18" s="1"/>
  <c r="AS76" i="19"/>
  <c r="AW76" i="19"/>
  <c r="BG76" i="19" s="1"/>
  <c r="AV66" i="18"/>
  <c r="AZ66" i="18"/>
  <c r="BN66" i="18" s="1"/>
  <c r="AU51" i="18"/>
  <c r="AV51" i="18" s="1"/>
  <c r="AC51" i="18"/>
  <c r="AS51" i="18" s="1"/>
  <c r="AW65" i="51"/>
  <c r="BG65" i="51" s="1"/>
  <c r="I33" i="195"/>
  <c r="AY73" i="19"/>
  <c r="AX73" i="19" s="1"/>
  <c r="BH73" i="19" s="1"/>
  <c r="I23" i="195"/>
  <c r="AY63" i="19"/>
  <c r="AX63" i="19" s="1"/>
  <c r="BH63" i="19" s="1"/>
  <c r="I15" i="195"/>
  <c r="AY55" i="19"/>
  <c r="AX55" i="19" s="1"/>
  <c r="BH55" i="19" s="1"/>
  <c r="I7" i="195"/>
  <c r="AY47" i="19"/>
  <c r="AX47" i="19" s="1"/>
  <c r="BH47" i="19" s="1"/>
  <c r="E49" i="195"/>
  <c r="BB89" i="18"/>
  <c r="D43" i="195"/>
  <c r="AY83" i="51"/>
  <c r="AX83" i="51" s="1"/>
  <c r="BH83" i="51" s="1"/>
  <c r="AU57" i="18"/>
  <c r="AV57" i="18" s="1"/>
  <c r="AC57" i="18"/>
  <c r="AS57" i="18" s="1"/>
  <c r="AZ49" i="18"/>
  <c r="BN49" i="18" s="1"/>
  <c r="D23" i="193"/>
  <c r="D22" i="490" s="1"/>
  <c r="AW62" i="51"/>
  <c r="BG62" i="51" s="1"/>
  <c r="B62" i="51"/>
  <c r="D22" i="135" s="1"/>
  <c r="AB62" i="51"/>
  <c r="AR62" i="51" s="1"/>
  <c r="AS62" i="51" s="1"/>
  <c r="AA58" i="51"/>
  <c r="BA46" i="19"/>
  <c r="AX65" i="4"/>
  <c r="S57" i="4"/>
  <c r="AX73" i="4"/>
  <c r="S65" i="4"/>
  <c r="AX81" i="4"/>
  <c r="S73" i="4"/>
  <c r="AX89" i="4"/>
  <c r="S81" i="4"/>
  <c r="AX62" i="4"/>
  <c r="S54" i="4"/>
  <c r="AX66" i="4"/>
  <c r="S58" i="4"/>
  <c r="AX70" i="4"/>
  <c r="S62" i="4"/>
  <c r="AX74" i="4"/>
  <c r="S66" i="4"/>
  <c r="AX78" i="4"/>
  <c r="S70" i="4"/>
  <c r="AX82" i="4"/>
  <c r="S74" i="4"/>
  <c r="AX86" i="4"/>
  <c r="S78" i="4"/>
  <c r="AX90" i="4"/>
  <c r="S82" i="4"/>
  <c r="AX94" i="4"/>
  <c r="S86" i="4"/>
  <c r="AX63" i="4"/>
  <c r="S55" i="4"/>
  <c r="AX71" i="4"/>
  <c r="S63" i="4"/>
  <c r="AX79" i="4"/>
  <c r="S71" i="4"/>
  <c r="AX87" i="4"/>
  <c r="S79" i="4"/>
  <c r="AX93" i="4"/>
  <c r="S85" i="4"/>
  <c r="AX61" i="4"/>
  <c r="S53" i="4"/>
  <c r="AX69" i="4"/>
  <c r="S61" i="4"/>
  <c r="AX77" i="4"/>
  <c r="S69" i="4"/>
  <c r="AX85" i="4"/>
  <c r="S77" i="4"/>
  <c r="AX95" i="4"/>
  <c r="S87" i="4"/>
  <c r="AX60" i="4"/>
  <c r="S52" i="4"/>
  <c r="AX64" i="4"/>
  <c r="S56" i="4"/>
  <c r="AX68" i="4"/>
  <c r="S60" i="4"/>
  <c r="AX72" i="4"/>
  <c r="S64" i="4"/>
  <c r="AX76" i="4"/>
  <c r="S68" i="4"/>
  <c r="AX80" i="4"/>
  <c r="S72" i="4"/>
  <c r="AX84" i="4"/>
  <c r="S76" i="4"/>
  <c r="AX88" i="4"/>
  <c r="S80" i="4"/>
  <c r="AX92" i="4"/>
  <c r="S84" i="4"/>
  <c r="AX96" i="4"/>
  <c r="S88" i="4"/>
  <c r="AX67" i="4"/>
  <c r="S59" i="4"/>
  <c r="AX75" i="4"/>
  <c r="S67" i="4"/>
  <c r="AX83" i="4"/>
  <c r="S75" i="4"/>
  <c r="AX91" i="4"/>
  <c r="S83" i="4"/>
  <c r="AX97" i="4"/>
  <c r="S89" i="4"/>
  <c r="AU86" i="22"/>
  <c r="BG86" i="22" s="1"/>
  <c r="AU84" i="22"/>
  <c r="BG84" i="22" s="1"/>
  <c r="AU81" i="22"/>
  <c r="BG81" i="22" s="1"/>
  <c r="AU80" i="22"/>
  <c r="BG80" i="22" s="1"/>
  <c r="AU74" i="22"/>
  <c r="BG74" i="22" s="1"/>
  <c r="AU75" i="22"/>
  <c r="BG75" i="22" s="1"/>
  <c r="AU70" i="22"/>
  <c r="BG70" i="22" s="1"/>
  <c r="AX84" i="23"/>
  <c r="BK84" i="23" s="1"/>
  <c r="BA89" i="29"/>
  <c r="BK89" i="29" s="1"/>
  <c r="CD80" i="63"/>
  <c r="CD56" i="63"/>
  <c r="R48" i="51"/>
  <c r="J48" i="51" s="1"/>
  <c r="R62" i="51"/>
  <c r="R72" i="51"/>
  <c r="AX81" i="23"/>
  <c r="BK81" i="23" s="1"/>
  <c r="AX44" i="23"/>
  <c r="BK44" i="23" s="1"/>
  <c r="CD89" i="63"/>
  <c r="CD88" i="63"/>
  <c r="J88" i="63" s="1"/>
  <c r="CD87" i="63"/>
  <c r="J87" i="63" s="1"/>
  <c r="CD85" i="63"/>
  <c r="J85" i="63" s="1"/>
  <c r="CD83" i="63"/>
  <c r="J83" i="63" s="1"/>
  <c r="CD81" i="63"/>
  <c r="J81" i="63" s="1"/>
  <c r="CD79" i="63"/>
  <c r="J79" i="63" s="1"/>
  <c r="CD71" i="63"/>
  <c r="J71" i="63" s="1"/>
  <c r="CD69" i="63"/>
  <c r="CD52" i="63"/>
  <c r="CD47" i="63"/>
  <c r="CD46" i="63"/>
  <c r="CD45" i="63"/>
  <c r="R45" i="51"/>
  <c r="R53" i="51"/>
  <c r="R61" i="51"/>
  <c r="R65" i="51"/>
  <c r="AX79" i="51"/>
  <c r="BH79" i="51" s="1"/>
  <c r="R79" i="51"/>
  <c r="H79" i="51" s="1"/>
  <c r="Q79" i="51" s="1"/>
  <c r="R83" i="51"/>
  <c r="H83" i="51" s="1"/>
  <c r="Q83" i="51" s="1"/>
  <c r="R52" i="51"/>
  <c r="R60" i="51"/>
  <c r="R64" i="51"/>
  <c r="R70" i="51"/>
  <c r="R74" i="51"/>
  <c r="AX84" i="51"/>
  <c r="BH84" i="51" s="1"/>
  <c r="R84" i="51"/>
  <c r="AX86" i="51"/>
  <c r="BH86" i="51" s="1"/>
  <c r="R86" i="51"/>
  <c r="H86" i="51" s="1"/>
  <c r="Q86" i="51" s="1"/>
  <c r="R44" i="51"/>
  <c r="J44" i="51" s="1"/>
  <c r="R51" i="51"/>
  <c r="R59" i="51"/>
  <c r="R63" i="51"/>
  <c r="R75" i="51"/>
  <c r="J75" i="51" s="1"/>
  <c r="AX81" i="51"/>
  <c r="BH81" i="51" s="1"/>
  <c r="R81" i="51"/>
  <c r="H81" i="51" s="1"/>
  <c r="Q81" i="51" s="1"/>
  <c r="R87" i="51"/>
  <c r="H87" i="51" s="1"/>
  <c r="Q87" i="51" s="1"/>
  <c r="Z5" i="195"/>
  <c r="AS53" i="4"/>
  <c r="BJ53" i="4" s="1"/>
  <c r="AW53" i="4"/>
  <c r="AS55" i="4"/>
  <c r="BJ55" i="4" s="1"/>
  <c r="Z7" i="195"/>
  <c r="AW55" i="4"/>
  <c r="Z9" i="195"/>
  <c r="AS57" i="4"/>
  <c r="BJ57" i="4" s="1"/>
  <c r="AW57" i="4"/>
  <c r="AS59" i="4"/>
  <c r="BJ59" i="4" s="1"/>
  <c r="Z11" i="195"/>
  <c r="AW59" i="4"/>
  <c r="AS61" i="4"/>
  <c r="BJ61" i="4" s="1"/>
  <c r="Z13" i="195"/>
  <c r="AW61" i="4"/>
  <c r="AS63" i="4"/>
  <c r="BJ63" i="4" s="1"/>
  <c r="Z15" i="195"/>
  <c r="AW63" i="4"/>
  <c r="AS65" i="4"/>
  <c r="BJ65" i="4" s="1"/>
  <c r="Z17" i="195"/>
  <c r="AW65" i="4"/>
  <c r="AS67" i="4"/>
  <c r="Z19" i="195"/>
  <c r="AW67" i="4"/>
  <c r="AW69" i="4"/>
  <c r="Z21" i="195"/>
  <c r="AS69" i="4"/>
  <c r="AW71" i="4"/>
  <c r="AS71" i="4"/>
  <c r="Z23" i="195"/>
  <c r="AW73" i="4"/>
  <c r="Z25" i="195"/>
  <c r="AS73" i="4"/>
  <c r="AW75" i="4"/>
  <c r="AS75" i="4"/>
  <c r="Z27" i="195"/>
  <c r="AW77" i="4"/>
  <c r="Z29" i="195"/>
  <c r="AS77" i="4"/>
  <c r="AW79" i="4"/>
  <c r="AS79" i="4"/>
  <c r="Z31" i="195"/>
  <c r="AW81" i="4"/>
  <c r="Z33" i="195"/>
  <c r="AS81" i="4"/>
  <c r="AW83" i="4"/>
  <c r="AS83" i="4"/>
  <c r="Z35" i="195"/>
  <c r="AW85" i="4"/>
  <c r="Z37" i="195"/>
  <c r="AS85" i="4"/>
  <c r="AW87" i="4"/>
  <c r="AS87" i="4"/>
  <c r="Z39" i="195"/>
  <c r="AW89" i="4"/>
  <c r="Z41" i="195"/>
  <c r="AS89" i="4"/>
  <c r="AW91" i="4"/>
  <c r="AS91" i="4"/>
  <c r="Z43" i="195"/>
  <c r="AW93" i="4"/>
  <c r="Z45" i="195"/>
  <c r="AS93" i="4"/>
  <c r="AW95" i="4"/>
  <c r="AS95" i="4"/>
  <c r="Z47" i="195"/>
  <c r="C176" i="105"/>
  <c r="W139" i="105"/>
  <c r="B176" i="105"/>
  <c r="Z4" i="195"/>
  <c r="AW52" i="4"/>
  <c r="AS52" i="4"/>
  <c r="BJ52" i="4" s="1"/>
  <c r="AS54" i="4"/>
  <c r="BJ54" i="4" s="1"/>
  <c r="Z6" i="195"/>
  <c r="AW54" i="4"/>
  <c r="AS56" i="4"/>
  <c r="BJ56" i="4" s="1"/>
  <c r="Z8" i="195"/>
  <c r="AW56" i="4"/>
  <c r="AS58" i="4"/>
  <c r="BJ58" i="4" s="1"/>
  <c r="Z10" i="195"/>
  <c r="AW58" i="4"/>
  <c r="AS60" i="4"/>
  <c r="BJ60" i="4" s="1"/>
  <c r="Z12" i="195"/>
  <c r="AW60" i="4"/>
  <c r="AS62" i="4"/>
  <c r="BJ62" i="4" s="1"/>
  <c r="Z14" i="195"/>
  <c r="AW62" i="4"/>
  <c r="AS64" i="4"/>
  <c r="BJ64" i="4" s="1"/>
  <c r="Z16" i="195"/>
  <c r="AW64" i="4"/>
  <c r="AS66" i="4"/>
  <c r="BJ66" i="4" s="1"/>
  <c r="Z18" i="195"/>
  <c r="AW66" i="4"/>
  <c r="Z20" i="195"/>
  <c r="AW68" i="4"/>
  <c r="AS68" i="4"/>
  <c r="Z22" i="195"/>
  <c r="AW70" i="4"/>
  <c r="AS70" i="4"/>
  <c r="Z24" i="195"/>
  <c r="AS72" i="4"/>
  <c r="AW72" i="4"/>
  <c r="Z26" i="195"/>
  <c r="AW74" i="4"/>
  <c r="AS74" i="4"/>
  <c r="Z28" i="195"/>
  <c r="AS76" i="4"/>
  <c r="AW76" i="4"/>
  <c r="Z30" i="195"/>
  <c r="AS78" i="4"/>
  <c r="AW78" i="4"/>
  <c r="Z32" i="195"/>
  <c r="AW80" i="4"/>
  <c r="AS80" i="4"/>
  <c r="AS82" i="4"/>
  <c r="Z34" i="195"/>
  <c r="AW82" i="4"/>
  <c r="Z36" i="195"/>
  <c r="AW84" i="4"/>
  <c r="AS84" i="4"/>
  <c r="AS86" i="4"/>
  <c r="Z38" i="195"/>
  <c r="AW86" i="4"/>
  <c r="Z40" i="195"/>
  <c r="AS88" i="4"/>
  <c r="AW88" i="4"/>
  <c r="Z42" i="195"/>
  <c r="AS90" i="4"/>
  <c r="AW90" i="4"/>
  <c r="AS92" i="4"/>
  <c r="Z44" i="195"/>
  <c r="AW92" i="4"/>
  <c r="Z46" i="195"/>
  <c r="AS94" i="4"/>
  <c r="AW94" i="4"/>
  <c r="Z48" i="195"/>
  <c r="AS96" i="4"/>
  <c r="AW96" i="4"/>
  <c r="AU89" i="22"/>
  <c r="BG89" i="22" s="1"/>
  <c r="AU87" i="22"/>
  <c r="BG87" i="22" s="1"/>
  <c r="AU85" i="22"/>
  <c r="BG85" i="22" s="1"/>
  <c r="AU83" i="22"/>
  <c r="BG83" i="22" s="1"/>
  <c r="AU82" i="22"/>
  <c r="BG82" i="22" s="1"/>
  <c r="AU79" i="22"/>
  <c r="BG79" i="22" s="1"/>
  <c r="AU77" i="22"/>
  <c r="BG77" i="22" s="1"/>
  <c r="AU76" i="22"/>
  <c r="BG76" i="22" s="1"/>
  <c r="AU72" i="22"/>
  <c r="BG72" i="22" s="1"/>
  <c r="AU68" i="22"/>
  <c r="BG68" i="22" s="1"/>
  <c r="BA88" i="29"/>
  <c r="BK88" i="29" s="1"/>
  <c r="CD44" i="63"/>
  <c r="R56" i="51"/>
  <c r="R68" i="51"/>
  <c r="R76" i="51"/>
  <c r="AS98" i="4"/>
  <c r="AX72" i="102"/>
  <c r="U32" i="195"/>
  <c r="AR72" i="102"/>
  <c r="P138" i="102"/>
  <c r="AX83" i="102"/>
  <c r="U43" i="195"/>
  <c r="AR83" i="102"/>
  <c r="AY66" i="102"/>
  <c r="AY48" i="102"/>
  <c r="AY50" i="102"/>
  <c r="AY85" i="102"/>
  <c r="AY81" i="102"/>
  <c r="AY68" i="102"/>
  <c r="AY56" i="102"/>
  <c r="AY44" i="102"/>
  <c r="T27" i="195"/>
  <c r="BF67" i="101"/>
  <c r="AZ67" i="101"/>
  <c r="T35" i="195"/>
  <c r="BF75" i="101"/>
  <c r="AZ75" i="101"/>
  <c r="T32" i="195"/>
  <c r="BF72" i="101"/>
  <c r="AZ72" i="101"/>
  <c r="T30" i="195"/>
  <c r="BF70" i="101"/>
  <c r="AZ70" i="101"/>
  <c r="BG68" i="101"/>
  <c r="BG87" i="101"/>
  <c r="BG86" i="101"/>
  <c r="BG78" i="101"/>
  <c r="BG81" i="101"/>
  <c r="BG80" i="101"/>
  <c r="AV88" i="26"/>
  <c r="BG88" i="26" s="1"/>
  <c r="AD88" i="26"/>
  <c r="X88" i="26"/>
  <c r="AQ88" i="26"/>
  <c r="AV86" i="26"/>
  <c r="BG86" i="26" s="1"/>
  <c r="AQ86" i="26"/>
  <c r="X86" i="26"/>
  <c r="AV84" i="26"/>
  <c r="BG84" i="26" s="1"/>
  <c r="AQ84" i="26"/>
  <c r="X84" i="26"/>
  <c r="AV82" i="26"/>
  <c r="BG82" i="26" s="1"/>
  <c r="AQ82" i="26"/>
  <c r="X82" i="26"/>
  <c r="AV80" i="26"/>
  <c r="BG80" i="26" s="1"/>
  <c r="AQ80" i="26"/>
  <c r="X80" i="26"/>
  <c r="AV75" i="26"/>
  <c r="BG75" i="26" s="1"/>
  <c r="AV72" i="26"/>
  <c r="BG72" i="26" s="1"/>
  <c r="P30" i="193"/>
  <c r="P29" i="490" s="1"/>
  <c r="B69" i="26"/>
  <c r="R29" i="135" s="1"/>
  <c r="AN69" i="26"/>
  <c r="AV69" i="26" s="1"/>
  <c r="BG69" i="26" s="1"/>
  <c r="AV89" i="26"/>
  <c r="BG89" i="26" s="1"/>
  <c r="AD89" i="26"/>
  <c r="AQ89" i="26"/>
  <c r="AV87" i="26"/>
  <c r="BG87" i="26" s="1"/>
  <c r="X87" i="26"/>
  <c r="AQ87" i="26"/>
  <c r="AV85" i="26"/>
  <c r="BG85" i="26" s="1"/>
  <c r="AQ85" i="26"/>
  <c r="AR85" i="26" s="1"/>
  <c r="X85" i="26"/>
  <c r="AV83" i="26"/>
  <c r="BG83" i="26" s="1"/>
  <c r="X83" i="26"/>
  <c r="AQ83" i="26"/>
  <c r="AV81" i="26"/>
  <c r="BG81" i="26" s="1"/>
  <c r="AQ81" i="26"/>
  <c r="AR81" i="26" s="1"/>
  <c r="X81" i="26"/>
  <c r="AV79" i="26"/>
  <c r="BG79" i="26" s="1"/>
  <c r="X79" i="26"/>
  <c r="AQ79" i="26"/>
  <c r="AV78" i="26"/>
  <c r="BG78" i="26" s="1"/>
  <c r="AV74" i="26"/>
  <c r="BG74" i="26" s="1"/>
  <c r="AV70" i="26"/>
  <c r="BG70" i="26" s="1"/>
  <c r="AV77" i="26"/>
  <c r="BG77" i="26" s="1"/>
  <c r="AV76" i="26"/>
  <c r="BG76" i="26" s="1"/>
  <c r="AV73" i="26"/>
  <c r="BG73" i="26" s="1"/>
  <c r="AV71" i="26"/>
  <c r="BG71" i="26" s="1"/>
  <c r="AQ69" i="26"/>
  <c r="X69" i="26"/>
  <c r="X45" i="26" s="1"/>
  <c r="X46" i="26" s="1"/>
  <c r="X47" i="26" s="1"/>
  <c r="X48" i="26" s="1"/>
  <c r="X49" i="26" s="1"/>
  <c r="X50" i="26" s="1"/>
  <c r="X51" i="26" s="1"/>
  <c r="X52" i="26" s="1"/>
  <c r="X53" i="26" s="1"/>
  <c r="X54" i="26" s="1"/>
  <c r="X55" i="26" s="1"/>
  <c r="X56" i="26" s="1"/>
  <c r="X57" i="26" s="1"/>
  <c r="X58" i="26" s="1"/>
  <c r="X59" i="26" s="1"/>
  <c r="X60" i="26" s="1"/>
  <c r="X61" i="26" s="1"/>
  <c r="X62" i="26" s="1"/>
  <c r="Q22" i="195"/>
  <c r="Q20" i="195"/>
  <c r="Q18" i="195"/>
  <c r="Q16" i="195"/>
  <c r="Q14" i="195"/>
  <c r="Q12" i="195"/>
  <c r="Q10" i="195"/>
  <c r="Q25" i="195"/>
  <c r="AO77" i="25"/>
  <c r="AQ77" i="25"/>
  <c r="AV77" i="25"/>
  <c r="BG77" i="25" s="1"/>
  <c r="AO76" i="25"/>
  <c r="AQ76" i="25"/>
  <c r="AX76" i="25" s="1"/>
  <c r="AV76" i="25"/>
  <c r="BG76" i="25" s="1"/>
  <c r="AQ72" i="25"/>
  <c r="AO72" i="25"/>
  <c r="AV72" i="25"/>
  <c r="BG72" i="25" s="1"/>
  <c r="AV87" i="25"/>
  <c r="BG87" i="25" s="1"/>
  <c r="AV86" i="25"/>
  <c r="BG86" i="25" s="1"/>
  <c r="P86" i="25"/>
  <c r="AQ86" i="25"/>
  <c r="AV83" i="25"/>
  <c r="BG83" i="25" s="1"/>
  <c r="AV82" i="25"/>
  <c r="BG82" i="25" s="1"/>
  <c r="P82" i="25"/>
  <c r="AQ82" i="25"/>
  <c r="P80" i="25"/>
  <c r="AQ80" i="25"/>
  <c r="AX80" i="25" s="1"/>
  <c r="AV79" i="25"/>
  <c r="BG79" i="25" s="1"/>
  <c r="AO78" i="25"/>
  <c r="AQ78" i="25"/>
  <c r="AV78" i="25"/>
  <c r="BG78" i="25" s="1"/>
  <c r="AQ75" i="25"/>
  <c r="AX75" i="25" s="1"/>
  <c r="AO75" i="25"/>
  <c r="AQ73" i="25"/>
  <c r="AX73" i="25" s="1"/>
  <c r="AO73" i="25"/>
  <c r="AV73" i="25"/>
  <c r="BG73" i="25" s="1"/>
  <c r="AQ71" i="25"/>
  <c r="AX71" i="25" s="1"/>
  <c r="AO71" i="25"/>
  <c r="AQ69" i="25"/>
  <c r="AX69" i="25" s="1"/>
  <c r="AO69" i="25"/>
  <c r="AV69" i="25"/>
  <c r="BG69" i="25" s="1"/>
  <c r="AQ68" i="25"/>
  <c r="AO68" i="25"/>
  <c r="AV68" i="25"/>
  <c r="BG68" i="25" s="1"/>
  <c r="Q27" i="195"/>
  <c r="Q26" i="195"/>
  <c r="AR66" i="25"/>
  <c r="AV66" i="25"/>
  <c r="BG66" i="25" s="1"/>
  <c r="AR64" i="25"/>
  <c r="AV64" i="25"/>
  <c r="BG64" i="25" s="1"/>
  <c r="AV63" i="25"/>
  <c r="BG63" i="25" s="1"/>
  <c r="AR63" i="25"/>
  <c r="AR62" i="25"/>
  <c r="AV62" i="25"/>
  <c r="BG62" i="25" s="1"/>
  <c r="AR60" i="25"/>
  <c r="AV60" i="25"/>
  <c r="AV59" i="25"/>
  <c r="BG59" i="25" s="1"/>
  <c r="AR59" i="25"/>
  <c r="AR58" i="25"/>
  <c r="AV58" i="25"/>
  <c r="BG58" i="25" s="1"/>
  <c r="AR56" i="25"/>
  <c r="AV56" i="25"/>
  <c r="BG56" i="25" s="1"/>
  <c r="AV55" i="25"/>
  <c r="BG55" i="25" s="1"/>
  <c r="AR55" i="25"/>
  <c r="AR54" i="25"/>
  <c r="AV54" i="25"/>
  <c r="BG54" i="25" s="1"/>
  <c r="AR52" i="25"/>
  <c r="AV52" i="25"/>
  <c r="AV51" i="25"/>
  <c r="BG51" i="25" s="1"/>
  <c r="AR51" i="25"/>
  <c r="AR50" i="25"/>
  <c r="AV50" i="25"/>
  <c r="BG50" i="25" s="1"/>
  <c r="Q23" i="195"/>
  <c r="Q21" i="195"/>
  <c r="Q19" i="195"/>
  <c r="Q17" i="195"/>
  <c r="Q15" i="195"/>
  <c r="Q13" i="195"/>
  <c r="Q11" i="195"/>
  <c r="AW49" i="25"/>
  <c r="BH49" i="25" s="1"/>
  <c r="Q9" i="195"/>
  <c r="Q24" i="195"/>
  <c r="AW67" i="25"/>
  <c r="BH67" i="25" s="1"/>
  <c r="AW66" i="25"/>
  <c r="BH66" i="25" s="1"/>
  <c r="AW61" i="25"/>
  <c r="BH61" i="25" s="1"/>
  <c r="AW60" i="25"/>
  <c r="BH60" i="25" s="1"/>
  <c r="AW59" i="25"/>
  <c r="BH59" i="25" s="1"/>
  <c r="AW58" i="25"/>
  <c r="BH58" i="25" s="1"/>
  <c r="AW57" i="25"/>
  <c r="BH57" i="25" s="1"/>
  <c r="AW56" i="25"/>
  <c r="BH56" i="25" s="1"/>
  <c r="AW53" i="25"/>
  <c r="BH53" i="25" s="1"/>
  <c r="AW52" i="25"/>
  <c r="BH52" i="25" s="1"/>
  <c r="AW51" i="25"/>
  <c r="BH51" i="25" s="1"/>
  <c r="AW50" i="25"/>
  <c r="BH50" i="25" s="1"/>
  <c r="AQ74" i="25"/>
  <c r="AO74" i="25"/>
  <c r="AV74" i="25"/>
  <c r="BG74" i="25" s="1"/>
  <c r="AQ70" i="25"/>
  <c r="AO70" i="25"/>
  <c r="AV70" i="25"/>
  <c r="BG70" i="25" s="1"/>
  <c r="AV89" i="25"/>
  <c r="BG89" i="25" s="1"/>
  <c r="P89" i="25"/>
  <c r="AQ89" i="25"/>
  <c r="AX89" i="25" s="1"/>
  <c r="AV88" i="25"/>
  <c r="BG88" i="25" s="1"/>
  <c r="P87" i="25"/>
  <c r="AV85" i="25"/>
  <c r="BG85" i="25" s="1"/>
  <c r="AV84" i="25"/>
  <c r="BG84" i="25" s="1"/>
  <c r="AV81" i="25"/>
  <c r="BG81" i="25" s="1"/>
  <c r="AV80" i="25"/>
  <c r="BG80" i="25" s="1"/>
  <c r="P79" i="25"/>
  <c r="AV75" i="25"/>
  <c r="BG75" i="25" s="1"/>
  <c r="AV71" i="25"/>
  <c r="BG71" i="25" s="1"/>
  <c r="AR71" i="25"/>
  <c r="AV67" i="25"/>
  <c r="AR67" i="25"/>
  <c r="AV65" i="25"/>
  <c r="BG65" i="25" s="1"/>
  <c r="AR65" i="25"/>
  <c r="AV61" i="25"/>
  <c r="AR61" i="25"/>
  <c r="AV57" i="25"/>
  <c r="AR57" i="25"/>
  <c r="AV53" i="25"/>
  <c r="AR53" i="25"/>
  <c r="AV49" i="25"/>
  <c r="AR49" i="25"/>
  <c r="W124" i="24"/>
  <c r="R125" i="24"/>
  <c r="V124" i="24"/>
  <c r="Z124" i="24" s="1"/>
  <c r="T124" i="24"/>
  <c r="X124" i="24" s="1"/>
  <c r="U124" i="24"/>
  <c r="Y124" i="24" s="1"/>
  <c r="AX89" i="51"/>
  <c r="BH89" i="51" s="1"/>
  <c r="R89" i="51"/>
  <c r="AX88" i="51"/>
  <c r="BH88" i="51" s="1"/>
  <c r="R88" i="51"/>
  <c r="AC67" i="21"/>
  <c r="AC68" i="21"/>
  <c r="AY66" i="21"/>
  <c r="AX66" i="21" s="1"/>
  <c r="BH66" i="21" s="1"/>
  <c r="AY58" i="21"/>
  <c r="AX58" i="21" s="1"/>
  <c r="BH58" i="21" s="1"/>
  <c r="AY54" i="21"/>
  <c r="AX54" i="21" s="1"/>
  <c r="BH54" i="21" s="1"/>
  <c r="K14" i="195"/>
  <c r="AY52" i="21"/>
  <c r="AX52" i="21" s="1"/>
  <c r="BH52" i="21" s="1"/>
  <c r="AY50" i="21"/>
  <c r="AX50" i="21" s="1"/>
  <c r="BH50" i="21" s="1"/>
  <c r="K10" i="195"/>
  <c r="Q88" i="21"/>
  <c r="AW86" i="21"/>
  <c r="BG86" i="21" s="1"/>
  <c r="Q86" i="21"/>
  <c r="AW82" i="21"/>
  <c r="BG82" i="21" s="1"/>
  <c r="Q82" i="21"/>
  <c r="Q80" i="21"/>
  <c r="K31" i="490"/>
  <c r="AO71" i="21"/>
  <c r="B71" i="21"/>
  <c r="K31" i="135" s="1"/>
  <c r="AB71" i="21"/>
  <c r="AQ71" i="21" s="1"/>
  <c r="K28" i="490"/>
  <c r="B68" i="21"/>
  <c r="K28" i="135" s="1"/>
  <c r="AO68" i="21"/>
  <c r="K26" i="490"/>
  <c r="AO66" i="21"/>
  <c r="B66" i="21"/>
  <c r="K26" i="135" s="1"/>
  <c r="K24" i="490"/>
  <c r="B64" i="21"/>
  <c r="K24" i="135" s="1"/>
  <c r="AO64" i="21"/>
  <c r="K22" i="490"/>
  <c r="AO62" i="21"/>
  <c r="B62" i="21"/>
  <c r="K22" i="135" s="1"/>
  <c r="K20" i="490"/>
  <c r="B60" i="21"/>
  <c r="K20" i="135" s="1"/>
  <c r="AO60" i="21"/>
  <c r="AW58" i="21"/>
  <c r="BG58" i="21" s="1"/>
  <c r="AW54" i="21"/>
  <c r="BG54" i="21" s="1"/>
  <c r="AW53" i="21"/>
  <c r="BG53" i="21" s="1"/>
  <c r="AW51" i="21"/>
  <c r="BG51" i="21" s="1"/>
  <c r="AW49" i="21"/>
  <c r="BG49" i="21" s="1"/>
  <c r="AC78" i="21"/>
  <c r="AR78" i="21" s="1"/>
  <c r="AS78" i="21" s="1"/>
  <c r="AC76" i="21"/>
  <c r="J59" i="21"/>
  <c r="J55" i="21"/>
  <c r="J53" i="21"/>
  <c r="J51" i="21"/>
  <c r="J49" i="21"/>
  <c r="AW89" i="21"/>
  <c r="BG89" i="21" s="1"/>
  <c r="Q89" i="21"/>
  <c r="AW88" i="21"/>
  <c r="BG88" i="21" s="1"/>
  <c r="AW87" i="21"/>
  <c r="BG87" i="21" s="1"/>
  <c r="Q87" i="21"/>
  <c r="AW85" i="21"/>
  <c r="BG85" i="21" s="1"/>
  <c r="AW84" i="21"/>
  <c r="BG84" i="21" s="1"/>
  <c r="AW83" i="21"/>
  <c r="BG83" i="21" s="1"/>
  <c r="Q83" i="21"/>
  <c r="AW81" i="21"/>
  <c r="BG81" i="21" s="1"/>
  <c r="AW80" i="21"/>
  <c r="BG80" i="21" s="1"/>
  <c r="AW79" i="21"/>
  <c r="BG79" i="21" s="1"/>
  <c r="AC79" i="21"/>
  <c r="AW78" i="21"/>
  <c r="BG78" i="21" s="1"/>
  <c r="AW76" i="21"/>
  <c r="BG76" i="21" s="1"/>
  <c r="AW72" i="21"/>
  <c r="BG72" i="21" s="1"/>
  <c r="AW70" i="21"/>
  <c r="BG70" i="21" s="1"/>
  <c r="K33" i="490"/>
  <c r="B73" i="21"/>
  <c r="K33" i="135" s="1"/>
  <c r="AO73" i="21"/>
  <c r="AB73" i="21"/>
  <c r="AQ73" i="21" s="1"/>
  <c r="K29" i="490"/>
  <c r="B69" i="21"/>
  <c r="K29" i="135" s="1"/>
  <c r="AO69" i="21"/>
  <c r="AB69" i="21"/>
  <c r="AQ69" i="21" s="1"/>
  <c r="K27" i="490"/>
  <c r="AO67" i="21"/>
  <c r="B67" i="21"/>
  <c r="K27" i="135" s="1"/>
  <c r="B65" i="21"/>
  <c r="K25" i="135" s="1"/>
  <c r="AO65" i="21"/>
  <c r="K23" i="490"/>
  <c r="AO63" i="21"/>
  <c r="B63" i="21"/>
  <c r="K23" i="135" s="1"/>
  <c r="K21" i="490"/>
  <c r="B61" i="21"/>
  <c r="K21" i="135" s="1"/>
  <c r="AO61" i="21"/>
  <c r="K19" i="490"/>
  <c r="B59" i="21"/>
  <c r="K19" i="135" s="1"/>
  <c r="AO59" i="21"/>
  <c r="AW77" i="21"/>
  <c r="BG77" i="21" s="1"/>
  <c r="AW75" i="21"/>
  <c r="BG75" i="21" s="1"/>
  <c r="AW56" i="21"/>
  <c r="BG56" i="21" s="1"/>
  <c r="AW55" i="21"/>
  <c r="BG55" i="21" s="1"/>
  <c r="AW50" i="21"/>
  <c r="H28" i="193"/>
  <c r="H27" i="490" s="1"/>
  <c r="AR67" i="29"/>
  <c r="B67" i="29"/>
  <c r="H27" i="135" s="1"/>
  <c r="AF67" i="29"/>
  <c r="J67" i="29" s="1"/>
  <c r="AE67" i="29"/>
  <c r="AT67" i="29" s="1"/>
  <c r="J73" i="29"/>
  <c r="AU73" i="29"/>
  <c r="AV73" i="29" s="1"/>
  <c r="J71" i="29"/>
  <c r="AU71" i="29"/>
  <c r="AV71" i="29" s="1"/>
  <c r="T77" i="29"/>
  <c r="AU77" i="29"/>
  <c r="AV77" i="29" s="1"/>
  <c r="T79" i="29"/>
  <c r="AU79" i="29"/>
  <c r="AV79" i="29" s="1"/>
  <c r="AZ80" i="29"/>
  <c r="BJ80" i="29" s="1"/>
  <c r="T80" i="29"/>
  <c r="AU80" i="29"/>
  <c r="AV80" i="29" s="1"/>
  <c r="H47" i="195"/>
  <c r="BB87" i="29"/>
  <c r="BA87" i="29" s="1"/>
  <c r="BK87" i="29" s="1"/>
  <c r="H46" i="195"/>
  <c r="BB86" i="29"/>
  <c r="BA86" i="29" s="1"/>
  <c r="BK86" i="29" s="1"/>
  <c r="H45" i="195"/>
  <c r="BB85" i="29"/>
  <c r="BA85" i="29" s="1"/>
  <c r="BK85" i="29" s="1"/>
  <c r="H44" i="195"/>
  <c r="BB84" i="29"/>
  <c r="BA84" i="29" s="1"/>
  <c r="BK84" i="29" s="1"/>
  <c r="H43" i="195"/>
  <c r="BB83" i="29"/>
  <c r="BA83" i="29" s="1"/>
  <c r="BK83" i="29" s="1"/>
  <c r="H42" i="195"/>
  <c r="BB82" i="29"/>
  <c r="BA82" i="29" s="1"/>
  <c r="BK82" i="29" s="1"/>
  <c r="H41" i="195"/>
  <c r="BB81" i="29"/>
  <c r="BA81" i="29" s="1"/>
  <c r="BK81" i="29" s="1"/>
  <c r="AZ78" i="29"/>
  <c r="BJ78" i="29" s="1"/>
  <c r="AZ73" i="29"/>
  <c r="BJ73" i="29" s="1"/>
  <c r="AZ71" i="29"/>
  <c r="BJ71" i="29" s="1"/>
  <c r="AZ69" i="29"/>
  <c r="BJ69" i="29" s="1"/>
  <c r="AC68" i="29"/>
  <c r="AS68" i="29" s="1"/>
  <c r="AU68" i="29"/>
  <c r="AV68" i="29" s="1"/>
  <c r="AZ68" i="29"/>
  <c r="BJ68" i="29" s="1"/>
  <c r="H25" i="195"/>
  <c r="BB65" i="29"/>
  <c r="BA65" i="29" s="1"/>
  <c r="BK65" i="29" s="1"/>
  <c r="AZ65" i="29"/>
  <c r="BJ65" i="29" s="1"/>
  <c r="AV65" i="29"/>
  <c r="H24" i="195"/>
  <c r="BB64" i="29"/>
  <c r="BA64" i="29" s="1"/>
  <c r="BK64" i="29" s="1"/>
  <c r="AV64" i="29"/>
  <c r="AZ64" i="29"/>
  <c r="BJ64" i="29" s="1"/>
  <c r="H23" i="195"/>
  <c r="BB63" i="29"/>
  <c r="BA63" i="29" s="1"/>
  <c r="BK63" i="29" s="1"/>
  <c r="AZ63" i="29"/>
  <c r="BJ63" i="29" s="1"/>
  <c r="AV63" i="29"/>
  <c r="H22" i="195"/>
  <c r="BB62" i="29"/>
  <c r="BA62" i="29" s="1"/>
  <c r="BK62" i="29" s="1"/>
  <c r="AV62" i="29"/>
  <c r="AZ62" i="29"/>
  <c r="BJ62" i="29" s="1"/>
  <c r="H21" i="195"/>
  <c r="BB61" i="29"/>
  <c r="BA61" i="29" s="1"/>
  <c r="BK61" i="29" s="1"/>
  <c r="AZ61" i="29"/>
  <c r="BJ61" i="29" s="1"/>
  <c r="AV61" i="29"/>
  <c r="H20" i="195"/>
  <c r="BB60" i="29"/>
  <c r="BA60" i="29" s="1"/>
  <c r="BK60" i="29" s="1"/>
  <c r="AV60" i="29"/>
  <c r="AZ60" i="29"/>
  <c r="BJ60" i="29" s="1"/>
  <c r="H19" i="195"/>
  <c r="BB59" i="29"/>
  <c r="BA59" i="29" s="1"/>
  <c r="BK59" i="29" s="1"/>
  <c r="AZ59" i="29"/>
  <c r="BJ59" i="29" s="1"/>
  <c r="AV59" i="29"/>
  <c r="H18" i="195"/>
  <c r="BB58" i="29"/>
  <c r="BA58" i="29" s="1"/>
  <c r="BK58" i="29" s="1"/>
  <c r="AV58" i="29"/>
  <c r="AZ58" i="29"/>
  <c r="BJ58" i="29" s="1"/>
  <c r="H17" i="195"/>
  <c r="BB57" i="29"/>
  <c r="BA57" i="29" s="1"/>
  <c r="BK57" i="29" s="1"/>
  <c r="AZ57" i="29"/>
  <c r="BJ57" i="29" s="1"/>
  <c r="AV57" i="29"/>
  <c r="H15" i="195"/>
  <c r="BB55" i="29"/>
  <c r="BA55" i="29" s="1"/>
  <c r="BK55" i="29" s="1"/>
  <c r="AZ55" i="29"/>
  <c r="BJ55" i="29" s="1"/>
  <c r="AV55" i="29"/>
  <c r="H13" i="195"/>
  <c r="BB53" i="29"/>
  <c r="BA53" i="29" s="1"/>
  <c r="BK53" i="29" s="1"/>
  <c r="AZ53" i="29"/>
  <c r="BJ53" i="29" s="1"/>
  <c r="AV53" i="29"/>
  <c r="H11" i="195"/>
  <c r="BB51" i="29"/>
  <c r="BA51" i="29" s="1"/>
  <c r="BK51" i="29" s="1"/>
  <c r="AZ51" i="29"/>
  <c r="BJ51" i="29" s="1"/>
  <c r="AV51" i="29"/>
  <c r="H9" i="195"/>
  <c r="BB49" i="29"/>
  <c r="BA49" i="29" s="1"/>
  <c r="BK49" i="29" s="1"/>
  <c r="AZ49" i="29"/>
  <c r="BJ49" i="29" s="1"/>
  <c r="AV49" i="29"/>
  <c r="H7" i="195"/>
  <c r="BB47" i="29"/>
  <c r="BA47" i="29" s="1"/>
  <c r="BK47" i="29" s="1"/>
  <c r="AZ47" i="29"/>
  <c r="BJ47" i="29" s="1"/>
  <c r="AV47" i="29"/>
  <c r="H5" i="195"/>
  <c r="BB45" i="29"/>
  <c r="BA45" i="29" s="1"/>
  <c r="BK45" i="29" s="1"/>
  <c r="AZ45" i="29"/>
  <c r="BJ45" i="29" s="1"/>
  <c r="AV45" i="29"/>
  <c r="H27" i="193"/>
  <c r="H26" i="490" s="1"/>
  <c r="AR66" i="29"/>
  <c r="B66" i="29"/>
  <c r="H26" i="135" s="1"/>
  <c r="AF66" i="29"/>
  <c r="J66" i="29" s="1"/>
  <c r="AV82" i="29"/>
  <c r="AZ82" i="29"/>
  <c r="BJ82" i="29" s="1"/>
  <c r="AV84" i="29"/>
  <c r="AZ84" i="29"/>
  <c r="BJ84" i="29" s="1"/>
  <c r="AV86" i="29"/>
  <c r="AZ86" i="29"/>
  <c r="BJ86" i="29" s="1"/>
  <c r="AV88" i="29"/>
  <c r="AZ88" i="29"/>
  <c r="AZ79" i="29"/>
  <c r="BJ79" i="29" s="1"/>
  <c r="AZ81" i="29"/>
  <c r="BJ81" i="29" s="1"/>
  <c r="AV81" i="29"/>
  <c r="AZ83" i="29"/>
  <c r="BJ83" i="29" s="1"/>
  <c r="AV83" i="29"/>
  <c r="AZ85" i="29"/>
  <c r="BJ85" i="29" s="1"/>
  <c r="AV85" i="29"/>
  <c r="AZ87" i="29"/>
  <c r="AV87" i="29"/>
  <c r="AZ89" i="29"/>
  <c r="AV89" i="29"/>
  <c r="AZ77" i="29"/>
  <c r="BJ77" i="29" s="1"/>
  <c r="H36" i="195"/>
  <c r="BB76" i="29"/>
  <c r="BA76" i="29" s="1"/>
  <c r="BK76" i="29" s="1"/>
  <c r="AV76" i="29"/>
  <c r="AZ76" i="29"/>
  <c r="BJ76" i="29" s="1"/>
  <c r="H35" i="195"/>
  <c r="BB75" i="29"/>
  <c r="BA75" i="29" s="1"/>
  <c r="BK75" i="29" s="1"/>
  <c r="AZ75" i="29"/>
  <c r="BJ75" i="29" s="1"/>
  <c r="AV75" i="29"/>
  <c r="H34" i="195"/>
  <c r="BB74" i="29"/>
  <c r="BA74" i="29" s="1"/>
  <c r="BK74" i="29" s="1"/>
  <c r="AV74" i="29"/>
  <c r="AZ74" i="29"/>
  <c r="BJ74" i="29" s="1"/>
  <c r="AZ72" i="29"/>
  <c r="BJ72" i="29" s="1"/>
  <c r="AZ70" i="29"/>
  <c r="BJ70" i="29" s="1"/>
  <c r="H16" i="195"/>
  <c r="BB56" i="29"/>
  <c r="BA56" i="29" s="1"/>
  <c r="BK56" i="29" s="1"/>
  <c r="AV56" i="29"/>
  <c r="AZ56" i="29"/>
  <c r="BJ56" i="29" s="1"/>
  <c r="H14" i="195"/>
  <c r="BB54" i="29"/>
  <c r="BA54" i="29" s="1"/>
  <c r="BK54" i="29" s="1"/>
  <c r="AV54" i="29"/>
  <c r="AZ54" i="29"/>
  <c r="BJ54" i="29" s="1"/>
  <c r="H12" i="195"/>
  <c r="BB52" i="29"/>
  <c r="BA52" i="29" s="1"/>
  <c r="BK52" i="29" s="1"/>
  <c r="AV52" i="29"/>
  <c r="AZ52" i="29"/>
  <c r="BJ52" i="29" s="1"/>
  <c r="H10" i="195"/>
  <c r="BB50" i="29"/>
  <c r="BA50" i="29" s="1"/>
  <c r="BK50" i="29" s="1"/>
  <c r="AV50" i="29"/>
  <c r="AZ50" i="29"/>
  <c r="BJ50" i="29" s="1"/>
  <c r="H8" i="195"/>
  <c r="BB48" i="29"/>
  <c r="BA48" i="29" s="1"/>
  <c r="BK48" i="29" s="1"/>
  <c r="AV48" i="29"/>
  <c r="AZ48" i="29"/>
  <c r="BJ48" i="29" s="1"/>
  <c r="H6" i="195"/>
  <c r="BB46" i="29"/>
  <c r="BA46" i="29" s="1"/>
  <c r="BK46" i="29" s="1"/>
  <c r="AV46" i="29"/>
  <c r="AZ46" i="29"/>
  <c r="BJ46" i="29" s="1"/>
  <c r="H4" i="195"/>
  <c r="BB44" i="29"/>
  <c r="BA44" i="29" s="1"/>
  <c r="BK44" i="29" s="1"/>
  <c r="AU45" i="18"/>
  <c r="AV45" i="18" s="1"/>
  <c r="AC45" i="18"/>
  <c r="AS45" i="18" s="1"/>
  <c r="BB46" i="18"/>
  <c r="E6" i="195"/>
  <c r="AV46" i="18"/>
  <c r="AZ46" i="18"/>
  <c r="BN46" i="18" s="1"/>
  <c r="AZ44" i="18"/>
  <c r="BN44" i="18" s="1"/>
  <c r="AC48" i="18"/>
  <c r="AS48" i="18" s="1"/>
  <c r="AU48" i="18"/>
  <c r="AV48" i="18" s="1"/>
  <c r="AZ48" i="18"/>
  <c r="BN48" i="18" s="1"/>
  <c r="AZ45" i="18"/>
  <c r="BN45" i="18" s="1"/>
  <c r="AU47" i="18"/>
  <c r="AC47" i="18"/>
  <c r="AS47" i="18" s="1"/>
  <c r="AZ47" i="18"/>
  <c r="BN47" i="18" s="1"/>
  <c r="AU44" i="18"/>
  <c r="AC44" i="18"/>
  <c r="AS44" i="18" s="1"/>
  <c r="AC46" i="18"/>
  <c r="AS46" i="18" s="1"/>
  <c r="AY47" i="104"/>
  <c r="AY48" i="104"/>
  <c r="AY44" i="104"/>
  <c r="Q8" i="195"/>
  <c r="AR48" i="25"/>
  <c r="Q6" i="195"/>
  <c r="AR46" i="25"/>
  <c r="Q4" i="195"/>
  <c r="AR44" i="25"/>
  <c r="Q7" i="195"/>
  <c r="AR47" i="25"/>
  <c r="Q5" i="195"/>
  <c r="AR45" i="25"/>
  <c r="AY46" i="21"/>
  <c r="AZ46" i="21" s="1"/>
  <c r="K6" i="195"/>
  <c r="J44" i="21"/>
  <c r="J47" i="21"/>
  <c r="J45" i="21"/>
  <c r="AY48" i="21"/>
  <c r="K8" i="195"/>
  <c r="AW47" i="20"/>
  <c r="BJ47" i="20" s="1"/>
  <c r="AS47" i="20"/>
  <c r="J7" i="195"/>
  <c r="AY47" i="20"/>
  <c r="AX47" i="20" s="1"/>
  <c r="BK47" i="20" s="1"/>
  <c r="J4" i="195"/>
  <c r="AS44" i="20"/>
  <c r="AY46" i="20"/>
  <c r="AX46" i="20" s="1"/>
  <c r="BK46" i="20" s="1"/>
  <c r="AW45" i="20"/>
  <c r="BJ45" i="20" s="1"/>
  <c r="J48" i="20"/>
  <c r="AR48" i="20"/>
  <c r="J56" i="18"/>
  <c r="J60" i="18"/>
  <c r="J64" i="18"/>
  <c r="J84" i="18"/>
  <c r="J89" i="18"/>
  <c r="AW97" i="4"/>
  <c r="AS97" i="4"/>
  <c r="AU74" i="103"/>
  <c r="AD71" i="26"/>
  <c r="AB70" i="26"/>
  <c r="P89" i="24"/>
  <c r="P87" i="24"/>
  <c r="P85" i="24"/>
  <c r="P83" i="24"/>
  <c r="P81" i="24"/>
  <c r="X79" i="24"/>
  <c r="P86" i="24"/>
  <c r="P84" i="24"/>
  <c r="P82" i="24"/>
  <c r="P80" i="24"/>
  <c r="J70" i="27"/>
  <c r="J67" i="25"/>
  <c r="AO67" i="25"/>
  <c r="J66" i="25"/>
  <c r="AO66" i="25"/>
  <c r="AO62" i="25"/>
  <c r="AO60" i="25"/>
  <c r="Y58" i="25"/>
  <c r="AO58" i="25" s="1"/>
  <c r="Y56" i="25"/>
  <c r="AO56" i="25" s="1"/>
  <c r="Y54" i="25"/>
  <c r="AO54" i="25" s="1"/>
  <c r="Y52" i="25"/>
  <c r="AO52" i="25" s="1"/>
  <c r="Y50" i="25"/>
  <c r="AO50" i="25" s="1"/>
  <c r="Y48" i="25"/>
  <c r="AO48" i="25" s="1"/>
  <c r="Y46" i="25"/>
  <c r="AO46" i="25" s="1"/>
  <c r="Y44" i="25"/>
  <c r="AO44" i="25" s="1"/>
  <c r="AC68" i="23"/>
  <c r="Q68" i="23" s="1"/>
  <c r="Y51" i="22"/>
  <c r="P68" i="22"/>
  <c r="P66" i="22"/>
  <c r="Y49" i="22"/>
  <c r="Y45" i="22"/>
  <c r="Z59" i="21"/>
  <c r="AP59" i="21" s="1"/>
  <c r="Z55" i="21"/>
  <c r="AP55" i="21" s="1"/>
  <c r="Z53" i="21"/>
  <c r="AP53" i="21" s="1"/>
  <c r="Z44" i="21"/>
  <c r="AP44" i="21" s="1"/>
  <c r="Z64" i="20"/>
  <c r="AP64" i="20" s="1"/>
  <c r="Z62" i="20"/>
  <c r="AP62" i="20" s="1"/>
  <c r="Z44" i="20"/>
  <c r="AP44" i="20" s="1"/>
  <c r="Q71" i="19"/>
  <c r="J71" i="19"/>
  <c r="Q73" i="19"/>
  <c r="J73" i="19"/>
  <c r="Q69" i="19"/>
  <c r="J69" i="19"/>
  <c r="Q46" i="19"/>
  <c r="Q50" i="19"/>
  <c r="Q54" i="19"/>
  <c r="Q58" i="19"/>
  <c r="Q62" i="19"/>
  <c r="Q44" i="19"/>
  <c r="Q48" i="19"/>
  <c r="Q52" i="19"/>
  <c r="Q56" i="19"/>
  <c r="Q60" i="19"/>
  <c r="Q64" i="19"/>
  <c r="J65" i="19"/>
  <c r="Q65" i="19"/>
  <c r="Q63" i="19"/>
  <c r="J63" i="19"/>
  <c r="J61" i="19"/>
  <c r="Q61" i="19"/>
  <c r="Q59" i="19"/>
  <c r="J59" i="19"/>
  <c r="J57" i="19"/>
  <c r="Q57" i="19"/>
  <c r="Q55" i="19"/>
  <c r="J55" i="19"/>
  <c r="J53" i="19"/>
  <c r="Q53" i="19"/>
  <c r="Q51" i="19"/>
  <c r="J51" i="19"/>
  <c r="J49" i="19"/>
  <c r="Q49" i="19"/>
  <c r="Q47" i="19"/>
  <c r="J47" i="19"/>
  <c r="J45" i="19"/>
  <c r="Q45" i="19"/>
  <c r="J67" i="19"/>
  <c r="Q66" i="19"/>
  <c r="Q76" i="19"/>
  <c r="Q68" i="19"/>
  <c r="Q67" i="19"/>
  <c r="J68" i="19"/>
  <c r="J76" i="19"/>
  <c r="T73" i="29"/>
  <c r="T71" i="29"/>
  <c r="Y65" i="27"/>
  <c r="AO65" i="27" s="1"/>
  <c r="J65" i="27"/>
  <c r="Y63" i="27"/>
  <c r="AO63" i="27" s="1"/>
  <c r="J63" i="27"/>
  <c r="Y61" i="27"/>
  <c r="AO61" i="27" s="1"/>
  <c r="J61" i="27"/>
  <c r="AO59" i="27"/>
  <c r="J59" i="27"/>
  <c r="Y57" i="27"/>
  <c r="AO57" i="27" s="1"/>
  <c r="J57" i="27"/>
  <c r="Y55" i="27"/>
  <c r="AO55" i="27" s="1"/>
  <c r="J55" i="27"/>
  <c r="Y53" i="27"/>
  <c r="AO53" i="27" s="1"/>
  <c r="J53" i="27"/>
  <c r="Y51" i="27"/>
  <c r="AO51" i="27" s="1"/>
  <c r="J51" i="27"/>
  <c r="Y49" i="27"/>
  <c r="AO49" i="27" s="1"/>
  <c r="J49" i="27"/>
  <c r="Y47" i="27"/>
  <c r="AO47" i="27" s="1"/>
  <c r="J47" i="27"/>
  <c r="Y45" i="27"/>
  <c r="AO45" i="27" s="1"/>
  <c r="J45" i="27"/>
  <c r="Y64" i="27"/>
  <c r="AO64" i="27" s="1"/>
  <c r="J64" i="27"/>
  <c r="Y62" i="27"/>
  <c r="AO62" i="27" s="1"/>
  <c r="J62" i="27"/>
  <c r="Y60" i="27"/>
  <c r="AO60" i="27" s="1"/>
  <c r="J60" i="27"/>
  <c r="Y58" i="27"/>
  <c r="AO58" i="27" s="1"/>
  <c r="J58" i="27"/>
  <c r="Y56" i="27"/>
  <c r="AO56" i="27" s="1"/>
  <c r="J56" i="27"/>
  <c r="Y54" i="27"/>
  <c r="AO54" i="27" s="1"/>
  <c r="J54" i="27"/>
  <c r="Y52" i="27"/>
  <c r="AO52" i="27" s="1"/>
  <c r="J52" i="27"/>
  <c r="Y50" i="27"/>
  <c r="AO50" i="27" s="1"/>
  <c r="J50" i="27"/>
  <c r="Y48" i="27"/>
  <c r="AO48" i="27" s="1"/>
  <c r="J48" i="27"/>
  <c r="Y46" i="27"/>
  <c r="AO46" i="27" s="1"/>
  <c r="J46" i="27"/>
  <c r="Y44" i="27"/>
  <c r="AO44" i="27" s="1"/>
  <c r="J44" i="27"/>
  <c r="J73" i="27"/>
  <c r="J71" i="27"/>
  <c r="P65" i="27"/>
  <c r="P63" i="27"/>
  <c r="P61" i="27"/>
  <c r="P59" i="27"/>
  <c r="P57" i="27"/>
  <c r="P55" i="27"/>
  <c r="P53" i="27"/>
  <c r="P51" i="27"/>
  <c r="P49" i="27"/>
  <c r="P47" i="27"/>
  <c r="P45" i="27"/>
  <c r="AO64" i="25"/>
  <c r="J64" i="25"/>
  <c r="P76" i="25"/>
  <c r="AO63" i="25"/>
  <c r="AO61" i="25"/>
  <c r="AO59" i="25"/>
  <c r="Y57" i="25"/>
  <c r="AO57" i="25" s="1"/>
  <c r="Y55" i="25"/>
  <c r="AO55" i="25" s="1"/>
  <c r="Y53" i="25"/>
  <c r="AO53" i="25" s="1"/>
  <c r="Y51" i="25"/>
  <c r="AO51" i="25" s="1"/>
  <c r="Y49" i="25"/>
  <c r="AO49" i="25" s="1"/>
  <c r="Y47" i="25"/>
  <c r="AO47" i="25" s="1"/>
  <c r="Y45" i="25"/>
  <c r="AO45" i="25" s="1"/>
  <c r="P78" i="25"/>
  <c r="J74" i="25"/>
  <c r="J62" i="25"/>
  <c r="J60" i="25"/>
  <c r="J58" i="25"/>
  <c r="J56" i="25"/>
  <c r="J54" i="25"/>
  <c r="J52" i="25"/>
  <c r="J50" i="25"/>
  <c r="J48" i="25"/>
  <c r="J46" i="25"/>
  <c r="J44" i="25"/>
  <c r="AO65" i="25"/>
  <c r="J65" i="25"/>
  <c r="J63" i="25"/>
  <c r="J61" i="25"/>
  <c r="J59" i="25"/>
  <c r="J57" i="25"/>
  <c r="J55" i="25"/>
  <c r="J53" i="25"/>
  <c r="J51" i="25"/>
  <c r="J49" i="25"/>
  <c r="J47" i="25"/>
  <c r="J45" i="25"/>
  <c r="P68" i="25"/>
  <c r="P66" i="25"/>
  <c r="Q74" i="23"/>
  <c r="Z51" i="23"/>
  <c r="AP51" i="23" s="1"/>
  <c r="Q78" i="23"/>
  <c r="J54" i="23"/>
  <c r="J52" i="23"/>
  <c r="J46" i="23"/>
  <c r="J44" i="23"/>
  <c r="J61" i="23"/>
  <c r="J57" i="23"/>
  <c r="J51" i="23"/>
  <c r="J49" i="23"/>
  <c r="J45" i="23"/>
  <c r="P78" i="22"/>
  <c r="J74" i="22"/>
  <c r="Y64" i="22"/>
  <c r="Y62" i="22"/>
  <c r="Y58" i="22"/>
  <c r="Y56" i="22"/>
  <c r="Y54" i="22"/>
  <c r="Y52" i="22"/>
  <c r="Y46" i="22"/>
  <c r="Y44" i="22"/>
  <c r="Y65" i="22"/>
  <c r="J65" i="22"/>
  <c r="P76" i="22"/>
  <c r="Z54" i="21"/>
  <c r="AP54" i="21" s="1"/>
  <c r="Z52" i="21"/>
  <c r="AP52" i="21" s="1"/>
  <c r="Z50" i="21"/>
  <c r="AP50" i="21" s="1"/>
  <c r="Z48" i="21"/>
  <c r="AP48" i="21" s="1"/>
  <c r="Z46" i="21"/>
  <c r="AP46" i="21" s="1"/>
  <c r="Z51" i="21"/>
  <c r="AP51" i="21" s="1"/>
  <c r="Z49" i="21"/>
  <c r="AP49" i="21" s="1"/>
  <c r="Z47" i="21"/>
  <c r="AP47" i="21" s="1"/>
  <c r="Z45" i="21"/>
  <c r="AP45" i="21" s="1"/>
  <c r="J52" i="20"/>
  <c r="J44" i="20"/>
  <c r="J64" i="20"/>
  <c r="J62" i="20"/>
  <c r="Z61" i="20"/>
  <c r="AP61" i="20" s="1"/>
  <c r="Z56" i="20"/>
  <c r="AP56" i="20" s="1"/>
  <c r="Z48" i="20"/>
  <c r="AP48" i="20" s="1"/>
  <c r="Z58" i="20"/>
  <c r="AP58" i="20" s="1"/>
  <c r="J64" i="19"/>
  <c r="J62" i="19"/>
  <c r="J60" i="19"/>
  <c r="J56" i="19"/>
  <c r="J54" i="19"/>
  <c r="J52" i="19"/>
  <c r="J48" i="19"/>
  <c r="J46" i="19"/>
  <c r="AC65" i="29"/>
  <c r="AS65" i="29" s="1"/>
  <c r="J65" i="29"/>
  <c r="AC63" i="29"/>
  <c r="AS63" i="29" s="1"/>
  <c r="J63" i="29"/>
  <c r="AC61" i="29"/>
  <c r="AS61" i="29" s="1"/>
  <c r="J61" i="29"/>
  <c r="AC59" i="29"/>
  <c r="AS59" i="29" s="1"/>
  <c r="J59" i="29"/>
  <c r="AC57" i="29"/>
  <c r="AS57" i="29" s="1"/>
  <c r="J57" i="29"/>
  <c r="AC55" i="29"/>
  <c r="AS55" i="29" s="1"/>
  <c r="J55" i="29"/>
  <c r="AC53" i="29"/>
  <c r="AS53" i="29" s="1"/>
  <c r="J53" i="29"/>
  <c r="AC51" i="29"/>
  <c r="AS51" i="29" s="1"/>
  <c r="J51" i="29"/>
  <c r="AC49" i="29"/>
  <c r="AS49" i="29" s="1"/>
  <c r="J49" i="29"/>
  <c r="AC47" i="29"/>
  <c r="AS47" i="29" s="1"/>
  <c r="J47" i="29"/>
  <c r="AC45" i="29"/>
  <c r="AS45" i="29" s="1"/>
  <c r="J45" i="29"/>
  <c r="AC64" i="29"/>
  <c r="AS64" i="29" s="1"/>
  <c r="J64" i="29"/>
  <c r="AC62" i="29"/>
  <c r="AS62" i="29" s="1"/>
  <c r="J62" i="29"/>
  <c r="AC60" i="29"/>
  <c r="AS60" i="29" s="1"/>
  <c r="J60" i="29"/>
  <c r="AC58" i="29"/>
  <c r="AS58" i="29" s="1"/>
  <c r="J58" i="29"/>
  <c r="AC56" i="29"/>
  <c r="AS56" i="29" s="1"/>
  <c r="J56" i="29"/>
  <c r="AC54" i="29"/>
  <c r="AS54" i="29" s="1"/>
  <c r="J54" i="29"/>
  <c r="AC52" i="29"/>
  <c r="AS52" i="29" s="1"/>
  <c r="J52" i="29"/>
  <c r="AC50" i="29"/>
  <c r="AS50" i="29" s="1"/>
  <c r="J50" i="29"/>
  <c r="AC48" i="29"/>
  <c r="AS48" i="29" s="1"/>
  <c r="J48" i="29"/>
  <c r="AC46" i="29"/>
  <c r="AS46" i="29" s="1"/>
  <c r="J46" i="29"/>
  <c r="AC44" i="29"/>
  <c r="AS44" i="29" s="1"/>
  <c r="J44" i="29"/>
  <c r="T68" i="29"/>
  <c r="T65" i="29"/>
  <c r="T63" i="29"/>
  <c r="T61" i="29"/>
  <c r="T59" i="29"/>
  <c r="T57" i="29"/>
  <c r="T55" i="29"/>
  <c r="T53" i="29"/>
  <c r="T51" i="29"/>
  <c r="T49" i="29"/>
  <c r="T47" i="29"/>
  <c r="T45" i="29"/>
  <c r="Q78" i="51"/>
  <c r="J49" i="51"/>
  <c r="J47" i="51"/>
  <c r="J50" i="51"/>
  <c r="J46" i="51"/>
  <c r="J85" i="51"/>
  <c r="Q48" i="51"/>
  <c r="Q44" i="51"/>
  <c r="H79" i="3"/>
  <c r="H83" i="3"/>
  <c r="H81" i="3"/>
  <c r="H89" i="3"/>
  <c r="H80" i="3"/>
  <c r="H88" i="3"/>
  <c r="H82" i="3"/>
  <c r="Q53" i="51" l="1"/>
  <c r="AR53" i="51"/>
  <c r="AS53" i="51" s="1"/>
  <c r="Z55" i="51"/>
  <c r="AP55" i="51" s="1"/>
  <c r="AR55" i="51"/>
  <c r="AS55" i="51" s="1"/>
  <c r="BZ97" i="4"/>
  <c r="Y135" i="4"/>
  <c r="J72" i="27"/>
  <c r="AQ72" i="27"/>
  <c r="AR72" i="27" s="1"/>
  <c r="AR76" i="23"/>
  <c r="AX82" i="23"/>
  <c r="BK82" i="23" s="1"/>
  <c r="J76" i="23"/>
  <c r="Z50" i="23"/>
  <c r="AP50" i="23" s="1"/>
  <c r="Q122" i="22"/>
  <c r="S122" i="22"/>
  <c r="W122" i="22" s="1"/>
  <c r="AA122" i="22" s="1"/>
  <c r="M6" i="639" s="1"/>
  <c r="T122" i="22"/>
  <c r="X122" i="22" s="1"/>
  <c r="AB122" i="22" s="1"/>
  <c r="R122" i="22"/>
  <c r="V122" i="22" s="1"/>
  <c r="Z122" i="22" s="1"/>
  <c r="M81" i="639" s="1"/>
  <c r="Y47" i="22"/>
  <c r="AU69" i="22"/>
  <c r="BG69" i="22" s="1"/>
  <c r="AC74" i="21"/>
  <c r="J85" i="21"/>
  <c r="J58" i="21"/>
  <c r="AS59" i="21"/>
  <c r="Q60" i="21"/>
  <c r="Z58" i="21"/>
  <c r="AP58" i="21" s="1"/>
  <c r="Q58" i="21"/>
  <c r="Z52" i="20"/>
  <c r="AP52" i="20" s="1"/>
  <c r="Z54" i="20"/>
  <c r="AP54" i="20" s="1"/>
  <c r="J85" i="19"/>
  <c r="AR85" i="19"/>
  <c r="T72" i="29"/>
  <c r="AU72" i="29"/>
  <c r="AV72" i="29" s="1"/>
  <c r="T69" i="29"/>
  <c r="AU69" i="29"/>
  <c r="AV69" i="29" s="1"/>
  <c r="AV44" i="29"/>
  <c r="J80" i="63"/>
  <c r="Q82" i="51"/>
  <c r="AY82" i="51"/>
  <c r="AX82" i="51" s="1"/>
  <c r="BH82" i="51" s="1"/>
  <c r="D42" i="195"/>
  <c r="J82" i="51"/>
  <c r="J62" i="22"/>
  <c r="P62" i="22"/>
  <c r="P45" i="22"/>
  <c r="Y63" i="22"/>
  <c r="AB71" i="51"/>
  <c r="AZ81" i="51"/>
  <c r="BG81" i="51"/>
  <c r="AZ79" i="51"/>
  <c r="BG79" i="51"/>
  <c r="D32" i="195"/>
  <c r="AB74" i="51"/>
  <c r="Q74" i="51" s="1"/>
  <c r="BG89" i="51"/>
  <c r="U122" i="51"/>
  <c r="AD122" i="51" s="1"/>
  <c r="AE122" i="51" s="1"/>
  <c r="AF122" i="51" s="1"/>
  <c r="D33" i="195"/>
  <c r="Q77" i="51"/>
  <c r="AB68" i="51"/>
  <c r="AB76" i="51"/>
  <c r="J77" i="51"/>
  <c r="AZ85" i="51"/>
  <c r="BG85" i="51"/>
  <c r="BC65" i="18"/>
  <c r="BN65" i="18"/>
  <c r="BC77" i="18"/>
  <c r="BN77" i="18"/>
  <c r="T87" i="18"/>
  <c r="J78" i="18"/>
  <c r="J67" i="18"/>
  <c r="BC69" i="18"/>
  <c r="BN69" i="18"/>
  <c r="J87" i="18"/>
  <c r="J86" i="18"/>
  <c r="J79" i="18"/>
  <c r="T86" i="18"/>
  <c r="BC80" i="18"/>
  <c r="BN80" i="18"/>
  <c r="BC76" i="18"/>
  <c r="BN76" i="18"/>
  <c r="BC87" i="29"/>
  <c r="BJ87" i="29"/>
  <c r="BC88" i="29"/>
  <c r="BJ88" i="29"/>
  <c r="Y122" i="29"/>
  <c r="BJ89" i="29"/>
  <c r="T74" i="29"/>
  <c r="J74" i="29"/>
  <c r="AX46" i="19"/>
  <c r="BH46" i="19" s="1"/>
  <c r="AZ44" i="19"/>
  <c r="BG44" i="19"/>
  <c r="Q83" i="19"/>
  <c r="AZ52" i="19"/>
  <c r="BG52" i="19"/>
  <c r="AZ71" i="19"/>
  <c r="BG71" i="19"/>
  <c r="AZ46" i="19"/>
  <c r="BG46" i="19"/>
  <c r="AZ56" i="19"/>
  <c r="BG56" i="19"/>
  <c r="AZ67" i="19"/>
  <c r="BG67" i="19"/>
  <c r="AZ74" i="19"/>
  <c r="BG74" i="19"/>
  <c r="AZ54" i="19"/>
  <c r="BG54" i="19"/>
  <c r="AZ50" i="21"/>
  <c r="BG50" i="21"/>
  <c r="Z49" i="23"/>
  <c r="AP49" i="23" s="1"/>
  <c r="Z60" i="23"/>
  <c r="AP60" i="23" s="1"/>
  <c r="Q53" i="23"/>
  <c r="Z57" i="23"/>
  <c r="AP57" i="23" s="1"/>
  <c r="AX88" i="23"/>
  <c r="BK88" i="23" s="1"/>
  <c r="AX83" i="23"/>
  <c r="BK83" i="23" s="1"/>
  <c r="AZ71" i="23"/>
  <c r="BJ71" i="23"/>
  <c r="AC67" i="23"/>
  <c r="Q67" i="23" s="1"/>
  <c r="J53" i="23"/>
  <c r="J60" i="23"/>
  <c r="AY53" i="25"/>
  <c r="BG53" i="25"/>
  <c r="AY67" i="25"/>
  <c r="BG67" i="25"/>
  <c r="AQ85" i="25"/>
  <c r="AX85" i="25" s="1"/>
  <c r="AQ84" i="25"/>
  <c r="Q44" i="195" s="1"/>
  <c r="J84" i="25"/>
  <c r="AY60" i="25"/>
  <c r="BG60" i="25"/>
  <c r="AY57" i="25"/>
  <c r="BG57" i="25"/>
  <c r="P85" i="25"/>
  <c r="AY52" i="25"/>
  <c r="BG52" i="25"/>
  <c r="AY49" i="25"/>
  <c r="BG49" i="25"/>
  <c r="AY61" i="25"/>
  <c r="BG61" i="25"/>
  <c r="AQ87" i="25"/>
  <c r="AX87" i="25" s="1"/>
  <c r="AY47" i="27"/>
  <c r="BG47" i="27"/>
  <c r="AY63" i="27"/>
  <c r="BG63" i="27"/>
  <c r="AZ90" i="4"/>
  <c r="BZ90" i="4"/>
  <c r="AZ80" i="4"/>
  <c r="BZ80" i="4"/>
  <c r="AZ58" i="4"/>
  <c r="BZ58" i="4"/>
  <c r="AZ85" i="4"/>
  <c r="BZ85" i="4"/>
  <c r="AZ69" i="4"/>
  <c r="BZ69" i="4"/>
  <c r="AZ57" i="4"/>
  <c r="BZ57" i="4"/>
  <c r="AZ94" i="4"/>
  <c r="BZ94" i="4"/>
  <c r="AZ84" i="4"/>
  <c r="BZ84" i="4"/>
  <c r="AZ78" i="4"/>
  <c r="BZ78" i="4"/>
  <c r="AZ68" i="4"/>
  <c r="BZ68" i="4"/>
  <c r="AZ62" i="4"/>
  <c r="BZ62" i="4"/>
  <c r="AZ52" i="4"/>
  <c r="BZ52" i="4"/>
  <c r="AZ89" i="4"/>
  <c r="BZ89" i="4"/>
  <c r="AZ73" i="4"/>
  <c r="BZ73" i="4"/>
  <c r="AZ61" i="4"/>
  <c r="BZ61" i="4"/>
  <c r="AZ95" i="4"/>
  <c r="BZ95" i="4"/>
  <c r="AZ67" i="4"/>
  <c r="BZ67" i="4"/>
  <c r="Y136" i="4"/>
  <c r="BZ98" i="4"/>
  <c r="AZ88" i="4"/>
  <c r="BZ88" i="4"/>
  <c r="AZ72" i="4"/>
  <c r="BZ72" i="4"/>
  <c r="AZ56" i="4"/>
  <c r="BZ56" i="4"/>
  <c r="AZ83" i="4"/>
  <c r="BZ83" i="4"/>
  <c r="AZ55" i="4"/>
  <c r="BZ55" i="4"/>
  <c r="AZ82" i="4"/>
  <c r="BZ82" i="4"/>
  <c r="AZ66" i="4"/>
  <c r="BZ66" i="4"/>
  <c r="AZ93" i="4"/>
  <c r="BZ93" i="4"/>
  <c r="AZ77" i="4"/>
  <c r="BZ77" i="4"/>
  <c r="AZ65" i="4"/>
  <c r="BZ65" i="4"/>
  <c r="AZ92" i="4"/>
  <c r="BZ92" i="4"/>
  <c r="AZ76" i="4"/>
  <c r="BZ76" i="4"/>
  <c r="AZ60" i="4"/>
  <c r="BZ60" i="4"/>
  <c r="AZ87" i="4"/>
  <c r="BZ87" i="4"/>
  <c r="AZ71" i="4"/>
  <c r="BZ71" i="4"/>
  <c r="AZ59" i="4"/>
  <c r="BZ59" i="4"/>
  <c r="AZ79" i="4"/>
  <c r="BZ79" i="4"/>
  <c r="AZ86" i="4"/>
  <c r="BZ86" i="4"/>
  <c r="AZ54" i="4"/>
  <c r="BZ54" i="4"/>
  <c r="AZ81" i="4"/>
  <c r="BZ81" i="4"/>
  <c r="AZ53" i="4"/>
  <c r="BZ53" i="4"/>
  <c r="AZ74" i="4"/>
  <c r="BZ74" i="4"/>
  <c r="AZ96" i="4"/>
  <c r="BZ96" i="4"/>
  <c r="AZ70" i="4"/>
  <c r="BZ70" i="4"/>
  <c r="AZ64" i="4"/>
  <c r="BZ64" i="4"/>
  <c r="AZ91" i="4"/>
  <c r="BZ91" i="4"/>
  <c r="AZ75" i="4"/>
  <c r="BZ75" i="4"/>
  <c r="AZ63" i="4"/>
  <c r="BZ63" i="4"/>
  <c r="U78" i="16"/>
  <c r="BJ86" i="4"/>
  <c r="U66" i="16"/>
  <c r="BJ74" i="4"/>
  <c r="U82" i="16"/>
  <c r="BJ90" i="4"/>
  <c r="U76" i="16"/>
  <c r="BJ84" i="4"/>
  <c r="U60" i="16"/>
  <c r="BJ68" i="4"/>
  <c r="U65" i="16"/>
  <c r="BJ73" i="4"/>
  <c r="U85" i="16"/>
  <c r="BJ93" i="4"/>
  <c r="U75" i="16"/>
  <c r="BJ83" i="4"/>
  <c r="U69" i="16"/>
  <c r="BJ77" i="4"/>
  <c r="U81" i="16"/>
  <c r="BJ89" i="4"/>
  <c r="U86" i="16"/>
  <c r="BJ94" i="4"/>
  <c r="U70" i="16"/>
  <c r="BJ78" i="4"/>
  <c r="U59" i="16"/>
  <c r="BJ67" i="4"/>
  <c r="U89" i="16"/>
  <c r="BJ97" i="4"/>
  <c r="U90" i="16"/>
  <c r="W90" i="16" s="1"/>
  <c r="BJ98" i="4"/>
  <c r="U80" i="16"/>
  <c r="BJ88" i="4"/>
  <c r="U64" i="16"/>
  <c r="BJ72" i="4"/>
  <c r="U79" i="16"/>
  <c r="BJ87" i="4"/>
  <c r="U73" i="16"/>
  <c r="BJ81" i="4"/>
  <c r="U63" i="16"/>
  <c r="BJ71" i="4"/>
  <c r="BX97" i="4"/>
  <c r="BQ97" i="4"/>
  <c r="U88" i="16"/>
  <c r="BJ96" i="4"/>
  <c r="U87" i="16"/>
  <c r="BJ95" i="4"/>
  <c r="U71" i="16"/>
  <c r="BJ79" i="4"/>
  <c r="U74" i="16"/>
  <c r="BJ82" i="4"/>
  <c r="U68" i="16"/>
  <c r="BJ76" i="4"/>
  <c r="U62" i="16"/>
  <c r="BJ70" i="4"/>
  <c r="U83" i="16"/>
  <c r="BJ91" i="4"/>
  <c r="U77" i="16"/>
  <c r="BJ85" i="4"/>
  <c r="U67" i="16"/>
  <c r="BJ75" i="4"/>
  <c r="U61" i="16"/>
  <c r="BJ69" i="4"/>
  <c r="U84" i="16"/>
  <c r="BJ92" i="4"/>
  <c r="U72" i="16"/>
  <c r="BJ80" i="4"/>
  <c r="J47" i="23"/>
  <c r="Q47" i="23"/>
  <c r="AX86" i="23"/>
  <c r="BK86" i="23" s="1"/>
  <c r="Z47" i="23"/>
  <c r="AP47" i="23" s="1"/>
  <c r="AR87" i="19"/>
  <c r="Q87" i="19"/>
  <c r="J84" i="21"/>
  <c r="Q84" i="21"/>
  <c r="BA46" i="18"/>
  <c r="BO46" i="18" s="1"/>
  <c r="J85" i="18"/>
  <c r="P83" i="25"/>
  <c r="AQ81" i="25"/>
  <c r="AX81" i="25" s="1"/>
  <c r="P81" i="25"/>
  <c r="AQ83" i="25"/>
  <c r="AX83" i="25" s="1"/>
  <c r="J76" i="20"/>
  <c r="AY76" i="20"/>
  <c r="AX76" i="20" s="1"/>
  <c r="BK76" i="20" s="1"/>
  <c r="J36" i="195"/>
  <c r="Q76" i="20"/>
  <c r="J46" i="63"/>
  <c r="J69" i="63"/>
  <c r="AW75" i="104"/>
  <c r="BJ75" i="104" s="1"/>
  <c r="AY75" i="104"/>
  <c r="AW88" i="104"/>
  <c r="BJ88" i="104" s="1"/>
  <c r="AY88" i="104"/>
  <c r="AW74" i="104"/>
  <c r="BJ74" i="104" s="1"/>
  <c r="AY74" i="104"/>
  <c r="AW89" i="104"/>
  <c r="BJ89" i="104" s="1"/>
  <c r="AY89" i="104"/>
  <c r="AW84" i="104"/>
  <c r="BJ84" i="104" s="1"/>
  <c r="AY84" i="104"/>
  <c r="AW80" i="104"/>
  <c r="BJ80" i="104" s="1"/>
  <c r="AY80" i="104"/>
  <c r="W30" i="195"/>
  <c r="BA70" i="103"/>
  <c r="AU70" i="103"/>
  <c r="AZ82" i="103"/>
  <c r="BP82" i="103" s="1"/>
  <c r="BB82" i="103"/>
  <c r="BB77" i="103"/>
  <c r="AZ77" i="103"/>
  <c r="BP77" i="103" s="1"/>
  <c r="BA72" i="103"/>
  <c r="W32" i="195"/>
  <c r="AU72" i="103"/>
  <c r="AZ71" i="103"/>
  <c r="BP71" i="103" s="1"/>
  <c r="BB71" i="103"/>
  <c r="AU75" i="103"/>
  <c r="BA75" i="103"/>
  <c r="W35" i="195"/>
  <c r="AW76" i="102"/>
  <c r="BG76" i="102" s="1"/>
  <c r="AY76" i="102"/>
  <c r="AW77" i="102"/>
  <c r="BG77" i="102" s="1"/>
  <c r="AY77" i="102"/>
  <c r="AW69" i="102"/>
  <c r="BG69" i="102" s="1"/>
  <c r="AY69" i="102"/>
  <c r="AW74" i="102"/>
  <c r="BG74" i="102" s="1"/>
  <c r="AY74" i="102"/>
  <c r="AW82" i="102"/>
  <c r="BG82" i="102" s="1"/>
  <c r="AY82" i="102"/>
  <c r="AW71" i="102"/>
  <c r="BG71" i="102" s="1"/>
  <c r="AY71" i="102"/>
  <c r="AW73" i="102"/>
  <c r="BG73" i="102" s="1"/>
  <c r="AY73" i="102"/>
  <c r="BE69" i="101"/>
  <c r="BQ69" i="101" s="1"/>
  <c r="BG69" i="101"/>
  <c r="BE74" i="101"/>
  <c r="BQ74" i="101" s="1"/>
  <c r="BG74" i="101"/>
  <c r="P82" i="27"/>
  <c r="J75" i="27"/>
  <c r="AQ74" i="27"/>
  <c r="P74" i="27"/>
  <c r="J69" i="27"/>
  <c r="AQ77" i="27"/>
  <c r="P77" i="27"/>
  <c r="J74" i="27"/>
  <c r="AQ69" i="27"/>
  <c r="AQ75" i="27"/>
  <c r="AR75" i="27" s="1"/>
  <c r="J77" i="27"/>
  <c r="AQ89" i="27"/>
  <c r="P89" i="27"/>
  <c r="AQ78" i="27"/>
  <c r="P78" i="27"/>
  <c r="Y122" i="27"/>
  <c r="U122" i="27"/>
  <c r="AC122" i="27" s="1"/>
  <c r="AD122" i="27" s="1"/>
  <c r="AE122" i="27" s="1"/>
  <c r="AF122" i="27" s="1"/>
  <c r="AR80" i="25"/>
  <c r="J79" i="25"/>
  <c r="AQ88" i="25"/>
  <c r="X79" i="25"/>
  <c r="AR75" i="23"/>
  <c r="Q75" i="23"/>
  <c r="AC62" i="23"/>
  <c r="AR62" i="23" s="1"/>
  <c r="AY62" i="23" s="1"/>
  <c r="AQ62" i="23"/>
  <c r="J75" i="23"/>
  <c r="Z45" i="23"/>
  <c r="AP45" i="23" s="1"/>
  <c r="AQ45" i="23"/>
  <c r="Z53" i="23"/>
  <c r="AP53" i="23" s="1"/>
  <c r="AQ53" i="23"/>
  <c r="AR70" i="23"/>
  <c r="Q70" i="23"/>
  <c r="N6" i="195"/>
  <c r="AC64" i="23"/>
  <c r="Q64" i="23" s="1"/>
  <c r="AQ64" i="23"/>
  <c r="AC65" i="23"/>
  <c r="J65" i="23" s="1"/>
  <c r="AQ65" i="23"/>
  <c r="AR72" i="23"/>
  <c r="Q72" i="23"/>
  <c r="AR77" i="23"/>
  <c r="Q77" i="23"/>
  <c r="N22" i="195"/>
  <c r="AC66" i="23"/>
  <c r="AQ66" i="23"/>
  <c r="J70" i="23"/>
  <c r="AC63" i="23"/>
  <c r="AQ63" i="23"/>
  <c r="AR69" i="23"/>
  <c r="Q69" i="23"/>
  <c r="AR73" i="23"/>
  <c r="Q73" i="23"/>
  <c r="J69" i="23"/>
  <c r="AX89" i="23"/>
  <c r="BK89" i="23" s="1"/>
  <c r="AX85" i="23"/>
  <c r="BK85" i="23" s="1"/>
  <c r="AC72" i="21"/>
  <c r="AQ72" i="21"/>
  <c r="AS63" i="21"/>
  <c r="Q81" i="21"/>
  <c r="K12" i="195"/>
  <c r="AS31" i="193"/>
  <c r="AC61" i="21"/>
  <c r="AQ61" i="21"/>
  <c r="AS48" i="21"/>
  <c r="AW52" i="21"/>
  <c r="J82" i="21"/>
  <c r="J56" i="21"/>
  <c r="AC70" i="21"/>
  <c r="Q70" i="21" s="1"/>
  <c r="AQ70" i="21"/>
  <c r="AC64" i="21"/>
  <c r="AQ64" i="21"/>
  <c r="K16" i="195"/>
  <c r="J87" i="21"/>
  <c r="Q56" i="21"/>
  <c r="Q85" i="21"/>
  <c r="J60" i="21"/>
  <c r="J80" i="21"/>
  <c r="Z56" i="21"/>
  <c r="AP56" i="21" s="1"/>
  <c r="AQ56" i="21"/>
  <c r="AR77" i="21"/>
  <c r="Q77" i="21"/>
  <c r="AR75" i="21"/>
  <c r="J75" i="21"/>
  <c r="Q75" i="21"/>
  <c r="AC62" i="21"/>
  <c r="AQ62" i="21"/>
  <c r="J63" i="21"/>
  <c r="J89" i="21"/>
  <c r="Q63" i="21"/>
  <c r="AS56" i="21"/>
  <c r="AC65" i="21"/>
  <c r="AQ65" i="21"/>
  <c r="K26" i="195"/>
  <c r="AS66" i="21"/>
  <c r="Q68" i="21"/>
  <c r="AR68" i="21"/>
  <c r="AS68" i="21" s="1"/>
  <c r="Q57" i="21"/>
  <c r="AR57" i="21"/>
  <c r="AS57" i="21" s="1"/>
  <c r="Q74" i="21"/>
  <c r="AR74" i="21"/>
  <c r="AS74" i="21" s="1"/>
  <c r="Q67" i="21"/>
  <c r="AR67" i="21"/>
  <c r="AS67" i="21" s="1"/>
  <c r="Q76" i="21"/>
  <c r="AR76" i="21"/>
  <c r="AS76" i="21" s="1"/>
  <c r="AZ58" i="21"/>
  <c r="J72" i="21"/>
  <c r="AW57" i="21"/>
  <c r="BG57" i="21" s="1"/>
  <c r="Q79" i="21"/>
  <c r="AR79" i="21"/>
  <c r="AS79" i="21" s="1"/>
  <c r="AS58" i="21"/>
  <c r="AZ48" i="21"/>
  <c r="K20" i="195"/>
  <c r="AS60" i="21"/>
  <c r="Z57" i="21"/>
  <c r="AP57" i="21" s="1"/>
  <c r="Z59" i="20"/>
  <c r="AP59" i="20" s="1"/>
  <c r="AR77" i="20"/>
  <c r="Q77" i="20"/>
  <c r="Z65" i="20"/>
  <c r="AP65" i="20" s="1"/>
  <c r="AQ65" i="20"/>
  <c r="AR75" i="20"/>
  <c r="Q75" i="20"/>
  <c r="AR88" i="19"/>
  <c r="I48" i="195" s="1"/>
  <c r="J88" i="19"/>
  <c r="AZ50" i="19"/>
  <c r="AZ59" i="19"/>
  <c r="AZ61" i="19"/>
  <c r="J86" i="19"/>
  <c r="AZ66" i="19"/>
  <c r="T70" i="29"/>
  <c r="AU70" i="29"/>
  <c r="AV70" i="29" s="1"/>
  <c r="AU78" i="29"/>
  <c r="T78" i="29"/>
  <c r="BA46" i="63"/>
  <c r="F6" i="195"/>
  <c r="J47" i="63"/>
  <c r="BB51" i="63"/>
  <c r="J56" i="63"/>
  <c r="BA45" i="63"/>
  <c r="BB45" i="63" s="1"/>
  <c r="AU45" i="63"/>
  <c r="F5" i="195"/>
  <c r="BA63" i="63"/>
  <c r="J45" i="63"/>
  <c r="F23" i="195"/>
  <c r="J52" i="63"/>
  <c r="AU84" i="18"/>
  <c r="T84" i="18"/>
  <c r="AU88" i="18"/>
  <c r="T88" i="18"/>
  <c r="AU85" i="18"/>
  <c r="T85" i="18"/>
  <c r="AU82" i="18"/>
  <c r="T82" i="18"/>
  <c r="BA65" i="18"/>
  <c r="BO65" i="18" s="1"/>
  <c r="BA62" i="18"/>
  <c r="BO62" i="18" s="1"/>
  <c r="BA87" i="18"/>
  <c r="BO87" i="18" s="1"/>
  <c r="BC68" i="18"/>
  <c r="J44" i="18"/>
  <c r="BA73" i="18"/>
  <c r="BO73" i="18" s="1"/>
  <c r="BA79" i="18"/>
  <c r="BO79" i="18" s="1"/>
  <c r="BC70" i="18"/>
  <c r="BA70" i="18"/>
  <c r="BO70" i="18" s="1"/>
  <c r="Z51" i="51"/>
  <c r="AP51" i="51" s="1"/>
  <c r="U135" i="4"/>
  <c r="AD135" i="4" s="1"/>
  <c r="AE135" i="4" s="1"/>
  <c r="AF135" i="4" s="1"/>
  <c r="AS35" i="193"/>
  <c r="Z60" i="51"/>
  <c r="AP60" i="51" s="1"/>
  <c r="Z56" i="51"/>
  <c r="AP56" i="51" s="1"/>
  <c r="BA75" i="18"/>
  <c r="BO75" i="18" s="1"/>
  <c r="AY59" i="27"/>
  <c r="U122" i="26"/>
  <c r="AC122" i="26" s="1"/>
  <c r="AD122" i="26" s="1"/>
  <c r="AE122" i="26" s="1"/>
  <c r="AF122" i="26" s="1"/>
  <c r="Y122" i="26"/>
  <c r="U122" i="25"/>
  <c r="AC122" i="25" s="1"/>
  <c r="AD122" i="25" s="1"/>
  <c r="AE122" i="25" s="1"/>
  <c r="AF122" i="25" s="1"/>
  <c r="Y122" i="25"/>
  <c r="AR75" i="25"/>
  <c r="J50" i="23"/>
  <c r="Q46" i="23"/>
  <c r="Z55" i="23"/>
  <c r="AP55" i="23" s="1"/>
  <c r="AY46" i="23"/>
  <c r="AX46" i="23" s="1"/>
  <c r="BK46" i="23" s="1"/>
  <c r="N15" i="195"/>
  <c r="J55" i="23"/>
  <c r="Z46" i="23"/>
  <c r="AP46" i="23" s="1"/>
  <c r="AX79" i="23"/>
  <c r="BK79" i="23" s="1"/>
  <c r="U122" i="21"/>
  <c r="AC122" i="21" s="1"/>
  <c r="AD122" i="21" s="1"/>
  <c r="AE122" i="21" s="1"/>
  <c r="AF122" i="21" s="1"/>
  <c r="Y122" i="21"/>
  <c r="Q59" i="20"/>
  <c r="AS46" i="20"/>
  <c r="J23" i="195"/>
  <c r="U122" i="20"/>
  <c r="AC122" i="20" s="1"/>
  <c r="AD122" i="20" s="1"/>
  <c r="AE122" i="20" s="1"/>
  <c r="AF122" i="20" s="1"/>
  <c r="Y122" i="20"/>
  <c r="U122" i="19"/>
  <c r="AC122" i="19" s="1"/>
  <c r="AD122" i="19" s="1"/>
  <c r="AE122" i="19" s="1"/>
  <c r="AF122" i="19" s="1"/>
  <c r="Y122" i="19"/>
  <c r="BC81" i="29"/>
  <c r="T44" i="29"/>
  <c r="AZ44" i="29"/>
  <c r="BJ44" i="29" s="1"/>
  <c r="BC85" i="29"/>
  <c r="AU58" i="63"/>
  <c r="F18" i="195"/>
  <c r="BA58" i="63"/>
  <c r="BB58" i="63" s="1"/>
  <c r="J89" i="63"/>
  <c r="J44" i="63"/>
  <c r="U122" i="63"/>
  <c r="AC122" i="63" s="1"/>
  <c r="AD122" i="63" s="1"/>
  <c r="AE122" i="63" s="1"/>
  <c r="AF122" i="63" s="1"/>
  <c r="Y122" i="63"/>
  <c r="U122" i="18"/>
  <c r="AC122" i="18" s="1"/>
  <c r="Y122" i="18"/>
  <c r="BC62" i="18"/>
  <c r="BC86" i="18"/>
  <c r="BA81" i="18"/>
  <c r="BO81" i="18" s="1"/>
  <c r="BC71" i="18"/>
  <c r="J79" i="51"/>
  <c r="J51" i="51"/>
  <c r="AZ60" i="51"/>
  <c r="D20" i="195"/>
  <c r="AZ87" i="51"/>
  <c r="AZ89" i="51"/>
  <c r="Y122" i="51"/>
  <c r="AZ97" i="4"/>
  <c r="K135" i="4" s="1"/>
  <c r="U136" i="4"/>
  <c r="AD136" i="4" s="1"/>
  <c r="AE136" i="4" s="1"/>
  <c r="AF136" i="4" s="1"/>
  <c r="AZ98" i="4"/>
  <c r="K136" i="4" s="1"/>
  <c r="AY49" i="27"/>
  <c r="AR86" i="25"/>
  <c r="AX86" i="25"/>
  <c r="AW86" i="25" s="1"/>
  <c r="BH86" i="25" s="1"/>
  <c r="AR72" i="25"/>
  <c r="AX72" i="25"/>
  <c r="AR74" i="25"/>
  <c r="AX74" i="25"/>
  <c r="AR68" i="25"/>
  <c r="AX68" i="25"/>
  <c r="AR82" i="25"/>
  <c r="AX82" i="25"/>
  <c r="AW82" i="25" s="1"/>
  <c r="BH82" i="25" s="1"/>
  <c r="AR78" i="25"/>
  <c r="AX78" i="25"/>
  <c r="AR77" i="25"/>
  <c r="AX77" i="25"/>
  <c r="AR70" i="25"/>
  <c r="AX70" i="25"/>
  <c r="Z61" i="23"/>
  <c r="AP61" i="23" s="1"/>
  <c r="Z44" i="23"/>
  <c r="AP44" i="23" s="1"/>
  <c r="BC89" i="29"/>
  <c r="U122" i="29"/>
  <c r="AC122" i="29" s="1"/>
  <c r="AD122" i="29" s="1"/>
  <c r="AE122" i="29" s="1"/>
  <c r="AF122" i="29" s="1"/>
  <c r="BC48" i="29"/>
  <c r="BC52" i="29"/>
  <c r="BC56" i="29"/>
  <c r="AU44" i="63"/>
  <c r="F4" i="195"/>
  <c r="BA44" i="63"/>
  <c r="BB44" i="63" s="1"/>
  <c r="AU68" i="63"/>
  <c r="F28" i="195"/>
  <c r="BA68" i="63"/>
  <c r="AZ68" i="63" s="1"/>
  <c r="BL68" i="63" s="1"/>
  <c r="D30" i="195"/>
  <c r="J74" i="51"/>
  <c r="BA78" i="18"/>
  <c r="BO78" i="18" s="1"/>
  <c r="BB73" i="103"/>
  <c r="BB74" i="103"/>
  <c r="AY51" i="25"/>
  <c r="Q49" i="23"/>
  <c r="Q50" i="23"/>
  <c r="Q51" i="23"/>
  <c r="Q55" i="23"/>
  <c r="AX46" i="21"/>
  <c r="BH46" i="21" s="1"/>
  <c r="J53" i="20"/>
  <c r="Z46" i="20"/>
  <c r="AP46" i="20" s="1"/>
  <c r="Q54" i="20"/>
  <c r="Q62" i="20"/>
  <c r="AZ69" i="19"/>
  <c r="AZ68" i="19"/>
  <c r="AZ70" i="19"/>
  <c r="AZ53" i="19"/>
  <c r="AZ48" i="19"/>
  <c r="BC46" i="29"/>
  <c r="BC50" i="29"/>
  <c r="BC54" i="29"/>
  <c r="BC83" i="29"/>
  <c r="BC60" i="29"/>
  <c r="BC62" i="29"/>
  <c r="BC64" i="29"/>
  <c r="T66" i="29"/>
  <c r="F30" i="195"/>
  <c r="BA70" i="63"/>
  <c r="AZ70" i="63" s="1"/>
  <c r="BL70" i="63" s="1"/>
  <c r="AU70" i="63"/>
  <c r="F10" i="195"/>
  <c r="BA50" i="63"/>
  <c r="AU50" i="63"/>
  <c r="F9" i="195"/>
  <c r="BA49" i="63"/>
  <c r="BB49" i="63" s="1"/>
  <c r="AU49" i="63"/>
  <c r="AU54" i="63"/>
  <c r="F14" i="195"/>
  <c r="BA54" i="63"/>
  <c r="BB54" i="63" s="1"/>
  <c r="AU74" i="63"/>
  <c r="F34" i="195"/>
  <c r="BA74" i="63"/>
  <c r="BB74" i="63" s="1"/>
  <c r="F12" i="195"/>
  <c r="BA52" i="63"/>
  <c r="AZ52" i="63" s="1"/>
  <c r="BL52" i="63" s="1"/>
  <c r="AU52" i="63"/>
  <c r="Q80" i="63"/>
  <c r="AU62" i="63"/>
  <c r="F22" i="195"/>
  <c r="BA62" i="63"/>
  <c r="AZ62" i="63" s="1"/>
  <c r="BL62" i="63" s="1"/>
  <c r="AU76" i="63"/>
  <c r="F36" i="195"/>
  <c r="BA76" i="63"/>
  <c r="BB76" i="63" s="1"/>
  <c r="BA64" i="63"/>
  <c r="BB64" i="63" s="1"/>
  <c r="AU64" i="63"/>
  <c r="F24" i="195"/>
  <c r="F32" i="195"/>
  <c r="AU72" i="63"/>
  <c r="BA72" i="63"/>
  <c r="AZ72" i="63" s="1"/>
  <c r="BL72" i="63" s="1"/>
  <c r="AU71" i="63"/>
  <c r="F31" i="195"/>
  <c r="BA71" i="63"/>
  <c r="BB71" i="63" s="1"/>
  <c r="BA55" i="63"/>
  <c r="AZ55" i="63" s="1"/>
  <c r="BL55" i="63" s="1"/>
  <c r="AU55" i="63"/>
  <c r="F15" i="195"/>
  <c r="AU80" i="63"/>
  <c r="F40" i="195"/>
  <c r="BA80" i="63"/>
  <c r="AZ80" i="63" s="1"/>
  <c r="BL80" i="63" s="1"/>
  <c r="F38" i="195"/>
  <c r="BA78" i="63"/>
  <c r="AZ78" i="63" s="1"/>
  <c r="BL78" i="63" s="1"/>
  <c r="AU78" i="63"/>
  <c r="F7" i="195"/>
  <c r="BA47" i="63"/>
  <c r="BB47" i="63" s="1"/>
  <c r="AU47" i="63"/>
  <c r="F37" i="195"/>
  <c r="BA77" i="63"/>
  <c r="AZ77" i="63" s="1"/>
  <c r="BL77" i="63" s="1"/>
  <c r="AU77" i="63"/>
  <c r="F35" i="195"/>
  <c r="BA75" i="63"/>
  <c r="AZ75" i="63" s="1"/>
  <c r="BL75" i="63" s="1"/>
  <c r="AU75" i="63"/>
  <c r="F19" i="195"/>
  <c r="BA59" i="63"/>
  <c r="AZ59" i="63" s="1"/>
  <c r="BL59" i="63" s="1"/>
  <c r="AU59" i="63"/>
  <c r="F8" i="195"/>
  <c r="AU48" i="63"/>
  <c r="BA48" i="63"/>
  <c r="BB48" i="63" s="1"/>
  <c r="F17" i="195"/>
  <c r="BA57" i="63"/>
  <c r="AZ57" i="63" s="1"/>
  <c r="BL57" i="63" s="1"/>
  <c r="AU57" i="63"/>
  <c r="AU67" i="63"/>
  <c r="F27" i="195"/>
  <c r="BA67" i="63"/>
  <c r="BB67" i="63" s="1"/>
  <c r="AU73" i="63"/>
  <c r="F33" i="195"/>
  <c r="BA73" i="63"/>
  <c r="AU53" i="63"/>
  <c r="F13" i="195"/>
  <c r="BA53" i="63"/>
  <c r="BB53" i="63" s="1"/>
  <c r="AU65" i="63"/>
  <c r="F25" i="195"/>
  <c r="BA65" i="63"/>
  <c r="AZ65" i="63" s="1"/>
  <c r="BL65" i="63" s="1"/>
  <c r="AU60" i="63"/>
  <c r="F20" i="195"/>
  <c r="BA60" i="63"/>
  <c r="AZ60" i="63" s="1"/>
  <c r="BL60" i="63" s="1"/>
  <c r="F21" i="195"/>
  <c r="BA61" i="63"/>
  <c r="BB61" i="63" s="1"/>
  <c r="AU61" i="63"/>
  <c r="AU66" i="63"/>
  <c r="F26" i="195"/>
  <c r="BA66" i="63"/>
  <c r="AZ66" i="63" s="1"/>
  <c r="BL66" i="63" s="1"/>
  <c r="F16" i="195"/>
  <c r="BA56" i="63"/>
  <c r="AZ56" i="63" s="1"/>
  <c r="BL56" i="63" s="1"/>
  <c r="AU56" i="63"/>
  <c r="BB59" i="63"/>
  <c r="AT89" i="63"/>
  <c r="BA89" i="63" s="1"/>
  <c r="AT84" i="63"/>
  <c r="AT86" i="63"/>
  <c r="J53" i="51"/>
  <c r="J63" i="20"/>
  <c r="J6" i="195"/>
  <c r="Z63" i="20"/>
  <c r="AP63" i="20" s="1"/>
  <c r="AW46" i="20"/>
  <c r="BJ46" i="20" s="1"/>
  <c r="Z50" i="20"/>
  <c r="AP50" i="20" s="1"/>
  <c r="AS48" i="20"/>
  <c r="AZ47" i="20"/>
  <c r="J47" i="20"/>
  <c r="Z47" i="20"/>
  <c r="AP47" i="20" s="1"/>
  <c r="Z60" i="20"/>
  <c r="AP60" i="20" s="1"/>
  <c r="Z45" i="20"/>
  <c r="AP45" i="20" s="1"/>
  <c r="Q47" i="20"/>
  <c r="J60" i="20"/>
  <c r="Z53" i="20"/>
  <c r="AP53" i="20" s="1"/>
  <c r="J46" i="20"/>
  <c r="Z51" i="20"/>
  <c r="AP51" i="20" s="1"/>
  <c r="Q60" i="20"/>
  <c r="Q53" i="20"/>
  <c r="J54" i="20"/>
  <c r="Q63" i="20"/>
  <c r="AZ56" i="21"/>
  <c r="AW72" i="22"/>
  <c r="Y55" i="22"/>
  <c r="J66" i="22"/>
  <c r="P54" i="22"/>
  <c r="E123" i="16"/>
  <c r="J123" i="16" s="1"/>
  <c r="N123" i="16" s="1"/>
  <c r="S123" i="16" s="1"/>
  <c r="W123" i="16" s="1"/>
  <c r="E122" i="16"/>
  <c r="J122" i="16" s="1"/>
  <c r="N122" i="16" s="1"/>
  <c r="S122" i="16" s="1"/>
  <c r="W122" i="16" s="1"/>
  <c r="J81" i="51"/>
  <c r="J86" i="51"/>
  <c r="J87" i="51"/>
  <c r="J45" i="51"/>
  <c r="AZ69" i="103"/>
  <c r="BP69" i="103" s="1"/>
  <c r="BB69" i="103"/>
  <c r="AX87" i="23"/>
  <c r="BK87" i="23" s="1"/>
  <c r="Z59" i="23"/>
  <c r="AP59" i="23" s="1"/>
  <c r="J59" i="23"/>
  <c r="Q57" i="23"/>
  <c r="Q59" i="23"/>
  <c r="AZ75" i="19"/>
  <c r="AZ76" i="19"/>
  <c r="AZ72" i="19"/>
  <c r="AZ60" i="19"/>
  <c r="AZ51" i="19"/>
  <c r="AZ78" i="19"/>
  <c r="BC75" i="29"/>
  <c r="BC76" i="29"/>
  <c r="BC45" i="29"/>
  <c r="BC49" i="29"/>
  <c r="BC53" i="29"/>
  <c r="BC57" i="29"/>
  <c r="BC59" i="29"/>
  <c r="BC61" i="29"/>
  <c r="BC63" i="29"/>
  <c r="BC65" i="29"/>
  <c r="BC47" i="29"/>
  <c r="BC51" i="29"/>
  <c r="BC55" i="29"/>
  <c r="CD59" i="63"/>
  <c r="J59" i="63" s="1"/>
  <c r="AZ73" i="63"/>
  <c r="BL73" i="63" s="1"/>
  <c r="CD73" i="63"/>
  <c r="J73" i="63" s="1"/>
  <c r="CD66" i="63"/>
  <c r="J66" i="63" s="1"/>
  <c r="CD70" i="63"/>
  <c r="J70" i="63" s="1"/>
  <c r="AZ63" i="63"/>
  <c r="BL63" i="63" s="1"/>
  <c r="CD63" i="63"/>
  <c r="J63" i="63" s="1"/>
  <c r="CD49" i="63"/>
  <c r="J49" i="63" s="1"/>
  <c r="CD75" i="63"/>
  <c r="J75" i="63" s="1"/>
  <c r="CD53" i="63"/>
  <c r="J53" i="63" s="1"/>
  <c r="CD72" i="63"/>
  <c r="J72" i="63" s="1"/>
  <c r="CD65" i="63"/>
  <c r="J65" i="63" s="1"/>
  <c r="AZ50" i="63"/>
  <c r="BL50" i="63" s="1"/>
  <c r="CD50" i="63"/>
  <c r="J50" i="63" s="1"/>
  <c r="CD77" i="63"/>
  <c r="J77" i="63" s="1"/>
  <c r="CD61" i="63"/>
  <c r="J61" i="63" s="1"/>
  <c r="CD48" i="63"/>
  <c r="J48" i="63" s="1"/>
  <c r="CD67" i="63"/>
  <c r="J67" i="63" s="1"/>
  <c r="AZ51" i="63"/>
  <c r="BL51" i="63" s="1"/>
  <c r="CD51" i="63"/>
  <c r="J51" i="63" s="1"/>
  <c r="CD58" i="63"/>
  <c r="J58" i="63" s="1"/>
  <c r="CD54" i="63"/>
  <c r="J54" i="63" s="1"/>
  <c r="CD68" i="63"/>
  <c r="J68" i="63" s="1"/>
  <c r="CD60" i="63"/>
  <c r="J60" i="63" s="1"/>
  <c r="CD74" i="63"/>
  <c r="J74" i="63" s="1"/>
  <c r="CD55" i="63"/>
  <c r="J55" i="63" s="1"/>
  <c r="CD76" i="63"/>
  <c r="J76" i="63" s="1"/>
  <c r="CD62" i="63"/>
  <c r="J62" i="63" s="1"/>
  <c r="CD57" i="63"/>
  <c r="J57" i="63" s="1"/>
  <c r="CD78" i="63"/>
  <c r="J78" i="63" s="1"/>
  <c r="CD64" i="63"/>
  <c r="J64" i="63" s="1"/>
  <c r="AZ82" i="63"/>
  <c r="BL82" i="63" s="1"/>
  <c r="CD82" i="63"/>
  <c r="J82" i="63" s="1"/>
  <c r="CD86" i="63"/>
  <c r="J86" i="63" s="1"/>
  <c r="CD84" i="63"/>
  <c r="J84" i="63" s="1"/>
  <c r="BB50" i="63"/>
  <c r="BA69" i="63"/>
  <c r="AZ69" i="63" s="1"/>
  <c r="BL69" i="63" s="1"/>
  <c r="AU69" i="63"/>
  <c r="AZ88" i="63"/>
  <c r="BL88" i="63" s="1"/>
  <c r="BB63" i="63"/>
  <c r="BB57" i="63"/>
  <c r="BC78" i="18"/>
  <c r="BC79" i="18"/>
  <c r="BA68" i="18"/>
  <c r="BO68" i="18" s="1"/>
  <c r="J68" i="18"/>
  <c r="BC66" i="18"/>
  <c r="BA66" i="18"/>
  <c r="BO66" i="18" s="1"/>
  <c r="J66" i="18"/>
  <c r="BC67" i="18"/>
  <c r="BA80" i="18"/>
  <c r="BO80" i="18" s="1"/>
  <c r="J80" i="18"/>
  <c r="BC75" i="18"/>
  <c r="BA76" i="18"/>
  <c r="BO76" i="18" s="1"/>
  <c r="J76" i="18"/>
  <c r="BA74" i="18"/>
  <c r="BO74" i="18" s="1"/>
  <c r="J74" i="18"/>
  <c r="BA72" i="18"/>
  <c r="BO72" i="18" s="1"/>
  <c r="J72" i="18"/>
  <c r="Z59" i="51"/>
  <c r="AP59" i="51" s="1"/>
  <c r="AE34" i="193"/>
  <c r="AE35" i="193"/>
  <c r="AE37" i="193"/>
  <c r="AE31" i="193"/>
  <c r="AE32" i="193"/>
  <c r="AS34" i="193"/>
  <c r="AS32" i="193"/>
  <c r="AE38" i="193"/>
  <c r="Z67" i="51"/>
  <c r="AP67" i="51" s="1"/>
  <c r="AZ57" i="51"/>
  <c r="Z58" i="51"/>
  <c r="AP58" i="51" s="1"/>
  <c r="AX60" i="51"/>
  <c r="BH60" i="51" s="1"/>
  <c r="AX63" i="51"/>
  <c r="BH63" i="51" s="1"/>
  <c r="Z66" i="51"/>
  <c r="AP66" i="51" s="1"/>
  <c r="Z62" i="51"/>
  <c r="AP62" i="51" s="1"/>
  <c r="J66" i="23"/>
  <c r="AR66" i="23"/>
  <c r="AS66" i="23" s="1"/>
  <c r="Q66" i="23"/>
  <c r="AY82" i="20"/>
  <c r="AX82" i="20" s="1"/>
  <c r="BK82" i="20" s="1"/>
  <c r="J42" i="195"/>
  <c r="AO49" i="22"/>
  <c r="P49" i="22"/>
  <c r="Q76" i="51"/>
  <c r="E18" i="195"/>
  <c r="BB58" i="18"/>
  <c r="BA58" i="18" s="1"/>
  <c r="BO58" i="18" s="1"/>
  <c r="AR68" i="20"/>
  <c r="Z68" i="20"/>
  <c r="AP68" i="20" s="1"/>
  <c r="AX68" i="27"/>
  <c r="AW68" i="27" s="1"/>
  <c r="BH68" i="27" s="1"/>
  <c r="S28" i="195"/>
  <c r="AY88" i="20"/>
  <c r="AX88" i="20" s="1"/>
  <c r="BK88" i="20" s="1"/>
  <c r="J48" i="195"/>
  <c r="Z58" i="23"/>
  <c r="AP58" i="23" s="1"/>
  <c r="AR58" i="23"/>
  <c r="AS58" i="23" s="1"/>
  <c r="AT44" i="22"/>
  <c r="BF44" i="22" s="1"/>
  <c r="N8" i="195"/>
  <c r="AY48" i="23"/>
  <c r="AX48" i="23" s="1"/>
  <c r="BK48" i="23" s="1"/>
  <c r="Z48" i="23"/>
  <c r="AP48" i="23" s="1"/>
  <c r="AY58" i="25"/>
  <c r="AW58" i="51"/>
  <c r="BG58" i="51" s="1"/>
  <c r="AX84" i="27"/>
  <c r="AW84" i="27" s="1"/>
  <c r="BH84" i="27" s="1"/>
  <c r="S44" i="195"/>
  <c r="AY74" i="23"/>
  <c r="AX74" i="23" s="1"/>
  <c r="BK74" i="23" s="1"/>
  <c r="N34" i="195"/>
  <c r="AR49" i="20"/>
  <c r="AS49" i="20" s="1"/>
  <c r="Q49" i="20"/>
  <c r="AS47" i="23"/>
  <c r="AW47" i="23"/>
  <c r="E9" i="195"/>
  <c r="BB49" i="18"/>
  <c r="BA49" i="18" s="1"/>
  <c r="BO49" i="18" s="1"/>
  <c r="D7" i="195"/>
  <c r="AY47" i="51"/>
  <c r="AX47" i="51" s="1"/>
  <c r="BH47" i="51" s="1"/>
  <c r="BB46" i="63"/>
  <c r="AY87" i="19"/>
  <c r="AX87" i="19" s="1"/>
  <c r="BH87" i="19" s="1"/>
  <c r="I47" i="195"/>
  <c r="AX46" i="27"/>
  <c r="AW46" i="27" s="1"/>
  <c r="BH46" i="27" s="1"/>
  <c r="S6" i="195"/>
  <c r="AX62" i="27"/>
  <c r="AW62" i="27" s="1"/>
  <c r="BH62" i="27" s="1"/>
  <c r="S22" i="195"/>
  <c r="AY76" i="23"/>
  <c r="AX76" i="23" s="1"/>
  <c r="BK76" i="23" s="1"/>
  <c r="N36" i="195"/>
  <c r="J39" i="195"/>
  <c r="AY79" i="20"/>
  <c r="AX79" i="20" s="1"/>
  <c r="BK79" i="20" s="1"/>
  <c r="J34" i="195"/>
  <c r="AY74" i="20"/>
  <c r="AX74" i="20" s="1"/>
  <c r="BK74" i="20" s="1"/>
  <c r="AW53" i="51"/>
  <c r="BG53" i="51" s="1"/>
  <c r="AW74" i="22"/>
  <c r="AY65" i="27"/>
  <c r="AV45" i="105"/>
  <c r="AU45" i="105" s="1"/>
  <c r="AW76" i="104"/>
  <c r="BJ76" i="104" s="1"/>
  <c r="AY76" i="104"/>
  <c r="BC81" i="18"/>
  <c r="AZ65" i="19"/>
  <c r="E23" i="195"/>
  <c r="BB63" i="18"/>
  <c r="BA63" i="18" s="1"/>
  <c r="BO63" i="18" s="1"/>
  <c r="AW70" i="105"/>
  <c r="F39" i="195"/>
  <c r="BA79" i="63"/>
  <c r="AZ79" i="63" s="1"/>
  <c r="BL79" i="63" s="1"/>
  <c r="AX56" i="27"/>
  <c r="AW56" i="27" s="1"/>
  <c r="BH56" i="27" s="1"/>
  <c r="S16" i="195"/>
  <c r="AW57" i="23"/>
  <c r="BJ57" i="23" s="1"/>
  <c r="AS57" i="23"/>
  <c r="J20" i="195"/>
  <c r="AY60" i="20"/>
  <c r="AX60" i="20" s="1"/>
  <c r="BK60" i="20" s="1"/>
  <c r="AO46" i="22"/>
  <c r="J46" i="22"/>
  <c r="AW59" i="23"/>
  <c r="BJ59" i="23" s="1"/>
  <c r="AS59" i="23"/>
  <c r="Q48" i="23"/>
  <c r="AO52" i="22"/>
  <c r="AP52" i="22" s="1"/>
  <c r="J52" i="22"/>
  <c r="N10" i="195"/>
  <c r="AY50" i="23"/>
  <c r="M14" i="195"/>
  <c r="AV54" i="22"/>
  <c r="AU54" i="22" s="1"/>
  <c r="BG54" i="22" s="1"/>
  <c r="AO61" i="22"/>
  <c r="Y61" i="22"/>
  <c r="J61" i="22"/>
  <c r="I40" i="195"/>
  <c r="AY80" i="19"/>
  <c r="AX80" i="19" s="1"/>
  <c r="BH80" i="19" s="1"/>
  <c r="I49" i="195"/>
  <c r="AY89" i="19"/>
  <c r="AZ89" i="19" s="1"/>
  <c r="AX69" i="27"/>
  <c r="AW69" i="27" s="1"/>
  <c r="BH69" i="27" s="1"/>
  <c r="S29" i="195"/>
  <c r="AW66" i="20"/>
  <c r="BJ66" i="20" s="1"/>
  <c r="AW65" i="23"/>
  <c r="BJ65" i="23" s="1"/>
  <c r="AU65" i="22"/>
  <c r="BG65" i="22" s="1"/>
  <c r="E15" i="195"/>
  <c r="BB55" i="18"/>
  <c r="BA55" i="18" s="1"/>
  <c r="BO55" i="18" s="1"/>
  <c r="AW67" i="104"/>
  <c r="BJ67" i="104" s="1"/>
  <c r="AY67" i="104"/>
  <c r="Q27" i="490"/>
  <c r="AN67" i="27"/>
  <c r="B67" i="27"/>
  <c r="S27" i="135" s="1"/>
  <c r="AB67" i="27"/>
  <c r="AC67" i="27"/>
  <c r="Z45" i="51"/>
  <c r="AP45" i="51" s="1"/>
  <c r="AW61" i="51"/>
  <c r="BG61" i="51" s="1"/>
  <c r="AW78" i="22"/>
  <c r="AW68" i="23"/>
  <c r="BJ68" i="23" s="1"/>
  <c r="AS80" i="19"/>
  <c r="D35" i="195"/>
  <c r="AY75" i="51"/>
  <c r="AX75" i="51" s="1"/>
  <c r="BH75" i="51" s="1"/>
  <c r="AZ70" i="51"/>
  <c r="AY51" i="27"/>
  <c r="BC83" i="18"/>
  <c r="AN45" i="105"/>
  <c r="AT45" i="105" s="1"/>
  <c r="AW45" i="105" s="1"/>
  <c r="AA45" i="105"/>
  <c r="Y45" i="105" s="1"/>
  <c r="P45" i="105"/>
  <c r="AY78" i="23"/>
  <c r="AZ78" i="23" s="1"/>
  <c r="N38" i="195"/>
  <c r="AZ47" i="19"/>
  <c r="D9" i="195"/>
  <c r="AY49" i="51"/>
  <c r="AX49" i="51" s="1"/>
  <c r="BH49" i="51" s="1"/>
  <c r="AW68" i="20"/>
  <c r="BJ68" i="20" s="1"/>
  <c r="AR57" i="20"/>
  <c r="Q57" i="20"/>
  <c r="AS60" i="23"/>
  <c r="AW60" i="23"/>
  <c r="BJ60" i="23" s="1"/>
  <c r="AS76" i="23"/>
  <c r="BC72" i="18"/>
  <c r="BC74" i="18"/>
  <c r="T124" i="22"/>
  <c r="X124" i="22" s="1"/>
  <c r="AB124" i="22" s="1"/>
  <c r="R124" i="22"/>
  <c r="V124" i="22" s="1"/>
  <c r="Z124" i="22" s="1"/>
  <c r="M83" i="639" s="1"/>
  <c r="S124" i="22"/>
  <c r="W124" i="22" s="1"/>
  <c r="AA124" i="22" s="1"/>
  <c r="M8" i="639" s="1"/>
  <c r="J29" i="195"/>
  <c r="AY69" i="20"/>
  <c r="AX69" i="20" s="1"/>
  <c r="BK69" i="20" s="1"/>
  <c r="BB82" i="63"/>
  <c r="AW71" i="104"/>
  <c r="BJ71" i="104" s="1"/>
  <c r="AY71" i="104"/>
  <c r="AW64" i="23"/>
  <c r="BJ64" i="23" s="1"/>
  <c r="AW66" i="23"/>
  <c r="BJ66" i="23" s="1"/>
  <c r="J49" i="20"/>
  <c r="AO60" i="22"/>
  <c r="J60" i="22"/>
  <c r="AW58" i="20"/>
  <c r="BJ58" i="20" s="1"/>
  <c r="AW56" i="23"/>
  <c r="BJ56" i="23" s="1"/>
  <c r="J12" i="195"/>
  <c r="AY52" i="20"/>
  <c r="AX52" i="20" s="1"/>
  <c r="BK52" i="20" s="1"/>
  <c r="D31" i="195"/>
  <c r="AY71" i="51"/>
  <c r="AX71" i="51" s="1"/>
  <c r="BH71" i="51" s="1"/>
  <c r="AW57" i="20"/>
  <c r="BJ57" i="20" s="1"/>
  <c r="AR64" i="23"/>
  <c r="AT60" i="22"/>
  <c r="BF60" i="22" s="1"/>
  <c r="J76" i="51"/>
  <c r="J58" i="23"/>
  <c r="J83" i="51"/>
  <c r="AY65" i="25"/>
  <c r="AY54" i="25"/>
  <c r="AU73" i="22"/>
  <c r="BG73" i="22" s="1"/>
  <c r="AZ65" i="51"/>
  <c r="BC73" i="18"/>
  <c r="AA67" i="27"/>
  <c r="AP67" i="27" s="1"/>
  <c r="J43" i="195"/>
  <c r="AY83" i="20"/>
  <c r="AX83" i="20" s="1"/>
  <c r="BK83" i="20" s="1"/>
  <c r="AR69" i="27"/>
  <c r="E16" i="195"/>
  <c r="BB56" i="18"/>
  <c r="BA56" i="18" s="1"/>
  <c r="BO56" i="18" s="1"/>
  <c r="AW65" i="20"/>
  <c r="AS65" i="20"/>
  <c r="D8" i="195"/>
  <c r="AY48" i="51"/>
  <c r="BB62" i="63"/>
  <c r="AT64" i="22"/>
  <c r="BF64" i="22" s="1"/>
  <c r="AX50" i="27"/>
  <c r="AW50" i="27" s="1"/>
  <c r="BH50" i="27" s="1"/>
  <c r="S10" i="195"/>
  <c r="AX70" i="27"/>
  <c r="AW70" i="27" s="1"/>
  <c r="BH70" i="27" s="1"/>
  <c r="S30" i="195"/>
  <c r="D11" i="195"/>
  <c r="AY51" i="51"/>
  <c r="BB55" i="63"/>
  <c r="AY53" i="27"/>
  <c r="AX80" i="27"/>
  <c r="AW80" i="27" s="1"/>
  <c r="BH80" i="27" s="1"/>
  <c r="S40" i="195"/>
  <c r="AS82" i="20"/>
  <c r="F45" i="195"/>
  <c r="BA85" i="63"/>
  <c r="BB85" i="63" s="1"/>
  <c r="N7" i="195"/>
  <c r="F41" i="195"/>
  <c r="BA81" i="63"/>
  <c r="AZ81" i="63" s="1"/>
  <c r="BL81" i="63" s="1"/>
  <c r="L44" i="24"/>
  <c r="Q4" i="196"/>
  <c r="F43" i="195"/>
  <c r="BA83" i="63"/>
  <c r="AZ83" i="63" s="1"/>
  <c r="BL83" i="63" s="1"/>
  <c r="AX75" i="27"/>
  <c r="AW75" i="27" s="1"/>
  <c r="BH75" i="27" s="1"/>
  <c r="S35" i="195"/>
  <c r="D10" i="195"/>
  <c r="AY50" i="51"/>
  <c r="AX50" i="51" s="1"/>
  <c r="BH50" i="51" s="1"/>
  <c r="BC87" i="18"/>
  <c r="P140" i="103"/>
  <c r="AZ77" i="19"/>
  <c r="P140" i="104"/>
  <c r="AU85" i="63"/>
  <c r="AT56" i="22"/>
  <c r="BF56" i="22" s="1"/>
  <c r="AX44" i="27"/>
  <c r="AW44" i="27" s="1"/>
  <c r="BH44" i="27" s="1"/>
  <c r="S4" i="195"/>
  <c r="AX60" i="27"/>
  <c r="AW60" i="27" s="1"/>
  <c r="BH60" i="27" s="1"/>
  <c r="S20" i="195"/>
  <c r="AP45" i="22"/>
  <c r="M5" i="195"/>
  <c r="AV45" i="22"/>
  <c r="AW45" i="22" s="1"/>
  <c r="AW58" i="23"/>
  <c r="BJ58" i="23" s="1"/>
  <c r="AR50" i="20"/>
  <c r="J50" i="20"/>
  <c r="AP46" i="22"/>
  <c r="AT46" i="22"/>
  <c r="BF46" i="22" s="1"/>
  <c r="AR59" i="20"/>
  <c r="J59" i="20"/>
  <c r="AO67" i="22"/>
  <c r="J67" i="22"/>
  <c r="Q52" i="20"/>
  <c r="AW54" i="25"/>
  <c r="BH54" i="25" s="1"/>
  <c r="AW62" i="25"/>
  <c r="BH62" i="25" s="1"/>
  <c r="AX80" i="23"/>
  <c r="BK80" i="23" s="1"/>
  <c r="AU71" i="22"/>
  <c r="BG71" i="22" s="1"/>
  <c r="J31" i="195"/>
  <c r="AY71" i="20"/>
  <c r="AX71" i="20" s="1"/>
  <c r="BK71" i="20" s="1"/>
  <c r="AW68" i="104"/>
  <c r="BJ68" i="104" s="1"/>
  <c r="AY68" i="104"/>
  <c r="D16" i="195"/>
  <c r="AY56" i="51"/>
  <c r="AX56" i="51" s="1"/>
  <c r="BH56" i="51" s="1"/>
  <c r="AW63" i="23"/>
  <c r="BJ63" i="23" s="1"/>
  <c r="AY61" i="27"/>
  <c r="AW77" i="51"/>
  <c r="J41" i="195"/>
  <c r="AY81" i="20"/>
  <c r="AX81" i="20" s="1"/>
  <c r="BK81" i="20" s="1"/>
  <c r="AS64" i="20"/>
  <c r="AW64" i="20"/>
  <c r="I42" i="195"/>
  <c r="AY82" i="19"/>
  <c r="AX82" i="19" s="1"/>
  <c r="BH82" i="19" s="1"/>
  <c r="Z61" i="51"/>
  <c r="AP61" i="51" s="1"/>
  <c r="AZ64" i="19"/>
  <c r="AX86" i="27"/>
  <c r="AW86" i="27" s="1"/>
  <c r="BH86" i="27" s="1"/>
  <c r="S46" i="195"/>
  <c r="I45" i="195"/>
  <c r="AY85" i="19"/>
  <c r="AX85" i="19" s="1"/>
  <c r="BH85" i="19" s="1"/>
  <c r="AX79" i="27"/>
  <c r="AW79" i="27" s="1"/>
  <c r="BH79" i="27" s="1"/>
  <c r="S39" i="195"/>
  <c r="BB77" i="63"/>
  <c r="AZ55" i="19"/>
  <c r="AS79" i="20"/>
  <c r="AY45" i="27"/>
  <c r="J30" i="195"/>
  <c r="AY70" i="20"/>
  <c r="AX70" i="20" s="1"/>
  <c r="BK70" i="20" s="1"/>
  <c r="AW45" i="23"/>
  <c r="AS45" i="23"/>
  <c r="D26" i="195"/>
  <c r="AY66" i="51"/>
  <c r="AX66" i="51" s="1"/>
  <c r="BH66" i="51" s="1"/>
  <c r="BB75" i="63"/>
  <c r="AS46" i="23"/>
  <c r="AW46" i="23"/>
  <c r="AS85" i="19"/>
  <c r="AY57" i="27"/>
  <c r="AY86" i="20"/>
  <c r="AX86" i="20" s="1"/>
  <c r="BK86" i="20" s="1"/>
  <c r="J46" i="195"/>
  <c r="AP48" i="105"/>
  <c r="AV48" i="105"/>
  <c r="AU48" i="105" s="1"/>
  <c r="AW51" i="20"/>
  <c r="BJ51" i="20" s="1"/>
  <c r="AO63" i="22"/>
  <c r="J63" i="22"/>
  <c r="AR61" i="20"/>
  <c r="AS61" i="20" s="1"/>
  <c r="J61" i="20"/>
  <c r="J44" i="22"/>
  <c r="AO44" i="22"/>
  <c r="AO47" i="22"/>
  <c r="J47" i="22"/>
  <c r="AS60" i="20"/>
  <c r="AW60" i="20"/>
  <c r="BJ60" i="20" s="1"/>
  <c r="AS48" i="23"/>
  <c r="AW48" i="23"/>
  <c r="J57" i="20"/>
  <c r="AS50" i="23"/>
  <c r="AW50" i="23"/>
  <c r="AW67" i="23"/>
  <c r="BJ67" i="23" s="1"/>
  <c r="AW66" i="104"/>
  <c r="BJ66" i="104" s="1"/>
  <c r="AY66" i="104"/>
  <c r="D21" i="195"/>
  <c r="AY61" i="51"/>
  <c r="AX61" i="51" s="1"/>
  <c r="BH61" i="51" s="1"/>
  <c r="AN47" i="105"/>
  <c r="AA47" i="105"/>
  <c r="Y47" i="105" s="1"/>
  <c r="P47" i="105"/>
  <c r="J67" i="23"/>
  <c r="AR67" i="23"/>
  <c r="BA89" i="18"/>
  <c r="BO89" i="18" s="1"/>
  <c r="AW55" i="25"/>
  <c r="BH55" i="25" s="1"/>
  <c r="AW63" i="25"/>
  <c r="BH63" i="25" s="1"/>
  <c r="AY50" i="25"/>
  <c r="AZ46" i="63"/>
  <c r="BL46" i="63" s="1"/>
  <c r="AX50" i="23"/>
  <c r="BK50" i="23" s="1"/>
  <c r="D22" i="195"/>
  <c r="AY62" i="51"/>
  <c r="AX62" i="51" s="1"/>
  <c r="BH62" i="51" s="1"/>
  <c r="E17" i="195"/>
  <c r="BB57" i="18"/>
  <c r="BA57" i="18" s="1"/>
  <c r="BO57" i="18" s="1"/>
  <c r="E11" i="195"/>
  <c r="BB51" i="18"/>
  <c r="BA51" i="18" s="1"/>
  <c r="BO51" i="18" s="1"/>
  <c r="J45" i="195"/>
  <c r="AY85" i="20"/>
  <c r="AX85" i="20" s="1"/>
  <c r="BK85" i="20" s="1"/>
  <c r="I46" i="195"/>
  <c r="AY86" i="19"/>
  <c r="AX86" i="19" s="1"/>
  <c r="BH86" i="19" s="1"/>
  <c r="AY54" i="23"/>
  <c r="AX54" i="23" s="1"/>
  <c r="BK54" i="23" s="1"/>
  <c r="N14" i="195"/>
  <c r="D19" i="195"/>
  <c r="AY59" i="51"/>
  <c r="AX59" i="51" s="1"/>
  <c r="BH59" i="51" s="1"/>
  <c r="AT58" i="22"/>
  <c r="BF58" i="22" s="1"/>
  <c r="AY76" i="27"/>
  <c r="AW55" i="20"/>
  <c r="BJ55" i="20" s="1"/>
  <c r="AO59" i="22"/>
  <c r="P59" i="22"/>
  <c r="J59" i="22"/>
  <c r="AW53" i="23"/>
  <c r="AS53" i="23"/>
  <c r="AZ45" i="19"/>
  <c r="AW73" i="51"/>
  <c r="AS86" i="19"/>
  <c r="AO64" i="22"/>
  <c r="AP64" i="22" s="1"/>
  <c r="J64" i="22"/>
  <c r="P64" i="22"/>
  <c r="J38" i="195"/>
  <c r="AY78" i="20"/>
  <c r="AX78" i="20" s="1"/>
  <c r="BK78" i="20" s="1"/>
  <c r="AX54" i="27"/>
  <c r="AW54" i="27" s="1"/>
  <c r="BH54" i="27" s="1"/>
  <c r="S14" i="195"/>
  <c r="AY52" i="23"/>
  <c r="AX52" i="23" s="1"/>
  <c r="BK52" i="23" s="1"/>
  <c r="N12" i="195"/>
  <c r="AZ64" i="51"/>
  <c r="BB73" i="63"/>
  <c r="AX71" i="27"/>
  <c r="AW71" i="27" s="1"/>
  <c r="BH71" i="27" s="1"/>
  <c r="S31" i="195"/>
  <c r="AX73" i="27"/>
  <c r="AW73" i="27" s="1"/>
  <c r="BH73" i="27" s="1"/>
  <c r="S33" i="195"/>
  <c r="D6" i="195"/>
  <c r="AY46" i="51"/>
  <c r="E24" i="195"/>
  <c r="BB64" i="18"/>
  <c r="BC64" i="18" s="1"/>
  <c r="D27" i="195"/>
  <c r="AY67" i="51"/>
  <c r="AX67" i="51" s="1"/>
  <c r="BH67" i="51" s="1"/>
  <c r="AZ62" i="19"/>
  <c r="AX85" i="27"/>
  <c r="AW85" i="27" s="1"/>
  <c r="BH85" i="27" s="1"/>
  <c r="S45" i="195"/>
  <c r="Z49" i="20"/>
  <c r="AP49" i="20" s="1"/>
  <c r="AW69" i="51"/>
  <c r="E20" i="195"/>
  <c r="BB60" i="18"/>
  <c r="BC60" i="18" s="1"/>
  <c r="I44" i="195"/>
  <c r="AY84" i="19"/>
  <c r="AX84" i="19" s="1"/>
  <c r="BH84" i="19" s="1"/>
  <c r="AY60" i="27"/>
  <c r="AW55" i="23"/>
  <c r="AS55" i="23"/>
  <c r="AZ82" i="19"/>
  <c r="AO51" i="22"/>
  <c r="J51" i="22"/>
  <c r="P51" i="22"/>
  <c r="BB88" i="63"/>
  <c r="AN46" i="105"/>
  <c r="AT46" i="105" s="1"/>
  <c r="AW46" i="105" s="1"/>
  <c r="AA46" i="105"/>
  <c r="Y46" i="105" s="1"/>
  <c r="P46" i="105"/>
  <c r="E13" i="195"/>
  <c r="BB53" i="18"/>
  <c r="BA53" i="18" s="1"/>
  <c r="BO53" i="18" s="1"/>
  <c r="AZ49" i="19"/>
  <c r="AR86" i="27"/>
  <c r="AR79" i="27"/>
  <c r="AW73" i="105"/>
  <c r="AO56" i="22"/>
  <c r="AP56" i="22" s="1"/>
  <c r="P56" i="22"/>
  <c r="J56" i="22"/>
  <c r="AN48" i="105"/>
  <c r="AT48" i="105" s="1"/>
  <c r="AW48" i="105" s="1"/>
  <c r="AA48" i="105"/>
  <c r="Y48" i="105" s="1"/>
  <c r="P48" i="105"/>
  <c r="AX48" i="27"/>
  <c r="AW48" i="27" s="1"/>
  <c r="BH48" i="27" s="1"/>
  <c r="S8" i="195"/>
  <c r="AX64" i="27"/>
  <c r="AW64" i="27" s="1"/>
  <c r="BH64" i="27" s="1"/>
  <c r="S24" i="195"/>
  <c r="N11" i="195"/>
  <c r="AY51" i="23"/>
  <c r="AX51" i="23" s="1"/>
  <c r="BK51" i="23" s="1"/>
  <c r="AP62" i="22"/>
  <c r="AT62" i="22"/>
  <c r="BF62" i="22" s="1"/>
  <c r="P44" i="22"/>
  <c r="AS50" i="20"/>
  <c r="AW50" i="20"/>
  <c r="BJ50" i="20" s="1"/>
  <c r="AP66" i="22"/>
  <c r="AT66" i="22"/>
  <c r="BF66" i="22" s="1"/>
  <c r="AO55" i="22"/>
  <c r="J55" i="22"/>
  <c r="AW53" i="20"/>
  <c r="BJ53" i="20" s="1"/>
  <c r="AS53" i="20"/>
  <c r="AP44" i="105"/>
  <c r="AV44" i="105"/>
  <c r="AU44" i="105" s="1"/>
  <c r="AT48" i="22"/>
  <c r="BF48" i="22" s="1"/>
  <c r="AO50" i="22"/>
  <c r="AP50" i="22" s="1"/>
  <c r="P50" i="22"/>
  <c r="J50" i="22"/>
  <c r="Q78" i="21"/>
  <c r="J68" i="23"/>
  <c r="AR68" i="23"/>
  <c r="AZ54" i="21"/>
  <c r="AW64" i="25"/>
  <c r="BH64" i="25" s="1"/>
  <c r="AY55" i="25"/>
  <c r="AZ47" i="63"/>
  <c r="BL47" i="63" s="1"/>
  <c r="AX72" i="51"/>
  <c r="BH72" i="51" s="1"/>
  <c r="I41" i="195"/>
  <c r="AY81" i="19"/>
  <c r="AX81" i="19" s="1"/>
  <c r="BH81" i="19" s="1"/>
  <c r="E10" i="195"/>
  <c r="BB50" i="18"/>
  <c r="BA50" i="18" s="1"/>
  <c r="BO50" i="18" s="1"/>
  <c r="E12" i="195"/>
  <c r="BB52" i="18"/>
  <c r="BA52" i="18" s="1"/>
  <c r="BO52" i="18" s="1"/>
  <c r="AS81" i="19"/>
  <c r="AS85" i="20"/>
  <c r="AS54" i="20"/>
  <c r="AW54" i="20"/>
  <c r="AY84" i="27"/>
  <c r="AO48" i="22"/>
  <c r="J48" i="22"/>
  <c r="P48" i="22"/>
  <c r="AS89" i="19"/>
  <c r="D37" i="195"/>
  <c r="BC89" i="18"/>
  <c r="BC54" i="18"/>
  <c r="J40" i="195"/>
  <c r="AY80" i="20"/>
  <c r="AX80" i="20" s="1"/>
  <c r="BK80" i="20" s="1"/>
  <c r="AS81" i="20"/>
  <c r="AR62" i="27"/>
  <c r="AS87" i="19"/>
  <c r="AZ63" i="19"/>
  <c r="AW71" i="51"/>
  <c r="J47" i="195"/>
  <c r="AY87" i="20"/>
  <c r="AX87" i="20" s="1"/>
  <c r="BK87" i="20" s="1"/>
  <c r="AT50" i="22"/>
  <c r="BF50" i="22" s="1"/>
  <c r="BB79" i="63"/>
  <c r="AS82" i="19"/>
  <c r="AR70" i="27"/>
  <c r="I43" i="195"/>
  <c r="AY83" i="19"/>
  <c r="AX83" i="19" s="1"/>
  <c r="BH83" i="19" s="1"/>
  <c r="AP46" i="105"/>
  <c r="Y6" i="195"/>
  <c r="AV46" i="105"/>
  <c r="AU46" i="105" s="1"/>
  <c r="AS56" i="20"/>
  <c r="AW56" i="20"/>
  <c r="AR51" i="20"/>
  <c r="J51" i="20"/>
  <c r="AR66" i="20"/>
  <c r="Z66" i="20"/>
  <c r="AP66" i="20" s="1"/>
  <c r="J45" i="22"/>
  <c r="AW59" i="20"/>
  <c r="BJ59" i="20" s="1"/>
  <c r="AS59" i="20"/>
  <c r="Q65" i="23"/>
  <c r="AR65" i="23"/>
  <c r="AS65" i="23" s="1"/>
  <c r="P60" i="22"/>
  <c r="N9" i="195"/>
  <c r="AY49" i="23"/>
  <c r="AX49" i="23" s="1"/>
  <c r="BK49" i="23" s="1"/>
  <c r="Z56" i="23"/>
  <c r="AP56" i="23" s="1"/>
  <c r="AR56" i="23"/>
  <c r="AS56" i="23" s="1"/>
  <c r="AS52" i="20"/>
  <c r="AW52" i="20"/>
  <c r="BJ52" i="20" s="1"/>
  <c r="AX81" i="27"/>
  <c r="AW81" i="27" s="1"/>
  <c r="BH81" i="27" s="1"/>
  <c r="S41" i="195"/>
  <c r="E19" i="195"/>
  <c r="BB59" i="18"/>
  <c r="BA59" i="18" s="1"/>
  <c r="BO59" i="18" s="1"/>
  <c r="J49" i="195"/>
  <c r="AY89" i="20"/>
  <c r="AZ89" i="20" s="1"/>
  <c r="AZ73" i="19"/>
  <c r="AW63" i="20"/>
  <c r="AS63" i="20"/>
  <c r="AS49" i="23"/>
  <c r="AW49" i="23"/>
  <c r="BJ49" i="23" s="1"/>
  <c r="J48" i="23"/>
  <c r="BC84" i="29"/>
  <c r="AW65" i="25"/>
  <c r="BH65" i="25" s="1"/>
  <c r="AY56" i="25"/>
  <c r="AY62" i="25"/>
  <c r="AX53" i="23"/>
  <c r="BK53" i="23" s="1"/>
  <c r="AX62" i="23"/>
  <c r="BK62" i="23" s="1"/>
  <c r="AX82" i="27"/>
  <c r="AW82" i="27" s="1"/>
  <c r="BH82" i="27" s="1"/>
  <c r="S42" i="195"/>
  <c r="AY88" i="27"/>
  <c r="AN44" i="105"/>
  <c r="AT44" i="105" s="1"/>
  <c r="AW44" i="105" s="1"/>
  <c r="AA44" i="105"/>
  <c r="Y44" i="105" s="1"/>
  <c r="P44" i="105"/>
  <c r="D18" i="195"/>
  <c r="AY58" i="51"/>
  <c r="AX58" i="51" s="1"/>
  <c r="BH58" i="51" s="1"/>
  <c r="D12" i="195"/>
  <c r="AY52" i="51"/>
  <c r="AZ58" i="19"/>
  <c r="AY46" i="27"/>
  <c r="I39" i="195"/>
  <c r="AY79" i="19"/>
  <c r="AX79" i="19" s="1"/>
  <c r="BH79" i="19" s="1"/>
  <c r="AW59" i="51"/>
  <c r="BG59" i="51" s="1"/>
  <c r="AW49" i="20"/>
  <c r="BJ49" i="20" s="1"/>
  <c r="AY84" i="20"/>
  <c r="AX84" i="20" s="1"/>
  <c r="BK84" i="20" s="1"/>
  <c r="J44" i="195"/>
  <c r="AO58" i="22"/>
  <c r="P58" i="22"/>
  <c r="AX83" i="27"/>
  <c r="AW83" i="27" s="1"/>
  <c r="BH83" i="27" s="1"/>
  <c r="S43" i="195"/>
  <c r="AR55" i="20"/>
  <c r="AS55" i="20" s="1"/>
  <c r="Q55" i="20"/>
  <c r="J55" i="20"/>
  <c r="AS52" i="23"/>
  <c r="AW52" i="23"/>
  <c r="BJ52" i="23" s="1"/>
  <c r="AX66" i="27"/>
  <c r="AW66" i="27" s="1"/>
  <c r="BH66" i="27" s="1"/>
  <c r="S26" i="195"/>
  <c r="D14" i="195"/>
  <c r="AY54" i="51"/>
  <c r="J27" i="195"/>
  <c r="AY67" i="20"/>
  <c r="AX67" i="20" s="1"/>
  <c r="BK67" i="20" s="1"/>
  <c r="D4" i="195"/>
  <c r="AY44" i="51"/>
  <c r="AX44" i="51" s="1"/>
  <c r="BH44" i="51" s="1"/>
  <c r="AS54" i="23"/>
  <c r="AW54" i="23"/>
  <c r="BJ54" i="23" s="1"/>
  <c r="AR84" i="27"/>
  <c r="AS79" i="19"/>
  <c r="AS74" i="23"/>
  <c r="F47" i="195"/>
  <c r="BA87" i="63"/>
  <c r="BB87" i="63" s="1"/>
  <c r="AX58" i="27"/>
  <c r="AW58" i="27" s="1"/>
  <c r="BH58" i="27" s="1"/>
  <c r="S18" i="195"/>
  <c r="AY60" i="23"/>
  <c r="AX60" i="23" s="1"/>
  <c r="BK60" i="23" s="1"/>
  <c r="N20" i="195"/>
  <c r="J14" i="195"/>
  <c r="E21" i="195"/>
  <c r="BB61" i="18"/>
  <c r="BA61" i="18" s="1"/>
  <c r="BO61" i="18" s="1"/>
  <c r="AY68" i="27"/>
  <c r="AW69" i="104"/>
  <c r="BJ69" i="104" s="1"/>
  <c r="AY69" i="104"/>
  <c r="AW76" i="22"/>
  <c r="Y7" i="195"/>
  <c r="AV47" i="105"/>
  <c r="AU47" i="105" s="1"/>
  <c r="Z53" i="51"/>
  <c r="AP53" i="51" s="1"/>
  <c r="AZ83" i="51"/>
  <c r="AW67" i="51"/>
  <c r="BG67" i="51" s="1"/>
  <c r="AW68" i="22"/>
  <c r="AW70" i="22"/>
  <c r="AX72" i="27"/>
  <c r="AW72" i="27" s="1"/>
  <c r="BH72" i="27" s="1"/>
  <c r="S32" i="195"/>
  <c r="N13" i="195"/>
  <c r="AW44" i="23"/>
  <c r="AS44" i="23"/>
  <c r="AY80" i="27"/>
  <c r="AW61" i="23"/>
  <c r="AS61" i="23"/>
  <c r="AZ57" i="19"/>
  <c r="AV56" i="18"/>
  <c r="AO57" i="22"/>
  <c r="P57" i="22"/>
  <c r="J57" i="22"/>
  <c r="Y57" i="22"/>
  <c r="AS62" i="23"/>
  <c r="AW62" i="23"/>
  <c r="AS80" i="20"/>
  <c r="AS62" i="20"/>
  <c r="AW62" i="20"/>
  <c r="AX87" i="27"/>
  <c r="AW87" i="27" s="1"/>
  <c r="BH87" i="27" s="1"/>
  <c r="S47" i="195"/>
  <c r="AY55" i="27"/>
  <c r="AX52" i="27"/>
  <c r="AW52" i="27" s="1"/>
  <c r="BH52" i="27" s="1"/>
  <c r="S12" i="195"/>
  <c r="AS51" i="23"/>
  <c r="AW51" i="23"/>
  <c r="BJ51" i="23" s="1"/>
  <c r="P63" i="22"/>
  <c r="AY57" i="23"/>
  <c r="AX57" i="23" s="1"/>
  <c r="BK57" i="23" s="1"/>
  <c r="N17" i="195"/>
  <c r="AW61" i="20"/>
  <c r="BJ61" i="20" s="1"/>
  <c r="Q58" i="23"/>
  <c r="M22" i="195"/>
  <c r="AV62" i="22"/>
  <c r="AU62" i="22" s="1"/>
  <c r="BG62" i="22" s="1"/>
  <c r="J49" i="22"/>
  <c r="AR45" i="20"/>
  <c r="J45" i="20"/>
  <c r="AY59" i="23"/>
  <c r="AX59" i="23" s="1"/>
  <c r="BK59" i="23" s="1"/>
  <c r="N19" i="195"/>
  <c r="AO53" i="22"/>
  <c r="Y53" i="22"/>
  <c r="J53" i="22"/>
  <c r="AT52" i="22"/>
  <c r="BF52" i="22" s="1"/>
  <c r="M26" i="195"/>
  <c r="AV66" i="22"/>
  <c r="AU66" i="22" s="1"/>
  <c r="BG66" i="22" s="1"/>
  <c r="P67" i="22"/>
  <c r="J13" i="195"/>
  <c r="AY53" i="20"/>
  <c r="AX53" i="20" s="1"/>
  <c r="BK53" i="20" s="1"/>
  <c r="J58" i="20"/>
  <c r="AR58" i="20"/>
  <c r="AP54" i="22"/>
  <c r="AT54" i="22"/>
  <c r="Q56" i="23"/>
  <c r="C177" i="105"/>
  <c r="B177" i="105"/>
  <c r="W140" i="105"/>
  <c r="H84" i="51"/>
  <c r="J84" i="51"/>
  <c r="AW72" i="102"/>
  <c r="BG72" i="102" s="1"/>
  <c r="AY72" i="102"/>
  <c r="AW83" i="102"/>
  <c r="BG83" i="102" s="1"/>
  <c r="AY83" i="102"/>
  <c r="P139" i="102"/>
  <c r="BE70" i="101"/>
  <c r="BQ70" i="101" s="1"/>
  <c r="BG70" i="101"/>
  <c r="BE75" i="101"/>
  <c r="BQ75" i="101" s="1"/>
  <c r="BG75" i="101"/>
  <c r="BE72" i="101"/>
  <c r="BQ72" i="101" s="1"/>
  <c r="BG72" i="101"/>
  <c r="BE67" i="101"/>
  <c r="BQ67" i="101" s="1"/>
  <c r="BG67" i="101"/>
  <c r="AX69" i="26"/>
  <c r="AX68" i="26" s="1"/>
  <c r="R29" i="195"/>
  <c r="AX79" i="26"/>
  <c r="AW79" i="26" s="1"/>
  <c r="BH79" i="26" s="1"/>
  <c r="R39" i="195"/>
  <c r="AX83" i="26"/>
  <c r="AW83" i="26" s="1"/>
  <c r="BH83" i="26" s="1"/>
  <c r="R43" i="195"/>
  <c r="AX87" i="26"/>
  <c r="AW87" i="26" s="1"/>
  <c r="BH87" i="26" s="1"/>
  <c r="R47" i="195"/>
  <c r="AX88" i="26"/>
  <c r="R48" i="195"/>
  <c r="AR79" i="26"/>
  <c r="AR83" i="26"/>
  <c r="AR87" i="26"/>
  <c r="AR88" i="26"/>
  <c r="AQ70" i="26"/>
  <c r="X70" i="26"/>
  <c r="AX81" i="26"/>
  <c r="AW81" i="26" s="1"/>
  <c r="BH81" i="26" s="1"/>
  <c r="R41" i="195"/>
  <c r="AX85" i="26"/>
  <c r="AW85" i="26" s="1"/>
  <c r="BH85" i="26" s="1"/>
  <c r="R45" i="195"/>
  <c r="AX89" i="26"/>
  <c r="AW89" i="26" s="1"/>
  <c r="BH89" i="26" s="1"/>
  <c r="R49" i="195"/>
  <c r="AR69" i="26"/>
  <c r="AX80" i="26"/>
  <c r="AW80" i="26" s="1"/>
  <c r="BH80" i="26" s="1"/>
  <c r="R40" i="195"/>
  <c r="AX82" i="26"/>
  <c r="AW82" i="26" s="1"/>
  <c r="BH82" i="26" s="1"/>
  <c r="R42" i="195"/>
  <c r="AX84" i="26"/>
  <c r="AW84" i="26" s="1"/>
  <c r="BH84" i="26" s="1"/>
  <c r="R44" i="195"/>
  <c r="AX86" i="26"/>
  <c r="AW86" i="26" s="1"/>
  <c r="BH86" i="26" s="1"/>
  <c r="R46" i="195"/>
  <c r="AR89" i="26"/>
  <c r="AR80" i="26"/>
  <c r="AR82" i="26"/>
  <c r="AR84" i="26"/>
  <c r="AR86" i="26"/>
  <c r="AW70" i="25"/>
  <c r="BH70" i="25" s="1"/>
  <c r="Q30" i="195"/>
  <c r="AW74" i="25"/>
  <c r="BH74" i="25" s="1"/>
  <c r="Q34" i="195"/>
  <c r="AW68" i="25"/>
  <c r="BH68" i="25" s="1"/>
  <c r="Q28" i="195"/>
  <c r="AW69" i="25"/>
  <c r="BH69" i="25" s="1"/>
  <c r="Q29" i="195"/>
  <c r="AW71" i="25"/>
  <c r="BH71" i="25" s="1"/>
  <c r="Q31" i="195"/>
  <c r="AW73" i="25"/>
  <c r="BH73" i="25" s="1"/>
  <c r="Q33" i="195"/>
  <c r="AW75" i="25"/>
  <c r="BH75" i="25" s="1"/>
  <c r="Q35" i="195"/>
  <c r="AW76" i="25"/>
  <c r="BH76" i="25" s="1"/>
  <c r="Q36" i="195"/>
  <c r="AW77" i="25"/>
  <c r="BH77" i="25" s="1"/>
  <c r="Q37" i="195"/>
  <c r="AY59" i="25"/>
  <c r="AY63" i="25"/>
  <c r="AW79" i="25"/>
  <c r="BH79" i="25" s="1"/>
  <c r="Q39" i="195"/>
  <c r="AW81" i="25"/>
  <c r="BH81" i="25" s="1"/>
  <c r="Q41" i="195"/>
  <c r="AW83" i="25"/>
  <c r="BH83" i="25" s="1"/>
  <c r="Q43" i="195"/>
  <c r="AY85" i="25"/>
  <c r="Q45" i="195"/>
  <c r="AW87" i="25"/>
  <c r="BH87" i="25" s="1"/>
  <c r="Q47" i="195"/>
  <c r="AW89" i="25"/>
  <c r="BH89" i="25" s="1"/>
  <c r="Q49" i="195"/>
  <c r="AW78" i="25"/>
  <c r="BH78" i="25" s="1"/>
  <c r="Q38" i="195"/>
  <c r="AW80" i="25"/>
  <c r="BH80" i="25" s="1"/>
  <c r="Q40" i="195"/>
  <c r="Q42" i="195"/>
  <c r="Q46" i="195"/>
  <c r="Q48" i="195"/>
  <c r="AW72" i="25"/>
  <c r="BH72" i="25" s="1"/>
  <c r="Q32" i="195"/>
  <c r="AR81" i="25"/>
  <c r="AR85" i="25"/>
  <c r="AR89" i="25"/>
  <c r="AY74" i="25"/>
  <c r="AY64" i="25"/>
  <c r="AY66" i="25"/>
  <c r="AR69" i="25"/>
  <c r="AR73" i="25"/>
  <c r="AR79" i="25"/>
  <c r="AR83" i="25"/>
  <c r="AR87" i="25"/>
  <c r="AR76" i="25"/>
  <c r="AY77" i="25"/>
  <c r="R126" i="24"/>
  <c r="V125" i="24"/>
  <c r="Z125" i="24" s="1"/>
  <c r="T125" i="24"/>
  <c r="X125" i="24" s="1"/>
  <c r="U125" i="24"/>
  <c r="Y125" i="24" s="1"/>
  <c r="W125" i="24"/>
  <c r="H88" i="51"/>
  <c r="J88" i="51"/>
  <c r="H89" i="51"/>
  <c r="J89" i="51"/>
  <c r="AW59" i="21"/>
  <c r="BG59" i="21" s="1"/>
  <c r="AW69" i="21"/>
  <c r="BG69" i="21" s="1"/>
  <c r="AW73" i="21"/>
  <c r="BG73" i="21" s="1"/>
  <c r="AW60" i="21"/>
  <c r="AW62" i="21"/>
  <c r="BG62" i="21" s="1"/>
  <c r="AW64" i="21"/>
  <c r="BG64" i="21" s="1"/>
  <c r="AW66" i="21"/>
  <c r="AW68" i="21"/>
  <c r="BG68" i="21" s="1"/>
  <c r="J74" i="21"/>
  <c r="J76" i="21"/>
  <c r="J78" i="21"/>
  <c r="J67" i="21"/>
  <c r="AW61" i="21"/>
  <c r="BG61" i="21" s="1"/>
  <c r="AW63" i="21"/>
  <c r="AW65" i="21"/>
  <c r="BG65" i="21" s="1"/>
  <c r="AW67" i="21"/>
  <c r="BG67" i="21" s="1"/>
  <c r="AC69" i="21"/>
  <c r="AC73" i="21"/>
  <c r="J79" i="21"/>
  <c r="AY81" i="21"/>
  <c r="AX81" i="21" s="1"/>
  <c r="BH81" i="21" s="1"/>
  <c r="K41" i="195"/>
  <c r="AY83" i="21"/>
  <c r="AX83" i="21" s="1"/>
  <c r="BH83" i="21" s="1"/>
  <c r="K43" i="195"/>
  <c r="AY85" i="21"/>
  <c r="AX85" i="21" s="1"/>
  <c r="BH85" i="21" s="1"/>
  <c r="K45" i="195"/>
  <c r="AY87" i="21"/>
  <c r="AX87" i="21" s="1"/>
  <c r="BH87" i="21" s="1"/>
  <c r="K47" i="195"/>
  <c r="AY89" i="21"/>
  <c r="AX89" i="21" s="1"/>
  <c r="BH89" i="21" s="1"/>
  <c r="K49" i="195"/>
  <c r="AY49" i="21"/>
  <c r="AX49" i="21" s="1"/>
  <c r="BH49" i="21" s="1"/>
  <c r="K9" i="195"/>
  <c r="AY51" i="21"/>
  <c r="AX51" i="21" s="1"/>
  <c r="BH51" i="21" s="1"/>
  <c r="K11" i="195"/>
  <c r="AY53" i="21"/>
  <c r="AX53" i="21" s="1"/>
  <c r="BH53" i="21" s="1"/>
  <c r="K13" i="195"/>
  <c r="AY55" i="21"/>
  <c r="AX55" i="21" s="1"/>
  <c r="BH55" i="21" s="1"/>
  <c r="K15" i="195"/>
  <c r="AY57" i="21"/>
  <c r="AX57" i="21" s="1"/>
  <c r="BH57" i="21" s="1"/>
  <c r="K17" i="195"/>
  <c r="AY59" i="21"/>
  <c r="AX59" i="21" s="1"/>
  <c r="BH59" i="21" s="1"/>
  <c r="K19" i="195"/>
  <c r="AY74" i="21"/>
  <c r="AX74" i="21" s="1"/>
  <c r="BH74" i="21" s="1"/>
  <c r="K34" i="195"/>
  <c r="AY76" i="21"/>
  <c r="AX76" i="21" s="1"/>
  <c r="BH76" i="21" s="1"/>
  <c r="K36" i="195"/>
  <c r="AY78" i="21"/>
  <c r="AX78" i="21" s="1"/>
  <c r="BH78" i="21" s="1"/>
  <c r="K38" i="195"/>
  <c r="AC71" i="21"/>
  <c r="AW71" i="21"/>
  <c r="BG71" i="21" s="1"/>
  <c r="AY80" i="21"/>
  <c r="AX80" i="21" s="1"/>
  <c r="BH80" i="21" s="1"/>
  <c r="K40" i="195"/>
  <c r="AY82" i="21"/>
  <c r="AX82" i="21" s="1"/>
  <c r="BH82" i="21" s="1"/>
  <c r="K42" i="195"/>
  <c r="AY84" i="21"/>
  <c r="AX84" i="21" s="1"/>
  <c r="BH84" i="21" s="1"/>
  <c r="K44" i="195"/>
  <c r="AY86" i="21"/>
  <c r="AX86" i="21" s="1"/>
  <c r="BH86" i="21" s="1"/>
  <c r="K46" i="195"/>
  <c r="AY88" i="21"/>
  <c r="AX88" i="21" s="1"/>
  <c r="BH88" i="21" s="1"/>
  <c r="K48" i="195"/>
  <c r="J68" i="21"/>
  <c r="AY67" i="21"/>
  <c r="AX67" i="21" s="1"/>
  <c r="BH67" i="21" s="1"/>
  <c r="AZ83" i="21"/>
  <c r="K23" i="195"/>
  <c r="AU66" i="29"/>
  <c r="AV66" i="29" s="1"/>
  <c r="AC66" i="29"/>
  <c r="AS66" i="29" s="1"/>
  <c r="AZ66" i="29"/>
  <c r="BJ66" i="29" s="1"/>
  <c r="H32" i="195"/>
  <c r="BB72" i="29"/>
  <c r="BA72" i="29" s="1"/>
  <c r="BK72" i="29" s="1"/>
  <c r="H28" i="195"/>
  <c r="BB68" i="29"/>
  <c r="BA68" i="29" s="1"/>
  <c r="BK68" i="29" s="1"/>
  <c r="H40" i="195"/>
  <c r="BB80" i="29"/>
  <c r="BA80" i="29" s="1"/>
  <c r="BK80" i="29" s="1"/>
  <c r="H39" i="195"/>
  <c r="BB79" i="29"/>
  <c r="BA79" i="29" s="1"/>
  <c r="BK79" i="29" s="1"/>
  <c r="H37" i="195"/>
  <c r="BB77" i="29"/>
  <c r="BA77" i="29" s="1"/>
  <c r="BK77" i="29" s="1"/>
  <c r="H29" i="195"/>
  <c r="BB69" i="29"/>
  <c r="BA69" i="29" s="1"/>
  <c r="BK69" i="29" s="1"/>
  <c r="H31" i="195"/>
  <c r="BB71" i="29"/>
  <c r="BA71" i="29" s="1"/>
  <c r="BK71" i="29" s="1"/>
  <c r="H33" i="195"/>
  <c r="BB73" i="29"/>
  <c r="BA73" i="29" s="1"/>
  <c r="BK73" i="29" s="1"/>
  <c r="H30" i="195"/>
  <c r="BB70" i="29"/>
  <c r="BA70" i="29" s="1"/>
  <c r="BK70" i="29" s="1"/>
  <c r="BC74" i="29"/>
  <c r="BC58" i="29"/>
  <c r="BC82" i="29"/>
  <c r="BC86" i="29"/>
  <c r="T67" i="29"/>
  <c r="AU67" i="29"/>
  <c r="AV67" i="29" s="1"/>
  <c r="AC67" i="29"/>
  <c r="AS67" i="29" s="1"/>
  <c r="AZ67" i="29"/>
  <c r="BJ67" i="29" s="1"/>
  <c r="BB44" i="18"/>
  <c r="BA44" i="18" s="1"/>
  <c r="BO44" i="18" s="1"/>
  <c r="E4" i="195"/>
  <c r="E7" i="195"/>
  <c r="BB47" i="18"/>
  <c r="BA47" i="18" s="1"/>
  <c r="BO47" i="18" s="1"/>
  <c r="E5" i="195"/>
  <c r="BB45" i="18"/>
  <c r="BA45" i="18" s="1"/>
  <c r="BO45" i="18" s="1"/>
  <c r="E8" i="195"/>
  <c r="BB48" i="18"/>
  <c r="BA48" i="18" s="1"/>
  <c r="BO48" i="18" s="1"/>
  <c r="AV44" i="18"/>
  <c r="AV47" i="18"/>
  <c r="BC46" i="18"/>
  <c r="AW45" i="25"/>
  <c r="BH45" i="25" s="1"/>
  <c r="AY45" i="25"/>
  <c r="AW44" i="25"/>
  <c r="BH44" i="25" s="1"/>
  <c r="AY44" i="25"/>
  <c r="AW48" i="25"/>
  <c r="BH48" i="25" s="1"/>
  <c r="AY48" i="25"/>
  <c r="AW47" i="25"/>
  <c r="BH47" i="25" s="1"/>
  <c r="AY47" i="25"/>
  <c r="AW46" i="25"/>
  <c r="BH46" i="25" s="1"/>
  <c r="AY46" i="25"/>
  <c r="AY45" i="21"/>
  <c r="K5" i="195"/>
  <c r="AY47" i="21"/>
  <c r="K7" i="195"/>
  <c r="K4" i="195"/>
  <c r="AY44" i="21"/>
  <c r="AX48" i="21"/>
  <c r="BH48" i="21" s="1"/>
  <c r="AZ44" i="20"/>
  <c r="J8" i="195"/>
  <c r="AY48" i="20"/>
  <c r="AX48" i="20" s="1"/>
  <c r="BK48" i="20" s="1"/>
  <c r="X63" i="26"/>
  <c r="AB71" i="26"/>
  <c r="AD72" i="26"/>
  <c r="J50" i="19"/>
  <c r="J58" i="19"/>
  <c r="J66" i="19"/>
  <c r="Q47" i="51"/>
  <c r="Q51" i="51"/>
  <c r="Q45" i="51"/>
  <c r="Q49" i="51"/>
  <c r="J55" i="51"/>
  <c r="Q55" i="51"/>
  <c r="J58" i="51"/>
  <c r="Q58" i="51"/>
  <c r="J60" i="51"/>
  <c r="Q60" i="51"/>
  <c r="J62" i="51"/>
  <c r="Q62" i="51"/>
  <c r="J64" i="51"/>
  <c r="Q64" i="51"/>
  <c r="J66" i="51"/>
  <c r="Q66" i="51"/>
  <c r="Q68" i="51"/>
  <c r="J70" i="51"/>
  <c r="Q70" i="51"/>
  <c r="J72" i="51"/>
  <c r="Q72" i="51"/>
  <c r="Q54" i="51"/>
  <c r="J54" i="51"/>
  <c r="J57" i="51"/>
  <c r="Q57" i="51"/>
  <c r="Q59" i="51"/>
  <c r="J59" i="51"/>
  <c r="J61" i="51"/>
  <c r="Q61" i="51"/>
  <c r="Q63" i="51"/>
  <c r="J63" i="51"/>
  <c r="J65" i="51"/>
  <c r="Q65" i="51"/>
  <c r="Q67" i="51"/>
  <c r="J67" i="51"/>
  <c r="J69" i="51"/>
  <c r="Q69" i="51"/>
  <c r="Q71" i="51"/>
  <c r="J71" i="51"/>
  <c r="J73" i="51"/>
  <c r="Q73" i="51"/>
  <c r="J52" i="51"/>
  <c r="Q52" i="51"/>
  <c r="J56" i="51"/>
  <c r="Q56" i="51"/>
  <c r="J64" i="23" l="1"/>
  <c r="AY55" i="51"/>
  <c r="AX55" i="51" s="1"/>
  <c r="BH55" i="51" s="1"/>
  <c r="AZ46" i="20"/>
  <c r="BC44" i="29"/>
  <c r="AZ45" i="63"/>
  <c r="BL45" i="63" s="1"/>
  <c r="BB56" i="63"/>
  <c r="D15" i="195"/>
  <c r="AZ82" i="51"/>
  <c r="AW54" i="22"/>
  <c r="BF54" i="22"/>
  <c r="AZ73" i="51"/>
  <c r="BG73" i="51"/>
  <c r="D28" i="195"/>
  <c r="AY68" i="51"/>
  <c r="J68" i="51"/>
  <c r="AZ69" i="51"/>
  <c r="BG69" i="51"/>
  <c r="AZ77" i="51"/>
  <c r="BG77" i="51"/>
  <c r="AZ71" i="51"/>
  <c r="BG71" i="51"/>
  <c r="AZ54" i="20"/>
  <c r="BJ54" i="20"/>
  <c r="AZ62" i="20"/>
  <c r="BJ62" i="20"/>
  <c r="AZ76" i="20"/>
  <c r="AZ63" i="20"/>
  <c r="BJ63" i="20"/>
  <c r="AZ56" i="20"/>
  <c r="BJ56" i="20"/>
  <c r="AZ65" i="20"/>
  <c r="BJ65" i="20"/>
  <c r="AZ64" i="20"/>
  <c r="BJ64" i="20"/>
  <c r="AZ66" i="21"/>
  <c r="BG66" i="21"/>
  <c r="AZ63" i="21"/>
  <c r="BG63" i="21"/>
  <c r="AZ52" i="21"/>
  <c r="BG52" i="21"/>
  <c r="AZ60" i="21"/>
  <c r="BG60" i="21"/>
  <c r="AZ46" i="23"/>
  <c r="BJ46" i="23"/>
  <c r="AZ61" i="23"/>
  <c r="BJ61" i="23"/>
  <c r="AZ50" i="23"/>
  <c r="BJ50" i="23"/>
  <c r="AZ53" i="23"/>
  <c r="BJ53" i="23"/>
  <c r="AZ47" i="23"/>
  <c r="BJ47" i="23"/>
  <c r="AZ44" i="23"/>
  <c r="BJ44" i="23"/>
  <c r="AZ55" i="23"/>
  <c r="BJ55" i="23"/>
  <c r="AZ48" i="23"/>
  <c r="BJ48" i="23"/>
  <c r="AZ62" i="23"/>
  <c r="BJ62" i="23"/>
  <c r="AZ45" i="23"/>
  <c r="BJ45" i="23"/>
  <c r="AX84" i="25"/>
  <c r="AW84" i="25" s="1"/>
  <c r="BH84" i="25" s="1"/>
  <c r="AR84" i="25"/>
  <c r="AS88" i="19"/>
  <c r="AY88" i="19"/>
  <c r="AX88" i="19" s="1"/>
  <c r="BH88" i="19" s="1"/>
  <c r="AZ58" i="63"/>
  <c r="BL58" i="63" s="1"/>
  <c r="AZ44" i="63"/>
  <c r="BL44" i="63" s="1"/>
  <c r="AZ72" i="103"/>
  <c r="BP72" i="103" s="1"/>
  <c r="BB72" i="103"/>
  <c r="AZ75" i="103"/>
  <c r="BP75" i="103" s="1"/>
  <c r="BB75" i="103"/>
  <c r="AZ70" i="103"/>
  <c r="BP70" i="103" s="1"/>
  <c r="BB70" i="103"/>
  <c r="AX78" i="27"/>
  <c r="S38" i="195"/>
  <c r="AR78" i="27"/>
  <c r="AR77" i="27"/>
  <c r="AX77" i="27"/>
  <c r="S37" i="195"/>
  <c r="AR89" i="27"/>
  <c r="AX89" i="27"/>
  <c r="S49" i="195"/>
  <c r="AX74" i="27"/>
  <c r="S34" i="195"/>
  <c r="AR74" i="27"/>
  <c r="AX88" i="25"/>
  <c r="AY88" i="25" s="1"/>
  <c r="AR88" i="25"/>
  <c r="AY73" i="23"/>
  <c r="N33" i="195"/>
  <c r="AS73" i="23"/>
  <c r="AS69" i="23"/>
  <c r="AY69" i="23"/>
  <c r="N29" i="195"/>
  <c r="AY77" i="23"/>
  <c r="N37" i="195"/>
  <c r="AS77" i="23"/>
  <c r="N30" i="195"/>
  <c r="AS70" i="23"/>
  <c r="AY70" i="23"/>
  <c r="J63" i="23"/>
  <c r="Q63" i="23"/>
  <c r="AR63" i="23"/>
  <c r="N32" i="195"/>
  <c r="AS72" i="23"/>
  <c r="AY72" i="23"/>
  <c r="AS75" i="23"/>
  <c r="N35" i="195"/>
  <c r="AY75" i="23"/>
  <c r="AR62" i="21"/>
  <c r="Q62" i="21"/>
  <c r="J62" i="21"/>
  <c r="AR64" i="21"/>
  <c r="Q64" i="21"/>
  <c r="J64" i="21"/>
  <c r="AR61" i="21"/>
  <c r="J61" i="21"/>
  <c r="Q61" i="21"/>
  <c r="AR65" i="21"/>
  <c r="Q65" i="21"/>
  <c r="J65" i="21"/>
  <c r="AY75" i="21"/>
  <c r="K35" i="195"/>
  <c r="AS75" i="21"/>
  <c r="AR70" i="21"/>
  <c r="AS70" i="21" s="1"/>
  <c r="AS77" i="21"/>
  <c r="AY77" i="21"/>
  <c r="K37" i="195"/>
  <c r="J70" i="21"/>
  <c r="AR72" i="21"/>
  <c r="Q72" i="21"/>
  <c r="Q73" i="21"/>
  <c r="AR73" i="21"/>
  <c r="AS73" i="21" s="1"/>
  <c r="Q69" i="21"/>
  <c r="AR69" i="21"/>
  <c r="AS69" i="21" s="1"/>
  <c r="K30" i="195"/>
  <c r="Q71" i="21"/>
  <c r="AR71" i="21"/>
  <c r="AS71" i="21" s="1"/>
  <c r="K27" i="195"/>
  <c r="AZ74" i="21"/>
  <c r="AS75" i="20"/>
  <c r="J35" i="195"/>
  <c r="AY75" i="20"/>
  <c r="AS77" i="20"/>
  <c r="J37" i="195"/>
  <c r="AY77" i="20"/>
  <c r="AZ87" i="19"/>
  <c r="AV78" i="29"/>
  <c r="BB78" i="29"/>
  <c r="H38" i="195"/>
  <c r="BB68" i="63"/>
  <c r="AZ71" i="63"/>
  <c r="BL71" i="63" s="1"/>
  <c r="BB70" i="63"/>
  <c r="AZ64" i="63"/>
  <c r="BL64" i="63" s="1"/>
  <c r="AZ48" i="63"/>
  <c r="BL48" i="63" s="1"/>
  <c r="BB78" i="63"/>
  <c r="BB66" i="63"/>
  <c r="BB80" i="63"/>
  <c r="AZ54" i="63"/>
  <c r="BL54" i="63" s="1"/>
  <c r="BB60" i="63"/>
  <c r="AZ74" i="63"/>
  <c r="BL74" i="63" s="1"/>
  <c r="BB72" i="63"/>
  <c r="AZ53" i="63"/>
  <c r="BL53" i="63" s="1"/>
  <c r="BB82" i="18"/>
  <c r="E42" i="195"/>
  <c r="AV82" i="18"/>
  <c r="AV85" i="18"/>
  <c r="E45" i="195"/>
  <c r="BB85" i="18"/>
  <c r="AV88" i="18"/>
  <c r="BB88" i="18"/>
  <c r="E48" i="195"/>
  <c r="AV84" i="18"/>
  <c r="E44" i="195"/>
  <c r="BB84" i="18"/>
  <c r="AY85" i="26"/>
  <c r="AY83" i="26"/>
  <c r="AY86" i="25"/>
  <c r="AZ51" i="23"/>
  <c r="AZ74" i="23"/>
  <c r="AZ69" i="20"/>
  <c r="AZ74" i="20"/>
  <c r="BB65" i="63"/>
  <c r="AZ76" i="63"/>
  <c r="BL76" i="63" s="1"/>
  <c r="BB52" i="63"/>
  <c r="AZ61" i="63"/>
  <c r="BL61" i="63" s="1"/>
  <c r="AZ75" i="51"/>
  <c r="AY56" i="27"/>
  <c r="AZ49" i="63"/>
  <c r="BL49" i="63" s="1"/>
  <c r="AY44" i="27"/>
  <c r="AY86" i="27"/>
  <c r="AY70" i="27"/>
  <c r="AY83" i="27"/>
  <c r="AY66" i="27"/>
  <c r="AY79" i="26"/>
  <c r="AY89" i="26"/>
  <c r="AY76" i="25"/>
  <c r="AY78" i="25"/>
  <c r="AY84" i="25"/>
  <c r="AY73" i="25"/>
  <c r="AY82" i="25"/>
  <c r="AY69" i="25"/>
  <c r="AZ49" i="23"/>
  <c r="AZ52" i="23"/>
  <c r="BB69" i="63"/>
  <c r="AZ67" i="63"/>
  <c r="BL67" i="63" s="1"/>
  <c r="F46" i="195"/>
  <c r="BA86" i="63"/>
  <c r="AU86" i="63"/>
  <c r="AU84" i="63"/>
  <c r="F44" i="195"/>
  <c r="BA84" i="63"/>
  <c r="AU89" i="63"/>
  <c r="F49" i="195"/>
  <c r="AZ80" i="20"/>
  <c r="AZ88" i="20"/>
  <c r="AZ52" i="20"/>
  <c r="AZ60" i="20"/>
  <c r="AX89" i="20"/>
  <c r="BK89" i="20" s="1"/>
  <c r="AZ85" i="20"/>
  <c r="AZ84" i="20"/>
  <c r="AZ87" i="20"/>
  <c r="AZ80" i="21"/>
  <c r="B161" i="16"/>
  <c r="W124" i="16"/>
  <c r="W125" i="16" s="1"/>
  <c r="W126" i="16" s="1"/>
  <c r="W127" i="16" s="1"/>
  <c r="W128" i="16" s="1"/>
  <c r="W129" i="16" s="1"/>
  <c r="W130" i="16" s="1"/>
  <c r="W131" i="16" s="1"/>
  <c r="W132" i="16" s="1"/>
  <c r="W133" i="16" s="1"/>
  <c r="W134" i="16" s="1"/>
  <c r="W135" i="16" s="1"/>
  <c r="W136" i="16" s="1"/>
  <c r="W137" i="16" s="1"/>
  <c r="W138" i="16" s="1"/>
  <c r="W139" i="16" s="1"/>
  <c r="AZ49" i="51"/>
  <c r="AZ66" i="51"/>
  <c r="AZ57" i="23"/>
  <c r="AZ54" i="23"/>
  <c r="AZ76" i="23"/>
  <c r="AZ83" i="19"/>
  <c r="AZ81" i="19"/>
  <c r="BB83" i="63"/>
  <c r="AZ87" i="63"/>
  <c r="BL87" i="63" s="1"/>
  <c r="AZ85" i="63"/>
  <c r="BL85" i="63" s="1"/>
  <c r="BB81" i="63"/>
  <c r="BC56" i="18"/>
  <c r="BC58" i="18"/>
  <c r="BC55" i="18"/>
  <c r="BA60" i="18"/>
  <c r="BO60" i="18" s="1"/>
  <c r="BC59" i="18"/>
  <c r="AZ67" i="51"/>
  <c r="AZ59" i="51"/>
  <c r="AZ47" i="51"/>
  <c r="AZ55" i="51"/>
  <c r="BC47" i="18"/>
  <c r="AY68" i="25"/>
  <c r="AP57" i="22"/>
  <c r="M17" i="195"/>
  <c r="AV57" i="22"/>
  <c r="AX52" i="51"/>
  <c r="BH52" i="51" s="1"/>
  <c r="AZ52" i="51"/>
  <c r="Y4" i="195"/>
  <c r="AP59" i="22"/>
  <c r="M19" i="195"/>
  <c r="AV59" i="22"/>
  <c r="AY67" i="23"/>
  <c r="AX67" i="23" s="1"/>
  <c r="BK67" i="23" s="1"/>
  <c r="N27" i="195"/>
  <c r="BC49" i="18"/>
  <c r="T125" i="22"/>
  <c r="X125" i="22" s="1"/>
  <c r="AB125" i="22" s="1"/>
  <c r="R125" i="22"/>
  <c r="V125" i="22" s="1"/>
  <c r="Z125" i="22" s="1"/>
  <c r="M84" i="639" s="1"/>
  <c r="S125" i="22"/>
  <c r="W125" i="22" s="1"/>
  <c r="AA125" i="22" s="1"/>
  <c r="M9" i="639" s="1"/>
  <c r="J17" i="195"/>
  <c r="AY57" i="20"/>
  <c r="AX57" i="20" s="1"/>
  <c r="BK57" i="20" s="1"/>
  <c r="M12" i="195"/>
  <c r="AV52" i="22"/>
  <c r="AU52" i="22" s="1"/>
  <c r="BG52" i="22" s="1"/>
  <c r="AY58" i="23"/>
  <c r="AX58" i="23" s="1"/>
  <c r="BK58" i="23" s="1"/>
  <c r="N18" i="195"/>
  <c r="J28" i="195"/>
  <c r="AY68" i="20"/>
  <c r="AX68" i="20" s="1"/>
  <c r="BK68" i="20" s="1"/>
  <c r="AV67" i="27"/>
  <c r="BG67" i="27" s="1"/>
  <c r="AZ78" i="20"/>
  <c r="M20" i="195"/>
  <c r="AV60" i="22"/>
  <c r="AU60" i="22" s="1"/>
  <c r="BG60" i="22" s="1"/>
  <c r="AZ82" i="21"/>
  <c r="AZ78" i="21"/>
  <c r="AY80" i="25"/>
  <c r="AY69" i="26"/>
  <c r="AP53" i="22"/>
  <c r="M13" i="195"/>
  <c r="AV53" i="22"/>
  <c r="J26" i="195"/>
  <c r="AY66" i="20"/>
  <c r="AX66" i="20" s="1"/>
  <c r="BK66" i="20" s="1"/>
  <c r="M16" i="195"/>
  <c r="AV56" i="22"/>
  <c r="AZ79" i="20"/>
  <c r="AY62" i="27"/>
  <c r="AX46" i="51"/>
  <c r="BH46" i="51" s="1"/>
  <c r="AZ46" i="51"/>
  <c r="AZ71" i="20"/>
  <c r="AY69" i="27"/>
  <c r="J19" i="195"/>
  <c r="AY59" i="20"/>
  <c r="AX59" i="20" s="1"/>
  <c r="BK59" i="20" s="1"/>
  <c r="AY64" i="23"/>
  <c r="AX64" i="23" s="1"/>
  <c r="BK64" i="23" s="1"/>
  <c r="N24" i="195"/>
  <c r="AS68" i="20"/>
  <c r="AZ61" i="51"/>
  <c r="AP61" i="22"/>
  <c r="M21" i="195"/>
  <c r="AV61" i="22"/>
  <c r="BC53" i="18"/>
  <c r="AZ84" i="19"/>
  <c r="BA64" i="18"/>
  <c r="BO64" i="18" s="1"/>
  <c r="M18" i="195"/>
  <c r="AV58" i="22"/>
  <c r="AU58" i="22" s="1"/>
  <c r="BG58" i="22" s="1"/>
  <c r="AY75" i="25"/>
  <c r="AX54" i="51"/>
  <c r="BH54" i="51" s="1"/>
  <c r="AZ54" i="51"/>
  <c r="AZ62" i="51"/>
  <c r="AY65" i="23"/>
  <c r="AX65" i="23" s="1"/>
  <c r="BK65" i="23" s="1"/>
  <c r="N25" i="195"/>
  <c r="M8" i="195"/>
  <c r="AV48" i="22"/>
  <c r="AU48" i="22" s="1"/>
  <c r="BG48" i="22" s="1"/>
  <c r="AZ53" i="20"/>
  <c r="AW62" i="22"/>
  <c r="AP51" i="22"/>
  <c r="M11" i="195"/>
  <c r="AV51" i="22"/>
  <c r="AU45" i="22"/>
  <c r="BG45" i="22" s="1"/>
  <c r="AS67" i="23"/>
  <c r="AP63" i="22"/>
  <c r="M23" i="195"/>
  <c r="AV63" i="22"/>
  <c r="AY54" i="27"/>
  <c r="AZ44" i="51"/>
  <c r="AX78" i="23"/>
  <c r="BK78" i="23" s="1"/>
  <c r="BC50" i="18"/>
  <c r="AZ56" i="51"/>
  <c r="AZ82" i="20"/>
  <c r="AY64" i="27"/>
  <c r="AZ59" i="23"/>
  <c r="AY73" i="27"/>
  <c r="BC45" i="18"/>
  <c r="AY70" i="25"/>
  <c r="AY71" i="25"/>
  <c r="AY87" i="26"/>
  <c r="J15" i="195"/>
  <c r="AY55" i="20"/>
  <c r="AX55" i="20" s="1"/>
  <c r="BK55" i="20" s="1"/>
  <c r="J11" i="195"/>
  <c r="AY51" i="20"/>
  <c r="AX51" i="20" s="1"/>
  <c r="BK51" i="20" s="1"/>
  <c r="M10" i="195"/>
  <c r="AV50" i="22"/>
  <c r="AU50" i="22" s="1"/>
  <c r="BG50" i="22" s="1"/>
  <c r="AP58" i="22"/>
  <c r="AZ86" i="20"/>
  <c r="AY52" i="27"/>
  <c r="AS51" i="20"/>
  <c r="BC51" i="18"/>
  <c r="AY58" i="27"/>
  <c r="P141" i="103"/>
  <c r="AZ67" i="20"/>
  <c r="AS57" i="20"/>
  <c r="AZ56" i="23"/>
  <c r="AS66" i="20"/>
  <c r="AZ50" i="51"/>
  <c r="BC52" i="18"/>
  <c r="D36" i="195"/>
  <c r="AY76" i="51"/>
  <c r="AZ49" i="21"/>
  <c r="AY82" i="27"/>
  <c r="AY72" i="27"/>
  <c r="AY87" i="27"/>
  <c r="AW48" i="22"/>
  <c r="AP55" i="22"/>
  <c r="M15" i="195"/>
  <c r="AV55" i="22"/>
  <c r="M24" i="195"/>
  <c r="AV64" i="22"/>
  <c r="AU64" i="22" s="1"/>
  <c r="BG64" i="22" s="1"/>
  <c r="AP47" i="105"/>
  <c r="AT47" i="105"/>
  <c r="AW47" i="105" s="1"/>
  <c r="AP47" i="22"/>
  <c r="M7" i="195"/>
  <c r="AV47" i="22"/>
  <c r="D34" i="195"/>
  <c r="AY74" i="51"/>
  <c r="AY75" i="27"/>
  <c r="AZ60" i="23"/>
  <c r="AY81" i="27"/>
  <c r="D5" i="195"/>
  <c r="AY45" i="51"/>
  <c r="AZ70" i="20"/>
  <c r="M6" i="195"/>
  <c r="AV46" i="22"/>
  <c r="AU46" i="22" s="1"/>
  <c r="BG46" i="22" s="1"/>
  <c r="Y5" i="195"/>
  <c r="AZ79" i="19"/>
  <c r="AP60" i="22"/>
  <c r="AZ88" i="21"/>
  <c r="AY88" i="26"/>
  <c r="AS45" i="20"/>
  <c r="J5" i="195"/>
  <c r="AY45" i="20"/>
  <c r="D13" i="195"/>
  <c r="AY53" i="51"/>
  <c r="AX53" i="51" s="1"/>
  <c r="BH53" i="51" s="1"/>
  <c r="AY56" i="23"/>
  <c r="AX56" i="23" s="1"/>
  <c r="BK56" i="23" s="1"/>
  <c r="N16" i="195"/>
  <c r="AP48" i="22"/>
  <c r="AW66" i="22"/>
  <c r="AZ85" i="19"/>
  <c r="M4" i="195"/>
  <c r="AV44" i="22"/>
  <c r="AU44" i="22" s="1"/>
  <c r="BG44" i="22" s="1"/>
  <c r="J10" i="195"/>
  <c r="AY50" i="20"/>
  <c r="AX50" i="20" s="1"/>
  <c r="BK50" i="20" s="1"/>
  <c r="AZ83" i="20"/>
  <c r="AS64" i="23"/>
  <c r="AY48" i="27"/>
  <c r="BC63" i="18"/>
  <c r="AY85" i="27"/>
  <c r="AP45" i="105"/>
  <c r="AZ80" i="19"/>
  <c r="AP44" i="22"/>
  <c r="AY66" i="23"/>
  <c r="AX66" i="23" s="1"/>
  <c r="BK66" i="23" s="1"/>
  <c r="N26" i="195"/>
  <c r="J21" i="195"/>
  <c r="AY61" i="20"/>
  <c r="AX61" i="20" s="1"/>
  <c r="BK61" i="20" s="1"/>
  <c r="AX51" i="51"/>
  <c r="BH51" i="51" s="1"/>
  <c r="AZ51" i="51"/>
  <c r="BC48" i="18"/>
  <c r="BC79" i="29"/>
  <c r="AZ85" i="21"/>
  <c r="AY81" i="26"/>
  <c r="J18" i="195"/>
  <c r="AY58" i="20"/>
  <c r="AX58" i="20" s="1"/>
  <c r="BK58" i="20" s="1"/>
  <c r="AZ81" i="20"/>
  <c r="AY79" i="27"/>
  <c r="AY68" i="23"/>
  <c r="AX68" i="23" s="1"/>
  <c r="BK68" i="23" s="1"/>
  <c r="N28" i="195"/>
  <c r="BC61" i="18"/>
  <c r="AY71" i="27"/>
  <c r="Y8" i="195"/>
  <c r="BC57" i="18"/>
  <c r="AZ86" i="19"/>
  <c r="AP67" i="22"/>
  <c r="M27" i="195"/>
  <c r="AV67" i="22"/>
  <c r="AZ58" i="23"/>
  <c r="P141" i="104"/>
  <c r="AX48" i="51"/>
  <c r="BH48" i="51" s="1"/>
  <c r="AZ48" i="51"/>
  <c r="AS58" i="20"/>
  <c r="AS68" i="23"/>
  <c r="AQ67" i="27"/>
  <c r="AR67" i="27" s="1"/>
  <c r="Y67" i="27"/>
  <c r="AO67" i="27" s="1"/>
  <c r="AY50" i="27"/>
  <c r="J9" i="195"/>
  <c r="AY49" i="20"/>
  <c r="AX49" i="20" s="1"/>
  <c r="BK49" i="20" s="1"/>
  <c r="AZ58" i="51"/>
  <c r="AP49" i="22"/>
  <c r="M9" i="195"/>
  <c r="AV49" i="22"/>
  <c r="C178" i="105"/>
  <c r="W141" i="105"/>
  <c r="B178" i="105"/>
  <c r="P140" i="102"/>
  <c r="AX45" i="26"/>
  <c r="AX47" i="26"/>
  <c r="AX49" i="26"/>
  <c r="AX51" i="26"/>
  <c r="AX53" i="26"/>
  <c r="AX55" i="26"/>
  <c r="AX57" i="26"/>
  <c r="AW57" i="26" s="1"/>
  <c r="AX59" i="26"/>
  <c r="AX61" i="26"/>
  <c r="AX63" i="26"/>
  <c r="AX65" i="26"/>
  <c r="AW65" i="26" s="1"/>
  <c r="BH65" i="26" s="1"/>
  <c r="AX67" i="26"/>
  <c r="AX44" i="26"/>
  <c r="AX46" i="26"/>
  <c r="AX48" i="26"/>
  <c r="AX50" i="26"/>
  <c r="AX52" i="26"/>
  <c r="AX54" i="26"/>
  <c r="AX56" i="26"/>
  <c r="AX58" i="26"/>
  <c r="AX60" i="26"/>
  <c r="AX62" i="26"/>
  <c r="AX64" i="26"/>
  <c r="AX66" i="26"/>
  <c r="AW69" i="26"/>
  <c r="BH69" i="26" s="1"/>
  <c r="AY86" i="26"/>
  <c r="AY82" i="26"/>
  <c r="X71" i="26"/>
  <c r="AQ71" i="26"/>
  <c r="AX70" i="26"/>
  <c r="R30" i="195"/>
  <c r="AR70" i="26"/>
  <c r="AY84" i="26"/>
  <c r="AY80" i="26"/>
  <c r="AY72" i="25"/>
  <c r="AY83" i="25"/>
  <c r="AY89" i="25"/>
  <c r="AY81" i="25"/>
  <c r="AW85" i="25"/>
  <c r="BH85" i="25" s="1"/>
  <c r="AY87" i="25"/>
  <c r="AY79" i="25"/>
  <c r="R127" i="24"/>
  <c r="V126" i="24"/>
  <c r="Z126" i="24" s="1"/>
  <c r="T126" i="24"/>
  <c r="X126" i="24" s="1"/>
  <c r="U126" i="24"/>
  <c r="Y126" i="24" s="1"/>
  <c r="W126" i="24"/>
  <c r="J71" i="21"/>
  <c r="J73" i="21"/>
  <c r="J69" i="21"/>
  <c r="AZ86" i="21"/>
  <c r="AZ51" i="21"/>
  <c r="AZ89" i="21"/>
  <c r="AZ87" i="21"/>
  <c r="AZ84" i="21"/>
  <c r="AZ81" i="21"/>
  <c r="AZ76" i="21"/>
  <c r="AZ67" i="21"/>
  <c r="AZ53" i="21"/>
  <c r="AZ55" i="21"/>
  <c r="AZ59" i="21"/>
  <c r="AY68" i="21"/>
  <c r="AX68" i="21" s="1"/>
  <c r="BH68" i="21" s="1"/>
  <c r="K28" i="195"/>
  <c r="AY79" i="21"/>
  <c r="K39" i="195"/>
  <c r="AZ57" i="21"/>
  <c r="BC71" i="29"/>
  <c r="BC72" i="29"/>
  <c r="H27" i="195"/>
  <c r="BB67" i="29"/>
  <c r="BA67" i="29" s="1"/>
  <c r="BK67" i="29" s="1"/>
  <c r="H26" i="195"/>
  <c r="BB66" i="29"/>
  <c r="BA66" i="29" s="1"/>
  <c r="BK66" i="29" s="1"/>
  <c r="BC73" i="29"/>
  <c r="BC69" i="29"/>
  <c r="BC77" i="29"/>
  <c r="BC80" i="29"/>
  <c r="BC68" i="29"/>
  <c r="BC70" i="29"/>
  <c r="BC44" i="18"/>
  <c r="AZ45" i="21"/>
  <c r="AX45" i="21"/>
  <c r="BH45" i="21" s="1"/>
  <c r="AZ44" i="21"/>
  <c r="AX44" i="21"/>
  <c r="BH44" i="21" s="1"/>
  <c r="AZ47" i="21"/>
  <c r="AX47" i="21"/>
  <c r="BH47" i="21" s="1"/>
  <c r="AZ48" i="20"/>
  <c r="X64" i="26"/>
  <c r="AB72" i="26"/>
  <c r="AD73" i="26"/>
  <c r="AZ57" i="20" l="1"/>
  <c r="AZ88" i="19"/>
  <c r="AW50" i="22"/>
  <c r="AX68" i="51"/>
  <c r="BH68" i="51" s="1"/>
  <c r="AZ68" i="51"/>
  <c r="AW66" i="26"/>
  <c r="BH66" i="26" s="1"/>
  <c r="AW50" i="26"/>
  <c r="BH50" i="26" s="1"/>
  <c r="AW59" i="26"/>
  <c r="BH59" i="26" s="1"/>
  <c r="AW48" i="26"/>
  <c r="BH48" i="26" s="1"/>
  <c r="AW55" i="26"/>
  <c r="BH55" i="26" s="1"/>
  <c r="AW64" i="26"/>
  <c r="BH64" i="26" s="1"/>
  <c r="AW62" i="26"/>
  <c r="BH62" i="26" s="1"/>
  <c r="AW46" i="26"/>
  <c r="BH46" i="26" s="1"/>
  <c r="AW60" i="26"/>
  <c r="BH60" i="26" s="1"/>
  <c r="AW44" i="26"/>
  <c r="BH44" i="26" s="1"/>
  <c r="AW53" i="26"/>
  <c r="BH53" i="26" s="1"/>
  <c r="AW58" i="26"/>
  <c r="BH58" i="26" s="1"/>
  <c r="AW67" i="26"/>
  <c r="BH67" i="26" s="1"/>
  <c r="AW51" i="26"/>
  <c r="BH51" i="26" s="1"/>
  <c r="AW56" i="26"/>
  <c r="BH56" i="26" s="1"/>
  <c r="AW49" i="26"/>
  <c r="BH49" i="26" s="1"/>
  <c r="AW54" i="26"/>
  <c r="BH54" i="26" s="1"/>
  <c r="AW63" i="26"/>
  <c r="BH63" i="26" s="1"/>
  <c r="AW47" i="26"/>
  <c r="BH47" i="26" s="1"/>
  <c r="AN57" i="26"/>
  <c r="I57" i="26" s="1"/>
  <c r="P18" i="193" s="1"/>
  <c r="P17" i="490" s="1"/>
  <c r="BH57" i="26"/>
  <c r="AW52" i="26"/>
  <c r="BH52" i="26" s="1"/>
  <c r="AW61" i="26"/>
  <c r="BH61" i="26" s="1"/>
  <c r="AW45" i="26"/>
  <c r="BH45" i="26" s="1"/>
  <c r="AW89" i="27"/>
  <c r="BH89" i="27" s="1"/>
  <c r="AY89" i="27"/>
  <c r="AW77" i="27"/>
  <c r="BH77" i="27" s="1"/>
  <c r="AY77" i="27"/>
  <c r="AW74" i="27"/>
  <c r="BH74" i="27" s="1"/>
  <c r="AY74" i="27"/>
  <c r="AW78" i="27"/>
  <c r="BH78" i="27" s="1"/>
  <c r="AY78" i="27"/>
  <c r="AS63" i="23"/>
  <c r="AY63" i="23"/>
  <c r="N23" i="195"/>
  <c r="AX77" i="23"/>
  <c r="BK77" i="23" s="1"/>
  <c r="AZ77" i="23"/>
  <c r="AZ75" i="23"/>
  <c r="AX75" i="23"/>
  <c r="BK75" i="23" s="1"/>
  <c r="AX69" i="23"/>
  <c r="BK69" i="23" s="1"/>
  <c r="AZ69" i="23"/>
  <c r="AX70" i="23"/>
  <c r="BK70" i="23" s="1"/>
  <c r="AZ70" i="23"/>
  <c r="AX72" i="23"/>
  <c r="BK72" i="23" s="1"/>
  <c r="AZ72" i="23"/>
  <c r="AX73" i="23"/>
  <c r="BK73" i="23" s="1"/>
  <c r="AZ73" i="23"/>
  <c r="AY61" i="21"/>
  <c r="K21" i="195"/>
  <c r="AS61" i="21"/>
  <c r="AY70" i="21"/>
  <c r="AZ70" i="21" s="1"/>
  <c r="AY64" i="21"/>
  <c r="K24" i="195"/>
  <c r="AS64" i="21"/>
  <c r="AX75" i="21"/>
  <c r="BH75" i="21" s="1"/>
  <c r="AZ75" i="21"/>
  <c r="AX77" i="21"/>
  <c r="BH77" i="21" s="1"/>
  <c r="AZ77" i="21"/>
  <c r="AY65" i="21"/>
  <c r="AS65" i="21"/>
  <c r="K25" i="195"/>
  <c r="AY62" i="21"/>
  <c r="K22" i="195"/>
  <c r="AS62" i="21"/>
  <c r="AS72" i="21"/>
  <c r="AY72" i="21"/>
  <c r="K32" i="195"/>
  <c r="AX77" i="20"/>
  <c r="BK77" i="20" s="1"/>
  <c r="AZ77" i="20"/>
  <c r="AX75" i="20"/>
  <c r="BK75" i="20" s="1"/>
  <c r="AZ75" i="20"/>
  <c r="BA78" i="29"/>
  <c r="BK78" i="29" s="1"/>
  <c r="BC78" i="29"/>
  <c r="BA85" i="18"/>
  <c r="BO85" i="18" s="1"/>
  <c r="BC85" i="18"/>
  <c r="BA84" i="18"/>
  <c r="BO84" i="18" s="1"/>
  <c r="BC84" i="18"/>
  <c r="BA88" i="18"/>
  <c r="BO88" i="18" s="1"/>
  <c r="BC88" i="18"/>
  <c r="BC82" i="18"/>
  <c r="BA82" i="18"/>
  <c r="BO82" i="18" s="1"/>
  <c r="AZ65" i="23"/>
  <c r="AN65" i="26"/>
  <c r="AZ66" i="20"/>
  <c r="AZ84" i="63"/>
  <c r="BL84" i="63" s="1"/>
  <c r="BB84" i="63"/>
  <c r="AZ86" i="63"/>
  <c r="BL86" i="63" s="1"/>
  <c r="BB86" i="63"/>
  <c r="AZ89" i="63"/>
  <c r="BL89" i="63" s="1"/>
  <c r="BB89" i="63"/>
  <c r="AZ59" i="20"/>
  <c r="AZ49" i="20"/>
  <c r="AZ51" i="20"/>
  <c r="AZ68" i="21"/>
  <c r="AW60" i="22"/>
  <c r="AZ67" i="23"/>
  <c r="BC66" i="29"/>
  <c r="AW44" i="22"/>
  <c r="AW67" i="22"/>
  <c r="AU67" i="22"/>
  <c r="BG67" i="22" s="1"/>
  <c r="AZ68" i="23"/>
  <c r="AW46" i="22"/>
  <c r="AW61" i="22"/>
  <c r="AU61" i="22"/>
  <c r="BG61" i="22" s="1"/>
  <c r="AX45" i="20"/>
  <c r="BK45" i="20" s="1"/>
  <c r="AZ45" i="20"/>
  <c r="AU47" i="22"/>
  <c r="BG47" i="22" s="1"/>
  <c r="AW47" i="22"/>
  <c r="AU55" i="22"/>
  <c r="BG55" i="22" s="1"/>
  <c r="AW55" i="22"/>
  <c r="AX76" i="51"/>
  <c r="BH76" i="51" s="1"/>
  <c r="AZ76" i="51"/>
  <c r="AW63" i="22"/>
  <c r="AU63" i="22"/>
  <c r="BG63" i="22" s="1"/>
  <c r="AW56" i="22"/>
  <c r="AU56" i="22"/>
  <c r="BG56" i="22" s="1"/>
  <c r="AZ68" i="20"/>
  <c r="AZ64" i="23"/>
  <c r="AW64" i="22"/>
  <c r="AW57" i="22"/>
  <c r="AU57" i="22"/>
  <c r="BG57" i="22" s="1"/>
  <c r="AZ58" i="20"/>
  <c r="AW59" i="22"/>
  <c r="AU59" i="22"/>
  <c r="BG59" i="22" s="1"/>
  <c r="AZ61" i="20"/>
  <c r="AZ66" i="23"/>
  <c r="AZ55" i="20"/>
  <c r="AU49" i="22"/>
  <c r="BG49" i="22" s="1"/>
  <c r="AW49" i="22"/>
  <c r="AX45" i="51"/>
  <c r="BH45" i="51" s="1"/>
  <c r="AZ45" i="51"/>
  <c r="AX74" i="51"/>
  <c r="BH74" i="51" s="1"/>
  <c r="AZ74" i="51"/>
  <c r="AW53" i="22"/>
  <c r="AU53" i="22"/>
  <c r="BG53" i="22" s="1"/>
  <c r="BC67" i="29"/>
  <c r="AX67" i="27"/>
  <c r="AW67" i="27" s="1"/>
  <c r="BH67" i="27" s="1"/>
  <c r="S27" i="195"/>
  <c r="P142" i="104"/>
  <c r="AW52" i="22"/>
  <c r="AW58" i="22"/>
  <c r="AZ53" i="51"/>
  <c r="P142" i="103"/>
  <c r="AW51" i="22"/>
  <c r="AU51" i="22"/>
  <c r="BG51" i="22" s="1"/>
  <c r="T126" i="22"/>
  <c r="X126" i="22" s="1"/>
  <c r="AB126" i="22" s="1"/>
  <c r="S126" i="22"/>
  <c r="W126" i="22" s="1"/>
  <c r="AA126" i="22" s="1"/>
  <c r="M10" i="639" s="1"/>
  <c r="R126" i="22"/>
  <c r="V126" i="22" s="1"/>
  <c r="Z126" i="22" s="1"/>
  <c r="M85" i="639" s="1"/>
  <c r="AZ50" i="20"/>
  <c r="W140" i="16"/>
  <c r="C179" i="105"/>
  <c r="B179" i="105"/>
  <c r="W142" i="105"/>
  <c r="P141" i="102"/>
  <c r="AX71" i="26"/>
  <c r="R31" i="195"/>
  <c r="AR71" i="26"/>
  <c r="AQ72" i="26"/>
  <c r="X72" i="26"/>
  <c r="AW70" i="26"/>
  <c r="BH70" i="26" s="1"/>
  <c r="AY70" i="26"/>
  <c r="W127" i="24"/>
  <c r="R128" i="24"/>
  <c r="V127" i="24"/>
  <c r="Z127" i="24" s="1"/>
  <c r="U127" i="24"/>
  <c r="Y127" i="24" s="1"/>
  <c r="T127" i="24"/>
  <c r="X127" i="24" s="1"/>
  <c r="AX79" i="21"/>
  <c r="BH79" i="21" s="1"/>
  <c r="AZ79" i="21"/>
  <c r="AY69" i="21"/>
  <c r="K29" i="195"/>
  <c r="AY73" i="21"/>
  <c r="K33" i="195"/>
  <c r="AY71" i="21"/>
  <c r="K31" i="195"/>
  <c r="X65" i="26"/>
  <c r="AB73" i="26"/>
  <c r="AD74" i="26"/>
  <c r="R86" i="16"/>
  <c r="R78" i="16"/>
  <c r="R80" i="16"/>
  <c r="R82" i="16"/>
  <c r="V89" i="16"/>
  <c r="W89" i="16" s="1"/>
  <c r="Q89" i="16"/>
  <c r="V88" i="16"/>
  <c r="Q88" i="16"/>
  <c r="V87" i="16"/>
  <c r="Q87" i="16"/>
  <c r="P87" i="16" s="1"/>
  <c r="V86" i="16"/>
  <c r="Q86" i="16"/>
  <c r="V85" i="16"/>
  <c r="Q85" i="16"/>
  <c r="P85" i="16" s="1"/>
  <c r="V84" i="16"/>
  <c r="R84" i="16"/>
  <c r="Q84" i="16"/>
  <c r="V83" i="16"/>
  <c r="Q83" i="16"/>
  <c r="P83" i="16" s="1"/>
  <c r="V82" i="16"/>
  <c r="Q82" i="16"/>
  <c r="V81" i="16"/>
  <c r="Q81" i="16"/>
  <c r="P81" i="16" s="1"/>
  <c r="V80" i="16"/>
  <c r="Q80" i="16"/>
  <c r="V79" i="16"/>
  <c r="Q79" i="16"/>
  <c r="P79" i="16" s="1"/>
  <c r="V78" i="16"/>
  <c r="Q78" i="16"/>
  <c r="F78" i="16"/>
  <c r="H78" i="16" s="1"/>
  <c r="V77" i="16"/>
  <c r="Q77" i="16"/>
  <c r="P77" i="16" s="1"/>
  <c r="F77" i="16"/>
  <c r="H77" i="16" s="1"/>
  <c r="V76" i="16"/>
  <c r="Q76" i="16"/>
  <c r="F76" i="16"/>
  <c r="H76" i="16" s="1"/>
  <c r="V75" i="16"/>
  <c r="R75" i="16"/>
  <c r="R76" i="16" s="1"/>
  <c r="Q75" i="16"/>
  <c r="F75" i="16"/>
  <c r="H75" i="16" s="1"/>
  <c r="V74" i="16"/>
  <c r="Q74" i="16"/>
  <c r="P74" i="16" s="1"/>
  <c r="F74" i="16"/>
  <c r="H74" i="16" s="1"/>
  <c r="V73" i="16"/>
  <c r="F73" i="16"/>
  <c r="H73" i="16" s="1"/>
  <c r="V72" i="16"/>
  <c r="F72" i="16"/>
  <c r="H72" i="16" s="1"/>
  <c r="V71" i="16"/>
  <c r="F71" i="16"/>
  <c r="H71" i="16" s="1"/>
  <c r="V70" i="16"/>
  <c r="F70" i="16"/>
  <c r="H70" i="16" s="1"/>
  <c r="V69" i="16"/>
  <c r="F69" i="16"/>
  <c r="H69" i="16" s="1"/>
  <c r="F68" i="16"/>
  <c r="H68" i="16" s="1"/>
  <c r="F67" i="16"/>
  <c r="H67" i="16" s="1"/>
  <c r="F66" i="16"/>
  <c r="H66" i="16" s="1"/>
  <c r="F65" i="16"/>
  <c r="H65" i="16" s="1"/>
  <c r="F64" i="16"/>
  <c r="H64" i="16" s="1"/>
  <c r="F63" i="16"/>
  <c r="H63" i="16" s="1"/>
  <c r="F62" i="16"/>
  <c r="H62" i="16" s="1"/>
  <c r="F61" i="16"/>
  <c r="H61" i="16" s="1"/>
  <c r="F60" i="16"/>
  <c r="H60" i="16" s="1"/>
  <c r="F59" i="16"/>
  <c r="H59" i="16" s="1"/>
  <c r="AN48" i="26" l="1"/>
  <c r="I48" i="26" s="1"/>
  <c r="P9" i="193" s="1"/>
  <c r="P8" i="490" s="1"/>
  <c r="AN49" i="26"/>
  <c r="I49" i="26" s="1"/>
  <c r="AB49" i="26" s="1"/>
  <c r="AN46" i="26"/>
  <c r="I46" i="26" s="1"/>
  <c r="P7" i="193" s="1"/>
  <c r="P6" i="490" s="1"/>
  <c r="AN58" i="26"/>
  <c r="I58" i="26" s="1"/>
  <c r="AB58" i="26" s="1"/>
  <c r="AX70" i="21"/>
  <c r="BH70" i="21" s="1"/>
  <c r="AN45" i="26"/>
  <c r="AN47" i="26"/>
  <c r="AN56" i="26"/>
  <c r="AN53" i="26"/>
  <c r="AN62" i="26"/>
  <c r="AN59" i="26"/>
  <c r="AV57" i="26"/>
  <c r="BG57" i="26" s="1"/>
  <c r="AV49" i="26"/>
  <c r="BG49" i="26" s="1"/>
  <c r="AN61" i="26"/>
  <c r="AN63" i="26"/>
  <c r="AN51" i="26"/>
  <c r="AN44" i="26"/>
  <c r="AN64" i="26"/>
  <c r="AN50" i="26"/>
  <c r="AV48" i="26"/>
  <c r="AY48" i="26" s="1"/>
  <c r="AN52" i="26"/>
  <c r="AN54" i="26"/>
  <c r="AN67" i="26"/>
  <c r="AN60" i="26"/>
  <c r="AN55" i="26"/>
  <c r="AN66" i="26"/>
  <c r="AA49" i="26"/>
  <c r="AP49" i="26" s="1"/>
  <c r="P10" i="193"/>
  <c r="P9" i="490" s="1"/>
  <c r="B48" i="26"/>
  <c r="R8" i="135" s="1"/>
  <c r="G8" i="135" s="1"/>
  <c r="AA48" i="26"/>
  <c r="AP48" i="26" s="1"/>
  <c r="AB48" i="26"/>
  <c r="P48" i="26" s="1"/>
  <c r="B57" i="26"/>
  <c r="R17" i="135" s="1"/>
  <c r="G17" i="135" s="1"/>
  <c r="AB57" i="26"/>
  <c r="P57" i="26" s="1"/>
  <c r="AA57" i="26"/>
  <c r="AP57" i="26" s="1"/>
  <c r="AA46" i="26"/>
  <c r="AP46" i="26" s="1"/>
  <c r="P49" i="26"/>
  <c r="AQ49" i="26"/>
  <c r="AR49" i="26" s="1"/>
  <c r="B46" i="26"/>
  <c r="R6" i="135" s="1"/>
  <c r="G6" i="135" s="1"/>
  <c r="I65" i="26"/>
  <c r="P26" i="193" s="1"/>
  <c r="P25" i="490" s="1"/>
  <c r="AV65" i="26"/>
  <c r="AX63" i="23"/>
  <c r="BK63" i="23" s="1"/>
  <c r="AZ63" i="23"/>
  <c r="AX62" i="21"/>
  <c r="BH62" i="21" s="1"/>
  <c r="AZ62" i="21"/>
  <c r="AX64" i="21"/>
  <c r="BH64" i="21" s="1"/>
  <c r="AZ64" i="21"/>
  <c r="AX65" i="21"/>
  <c r="BH65" i="21" s="1"/>
  <c r="AZ65" i="21"/>
  <c r="AX72" i="21"/>
  <c r="BH72" i="21" s="1"/>
  <c r="AZ72" i="21"/>
  <c r="AX61" i="21"/>
  <c r="BH61" i="21" s="1"/>
  <c r="AZ61" i="21"/>
  <c r="P80" i="16"/>
  <c r="P82" i="16"/>
  <c r="P75" i="16"/>
  <c r="P84" i="16"/>
  <c r="AY67" i="27"/>
  <c r="P78" i="16"/>
  <c r="T127" i="22"/>
  <c r="X127" i="22" s="1"/>
  <c r="AB127" i="22" s="1"/>
  <c r="R127" i="22"/>
  <c r="V127" i="22" s="1"/>
  <c r="Z127" i="22" s="1"/>
  <c r="M86" i="639" s="1"/>
  <c r="S127" i="22"/>
  <c r="W127" i="22" s="1"/>
  <c r="AA127" i="22" s="1"/>
  <c r="M11" i="639" s="1"/>
  <c r="P76" i="16"/>
  <c r="W141" i="16"/>
  <c r="B180" i="105"/>
  <c r="C180" i="105"/>
  <c r="P142" i="102"/>
  <c r="AQ73" i="26"/>
  <c r="X73" i="26"/>
  <c r="AW71" i="26"/>
  <c r="BH71" i="26" s="1"/>
  <c r="AY71" i="26"/>
  <c r="AX72" i="26"/>
  <c r="R32" i="195"/>
  <c r="AR72" i="26"/>
  <c r="R129" i="24"/>
  <c r="V128" i="24"/>
  <c r="Z128" i="24" s="1"/>
  <c r="T128" i="24"/>
  <c r="X128" i="24" s="1"/>
  <c r="U128" i="24"/>
  <c r="Y128" i="24" s="1"/>
  <c r="W128" i="24"/>
  <c r="AX73" i="21"/>
  <c r="BH73" i="21" s="1"/>
  <c r="AZ73" i="21"/>
  <c r="AX71" i="21"/>
  <c r="BH71" i="21" s="1"/>
  <c r="AZ71" i="21"/>
  <c r="AX69" i="21"/>
  <c r="BH69" i="21" s="1"/>
  <c r="AZ69" i="21"/>
  <c r="X66" i="26"/>
  <c r="AB74" i="26"/>
  <c r="AD75" i="26"/>
  <c r="P86" i="16"/>
  <c r="AY57" i="26" l="1"/>
  <c r="AB46" i="26"/>
  <c r="AQ46" i="26" s="1"/>
  <c r="AR46" i="26" s="1"/>
  <c r="B49" i="26"/>
  <c r="R9" i="135" s="1"/>
  <c r="G9" i="135" s="1"/>
  <c r="AA58" i="26"/>
  <c r="AP58" i="26" s="1"/>
  <c r="AV46" i="26"/>
  <c r="AY46" i="26" s="1"/>
  <c r="AQ58" i="26"/>
  <c r="AR58" i="26" s="1"/>
  <c r="P58" i="26"/>
  <c r="P19" i="193"/>
  <c r="P18" i="490" s="1"/>
  <c r="AV58" i="26"/>
  <c r="BG58" i="26" s="1"/>
  <c r="B58" i="26"/>
  <c r="R18" i="135" s="1"/>
  <c r="G18" i="135" s="1"/>
  <c r="AY49" i="26"/>
  <c r="BG48" i="26"/>
  <c r="BG46" i="26"/>
  <c r="I60" i="26"/>
  <c r="AV60" i="26"/>
  <c r="I64" i="26"/>
  <c r="AV64" i="26"/>
  <c r="I62" i="26"/>
  <c r="AV62" i="26"/>
  <c r="I67" i="26"/>
  <c r="AV67" i="26"/>
  <c r="I44" i="26"/>
  <c r="AV44" i="26"/>
  <c r="I53" i="26"/>
  <c r="AV53" i="26"/>
  <c r="I54" i="26"/>
  <c r="AV54" i="26"/>
  <c r="I51" i="26"/>
  <c r="AV51" i="26"/>
  <c r="I56" i="26"/>
  <c r="AV56" i="26"/>
  <c r="I52" i="26"/>
  <c r="AV52" i="26"/>
  <c r="I63" i="26"/>
  <c r="AV63" i="26"/>
  <c r="I47" i="26"/>
  <c r="AV47" i="26"/>
  <c r="I61" i="26"/>
  <c r="AV61" i="26"/>
  <c r="I45" i="26"/>
  <c r="AV45" i="26"/>
  <c r="I66" i="26"/>
  <c r="AB66" i="26" s="1"/>
  <c r="AQ66" i="26" s="1"/>
  <c r="AR66" i="26" s="1"/>
  <c r="AV66" i="26"/>
  <c r="I55" i="26"/>
  <c r="AV55" i="26"/>
  <c r="I50" i="26"/>
  <c r="AV50" i="26"/>
  <c r="I59" i="26"/>
  <c r="AV59" i="26"/>
  <c r="AY65" i="26"/>
  <c r="BG65" i="26"/>
  <c r="Y49" i="26"/>
  <c r="AO49" i="26" s="1"/>
  <c r="Y48" i="26"/>
  <c r="AO48" i="26" s="1"/>
  <c r="AQ48" i="26"/>
  <c r="AR48" i="26" s="1"/>
  <c r="AQ57" i="26"/>
  <c r="AR57" i="26" s="1"/>
  <c r="Y57" i="26"/>
  <c r="AO57" i="26" s="1"/>
  <c r="B65" i="26"/>
  <c r="R25" i="135" s="1"/>
  <c r="P46" i="26"/>
  <c r="Y46" i="26"/>
  <c r="AO46" i="26" s="1"/>
  <c r="T128" i="22"/>
  <c r="X128" i="22" s="1"/>
  <c r="AB128" i="22" s="1"/>
  <c r="R128" i="22"/>
  <c r="V128" i="22" s="1"/>
  <c r="Z128" i="22" s="1"/>
  <c r="M87" i="639" s="1"/>
  <c r="S128" i="22"/>
  <c r="W128" i="22" s="1"/>
  <c r="AA128" i="22" s="1"/>
  <c r="M12" i="639" s="1"/>
  <c r="W142" i="16"/>
  <c r="AW72" i="26"/>
  <c r="BH72" i="26" s="1"/>
  <c r="AY72" i="26"/>
  <c r="AQ74" i="26"/>
  <c r="X74" i="26"/>
  <c r="AX73" i="26"/>
  <c r="R33" i="195"/>
  <c r="AR73" i="26"/>
  <c r="R130" i="24"/>
  <c r="V129" i="24"/>
  <c r="Z129" i="24" s="1"/>
  <c r="T129" i="24"/>
  <c r="X129" i="24" s="1"/>
  <c r="U129" i="24"/>
  <c r="Y129" i="24" s="1"/>
  <c r="W129" i="24"/>
  <c r="AA65" i="26"/>
  <c r="AP65" i="26" s="1"/>
  <c r="AB65" i="26"/>
  <c r="AQ65" i="26" s="1"/>
  <c r="AR65" i="26" s="1"/>
  <c r="X67" i="26"/>
  <c r="AB75" i="26"/>
  <c r="AD76" i="26"/>
  <c r="Y58" i="26" l="1"/>
  <c r="AO58" i="26" s="1"/>
  <c r="AY58" i="26"/>
  <c r="AB55" i="26"/>
  <c r="P55" i="26"/>
  <c r="B55" i="26"/>
  <c r="R15" i="135" s="1"/>
  <c r="G15" i="135" s="1"/>
  <c r="P16" i="193"/>
  <c r="P15" i="490" s="1"/>
  <c r="AA55" i="26"/>
  <c r="AP55" i="26" s="1"/>
  <c r="BG47" i="26"/>
  <c r="AY47" i="26"/>
  <c r="AY51" i="26"/>
  <c r="BG51" i="26"/>
  <c r="BG67" i="26"/>
  <c r="AY67" i="26"/>
  <c r="AA47" i="26"/>
  <c r="AP47" i="26" s="1"/>
  <c r="B47" i="26"/>
  <c r="R7" i="135" s="1"/>
  <c r="G7" i="135" s="1"/>
  <c r="P8" i="193"/>
  <c r="P7" i="490" s="1"/>
  <c r="AB47" i="26"/>
  <c r="P47" i="26" s="1"/>
  <c r="AY54" i="26"/>
  <c r="BG54" i="26"/>
  <c r="P28" i="193"/>
  <c r="P27" i="490" s="1"/>
  <c r="B67" i="26"/>
  <c r="R27" i="135" s="1"/>
  <c r="P24" i="193"/>
  <c r="P23" i="490" s="1"/>
  <c r="AA63" i="26"/>
  <c r="AP63" i="26" s="1"/>
  <c r="AB63" i="26"/>
  <c r="B63" i="26"/>
  <c r="R23" i="135" s="1"/>
  <c r="AA62" i="26"/>
  <c r="AP62" i="26" s="1"/>
  <c r="B62" i="26"/>
  <c r="R22" i="135" s="1"/>
  <c r="P23" i="193"/>
  <c r="P22" i="490" s="1"/>
  <c r="AB62" i="26"/>
  <c r="B51" i="26"/>
  <c r="R11" i="135" s="1"/>
  <c r="G11" i="135" s="1"/>
  <c r="P12" i="193"/>
  <c r="P11" i="490" s="1"/>
  <c r="AA51" i="26"/>
  <c r="AP51" i="26" s="1"/>
  <c r="AB51" i="26"/>
  <c r="AB59" i="26"/>
  <c r="P59" i="26" s="1"/>
  <c r="P20" i="193"/>
  <c r="P19" i="490" s="1"/>
  <c r="B59" i="26"/>
  <c r="R19" i="135" s="1"/>
  <c r="AA59" i="26"/>
  <c r="AP59" i="26" s="1"/>
  <c r="BG52" i="26"/>
  <c r="AY52" i="26"/>
  <c r="AY64" i="26"/>
  <c r="BG64" i="26"/>
  <c r="AY50" i="26"/>
  <c r="BG50" i="26"/>
  <c r="P6" i="193"/>
  <c r="P5" i="490" s="1"/>
  <c r="AB45" i="26"/>
  <c r="P45" i="26" s="1"/>
  <c r="AA45" i="26"/>
  <c r="AP45" i="26" s="1"/>
  <c r="B45" i="26"/>
  <c r="R5" i="135" s="1"/>
  <c r="G5" i="135" s="1"/>
  <c r="P13" i="193"/>
  <c r="P12" i="490" s="1"/>
  <c r="AB52" i="26"/>
  <c r="B52" i="26"/>
  <c r="R12" i="135" s="1"/>
  <c r="G12" i="135" s="1"/>
  <c r="AA52" i="26"/>
  <c r="AP52" i="26" s="1"/>
  <c r="P14" i="193"/>
  <c r="P13" i="490" s="1"/>
  <c r="B53" i="26"/>
  <c r="R13" i="135" s="1"/>
  <c r="G13" i="135" s="1"/>
  <c r="AA53" i="26"/>
  <c r="AP53" i="26" s="1"/>
  <c r="AB53" i="26"/>
  <c r="P25" i="193"/>
  <c r="P24" i="490" s="1"/>
  <c r="B64" i="26"/>
  <c r="R24" i="135" s="1"/>
  <c r="AA64" i="26"/>
  <c r="AP64" i="26" s="1"/>
  <c r="AB64" i="26"/>
  <c r="AY62" i="26"/>
  <c r="BG62" i="26"/>
  <c r="AY59" i="26"/>
  <c r="BG59" i="26"/>
  <c r="AB54" i="26"/>
  <c r="B54" i="26"/>
  <c r="R14" i="135" s="1"/>
  <c r="G14" i="135" s="1"/>
  <c r="P15" i="193"/>
  <c r="P14" i="490" s="1"/>
  <c r="AA54" i="26"/>
  <c r="AP54" i="26" s="1"/>
  <c r="AY53" i="26"/>
  <c r="BG53" i="26"/>
  <c r="AA50" i="26"/>
  <c r="AP50" i="26" s="1"/>
  <c r="P11" i="193"/>
  <c r="P10" i="490" s="1"/>
  <c r="B50" i="26"/>
  <c r="R10" i="135" s="1"/>
  <c r="G10" i="135" s="1"/>
  <c r="AB50" i="26"/>
  <c r="AY61" i="26"/>
  <c r="BG61" i="26"/>
  <c r="AY56" i="26"/>
  <c r="BG56" i="26"/>
  <c r="AY44" i="26"/>
  <c r="BG44" i="26"/>
  <c r="AY60" i="26"/>
  <c r="BG60" i="26"/>
  <c r="AY66" i="26"/>
  <c r="BG66" i="26"/>
  <c r="AY63" i="26"/>
  <c r="BG63" i="26"/>
  <c r="B66" i="26"/>
  <c r="R26" i="135" s="1"/>
  <c r="P27" i="193"/>
  <c r="P26" i="490" s="1"/>
  <c r="AY45" i="26"/>
  <c r="BG45" i="26"/>
  <c r="AY55" i="26"/>
  <c r="BG55" i="26"/>
  <c r="P22" i="193"/>
  <c r="P21" i="490" s="1"/>
  <c r="AA61" i="26"/>
  <c r="AP61" i="26" s="1"/>
  <c r="B61" i="26"/>
  <c r="R21" i="135" s="1"/>
  <c r="AB61" i="26"/>
  <c r="P61" i="26" s="1"/>
  <c r="P17" i="193"/>
  <c r="P16" i="490" s="1"/>
  <c r="AA56" i="26"/>
  <c r="AP56" i="26" s="1"/>
  <c r="B56" i="26"/>
  <c r="R16" i="135" s="1"/>
  <c r="G16" i="135" s="1"/>
  <c r="AB56" i="26"/>
  <c r="AB44" i="26"/>
  <c r="P5" i="193"/>
  <c r="P4" i="490" s="1"/>
  <c r="B44" i="26"/>
  <c r="R4" i="135" s="1"/>
  <c r="G4" i="135" s="1"/>
  <c r="AA44" i="26"/>
  <c r="AP44" i="26" s="1"/>
  <c r="P21" i="193"/>
  <c r="P20" i="490" s="1"/>
  <c r="AA60" i="26"/>
  <c r="AP60" i="26" s="1"/>
  <c r="AB60" i="26"/>
  <c r="P60" i="26" s="1"/>
  <c r="B60" i="26"/>
  <c r="R20" i="135" s="1"/>
  <c r="AB67" i="26"/>
  <c r="AQ67" i="26" s="1"/>
  <c r="AR67" i="26" s="1"/>
  <c r="X68" i="26"/>
  <c r="T129" i="22"/>
  <c r="X129" i="22" s="1"/>
  <c r="AB129" i="22" s="1"/>
  <c r="R129" i="22"/>
  <c r="V129" i="22" s="1"/>
  <c r="Z129" i="22" s="1"/>
  <c r="M88" i="639" s="1"/>
  <c r="S129" i="22"/>
  <c r="W129" i="22" s="1"/>
  <c r="AA129" i="22" s="1"/>
  <c r="M13" i="639" s="1"/>
  <c r="X75" i="26"/>
  <c r="AQ75" i="26"/>
  <c r="AW73" i="26"/>
  <c r="BH73" i="26" s="1"/>
  <c r="AY73" i="26"/>
  <c r="AX74" i="26"/>
  <c r="R34" i="195"/>
  <c r="AR74" i="26"/>
  <c r="R131" i="24"/>
  <c r="V130" i="24"/>
  <c r="Z130" i="24" s="1"/>
  <c r="T130" i="24"/>
  <c r="X130" i="24" s="1"/>
  <c r="U130" i="24"/>
  <c r="Y130" i="24" s="1"/>
  <c r="W130" i="24"/>
  <c r="AA66" i="26"/>
  <c r="AA67" i="26"/>
  <c r="P65" i="26"/>
  <c r="Y65" i="26"/>
  <c r="AO65" i="26" s="1"/>
  <c r="AB76" i="26"/>
  <c r="AD77" i="26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44" i="3"/>
  <c r="L75" i="3"/>
  <c r="L76" i="3"/>
  <c r="L77" i="3"/>
  <c r="L78" i="3"/>
  <c r="Q75" i="3"/>
  <c r="P75" i="3" s="1"/>
  <c r="AS41" i="2"/>
  <c r="AS42" i="2"/>
  <c r="AS43" i="2"/>
  <c r="AS44" i="2"/>
  <c r="AS45" i="2"/>
  <c r="AS46" i="2"/>
  <c r="AS47" i="2"/>
  <c r="AS48" i="2"/>
  <c r="AS49" i="2"/>
  <c r="AS50" i="2"/>
  <c r="AS40" i="2"/>
  <c r="BY5" i="2"/>
  <c r="CB5" i="2"/>
  <c r="BN5" i="2" s="1"/>
  <c r="AE5" i="2" s="1"/>
  <c r="M88" i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41" i="2"/>
  <c r="BY6" i="2"/>
  <c r="CB6" i="2"/>
  <c r="BN6" i="2" s="1"/>
  <c r="AE6" i="2" s="1"/>
  <c r="BY7" i="2"/>
  <c r="CB7" i="2"/>
  <c r="BN7" i="2" s="1"/>
  <c r="AE7" i="2" s="1"/>
  <c r="BY8" i="2"/>
  <c r="CB8" i="2"/>
  <c r="BN8" i="2" s="1"/>
  <c r="AE8" i="2" s="1"/>
  <c r="BY9" i="2"/>
  <c r="CB9" i="2"/>
  <c r="BN9" i="2" s="1"/>
  <c r="AE9" i="2" s="1"/>
  <c r="BY10" i="2"/>
  <c r="CB10" i="2"/>
  <c r="BN10" i="2" s="1"/>
  <c r="AE10" i="2" s="1"/>
  <c r="BY11" i="2"/>
  <c r="CB11" i="2"/>
  <c r="BN11" i="2" s="1"/>
  <c r="AE11" i="2" s="1"/>
  <c r="BY12" i="2"/>
  <c r="CB12" i="2"/>
  <c r="BN12" i="2" s="1"/>
  <c r="AE12" i="2" s="1"/>
  <c r="BY13" i="2"/>
  <c r="CB13" i="2"/>
  <c r="BN13" i="2" s="1"/>
  <c r="AE13" i="2" s="1"/>
  <c r="BY14" i="2"/>
  <c r="CB14" i="2"/>
  <c r="BN14" i="2" s="1"/>
  <c r="AE14" i="2" s="1"/>
  <c r="BY15" i="2"/>
  <c r="CB15" i="2"/>
  <c r="BY16" i="2"/>
  <c r="CB16" i="2"/>
  <c r="BY17" i="2"/>
  <c r="CB17" i="2"/>
  <c r="BY18" i="2"/>
  <c r="CB18" i="2"/>
  <c r="BY19" i="2"/>
  <c r="CB19" i="2"/>
  <c r="BY20" i="2"/>
  <c r="CB20" i="2"/>
  <c r="BY21" i="2"/>
  <c r="CB21" i="2"/>
  <c r="BY22" i="2"/>
  <c r="CB22" i="2"/>
  <c r="BY23" i="2"/>
  <c r="CB23" i="2"/>
  <c r="BY24" i="2"/>
  <c r="CB24" i="2"/>
  <c r="BY25" i="2"/>
  <c r="CB25" i="2"/>
  <c r="BY26" i="2"/>
  <c r="CB26" i="2"/>
  <c r="BY27" i="2"/>
  <c r="CB27" i="2"/>
  <c r="BY28" i="2"/>
  <c r="CB28" i="2"/>
  <c r="BY29" i="2"/>
  <c r="CB29" i="2"/>
  <c r="BY30" i="2"/>
  <c r="CB30" i="2"/>
  <c r="BY31" i="2"/>
  <c r="CB31" i="2"/>
  <c r="BY32" i="2"/>
  <c r="CB32" i="2"/>
  <c r="BY33" i="2"/>
  <c r="CB33" i="2"/>
  <c r="BY34" i="2"/>
  <c r="CB34" i="2"/>
  <c r="BY35" i="2"/>
  <c r="CB35" i="2"/>
  <c r="BY36" i="2"/>
  <c r="CB36" i="2"/>
  <c r="BY37" i="2"/>
  <c r="CB37" i="2"/>
  <c r="BY38" i="2"/>
  <c r="CB38" i="2"/>
  <c r="BY39" i="2"/>
  <c r="CB39" i="2"/>
  <c r="BY40" i="2"/>
  <c r="BY41" i="2"/>
  <c r="BY42" i="2"/>
  <c r="BY43" i="2"/>
  <c r="BY44" i="2"/>
  <c r="BY45" i="2"/>
  <c r="BY46" i="2"/>
  <c r="BY47" i="2"/>
  <c r="BY48" i="2"/>
  <c r="BY49" i="2"/>
  <c r="BY50" i="2"/>
  <c r="AD50" i="2" s="1"/>
  <c r="Z45" i="1"/>
  <c r="AI45" i="1" s="1"/>
  <c r="Z46" i="1"/>
  <c r="AI46" i="1" s="1"/>
  <c r="Z47" i="1"/>
  <c r="AI47" i="1" s="1"/>
  <c r="Z48" i="1"/>
  <c r="AI48" i="1" s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44" i="1"/>
  <c r="AI44" i="1" s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49" i="1"/>
  <c r="AC45" i="1"/>
  <c r="AD45" i="1" s="1"/>
  <c r="AC46" i="1"/>
  <c r="AD46" i="1" s="1"/>
  <c r="AC47" i="1"/>
  <c r="AD47" i="1" s="1"/>
  <c r="AC48" i="1"/>
  <c r="AD48" i="1" s="1"/>
  <c r="AC49" i="1"/>
  <c r="AD49" i="1" s="1"/>
  <c r="AC50" i="1"/>
  <c r="AD50" i="1" s="1"/>
  <c r="AC51" i="1"/>
  <c r="AD51" i="1" s="1"/>
  <c r="AC52" i="1"/>
  <c r="AD52" i="1" s="1"/>
  <c r="AC53" i="1"/>
  <c r="AD53" i="1" s="1"/>
  <c r="AC54" i="1"/>
  <c r="AD54" i="1" s="1"/>
  <c r="AC55" i="1"/>
  <c r="AD55" i="1" s="1"/>
  <c r="AC56" i="1"/>
  <c r="AD56" i="1" s="1"/>
  <c r="AC57" i="1"/>
  <c r="AD57" i="1" s="1"/>
  <c r="AS57" i="1" s="1"/>
  <c r="AC58" i="1"/>
  <c r="AD58" i="1" s="1"/>
  <c r="AC59" i="1"/>
  <c r="AD59" i="1" s="1"/>
  <c r="AC60" i="1"/>
  <c r="AD60" i="1" s="1"/>
  <c r="AC61" i="1"/>
  <c r="AD61" i="1" s="1"/>
  <c r="AC62" i="1"/>
  <c r="AD62" i="1" s="1"/>
  <c r="AC63" i="1"/>
  <c r="AD63" i="1" s="1"/>
  <c r="AS63" i="1" s="1"/>
  <c r="AC64" i="1"/>
  <c r="AD64" i="1" s="1"/>
  <c r="AS64" i="1" s="1"/>
  <c r="AC65" i="1"/>
  <c r="AD65" i="1" s="1"/>
  <c r="AC66" i="1"/>
  <c r="AD66" i="1" s="1"/>
  <c r="AS66" i="1" s="1"/>
  <c r="AC67" i="1"/>
  <c r="AD67" i="1" s="1"/>
  <c r="AC68" i="1"/>
  <c r="AD68" i="1" s="1"/>
  <c r="AC69" i="1"/>
  <c r="AD69" i="1" s="1"/>
  <c r="AC70" i="1"/>
  <c r="AD70" i="1" s="1"/>
  <c r="AS70" i="1" s="1"/>
  <c r="AC71" i="1"/>
  <c r="AD71" i="1" s="1"/>
  <c r="AS71" i="1" s="1"/>
  <c r="AC72" i="1"/>
  <c r="AD72" i="1" s="1"/>
  <c r="AS72" i="1" s="1"/>
  <c r="AC73" i="1"/>
  <c r="AD73" i="1" s="1"/>
  <c r="AS73" i="1" s="1"/>
  <c r="AC74" i="1"/>
  <c r="AD74" i="1" s="1"/>
  <c r="AS74" i="1" s="1"/>
  <c r="AC75" i="1"/>
  <c r="AD75" i="1" s="1"/>
  <c r="AC76" i="1"/>
  <c r="AD76" i="1" s="1"/>
  <c r="AC77" i="1"/>
  <c r="AD77" i="1" s="1"/>
  <c r="AC78" i="1"/>
  <c r="AD78" i="1" s="1"/>
  <c r="AC79" i="1"/>
  <c r="AD79" i="1" s="1"/>
  <c r="AC80" i="1"/>
  <c r="AD80" i="1" s="1"/>
  <c r="AC81" i="1"/>
  <c r="AD81" i="1" s="1"/>
  <c r="AC82" i="1"/>
  <c r="AD82" i="1" s="1"/>
  <c r="AC83" i="1"/>
  <c r="AD83" i="1" s="1"/>
  <c r="AC84" i="1"/>
  <c r="AD84" i="1" s="1"/>
  <c r="AC85" i="1"/>
  <c r="AD85" i="1" s="1"/>
  <c r="AC86" i="1"/>
  <c r="AD86" i="1" s="1"/>
  <c r="AC87" i="1"/>
  <c r="AD87" i="1" s="1"/>
  <c r="AC88" i="1"/>
  <c r="AD88" i="1" s="1"/>
  <c r="AC89" i="1"/>
  <c r="AD89" i="1" s="1"/>
  <c r="AC44" i="1"/>
  <c r="AD44" i="1" s="1"/>
  <c r="W77" i="1"/>
  <c r="Y77" i="1" s="1"/>
  <c r="W76" i="1"/>
  <c r="Y76" i="1" s="1"/>
  <c r="W75" i="1"/>
  <c r="Y75" i="1" s="1"/>
  <c r="W74" i="1"/>
  <c r="Y74" i="1" s="1"/>
  <c r="W73" i="1"/>
  <c r="Y73" i="1" s="1"/>
  <c r="W72" i="1"/>
  <c r="Y72" i="1" s="1"/>
  <c r="W71" i="1"/>
  <c r="Y71" i="1" s="1"/>
  <c r="W70" i="1"/>
  <c r="Y70" i="1" s="1"/>
  <c r="W69" i="1"/>
  <c r="Y69" i="1" s="1"/>
  <c r="W68" i="1"/>
  <c r="Y68" i="1" s="1"/>
  <c r="W67" i="1"/>
  <c r="Y67" i="1" s="1"/>
  <c r="W66" i="1"/>
  <c r="Y66" i="1" s="1"/>
  <c r="W65" i="1"/>
  <c r="Y65" i="1" s="1"/>
  <c r="W64" i="1"/>
  <c r="Y64" i="1" s="1"/>
  <c r="W63" i="1"/>
  <c r="Y63" i="1" s="1"/>
  <c r="W62" i="1"/>
  <c r="Y62" i="1" s="1"/>
  <c r="W61" i="1"/>
  <c r="Y61" i="1" s="1"/>
  <c r="W60" i="1"/>
  <c r="Y60" i="1" s="1"/>
  <c r="W59" i="1"/>
  <c r="Y59" i="1" s="1"/>
  <c r="W58" i="1"/>
  <c r="Y58" i="1" s="1"/>
  <c r="W57" i="1"/>
  <c r="Y57" i="1" s="1"/>
  <c r="W56" i="1"/>
  <c r="Y56" i="1" s="1"/>
  <c r="W55" i="1"/>
  <c r="Y55" i="1" s="1"/>
  <c r="W54" i="1"/>
  <c r="Y54" i="1" s="1"/>
  <c r="W53" i="1"/>
  <c r="Y53" i="1" s="1"/>
  <c r="W52" i="1"/>
  <c r="Y52" i="1" s="1"/>
  <c r="W51" i="1"/>
  <c r="Y51" i="1" s="1"/>
  <c r="W50" i="1"/>
  <c r="Y50" i="1" s="1"/>
  <c r="W49" i="1"/>
  <c r="Y49" i="1" s="1"/>
  <c r="W48" i="1"/>
  <c r="Y48" i="1" s="1"/>
  <c r="AJ48" i="1" s="1"/>
  <c r="W47" i="1"/>
  <c r="Y47" i="1" s="1"/>
  <c r="AJ47" i="1" s="1"/>
  <c r="W46" i="1"/>
  <c r="Y46" i="1" s="1"/>
  <c r="AJ46" i="1" s="1"/>
  <c r="W45" i="1"/>
  <c r="Y45" i="1" s="1"/>
  <c r="AJ45" i="1" s="1"/>
  <c r="W44" i="1"/>
  <c r="Y44" i="1" s="1"/>
  <c r="AJ44" i="1" s="1"/>
  <c r="AQ54" i="26" l="1"/>
  <c r="AR54" i="26" s="1"/>
  <c r="Y54" i="26"/>
  <c r="AO54" i="26" s="1"/>
  <c r="AQ51" i="26"/>
  <c r="AR51" i="26" s="1"/>
  <c r="Y51" i="26"/>
  <c r="AO51" i="26" s="1"/>
  <c r="P51" i="26"/>
  <c r="AQ47" i="26"/>
  <c r="AR47" i="26" s="1"/>
  <c r="Y47" i="26"/>
  <c r="AO47" i="26" s="1"/>
  <c r="AQ60" i="26"/>
  <c r="AR60" i="26" s="1"/>
  <c r="Y60" i="26"/>
  <c r="AO60" i="26" s="1"/>
  <c r="AQ44" i="26"/>
  <c r="AR44" i="26" s="1"/>
  <c r="Y44" i="26"/>
  <c r="AO44" i="26" s="1"/>
  <c r="Y53" i="26"/>
  <c r="AO53" i="26" s="1"/>
  <c r="P53" i="26"/>
  <c r="AQ53" i="26"/>
  <c r="AR53" i="26" s="1"/>
  <c r="AQ63" i="26"/>
  <c r="AR63" i="26" s="1"/>
  <c r="Y63" i="26"/>
  <c r="AO63" i="26" s="1"/>
  <c r="P63" i="26"/>
  <c r="AQ56" i="26"/>
  <c r="AR56" i="26" s="1"/>
  <c r="P56" i="26"/>
  <c r="Y56" i="26"/>
  <c r="AO56" i="26" s="1"/>
  <c r="Y45" i="26"/>
  <c r="AO45" i="26" s="1"/>
  <c r="AQ45" i="26"/>
  <c r="AR45" i="26" s="1"/>
  <c r="P62" i="26"/>
  <c r="Y62" i="26"/>
  <c r="AO62" i="26" s="1"/>
  <c r="AQ62" i="26"/>
  <c r="AR62" i="26" s="1"/>
  <c r="AQ50" i="26"/>
  <c r="AR50" i="26" s="1"/>
  <c r="Y50" i="26"/>
  <c r="AO50" i="26" s="1"/>
  <c r="P50" i="26"/>
  <c r="AQ64" i="26"/>
  <c r="AR64" i="26" s="1"/>
  <c r="Y64" i="26"/>
  <c r="AO64" i="26" s="1"/>
  <c r="P64" i="26"/>
  <c r="AQ61" i="26"/>
  <c r="AR61" i="26" s="1"/>
  <c r="Y61" i="26"/>
  <c r="AO61" i="26" s="1"/>
  <c r="P54" i="26"/>
  <c r="P44" i="26"/>
  <c r="AQ52" i="26"/>
  <c r="AR52" i="26" s="1"/>
  <c r="P52" i="26"/>
  <c r="Y52" i="26"/>
  <c r="AO52" i="26" s="1"/>
  <c r="Y59" i="26"/>
  <c r="AO59" i="26" s="1"/>
  <c r="AQ59" i="26"/>
  <c r="AR59" i="26" s="1"/>
  <c r="AQ55" i="26"/>
  <c r="AR55" i="26" s="1"/>
  <c r="Y55" i="26"/>
  <c r="AO55" i="26" s="1"/>
  <c r="Y66" i="26"/>
  <c r="AO66" i="26" s="1"/>
  <c r="AP66" i="26"/>
  <c r="Y67" i="26"/>
  <c r="AO67" i="26" s="1"/>
  <c r="AP67" i="26"/>
  <c r="AS76" i="1"/>
  <c r="AS49" i="1"/>
  <c r="AA89" i="1"/>
  <c r="AS69" i="1"/>
  <c r="BD50" i="2"/>
  <c r="P131" i="22"/>
  <c r="AS75" i="1"/>
  <c r="AS67" i="1"/>
  <c r="AS59" i="1"/>
  <c r="AE48" i="2"/>
  <c r="BD48" i="2" s="1"/>
  <c r="AS61" i="1"/>
  <c r="AE46" i="2"/>
  <c r="BD46" i="2" s="1"/>
  <c r="AE44" i="2"/>
  <c r="BD44" i="2" s="1"/>
  <c r="AE42" i="2"/>
  <c r="BD42" i="2" s="1"/>
  <c r="AQ76" i="26"/>
  <c r="X76" i="26"/>
  <c r="AX75" i="26"/>
  <c r="R35" i="195"/>
  <c r="AR75" i="26"/>
  <c r="AW74" i="26"/>
  <c r="BH74" i="26" s="1"/>
  <c r="AY74" i="26"/>
  <c r="R132" i="24"/>
  <c r="V131" i="24"/>
  <c r="Z131" i="24" s="1"/>
  <c r="U131" i="24"/>
  <c r="Y131" i="24" s="1"/>
  <c r="T131" i="24"/>
  <c r="X131" i="24" s="1"/>
  <c r="W131" i="24"/>
  <c r="B7" i="195"/>
  <c r="AZ47" i="1"/>
  <c r="AW47" i="1" s="1"/>
  <c r="B5" i="195"/>
  <c r="AZ45" i="1"/>
  <c r="AW45" i="1" s="1"/>
  <c r="AS45" i="1"/>
  <c r="BJ44" i="1"/>
  <c r="BI44" i="1" s="1"/>
  <c r="BJ88" i="1"/>
  <c r="BI88" i="1" s="1"/>
  <c r="BJ86" i="1"/>
  <c r="BI86" i="1" s="1"/>
  <c r="BJ84" i="1"/>
  <c r="BI84" i="1" s="1"/>
  <c r="BJ82" i="1"/>
  <c r="BI82" i="1" s="1"/>
  <c r="BJ80" i="1"/>
  <c r="BI80" i="1" s="1"/>
  <c r="BJ78" i="1"/>
  <c r="BI78" i="1" s="1"/>
  <c r="BJ68" i="1"/>
  <c r="BI68" i="1" s="1"/>
  <c r="BJ67" i="1"/>
  <c r="BI67" i="1" s="1"/>
  <c r="BJ66" i="1"/>
  <c r="BI66" i="1" s="1"/>
  <c r="BJ62" i="1"/>
  <c r="BI62" i="1" s="1"/>
  <c r="BJ61" i="1"/>
  <c r="BI61" i="1" s="1"/>
  <c r="BJ58" i="1"/>
  <c r="BI58" i="1" s="1"/>
  <c r="BJ57" i="1"/>
  <c r="BI57" i="1" s="1"/>
  <c r="BJ55" i="1"/>
  <c r="BI55" i="1" s="1"/>
  <c r="BJ53" i="1"/>
  <c r="BI53" i="1" s="1"/>
  <c r="BJ51" i="1"/>
  <c r="BI51" i="1" s="1"/>
  <c r="BJ48" i="1"/>
  <c r="BI48" i="1" s="1"/>
  <c r="BJ46" i="1"/>
  <c r="BI46" i="1" s="1"/>
  <c r="BJ45" i="1"/>
  <c r="BI45" i="1" s="1"/>
  <c r="AK89" i="1"/>
  <c r="AJ89" i="1" s="1"/>
  <c r="B49" i="195"/>
  <c r="AK87" i="1"/>
  <c r="AJ87" i="1" s="1"/>
  <c r="B47" i="195"/>
  <c r="AK85" i="1"/>
  <c r="AJ85" i="1" s="1"/>
  <c r="B45" i="195"/>
  <c r="AK83" i="1"/>
  <c r="AJ83" i="1" s="1"/>
  <c r="B43" i="195"/>
  <c r="AK81" i="1"/>
  <c r="AJ81" i="1" s="1"/>
  <c r="B41" i="195"/>
  <c r="AK79" i="1"/>
  <c r="AJ79" i="1" s="1"/>
  <c r="B39" i="195"/>
  <c r="AK77" i="1"/>
  <c r="B37" i="195"/>
  <c r="AK75" i="1"/>
  <c r="AJ75" i="1" s="1"/>
  <c r="B35" i="195"/>
  <c r="AK73" i="1"/>
  <c r="AJ73" i="1" s="1"/>
  <c r="B33" i="195"/>
  <c r="AK71" i="1"/>
  <c r="AJ71" i="1" s="1"/>
  <c r="B31" i="195"/>
  <c r="AK69" i="1"/>
  <c r="AJ69" i="1" s="1"/>
  <c r="B29" i="195"/>
  <c r="AK67" i="1"/>
  <c r="AJ67" i="1" s="1"/>
  <c r="B27" i="195"/>
  <c r="AK65" i="1"/>
  <c r="AJ65" i="1" s="1"/>
  <c r="B25" i="195"/>
  <c r="AK63" i="1"/>
  <c r="B23" i="195"/>
  <c r="AK61" i="1"/>
  <c r="B21" i="195"/>
  <c r="AK59" i="1"/>
  <c r="AJ59" i="1" s="1"/>
  <c r="B19" i="195"/>
  <c r="AK57" i="1"/>
  <c r="AJ57" i="1" s="1"/>
  <c r="B17" i="195"/>
  <c r="AK55" i="1"/>
  <c r="AJ55" i="1" s="1"/>
  <c r="B15" i="195"/>
  <c r="AK53" i="1"/>
  <c r="AJ53" i="1" s="1"/>
  <c r="B13" i="195"/>
  <c r="AK51" i="1"/>
  <c r="AJ51" i="1" s="1"/>
  <c r="B11" i="195"/>
  <c r="AA88" i="1"/>
  <c r="AA86" i="1"/>
  <c r="AA84" i="1"/>
  <c r="AA82" i="1"/>
  <c r="AA80" i="1"/>
  <c r="AA78" i="1"/>
  <c r="AA76" i="1"/>
  <c r="AA74" i="1"/>
  <c r="AA72" i="1"/>
  <c r="AA70" i="1"/>
  <c r="AA68" i="1"/>
  <c r="AA66" i="1"/>
  <c r="AA64" i="1"/>
  <c r="AA62" i="1"/>
  <c r="AA60" i="1"/>
  <c r="AA58" i="1"/>
  <c r="AA56" i="1"/>
  <c r="AA54" i="1"/>
  <c r="AA52" i="1"/>
  <c r="AA50" i="1"/>
  <c r="AA48" i="1"/>
  <c r="AA46" i="1"/>
  <c r="AA44" i="1"/>
  <c r="AP78" i="1"/>
  <c r="AP76" i="1"/>
  <c r="AP74" i="1"/>
  <c r="AP72" i="1"/>
  <c r="AP70" i="1"/>
  <c r="AP68" i="1"/>
  <c r="AP66" i="1"/>
  <c r="AP64" i="1"/>
  <c r="AP62" i="1"/>
  <c r="AP60" i="1"/>
  <c r="AP58" i="1"/>
  <c r="AP56" i="1"/>
  <c r="AP54" i="1"/>
  <c r="AP52" i="1"/>
  <c r="AP50" i="1"/>
  <c r="AP48" i="1"/>
  <c r="AP46" i="1"/>
  <c r="BJ89" i="1"/>
  <c r="BI89" i="1" s="1"/>
  <c r="BJ87" i="1"/>
  <c r="BI87" i="1" s="1"/>
  <c r="BJ85" i="1"/>
  <c r="BI85" i="1" s="1"/>
  <c r="BJ83" i="1"/>
  <c r="BI83" i="1" s="1"/>
  <c r="BJ81" i="1"/>
  <c r="BI81" i="1" s="1"/>
  <c r="BJ79" i="1"/>
  <c r="BI79" i="1" s="1"/>
  <c r="BJ77" i="1"/>
  <c r="BI77" i="1" s="1"/>
  <c r="BJ76" i="1"/>
  <c r="BI76" i="1" s="1"/>
  <c r="BJ75" i="1"/>
  <c r="BI75" i="1" s="1"/>
  <c r="BJ74" i="1"/>
  <c r="BI74" i="1" s="1"/>
  <c r="BJ73" i="1"/>
  <c r="BI73" i="1" s="1"/>
  <c r="BJ72" i="1"/>
  <c r="BI72" i="1" s="1"/>
  <c r="BJ71" i="1"/>
  <c r="BI71" i="1" s="1"/>
  <c r="BJ70" i="1"/>
  <c r="BI70" i="1" s="1"/>
  <c r="BJ69" i="1"/>
  <c r="BI69" i="1" s="1"/>
  <c r="BJ65" i="1"/>
  <c r="BI65" i="1" s="1"/>
  <c r="BJ64" i="1"/>
  <c r="BI64" i="1" s="1"/>
  <c r="BJ63" i="1"/>
  <c r="BI63" i="1" s="1"/>
  <c r="BJ60" i="1"/>
  <c r="BI60" i="1" s="1"/>
  <c r="BJ59" i="1"/>
  <c r="BI59" i="1" s="1"/>
  <c r="BJ56" i="1"/>
  <c r="BI56" i="1" s="1"/>
  <c r="BJ54" i="1"/>
  <c r="BI54" i="1" s="1"/>
  <c r="BJ52" i="1"/>
  <c r="BI52" i="1" s="1"/>
  <c r="BJ50" i="1"/>
  <c r="BI50" i="1" s="1"/>
  <c r="BJ49" i="1"/>
  <c r="BI49" i="1" s="1"/>
  <c r="BJ47" i="1"/>
  <c r="BI47" i="1" s="1"/>
  <c r="AK49" i="1"/>
  <c r="AJ49" i="1" s="1"/>
  <c r="B9" i="195"/>
  <c r="AK88" i="1"/>
  <c r="AJ88" i="1" s="1"/>
  <c r="B48" i="195"/>
  <c r="AK86" i="1"/>
  <c r="AJ86" i="1" s="1"/>
  <c r="B46" i="195"/>
  <c r="AK84" i="1"/>
  <c r="AJ84" i="1" s="1"/>
  <c r="B44" i="195"/>
  <c r="AK82" i="1"/>
  <c r="AJ82" i="1" s="1"/>
  <c r="B42" i="195"/>
  <c r="AK80" i="1"/>
  <c r="AJ80" i="1" s="1"/>
  <c r="B40" i="195"/>
  <c r="B38" i="195"/>
  <c r="AK76" i="1"/>
  <c r="AJ76" i="1" s="1"/>
  <c r="B36" i="195"/>
  <c r="AK74" i="1"/>
  <c r="AJ74" i="1" s="1"/>
  <c r="B34" i="195"/>
  <c r="AK72" i="1"/>
  <c r="AJ72" i="1" s="1"/>
  <c r="B32" i="195"/>
  <c r="AK70" i="1"/>
  <c r="AJ70" i="1" s="1"/>
  <c r="B30" i="195"/>
  <c r="AK68" i="1"/>
  <c r="AJ68" i="1" s="1"/>
  <c r="B28" i="195"/>
  <c r="AK66" i="1"/>
  <c r="AJ66" i="1" s="1"/>
  <c r="B26" i="195"/>
  <c r="AK64" i="1"/>
  <c r="AJ64" i="1" s="1"/>
  <c r="B24" i="195"/>
  <c r="AK62" i="1"/>
  <c r="AJ62" i="1" s="1"/>
  <c r="B22" i="195"/>
  <c r="AK60" i="1"/>
  <c r="AJ60" i="1" s="1"/>
  <c r="B20" i="195"/>
  <c r="AK58" i="1"/>
  <c r="AJ58" i="1" s="1"/>
  <c r="B18" i="195"/>
  <c r="AK56" i="1"/>
  <c r="AJ56" i="1" s="1"/>
  <c r="B16" i="195"/>
  <c r="AK54" i="1"/>
  <c r="AJ54" i="1" s="1"/>
  <c r="B14" i="195"/>
  <c r="AK52" i="1"/>
  <c r="AJ52" i="1" s="1"/>
  <c r="B12" i="195"/>
  <c r="AK50" i="1"/>
  <c r="AJ50" i="1" s="1"/>
  <c r="B10" i="195"/>
  <c r="B8" i="195"/>
  <c r="AZ48" i="1"/>
  <c r="AW48" i="1" s="1"/>
  <c r="B6" i="195"/>
  <c r="AZ46" i="1"/>
  <c r="AW46" i="1" s="1"/>
  <c r="AJ61" i="1"/>
  <c r="AJ63" i="1"/>
  <c r="AJ77" i="1"/>
  <c r="AA87" i="1"/>
  <c r="AA85" i="1"/>
  <c r="AA83" i="1"/>
  <c r="AA81" i="1"/>
  <c r="AA79" i="1"/>
  <c r="AA77" i="1"/>
  <c r="AA75" i="1"/>
  <c r="AA73" i="1"/>
  <c r="AA71" i="1"/>
  <c r="AA69" i="1"/>
  <c r="AA67" i="1"/>
  <c r="AA65" i="1"/>
  <c r="AA63" i="1"/>
  <c r="AA61" i="1"/>
  <c r="AA59" i="1"/>
  <c r="AA57" i="1"/>
  <c r="AA55" i="1"/>
  <c r="AA53" i="1"/>
  <c r="AA51" i="1"/>
  <c r="AA49" i="1"/>
  <c r="AA47" i="1"/>
  <c r="AA45" i="1"/>
  <c r="AK78" i="1"/>
  <c r="AJ78" i="1" s="1"/>
  <c r="AP77" i="1"/>
  <c r="AP75" i="1"/>
  <c r="AP73" i="1"/>
  <c r="AP71" i="1"/>
  <c r="AP69" i="1"/>
  <c r="AP67" i="1"/>
  <c r="AP65" i="1"/>
  <c r="AP63" i="1"/>
  <c r="AP61" i="1"/>
  <c r="AP59" i="1"/>
  <c r="AP57" i="1"/>
  <c r="AP55" i="1"/>
  <c r="AP53" i="1"/>
  <c r="AP51" i="1"/>
  <c r="AP49" i="1"/>
  <c r="AP47" i="1"/>
  <c r="AP45" i="1"/>
  <c r="AB77" i="26"/>
  <c r="AD78" i="26"/>
  <c r="AB78" i="26" s="1"/>
  <c r="AP89" i="1"/>
  <c r="AP87" i="1"/>
  <c r="AP85" i="1"/>
  <c r="AP83" i="1"/>
  <c r="AP81" i="1"/>
  <c r="AP88" i="1"/>
  <c r="AP86" i="1"/>
  <c r="AP84" i="1"/>
  <c r="AP82" i="1"/>
  <c r="AP80" i="1"/>
  <c r="AP79" i="1"/>
  <c r="AS78" i="1"/>
  <c r="Q76" i="3"/>
  <c r="P76" i="3" s="1"/>
  <c r="BD41" i="2"/>
  <c r="AE40" i="2"/>
  <c r="BD40" i="2" s="1"/>
  <c r="AE49" i="2"/>
  <c r="BD49" i="2" s="1"/>
  <c r="AE47" i="2"/>
  <c r="BD47" i="2" s="1"/>
  <c r="AE45" i="2"/>
  <c r="BD45" i="2" s="1"/>
  <c r="AE43" i="2"/>
  <c r="BD43" i="2" s="1"/>
  <c r="AS68" i="1"/>
  <c r="AS65" i="1"/>
  <c r="AS62" i="1"/>
  <c r="AS55" i="1"/>
  <c r="AS51" i="1"/>
  <c r="AS46" i="1"/>
  <c r="AS60" i="1"/>
  <c r="AS48" i="1"/>
  <c r="AS50" i="1"/>
  <c r="AS56" i="1"/>
  <c r="P132" i="22" l="1"/>
  <c r="T131" i="22"/>
  <c r="X131" i="22" s="1"/>
  <c r="AB131" i="22" s="1"/>
  <c r="S131" i="22"/>
  <c r="W131" i="22" s="1"/>
  <c r="AA131" i="22" s="1"/>
  <c r="M15" i="639" s="1"/>
  <c r="R131" i="22"/>
  <c r="V131" i="22" s="1"/>
  <c r="AQ78" i="26"/>
  <c r="X78" i="26"/>
  <c r="AQ77" i="26"/>
  <c r="X77" i="26"/>
  <c r="AW75" i="26"/>
  <c r="BH75" i="26" s="1"/>
  <c r="AY75" i="26"/>
  <c r="AX76" i="26"/>
  <c r="R36" i="195"/>
  <c r="AR76" i="26"/>
  <c r="R133" i="24"/>
  <c r="V132" i="24"/>
  <c r="Z132" i="24" s="1"/>
  <c r="T132" i="24"/>
  <c r="X132" i="24" s="1"/>
  <c r="U132" i="24"/>
  <c r="Y132" i="24" s="1"/>
  <c r="W132" i="24"/>
  <c r="AP44" i="1"/>
  <c r="BG52" i="1"/>
  <c r="BH52" i="1" s="1"/>
  <c r="BA52" i="1"/>
  <c r="BG56" i="1"/>
  <c r="BH56" i="1" s="1"/>
  <c r="BA56" i="1"/>
  <c r="BG60" i="1"/>
  <c r="BH60" i="1" s="1"/>
  <c r="BA60" i="1"/>
  <c r="BG64" i="1"/>
  <c r="BH64" i="1" s="1"/>
  <c r="BA64" i="1"/>
  <c r="BG68" i="1"/>
  <c r="BH68" i="1" s="1"/>
  <c r="BA68" i="1"/>
  <c r="BG72" i="1"/>
  <c r="BH72" i="1" s="1"/>
  <c r="BA72" i="1"/>
  <c r="BG76" i="1"/>
  <c r="BH76" i="1" s="1"/>
  <c r="BA76" i="1"/>
  <c r="BG82" i="1"/>
  <c r="BH82" i="1" s="1"/>
  <c r="BA82" i="1"/>
  <c r="BG86" i="1"/>
  <c r="BH86" i="1" s="1"/>
  <c r="BA86" i="1"/>
  <c r="BG49" i="1"/>
  <c r="BH49" i="1" s="1"/>
  <c r="BA49" i="1"/>
  <c r="BG51" i="1"/>
  <c r="BH51" i="1" s="1"/>
  <c r="BA51" i="1"/>
  <c r="BG55" i="1"/>
  <c r="BH55" i="1" s="1"/>
  <c r="BA55" i="1"/>
  <c r="BG59" i="1"/>
  <c r="BH59" i="1" s="1"/>
  <c r="BA59" i="1"/>
  <c r="BG63" i="1"/>
  <c r="BH63" i="1" s="1"/>
  <c r="BA63" i="1"/>
  <c r="BG67" i="1"/>
  <c r="BH67" i="1" s="1"/>
  <c r="BA67" i="1"/>
  <c r="BG71" i="1"/>
  <c r="BH71" i="1" s="1"/>
  <c r="BA71" i="1"/>
  <c r="BG75" i="1"/>
  <c r="BH75" i="1" s="1"/>
  <c r="BA75" i="1"/>
  <c r="BG79" i="1"/>
  <c r="BH79" i="1" s="1"/>
  <c r="BA79" i="1"/>
  <c r="BG83" i="1"/>
  <c r="BH83" i="1" s="1"/>
  <c r="BA83" i="1"/>
  <c r="BG87" i="1"/>
  <c r="BH87" i="1" s="1"/>
  <c r="BA87" i="1"/>
  <c r="BG46" i="1"/>
  <c r="BH46" i="1" s="1"/>
  <c r="BA46" i="1"/>
  <c r="BG48" i="1"/>
  <c r="BH48" i="1" s="1"/>
  <c r="BA48" i="1"/>
  <c r="BG50" i="1"/>
  <c r="BH50" i="1" s="1"/>
  <c r="BA50" i="1"/>
  <c r="BG54" i="1"/>
  <c r="BH54" i="1" s="1"/>
  <c r="BA54" i="1"/>
  <c r="BG58" i="1"/>
  <c r="BH58" i="1" s="1"/>
  <c r="BA58" i="1"/>
  <c r="BG62" i="1"/>
  <c r="BH62" i="1" s="1"/>
  <c r="BA62" i="1"/>
  <c r="BG66" i="1"/>
  <c r="BH66" i="1" s="1"/>
  <c r="BA66" i="1"/>
  <c r="BG70" i="1"/>
  <c r="BH70" i="1" s="1"/>
  <c r="BA70" i="1"/>
  <c r="BG74" i="1"/>
  <c r="BH74" i="1" s="1"/>
  <c r="BA74" i="1"/>
  <c r="BG78" i="1"/>
  <c r="BH78" i="1" s="1"/>
  <c r="BA78" i="1"/>
  <c r="BG80" i="1"/>
  <c r="BH80" i="1" s="1"/>
  <c r="BA80" i="1"/>
  <c r="BG84" i="1"/>
  <c r="BH84" i="1" s="1"/>
  <c r="BA84" i="1"/>
  <c r="BG88" i="1"/>
  <c r="BH88" i="1" s="1"/>
  <c r="BA88" i="1"/>
  <c r="B4" i="195"/>
  <c r="AZ44" i="1"/>
  <c r="AW44" i="1" s="1"/>
  <c r="BG53" i="1"/>
  <c r="BH53" i="1" s="1"/>
  <c r="BA53" i="1"/>
  <c r="BG57" i="1"/>
  <c r="BH57" i="1" s="1"/>
  <c r="BA57" i="1"/>
  <c r="BG61" i="1"/>
  <c r="BH61" i="1" s="1"/>
  <c r="BA61" i="1"/>
  <c r="BG65" i="1"/>
  <c r="BH65" i="1" s="1"/>
  <c r="BA65" i="1"/>
  <c r="BG69" i="1"/>
  <c r="BH69" i="1" s="1"/>
  <c r="BA69" i="1"/>
  <c r="BG73" i="1"/>
  <c r="BH73" i="1" s="1"/>
  <c r="BA73" i="1"/>
  <c r="BG77" i="1"/>
  <c r="BH77" i="1" s="1"/>
  <c r="BA77" i="1"/>
  <c r="BG81" i="1"/>
  <c r="BH81" i="1" s="1"/>
  <c r="BA81" i="1"/>
  <c r="BG85" i="1"/>
  <c r="BH85" i="1" s="1"/>
  <c r="BA85" i="1"/>
  <c r="BG89" i="1"/>
  <c r="BH89" i="1" s="1"/>
  <c r="BA89" i="1"/>
  <c r="BG45" i="1"/>
  <c r="BH45" i="1" s="1"/>
  <c r="BA45" i="1"/>
  <c r="BG47" i="1"/>
  <c r="BH47" i="1" s="1"/>
  <c r="BA47" i="1"/>
  <c r="AD83" i="3"/>
  <c r="S83" i="3" s="1"/>
  <c r="AD87" i="3"/>
  <c r="S87" i="3" s="1"/>
  <c r="AD89" i="3"/>
  <c r="S89" i="3" s="1"/>
  <c r="AD85" i="3"/>
  <c r="S85" i="3" s="1"/>
  <c r="AD86" i="3"/>
  <c r="S86" i="3" s="1"/>
  <c r="AD84" i="3"/>
  <c r="S84" i="3" s="1"/>
  <c r="AD88" i="3"/>
  <c r="S88" i="3" s="1"/>
  <c r="F78" i="3"/>
  <c r="H78" i="3" s="1"/>
  <c r="Q84" i="3"/>
  <c r="Q82" i="3"/>
  <c r="P82" i="3" s="1"/>
  <c r="Q80" i="3"/>
  <c r="P80" i="3" s="1"/>
  <c r="Q78" i="3"/>
  <c r="P78" i="3" s="1"/>
  <c r="F77" i="3"/>
  <c r="H77" i="3" s="1"/>
  <c r="I77" i="3" s="1"/>
  <c r="F76" i="3"/>
  <c r="H76" i="3" s="1"/>
  <c r="F75" i="3"/>
  <c r="H75" i="3" s="1"/>
  <c r="I75" i="3" s="1"/>
  <c r="F74" i="3"/>
  <c r="H74" i="3" s="1"/>
  <c r="F73" i="3"/>
  <c r="H73" i="3" s="1"/>
  <c r="F72" i="3"/>
  <c r="H72" i="3" s="1"/>
  <c r="F71" i="3"/>
  <c r="H71" i="3" s="1"/>
  <c r="F70" i="3"/>
  <c r="H70" i="3" s="1"/>
  <c r="F69" i="3"/>
  <c r="H69" i="3" s="1"/>
  <c r="F68" i="3"/>
  <c r="H68" i="3" s="1"/>
  <c r="F67" i="3"/>
  <c r="H67" i="3" s="1"/>
  <c r="F66" i="3"/>
  <c r="H66" i="3" s="1"/>
  <c r="F65" i="3"/>
  <c r="H65" i="3" s="1"/>
  <c r="F64" i="3"/>
  <c r="H64" i="3" s="1"/>
  <c r="F63" i="3"/>
  <c r="H63" i="3" s="1"/>
  <c r="F62" i="3"/>
  <c r="H62" i="3" s="1"/>
  <c r="F61" i="3"/>
  <c r="H61" i="3" s="1"/>
  <c r="F60" i="3"/>
  <c r="H60" i="3" s="1"/>
  <c r="F59" i="3"/>
  <c r="H59" i="3" s="1"/>
  <c r="F58" i="3"/>
  <c r="H58" i="3" s="1"/>
  <c r="F57" i="3"/>
  <c r="H57" i="3" s="1"/>
  <c r="F56" i="3"/>
  <c r="H56" i="3" s="1"/>
  <c r="F55" i="3"/>
  <c r="H55" i="3" s="1"/>
  <c r="F54" i="3"/>
  <c r="H54" i="3" s="1"/>
  <c r="F53" i="3"/>
  <c r="H53" i="3" s="1"/>
  <c r="F52" i="3"/>
  <c r="H52" i="3" s="1"/>
  <c r="F51" i="3"/>
  <c r="H51" i="3" s="1"/>
  <c r="F50" i="3"/>
  <c r="H50" i="3" s="1"/>
  <c r="F49" i="3"/>
  <c r="H49" i="3" s="1"/>
  <c r="F48" i="3"/>
  <c r="H48" i="3" s="1"/>
  <c r="F47" i="3"/>
  <c r="H47" i="3" s="1"/>
  <c r="F46" i="3"/>
  <c r="H46" i="3" s="1"/>
  <c r="F45" i="3"/>
  <c r="H45" i="3" s="1"/>
  <c r="F44" i="3"/>
  <c r="H44" i="3" s="1"/>
  <c r="F45" i="1"/>
  <c r="H45" i="1" s="1"/>
  <c r="F46" i="1"/>
  <c r="H46" i="1" s="1"/>
  <c r="F47" i="1"/>
  <c r="H47" i="1" s="1"/>
  <c r="F48" i="1"/>
  <c r="H48" i="1" s="1"/>
  <c r="F49" i="1"/>
  <c r="H49" i="1" s="1"/>
  <c r="F50" i="1"/>
  <c r="H50" i="1" s="1"/>
  <c r="F51" i="1"/>
  <c r="H51" i="1" s="1"/>
  <c r="F52" i="1"/>
  <c r="H52" i="1" s="1"/>
  <c r="F53" i="1"/>
  <c r="H53" i="1" s="1"/>
  <c r="F54" i="1"/>
  <c r="H54" i="1" s="1"/>
  <c r="F55" i="1"/>
  <c r="H55" i="1" s="1"/>
  <c r="F56" i="1"/>
  <c r="H56" i="1" s="1"/>
  <c r="F57" i="1"/>
  <c r="H57" i="1" s="1"/>
  <c r="F58" i="1"/>
  <c r="H58" i="1" s="1"/>
  <c r="F59" i="1"/>
  <c r="H59" i="1" s="1"/>
  <c r="F60" i="1"/>
  <c r="H60" i="1" s="1"/>
  <c r="F61" i="1"/>
  <c r="H61" i="1" s="1"/>
  <c r="F62" i="1"/>
  <c r="H62" i="1" s="1"/>
  <c r="F63" i="1"/>
  <c r="H63" i="1" s="1"/>
  <c r="F64" i="1"/>
  <c r="H64" i="1" s="1"/>
  <c r="F65" i="1"/>
  <c r="H65" i="1" s="1"/>
  <c r="F66" i="1"/>
  <c r="H66" i="1" s="1"/>
  <c r="F67" i="1"/>
  <c r="H67" i="1" s="1"/>
  <c r="F68" i="1"/>
  <c r="H68" i="1" s="1"/>
  <c r="F69" i="1"/>
  <c r="H69" i="1" s="1"/>
  <c r="F70" i="1"/>
  <c r="H70" i="1" s="1"/>
  <c r="F71" i="1"/>
  <c r="H71" i="1" s="1"/>
  <c r="F72" i="1"/>
  <c r="H72" i="1" s="1"/>
  <c r="F73" i="1"/>
  <c r="H73" i="1" s="1"/>
  <c r="F74" i="1"/>
  <c r="H74" i="1" s="1"/>
  <c r="F75" i="1"/>
  <c r="H75" i="1" s="1"/>
  <c r="F76" i="1"/>
  <c r="H76" i="1" s="1"/>
  <c r="F77" i="1"/>
  <c r="H77" i="1" s="1"/>
  <c r="F44" i="1"/>
  <c r="H44" i="1" s="1"/>
  <c r="M77" i="1"/>
  <c r="M79" i="1"/>
  <c r="M81" i="1"/>
  <c r="M83" i="1"/>
  <c r="M85" i="1"/>
  <c r="M87" i="1"/>
  <c r="O86" i="1"/>
  <c r="M86" i="1" s="1"/>
  <c r="O84" i="1"/>
  <c r="M84" i="1" s="1"/>
  <c r="O82" i="1"/>
  <c r="M82" i="1" s="1"/>
  <c r="O80" i="1"/>
  <c r="M80" i="1" s="1"/>
  <c r="O78" i="1"/>
  <c r="M78" i="1" s="1"/>
  <c r="K69" i="1"/>
  <c r="K70" i="1"/>
  <c r="K71" i="1"/>
  <c r="K72" i="1"/>
  <c r="K73" i="1"/>
  <c r="K74" i="1"/>
  <c r="K75" i="1"/>
  <c r="K76" i="1"/>
  <c r="K77" i="1"/>
  <c r="K78" i="1"/>
  <c r="AX36" i="2"/>
  <c r="AX37" i="2" s="1"/>
  <c r="AV37" i="2" s="1"/>
  <c r="AV35" i="2"/>
  <c r="AV38" i="2"/>
  <c r="AV40" i="2"/>
  <c r="AV42" i="2"/>
  <c r="AV44" i="2"/>
  <c r="AV46" i="2"/>
  <c r="AV48" i="2"/>
  <c r="AV49" i="2"/>
  <c r="AV33" i="2"/>
  <c r="AX47" i="2"/>
  <c r="AV47" i="2" s="1"/>
  <c r="AX45" i="2"/>
  <c r="AV45" i="2" s="1"/>
  <c r="AX43" i="2"/>
  <c r="AV43" i="2" s="1"/>
  <c r="AX41" i="2"/>
  <c r="AV41" i="2" s="1"/>
  <c r="AX39" i="2"/>
  <c r="AV39" i="2" s="1"/>
  <c r="AX34" i="2"/>
  <c r="AV34" i="2" s="1"/>
  <c r="N30" i="2"/>
  <c r="AS30" i="2" s="1"/>
  <c r="BD30" i="2" s="1"/>
  <c r="N31" i="2"/>
  <c r="AS31" i="2" s="1"/>
  <c r="BD31" i="2" s="1"/>
  <c r="N32" i="2"/>
  <c r="AS32" i="2" s="1"/>
  <c r="BD32" i="2" s="1"/>
  <c r="N33" i="2"/>
  <c r="AS33" i="2" s="1"/>
  <c r="BD33" i="2" s="1"/>
  <c r="N34" i="2"/>
  <c r="AS34" i="2" s="1"/>
  <c r="BD34" i="2" s="1"/>
  <c r="N35" i="2"/>
  <c r="AS35" i="2" s="1"/>
  <c r="BD35" i="2" s="1"/>
  <c r="N36" i="2"/>
  <c r="AS36" i="2" s="1"/>
  <c r="BD36" i="2" s="1"/>
  <c r="N37" i="2"/>
  <c r="AS37" i="2" s="1"/>
  <c r="BD37" i="2" s="1"/>
  <c r="N38" i="2"/>
  <c r="AS38" i="2" s="1"/>
  <c r="BD38" i="2" s="1"/>
  <c r="N39" i="2"/>
  <c r="AS39" i="2" s="1"/>
  <c r="BD39" i="2" s="1"/>
  <c r="M29" i="2"/>
  <c r="M28" i="2" s="1"/>
  <c r="M27" i="2" s="1"/>
  <c r="M26" i="2" s="1"/>
  <c r="M25" i="2" s="1"/>
  <c r="M24" i="2" s="1"/>
  <c r="M23" i="2" s="1"/>
  <c r="M22" i="2" s="1"/>
  <c r="M21" i="2" s="1"/>
  <c r="M20" i="2" s="1"/>
  <c r="M19" i="2" s="1"/>
  <c r="M18" i="2" s="1"/>
  <c r="M17" i="2" s="1"/>
  <c r="M16" i="2" s="1"/>
  <c r="M15" i="2" s="1"/>
  <c r="M14" i="2" s="1"/>
  <c r="M13" i="2" s="1"/>
  <c r="M12" i="2" s="1"/>
  <c r="M11" i="2" s="1"/>
  <c r="M10" i="2" s="1"/>
  <c r="M9" i="2" s="1"/>
  <c r="M8" i="2" s="1"/>
  <c r="M7" i="2" s="1"/>
  <c r="M6" i="2" s="1"/>
  <c r="M5" i="2" s="1"/>
  <c r="L5" i="2"/>
  <c r="L6" i="2"/>
  <c r="L7" i="2"/>
  <c r="L8" i="2"/>
  <c r="L9" i="2"/>
  <c r="L10" i="2"/>
  <c r="L11" i="2"/>
  <c r="L12" i="2"/>
  <c r="N12" i="2" s="1"/>
  <c r="AS12" i="2" s="1"/>
  <c r="BD12" i="2" s="1"/>
  <c r="L13" i="2"/>
  <c r="L14" i="2"/>
  <c r="L15" i="2"/>
  <c r="L16" i="2"/>
  <c r="L17" i="2"/>
  <c r="N17" i="2" s="1"/>
  <c r="AS17" i="2" s="1"/>
  <c r="BD17" i="2" s="1"/>
  <c r="L18" i="2"/>
  <c r="L19" i="2"/>
  <c r="N19" i="2" s="1"/>
  <c r="AS19" i="2" s="1"/>
  <c r="BD19" i="2" s="1"/>
  <c r="L20" i="2"/>
  <c r="N20" i="2" s="1"/>
  <c r="AS20" i="2" s="1"/>
  <c r="BD20" i="2" s="1"/>
  <c r="L21" i="2"/>
  <c r="L22" i="2"/>
  <c r="N22" i="2" s="1"/>
  <c r="AS22" i="2" s="1"/>
  <c r="BD22" i="2" s="1"/>
  <c r="L23" i="2"/>
  <c r="N23" i="2" s="1"/>
  <c r="AS23" i="2" s="1"/>
  <c r="BD23" i="2" s="1"/>
  <c r="L24" i="2"/>
  <c r="N24" i="2" s="1"/>
  <c r="AS24" i="2" s="1"/>
  <c r="BD24" i="2" s="1"/>
  <c r="L25" i="2"/>
  <c r="N25" i="2" s="1"/>
  <c r="AS25" i="2" s="1"/>
  <c r="BD25" i="2" s="1"/>
  <c r="L26" i="2"/>
  <c r="N26" i="2" s="1"/>
  <c r="AS26" i="2" s="1"/>
  <c r="BD26" i="2" s="1"/>
  <c r="L27" i="2"/>
  <c r="N27" i="2" s="1"/>
  <c r="AS27" i="2" s="1"/>
  <c r="BD27" i="2" s="1"/>
  <c r="L28" i="2"/>
  <c r="N28" i="2" s="1"/>
  <c r="AS28" i="2" s="1"/>
  <c r="BD28" i="2" s="1"/>
  <c r="L29" i="2"/>
  <c r="N29" i="2" s="1"/>
  <c r="AS29" i="2" s="1"/>
  <c r="BD29" i="2" s="1"/>
  <c r="Z131" i="22" l="1"/>
  <c r="M90" i="639" s="1"/>
  <c r="AU13" i="641"/>
  <c r="AV13" i="641" s="1"/>
  <c r="N18" i="2"/>
  <c r="AS18" i="2" s="1"/>
  <c r="BD18" i="2" s="1"/>
  <c r="N10" i="2"/>
  <c r="AS10" i="2" s="1"/>
  <c r="BD10" i="2" s="1"/>
  <c r="AC77" i="3"/>
  <c r="C38" i="193"/>
  <c r="C37" i="490" s="1"/>
  <c r="AW77" i="3"/>
  <c r="BH77" i="3" s="1"/>
  <c r="B77" i="3"/>
  <c r="C37" i="135" s="1"/>
  <c r="N16" i="2"/>
  <c r="AS16" i="2" s="1"/>
  <c r="BD16" i="2" s="1"/>
  <c r="N8" i="2"/>
  <c r="AS8" i="2" s="1"/>
  <c r="BD8" i="2" s="1"/>
  <c r="N14" i="2"/>
  <c r="AS14" i="2" s="1"/>
  <c r="BD14" i="2" s="1"/>
  <c r="N6" i="2"/>
  <c r="AS6" i="2" s="1"/>
  <c r="BD6" i="2" s="1"/>
  <c r="N21" i="2"/>
  <c r="AS21" i="2" s="1"/>
  <c r="BD21" i="2" s="1"/>
  <c r="P133" i="22"/>
  <c r="T132" i="22"/>
  <c r="X132" i="22" s="1"/>
  <c r="AB132" i="22" s="1"/>
  <c r="R132" i="22"/>
  <c r="V132" i="22" s="1"/>
  <c r="Z132" i="22" s="1"/>
  <c r="M91" i="639" s="1"/>
  <c r="S132" i="22"/>
  <c r="W132" i="22" s="1"/>
  <c r="AA132" i="22" s="1"/>
  <c r="M16" i="639" s="1"/>
  <c r="AW76" i="26"/>
  <c r="BH76" i="26" s="1"/>
  <c r="AY76" i="26"/>
  <c r="AX77" i="26"/>
  <c r="R37" i="195"/>
  <c r="AR77" i="26"/>
  <c r="AX78" i="26"/>
  <c r="R38" i="195"/>
  <c r="AR78" i="26"/>
  <c r="R134" i="24"/>
  <c r="V133" i="24"/>
  <c r="Z133" i="24" s="1"/>
  <c r="T133" i="24"/>
  <c r="X133" i="24" s="1"/>
  <c r="U133" i="24"/>
  <c r="Y133" i="24" s="1"/>
  <c r="W133" i="24"/>
  <c r="BG44" i="1"/>
  <c r="BA44" i="1"/>
  <c r="C44" i="195"/>
  <c r="C45" i="195"/>
  <c r="C47" i="195"/>
  <c r="J88" i="3"/>
  <c r="C48" i="195"/>
  <c r="C46" i="195"/>
  <c r="J89" i="3"/>
  <c r="C49" i="195"/>
  <c r="J83" i="3"/>
  <c r="C43" i="195"/>
  <c r="I45" i="3"/>
  <c r="I47" i="3"/>
  <c r="I49" i="3"/>
  <c r="I51" i="3"/>
  <c r="I53" i="3"/>
  <c r="I55" i="3"/>
  <c r="I57" i="3"/>
  <c r="I59" i="3"/>
  <c r="I61" i="3"/>
  <c r="I63" i="3"/>
  <c r="I65" i="3"/>
  <c r="I67" i="3"/>
  <c r="AC67" i="3" s="1"/>
  <c r="I69" i="3"/>
  <c r="I71" i="3"/>
  <c r="I73" i="3"/>
  <c r="AB73" i="3" s="1"/>
  <c r="AP73" i="3" s="1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I70" i="3"/>
  <c r="I72" i="3"/>
  <c r="I74" i="3"/>
  <c r="I76" i="3"/>
  <c r="I78" i="3"/>
  <c r="N5" i="2"/>
  <c r="AS5" i="2" s="1"/>
  <c r="BD5" i="2" s="1"/>
  <c r="Q86" i="3"/>
  <c r="N15" i="2"/>
  <c r="AS15" i="2" s="1"/>
  <c r="BD15" i="2" s="1"/>
  <c r="N13" i="2"/>
  <c r="AS13" i="2" s="1"/>
  <c r="BD13" i="2" s="1"/>
  <c r="N11" i="2"/>
  <c r="AS11" i="2" s="1"/>
  <c r="BD11" i="2" s="1"/>
  <c r="N9" i="2"/>
  <c r="AS9" i="2" s="1"/>
  <c r="BD9" i="2" s="1"/>
  <c r="N7" i="2"/>
  <c r="AS7" i="2" s="1"/>
  <c r="BD7" i="2" s="1"/>
  <c r="AV36" i="2"/>
  <c r="AT30" i="2"/>
  <c r="AT31" i="2"/>
  <c r="AT32" i="2"/>
  <c r="AT33" i="2"/>
  <c r="AT34" i="2"/>
  <c r="AT35" i="2"/>
  <c r="AT36" i="2"/>
  <c r="AT37" i="2"/>
  <c r="AT38" i="2"/>
  <c r="AT39" i="2"/>
  <c r="AG6" i="2"/>
  <c r="AH6" i="2"/>
  <c r="AI6" i="2"/>
  <c r="AJ6" i="2"/>
  <c r="AK6" i="2"/>
  <c r="AL6" i="2"/>
  <c r="AM6" i="2"/>
  <c r="AN6" i="2"/>
  <c r="AO6" i="2"/>
  <c r="AP6" i="2"/>
  <c r="AQ6" i="2"/>
  <c r="AR6" i="2"/>
  <c r="AG7" i="2"/>
  <c r="AH7" i="2"/>
  <c r="AI7" i="2"/>
  <c r="AJ7" i="2"/>
  <c r="AK7" i="2"/>
  <c r="AL7" i="2"/>
  <c r="AM7" i="2"/>
  <c r="AN7" i="2"/>
  <c r="AO7" i="2"/>
  <c r="AP7" i="2"/>
  <c r="AQ7" i="2"/>
  <c r="AR7" i="2"/>
  <c r="AG8" i="2"/>
  <c r="AH8" i="2"/>
  <c r="AI8" i="2"/>
  <c r="AJ8" i="2"/>
  <c r="AK8" i="2"/>
  <c r="AL8" i="2"/>
  <c r="AM8" i="2"/>
  <c r="AN8" i="2"/>
  <c r="AO8" i="2"/>
  <c r="AP8" i="2"/>
  <c r="AQ8" i="2"/>
  <c r="AR8" i="2"/>
  <c r="AG9" i="2"/>
  <c r="AH9" i="2"/>
  <c r="AI9" i="2"/>
  <c r="AJ9" i="2"/>
  <c r="AK9" i="2"/>
  <c r="AL9" i="2"/>
  <c r="AM9" i="2"/>
  <c r="AN9" i="2"/>
  <c r="AO9" i="2"/>
  <c r="AP9" i="2"/>
  <c r="AQ9" i="2"/>
  <c r="AR9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H5" i="2"/>
  <c r="AI5" i="2"/>
  <c r="AJ5" i="2"/>
  <c r="AK5" i="2"/>
  <c r="AL5" i="2"/>
  <c r="AM5" i="2"/>
  <c r="AN5" i="2"/>
  <c r="AO5" i="2"/>
  <c r="AP5" i="2"/>
  <c r="AQ5" i="2"/>
  <c r="AR5" i="2"/>
  <c r="AC38" i="193" l="1"/>
  <c r="AC64" i="3"/>
  <c r="C25" i="193"/>
  <c r="C24" i="490" s="1"/>
  <c r="AW64" i="3"/>
  <c r="BH64" i="3" s="1"/>
  <c r="B64" i="3"/>
  <c r="C24" i="135" s="1"/>
  <c r="C9" i="193"/>
  <c r="C8" i="490" s="1"/>
  <c r="AW48" i="3"/>
  <c r="BH48" i="3" s="1"/>
  <c r="B48" i="3"/>
  <c r="C8" i="135" s="1"/>
  <c r="AC65" i="3"/>
  <c r="C26" i="193"/>
  <c r="C25" i="490" s="1"/>
  <c r="AW65" i="3"/>
  <c r="BH65" i="3" s="1"/>
  <c r="B65" i="3"/>
  <c r="C25" i="135" s="1"/>
  <c r="C10" i="193"/>
  <c r="C9" i="490" s="1"/>
  <c r="AW49" i="3"/>
  <c r="BH49" i="3" s="1"/>
  <c r="B49" i="3"/>
  <c r="C9" i="135" s="1"/>
  <c r="AC78" i="3"/>
  <c r="C39" i="193"/>
  <c r="C38" i="490" s="1"/>
  <c r="AW78" i="3"/>
  <c r="BH78" i="3" s="1"/>
  <c r="B78" i="3"/>
  <c r="C38" i="135" s="1"/>
  <c r="AC62" i="3"/>
  <c r="C23" i="193"/>
  <c r="C22" i="490" s="1"/>
  <c r="AW62" i="3"/>
  <c r="BH62" i="3" s="1"/>
  <c r="B62" i="3"/>
  <c r="C22" i="135" s="1"/>
  <c r="C7" i="193"/>
  <c r="C6" i="490" s="1"/>
  <c r="AW46" i="3"/>
  <c r="BH46" i="3" s="1"/>
  <c r="B46" i="3"/>
  <c r="C6" i="135" s="1"/>
  <c r="AC63" i="3"/>
  <c r="C24" i="193"/>
  <c r="C23" i="490" s="1"/>
  <c r="AW63" i="3"/>
  <c r="BH63" i="3" s="1"/>
  <c r="B63" i="3"/>
  <c r="C23" i="135" s="1"/>
  <c r="C8" i="193"/>
  <c r="C7" i="490" s="1"/>
  <c r="AW47" i="3"/>
  <c r="BH47" i="3" s="1"/>
  <c r="B47" i="3"/>
  <c r="C7" i="135" s="1"/>
  <c r="AC76" i="3"/>
  <c r="C37" i="193"/>
  <c r="C36" i="490" s="1"/>
  <c r="AW76" i="3"/>
  <c r="BH76" i="3" s="1"/>
  <c r="B76" i="3"/>
  <c r="C36" i="135" s="1"/>
  <c r="AC60" i="3"/>
  <c r="C21" i="193"/>
  <c r="C20" i="490" s="1"/>
  <c r="AW60" i="3"/>
  <c r="BH60" i="3" s="1"/>
  <c r="B60" i="3"/>
  <c r="C20" i="135" s="1"/>
  <c r="C5" i="193"/>
  <c r="C4" i="490" s="1"/>
  <c r="AW44" i="3"/>
  <c r="BH44" i="3" s="1"/>
  <c r="B44" i="3"/>
  <c r="C4" i="135" s="1"/>
  <c r="AC61" i="3"/>
  <c r="C22" i="193"/>
  <c r="C21" i="490" s="1"/>
  <c r="AW61" i="3"/>
  <c r="BH61" i="3" s="1"/>
  <c r="B61" i="3"/>
  <c r="C21" i="135" s="1"/>
  <c r="C6" i="193"/>
  <c r="C5" i="490" s="1"/>
  <c r="AW45" i="3"/>
  <c r="BH45" i="3" s="1"/>
  <c r="B45" i="3"/>
  <c r="C5" i="135" s="1"/>
  <c r="P134" i="22"/>
  <c r="T133" i="22"/>
  <c r="X133" i="22" s="1"/>
  <c r="AB133" i="22" s="1"/>
  <c r="S133" i="22"/>
  <c r="W133" i="22" s="1"/>
  <c r="AA133" i="22" s="1"/>
  <c r="M17" i="639" s="1"/>
  <c r="R133" i="22"/>
  <c r="V133" i="22" s="1"/>
  <c r="Z133" i="22" s="1"/>
  <c r="M92" i="639" s="1"/>
  <c r="C28" i="193"/>
  <c r="C27" i="490" s="1"/>
  <c r="AW67" i="3"/>
  <c r="BH67" i="3" s="1"/>
  <c r="B67" i="3"/>
  <c r="C27" i="135" s="1"/>
  <c r="AC74" i="3"/>
  <c r="C35" i="193"/>
  <c r="C34" i="490" s="1"/>
  <c r="AW74" i="3"/>
  <c r="BH74" i="3" s="1"/>
  <c r="B74" i="3"/>
  <c r="C34" i="135" s="1"/>
  <c r="AC58" i="3"/>
  <c r="C19" i="193"/>
  <c r="C18" i="490" s="1"/>
  <c r="AW58" i="3"/>
  <c r="BH58" i="3" s="1"/>
  <c r="B58" i="3"/>
  <c r="C18" i="135" s="1"/>
  <c r="AC75" i="3"/>
  <c r="C36" i="193"/>
  <c r="C35" i="490" s="1"/>
  <c r="AW75" i="3"/>
  <c r="BH75" i="3" s="1"/>
  <c r="B75" i="3"/>
  <c r="C35" i="135" s="1"/>
  <c r="AC59" i="3"/>
  <c r="C20" i="193"/>
  <c r="C19" i="490" s="1"/>
  <c r="AW59" i="3"/>
  <c r="BH59" i="3" s="1"/>
  <c r="B59" i="3"/>
  <c r="C19" i="135" s="1"/>
  <c r="C12" i="193"/>
  <c r="C11" i="490" s="1"/>
  <c r="AW51" i="3"/>
  <c r="BH51" i="3" s="1"/>
  <c r="B51" i="3"/>
  <c r="C11" i="135" s="1"/>
  <c r="AC72" i="3"/>
  <c r="C33" i="193"/>
  <c r="C32" i="490" s="1"/>
  <c r="AW72" i="3"/>
  <c r="BH72" i="3" s="1"/>
  <c r="B72" i="3"/>
  <c r="C32" i="135" s="1"/>
  <c r="AC56" i="3"/>
  <c r="C17" i="193"/>
  <c r="C16" i="490" s="1"/>
  <c r="AW56" i="3"/>
  <c r="BH56" i="3" s="1"/>
  <c r="B56" i="3"/>
  <c r="C16" i="135" s="1"/>
  <c r="AC73" i="3"/>
  <c r="C34" i="193"/>
  <c r="C33" i="490" s="1"/>
  <c r="AW73" i="3"/>
  <c r="BH73" i="3" s="1"/>
  <c r="B73" i="3"/>
  <c r="C33" i="135" s="1"/>
  <c r="AC57" i="3"/>
  <c r="C18" i="193"/>
  <c r="C17" i="490" s="1"/>
  <c r="AW57" i="3"/>
  <c r="BH57" i="3" s="1"/>
  <c r="B57" i="3"/>
  <c r="C17" i="135" s="1"/>
  <c r="C11" i="193"/>
  <c r="C10" i="490" s="1"/>
  <c r="AW50" i="3"/>
  <c r="BH50" i="3" s="1"/>
  <c r="B50" i="3"/>
  <c r="C10" i="135" s="1"/>
  <c r="AC70" i="3"/>
  <c r="C31" i="193"/>
  <c r="C30" i="490" s="1"/>
  <c r="AW70" i="3"/>
  <c r="BH70" i="3" s="1"/>
  <c r="B70" i="3"/>
  <c r="C30" i="135" s="1"/>
  <c r="AC54" i="3"/>
  <c r="C15" i="193"/>
  <c r="C14" i="490" s="1"/>
  <c r="AW54" i="3"/>
  <c r="BH54" i="3" s="1"/>
  <c r="B54" i="3"/>
  <c r="C14" i="135" s="1"/>
  <c r="AC71" i="3"/>
  <c r="C32" i="193"/>
  <c r="C31" i="490" s="1"/>
  <c r="AW71" i="3"/>
  <c r="BH71" i="3" s="1"/>
  <c r="B71" i="3"/>
  <c r="C31" i="135" s="1"/>
  <c r="AC55" i="3"/>
  <c r="C16" i="193"/>
  <c r="C15" i="490" s="1"/>
  <c r="AW55" i="3"/>
  <c r="BH55" i="3" s="1"/>
  <c r="B55" i="3"/>
  <c r="C15" i="135" s="1"/>
  <c r="AC66" i="3"/>
  <c r="C27" i="193"/>
  <c r="C26" i="490" s="1"/>
  <c r="AW66" i="3"/>
  <c r="BH66" i="3" s="1"/>
  <c r="B66" i="3"/>
  <c r="C26" i="135" s="1"/>
  <c r="AC68" i="3"/>
  <c r="C29" i="193"/>
  <c r="C28" i="490" s="1"/>
  <c r="AW68" i="3"/>
  <c r="BH68" i="3" s="1"/>
  <c r="B68" i="3"/>
  <c r="C28" i="135" s="1"/>
  <c r="AC52" i="3"/>
  <c r="C13" i="193"/>
  <c r="C12" i="490" s="1"/>
  <c r="AW52" i="3"/>
  <c r="BH52" i="3" s="1"/>
  <c r="B52" i="3"/>
  <c r="C12" i="135" s="1"/>
  <c r="AC69" i="3"/>
  <c r="C30" i="193"/>
  <c r="C29" i="490" s="1"/>
  <c r="AW69" i="3"/>
  <c r="BH69" i="3" s="1"/>
  <c r="B69" i="3"/>
  <c r="C29" i="135" s="1"/>
  <c r="AC53" i="3"/>
  <c r="C14" i="193"/>
  <c r="C13" i="490" s="1"/>
  <c r="AW53" i="3"/>
  <c r="BH53" i="3" s="1"/>
  <c r="B53" i="3"/>
  <c r="C13" i="135" s="1"/>
  <c r="AW77" i="26"/>
  <c r="BH77" i="26" s="1"/>
  <c r="AY77" i="26"/>
  <c r="AW78" i="26"/>
  <c r="BH78" i="26" s="1"/>
  <c r="AY78" i="26"/>
  <c r="R135" i="24"/>
  <c r="T134" i="24"/>
  <c r="X134" i="24" s="1"/>
  <c r="V134" i="24"/>
  <c r="Z134" i="24" s="1"/>
  <c r="U134" i="24"/>
  <c r="Y134" i="24" s="1"/>
  <c r="W134" i="24"/>
  <c r="BH44" i="1"/>
  <c r="AY83" i="3"/>
  <c r="AY89" i="3"/>
  <c r="AY86" i="3"/>
  <c r="AY88" i="3"/>
  <c r="AY87" i="3"/>
  <c r="AY85" i="3"/>
  <c r="AY84" i="3"/>
  <c r="AB70" i="3"/>
  <c r="AP70" i="3" s="1"/>
  <c r="AB66" i="3"/>
  <c r="AP66" i="3" s="1"/>
  <c r="AB62" i="3"/>
  <c r="AP62" i="3" s="1"/>
  <c r="AB58" i="3"/>
  <c r="AP58" i="3" s="1"/>
  <c r="AB54" i="3"/>
  <c r="AP54" i="3" s="1"/>
  <c r="AB69" i="3"/>
  <c r="AP69" i="3" s="1"/>
  <c r="AB65" i="3"/>
  <c r="AP65" i="3" s="1"/>
  <c r="AB61" i="3"/>
  <c r="AP61" i="3" s="1"/>
  <c r="AB57" i="3"/>
  <c r="AP57" i="3" s="1"/>
  <c r="AB53" i="3"/>
  <c r="AP53" i="3" s="1"/>
  <c r="AB51" i="3"/>
  <c r="AP51" i="3" s="1"/>
  <c r="AB49" i="3"/>
  <c r="AP49" i="3" s="1"/>
  <c r="AB47" i="3"/>
  <c r="AP47" i="3" s="1"/>
  <c r="AB45" i="3"/>
  <c r="AP45" i="3" s="1"/>
  <c r="AB72" i="3"/>
  <c r="AP72" i="3" s="1"/>
  <c r="AB68" i="3"/>
  <c r="AP68" i="3" s="1"/>
  <c r="AB64" i="3"/>
  <c r="AP64" i="3" s="1"/>
  <c r="AB60" i="3"/>
  <c r="AP60" i="3" s="1"/>
  <c r="AB56" i="3"/>
  <c r="AP56" i="3" s="1"/>
  <c r="AB52" i="3"/>
  <c r="AP52" i="3" s="1"/>
  <c r="AB50" i="3"/>
  <c r="AP50" i="3" s="1"/>
  <c r="AB48" i="3"/>
  <c r="AP48" i="3" s="1"/>
  <c r="AB46" i="3"/>
  <c r="AP46" i="3" s="1"/>
  <c r="AB44" i="3"/>
  <c r="AP44" i="3" s="1"/>
  <c r="AB71" i="3"/>
  <c r="AP71" i="3" s="1"/>
  <c r="AB67" i="3"/>
  <c r="AP67" i="3" s="1"/>
  <c r="AB63" i="3"/>
  <c r="AP63" i="3" s="1"/>
  <c r="AB59" i="3"/>
  <c r="AP59" i="3" s="1"/>
  <c r="AB55" i="3"/>
  <c r="AP55" i="3" s="1"/>
  <c r="AD77" i="3"/>
  <c r="AD76" i="3" l="1"/>
  <c r="AY76" i="3" s="1"/>
  <c r="AD47" i="3"/>
  <c r="AD50" i="3"/>
  <c r="AD75" i="3"/>
  <c r="C35" i="195" s="1"/>
  <c r="AD73" i="3"/>
  <c r="AR73" i="3" s="1"/>
  <c r="AS73" i="3" s="1"/>
  <c r="AD44" i="3"/>
  <c r="AD51" i="3"/>
  <c r="AD46" i="3"/>
  <c r="AD74" i="3"/>
  <c r="C34" i="195" s="1"/>
  <c r="AD78" i="3"/>
  <c r="S78" i="3" s="1"/>
  <c r="AD49" i="3"/>
  <c r="AR49" i="3" s="1"/>
  <c r="AS49" i="3" s="1"/>
  <c r="AD63" i="3"/>
  <c r="AD48" i="3"/>
  <c r="AD45" i="3"/>
  <c r="AR45" i="3" s="1"/>
  <c r="AS45" i="3" s="1"/>
  <c r="AD72" i="3"/>
  <c r="AD56" i="3"/>
  <c r="AD59" i="3"/>
  <c r="AD58" i="3"/>
  <c r="AD67" i="3"/>
  <c r="AD61" i="3"/>
  <c r="AD65" i="3"/>
  <c r="C37" i="195"/>
  <c r="S77" i="3"/>
  <c r="AD68" i="3"/>
  <c r="AR68" i="3" s="1"/>
  <c r="AS68" i="3" s="1"/>
  <c r="AD69" i="3"/>
  <c r="AD55" i="3"/>
  <c r="S74" i="3"/>
  <c r="AD54" i="3"/>
  <c r="AD60" i="3"/>
  <c r="AD53" i="3"/>
  <c r="AR53" i="3" s="1"/>
  <c r="AS53" i="3" s="1"/>
  <c r="AD71" i="3"/>
  <c r="AD64" i="3"/>
  <c r="AR64" i="3" s="1"/>
  <c r="AS64" i="3" s="1"/>
  <c r="AD57" i="3"/>
  <c r="AC37" i="193"/>
  <c r="AC34" i="193"/>
  <c r="AC33" i="193"/>
  <c r="AC32" i="193"/>
  <c r="AC31" i="193"/>
  <c r="AC36" i="193"/>
  <c r="AC35" i="193"/>
  <c r="AC39" i="193"/>
  <c r="P135" i="22"/>
  <c r="S134" i="22"/>
  <c r="W134" i="22" s="1"/>
  <c r="AA134" i="22" s="1"/>
  <c r="M18" i="639" s="1"/>
  <c r="T134" i="22"/>
  <c r="X134" i="22" s="1"/>
  <c r="AB134" i="22" s="1"/>
  <c r="R134" i="22"/>
  <c r="V134" i="22" s="1"/>
  <c r="Z134" i="22" s="1"/>
  <c r="M93" i="639" s="1"/>
  <c r="AY75" i="3"/>
  <c r="J78" i="3"/>
  <c r="W135" i="24"/>
  <c r="R136" i="24"/>
  <c r="V135" i="24"/>
  <c r="Z135" i="24" s="1"/>
  <c r="T135" i="24"/>
  <c r="X135" i="24" s="1"/>
  <c r="U135" i="24"/>
  <c r="Y135" i="24" s="1"/>
  <c r="AZ84" i="3"/>
  <c r="AZ85" i="3"/>
  <c r="AZ87" i="3"/>
  <c r="AZ88" i="3"/>
  <c r="AX88" i="3"/>
  <c r="BI88" i="3" s="1"/>
  <c r="AZ86" i="3"/>
  <c r="AZ89" i="3"/>
  <c r="AX89" i="3"/>
  <c r="BI89" i="3" s="1"/>
  <c r="AZ83" i="3"/>
  <c r="AX83" i="3"/>
  <c r="BI83" i="3" s="1"/>
  <c r="AD62" i="3"/>
  <c r="AR62" i="3" s="1"/>
  <c r="AS62" i="3" s="1"/>
  <c r="AD70" i="3"/>
  <c r="AR70" i="3" s="1"/>
  <c r="AS70" i="3" s="1"/>
  <c r="AD52" i="3"/>
  <c r="AD66" i="3"/>
  <c r="AR66" i="3" s="1"/>
  <c r="AS66" i="3" s="1"/>
  <c r="J75" i="3"/>
  <c r="J77" i="3"/>
  <c r="S45" i="3" l="1"/>
  <c r="J46" i="3"/>
  <c r="AR46" i="3"/>
  <c r="AS46" i="3" s="1"/>
  <c r="AR72" i="3"/>
  <c r="AS72" i="3" s="1"/>
  <c r="AR63" i="3"/>
  <c r="AS63" i="3" s="1"/>
  <c r="AR71" i="3"/>
  <c r="AS71" i="3" s="1"/>
  <c r="AR56" i="3"/>
  <c r="AS56" i="3" s="1"/>
  <c r="J45" i="3"/>
  <c r="S48" i="3"/>
  <c r="AR48" i="3"/>
  <c r="AS48" i="3" s="1"/>
  <c r="AR61" i="3"/>
  <c r="AS61" i="3" s="1"/>
  <c r="AR55" i="3"/>
  <c r="AS55" i="3" s="1"/>
  <c r="AR58" i="3"/>
  <c r="AS58" i="3" s="1"/>
  <c r="S47" i="3"/>
  <c r="AR47" i="3"/>
  <c r="AS47" i="3" s="1"/>
  <c r="S51" i="3"/>
  <c r="AR51" i="3"/>
  <c r="AS51" i="3" s="1"/>
  <c r="S44" i="3"/>
  <c r="AR44" i="3"/>
  <c r="AS44" i="3" s="1"/>
  <c r="AR60" i="3"/>
  <c r="AS60" i="3" s="1"/>
  <c r="AR65" i="3"/>
  <c r="AS65" i="3" s="1"/>
  <c r="AR54" i="3"/>
  <c r="AS54" i="3" s="1"/>
  <c r="AR67" i="3"/>
  <c r="AS67" i="3" s="1"/>
  <c r="S50" i="3"/>
  <c r="AR50" i="3"/>
  <c r="AS50" i="3" s="1"/>
  <c r="S52" i="3"/>
  <c r="AR52" i="3"/>
  <c r="AS52" i="3" s="1"/>
  <c r="AR57" i="3"/>
  <c r="AS57" i="3" s="1"/>
  <c r="AR69" i="3"/>
  <c r="AS69" i="3" s="1"/>
  <c r="AR59" i="3"/>
  <c r="AS59" i="3" s="1"/>
  <c r="J50" i="3"/>
  <c r="AY73" i="3"/>
  <c r="AZ73" i="3" s="1"/>
  <c r="C36" i="195"/>
  <c r="J49" i="3"/>
  <c r="J74" i="3"/>
  <c r="J48" i="3"/>
  <c r="C33" i="195"/>
  <c r="S76" i="3"/>
  <c r="AY74" i="3"/>
  <c r="AZ74" i="3" s="1"/>
  <c r="J73" i="3"/>
  <c r="S73" i="3"/>
  <c r="J76" i="3"/>
  <c r="J47" i="3"/>
  <c r="S58" i="3"/>
  <c r="S49" i="3"/>
  <c r="J64" i="3"/>
  <c r="J44" i="3"/>
  <c r="AY46" i="3"/>
  <c r="S46" i="3"/>
  <c r="S63" i="3"/>
  <c r="J63" i="3"/>
  <c r="J69" i="3"/>
  <c r="S72" i="3"/>
  <c r="J51" i="3"/>
  <c r="S75" i="3"/>
  <c r="J68" i="3"/>
  <c r="S53" i="3"/>
  <c r="J56" i="3"/>
  <c r="J72" i="3"/>
  <c r="S69" i="3"/>
  <c r="J71" i="3"/>
  <c r="S71" i="3"/>
  <c r="S64" i="3"/>
  <c r="S59" i="3"/>
  <c r="J58" i="3"/>
  <c r="S56" i="3"/>
  <c r="S68" i="3"/>
  <c r="C28" i="195"/>
  <c r="J53" i="3"/>
  <c r="S67" i="3"/>
  <c r="J67" i="3"/>
  <c r="S57" i="3"/>
  <c r="J59" i="3"/>
  <c r="S55" i="3"/>
  <c r="AY64" i="3"/>
  <c r="AZ64" i="3" s="1"/>
  <c r="J57" i="3"/>
  <c r="S61" i="3"/>
  <c r="S54" i="3"/>
  <c r="J70" i="3"/>
  <c r="AY68" i="3"/>
  <c r="AX68" i="3" s="1"/>
  <c r="BI68" i="3" s="1"/>
  <c r="J65" i="3"/>
  <c r="C24" i="195"/>
  <c r="J61" i="3"/>
  <c r="J55" i="3"/>
  <c r="J60" i="3"/>
  <c r="AY77" i="3"/>
  <c r="AX77" i="3" s="1"/>
  <c r="BI77" i="3" s="1"/>
  <c r="AY65" i="3"/>
  <c r="AX65" i="3" s="1"/>
  <c r="BI65" i="3" s="1"/>
  <c r="S60" i="3"/>
  <c r="S65" i="3"/>
  <c r="S62" i="3"/>
  <c r="J54" i="3"/>
  <c r="AY53" i="3"/>
  <c r="AZ53" i="3" s="1"/>
  <c r="C13" i="195"/>
  <c r="J62" i="3"/>
  <c r="J66" i="3"/>
  <c r="P136" i="22"/>
  <c r="T135" i="22"/>
  <c r="X135" i="22" s="1"/>
  <c r="AB135" i="22" s="1"/>
  <c r="R135" i="22"/>
  <c r="V135" i="22" s="1"/>
  <c r="Z135" i="22" s="1"/>
  <c r="M94" i="639" s="1"/>
  <c r="S135" i="22"/>
  <c r="W135" i="22" s="1"/>
  <c r="AA135" i="22" s="1"/>
  <c r="M19" i="639" s="1"/>
  <c r="S70" i="3"/>
  <c r="S66" i="3"/>
  <c r="AZ75" i="3"/>
  <c r="AX75" i="3"/>
  <c r="BI75" i="3" s="1"/>
  <c r="AZ76" i="3"/>
  <c r="AX76" i="3"/>
  <c r="BI76" i="3" s="1"/>
  <c r="C38" i="195"/>
  <c r="AY78" i="3"/>
  <c r="R137" i="24"/>
  <c r="V136" i="24"/>
  <c r="Z136" i="24" s="1"/>
  <c r="U136" i="24"/>
  <c r="Y136" i="24" s="1"/>
  <c r="T136" i="24"/>
  <c r="X136" i="24" s="1"/>
  <c r="W136" i="24"/>
  <c r="C26" i="195"/>
  <c r="AY66" i="3"/>
  <c r="C30" i="195"/>
  <c r="AY70" i="3"/>
  <c r="C9" i="195"/>
  <c r="AY49" i="3"/>
  <c r="C5" i="195"/>
  <c r="AY45" i="3"/>
  <c r="C10" i="195"/>
  <c r="AY50" i="3"/>
  <c r="J52" i="3"/>
  <c r="C22" i="195"/>
  <c r="AY62" i="3"/>
  <c r="C8" i="195"/>
  <c r="AY48" i="3"/>
  <c r="AD79" i="3"/>
  <c r="C29" i="195" l="1"/>
  <c r="C31" i="195"/>
  <c r="C23" i="195"/>
  <c r="AY60" i="3"/>
  <c r="AX60" i="3" s="1"/>
  <c r="BI60" i="3" s="1"/>
  <c r="AY67" i="3"/>
  <c r="AZ67" i="3" s="1"/>
  <c r="C7" i="195"/>
  <c r="AY69" i="3"/>
  <c r="AZ69" i="3" s="1"/>
  <c r="C18" i="195"/>
  <c r="AY44" i="3"/>
  <c r="AY59" i="3"/>
  <c r="AX59" i="3" s="1"/>
  <c r="BI59" i="3" s="1"/>
  <c r="AY56" i="3"/>
  <c r="AZ56" i="3" s="1"/>
  <c r="AY55" i="3"/>
  <c r="AY57" i="3"/>
  <c r="AZ57" i="3" s="1"/>
  <c r="C15" i="195"/>
  <c r="AY72" i="3"/>
  <c r="AZ72" i="3" s="1"/>
  <c r="C27" i="195"/>
  <c r="AY54" i="3"/>
  <c r="AZ54" i="3" s="1"/>
  <c r="C21" i="195"/>
  <c r="C17" i="195"/>
  <c r="C14" i="195"/>
  <c r="AY61" i="3"/>
  <c r="C11" i="195"/>
  <c r="AY63" i="3"/>
  <c r="C25" i="195"/>
  <c r="AY71" i="3"/>
  <c r="AZ71" i="3" s="1"/>
  <c r="C32" i="195"/>
  <c r="C19" i="195"/>
  <c r="C20" i="195"/>
  <c r="AY58" i="3"/>
  <c r="C16" i="195"/>
  <c r="AY51" i="3"/>
  <c r="AZ51" i="3" s="1"/>
  <c r="AY47" i="3"/>
  <c r="AZ47" i="3" s="1"/>
  <c r="AX73" i="3"/>
  <c r="BI73" i="3" s="1"/>
  <c r="C4" i="195"/>
  <c r="AX74" i="3"/>
  <c r="BI74" i="3" s="1"/>
  <c r="C6" i="195"/>
  <c r="AZ77" i="3"/>
  <c r="AX71" i="3"/>
  <c r="BI71" i="3" s="1"/>
  <c r="AZ60" i="3"/>
  <c r="AZ65" i="3"/>
  <c r="AX64" i="3"/>
  <c r="BI64" i="3" s="1"/>
  <c r="AZ68" i="3"/>
  <c r="AX53" i="3"/>
  <c r="BI53" i="3" s="1"/>
  <c r="C39" i="195"/>
  <c r="S79" i="3"/>
  <c r="P137" i="22"/>
  <c r="T136" i="22"/>
  <c r="X136" i="22" s="1"/>
  <c r="AB136" i="22" s="1"/>
  <c r="R136" i="22"/>
  <c r="V136" i="22" s="1"/>
  <c r="Z136" i="22" s="1"/>
  <c r="M95" i="639" s="1"/>
  <c r="S136" i="22"/>
  <c r="W136" i="22" s="1"/>
  <c r="AA136" i="22" s="1"/>
  <c r="M20" i="639" s="1"/>
  <c r="AZ78" i="3"/>
  <c r="AX78" i="3"/>
  <c r="BI78" i="3" s="1"/>
  <c r="R138" i="24"/>
  <c r="V137" i="24"/>
  <c r="Z137" i="24" s="1"/>
  <c r="T137" i="24"/>
  <c r="X137" i="24" s="1"/>
  <c r="U137" i="24"/>
  <c r="Y137" i="24" s="1"/>
  <c r="W137" i="24"/>
  <c r="AZ48" i="3"/>
  <c r="AX48" i="3"/>
  <c r="BI48" i="3" s="1"/>
  <c r="AZ46" i="3"/>
  <c r="AX46" i="3"/>
  <c r="BI46" i="3" s="1"/>
  <c r="AZ45" i="3"/>
  <c r="AX45" i="3"/>
  <c r="BI45" i="3" s="1"/>
  <c r="AZ70" i="3"/>
  <c r="AX70" i="3"/>
  <c r="BI70" i="3" s="1"/>
  <c r="AZ44" i="3"/>
  <c r="AX44" i="3"/>
  <c r="BI44" i="3" s="1"/>
  <c r="AZ62" i="3"/>
  <c r="AX62" i="3"/>
  <c r="BI62" i="3" s="1"/>
  <c r="C12" i="195"/>
  <c r="AY52" i="3"/>
  <c r="AZ50" i="3"/>
  <c r="AX50" i="3"/>
  <c r="BI50" i="3" s="1"/>
  <c r="AZ49" i="3"/>
  <c r="AX49" i="3"/>
  <c r="BI49" i="3" s="1"/>
  <c r="AZ66" i="3"/>
  <c r="AX66" i="3"/>
  <c r="BI66" i="3" s="1"/>
  <c r="J79" i="3"/>
  <c r="AD80" i="3"/>
  <c r="AX54" i="3" l="1"/>
  <c r="BI54" i="3" s="1"/>
  <c r="AX57" i="3"/>
  <c r="BI57" i="3" s="1"/>
  <c r="AX72" i="3"/>
  <c r="BI72" i="3" s="1"/>
  <c r="AX69" i="3"/>
  <c r="BI69" i="3" s="1"/>
  <c r="AX67" i="3"/>
  <c r="BI67" i="3" s="1"/>
  <c r="AZ59" i="3"/>
  <c r="AX56" i="3"/>
  <c r="BI56" i="3" s="1"/>
  <c r="AX55" i="3"/>
  <c r="BI55" i="3" s="1"/>
  <c r="AZ55" i="3"/>
  <c r="AZ63" i="3"/>
  <c r="AX63" i="3"/>
  <c r="BI63" i="3" s="1"/>
  <c r="AZ61" i="3"/>
  <c r="AX61" i="3"/>
  <c r="BI61" i="3" s="1"/>
  <c r="AX47" i="3"/>
  <c r="BI47" i="3" s="1"/>
  <c r="AZ58" i="3"/>
  <c r="AX58" i="3"/>
  <c r="BI58" i="3" s="1"/>
  <c r="AX51" i="3"/>
  <c r="BI51" i="3" s="1"/>
  <c r="AY79" i="3"/>
  <c r="C40" i="195"/>
  <c r="S80" i="3"/>
  <c r="P138" i="22"/>
  <c r="T137" i="22"/>
  <c r="X137" i="22" s="1"/>
  <c r="AB137" i="22" s="1"/>
  <c r="R137" i="22"/>
  <c r="V137" i="22" s="1"/>
  <c r="Z137" i="22" s="1"/>
  <c r="M96" i="639" s="1"/>
  <c r="S137" i="22"/>
  <c r="W137" i="22" s="1"/>
  <c r="AA137" i="22" s="1"/>
  <c r="M21" i="639" s="1"/>
  <c r="R139" i="24"/>
  <c r="V138" i="24"/>
  <c r="Z138" i="24" s="1"/>
  <c r="U138" i="24"/>
  <c r="Y138" i="24" s="1"/>
  <c r="T138" i="24"/>
  <c r="X138" i="24" s="1"/>
  <c r="W138" i="24"/>
  <c r="AZ52" i="3"/>
  <c r="AX52" i="3"/>
  <c r="BI52" i="3" s="1"/>
  <c r="AZ79" i="3"/>
  <c r="AX79" i="3"/>
  <c r="BI79" i="3" s="1"/>
  <c r="J80" i="3"/>
  <c r="AD82" i="3"/>
  <c r="AD81" i="3"/>
  <c r="AY80" i="3" l="1"/>
  <c r="AZ80" i="3" s="1"/>
  <c r="C41" i="195"/>
  <c r="S81" i="3"/>
  <c r="C42" i="195"/>
  <c r="S82" i="3"/>
  <c r="P139" i="22"/>
  <c r="T138" i="22"/>
  <c r="X138" i="22" s="1"/>
  <c r="AB138" i="22" s="1"/>
  <c r="R138" i="22"/>
  <c r="V138" i="22" s="1"/>
  <c r="Z138" i="22" s="1"/>
  <c r="M97" i="639" s="1"/>
  <c r="S138" i="22"/>
  <c r="W138" i="22" s="1"/>
  <c r="AA138" i="22" s="1"/>
  <c r="M22" i="639" s="1"/>
  <c r="R140" i="24"/>
  <c r="V139" i="24"/>
  <c r="Z139" i="24" s="1"/>
  <c r="T139" i="24"/>
  <c r="X139" i="24" s="1"/>
  <c r="U139" i="24"/>
  <c r="Y139" i="24" s="1"/>
  <c r="W139" i="24"/>
  <c r="AY81" i="3"/>
  <c r="AY82" i="3"/>
  <c r="J82" i="3"/>
  <c r="J81" i="3"/>
  <c r="AX80" i="3" l="1"/>
  <c r="BI80" i="3" s="1"/>
  <c r="P140" i="22"/>
  <c r="T139" i="22"/>
  <c r="X139" i="22" s="1"/>
  <c r="AB139" i="22" s="1"/>
  <c r="R139" i="22"/>
  <c r="V139" i="22" s="1"/>
  <c r="Z139" i="22" s="1"/>
  <c r="M98" i="639" s="1"/>
  <c r="S139" i="22"/>
  <c r="W139" i="22" s="1"/>
  <c r="AA139" i="22" s="1"/>
  <c r="M23" i="639" s="1"/>
  <c r="R141" i="24"/>
  <c r="V140" i="24"/>
  <c r="Z140" i="24" s="1"/>
  <c r="U140" i="24"/>
  <c r="Y140" i="24" s="1"/>
  <c r="T140" i="24"/>
  <c r="X140" i="24" s="1"/>
  <c r="W140" i="24"/>
  <c r="AZ82" i="3"/>
  <c r="AX82" i="3"/>
  <c r="BI82" i="3" s="1"/>
  <c r="AZ81" i="3"/>
  <c r="AX81" i="3"/>
  <c r="BI81" i="3" s="1"/>
  <c r="N78" i="16"/>
  <c r="N76" i="16"/>
  <c r="N71" i="16"/>
  <c r="AI71" i="16" s="1"/>
  <c r="N74" i="16"/>
  <c r="N70" i="16"/>
  <c r="N72" i="16"/>
  <c r="N75" i="16"/>
  <c r="N73" i="16"/>
  <c r="N69" i="16"/>
  <c r="AI74" i="16" l="1"/>
  <c r="P141" i="22"/>
  <c r="T140" i="22"/>
  <c r="X140" i="22" s="1"/>
  <c r="AB140" i="22" s="1"/>
  <c r="R140" i="22"/>
  <c r="V140" i="22" s="1"/>
  <c r="Z140" i="22" s="1"/>
  <c r="M99" i="639" s="1"/>
  <c r="S140" i="22"/>
  <c r="W140" i="22" s="1"/>
  <c r="AA140" i="22" s="1"/>
  <c r="M24" i="639" s="1"/>
  <c r="AI77" i="16"/>
  <c r="AJ77" i="16" s="1"/>
  <c r="AI76" i="16"/>
  <c r="AI75" i="16"/>
  <c r="AI78" i="16"/>
  <c r="AJ78" i="16" s="1"/>
  <c r="AT78" i="16" s="1"/>
  <c r="BA78" i="16" s="1"/>
  <c r="AI72" i="16"/>
  <c r="AI73" i="16"/>
  <c r="R142" i="24"/>
  <c r="V141" i="24"/>
  <c r="Z141" i="24" s="1"/>
  <c r="T141" i="24"/>
  <c r="X141" i="24" s="1"/>
  <c r="U141" i="24"/>
  <c r="Y141" i="24" s="1"/>
  <c r="W141" i="24"/>
  <c r="AT77" i="16" l="1"/>
  <c r="BA77" i="16" s="1"/>
  <c r="Y77" i="16"/>
  <c r="P142" i="22"/>
  <c r="T141" i="22"/>
  <c r="X141" i="22" s="1"/>
  <c r="AB141" i="22" s="1"/>
  <c r="R141" i="22"/>
  <c r="V141" i="22" s="1"/>
  <c r="Z141" i="22" s="1"/>
  <c r="M100" i="639" s="1"/>
  <c r="S141" i="22"/>
  <c r="W141" i="22" s="1"/>
  <c r="AA141" i="22" s="1"/>
  <c r="M25" i="639" s="1"/>
  <c r="Y78" i="16"/>
  <c r="V142" i="24"/>
  <c r="Z142" i="24" s="1"/>
  <c r="U142" i="24"/>
  <c r="Y142" i="24" s="1"/>
  <c r="T142" i="24"/>
  <c r="X142" i="24" s="1"/>
  <c r="W142" i="24"/>
  <c r="AJ73" i="16"/>
  <c r="AJ76" i="16"/>
  <c r="AJ74" i="16"/>
  <c r="AJ75" i="16"/>
  <c r="AJ72" i="16"/>
  <c r="AT73" i="16" l="1"/>
  <c r="BA73" i="16" s="1"/>
  <c r="Y73" i="16"/>
  <c r="AT72" i="16"/>
  <c r="BA72" i="16" s="1"/>
  <c r="Y72" i="16"/>
  <c r="AT75" i="16"/>
  <c r="BA75" i="16" s="1"/>
  <c r="Y75" i="16"/>
  <c r="T142" i="22"/>
  <c r="X142" i="22" s="1"/>
  <c r="AB142" i="22" s="1"/>
  <c r="R142" i="22"/>
  <c r="V142" i="22" s="1"/>
  <c r="Z142" i="22" s="1"/>
  <c r="M101" i="639" s="1"/>
  <c r="S142" i="22"/>
  <c r="W142" i="22" s="1"/>
  <c r="AA142" i="22" s="1"/>
  <c r="M26" i="639" s="1"/>
  <c r="AT74" i="16"/>
  <c r="BA74" i="16" s="1"/>
  <c r="Y74" i="16"/>
  <c r="AT76" i="16"/>
  <c r="BA76" i="16" s="1"/>
  <c r="Y76" i="16"/>
  <c r="T69" i="18"/>
  <c r="M103" i="639" l="1"/>
  <c r="M32" i="639"/>
  <c r="T52" i="18"/>
  <c r="T63" i="18"/>
  <c r="T44" i="18"/>
  <c r="T49" i="18"/>
  <c r="T46" i="18"/>
  <c r="T55" i="18"/>
  <c r="T66" i="18"/>
  <c r="T50" i="18"/>
  <c r="T78" i="18"/>
  <c r="T45" i="18"/>
  <c r="T64" i="18"/>
  <c r="T47" i="18"/>
  <c r="T56" i="18"/>
  <c r="T59" i="18"/>
  <c r="T48" i="18"/>
  <c r="T51" i="18"/>
  <c r="T61" i="18"/>
  <c r="T58" i="18" l="1"/>
  <c r="T68" i="18"/>
  <c r="T54" i="18"/>
  <c r="T62" i="18"/>
  <c r="T60" i="18"/>
  <c r="T53" i="18"/>
  <c r="T67" i="18"/>
  <c r="T57" i="18"/>
  <c r="T72" i="18" l="1"/>
  <c r="T71" i="18" l="1"/>
  <c r="T70" i="18"/>
  <c r="T74" i="18" l="1"/>
  <c r="T73" i="18"/>
  <c r="T76" i="18"/>
  <c r="T77" i="18" l="1"/>
  <c r="T75" i="18"/>
  <c r="T65" i="18" l="1"/>
  <c r="Q46" i="63"/>
  <c r="Q50" i="63"/>
  <c r="Q54" i="63"/>
  <c r="Q58" i="63"/>
  <c r="Q44" i="63"/>
  <c r="Q48" i="63"/>
  <c r="Q52" i="63"/>
  <c r="Q56" i="63"/>
  <c r="Q59" i="63"/>
  <c r="Q60" i="63"/>
  <c r="Q61" i="63"/>
  <c r="Q62" i="63"/>
  <c r="Q63" i="63"/>
  <c r="Q64" i="63"/>
  <c r="Q47" i="63"/>
  <c r="Q51" i="63"/>
  <c r="Q55" i="63"/>
  <c r="Q49" i="63"/>
  <c r="Q53" i="63"/>
  <c r="Q45" i="63"/>
  <c r="Q57" i="63"/>
  <c r="Q65" i="63"/>
  <c r="Q77" i="63"/>
  <c r="Q67" i="63"/>
  <c r="Q76" i="63"/>
  <c r="Q74" i="63"/>
  <c r="Q71" i="63"/>
  <c r="Q78" i="63"/>
  <c r="Q72" i="63"/>
  <c r="Q66" i="63"/>
  <c r="Q70" i="63"/>
  <c r="Q69" i="63"/>
  <c r="Q73" i="63"/>
  <c r="Q68" i="63"/>
  <c r="Q75" i="63"/>
  <c r="AC72" i="20"/>
  <c r="J71" i="20"/>
  <c r="J70" i="20"/>
  <c r="J69" i="20"/>
  <c r="AC73" i="20"/>
  <c r="Q67" i="20"/>
  <c r="J68" i="20"/>
  <c r="J66" i="20"/>
  <c r="J72" i="20" l="1"/>
  <c r="AR72" i="20"/>
  <c r="J73" i="20"/>
  <c r="AR73" i="20"/>
  <c r="Q72" i="20"/>
  <c r="Q70" i="20"/>
  <c r="Q68" i="20"/>
  <c r="Q66" i="20"/>
  <c r="Q73" i="20"/>
  <c r="Q71" i="20"/>
  <c r="Q69" i="20"/>
  <c r="J67" i="20"/>
  <c r="J33" i="195" l="1"/>
  <c r="AY73" i="20"/>
  <c r="AS73" i="20"/>
  <c r="J32" i="195"/>
  <c r="AY72" i="20"/>
  <c r="AS72" i="20"/>
  <c r="J62" i="23"/>
  <c r="AX72" i="20" l="1"/>
  <c r="BK72" i="20" s="1"/>
  <c r="AZ72" i="20"/>
  <c r="AX73" i="20"/>
  <c r="BK73" i="20" s="1"/>
  <c r="AZ73" i="20"/>
  <c r="Q62" i="23"/>
  <c r="AA74" i="26"/>
  <c r="AA72" i="26"/>
  <c r="AA69" i="26"/>
  <c r="AA73" i="26"/>
  <c r="AA70" i="26"/>
  <c r="AA77" i="26"/>
  <c r="AA75" i="26"/>
  <c r="P75" i="26"/>
  <c r="AA71" i="26"/>
  <c r="AA78" i="26"/>
  <c r="AP78" i="26" s="1"/>
  <c r="AA76" i="26"/>
  <c r="Y69" i="26" l="1"/>
  <c r="AO69" i="26" s="1"/>
  <c r="AP69" i="26"/>
  <c r="Y71" i="26"/>
  <c r="AO71" i="26" s="1"/>
  <c r="AP71" i="26"/>
  <c r="Y70" i="26"/>
  <c r="AO70" i="26" s="1"/>
  <c r="AP70" i="26"/>
  <c r="AO76" i="26"/>
  <c r="AP76" i="26"/>
  <c r="Y72" i="26"/>
  <c r="AO72" i="26" s="1"/>
  <c r="AP72" i="26"/>
  <c r="Y74" i="26"/>
  <c r="AO74" i="26" s="1"/>
  <c r="AP74" i="26"/>
  <c r="Y75" i="26"/>
  <c r="AO75" i="26" s="1"/>
  <c r="AP75" i="26"/>
  <c r="AO77" i="26"/>
  <c r="AP77" i="26"/>
  <c r="Y73" i="26"/>
  <c r="AO73" i="26" s="1"/>
  <c r="AP73" i="26"/>
  <c r="P78" i="26"/>
  <c r="AO78" i="26"/>
  <c r="P76" i="26"/>
  <c r="J76" i="26"/>
  <c r="P77" i="26"/>
  <c r="J77" i="26"/>
  <c r="J72" i="26"/>
  <c r="P72" i="26"/>
  <c r="J73" i="26"/>
  <c r="P73" i="26"/>
  <c r="J71" i="26"/>
  <c r="P71" i="26"/>
  <c r="P70" i="26"/>
  <c r="J70" i="26"/>
  <c r="J69" i="26"/>
  <c r="P69" i="26"/>
  <c r="P74" i="26"/>
  <c r="J74" i="26"/>
  <c r="J78" i="26"/>
  <c r="J75" i="26"/>
  <c r="P67" i="27"/>
  <c r="J66" i="27"/>
  <c r="J68" i="27"/>
  <c r="P68" i="27" l="1"/>
  <c r="P66" i="27"/>
  <c r="J67" i="27"/>
  <c r="P67" i="26" l="1"/>
  <c r="P66" i="26" l="1"/>
  <c r="Q66" i="133"/>
  <c r="J74" i="133"/>
  <c r="Q67" i="133"/>
  <c r="Q71" i="133"/>
  <c r="Q73" i="133"/>
  <c r="Q77" i="133"/>
  <c r="J75" i="133"/>
  <c r="Q74" i="133"/>
  <c r="J76" i="133"/>
  <c r="J73" i="133"/>
  <c r="J69" i="133"/>
  <c r="J67" i="133"/>
  <c r="J72" i="133"/>
  <c r="J66" i="133"/>
  <c r="J78" i="133"/>
  <c r="J71" i="133"/>
  <c r="J68" i="133"/>
  <c r="J77" i="133"/>
  <c r="J70" i="133"/>
  <c r="Q75" i="133" l="1"/>
  <c r="Q69" i="133"/>
  <c r="Q78" i="133"/>
  <c r="Q76" i="133"/>
  <c r="Q72" i="133"/>
  <c r="Q70" i="133"/>
  <c r="Q68" i="133"/>
  <c r="AZ49" i="2" l="1"/>
  <c r="BB49" i="2" s="1"/>
  <c r="W88" i="16"/>
  <c r="AS88" i="1"/>
  <c r="W86" i="16"/>
  <c r="AS86" i="1"/>
  <c r="AZ47" i="2"/>
  <c r="BB47" i="2" s="1"/>
  <c r="AZ45" i="2"/>
  <c r="BB45" i="2" s="1"/>
  <c r="W84" i="16"/>
  <c r="AS84" i="1"/>
  <c r="W82" i="16"/>
  <c r="AS82" i="1"/>
  <c r="AZ43" i="2"/>
  <c r="BB43" i="2" s="1"/>
  <c r="AZ41" i="2"/>
  <c r="BB41" i="2" s="1"/>
  <c r="W80" i="16"/>
  <c r="AS80" i="1"/>
  <c r="AS89" i="1"/>
  <c r="AZ50" i="2"/>
  <c r="BB50" i="2" s="1"/>
  <c r="AZ48" i="2"/>
  <c r="BB48" i="2" s="1"/>
  <c r="W87" i="16"/>
  <c r="AS87" i="1"/>
  <c r="W85" i="16"/>
  <c r="AS85" i="1"/>
  <c r="AZ46" i="2"/>
  <c r="BB46" i="2" s="1"/>
  <c r="AZ44" i="2"/>
  <c r="BB44" i="2" s="1"/>
  <c r="W83" i="16"/>
  <c r="AS83" i="1"/>
  <c r="W81" i="16"/>
  <c r="AS81" i="1"/>
  <c r="AZ42" i="2"/>
  <c r="BB42" i="2" s="1"/>
  <c r="Z81" i="16" l="1"/>
  <c r="Z83" i="16"/>
  <c r="Z85" i="16"/>
  <c r="Z87" i="16"/>
  <c r="H87" i="16" s="1"/>
  <c r="Z89" i="16"/>
  <c r="H89" i="16" s="1"/>
  <c r="Z80" i="16"/>
  <c r="H80" i="16" s="1"/>
  <c r="I80" i="16" s="1"/>
  <c r="Z82" i="16"/>
  <c r="Z84" i="16"/>
  <c r="H84" i="16" s="1"/>
  <c r="Z86" i="16"/>
  <c r="Z88" i="16"/>
  <c r="H88" i="16" s="1"/>
  <c r="AS79" i="1"/>
  <c r="W79" i="16"/>
  <c r="AZ40" i="2"/>
  <c r="BB40" i="2" s="1"/>
  <c r="AZ39" i="2"/>
  <c r="BB39" i="2" s="1"/>
  <c r="W78" i="16"/>
  <c r="AZ78" i="16" s="1"/>
  <c r="W77" i="16"/>
  <c r="AZ77" i="16" s="1"/>
  <c r="AZ38" i="2"/>
  <c r="BB38" i="2" s="1"/>
  <c r="BC38" i="2" s="1"/>
  <c r="BE38" i="2" s="1"/>
  <c r="AS77" i="1"/>
  <c r="H81" i="16"/>
  <c r="I81" i="16" s="1"/>
  <c r="H83" i="16"/>
  <c r="I83" i="16" s="1"/>
  <c r="H85" i="16"/>
  <c r="H86" i="16"/>
  <c r="H82" i="16" l="1"/>
  <c r="I82" i="16" s="1"/>
  <c r="AS88" i="16"/>
  <c r="B88" i="16"/>
  <c r="G48" i="135" s="1"/>
  <c r="AS84" i="16"/>
  <c r="B84" i="16"/>
  <c r="G44" i="135" s="1"/>
  <c r="AS80" i="16"/>
  <c r="B80" i="16"/>
  <c r="G40" i="135" s="1"/>
  <c r="AA40" i="135" s="1"/>
  <c r="AS87" i="16"/>
  <c r="B87" i="16"/>
  <c r="G47" i="135" s="1"/>
  <c r="AS83" i="16"/>
  <c r="B83" i="16"/>
  <c r="G43" i="135" s="1"/>
  <c r="AA43" i="135" s="1"/>
  <c r="Z79" i="16"/>
  <c r="H79" i="16" s="1"/>
  <c r="I79" i="16" s="1"/>
  <c r="F79" i="16" s="1"/>
  <c r="AS86" i="16"/>
  <c r="B86" i="16"/>
  <c r="G46" i="135" s="1"/>
  <c r="AS89" i="16"/>
  <c r="B89" i="16"/>
  <c r="G49" i="135" s="1"/>
  <c r="AS85" i="16"/>
  <c r="B85" i="16"/>
  <c r="G45" i="135" s="1"/>
  <c r="AS81" i="16"/>
  <c r="B81" i="16"/>
  <c r="G41" i="135" s="1"/>
  <c r="AA41" i="135" s="1"/>
  <c r="AI86" i="16"/>
  <c r="AJ86" i="16" s="1"/>
  <c r="AT86" i="16" s="1"/>
  <c r="F86" i="16"/>
  <c r="D86" i="16" s="1"/>
  <c r="AI87" i="16"/>
  <c r="AJ87" i="16" s="1"/>
  <c r="AT87" i="16" s="1"/>
  <c r="F87" i="16"/>
  <c r="D87" i="16" s="1"/>
  <c r="AI88" i="16"/>
  <c r="AJ88" i="16" s="1"/>
  <c r="AT88" i="16" s="1"/>
  <c r="F88" i="16"/>
  <c r="D88" i="16" s="1"/>
  <c r="AI84" i="16"/>
  <c r="AJ84" i="16" s="1"/>
  <c r="AT84" i="16" s="1"/>
  <c r="F84" i="16"/>
  <c r="D84" i="16" s="1"/>
  <c r="AI80" i="16"/>
  <c r="AJ80" i="16" s="1"/>
  <c r="AT80" i="16" s="1"/>
  <c r="F80" i="16"/>
  <c r="D80" i="16" s="1"/>
  <c r="AI89" i="16"/>
  <c r="AJ89" i="16" s="1"/>
  <c r="AT89" i="16" s="1"/>
  <c r="F89" i="16"/>
  <c r="D89" i="16" s="1"/>
  <c r="AI85" i="16"/>
  <c r="AJ85" i="16" s="1"/>
  <c r="AT85" i="16" s="1"/>
  <c r="F85" i="16"/>
  <c r="D85" i="16" s="1"/>
  <c r="AI83" i="16"/>
  <c r="AJ83" i="16" s="1"/>
  <c r="AT83" i="16" s="1"/>
  <c r="F83" i="16"/>
  <c r="D83" i="16" s="1"/>
  <c r="AI81" i="16"/>
  <c r="AJ81" i="16" s="1"/>
  <c r="AT81" i="16" s="1"/>
  <c r="F81" i="16"/>
  <c r="D81" i="16" s="1"/>
  <c r="Z77" i="16"/>
  <c r="I77" i="16" s="1"/>
  <c r="X77" i="16"/>
  <c r="X78" i="16"/>
  <c r="Z78" i="16"/>
  <c r="I78" i="16" s="1"/>
  <c r="BC39" i="2"/>
  <c r="BE39" i="2" s="1"/>
  <c r="B82" i="16" l="1"/>
  <c r="G42" i="135" s="1"/>
  <c r="AA42" i="135" s="1"/>
  <c r="AI82" i="16"/>
  <c r="AJ82" i="16" s="1"/>
  <c r="AT82" i="16" s="1"/>
  <c r="F82" i="16"/>
  <c r="D82" i="16" s="1"/>
  <c r="AS82" i="16"/>
  <c r="G42" i="195" s="1"/>
  <c r="AS79" i="16"/>
  <c r="B79" i="16"/>
  <c r="G39" i="135" s="1"/>
  <c r="AA39" i="135" s="1"/>
  <c r="AS78" i="16"/>
  <c r="B78" i="16"/>
  <c r="G38" i="135" s="1"/>
  <c r="AA38" i="135" s="1"/>
  <c r="AY85" i="16"/>
  <c r="AU85" i="16"/>
  <c r="AY83" i="16"/>
  <c r="AU83" i="16"/>
  <c r="AU80" i="16"/>
  <c r="AY80" i="16"/>
  <c r="AU88" i="16"/>
  <c r="AY88" i="16"/>
  <c r="AS77" i="16"/>
  <c r="B77" i="16"/>
  <c r="G37" i="135" s="1"/>
  <c r="AA37" i="135" s="1"/>
  <c r="G41" i="195"/>
  <c r="BA81" i="16"/>
  <c r="AZ81" i="16" s="1"/>
  <c r="G43" i="195"/>
  <c r="BA83" i="16"/>
  <c r="AZ83" i="16" s="1"/>
  <c r="G45" i="195"/>
  <c r="BA85" i="16"/>
  <c r="AZ85" i="16" s="1"/>
  <c r="BA89" i="16"/>
  <c r="AZ89" i="16" s="1"/>
  <c r="G49" i="195"/>
  <c r="G40" i="195"/>
  <c r="BA80" i="16"/>
  <c r="AZ80" i="16" s="1"/>
  <c r="G44" i="195"/>
  <c r="BA84" i="16"/>
  <c r="AZ84" i="16" s="1"/>
  <c r="G48" i="195"/>
  <c r="BA88" i="16"/>
  <c r="AZ88" i="16" s="1"/>
  <c r="BA87" i="16"/>
  <c r="AZ87" i="16" s="1"/>
  <c r="G47" i="195"/>
  <c r="BA82" i="16"/>
  <c r="AZ82" i="16" s="1"/>
  <c r="G46" i="195"/>
  <c r="BA86" i="16"/>
  <c r="AZ86" i="16" s="1"/>
  <c r="AY81" i="16"/>
  <c r="AU81" i="16"/>
  <c r="AY89" i="16"/>
  <c r="AU89" i="16"/>
  <c r="AU86" i="16"/>
  <c r="AY86" i="16"/>
  <c r="AY87" i="16"/>
  <c r="AU87" i="16"/>
  <c r="AU84" i="16"/>
  <c r="AY84" i="16"/>
  <c r="AI79" i="16"/>
  <c r="AJ79" i="16" s="1"/>
  <c r="AT79" i="16" s="1"/>
  <c r="D79" i="16"/>
  <c r="Y81" i="16"/>
  <c r="X81" i="16" s="1"/>
  <c r="AC81" i="16"/>
  <c r="Y83" i="16"/>
  <c r="X83" i="16" s="1"/>
  <c r="AC83" i="16"/>
  <c r="Y89" i="16"/>
  <c r="X89" i="16" s="1"/>
  <c r="AC89" i="16"/>
  <c r="Y80" i="16"/>
  <c r="X80" i="16" s="1"/>
  <c r="AC80" i="16"/>
  <c r="Y84" i="16"/>
  <c r="X84" i="16" s="1"/>
  <c r="AC84" i="16"/>
  <c r="Y88" i="16"/>
  <c r="X88" i="16" s="1"/>
  <c r="AC88" i="16"/>
  <c r="Y87" i="16"/>
  <c r="X87" i="16" s="1"/>
  <c r="AC87" i="16"/>
  <c r="Y82" i="16"/>
  <c r="X82" i="16" s="1"/>
  <c r="AC82" i="16"/>
  <c r="Y86" i="16"/>
  <c r="X86" i="16" s="1"/>
  <c r="AC86" i="16"/>
  <c r="Y85" i="16"/>
  <c r="X85" i="16" s="1"/>
  <c r="AC85" i="16"/>
  <c r="BC47" i="2"/>
  <c r="BE47" i="2" s="1"/>
  <c r="BG47" i="2" s="1"/>
  <c r="BC46" i="2"/>
  <c r="BE46" i="2" s="1"/>
  <c r="BG46" i="2" s="1"/>
  <c r="BC50" i="2"/>
  <c r="BC49" i="2"/>
  <c r="BE49" i="2" s="1"/>
  <c r="BG49" i="2" s="1"/>
  <c r="BC48" i="2"/>
  <c r="BE48" i="2" s="1"/>
  <c r="BG48" i="2" s="1"/>
  <c r="BC42" i="2"/>
  <c r="BE42" i="2" s="1"/>
  <c r="BG42" i="2" s="1"/>
  <c r="BC41" i="2"/>
  <c r="BE41" i="2" s="1"/>
  <c r="BG41" i="2" s="1"/>
  <c r="BC45" i="2"/>
  <c r="BE45" i="2" s="1"/>
  <c r="BG45" i="2" s="1"/>
  <c r="BC44" i="2"/>
  <c r="BE44" i="2" s="1"/>
  <c r="BG44" i="2" s="1"/>
  <c r="BC43" i="2"/>
  <c r="BE43" i="2" s="1"/>
  <c r="BG43" i="2" s="1"/>
  <c r="BC40" i="2"/>
  <c r="BE40" i="2" s="1"/>
  <c r="BG40" i="2" s="1"/>
  <c r="AY82" i="16" l="1"/>
  <c r="BE50" i="2"/>
  <c r="BG50" i="2" s="1"/>
  <c r="AU82" i="16"/>
  <c r="BB89" i="16"/>
  <c r="BB81" i="16"/>
  <c r="BB87" i="16"/>
  <c r="BB86" i="16"/>
  <c r="BB84" i="16"/>
  <c r="G39" i="195"/>
  <c r="BA79" i="16"/>
  <c r="AZ79" i="16" s="1"/>
  <c r="AU78" i="16"/>
  <c r="G38" i="195"/>
  <c r="AY78" i="16"/>
  <c r="BB78" i="16" s="1"/>
  <c r="BB83" i="16"/>
  <c r="BB85" i="16"/>
  <c r="AY77" i="16"/>
  <c r="BB77" i="16" s="1"/>
  <c r="G37" i="195"/>
  <c r="AU77" i="16"/>
  <c r="AY79" i="16"/>
  <c r="AU79" i="16"/>
  <c r="BB88" i="16"/>
  <c r="BB80" i="16"/>
  <c r="BB82" i="16"/>
  <c r="Y79" i="16"/>
  <c r="X79" i="16" s="1"/>
  <c r="AC79" i="16"/>
  <c r="AZ9" i="2"/>
  <c r="BB9" i="2" s="1"/>
  <c r="BC9" i="2" s="1"/>
  <c r="AS52" i="1"/>
  <c r="AZ13" i="2"/>
  <c r="BB13" i="2" s="1"/>
  <c r="BC13" i="2" s="1"/>
  <c r="AZ17" i="2"/>
  <c r="BB17" i="2" s="1"/>
  <c r="BC17" i="2" s="1"/>
  <c r="AZ21" i="2"/>
  <c r="BB21" i="2" s="1"/>
  <c r="BC21" i="2" s="1"/>
  <c r="W60" i="16"/>
  <c r="W64" i="16"/>
  <c r="AZ25" i="2"/>
  <c r="BB25" i="2" s="1"/>
  <c r="BC25" i="2" s="1"/>
  <c r="AZ29" i="2"/>
  <c r="BB29" i="2" s="1"/>
  <c r="BC29" i="2" s="1"/>
  <c r="W68" i="16"/>
  <c r="W72" i="16"/>
  <c r="AZ33" i="2"/>
  <c r="BB33" i="2" s="1"/>
  <c r="BC33" i="2" s="1"/>
  <c r="AZ37" i="2"/>
  <c r="BB37" i="2" s="1"/>
  <c r="BC37" i="2" s="1"/>
  <c r="BE37" i="2" s="1"/>
  <c r="W76" i="16"/>
  <c r="AZ76" i="16" s="1"/>
  <c r="AZ8" i="2"/>
  <c r="BB8" i="2" s="1"/>
  <c r="BC8" i="2" s="1"/>
  <c r="AS47" i="1"/>
  <c r="AZ12" i="2"/>
  <c r="BB12" i="2" s="1"/>
  <c r="BC12" i="2" s="1"/>
  <c r="AZ16" i="2"/>
  <c r="BB16" i="2" s="1"/>
  <c r="BC16" i="2" s="1"/>
  <c r="W59" i="16"/>
  <c r="AZ20" i="2"/>
  <c r="BB20" i="2" s="1"/>
  <c r="BC20" i="2" s="1"/>
  <c r="W63" i="16"/>
  <c r="AZ24" i="2"/>
  <c r="BB24" i="2" s="1"/>
  <c r="BC24" i="2" s="1"/>
  <c r="W67" i="16"/>
  <c r="AZ28" i="2"/>
  <c r="BB28" i="2" s="1"/>
  <c r="BC28" i="2" s="1"/>
  <c r="W71" i="16"/>
  <c r="AZ32" i="2"/>
  <c r="BB32" i="2" s="1"/>
  <c r="BC32" i="2" s="1"/>
  <c r="W75" i="16"/>
  <c r="AZ75" i="16" s="1"/>
  <c r="AZ36" i="2"/>
  <c r="BB36" i="2" s="1"/>
  <c r="BC36" i="2" s="1"/>
  <c r="BE36" i="2" s="1"/>
  <c r="AZ7" i="2"/>
  <c r="BB7" i="2" s="1"/>
  <c r="BC7" i="2" s="1"/>
  <c r="AZ11" i="2"/>
  <c r="BB11" i="2" s="1"/>
  <c r="BC11" i="2" s="1"/>
  <c r="AS54" i="1"/>
  <c r="AZ15" i="2"/>
  <c r="BB15" i="2" s="1"/>
  <c r="BC15" i="2" s="1"/>
  <c r="AS58" i="1"/>
  <c r="AZ19" i="2"/>
  <c r="BB19" i="2" s="1"/>
  <c r="BC19" i="2" s="1"/>
  <c r="AZ23" i="2"/>
  <c r="BB23" i="2" s="1"/>
  <c r="BC23" i="2" s="1"/>
  <c r="W62" i="16"/>
  <c r="W66" i="16"/>
  <c r="AZ27" i="2"/>
  <c r="BB27" i="2" s="1"/>
  <c r="BC27" i="2" s="1"/>
  <c r="AZ31" i="2"/>
  <c r="BB31" i="2" s="1"/>
  <c r="BC31" i="2" s="1"/>
  <c r="W70" i="16"/>
  <c r="W74" i="16"/>
  <c r="AZ35" i="2"/>
  <c r="BB35" i="2" s="1"/>
  <c r="BC35" i="2" s="1"/>
  <c r="BE35" i="2" s="1"/>
  <c r="AZ6" i="2"/>
  <c r="BB6" i="2" s="1"/>
  <c r="BC6" i="2" s="1"/>
  <c r="AZ10" i="2"/>
  <c r="BB10" i="2" s="1"/>
  <c r="BC10" i="2" s="1"/>
  <c r="AS53" i="1"/>
  <c r="AZ14" i="2"/>
  <c r="BB14" i="2" s="1"/>
  <c r="BC14" i="2" s="1"/>
  <c r="AZ18" i="2"/>
  <c r="BB18" i="2" s="1"/>
  <c r="BC18" i="2" s="1"/>
  <c r="AZ22" i="2"/>
  <c r="BB22" i="2" s="1"/>
  <c r="BC22" i="2" s="1"/>
  <c r="W61" i="16"/>
  <c r="W65" i="16"/>
  <c r="AZ26" i="2"/>
  <c r="BB26" i="2" s="1"/>
  <c r="BC26" i="2" s="1"/>
  <c r="W69" i="16"/>
  <c r="AZ30" i="2"/>
  <c r="BB30" i="2" s="1"/>
  <c r="BC30" i="2" s="1"/>
  <c r="W73" i="16"/>
  <c r="AZ34" i="2"/>
  <c r="BB34" i="2" s="1"/>
  <c r="BC34" i="2" s="1"/>
  <c r="BE34" i="2" s="1"/>
  <c r="AS44" i="1"/>
  <c r="AZ5" i="2"/>
  <c r="BB5" i="2" s="1"/>
  <c r="BC5" i="2" s="1"/>
  <c r="BB79" i="16" l="1"/>
  <c r="Z61" i="16"/>
  <c r="I61" i="16" s="1"/>
  <c r="AZ61" i="16"/>
  <c r="AZ74" i="16"/>
  <c r="Z74" i="16"/>
  <c r="I74" i="16" s="1"/>
  <c r="Z66" i="16"/>
  <c r="I66" i="16" s="1"/>
  <c r="AZ66" i="16"/>
  <c r="Z71" i="16"/>
  <c r="Z67" i="16"/>
  <c r="I67" i="16" s="1"/>
  <c r="AZ67" i="16"/>
  <c r="Z63" i="16"/>
  <c r="I63" i="16" s="1"/>
  <c r="AZ63" i="16"/>
  <c r="Z72" i="16"/>
  <c r="I72" i="16" s="1"/>
  <c r="AZ72" i="16"/>
  <c r="Z64" i="16"/>
  <c r="I64" i="16" s="1"/>
  <c r="AZ64" i="16"/>
  <c r="Z73" i="16"/>
  <c r="I73" i="16" s="1"/>
  <c r="AZ73" i="16"/>
  <c r="Z69" i="16"/>
  <c r="AJ69" i="16" s="1"/>
  <c r="Z65" i="16"/>
  <c r="I65" i="16" s="1"/>
  <c r="AZ65" i="16"/>
  <c r="Z70" i="16"/>
  <c r="Z62" i="16"/>
  <c r="I62" i="16" s="1"/>
  <c r="AZ62" i="16"/>
  <c r="Z68" i="16"/>
  <c r="I68" i="16" s="1"/>
  <c r="AZ68" i="16"/>
  <c r="Z60" i="16"/>
  <c r="I60" i="16" s="1"/>
  <c r="AZ60" i="16"/>
  <c r="Z59" i="16"/>
  <c r="I59" i="16" s="1"/>
  <c r="AZ59" i="16"/>
  <c r="X74" i="16"/>
  <c r="Z75" i="16"/>
  <c r="I75" i="16" s="1"/>
  <c r="X75" i="16"/>
  <c r="X76" i="16"/>
  <c r="Z76" i="16"/>
  <c r="I76" i="16" s="1"/>
  <c r="AF72" i="16" l="1"/>
  <c r="AF71" i="16" s="1"/>
  <c r="AG71" i="16" s="1"/>
  <c r="AJ71" i="16" s="1"/>
  <c r="AS75" i="16"/>
  <c r="B75" i="16"/>
  <c r="G35" i="135" s="1"/>
  <c r="AA35" i="135" s="1"/>
  <c r="AS76" i="16"/>
  <c r="B76" i="16"/>
  <c r="G36" i="135" s="1"/>
  <c r="AA36" i="135" s="1"/>
  <c r="AS72" i="16"/>
  <c r="B72" i="16"/>
  <c r="G32" i="135" s="1"/>
  <c r="AG69" i="16"/>
  <c r="AF69" i="16" s="1"/>
  <c r="AT69" i="16"/>
  <c r="Y69" i="16"/>
  <c r="AS68" i="16"/>
  <c r="B68" i="16"/>
  <c r="G28" i="135" s="1"/>
  <c r="AS62" i="16"/>
  <c r="B62" i="16"/>
  <c r="G22" i="135" s="1"/>
  <c r="AS65" i="16"/>
  <c r="B65" i="16"/>
  <c r="G25" i="135" s="1"/>
  <c r="AS73" i="16"/>
  <c r="B73" i="16"/>
  <c r="G33" i="135" s="1"/>
  <c r="AS64" i="16"/>
  <c r="B64" i="16"/>
  <c r="G24" i="135" s="1"/>
  <c r="AS63" i="16"/>
  <c r="B63" i="16"/>
  <c r="G23" i="135" s="1"/>
  <c r="AS67" i="16"/>
  <c r="B67" i="16"/>
  <c r="G27" i="135" s="1"/>
  <c r="AS66" i="16"/>
  <c r="B66" i="16"/>
  <c r="G26" i="135" s="1"/>
  <c r="AS61" i="16"/>
  <c r="B61" i="16"/>
  <c r="G21" i="135" s="1"/>
  <c r="AS74" i="16"/>
  <c r="B74" i="16"/>
  <c r="G34" i="135" s="1"/>
  <c r="AA34" i="135" s="1"/>
  <c r="AS60" i="16"/>
  <c r="B60" i="16"/>
  <c r="G20" i="135" s="1"/>
  <c r="AS59" i="16"/>
  <c r="B59" i="16"/>
  <c r="G19" i="135" s="1"/>
  <c r="I69" i="16"/>
  <c r="AF70" i="16" l="1"/>
  <c r="AG70" i="16" s="1"/>
  <c r="AJ70" i="16" s="1"/>
  <c r="I70" i="16" s="1"/>
  <c r="AU76" i="16"/>
  <c r="G36" i="195"/>
  <c r="AY76" i="16"/>
  <c r="BB76" i="16" s="1"/>
  <c r="AY75" i="16"/>
  <c r="BB75" i="16" s="1"/>
  <c r="G35" i="195"/>
  <c r="AU75" i="16"/>
  <c r="I71" i="16"/>
  <c r="AT71" i="16"/>
  <c r="Y71" i="16"/>
  <c r="AU74" i="16"/>
  <c r="G34" i="195"/>
  <c r="AY74" i="16"/>
  <c r="BB74" i="16" s="1"/>
  <c r="AU66" i="16"/>
  <c r="G26" i="195"/>
  <c r="AY66" i="16"/>
  <c r="BB66" i="16" s="1"/>
  <c r="G23" i="195"/>
  <c r="AU63" i="16"/>
  <c r="AY63" i="16"/>
  <c r="BB63" i="16" s="1"/>
  <c r="AY73" i="16"/>
  <c r="BB73" i="16" s="1"/>
  <c r="G33" i="195"/>
  <c r="AU73" i="16"/>
  <c r="AU62" i="16"/>
  <c r="G22" i="195"/>
  <c r="AY62" i="16"/>
  <c r="BB62" i="16" s="1"/>
  <c r="BA69" i="16"/>
  <c r="AZ69" i="16" s="1"/>
  <c r="AS69" i="16"/>
  <c r="B69" i="16"/>
  <c r="G29" i="135" s="1"/>
  <c r="G21" i="195"/>
  <c r="AU61" i="16"/>
  <c r="AY61" i="16"/>
  <c r="BB61" i="16" s="1"/>
  <c r="AU67" i="16"/>
  <c r="G27" i="195"/>
  <c r="AY67" i="16"/>
  <c r="BB67" i="16" s="1"/>
  <c r="AU64" i="16"/>
  <c r="G24" i="195"/>
  <c r="AY64" i="16"/>
  <c r="BB64" i="16" s="1"/>
  <c r="AU65" i="16"/>
  <c r="G25" i="195"/>
  <c r="AY65" i="16"/>
  <c r="BB65" i="16" s="1"/>
  <c r="AU68" i="16"/>
  <c r="G28" i="195"/>
  <c r="AY68" i="16"/>
  <c r="BB68" i="16" s="1"/>
  <c r="AU72" i="16"/>
  <c r="G32" i="195"/>
  <c r="AY72" i="16"/>
  <c r="BB72" i="16" s="1"/>
  <c r="AU60" i="16"/>
  <c r="G20" i="195"/>
  <c r="AY60" i="16"/>
  <c r="BB60" i="16" s="1"/>
  <c r="AY59" i="16"/>
  <c r="BB59" i="16" s="1"/>
  <c r="G19" i="195"/>
  <c r="AU59" i="16"/>
  <c r="F78" i="63"/>
  <c r="AT70" i="16" l="1"/>
  <c r="BA70" i="16" s="1"/>
  <c r="AZ70" i="16" s="1"/>
  <c r="Y70" i="16"/>
  <c r="AU69" i="16"/>
  <c r="AY69" i="16"/>
  <c r="BB69" i="16" s="1"/>
  <c r="AS70" i="16"/>
  <c r="B70" i="16"/>
  <c r="G30" i="135" s="1"/>
  <c r="AS71" i="16"/>
  <c r="B71" i="16"/>
  <c r="G31" i="135" s="1"/>
  <c r="G29" i="195"/>
  <c r="BA71" i="16"/>
  <c r="AZ71" i="16" s="1"/>
  <c r="G30" i="195" l="1"/>
  <c r="AU71" i="16"/>
  <c r="AY71" i="16"/>
  <c r="BB71" i="16" s="1"/>
  <c r="AU70" i="16"/>
  <c r="AY70" i="16"/>
  <c r="BB70" i="16" s="1"/>
  <c r="G31" i="195"/>
  <c r="B122" i="24" l="1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D180" i="24" l="1"/>
  <c r="E180" i="24"/>
  <c r="F180" i="24"/>
  <c r="B180" i="24"/>
  <c r="F178" i="24"/>
  <c r="D178" i="24"/>
  <c r="E178" i="24"/>
  <c r="B178" i="24"/>
  <c r="F176" i="24"/>
  <c r="D176" i="24"/>
  <c r="E176" i="24"/>
  <c r="B176" i="24"/>
  <c r="F174" i="24"/>
  <c r="D174" i="24"/>
  <c r="E174" i="24"/>
  <c r="B174" i="24"/>
  <c r="D172" i="24"/>
  <c r="E172" i="24"/>
  <c r="F172" i="24"/>
  <c r="B172" i="24"/>
  <c r="F170" i="24"/>
  <c r="E170" i="24"/>
  <c r="D170" i="24"/>
  <c r="B170" i="24"/>
  <c r="F168" i="24"/>
  <c r="E168" i="24"/>
  <c r="D168" i="24"/>
  <c r="B168" i="24"/>
  <c r="D166" i="24"/>
  <c r="F166" i="24"/>
  <c r="E166" i="24"/>
  <c r="B166" i="24"/>
  <c r="F179" i="24"/>
  <c r="E179" i="24"/>
  <c r="D179" i="24"/>
  <c r="B179" i="24"/>
  <c r="F177" i="24"/>
  <c r="B177" i="24"/>
  <c r="E177" i="24"/>
  <c r="D177" i="24"/>
  <c r="F175" i="24"/>
  <c r="B175" i="24"/>
  <c r="E175" i="24"/>
  <c r="D175" i="24"/>
  <c r="F173" i="24"/>
  <c r="B173" i="24"/>
  <c r="E173" i="24"/>
  <c r="D173" i="24"/>
  <c r="F171" i="24"/>
  <c r="B171" i="24"/>
  <c r="E171" i="24"/>
  <c r="D171" i="24"/>
  <c r="F169" i="24"/>
  <c r="B169" i="24"/>
  <c r="D169" i="24"/>
  <c r="E169" i="24"/>
  <c r="F167" i="24"/>
  <c r="B167" i="24"/>
  <c r="E167" i="24"/>
  <c r="D167" i="24"/>
  <c r="F165" i="24"/>
  <c r="D165" i="24"/>
  <c r="E165" i="24"/>
  <c r="F160" i="16" l="1"/>
  <c r="N160" i="16" s="1"/>
  <c r="E160" i="16"/>
  <c r="M160" i="16" s="1"/>
  <c r="D160" i="16"/>
  <c r="L160" i="16" s="1"/>
  <c r="G160" i="16"/>
  <c r="O160" i="16" s="1"/>
  <c r="B160" i="16"/>
  <c r="J160" i="16" s="1"/>
  <c r="E161" i="16"/>
  <c r="M161" i="16" s="1"/>
  <c r="F161" i="16"/>
  <c r="N161" i="16" s="1"/>
  <c r="D161" i="16"/>
  <c r="L161" i="16" s="1"/>
  <c r="J161" i="16"/>
  <c r="G161" i="16"/>
  <c r="O161" i="16" s="1"/>
  <c r="D123" i="16"/>
  <c r="C161" i="16" s="1"/>
  <c r="K161" i="16" s="1"/>
  <c r="D122" i="16"/>
  <c r="C160" i="16" s="1"/>
  <c r="K160" i="16" s="1"/>
  <c r="C125" i="24"/>
  <c r="C123" i="24"/>
  <c r="C126" i="24"/>
  <c r="C124" i="24"/>
  <c r="C122" i="24"/>
  <c r="F165" i="16" l="1"/>
  <c r="N165" i="16" s="1"/>
  <c r="E165" i="16"/>
  <c r="M165" i="16" s="1"/>
  <c r="D165" i="16"/>
  <c r="L165" i="16" s="1"/>
  <c r="G165" i="16"/>
  <c r="O165" i="16" s="1"/>
  <c r="B165" i="16"/>
  <c r="J165" i="16" s="1"/>
  <c r="F162" i="24"/>
  <c r="D162" i="24"/>
  <c r="B162" i="24"/>
  <c r="E162" i="24"/>
  <c r="D123" i="24"/>
  <c r="F161" i="24"/>
  <c r="D161" i="24"/>
  <c r="B161" i="24"/>
  <c r="E161" i="24"/>
  <c r="D122" i="24"/>
  <c r="C160" i="24" s="1"/>
  <c r="D160" i="24"/>
  <c r="B160" i="24"/>
  <c r="E160" i="24"/>
  <c r="F160" i="24"/>
  <c r="F164" i="24"/>
  <c r="E164" i="24"/>
  <c r="B164" i="24"/>
  <c r="D164" i="24"/>
  <c r="B165" i="24"/>
  <c r="D163" i="24"/>
  <c r="F163" i="24"/>
  <c r="B163" i="24"/>
  <c r="E163" i="24"/>
  <c r="D124" i="16"/>
  <c r="E166" i="16" l="1"/>
  <c r="M166" i="16" s="1"/>
  <c r="D166" i="16"/>
  <c r="L166" i="16" s="1"/>
  <c r="F166" i="16"/>
  <c r="N166" i="16" s="1"/>
  <c r="G166" i="16"/>
  <c r="O166" i="16" s="1"/>
  <c r="B166" i="16"/>
  <c r="J166" i="16" s="1"/>
  <c r="E162" i="16"/>
  <c r="M162" i="16" s="1"/>
  <c r="D162" i="16"/>
  <c r="L162" i="16" s="1"/>
  <c r="F162" i="16"/>
  <c r="N162" i="16" s="1"/>
  <c r="G162" i="16"/>
  <c r="O162" i="16" s="1"/>
  <c r="B162" i="16"/>
  <c r="J162" i="16" s="1"/>
  <c r="C162" i="16"/>
  <c r="K162" i="16" s="1"/>
  <c r="D125" i="16"/>
  <c r="D124" i="24"/>
  <c r="C161" i="24"/>
  <c r="F163" i="16" l="1"/>
  <c r="N163" i="16" s="1"/>
  <c r="E163" i="16"/>
  <c r="M163" i="16" s="1"/>
  <c r="D163" i="16"/>
  <c r="L163" i="16" s="1"/>
  <c r="G163" i="16"/>
  <c r="O163" i="16" s="1"/>
  <c r="B163" i="16"/>
  <c r="J163" i="16" s="1"/>
  <c r="D167" i="16"/>
  <c r="L167" i="16" s="1"/>
  <c r="F167" i="16"/>
  <c r="N167" i="16" s="1"/>
  <c r="E167" i="16"/>
  <c r="M167" i="16" s="1"/>
  <c r="G167" i="16"/>
  <c r="O167" i="16" s="1"/>
  <c r="B167" i="16"/>
  <c r="J167" i="16" s="1"/>
  <c r="C163" i="16"/>
  <c r="K163" i="16" s="1"/>
  <c r="D125" i="24"/>
  <c r="C162" i="24"/>
  <c r="D126" i="16"/>
  <c r="E168" i="16" l="1"/>
  <c r="M168" i="16" s="1"/>
  <c r="B168" i="16"/>
  <c r="J168" i="16" s="1"/>
  <c r="G168" i="16"/>
  <c r="O168" i="16" s="1"/>
  <c r="E164" i="16"/>
  <c r="M164" i="16" s="1"/>
  <c r="D164" i="16"/>
  <c r="L164" i="16" s="1"/>
  <c r="F164" i="16"/>
  <c r="N164" i="16" s="1"/>
  <c r="G164" i="16"/>
  <c r="O164" i="16" s="1"/>
  <c r="B164" i="16"/>
  <c r="J164" i="16" s="1"/>
  <c r="C164" i="16"/>
  <c r="K164" i="16" s="1"/>
  <c r="D127" i="16"/>
  <c r="C165" i="16" s="1"/>
  <c r="K165" i="16" s="1"/>
  <c r="D126" i="24"/>
  <c r="C163" i="24"/>
  <c r="E169" i="16" l="1"/>
  <c r="M169" i="16" s="1"/>
  <c r="G169" i="16"/>
  <c r="O169" i="16" s="1"/>
  <c r="B169" i="16"/>
  <c r="J169" i="16" s="1"/>
  <c r="D128" i="16"/>
  <c r="C166" i="16" s="1"/>
  <c r="K166" i="16" s="1"/>
  <c r="D127" i="24"/>
  <c r="C164" i="24"/>
  <c r="E170" i="16" l="1"/>
  <c r="M170" i="16" s="1"/>
  <c r="G170" i="16"/>
  <c r="O170" i="16" s="1"/>
  <c r="B170" i="16"/>
  <c r="J170" i="16" s="1"/>
  <c r="D129" i="16"/>
  <c r="C167" i="16" s="1"/>
  <c r="K167" i="16" s="1"/>
  <c r="D128" i="24"/>
  <c r="C165" i="24"/>
  <c r="E171" i="16" l="1"/>
  <c r="M171" i="16" s="1"/>
  <c r="B171" i="16"/>
  <c r="J171" i="16" s="1"/>
  <c r="G171" i="16"/>
  <c r="O171" i="16" s="1"/>
  <c r="D130" i="16"/>
  <c r="C168" i="16" s="1"/>
  <c r="K168" i="16" s="1"/>
  <c r="D129" i="24"/>
  <c r="C166" i="24"/>
  <c r="E172" i="16" l="1"/>
  <c r="M172" i="16" s="1"/>
  <c r="G172" i="16"/>
  <c r="O172" i="16" s="1"/>
  <c r="B172" i="16"/>
  <c r="J172" i="16" s="1"/>
  <c r="D131" i="16"/>
  <c r="C169" i="16" s="1"/>
  <c r="K169" i="16" s="1"/>
  <c r="D130" i="24"/>
  <c r="C167" i="24"/>
  <c r="E173" i="16" l="1"/>
  <c r="M173" i="16" s="1"/>
  <c r="B173" i="16"/>
  <c r="J173" i="16" s="1"/>
  <c r="G173" i="16"/>
  <c r="O173" i="16" s="1"/>
  <c r="D131" i="24"/>
  <c r="C168" i="24"/>
  <c r="D132" i="16"/>
  <c r="C170" i="16" s="1"/>
  <c r="K170" i="16" s="1"/>
  <c r="E174" i="16" l="1"/>
  <c r="M174" i="16" s="1"/>
  <c r="B174" i="16"/>
  <c r="J174" i="16" s="1"/>
  <c r="G174" i="16"/>
  <c r="O174" i="16" s="1"/>
  <c r="D133" i="16"/>
  <c r="C171" i="16" s="1"/>
  <c r="K171" i="16" s="1"/>
  <c r="D132" i="24"/>
  <c r="C169" i="24"/>
  <c r="E175" i="16" l="1"/>
  <c r="M175" i="16" s="1"/>
  <c r="G175" i="16"/>
  <c r="O175" i="16" s="1"/>
  <c r="B175" i="16"/>
  <c r="J175" i="16" s="1"/>
  <c r="D133" i="24"/>
  <c r="C170" i="24"/>
  <c r="D134" i="16"/>
  <c r="C172" i="16" s="1"/>
  <c r="K172" i="16" s="1"/>
  <c r="E176" i="16" l="1"/>
  <c r="M176" i="16" s="1"/>
  <c r="G176" i="16"/>
  <c r="O176" i="16" s="1"/>
  <c r="B176" i="16"/>
  <c r="J176" i="16" s="1"/>
  <c r="D135" i="16"/>
  <c r="C173" i="16" s="1"/>
  <c r="K173" i="16" s="1"/>
  <c r="D134" i="24"/>
  <c r="C171" i="24"/>
  <c r="E177" i="16" l="1"/>
  <c r="M177" i="16" s="1"/>
  <c r="B177" i="16"/>
  <c r="J177" i="16" s="1"/>
  <c r="G177" i="16"/>
  <c r="O177" i="16" s="1"/>
  <c r="D135" i="24"/>
  <c r="C172" i="24"/>
  <c r="D136" i="16"/>
  <c r="C174" i="16" s="1"/>
  <c r="K174" i="16" s="1"/>
  <c r="E178" i="16" l="1"/>
  <c r="M178" i="16" s="1"/>
  <c r="G178" i="16"/>
  <c r="O178" i="16" s="1"/>
  <c r="B178" i="16"/>
  <c r="J178" i="16" s="1"/>
  <c r="D137" i="16"/>
  <c r="C175" i="16" s="1"/>
  <c r="K175" i="16" s="1"/>
  <c r="D136" i="24"/>
  <c r="C173" i="24"/>
  <c r="E179" i="16" l="1"/>
  <c r="M179" i="16" s="1"/>
  <c r="G179" i="16"/>
  <c r="O179" i="16" s="1"/>
  <c r="B179" i="16"/>
  <c r="J179" i="16" s="1"/>
  <c r="D137" i="24"/>
  <c r="C174" i="24"/>
  <c r="D138" i="16"/>
  <c r="C176" i="16" s="1"/>
  <c r="K176" i="16" s="1"/>
  <c r="E180" i="16" l="1"/>
  <c r="M180" i="16" s="1"/>
  <c r="G180" i="16"/>
  <c r="O180" i="16" s="1"/>
  <c r="B180" i="16"/>
  <c r="J180" i="16" s="1"/>
  <c r="D139" i="16"/>
  <c r="C177" i="16" s="1"/>
  <c r="K177" i="16" s="1"/>
  <c r="D138" i="24"/>
  <c r="C175" i="24"/>
  <c r="D139" i="24" l="1"/>
  <c r="C176" i="24"/>
  <c r="D140" i="16"/>
  <c r="C178" i="16" s="1"/>
  <c r="K178" i="16" s="1"/>
  <c r="D141" i="16" l="1"/>
  <c r="C179" i="16" s="1"/>
  <c r="K179" i="16" s="1"/>
  <c r="D140" i="24"/>
  <c r="C177" i="24"/>
  <c r="D141" i="24" l="1"/>
  <c r="C178" i="24"/>
  <c r="D142" i="16"/>
  <c r="C180" i="16" s="1"/>
  <c r="K180" i="16" s="1"/>
  <c r="D142" i="24" l="1"/>
  <c r="C180" i="24" s="1"/>
  <c r="C179" i="24"/>
  <c r="B88" i="24" l="1"/>
  <c r="O48" i="135" s="1"/>
  <c r="Q48" i="196"/>
  <c r="AA88" i="24"/>
  <c r="Y88" i="24" s="1"/>
  <c r="Q88" i="24" l="1"/>
  <c r="P88" i="24"/>
  <c r="M88" i="24"/>
  <c r="AA52" i="193" l="1"/>
  <c r="AA54" i="193"/>
  <c r="AA57" i="193"/>
  <c r="F91" i="1"/>
  <c r="F93" i="1"/>
  <c r="F95" i="1"/>
  <c r="AA56" i="193"/>
  <c r="F92" i="1"/>
  <c r="F94" i="1"/>
  <c r="AA55" i="193"/>
  <c r="AA50" i="193"/>
  <c r="AA53" i="193"/>
  <c r="B49" i="135"/>
  <c r="AA49" i="135" s="1"/>
  <c r="AB49" i="135" s="1"/>
  <c r="F89" i="1"/>
  <c r="D89" i="1" s="1"/>
  <c r="F90" i="1" l="1"/>
  <c r="Z90" i="1"/>
  <c r="AV90" i="1"/>
  <c r="BE90" i="1"/>
  <c r="B51" i="193"/>
  <c r="AH90" i="1"/>
  <c r="U123" i="1" l="1"/>
  <c r="Y123" i="1" s="1"/>
  <c r="BP90" i="1"/>
  <c r="AI90" i="1"/>
  <c r="AY90" i="1"/>
  <c r="AZ90" i="1" s="1"/>
  <c r="BA90" i="1" s="1"/>
  <c r="AA51" i="193"/>
  <c r="B50" i="490"/>
  <c r="B5" i="491" s="1"/>
  <c r="AA90" i="1"/>
  <c r="AD123" i="1" l="1"/>
  <c r="AE123" i="1" s="1"/>
  <c r="AF123" i="1" s="1"/>
  <c r="AG123" i="1" s="1"/>
  <c r="BG90" i="1"/>
  <c r="BH90" i="1"/>
  <c r="P86" i="3" l="1"/>
  <c r="F85" i="3"/>
  <c r="D85" i="3" s="1"/>
  <c r="N85" i="3"/>
  <c r="P85" i="3"/>
  <c r="B87" i="3"/>
  <c r="C47" i="135" s="1"/>
  <c r="AA47" i="135" s="1"/>
  <c r="P87" i="3"/>
  <c r="P84" i="3"/>
  <c r="B84" i="3"/>
  <c r="C44" i="135" s="1"/>
  <c r="AA44" i="135" s="1"/>
  <c r="F87" i="3"/>
  <c r="D87" i="3"/>
  <c r="V86" i="3"/>
  <c r="T86" i="3" s="1"/>
  <c r="J86" i="3" s="1"/>
  <c r="C47" i="196"/>
  <c r="AC48" i="193" s="1"/>
  <c r="V87" i="3"/>
  <c r="T87" i="3" s="1"/>
  <c r="H87" i="3" s="1"/>
  <c r="F84" i="3"/>
  <c r="D84" i="3" s="1"/>
  <c r="B86" i="3"/>
  <c r="C46" i="135" s="1"/>
  <c r="AA46" i="135" s="1"/>
  <c r="V85" i="3"/>
  <c r="T85" i="3" s="1"/>
  <c r="H85" i="3" s="1"/>
  <c r="C44" i="196"/>
  <c r="AC45" i="193" s="1"/>
  <c r="V84" i="3"/>
  <c r="T84" i="3" s="1"/>
  <c r="C45" i="196"/>
  <c r="AC46" i="193" s="1"/>
  <c r="B85" i="3"/>
  <c r="C45" i="135" s="1"/>
  <c r="AA45" i="135" s="1"/>
  <c r="C46" i="196"/>
  <c r="AC47" i="193" s="1"/>
  <c r="F86" i="3"/>
  <c r="D86" i="3" s="1"/>
  <c r="BB87" i="3" l="1"/>
  <c r="BB86" i="3"/>
  <c r="BB85" i="3"/>
  <c r="BB84" i="3"/>
  <c r="H86" i="3"/>
  <c r="H84" i="3"/>
  <c r="J84" i="3"/>
  <c r="J87" i="3"/>
  <c r="J85" i="3"/>
  <c r="BA85" i="3" l="1"/>
  <c r="AX85" i="3" s="1"/>
  <c r="BI85" i="3" s="1"/>
  <c r="BA84" i="3"/>
  <c r="AX84" i="3" s="1"/>
  <c r="BI84" i="3" s="1"/>
  <c r="BA86" i="3"/>
  <c r="AX86" i="3" s="1"/>
  <c r="BI86" i="3" s="1"/>
  <c r="BA87" i="3"/>
  <c r="AX87" i="3" s="1"/>
  <c r="BI87" i="3" s="1"/>
  <c r="B88" i="25"/>
  <c r="Q48" i="135" s="1"/>
  <c r="F88" i="25"/>
  <c r="D88" i="25" s="1"/>
  <c r="S48" i="196"/>
  <c r="BE49" i="193" s="1"/>
  <c r="S88" i="25"/>
  <c r="F88" i="26"/>
  <c r="D88" i="26" s="1"/>
  <c r="B88" i="26"/>
  <c r="R48" i="135" s="1"/>
  <c r="T48" i="196"/>
  <c r="BG49" i="193" s="1"/>
  <c r="S88" i="26"/>
  <c r="BA88" i="26" s="1"/>
  <c r="AZ88" i="26" s="1"/>
  <c r="BA88" i="25" l="1"/>
  <c r="AZ88" i="25" s="1"/>
  <c r="AW88" i="25" s="1"/>
  <c r="BH88" i="25" s="1"/>
  <c r="AW88" i="26"/>
  <c r="BH88" i="26" s="1"/>
  <c r="Q88" i="25"/>
  <c r="Q88" i="26"/>
  <c r="J88" i="25" l="1"/>
  <c r="H88" i="25"/>
  <c r="H88" i="26"/>
  <c r="J88" i="26"/>
  <c r="AB90" i="26"/>
  <c r="AQ90" i="26" s="1"/>
  <c r="AR90" i="26" l="1"/>
  <c r="AX90" i="26"/>
  <c r="F88" i="101"/>
  <c r="D88" i="101" s="1"/>
  <c r="B88" i="101"/>
  <c r="T48" i="135" s="1"/>
  <c r="V48" i="196"/>
  <c r="S88" i="101"/>
  <c r="BI88" i="101" s="1"/>
  <c r="AY90" i="26" l="1"/>
  <c r="AW90" i="26"/>
  <c r="BH90" i="26" s="1"/>
  <c r="Q88" i="101"/>
  <c r="H88" i="101" s="1"/>
  <c r="J88" i="101" l="1"/>
  <c r="BH88" i="101"/>
  <c r="BE88" i="101" s="1"/>
  <c r="BQ88" i="101" s="1"/>
  <c r="M88" i="22"/>
  <c r="S88" i="22"/>
  <c r="N48" i="196"/>
  <c r="AG88" i="22"/>
  <c r="AF88" i="22" s="1"/>
  <c r="I88" i="22" s="1"/>
  <c r="AA88" i="22" s="1"/>
  <c r="AY88" i="22" l="1"/>
  <c r="AX88" i="22" s="1"/>
  <c r="B88" i="22"/>
  <c r="M48" i="135" s="1"/>
  <c r="AA48" i="135" s="1"/>
  <c r="AB48" i="135" s="1"/>
  <c r="AN88" i="22"/>
  <c r="F88" i="22"/>
  <c r="D88" i="22" s="1"/>
  <c r="AB88" i="22"/>
  <c r="AO88" i="22" s="1"/>
  <c r="Q88" i="22"/>
  <c r="M48" i="195" l="1"/>
  <c r="AV88" i="22"/>
  <c r="AU88" i="22" s="1"/>
  <c r="BG88" i="22" s="1"/>
  <c r="J88" i="22"/>
  <c r="H88" i="22"/>
  <c r="AT88" i="22"/>
  <c r="AP88" i="22"/>
  <c r="P88" i="22"/>
  <c r="O34" i="195"/>
  <c r="P74" i="24"/>
  <c r="X74" i="24"/>
  <c r="O35" i="195"/>
  <c r="P75" i="24"/>
  <c r="X75" i="24"/>
  <c r="P78" i="24"/>
  <c r="X78" i="24"/>
  <c r="O38" i="195"/>
  <c r="O36" i="195"/>
  <c r="X76" i="24"/>
  <c r="P76" i="24"/>
  <c r="P77" i="24"/>
  <c r="O37" i="195"/>
  <c r="AM57" i="24"/>
  <c r="O57" i="24" s="1"/>
  <c r="AM70" i="24"/>
  <c r="O70" i="24" s="1"/>
  <c r="AG78" i="24"/>
  <c r="AJ78" i="24"/>
  <c r="Q78" i="24" s="1"/>
  <c r="AM52" i="24"/>
  <c r="O52" i="24" s="1"/>
  <c r="B52" i="24" s="1"/>
  <c r="O12" i="135" s="1"/>
  <c r="AA12" i="135" s="1"/>
  <c r="AM69" i="24"/>
  <c r="O69" i="24" s="1"/>
  <c r="AM58" i="24"/>
  <c r="O58" i="24" s="1"/>
  <c r="AM48" i="24"/>
  <c r="P48" i="24" s="1"/>
  <c r="AG77" i="24"/>
  <c r="AJ77" i="24" s="1"/>
  <c r="Q77" i="24" s="1"/>
  <c r="AG75" i="24"/>
  <c r="AJ75" i="24" s="1"/>
  <c r="Q75" i="24" s="1"/>
  <c r="AM60" i="24"/>
  <c r="O73" i="24"/>
  <c r="AM45" i="24"/>
  <c r="O45" i="24" s="1"/>
  <c r="AM67" i="24"/>
  <c r="AM56" i="24"/>
  <c r="P56" i="24" s="1"/>
  <c r="AM72" i="24"/>
  <c r="O72" i="24" s="1"/>
  <c r="N72" i="24" s="1"/>
  <c r="AM66" i="24"/>
  <c r="P66" i="24" s="1"/>
  <c r="AM64" i="24"/>
  <c r="P64" i="24" s="1"/>
  <c r="AM62" i="24"/>
  <c r="O62" i="24" s="1"/>
  <c r="AJ62" i="24" s="1"/>
  <c r="Q62" i="24" s="1"/>
  <c r="AM68" i="24"/>
  <c r="O68" i="24" s="1"/>
  <c r="AI68" i="24" s="1"/>
  <c r="AM49" i="24"/>
  <c r="P49" i="24" s="1"/>
  <c r="AM71" i="24"/>
  <c r="P71" i="24" s="1"/>
  <c r="AM61" i="24"/>
  <c r="O61" i="24" s="1"/>
  <c r="AI61" i="24" s="1"/>
  <c r="AG76" i="24"/>
  <c r="AJ76" i="24" s="1"/>
  <c r="Q76" i="24" s="1"/>
  <c r="AM50" i="24"/>
  <c r="AM59" i="24"/>
  <c r="P59" i="24" s="1"/>
  <c r="AM53" i="24"/>
  <c r="AM54" i="24"/>
  <c r="AM55" i="24"/>
  <c r="O55" i="24" s="1"/>
  <c r="AM65" i="24"/>
  <c r="P65" i="24" s="1"/>
  <c r="AM63" i="24"/>
  <c r="AM47" i="24"/>
  <c r="O47" i="24" s="1"/>
  <c r="AI47" i="24" s="1"/>
  <c r="AM46" i="24"/>
  <c r="O46" i="24" s="1"/>
  <c r="AM44" i="24"/>
  <c r="AM51" i="24"/>
  <c r="O51" i="24" s="1"/>
  <c r="AJ51" i="24" s="1"/>
  <c r="AJ74" i="24"/>
  <c r="Q74" i="24" s="1"/>
  <c r="AG74" i="24"/>
  <c r="AG73" i="24"/>
  <c r="AG72" i="24" s="1"/>
  <c r="AW88" i="22" l="1"/>
  <c r="BF88" i="22"/>
  <c r="O65" i="24"/>
  <c r="N65" i="24" s="1"/>
  <c r="O64" i="24"/>
  <c r="AI64" i="24" s="1"/>
  <c r="O71" i="24"/>
  <c r="X71" i="24" s="1"/>
  <c r="O49" i="24"/>
  <c r="B49" i="24" s="1"/>
  <c r="O9" i="135" s="1"/>
  <c r="AA9" i="135" s="1"/>
  <c r="O66" i="24"/>
  <c r="AI66" i="24" s="1"/>
  <c r="N69" i="24"/>
  <c r="X69" i="24"/>
  <c r="O21" i="195"/>
  <c r="O22" i="195"/>
  <c r="P70" i="24"/>
  <c r="O29" i="195"/>
  <c r="O7" i="195"/>
  <c r="B65" i="24"/>
  <c r="O25" i="135" s="1"/>
  <c r="AA25" i="135" s="1"/>
  <c r="O12" i="195"/>
  <c r="O11" i="195"/>
  <c r="O44" i="24"/>
  <c r="AI44" i="24" s="1"/>
  <c r="AJ61" i="24"/>
  <c r="Q61" i="24" s="1"/>
  <c r="O28" i="195"/>
  <c r="O32" i="195"/>
  <c r="AI46" i="24"/>
  <c r="X46" i="24"/>
  <c r="B46" i="24"/>
  <c r="O6" i="135" s="1"/>
  <c r="AA6" i="135" s="1"/>
  <c r="AJ46" i="24"/>
  <c r="N46" i="24"/>
  <c r="O5" i="195"/>
  <c r="B45" i="24"/>
  <c r="O5" i="135" s="1"/>
  <c r="AA5" i="135" s="1"/>
  <c r="X45" i="24"/>
  <c r="AJ45" i="24"/>
  <c r="N45" i="24"/>
  <c r="AI45" i="24"/>
  <c r="X57" i="24"/>
  <c r="AJ57" i="24"/>
  <c r="N57" i="24"/>
  <c r="B57" i="24"/>
  <c r="O17" i="135" s="1"/>
  <c r="AA17" i="135" s="1"/>
  <c r="AI57" i="24"/>
  <c r="B73" i="24"/>
  <c r="O33" i="135" s="1"/>
  <c r="AA33" i="135" s="1"/>
  <c r="N73" i="24"/>
  <c r="X73" i="24"/>
  <c r="AI73" i="24"/>
  <c r="AJ73" i="24" s="1"/>
  <c r="Q73" i="24" s="1"/>
  <c r="O33" i="195"/>
  <c r="AG71" i="24"/>
  <c r="Q51" i="24"/>
  <c r="N55" i="24"/>
  <c r="AI55" i="24"/>
  <c r="X55" i="24"/>
  <c r="B55" i="24"/>
  <c r="O15" i="135" s="1"/>
  <c r="AA15" i="135" s="1"/>
  <c r="AJ55" i="24"/>
  <c r="X58" i="24"/>
  <c r="AJ58" i="24"/>
  <c r="N58" i="24"/>
  <c r="AI58" i="24"/>
  <c r="B58" i="24"/>
  <c r="O18" i="135" s="1"/>
  <c r="AA18" i="135" s="1"/>
  <c r="AI70" i="24"/>
  <c r="X70" i="24"/>
  <c r="N70" i="24"/>
  <c r="B70" i="24"/>
  <c r="O30" i="135" s="1"/>
  <c r="AA30" i="135" s="1"/>
  <c r="B51" i="24"/>
  <c r="O11" i="135" s="1"/>
  <c r="AA11" i="135" s="1"/>
  <c r="O54" i="24"/>
  <c r="O53" i="24"/>
  <c r="O50" i="24"/>
  <c r="O10" i="195" s="1"/>
  <c r="O56" i="24"/>
  <c r="P47" i="24"/>
  <c r="P73" i="24"/>
  <c r="O48" i="24"/>
  <c r="O8" i="195" s="1"/>
  <c r="AI69" i="24"/>
  <c r="X62" i="24"/>
  <c r="O18" i="195"/>
  <c r="O30" i="195"/>
  <c r="N47" i="24"/>
  <c r="AI71" i="24"/>
  <c r="AI72" i="24"/>
  <c r="AJ72" i="24" s="1"/>
  <c r="Q72" i="24" s="1"/>
  <c r="X64" i="24"/>
  <c r="P55" i="24"/>
  <c r="O25" i="195"/>
  <c r="AI62" i="24"/>
  <c r="P58" i="24"/>
  <c r="B47" i="24"/>
  <c r="O7" i="135" s="1"/>
  <c r="AA7" i="135" s="1"/>
  <c r="AJ52" i="24"/>
  <c r="X72" i="24"/>
  <c r="X52" i="24"/>
  <c r="P57" i="24"/>
  <c r="P53" i="24"/>
  <c r="N64" i="24"/>
  <c r="O15" i="195"/>
  <c r="P63" i="24"/>
  <c r="AJ47" i="24"/>
  <c r="O63" i="24"/>
  <c r="O23" i="195" s="1"/>
  <c r="B68" i="24"/>
  <c r="O28" i="135" s="1"/>
  <c r="AJ64" i="24"/>
  <c r="Q64" i="24" s="1"/>
  <c r="B72" i="24"/>
  <c r="O32" i="135" s="1"/>
  <c r="AA32" i="135" s="1"/>
  <c r="P68" i="24"/>
  <c r="P45" i="24"/>
  <c r="P62" i="24"/>
  <c r="N51" i="24"/>
  <c r="B69" i="24"/>
  <c r="O29" i="135" s="1"/>
  <c r="AA29" i="135" s="1"/>
  <c r="N62" i="24"/>
  <c r="O31" i="195"/>
  <c r="X47" i="24"/>
  <c r="X61" i="24"/>
  <c r="N52" i="24"/>
  <c r="O17" i="195"/>
  <c r="AI65" i="24"/>
  <c r="N68" i="24"/>
  <c r="AI51" i="24"/>
  <c r="AG51" i="24" s="1"/>
  <c r="B62" i="24"/>
  <c r="O22" i="135" s="1"/>
  <c r="AA22" i="135" s="1"/>
  <c r="P44" i="24"/>
  <c r="N61" i="24"/>
  <c r="AI52" i="24"/>
  <c r="P72" i="24"/>
  <c r="P54" i="24"/>
  <c r="X65" i="24"/>
  <c r="P51" i="24"/>
  <c r="O59" i="24"/>
  <c r="O19" i="195" s="1"/>
  <c r="P67" i="24"/>
  <c r="P60" i="24"/>
  <c r="X68" i="24"/>
  <c r="X51" i="24"/>
  <c r="O24" i="195"/>
  <c r="O6" i="195"/>
  <c r="B61" i="24"/>
  <c r="O21" i="135" s="1"/>
  <c r="AA21" i="135" s="1"/>
  <c r="B64" i="24"/>
  <c r="O24" i="135" s="1"/>
  <c r="AA24" i="135" s="1"/>
  <c r="P46" i="24"/>
  <c r="P50" i="24"/>
  <c r="P61" i="24"/>
  <c r="P69" i="24"/>
  <c r="P52" i="24"/>
  <c r="O67" i="24"/>
  <c r="O27" i="195" s="1"/>
  <c r="O60" i="24"/>
  <c r="O20" i="195" s="1"/>
  <c r="N49" i="24" l="1"/>
  <c r="AI49" i="24"/>
  <c r="O9" i="195"/>
  <c r="X49" i="24"/>
  <c r="AJ49" i="24"/>
  <c r="AG49" i="24" s="1"/>
  <c r="B66" i="24"/>
  <c r="O26" i="135" s="1"/>
  <c r="AA26" i="135" s="1"/>
  <c r="O26" i="195"/>
  <c r="N66" i="24"/>
  <c r="AJ65" i="24"/>
  <c r="Q65" i="24" s="1"/>
  <c r="B71" i="24"/>
  <c r="O31" i="135" s="1"/>
  <c r="AA31" i="135" s="1"/>
  <c r="N71" i="24"/>
  <c r="X66" i="24"/>
  <c r="N44" i="24"/>
  <c r="X44" i="24"/>
  <c r="B44" i="24"/>
  <c r="O4" i="135" s="1"/>
  <c r="AA4" i="135" s="1"/>
  <c r="AJ44" i="24"/>
  <c r="AG44" i="24" s="1"/>
  <c r="O4" i="195"/>
  <c r="B53" i="24"/>
  <c r="O13" i="135" s="1"/>
  <c r="AA13" i="135" s="1"/>
  <c r="N53" i="24"/>
  <c r="X53" i="24"/>
  <c r="AI53" i="24"/>
  <c r="AJ53" i="24"/>
  <c r="X54" i="24"/>
  <c r="AJ54" i="24"/>
  <c r="N54" i="24"/>
  <c r="B54" i="24"/>
  <c r="O14" i="135" s="1"/>
  <c r="AA14" i="135" s="1"/>
  <c r="AI54" i="24"/>
  <c r="O14" i="195"/>
  <c r="O13" i="195"/>
  <c r="AJ48" i="24"/>
  <c r="AI48" i="24"/>
  <c r="N48" i="24"/>
  <c r="X48" i="24"/>
  <c r="B48" i="24"/>
  <c r="O8" i="135" s="1"/>
  <c r="AA8" i="135" s="1"/>
  <c r="AG58" i="24"/>
  <c r="Q58" i="24"/>
  <c r="AI63" i="24"/>
  <c r="B63" i="24"/>
  <c r="O23" i="135" s="1"/>
  <c r="AA23" i="135" s="1"/>
  <c r="X63" i="24"/>
  <c r="AJ63" i="24"/>
  <c r="Q63" i="24" s="1"/>
  <c r="N63" i="24"/>
  <c r="Q55" i="24"/>
  <c r="AG55" i="24"/>
  <c r="AJ71" i="24"/>
  <c r="Q71" i="24" s="1"/>
  <c r="AG70" i="24"/>
  <c r="Q46" i="24"/>
  <c r="AG46" i="24"/>
  <c r="Q49" i="24"/>
  <c r="Q47" i="24"/>
  <c r="AG47" i="24"/>
  <c r="AJ56" i="24"/>
  <c r="X56" i="24"/>
  <c r="B56" i="24"/>
  <c r="O16" i="135" s="1"/>
  <c r="AA16" i="135" s="1"/>
  <c r="N56" i="24"/>
  <c r="AI56" i="24"/>
  <c r="O16" i="195"/>
  <c r="AG45" i="24"/>
  <c r="Q45" i="24"/>
  <c r="N59" i="24"/>
  <c r="X59" i="24"/>
  <c r="AI59" i="24"/>
  <c r="AJ59" i="24"/>
  <c r="B59" i="24"/>
  <c r="O19" i="135" s="1"/>
  <c r="AA19" i="135" s="1"/>
  <c r="AJ60" i="24"/>
  <c r="B60" i="24"/>
  <c r="O20" i="135" s="1"/>
  <c r="AA20" i="135" s="1"/>
  <c r="N60" i="24"/>
  <c r="AI60" i="24"/>
  <c r="X60" i="24"/>
  <c r="N67" i="24"/>
  <c r="X67" i="24"/>
  <c r="B67" i="24"/>
  <c r="O27" i="135" s="1"/>
  <c r="AA27" i="135" s="1"/>
  <c r="AI67" i="24"/>
  <c r="AG52" i="24"/>
  <c r="Q52" i="24"/>
  <c r="X50" i="24"/>
  <c r="B50" i="24"/>
  <c r="O10" i="135" s="1"/>
  <c r="AA10" i="135" s="1"/>
  <c r="N50" i="24"/>
  <c r="AI50" i="24"/>
  <c r="AJ50" i="24"/>
  <c r="Q57" i="24"/>
  <c r="AG57" i="24"/>
  <c r="Q44" i="24" l="1"/>
  <c r="AG54" i="24"/>
  <c r="Q54" i="24"/>
  <c r="AG59" i="24"/>
  <c r="Q59" i="24"/>
  <c r="Q53" i="24"/>
  <c r="AG53" i="24"/>
  <c r="AG60" i="24"/>
  <c r="Q60" i="24"/>
  <c r="AG48" i="24"/>
  <c r="Q48" i="24"/>
  <c r="AG56" i="24"/>
  <c r="Q56" i="24"/>
  <c r="AG69" i="24"/>
  <c r="AJ70" i="24"/>
  <c r="Q70" i="24" s="1"/>
  <c r="Q50" i="24"/>
  <c r="AG50" i="24"/>
  <c r="AG68" i="24" l="1"/>
  <c r="AJ69" i="24"/>
  <c r="Q69" i="24" s="1"/>
  <c r="AJ68" i="24" l="1"/>
  <c r="Q68" i="24" s="1"/>
  <c r="AG67" i="24"/>
  <c r="AG66" i="24" l="1"/>
  <c r="AJ67" i="24"/>
  <c r="Q67" i="24" s="1"/>
  <c r="AG65" i="24" l="1"/>
  <c r="AG64" i="24" s="1"/>
  <c r="AG63" i="24" s="1"/>
  <c r="AG62" i="24" s="1"/>
  <c r="AG61" i="24" s="1"/>
  <c r="AJ66" i="24"/>
  <c r="Q66" i="24" s="1"/>
  <c r="BA93" i="19" l="1"/>
  <c r="AX93" i="19" s="1"/>
  <c r="BH93" i="19" s="1"/>
  <c r="BA90" i="19"/>
  <c r="AX90" i="19" s="1"/>
  <c r="BH90" i="19" s="1"/>
  <c r="BA91" i="19"/>
  <c r="AX91" i="19" s="1"/>
  <c r="BH91" i="19" s="1"/>
  <c r="BA95" i="19"/>
  <c r="AX95" i="19" s="1"/>
  <c r="BH95" i="19" s="1"/>
  <c r="BA89" i="19"/>
  <c r="AX89" i="19" s="1"/>
  <c r="BH89" i="19" s="1"/>
  <c r="BA96" i="19"/>
  <c r="AX96" i="19" s="1"/>
  <c r="BH96" i="19" s="1"/>
  <c r="BA92" i="19"/>
  <c r="AX92" i="19" s="1"/>
  <c r="BH92" i="19" s="1"/>
  <c r="BA94" i="19"/>
  <c r="AX94" i="19" s="1"/>
  <c r="BH94" i="19" s="1"/>
  <c r="G32" i="490" l="1"/>
  <c r="X127" i="4" l="1"/>
  <c r="AB105" i="4" s="1"/>
  <c r="W127" i="4"/>
  <c r="V127" i="4"/>
  <c r="Y105" i="4" s="1"/>
  <c r="X105" i="4" s="1"/>
  <c r="V105" i="4" l="1"/>
  <c r="W105" i="4" s="1"/>
  <c r="BB105" i="4" s="1"/>
  <c r="B31" i="464"/>
  <c r="B31" i="500"/>
  <c r="C31" i="500"/>
  <c r="F31" i="464"/>
  <c r="C31" i="464" s="1"/>
  <c r="Z105" i="4"/>
  <c r="AQ143" i="4"/>
  <c r="AP143" i="4" l="1"/>
  <c r="AZ143" i="4"/>
  <c r="BA143" i="4" s="1"/>
  <c r="AH143" i="4"/>
  <c r="B58" i="542"/>
  <c r="B130" i="104"/>
  <c r="G130" i="104" s="1"/>
  <c r="BS105" i="4"/>
  <c r="BR105" i="4" s="1"/>
  <c r="BO105" i="4" s="1"/>
  <c r="BY105" i="4" s="1"/>
  <c r="B143" i="4"/>
  <c r="S97" i="22"/>
  <c r="BD97" i="16"/>
  <c r="BC97" i="16" s="1"/>
  <c r="AZ97" i="16" s="1"/>
  <c r="S97" i="101"/>
  <c r="BI97" i="101" s="1"/>
  <c r="BH97" i="101" s="1"/>
  <c r="BE97" i="101" s="1"/>
  <c r="BQ97" i="101" s="1"/>
  <c r="S97" i="26"/>
  <c r="BA97" i="26" s="1"/>
  <c r="AZ97" i="26" s="1"/>
  <c r="AW97" i="26" s="1"/>
  <c r="BH97" i="26" s="1"/>
  <c r="K97" i="314"/>
  <c r="S97" i="102"/>
  <c r="T97" i="19"/>
  <c r="BB97" i="19" s="1"/>
  <c r="BA97" i="19" s="1"/>
  <c r="AX97" i="19" s="1"/>
  <c r="BH97" i="19" s="1"/>
  <c r="T97" i="323"/>
  <c r="BB97" i="323" s="1"/>
  <c r="BA97" i="323" s="1"/>
  <c r="AX97" i="323" s="1"/>
  <c r="BI97" i="323" s="1"/>
  <c r="S97" i="27"/>
  <c r="BA97" i="27" s="1"/>
  <c r="AZ97" i="27" s="1"/>
  <c r="AW97" i="27" s="1"/>
  <c r="BH97" i="27" s="1"/>
  <c r="T97" i="131"/>
  <c r="BB97" i="131" s="1"/>
  <c r="BA97" i="131" s="1"/>
  <c r="AX97" i="131" s="1"/>
  <c r="BJ97" i="131" s="1"/>
  <c r="T97" i="51"/>
  <c r="BB97" i="51" s="1"/>
  <c r="BA97" i="51" s="1"/>
  <c r="AX97" i="51" s="1"/>
  <c r="BH97" i="51" s="1"/>
  <c r="W97" i="29"/>
  <c r="BE97" i="29" s="1"/>
  <c r="BD97" i="29" s="1"/>
  <c r="BA97" i="29" s="1"/>
  <c r="BK97" i="29" s="1"/>
  <c r="T97" i="23"/>
  <c r="BB97" i="23" s="1"/>
  <c r="BA97" i="23" s="1"/>
  <c r="AX97" i="23" s="1"/>
  <c r="BK97" i="23" s="1"/>
  <c r="S97" i="104"/>
  <c r="BA97" i="104" s="1"/>
  <c r="AZ97" i="104" s="1"/>
  <c r="AW97" i="104" s="1"/>
  <c r="BJ97" i="104" s="1"/>
  <c r="T97" i="21"/>
  <c r="BA97" i="21" s="1"/>
  <c r="AX97" i="21" s="1"/>
  <c r="BH97" i="21" s="1"/>
  <c r="S97" i="25"/>
  <c r="BA97" i="25" s="1"/>
  <c r="AZ97" i="25" s="1"/>
  <c r="AW97" i="25" s="1"/>
  <c r="BH97" i="25" s="1"/>
  <c r="T97" i="133"/>
  <c r="BB97" i="133" s="1"/>
  <c r="T97" i="20"/>
  <c r="BB97" i="20" s="1"/>
  <c r="BA97" i="20" s="1"/>
  <c r="W97" i="18"/>
  <c r="BE97" i="18" s="1"/>
  <c r="BA97" i="18" s="1"/>
  <c r="BO97" i="18" s="1"/>
  <c r="T97" i="63"/>
  <c r="BD97" i="63" s="1"/>
  <c r="BC97" i="63" s="1"/>
  <c r="AZ97" i="63" s="1"/>
  <c r="BL97" i="63" s="1"/>
  <c r="V97" i="3"/>
  <c r="BB97" i="3" s="1"/>
  <c r="BA97" i="3" s="1"/>
  <c r="AX97" i="3" s="1"/>
  <c r="BI97" i="3" s="1"/>
  <c r="B130" i="1"/>
  <c r="B130" i="23"/>
  <c r="G130" i="23" s="1"/>
  <c r="B130" i="103"/>
  <c r="G130" i="103" s="1"/>
  <c r="K130" i="103" s="1"/>
  <c r="Q130" i="103" s="1"/>
  <c r="B130" i="101"/>
  <c r="G130" i="101" s="1"/>
  <c r="B130" i="133"/>
  <c r="G130" i="133" s="1"/>
  <c r="B130" i="131"/>
  <c r="G130" i="131" s="1"/>
  <c r="B130" i="29"/>
  <c r="G130" i="29" s="1"/>
  <c r="B130" i="314"/>
  <c r="G130" i="314" s="1"/>
  <c r="B130" i="20"/>
  <c r="G130" i="20" s="1"/>
  <c r="B130" i="19"/>
  <c r="G130" i="19" s="1"/>
  <c r="B130" i="3"/>
  <c r="G130" i="3" s="1"/>
  <c r="B130" i="18"/>
  <c r="G130" i="18" s="1"/>
  <c r="B130" i="323"/>
  <c r="G130" i="323" s="1"/>
  <c r="B130" i="26"/>
  <c r="G130" i="26" s="1"/>
  <c r="B130" i="51"/>
  <c r="G130" i="51" s="1"/>
  <c r="B130" i="102"/>
  <c r="G130" i="102" s="1"/>
  <c r="B130" i="63"/>
  <c r="G130" i="63" s="1"/>
  <c r="B130" i="21"/>
  <c r="G130" i="21" s="1"/>
  <c r="B130" i="25"/>
  <c r="G130" i="25" s="1"/>
  <c r="B130" i="27"/>
  <c r="G130" i="27" s="1"/>
  <c r="BB143" i="4"/>
  <c r="BC143" i="4" s="1"/>
  <c r="D30" i="464"/>
  <c r="D31" i="464"/>
  <c r="G31" i="464"/>
  <c r="G30" i="464"/>
  <c r="D31" i="500"/>
  <c r="E130" i="16"/>
  <c r="BA105" i="4"/>
  <c r="AX105" i="4" s="1"/>
  <c r="E143" i="4"/>
  <c r="D143" i="4"/>
  <c r="G143" i="4" l="1"/>
  <c r="BG143" i="4"/>
  <c r="H143" i="4"/>
  <c r="L143" i="4" s="1"/>
  <c r="L197" i="4" s="1"/>
  <c r="BI143" i="4"/>
  <c r="I143" i="4"/>
  <c r="M143" i="4" s="1"/>
  <c r="BH143" i="4"/>
  <c r="J143" i="4"/>
  <c r="N143" i="4" s="1"/>
  <c r="BJ143" i="4"/>
  <c r="K130" i="1"/>
  <c r="Q130" i="1" s="1"/>
  <c r="N31" i="464"/>
  <c r="K130" i="25"/>
  <c r="Q130" i="25" s="1"/>
  <c r="K130" i="3"/>
  <c r="Q130" i="3" s="1"/>
  <c r="K130" i="20"/>
  <c r="Q130" i="20" s="1"/>
  <c r="K130" i="23"/>
  <c r="Q130" i="23" s="1"/>
  <c r="K130" i="102"/>
  <c r="Q130" i="102" s="1"/>
  <c r="U130" i="102" s="1"/>
  <c r="AC130" i="102" s="1"/>
  <c r="K130" i="314"/>
  <c r="Q130" i="314" s="1"/>
  <c r="G130" i="129"/>
  <c r="K130" i="51"/>
  <c r="Q130" i="51" s="1"/>
  <c r="U130" i="51" s="1"/>
  <c r="AD130" i="51" s="1"/>
  <c r="AE130" i="51" s="1"/>
  <c r="AF130" i="51" s="1"/>
  <c r="K130" i="29"/>
  <c r="Q130" i="29" s="1"/>
  <c r="K130" i="21"/>
  <c r="Q130" i="21" s="1"/>
  <c r="K130" i="19"/>
  <c r="Q130" i="19" s="1"/>
  <c r="K130" i="63"/>
  <c r="Q130" i="63" s="1"/>
  <c r="K130" i="26"/>
  <c r="Q130" i="26" s="1"/>
  <c r="K130" i="131"/>
  <c r="Q130" i="131" s="1"/>
  <c r="AU97" i="314"/>
  <c r="AT97" i="314" s="1"/>
  <c r="AQ97" i="314" s="1"/>
  <c r="BB97" i="314" s="1"/>
  <c r="K130" i="104"/>
  <c r="K130" i="323"/>
  <c r="Q130" i="323" s="1"/>
  <c r="K130" i="133"/>
  <c r="Q130" i="133" s="1"/>
  <c r="K130" i="27"/>
  <c r="Q130" i="27" s="1"/>
  <c r="K130" i="18"/>
  <c r="Q130" i="18" s="1"/>
  <c r="K130" i="101"/>
  <c r="Q130" i="101" s="1"/>
  <c r="BI97" i="1"/>
  <c r="AD58" i="542"/>
  <c r="X58" i="542"/>
  <c r="AK143" i="4" s="1"/>
  <c r="BM97" i="103"/>
  <c r="BC97" i="103"/>
  <c r="AZ97" i="103" s="1"/>
  <c r="BP97" i="103" s="1"/>
  <c r="BA97" i="133"/>
  <c r="AX97" i="133" s="1"/>
  <c r="BL97" i="133" s="1"/>
  <c r="BQ97" i="102"/>
  <c r="BT97" i="102" s="1"/>
  <c r="BU97" i="102" s="1"/>
  <c r="BA97" i="102"/>
  <c r="AZ97" i="102" s="1"/>
  <c r="AW97" i="102" s="1"/>
  <c r="BG97" i="102" s="1"/>
  <c r="AY97" i="22"/>
  <c r="N30" i="464"/>
  <c r="S143" i="4"/>
  <c r="W143" i="4" s="1"/>
  <c r="AA143" i="4" s="1"/>
  <c r="AM143" i="4"/>
  <c r="AN143" i="4"/>
  <c r="T143" i="4"/>
  <c r="X143" i="4" s="1"/>
  <c r="AB143" i="4" s="1"/>
  <c r="H130" i="16"/>
  <c r="M130" i="16" s="1"/>
  <c r="Q130" i="16" s="1"/>
  <c r="F130" i="16"/>
  <c r="K130" i="16" s="1"/>
  <c r="O130" i="16" s="1"/>
  <c r="R143" i="4" l="1"/>
  <c r="AJ130" i="3"/>
  <c r="D130" i="3" s="1"/>
  <c r="I130" i="3" s="1"/>
  <c r="AI130" i="129"/>
  <c r="D130" i="129" s="1"/>
  <c r="AL130" i="51"/>
  <c r="D130" i="51" s="1"/>
  <c r="I130" i="51" s="1"/>
  <c r="AL130" i="29"/>
  <c r="D130" i="29" s="1"/>
  <c r="I130" i="29" s="1"/>
  <c r="AL130" i="63"/>
  <c r="D130" i="63" s="1"/>
  <c r="I130" i="63" s="1"/>
  <c r="AI130" i="22"/>
  <c r="AL130" i="323"/>
  <c r="D130" i="323" s="1"/>
  <c r="I130" i="323" s="1"/>
  <c r="AL130" i="19"/>
  <c r="D130" i="19" s="1"/>
  <c r="I130" i="19" s="1"/>
  <c r="AL130" i="18"/>
  <c r="D130" i="18" s="1"/>
  <c r="I130" i="18" s="1"/>
  <c r="AK130" i="314"/>
  <c r="D130" i="314" s="1"/>
  <c r="I130" i="314" s="1"/>
  <c r="AL130" i="1"/>
  <c r="D130" i="1" s="1"/>
  <c r="AL130" i="131"/>
  <c r="D130" i="131" s="1"/>
  <c r="I130" i="131" s="1"/>
  <c r="AL130" i="21"/>
  <c r="D130" i="21" s="1"/>
  <c r="I130" i="21" s="1"/>
  <c r="AK130" i="20"/>
  <c r="D130" i="20" s="1"/>
  <c r="I130" i="20" s="1"/>
  <c r="AL130" i="102"/>
  <c r="D130" i="102" s="1"/>
  <c r="I130" i="102" s="1"/>
  <c r="AL130" i="133"/>
  <c r="D130" i="133" s="1"/>
  <c r="AL130" i="23"/>
  <c r="D130" i="23" s="1"/>
  <c r="I130" i="23" s="1"/>
  <c r="AL130" i="25"/>
  <c r="D130" i="25" s="1"/>
  <c r="I130" i="25" s="1"/>
  <c r="AL130" i="101"/>
  <c r="D130" i="101" s="1"/>
  <c r="I130" i="101" s="1"/>
  <c r="AL130" i="26"/>
  <c r="D130" i="26" s="1"/>
  <c r="I130" i="26" s="1"/>
  <c r="AL130" i="27"/>
  <c r="D130" i="27" s="1"/>
  <c r="I130" i="27" s="1"/>
  <c r="AL130" i="103"/>
  <c r="D130" i="103" s="1"/>
  <c r="I130" i="103" s="1"/>
  <c r="M130" i="103" s="1"/>
  <c r="AK130" i="104"/>
  <c r="AJ143" i="4"/>
  <c r="AL143" i="4"/>
  <c r="AX97" i="129"/>
  <c r="AU97" i="129" s="1"/>
  <c r="BG97" i="129" s="1"/>
  <c r="AX97" i="22"/>
  <c r="AU97" i="22" s="1"/>
  <c r="BG97" i="22" s="1"/>
  <c r="V130" i="16"/>
  <c r="Z130" i="16" s="1"/>
  <c r="F168" i="16" s="1"/>
  <c r="N168" i="16" s="1"/>
  <c r="T130" i="16"/>
  <c r="X130" i="16" s="1"/>
  <c r="D168" i="16" s="1"/>
  <c r="L168" i="16" s="1"/>
  <c r="AL130" i="104"/>
  <c r="E130" i="104" s="1"/>
  <c r="J130" i="104" s="1"/>
  <c r="V143" i="4" l="1"/>
  <c r="R197" i="4"/>
  <c r="V197" i="4" s="1"/>
  <c r="Z197" i="4" s="1"/>
  <c r="I130" i="129"/>
  <c r="M130" i="129" s="1"/>
  <c r="S130" i="129" s="1"/>
  <c r="I130" i="1"/>
  <c r="M130" i="1" s="1"/>
  <c r="S130" i="1" s="1"/>
  <c r="AH130" i="22"/>
  <c r="C130" i="22" s="1"/>
  <c r="H130" i="22" s="1"/>
  <c r="AK130" i="1"/>
  <c r="C130" i="1" s="1"/>
  <c r="H130" i="1" s="1"/>
  <c r="AH130" i="129"/>
  <c r="AK130" i="51"/>
  <c r="AK130" i="29"/>
  <c r="C130" i="29" s="1"/>
  <c r="H130" i="29" s="1"/>
  <c r="AK130" i="63"/>
  <c r="C130" i="63" s="1"/>
  <c r="H130" i="63" s="1"/>
  <c r="AK130" i="18"/>
  <c r="H130" i="18" s="1"/>
  <c r="AJ130" i="20"/>
  <c r="C130" i="20" s="1"/>
  <c r="H130" i="20" s="1"/>
  <c r="AK130" i="323"/>
  <c r="C130" i="323" s="1"/>
  <c r="H130" i="323" s="1"/>
  <c r="AK130" i="19"/>
  <c r="C130" i="19" s="1"/>
  <c r="H130" i="19" s="1"/>
  <c r="AI130" i="3"/>
  <c r="AK130" i="21"/>
  <c r="C130" i="21" s="1"/>
  <c r="H130" i="21" s="1"/>
  <c r="AJ130" i="314"/>
  <c r="C130" i="314" s="1"/>
  <c r="AK130" i="23"/>
  <c r="C130" i="23" s="1"/>
  <c r="H130" i="23" s="1"/>
  <c r="AK130" i="25"/>
  <c r="C130" i="25" s="1"/>
  <c r="H130" i="25" s="1"/>
  <c r="AK130" i="101"/>
  <c r="C130" i="101" s="1"/>
  <c r="H130" i="101" s="1"/>
  <c r="AK130" i="102"/>
  <c r="C130" i="102" s="1"/>
  <c r="H130" i="102" s="1"/>
  <c r="AK130" i="26"/>
  <c r="C130" i="26" s="1"/>
  <c r="H130" i="26" s="1"/>
  <c r="AK130" i="133"/>
  <c r="AK130" i="131"/>
  <c r="C130" i="131" s="1"/>
  <c r="H130" i="131" s="1"/>
  <c r="AK130" i="27"/>
  <c r="C130" i="27" s="1"/>
  <c r="H130" i="27" s="1"/>
  <c r="D130" i="22"/>
  <c r="I130" i="22" s="1"/>
  <c r="B130" i="22"/>
  <c r="G130" i="22" s="1"/>
  <c r="N130" i="104"/>
  <c r="T130" i="104" s="1"/>
  <c r="X130" i="104" s="1"/>
  <c r="AJ130" i="22"/>
  <c r="E130" i="22" s="1"/>
  <c r="J130" i="22" s="1"/>
  <c r="AJ130" i="129"/>
  <c r="E130" i="129" s="1"/>
  <c r="AM130" i="1"/>
  <c r="E130" i="1" s="1"/>
  <c r="AM130" i="323"/>
  <c r="E130" i="323" s="1"/>
  <c r="AM130" i="51"/>
  <c r="E130" i="51" s="1"/>
  <c r="AM130" i="29"/>
  <c r="E130" i="29" s="1"/>
  <c r="AK130" i="3"/>
  <c r="E130" i="3" s="1"/>
  <c r="AM130" i="21"/>
  <c r="E130" i="21" s="1"/>
  <c r="AM130" i="18"/>
  <c r="E130" i="18" s="1"/>
  <c r="AL130" i="20"/>
  <c r="E130" i="20" s="1"/>
  <c r="AM130" i="63"/>
  <c r="E130" i="63" s="1"/>
  <c r="AM130" i="23"/>
  <c r="E130" i="23" s="1"/>
  <c r="AL130" i="314"/>
  <c r="E130" i="314" s="1"/>
  <c r="AM130" i="102"/>
  <c r="E130" i="102" s="1"/>
  <c r="AM130" i="19"/>
  <c r="E130" i="19" s="1"/>
  <c r="AM130" i="133"/>
  <c r="AM130" i="131"/>
  <c r="E130" i="131" s="1"/>
  <c r="AM130" i="27"/>
  <c r="E130" i="27" s="1"/>
  <c r="AM130" i="26"/>
  <c r="E130" i="26" s="1"/>
  <c r="AM130" i="103"/>
  <c r="E130" i="103" s="1"/>
  <c r="AM130" i="25"/>
  <c r="E130" i="25" s="1"/>
  <c r="AM130" i="101"/>
  <c r="E130" i="101" s="1"/>
  <c r="AK130" i="103"/>
  <c r="C130" i="103" s="1"/>
  <c r="H130" i="103" s="1"/>
  <c r="L130" i="103" s="1"/>
  <c r="AJ130" i="104"/>
  <c r="C130" i="104" s="1"/>
  <c r="H130" i="104" s="1"/>
  <c r="BC144" i="4"/>
  <c r="N131" i="3"/>
  <c r="N131" i="323"/>
  <c r="N131" i="314"/>
  <c r="J131" i="133"/>
  <c r="N131" i="101"/>
  <c r="N131" i="29"/>
  <c r="N131" i="26"/>
  <c r="N131" i="23"/>
  <c r="N131" i="18"/>
  <c r="N131" i="20"/>
  <c r="N131" i="19"/>
  <c r="N131" i="131"/>
  <c r="N131" i="25"/>
  <c r="N131" i="63"/>
  <c r="N131" i="102"/>
  <c r="N131" i="51"/>
  <c r="N131" i="27"/>
  <c r="N131" i="1"/>
  <c r="AL131" i="104"/>
  <c r="E131" i="104" s="1"/>
  <c r="J131" i="104" s="1"/>
  <c r="E144" i="4"/>
  <c r="E198" i="4" s="1"/>
  <c r="J198" i="4" s="1"/>
  <c r="N131" i="21"/>
  <c r="C130" i="51" l="1"/>
  <c r="H130" i="51" s="1"/>
  <c r="L130" i="51" s="1"/>
  <c r="C130" i="133"/>
  <c r="H130" i="133" s="1"/>
  <c r="L130" i="133" s="1"/>
  <c r="C130" i="3"/>
  <c r="H130" i="3" s="1"/>
  <c r="L130" i="3" s="1"/>
  <c r="J130" i="133"/>
  <c r="N130" i="133" s="1"/>
  <c r="T130" i="133" s="1"/>
  <c r="X130" i="133" s="1"/>
  <c r="AB130" i="133" s="1"/>
  <c r="E130" i="133"/>
  <c r="Z143" i="4"/>
  <c r="Y89" i="639" s="1"/>
  <c r="W130" i="1"/>
  <c r="AA130" i="1" s="1"/>
  <c r="AC14" i="639"/>
  <c r="W130" i="129"/>
  <c r="AA130" i="129" s="1"/>
  <c r="L14" i="639" s="1"/>
  <c r="AM14" i="639"/>
  <c r="J144" i="4"/>
  <c r="N144" i="4" s="1"/>
  <c r="BJ144" i="4"/>
  <c r="J130" i="103"/>
  <c r="J130" i="23"/>
  <c r="N130" i="23" s="1"/>
  <c r="T130" i="23" s="1"/>
  <c r="X130" i="23" s="1"/>
  <c r="J130" i="323"/>
  <c r="N130" i="323" s="1"/>
  <c r="T130" i="323" s="1"/>
  <c r="X130" i="323" s="1"/>
  <c r="H130" i="314"/>
  <c r="L130" i="314" s="1"/>
  <c r="J130" i="27"/>
  <c r="N130" i="27" s="1"/>
  <c r="T130" i="27" s="1"/>
  <c r="X130" i="27" s="1"/>
  <c r="J130" i="20"/>
  <c r="N130" i="20" s="1"/>
  <c r="T130" i="20" s="1"/>
  <c r="X130" i="20" s="1"/>
  <c r="J130" i="129"/>
  <c r="N130" i="129" s="1"/>
  <c r="T130" i="129" s="1"/>
  <c r="X130" i="129" s="1"/>
  <c r="AB130" i="129" s="1"/>
  <c r="J130" i="131"/>
  <c r="N130" i="131" s="1"/>
  <c r="T130" i="131" s="1"/>
  <c r="X130" i="131" s="1"/>
  <c r="AB130" i="131" s="1"/>
  <c r="J130" i="18"/>
  <c r="N130" i="18" s="1"/>
  <c r="T130" i="18" s="1"/>
  <c r="X130" i="18" s="1"/>
  <c r="N130" i="22"/>
  <c r="T130" i="22" s="1"/>
  <c r="X130" i="22" s="1"/>
  <c r="AB130" i="22" s="1"/>
  <c r="J130" i="21"/>
  <c r="N130" i="21" s="1"/>
  <c r="T130" i="21" s="1"/>
  <c r="X130" i="21" s="1"/>
  <c r="L130" i="22"/>
  <c r="R130" i="22" s="1"/>
  <c r="V130" i="22" s="1"/>
  <c r="Z130" i="22" s="1"/>
  <c r="M89" i="639" s="1"/>
  <c r="J130" i="63"/>
  <c r="N130" i="63" s="1"/>
  <c r="T130" i="63" s="1"/>
  <c r="X130" i="63" s="1"/>
  <c r="J130" i="19"/>
  <c r="N130" i="19" s="1"/>
  <c r="T130" i="19" s="1"/>
  <c r="X130" i="19" s="1"/>
  <c r="J130" i="3"/>
  <c r="N130" i="3" s="1"/>
  <c r="T130" i="3" s="1"/>
  <c r="X130" i="3" s="1"/>
  <c r="J130" i="26"/>
  <c r="N130" i="26" s="1"/>
  <c r="T130" i="26" s="1"/>
  <c r="X130" i="26" s="1"/>
  <c r="AB130" i="26" s="1"/>
  <c r="J130" i="101"/>
  <c r="N130" i="101" s="1"/>
  <c r="T130" i="101" s="1"/>
  <c r="X130" i="101" s="1"/>
  <c r="J130" i="102"/>
  <c r="N130" i="102" s="1"/>
  <c r="T130" i="102" s="1"/>
  <c r="X130" i="102" s="1"/>
  <c r="AB130" i="102" s="1"/>
  <c r="J130" i="29"/>
  <c r="N130" i="29" s="1"/>
  <c r="T130" i="29" s="1"/>
  <c r="X130" i="29" s="1"/>
  <c r="J130" i="25"/>
  <c r="N130" i="25" s="1"/>
  <c r="T130" i="25" s="1"/>
  <c r="X130" i="25" s="1"/>
  <c r="J130" i="314"/>
  <c r="N130" i="314" s="1"/>
  <c r="T130" i="314" s="1"/>
  <c r="X130" i="314" s="1"/>
  <c r="J130" i="51"/>
  <c r="N130" i="51" s="1"/>
  <c r="T130" i="51" s="1"/>
  <c r="X130" i="51" s="1"/>
  <c r="AB130" i="51" s="1"/>
  <c r="M130" i="22"/>
  <c r="S130" i="22" s="1"/>
  <c r="W130" i="22" s="1"/>
  <c r="AA130" i="22" s="1"/>
  <c r="M14" i="639" s="1"/>
  <c r="J130" i="1"/>
  <c r="N130" i="1" s="1"/>
  <c r="T130" i="1" s="1"/>
  <c r="X130" i="1" s="1"/>
  <c r="L130" i="1"/>
  <c r="R130" i="1" s="1"/>
  <c r="V130" i="1" s="1"/>
  <c r="N131" i="104"/>
  <c r="T131" i="104" s="1"/>
  <c r="X131" i="104" s="1"/>
  <c r="N131" i="133"/>
  <c r="T131" i="133" s="1"/>
  <c r="X131" i="133" s="1"/>
  <c r="B130" i="129"/>
  <c r="C130" i="129"/>
  <c r="AB130" i="104"/>
  <c r="AF130" i="104"/>
  <c r="T131" i="1"/>
  <c r="X131" i="1" s="1"/>
  <c r="M130" i="3"/>
  <c r="T131" i="27"/>
  <c r="X131" i="27" s="1"/>
  <c r="T131" i="18"/>
  <c r="X131" i="18" s="1"/>
  <c r="T131" i="3"/>
  <c r="X131" i="3" s="1"/>
  <c r="M130" i="51"/>
  <c r="L130" i="18"/>
  <c r="M130" i="18"/>
  <c r="I130" i="133"/>
  <c r="T131" i="20"/>
  <c r="X131" i="20" s="1"/>
  <c r="BB144" i="4"/>
  <c r="H131" i="133"/>
  <c r="AK131" i="103"/>
  <c r="C131" i="103" s="1"/>
  <c r="L131" i="1"/>
  <c r="AJ131" i="104"/>
  <c r="C131" i="104" s="1"/>
  <c r="T131" i="23"/>
  <c r="X131" i="23" s="1"/>
  <c r="AB131" i="23" s="1"/>
  <c r="M130" i="27"/>
  <c r="L130" i="27"/>
  <c r="L130" i="21"/>
  <c r="M130" i="21"/>
  <c r="M130" i="314"/>
  <c r="T131" i="51"/>
  <c r="X131" i="51" s="1"/>
  <c r="T131" i="103"/>
  <c r="X131" i="103" s="1"/>
  <c r="T131" i="102"/>
  <c r="X131" i="102" s="1"/>
  <c r="T131" i="26"/>
  <c r="X131" i="26" s="1"/>
  <c r="L130" i="20"/>
  <c r="M130" i="20"/>
  <c r="M130" i="26"/>
  <c r="L130" i="26"/>
  <c r="T131" i="323"/>
  <c r="X131" i="323" s="1"/>
  <c r="T131" i="63"/>
  <c r="X131" i="63" s="1"/>
  <c r="T131" i="29"/>
  <c r="X131" i="29" s="1"/>
  <c r="M130" i="25"/>
  <c r="L130" i="25"/>
  <c r="M130" i="63"/>
  <c r="L130" i="63"/>
  <c r="L130" i="323"/>
  <c r="M130" i="323"/>
  <c r="T131" i="25"/>
  <c r="X131" i="25" s="1"/>
  <c r="T131" i="101"/>
  <c r="X131" i="101" s="1"/>
  <c r="M130" i="131"/>
  <c r="L130" i="131"/>
  <c r="L130" i="19"/>
  <c r="M130" i="19"/>
  <c r="L130" i="29"/>
  <c r="M130" i="29"/>
  <c r="T131" i="21"/>
  <c r="X131" i="21" s="1"/>
  <c r="BC145" i="4"/>
  <c r="N132" i="323"/>
  <c r="J132" i="133"/>
  <c r="N132" i="101"/>
  <c r="N132" i="26"/>
  <c r="N132" i="314"/>
  <c r="N132" i="21"/>
  <c r="N132" i="18"/>
  <c r="N132" i="23"/>
  <c r="N132" i="29"/>
  <c r="N132" i="3"/>
  <c r="N132" i="20"/>
  <c r="N132" i="131"/>
  <c r="N132" i="63"/>
  <c r="N132" i="19"/>
  <c r="N132" i="51"/>
  <c r="N132" i="25"/>
  <c r="N132" i="102"/>
  <c r="N132" i="1"/>
  <c r="AL132" i="104"/>
  <c r="E132" i="104" s="1"/>
  <c r="J132" i="104" s="1"/>
  <c r="J145" i="4"/>
  <c r="N145" i="4" s="1"/>
  <c r="N199" i="4" s="1"/>
  <c r="N132" i="27"/>
  <c r="T131" i="131"/>
  <c r="X131" i="131" s="1"/>
  <c r="L130" i="104"/>
  <c r="D130" i="104"/>
  <c r="I130" i="104" s="1"/>
  <c r="T131" i="19"/>
  <c r="X131" i="19" s="1"/>
  <c r="T131" i="314"/>
  <c r="X131" i="314" s="1"/>
  <c r="L130" i="102"/>
  <c r="M130" i="102"/>
  <c r="M130" i="23"/>
  <c r="L130" i="23"/>
  <c r="L130" i="101"/>
  <c r="M130" i="101"/>
  <c r="L28" i="639" l="1"/>
  <c r="H131" i="103"/>
  <c r="L131" i="103" s="1"/>
  <c r="H131" i="16"/>
  <c r="M131" i="16" s="1"/>
  <c r="Q131" i="16" s="1"/>
  <c r="V131" i="16" s="1"/>
  <c r="Z131" i="16" s="1"/>
  <c r="F169" i="16" s="1"/>
  <c r="N169" i="16" s="1"/>
  <c r="N198" i="4"/>
  <c r="H131" i="104"/>
  <c r="L131" i="104" s="1"/>
  <c r="G19" i="641"/>
  <c r="G20" i="641" s="1"/>
  <c r="F17" i="641"/>
  <c r="AF130" i="1"/>
  <c r="D12" i="491"/>
  <c r="B14" i="639"/>
  <c r="N130" i="103"/>
  <c r="T130" i="103" s="1"/>
  <c r="X130" i="103" s="1"/>
  <c r="M28" i="639"/>
  <c r="M31" i="639"/>
  <c r="M33" i="639" s="1"/>
  <c r="M30" i="639"/>
  <c r="M29" i="639"/>
  <c r="L31" i="639"/>
  <c r="L33" i="639" s="1"/>
  <c r="L30" i="639"/>
  <c r="L29" i="639"/>
  <c r="M106" i="639"/>
  <c r="M108" i="639" s="1"/>
  <c r="M105" i="639"/>
  <c r="M104" i="639"/>
  <c r="T144" i="4"/>
  <c r="AB130" i="25"/>
  <c r="AF130" i="25"/>
  <c r="AF130" i="63"/>
  <c r="AB130" i="63"/>
  <c r="AF130" i="29"/>
  <c r="AB130" i="29"/>
  <c r="AF130" i="27"/>
  <c r="AB130" i="27"/>
  <c r="AB130" i="20"/>
  <c r="AF130" i="20"/>
  <c r="AF130" i="101"/>
  <c r="AB130" i="101"/>
  <c r="AB130" i="21"/>
  <c r="AF130" i="21"/>
  <c r="AF130" i="18"/>
  <c r="AB130" i="18"/>
  <c r="AF130" i="323"/>
  <c r="AB130" i="323"/>
  <c r="AF130" i="314"/>
  <c r="AB130" i="314"/>
  <c r="AF130" i="3"/>
  <c r="AB130" i="3"/>
  <c r="AB130" i="23"/>
  <c r="AF130" i="23"/>
  <c r="AB130" i="19"/>
  <c r="AF130" i="19"/>
  <c r="H130" i="129"/>
  <c r="L130" i="129" s="1"/>
  <c r="AF130" i="26"/>
  <c r="AF130" i="131"/>
  <c r="AE130" i="1"/>
  <c r="Z130" i="1"/>
  <c r="AG130" i="1"/>
  <c r="AB130" i="1"/>
  <c r="E12" i="491" s="1"/>
  <c r="M130" i="104"/>
  <c r="S130" i="104" s="1"/>
  <c r="AF130" i="133"/>
  <c r="M130" i="133"/>
  <c r="S130" i="133" s="1"/>
  <c r="N132" i="104"/>
  <c r="T132" i="104" s="1"/>
  <c r="X132" i="104" s="1"/>
  <c r="N132" i="133"/>
  <c r="T132" i="133" s="1"/>
  <c r="X132" i="133" s="1"/>
  <c r="AB131" i="104"/>
  <c r="AF131" i="104"/>
  <c r="AB131" i="27"/>
  <c r="AF131" i="27"/>
  <c r="AB131" i="20"/>
  <c r="AF131" i="20"/>
  <c r="AF131" i="29"/>
  <c r="AB131" i="29"/>
  <c r="AB131" i="101"/>
  <c r="AF131" i="101"/>
  <c r="AB131" i="26"/>
  <c r="AF131" i="26"/>
  <c r="AF131" i="323"/>
  <c r="AB131" i="323"/>
  <c r="AF131" i="23"/>
  <c r="AF131" i="3"/>
  <c r="AB131" i="3"/>
  <c r="AB131" i="314"/>
  <c r="AF131" i="314"/>
  <c r="AB131" i="1"/>
  <c r="E13" i="491" s="1"/>
  <c r="AG131" i="1"/>
  <c r="T132" i="1"/>
  <c r="X132" i="1" s="1"/>
  <c r="T132" i="26"/>
  <c r="X132" i="26" s="1"/>
  <c r="AF131" i="102"/>
  <c r="AB131" i="102"/>
  <c r="L131" i="51"/>
  <c r="R131" i="51" s="1"/>
  <c r="M131" i="51"/>
  <c r="S130" i="103"/>
  <c r="T132" i="102"/>
  <c r="X132" i="102" s="1"/>
  <c r="T132" i="20"/>
  <c r="X132" i="20" s="1"/>
  <c r="T132" i="101"/>
  <c r="X132" i="101" s="1"/>
  <c r="R130" i="25"/>
  <c r="V130" i="25" s="1"/>
  <c r="R130" i="26"/>
  <c r="V130" i="26" s="1"/>
  <c r="AF131" i="103"/>
  <c r="AB131" i="103"/>
  <c r="L131" i="21"/>
  <c r="M131" i="21"/>
  <c r="L131" i="3"/>
  <c r="M131" i="3"/>
  <c r="R130" i="133"/>
  <c r="V130" i="133" s="1"/>
  <c r="S130" i="23"/>
  <c r="W130" i="23" s="1"/>
  <c r="AA130" i="23" s="1"/>
  <c r="O14" i="639" s="1"/>
  <c r="T132" i="131"/>
  <c r="X132" i="131" s="1"/>
  <c r="R130" i="29"/>
  <c r="V130" i="29" s="1"/>
  <c r="S130" i="63"/>
  <c r="S130" i="27"/>
  <c r="L131" i="19"/>
  <c r="M131" i="19"/>
  <c r="AB131" i="18"/>
  <c r="AF131" i="18"/>
  <c r="S130" i="102"/>
  <c r="R130" i="102"/>
  <c r="V130" i="102" s="1"/>
  <c r="R130" i="103"/>
  <c r="V130" i="103" s="1"/>
  <c r="BC146" i="4"/>
  <c r="J133" i="133"/>
  <c r="N133" i="314"/>
  <c r="N133" i="323"/>
  <c r="N133" i="101"/>
  <c r="N133" i="20"/>
  <c r="N133" i="26"/>
  <c r="N133" i="29"/>
  <c r="N133" i="18"/>
  <c r="N133" i="25"/>
  <c r="N133" i="19"/>
  <c r="N133" i="63"/>
  <c r="N133" i="23"/>
  <c r="N133" i="27"/>
  <c r="N133" i="21"/>
  <c r="N133" i="1"/>
  <c r="N133" i="131"/>
  <c r="N133" i="51"/>
  <c r="AL133" i="104"/>
  <c r="E133" i="104" s="1"/>
  <c r="J133" i="104" s="1"/>
  <c r="N133" i="3"/>
  <c r="J146" i="4"/>
  <c r="N146" i="4" s="1"/>
  <c r="N200" i="4" s="1"/>
  <c r="N133" i="102"/>
  <c r="T132" i="3"/>
  <c r="X132" i="3" s="1"/>
  <c r="S130" i="25"/>
  <c r="S130" i="26"/>
  <c r="M131" i="63"/>
  <c r="L131" i="63"/>
  <c r="S130" i="18"/>
  <c r="S130" i="19"/>
  <c r="AB131" i="25"/>
  <c r="AF131" i="25"/>
  <c r="S130" i="20"/>
  <c r="AB131" i="51"/>
  <c r="S130" i="314"/>
  <c r="L131" i="29"/>
  <c r="M131" i="29"/>
  <c r="L131" i="27"/>
  <c r="M131" i="27"/>
  <c r="L131" i="26"/>
  <c r="M131" i="26"/>
  <c r="R130" i="18"/>
  <c r="V130" i="18" s="1"/>
  <c r="R130" i="104"/>
  <c r="V130" i="104" s="1"/>
  <c r="BB145" i="4"/>
  <c r="H132" i="133"/>
  <c r="AK132" i="103"/>
  <c r="C132" i="103" s="1"/>
  <c r="H132" i="103" s="1"/>
  <c r="L132" i="103" s="1"/>
  <c r="L132" i="1"/>
  <c r="AJ132" i="104"/>
  <c r="C132" i="104" s="1"/>
  <c r="H132" i="104" s="1"/>
  <c r="T132" i="25"/>
  <c r="X132" i="25" s="1"/>
  <c r="T132" i="23"/>
  <c r="X132" i="23" s="1"/>
  <c r="AB132" i="23" s="1"/>
  <c r="R130" i="19"/>
  <c r="V130" i="19" s="1"/>
  <c r="R130" i="20"/>
  <c r="V130" i="20" s="1"/>
  <c r="R130" i="314"/>
  <c r="V130" i="314" s="1"/>
  <c r="I144" i="4"/>
  <c r="M144" i="4" s="1"/>
  <c r="M198" i="4" s="1"/>
  <c r="H144" i="4"/>
  <c r="L144" i="4" s="1"/>
  <c r="L198" i="4" s="1"/>
  <c r="M131" i="23"/>
  <c r="L131" i="23"/>
  <c r="L131" i="133"/>
  <c r="I131" i="133"/>
  <c r="R130" i="51"/>
  <c r="V130" i="51" s="1"/>
  <c r="Z130" i="51" s="1"/>
  <c r="R130" i="3"/>
  <c r="V130" i="3" s="1"/>
  <c r="T132" i="103"/>
  <c r="X132" i="103" s="1"/>
  <c r="T132" i="323"/>
  <c r="X132" i="323" s="1"/>
  <c r="T132" i="51"/>
  <c r="X132" i="51" s="1"/>
  <c r="R130" i="131"/>
  <c r="V130" i="131" s="1"/>
  <c r="S130" i="21"/>
  <c r="S130" i="3"/>
  <c r="T132" i="29"/>
  <c r="X132" i="29" s="1"/>
  <c r="S130" i="101"/>
  <c r="AB131" i="19"/>
  <c r="AF131" i="19"/>
  <c r="AF131" i="133"/>
  <c r="AB131" i="133"/>
  <c r="T132" i="27"/>
  <c r="X132" i="27" s="1"/>
  <c r="T132" i="18"/>
  <c r="X132" i="18" s="1"/>
  <c r="AB131" i="21"/>
  <c r="AF131" i="21"/>
  <c r="S130" i="323"/>
  <c r="AF131" i="63"/>
  <c r="AB131" i="63"/>
  <c r="M131" i="104"/>
  <c r="L131" i="20"/>
  <c r="M131" i="20"/>
  <c r="M131" i="101"/>
  <c r="L131" i="101"/>
  <c r="S130" i="51"/>
  <c r="R130" i="101"/>
  <c r="V130" i="101" s="1"/>
  <c r="T145" i="4"/>
  <c r="H132" i="16"/>
  <c r="M132" i="16" s="1"/>
  <c r="Q132" i="16" s="1"/>
  <c r="T132" i="19"/>
  <c r="X132" i="19" s="1"/>
  <c r="T132" i="21"/>
  <c r="X132" i="21" s="1"/>
  <c r="S130" i="131"/>
  <c r="R130" i="323"/>
  <c r="V130" i="323" s="1"/>
  <c r="R130" i="21"/>
  <c r="V130" i="21" s="1"/>
  <c r="L131" i="102"/>
  <c r="M131" i="102"/>
  <c r="L131" i="25"/>
  <c r="M131" i="25"/>
  <c r="L131" i="314"/>
  <c r="M131" i="314"/>
  <c r="R130" i="23"/>
  <c r="AB131" i="131"/>
  <c r="AF131" i="131"/>
  <c r="T132" i="63"/>
  <c r="X132" i="63" s="1"/>
  <c r="T132" i="314"/>
  <c r="X132" i="314" s="1"/>
  <c r="S130" i="29"/>
  <c r="R130" i="63"/>
  <c r="V130" i="63" s="1"/>
  <c r="R130" i="27"/>
  <c r="V130" i="27" s="1"/>
  <c r="M131" i="131"/>
  <c r="L131" i="131"/>
  <c r="M131" i="18"/>
  <c r="L131" i="18"/>
  <c r="M131" i="323"/>
  <c r="L131" i="323"/>
  <c r="R131" i="323" s="1"/>
  <c r="X145" i="4" l="1"/>
  <c r="T199" i="4"/>
  <c r="X199" i="4" s="1"/>
  <c r="AB199" i="4" s="1"/>
  <c r="X144" i="4"/>
  <c r="T198" i="4"/>
  <c r="X198" i="4" s="1"/>
  <c r="AB198" i="4" s="1"/>
  <c r="F19" i="641"/>
  <c r="AB130" i="103"/>
  <c r="W130" i="21"/>
  <c r="AL14" i="639"/>
  <c r="W130" i="26"/>
  <c r="AS14" i="639"/>
  <c r="W130" i="27"/>
  <c r="AT14" i="639"/>
  <c r="W130" i="20"/>
  <c r="AK14" i="639"/>
  <c r="W130" i="25"/>
  <c r="AR14" i="639"/>
  <c r="W130" i="63"/>
  <c r="AE130" i="63" s="1"/>
  <c r="AG14" i="639"/>
  <c r="W130" i="133"/>
  <c r="AE130" i="133" s="1"/>
  <c r="AW14" i="639"/>
  <c r="W130" i="51"/>
  <c r="AA130" i="51" s="1"/>
  <c r="V130" i="23"/>
  <c r="Z130" i="23" s="1"/>
  <c r="O89" i="639" s="1"/>
  <c r="AP14" i="639"/>
  <c r="W130" i="102"/>
  <c r="AA130" i="102" s="1"/>
  <c r="U14" i="639" s="1"/>
  <c r="AV14" i="639"/>
  <c r="W130" i="101"/>
  <c r="AE130" i="101" s="1"/>
  <c r="AU14" i="639"/>
  <c r="W130" i="19"/>
  <c r="AA130" i="19" s="1"/>
  <c r="I14" i="639" s="1"/>
  <c r="AJ14" i="639"/>
  <c r="W130" i="18"/>
  <c r="AA130" i="18" s="1"/>
  <c r="E14" i="639" s="1"/>
  <c r="AF14" i="639"/>
  <c r="W130" i="131"/>
  <c r="AA130" i="131" s="1"/>
  <c r="P14" i="639" s="1"/>
  <c r="AQ14" i="639"/>
  <c r="W130" i="29"/>
  <c r="AI14" i="639"/>
  <c r="W130" i="3"/>
  <c r="AA130" i="3" s="1"/>
  <c r="W130" i="314"/>
  <c r="AO14" i="639"/>
  <c r="C12" i="491"/>
  <c r="B89" i="639"/>
  <c r="W130" i="104"/>
  <c r="AY14" i="639"/>
  <c r="W130" i="103"/>
  <c r="AX14" i="639"/>
  <c r="W130" i="323"/>
  <c r="AH14" i="639"/>
  <c r="R130" i="129"/>
  <c r="V130" i="129" s="1"/>
  <c r="Z130" i="129" s="1"/>
  <c r="L89" i="639" s="1"/>
  <c r="N133" i="104"/>
  <c r="T133" i="104" s="1"/>
  <c r="X133" i="104" s="1"/>
  <c r="N133" i="133"/>
  <c r="T133" i="133" s="1"/>
  <c r="X133" i="133" s="1"/>
  <c r="M131" i="133"/>
  <c r="S131" i="133" s="1"/>
  <c r="M131" i="1"/>
  <c r="S131" i="1" s="1"/>
  <c r="AF132" i="3"/>
  <c r="AB132" i="3"/>
  <c r="Z130" i="103"/>
  <c r="W89" i="639" s="1"/>
  <c r="AF132" i="102"/>
  <c r="AB132" i="102"/>
  <c r="Z130" i="314"/>
  <c r="N89" i="639" s="1"/>
  <c r="AD130" i="314"/>
  <c r="AF132" i="29"/>
  <c r="AB132" i="29"/>
  <c r="AE130" i="19"/>
  <c r="AA130" i="63"/>
  <c r="F14" i="639" s="1"/>
  <c r="AD130" i="26"/>
  <c r="Z130" i="26"/>
  <c r="R89" i="639" s="1"/>
  <c r="AE130" i="20"/>
  <c r="AA130" i="20"/>
  <c r="AD130" i="27"/>
  <c r="Z130" i="27"/>
  <c r="S89" i="639" s="1"/>
  <c r="Z130" i="29"/>
  <c r="H89" i="639" s="1"/>
  <c r="AD130" i="29"/>
  <c r="AB132" i="63"/>
  <c r="AF132" i="63"/>
  <c r="AD130" i="323"/>
  <c r="Z130" i="323"/>
  <c r="G89" i="639" s="1"/>
  <c r="AB132" i="101"/>
  <c r="AF132" i="101"/>
  <c r="AA130" i="133"/>
  <c r="V14" i="639" s="1"/>
  <c r="AF132" i="18"/>
  <c r="AB132" i="18"/>
  <c r="T133" i="51"/>
  <c r="X133" i="51" s="1"/>
  <c r="S131" i="3"/>
  <c r="AD15" i="639" s="1"/>
  <c r="S131" i="51"/>
  <c r="AE15" i="639" s="1"/>
  <c r="R131" i="25"/>
  <c r="V131" i="25" s="1"/>
  <c r="AU17" i="641" s="1"/>
  <c r="AV17" i="641" s="1"/>
  <c r="AD130" i="104"/>
  <c r="Z130" i="104"/>
  <c r="X89" i="639" s="1"/>
  <c r="Z130" i="18"/>
  <c r="E89" i="639" s="1"/>
  <c r="AD130" i="18"/>
  <c r="T133" i="102"/>
  <c r="X133" i="102" s="1"/>
  <c r="T133" i="131"/>
  <c r="X133" i="131" s="1"/>
  <c r="T133" i="18"/>
  <c r="X133" i="18" s="1"/>
  <c r="R131" i="3"/>
  <c r="V131" i="3" s="1"/>
  <c r="V131" i="51"/>
  <c r="T133" i="29"/>
  <c r="X133" i="29" s="1"/>
  <c r="S131" i="19"/>
  <c r="AF132" i="131"/>
  <c r="AB132" i="131"/>
  <c r="S131" i="21"/>
  <c r="AD130" i="25"/>
  <c r="Z130" i="25"/>
  <c r="Q89" i="639" s="1"/>
  <c r="M132" i="26"/>
  <c r="L132" i="26"/>
  <c r="R131" i="133"/>
  <c r="V131" i="133" s="1"/>
  <c r="AU22" i="641" s="1"/>
  <c r="AV22" i="641" s="1"/>
  <c r="L132" i="131"/>
  <c r="M132" i="131"/>
  <c r="AA130" i="314"/>
  <c r="N14" i="639" s="1"/>
  <c r="AE130" i="314"/>
  <c r="L132" i="27"/>
  <c r="M132" i="27"/>
  <c r="T133" i="1"/>
  <c r="X133" i="1" s="1"/>
  <c r="AD130" i="23"/>
  <c r="AF132" i="19"/>
  <c r="AB132" i="19"/>
  <c r="S131" i="23"/>
  <c r="W131" i="23" s="1"/>
  <c r="AA131" i="23" s="1"/>
  <c r="O15" i="639" s="1"/>
  <c r="L132" i="104"/>
  <c r="M132" i="104"/>
  <c r="M132" i="63"/>
  <c r="L132" i="63"/>
  <c r="L132" i="133"/>
  <c r="I132" i="133"/>
  <c r="S131" i="26"/>
  <c r="AA130" i="25"/>
  <c r="Q14" i="639" s="1"/>
  <c r="AE130" i="25"/>
  <c r="T133" i="3"/>
  <c r="X133" i="3" s="1"/>
  <c r="T133" i="21"/>
  <c r="X133" i="21" s="1"/>
  <c r="T133" i="26"/>
  <c r="X133" i="26" s="1"/>
  <c r="R131" i="19"/>
  <c r="V131" i="19" s="1"/>
  <c r="AU9" i="641" s="1"/>
  <c r="AV9" i="641" s="1"/>
  <c r="R131" i="21"/>
  <c r="V131" i="21" s="1"/>
  <c r="AU11" i="641" s="1"/>
  <c r="AV11" i="641" s="1"/>
  <c r="R131" i="104"/>
  <c r="V131" i="104" s="1"/>
  <c r="AU24" i="641" s="1"/>
  <c r="AV24" i="641" s="1"/>
  <c r="L132" i="102"/>
  <c r="M132" i="102"/>
  <c r="R131" i="103"/>
  <c r="V131" i="103" s="1"/>
  <c r="AU23" i="641" s="1"/>
  <c r="AV23" i="641" s="1"/>
  <c r="V131" i="323"/>
  <c r="AU7" i="641" s="1"/>
  <c r="AV7" i="641" s="1"/>
  <c r="AF132" i="21"/>
  <c r="AB132" i="21"/>
  <c r="S131" i="323"/>
  <c r="AF132" i="27"/>
  <c r="AB132" i="27"/>
  <c r="L132" i="21"/>
  <c r="M132" i="21"/>
  <c r="T146" i="4"/>
  <c r="H133" i="16"/>
  <c r="M133" i="16" s="1"/>
  <c r="Q133" i="16" s="1"/>
  <c r="R131" i="101"/>
  <c r="V131" i="101" s="1"/>
  <c r="AU20" i="641" s="1"/>
  <c r="AV20" i="641" s="1"/>
  <c r="AE130" i="323"/>
  <c r="AA130" i="323"/>
  <c r="G14" i="639" s="1"/>
  <c r="AE130" i="104"/>
  <c r="AA130" i="104"/>
  <c r="X14" i="639" s="1"/>
  <c r="AD130" i="131"/>
  <c r="Z130" i="131"/>
  <c r="P89" i="639" s="1"/>
  <c r="Z130" i="3"/>
  <c r="AD130" i="3"/>
  <c r="R144" i="4"/>
  <c r="F131" i="16"/>
  <c r="K131" i="16" s="1"/>
  <c r="O131" i="16" s="1"/>
  <c r="AF132" i="23"/>
  <c r="M132" i="18"/>
  <c r="L132" i="18"/>
  <c r="L132" i="25"/>
  <c r="M132" i="25"/>
  <c r="L132" i="323"/>
  <c r="M132" i="323"/>
  <c r="R131" i="26"/>
  <c r="V131" i="26" s="1"/>
  <c r="AU18" i="641" s="1"/>
  <c r="AV18" i="641" s="1"/>
  <c r="BC147" i="4"/>
  <c r="J134" i="133"/>
  <c r="N134" i="101"/>
  <c r="N134" i="26"/>
  <c r="N134" i="323"/>
  <c r="N134" i="23"/>
  <c r="N134" i="314"/>
  <c r="T134" i="314" s="1"/>
  <c r="N134" i="20"/>
  <c r="N134" i="18"/>
  <c r="N134" i="29"/>
  <c r="N134" i="19"/>
  <c r="N134" i="131"/>
  <c r="N134" i="25"/>
  <c r="N134" i="51"/>
  <c r="N134" i="63"/>
  <c r="N134" i="3"/>
  <c r="N134" i="1"/>
  <c r="N134" i="21"/>
  <c r="N134" i="27"/>
  <c r="N134" i="102"/>
  <c r="J147" i="4"/>
  <c r="N147" i="4" s="1"/>
  <c r="N201" i="4" s="1"/>
  <c r="AL134" i="104"/>
  <c r="E134" i="104" s="1"/>
  <c r="J134" i="104" s="1"/>
  <c r="T133" i="27"/>
  <c r="X133" i="27" s="1"/>
  <c r="T133" i="20"/>
  <c r="X133" i="20" s="1"/>
  <c r="Z130" i="102"/>
  <c r="U89" i="639" s="1"/>
  <c r="AD130" i="102"/>
  <c r="AE130" i="102" s="1"/>
  <c r="AF130" i="102" s="1"/>
  <c r="AA130" i="27"/>
  <c r="S14" i="639" s="1"/>
  <c r="AE130" i="27"/>
  <c r="AE130" i="23"/>
  <c r="AA130" i="103"/>
  <c r="W14" i="639" s="1"/>
  <c r="AB132" i="26"/>
  <c r="AF132" i="26"/>
  <c r="Z130" i="101"/>
  <c r="T89" i="639" s="1"/>
  <c r="AD130" i="101"/>
  <c r="T133" i="25"/>
  <c r="X133" i="25" s="1"/>
  <c r="Z130" i="63"/>
  <c r="F89" i="639" s="1"/>
  <c r="AD130" i="63"/>
  <c r="AF132" i="103"/>
  <c r="AB132" i="103"/>
  <c r="L132" i="101"/>
  <c r="M132" i="101"/>
  <c r="AA130" i="29"/>
  <c r="H14" i="639" s="1"/>
  <c r="AE130" i="29"/>
  <c r="R131" i="131"/>
  <c r="V131" i="131" s="1"/>
  <c r="AU16" i="641" s="1"/>
  <c r="AV16" i="641" s="1"/>
  <c r="S131" i="314"/>
  <c r="V132" i="16"/>
  <c r="Z132" i="16" s="1"/>
  <c r="F170" i="16" s="1"/>
  <c r="N170" i="16" s="1"/>
  <c r="S131" i="101"/>
  <c r="S144" i="4"/>
  <c r="M132" i="29"/>
  <c r="L132" i="29"/>
  <c r="L132" i="314"/>
  <c r="M132" i="314"/>
  <c r="S131" i="27"/>
  <c r="R131" i="63"/>
  <c r="V131" i="63" s="1"/>
  <c r="AU6" i="641" s="1"/>
  <c r="AV6" i="641" s="1"/>
  <c r="AF132" i="133"/>
  <c r="AB132" i="133"/>
  <c r="T133" i="23"/>
  <c r="X133" i="23" s="1"/>
  <c r="AB133" i="23" s="1"/>
  <c r="T133" i="101"/>
  <c r="X133" i="101" s="1"/>
  <c r="R131" i="1"/>
  <c r="AD130" i="20"/>
  <c r="Z130" i="20"/>
  <c r="J89" i="639" s="1"/>
  <c r="M132" i="20"/>
  <c r="L132" i="20"/>
  <c r="S131" i="102"/>
  <c r="M132" i="23"/>
  <c r="L132" i="23"/>
  <c r="AA130" i="26"/>
  <c r="R14" i="639" s="1"/>
  <c r="AE130" i="26"/>
  <c r="AE130" i="21"/>
  <c r="AA130" i="21"/>
  <c r="K14" i="639" s="1"/>
  <c r="Z130" i="19"/>
  <c r="I89" i="639" s="1"/>
  <c r="AD130" i="19"/>
  <c r="S131" i="18"/>
  <c r="S131" i="131"/>
  <c r="R131" i="314"/>
  <c r="V131" i="314" s="1"/>
  <c r="AU14" i="641" s="1"/>
  <c r="AV14" i="641" s="1"/>
  <c r="S131" i="20"/>
  <c r="AF132" i="104"/>
  <c r="AB132" i="104"/>
  <c r="AB132" i="51"/>
  <c r="AB132" i="25"/>
  <c r="AF132" i="25"/>
  <c r="L132" i="3"/>
  <c r="M132" i="3"/>
  <c r="R131" i="27"/>
  <c r="V131" i="27" s="1"/>
  <c r="AU19" i="641" s="1"/>
  <c r="AV19" i="641" s="1"/>
  <c r="S131" i="63"/>
  <c r="T133" i="103"/>
  <c r="X133" i="103" s="1"/>
  <c r="T133" i="63"/>
  <c r="X133" i="63" s="1"/>
  <c r="T133" i="323"/>
  <c r="X133" i="323" s="1"/>
  <c r="Z130" i="133"/>
  <c r="V89" i="639" s="1"/>
  <c r="AD130" i="133"/>
  <c r="AF132" i="20"/>
  <c r="AB132" i="20"/>
  <c r="AB132" i="1"/>
  <c r="E14" i="491" s="1"/>
  <c r="AG132" i="1"/>
  <c r="AF132" i="323"/>
  <c r="AB132" i="323"/>
  <c r="R131" i="29"/>
  <c r="V131" i="29" s="1"/>
  <c r="AU8" i="641" s="1"/>
  <c r="AV8" i="641" s="1"/>
  <c r="S131" i="104"/>
  <c r="L132" i="51"/>
  <c r="M132" i="51"/>
  <c r="R131" i="102"/>
  <c r="V131" i="102" s="1"/>
  <c r="AU21" i="641" s="1"/>
  <c r="AV21" i="641" s="1"/>
  <c r="R131" i="23"/>
  <c r="R131" i="18"/>
  <c r="V131" i="18" s="1"/>
  <c r="AU5" i="641" s="1"/>
  <c r="AV5" i="641" s="1"/>
  <c r="AD130" i="21"/>
  <c r="Z130" i="21"/>
  <c r="K89" i="639" s="1"/>
  <c r="AF132" i="314"/>
  <c r="AB132" i="314"/>
  <c r="S131" i="25"/>
  <c r="R131" i="20"/>
  <c r="V131" i="20" s="1"/>
  <c r="AU10" i="641" s="1"/>
  <c r="AV10" i="641" s="1"/>
  <c r="I145" i="4"/>
  <c r="M145" i="4" s="1"/>
  <c r="M199" i="4" s="1"/>
  <c r="H145" i="4"/>
  <c r="L145" i="4" s="1"/>
  <c r="L199" i="4" s="1"/>
  <c r="M132" i="19"/>
  <c r="L132" i="19"/>
  <c r="S131" i="29"/>
  <c r="S131" i="103"/>
  <c r="BB146" i="4"/>
  <c r="H133" i="133"/>
  <c r="L133" i="1"/>
  <c r="AJ133" i="104"/>
  <c r="C133" i="104" s="1"/>
  <c r="H133" i="104" s="1"/>
  <c r="AK133" i="103"/>
  <c r="C133" i="103" s="1"/>
  <c r="H133" i="103" s="1"/>
  <c r="L133" i="103" s="1"/>
  <c r="T133" i="19"/>
  <c r="X133" i="19" s="1"/>
  <c r="T133" i="314"/>
  <c r="X133" i="314" s="1"/>
  <c r="AB145" i="4" l="1"/>
  <c r="AE130" i="3"/>
  <c r="AE130" i="18"/>
  <c r="W144" i="4"/>
  <c r="S198" i="4"/>
  <c r="W198" i="4" s="1"/>
  <c r="AB144" i="4"/>
  <c r="AA130" i="101"/>
  <c r="T14" i="639" s="1"/>
  <c r="X146" i="4"/>
  <c r="T200" i="4"/>
  <c r="X200" i="4" s="1"/>
  <c r="AB200" i="4" s="1"/>
  <c r="V144" i="4"/>
  <c r="R198" i="4"/>
  <c r="V198" i="4" s="1"/>
  <c r="Z198" i="4" s="1"/>
  <c r="V131" i="1"/>
  <c r="F20" i="641"/>
  <c r="AE130" i="131"/>
  <c r="W131" i="29"/>
  <c r="AE131" i="29" s="1"/>
  <c r="AI15" i="639"/>
  <c r="AB97" i="20"/>
  <c r="J14" i="639"/>
  <c r="AA14" i="639" s="1"/>
  <c r="L106" i="639"/>
  <c r="L108" i="639" s="1"/>
  <c r="L105" i="639"/>
  <c r="L104" i="639"/>
  <c r="W131" i="18"/>
  <c r="AE131" i="18" s="1"/>
  <c r="AF15" i="639"/>
  <c r="W131" i="104"/>
  <c r="AY15" i="639"/>
  <c r="W131" i="21"/>
  <c r="AE131" i="21" s="1"/>
  <c r="AL15" i="639"/>
  <c r="O28" i="639"/>
  <c r="W131" i="131"/>
  <c r="AE131" i="131" s="1"/>
  <c r="AQ15" i="639"/>
  <c r="V131" i="23"/>
  <c r="AP15" i="639"/>
  <c r="W131" i="63"/>
  <c r="AA131" i="63" s="1"/>
  <c r="F15" i="639" s="1"/>
  <c r="F28" i="639" s="1"/>
  <c r="AG15" i="639"/>
  <c r="W131" i="101"/>
  <c r="AE131" i="101" s="1"/>
  <c r="AU15" i="639"/>
  <c r="W131" i="26"/>
  <c r="AE131" i="26" s="1"/>
  <c r="AS15" i="639"/>
  <c r="W131" i="51"/>
  <c r="W131" i="3"/>
  <c r="W131" i="1"/>
  <c r="AC15" i="639"/>
  <c r="W131" i="102"/>
  <c r="AE131" i="102" s="1"/>
  <c r="AV15" i="639"/>
  <c r="W131" i="25"/>
  <c r="AA131" i="25" s="1"/>
  <c r="Q15" i="639" s="1"/>
  <c r="Q28" i="639" s="1"/>
  <c r="AR15" i="639"/>
  <c r="W131" i="20"/>
  <c r="AA131" i="20" s="1"/>
  <c r="J15" i="639" s="1"/>
  <c r="AK15" i="639"/>
  <c r="W131" i="27"/>
  <c r="AE131" i="27" s="1"/>
  <c r="AT15" i="639"/>
  <c r="W131" i="314"/>
  <c r="AE131" i="314" s="1"/>
  <c r="AO15" i="639"/>
  <c r="W131" i="19"/>
  <c r="AJ15" i="639"/>
  <c r="W131" i="133"/>
  <c r="AE131" i="133" s="1"/>
  <c r="AW15" i="639"/>
  <c r="W131" i="103"/>
  <c r="AA131" i="103" s="1"/>
  <c r="W15" i="639" s="1"/>
  <c r="W28" i="639" s="1"/>
  <c r="AX15" i="639"/>
  <c r="W131" i="323"/>
  <c r="AE131" i="323" s="1"/>
  <c r="AH15" i="639"/>
  <c r="N134" i="104"/>
  <c r="T134" i="104" s="1"/>
  <c r="X134" i="104" s="1"/>
  <c r="N134" i="133"/>
  <c r="T134" i="133" s="1"/>
  <c r="X134" i="133" s="1"/>
  <c r="M132" i="133"/>
  <c r="S132" i="133" s="1"/>
  <c r="AC97" i="20"/>
  <c r="AR97" i="20" s="1"/>
  <c r="AQ97" i="20"/>
  <c r="M132" i="1"/>
  <c r="S132" i="1" s="1"/>
  <c r="Z131" i="323"/>
  <c r="G90" i="639" s="1"/>
  <c r="AD131" i="323"/>
  <c r="AF133" i="63"/>
  <c r="AB133" i="63"/>
  <c r="AG133" i="1"/>
  <c r="AB133" i="1"/>
  <c r="E15" i="491" s="1"/>
  <c r="AB133" i="18"/>
  <c r="AF133" i="18"/>
  <c r="Z131" i="104"/>
  <c r="X90" i="639" s="1"/>
  <c r="AD131" i="104"/>
  <c r="AF133" i="20"/>
  <c r="AB133" i="20"/>
  <c r="AF133" i="19"/>
  <c r="AB133" i="19"/>
  <c r="AD131" i="314"/>
  <c r="Z131" i="314"/>
  <c r="N90" i="639" s="1"/>
  <c r="Z131" i="131"/>
  <c r="P90" i="639" s="1"/>
  <c r="AD131" i="131"/>
  <c r="AE131" i="23"/>
  <c r="AB133" i="102"/>
  <c r="AF133" i="102"/>
  <c r="AB133" i="51"/>
  <c r="Z131" i="27"/>
  <c r="S90" i="639" s="1"/>
  <c r="AD131" i="27"/>
  <c r="AB133" i="25"/>
  <c r="AF133" i="25"/>
  <c r="AB133" i="103"/>
  <c r="AF133" i="103"/>
  <c r="AA144" i="4"/>
  <c r="Y15" i="639" s="1"/>
  <c r="Y28" i="639" s="1"/>
  <c r="AB133" i="26"/>
  <c r="AF133" i="26"/>
  <c r="AB146" i="4"/>
  <c r="AB133" i="101"/>
  <c r="AF133" i="101"/>
  <c r="AD131" i="26"/>
  <c r="Z131" i="26"/>
  <c r="R90" i="639" s="1"/>
  <c r="Z131" i="103"/>
  <c r="W90" i="639" s="1"/>
  <c r="AD131" i="103"/>
  <c r="Z131" i="102"/>
  <c r="U90" i="639" s="1"/>
  <c r="AD131" i="102"/>
  <c r="AF133" i="21"/>
  <c r="AB133" i="21"/>
  <c r="Z131" i="133"/>
  <c r="V90" i="639" s="1"/>
  <c r="AD131" i="133"/>
  <c r="Z131" i="3"/>
  <c r="C90" i="639" s="1"/>
  <c r="AD131" i="3"/>
  <c r="L133" i="27"/>
  <c r="M133" i="27"/>
  <c r="AA131" i="104"/>
  <c r="X15" i="639" s="1"/>
  <c r="X28" i="639" s="1"/>
  <c r="AE131" i="104"/>
  <c r="R132" i="23"/>
  <c r="L133" i="20"/>
  <c r="M133" i="20"/>
  <c r="M133" i="131"/>
  <c r="L133" i="131"/>
  <c r="S145" i="4"/>
  <c r="R132" i="51"/>
  <c r="V132" i="51" s="1"/>
  <c r="R132" i="3"/>
  <c r="V132" i="3" s="1"/>
  <c r="AB133" i="104"/>
  <c r="AF133" i="104"/>
  <c r="R132" i="314"/>
  <c r="V132" i="314" s="1"/>
  <c r="T134" i="102"/>
  <c r="X134" i="102" s="1"/>
  <c r="T134" i="131"/>
  <c r="X134" i="131" s="1"/>
  <c r="T134" i="26"/>
  <c r="X134" i="26" s="1"/>
  <c r="S132" i="25"/>
  <c r="Z144" i="4"/>
  <c r="Y90" i="639" s="1"/>
  <c r="S132" i="104"/>
  <c r="Z131" i="20"/>
  <c r="J90" i="639" s="1"/>
  <c r="AD131" i="20"/>
  <c r="T134" i="101"/>
  <c r="X134" i="101" s="1"/>
  <c r="M133" i="18"/>
  <c r="L133" i="18"/>
  <c r="S132" i="23"/>
  <c r="W132" i="23" s="1"/>
  <c r="AA132" i="23" s="1"/>
  <c r="O16" i="639" s="1"/>
  <c r="S132" i="29"/>
  <c r="R132" i="101"/>
  <c r="V132" i="101" s="1"/>
  <c r="T134" i="21"/>
  <c r="X134" i="21" s="1"/>
  <c r="T134" i="29"/>
  <c r="X134" i="29" s="1"/>
  <c r="R132" i="18"/>
  <c r="V132" i="18" s="1"/>
  <c r="S132" i="102"/>
  <c r="S132" i="27"/>
  <c r="R132" i="26"/>
  <c r="V132" i="26" s="1"/>
  <c r="T134" i="27"/>
  <c r="X134" i="27" s="1"/>
  <c r="R132" i="104"/>
  <c r="V132" i="104" s="1"/>
  <c r="L133" i="63"/>
  <c r="M133" i="63"/>
  <c r="AE131" i="63"/>
  <c r="BC148" i="4"/>
  <c r="N135" i="314"/>
  <c r="N135" i="323"/>
  <c r="J135" i="133"/>
  <c r="N135" i="18"/>
  <c r="N135" i="101"/>
  <c r="N135" i="26"/>
  <c r="N135" i="23"/>
  <c r="N135" i="25"/>
  <c r="N135" i="20"/>
  <c r="N135" i="29"/>
  <c r="N135" i="131"/>
  <c r="N135" i="21"/>
  <c r="N135" i="51"/>
  <c r="N135" i="19"/>
  <c r="N135" i="1"/>
  <c r="N135" i="63"/>
  <c r="N135" i="3"/>
  <c r="N135" i="27"/>
  <c r="N135" i="102"/>
  <c r="AL135" i="104"/>
  <c r="E135" i="104" s="1"/>
  <c r="J135" i="104" s="1"/>
  <c r="J148" i="4"/>
  <c r="N148" i="4" s="1"/>
  <c r="N202" i="4" s="1"/>
  <c r="T134" i="1"/>
  <c r="X134" i="1" s="1"/>
  <c r="T134" i="18"/>
  <c r="X134" i="18" s="1"/>
  <c r="S132" i="18"/>
  <c r="V133" i="16"/>
  <c r="Z133" i="16" s="1"/>
  <c r="F171" i="16" s="1"/>
  <c r="N171" i="16" s="1"/>
  <c r="R132" i="102"/>
  <c r="V132" i="102" s="1"/>
  <c r="R132" i="27"/>
  <c r="V132" i="27" s="1"/>
  <c r="S132" i="26"/>
  <c r="S132" i="103"/>
  <c r="R132" i="29"/>
  <c r="V132" i="29" s="1"/>
  <c r="R132" i="25"/>
  <c r="V132" i="25" s="1"/>
  <c r="L133" i="25"/>
  <c r="M133" i="25"/>
  <c r="R132" i="103"/>
  <c r="V132" i="103" s="1"/>
  <c r="L133" i="101"/>
  <c r="M133" i="101"/>
  <c r="AE131" i="25"/>
  <c r="Z131" i="29"/>
  <c r="H90" i="639" s="1"/>
  <c r="AD131" i="29"/>
  <c r="AD131" i="63"/>
  <c r="Z131" i="63"/>
  <c r="F90" i="639" s="1"/>
  <c r="M133" i="19"/>
  <c r="L133" i="19"/>
  <c r="M133" i="26"/>
  <c r="L133" i="26"/>
  <c r="R132" i="1"/>
  <c r="V132" i="1" s="1"/>
  <c r="T134" i="103"/>
  <c r="X134" i="103" s="1"/>
  <c r="T134" i="3"/>
  <c r="X134" i="3" s="1"/>
  <c r="T134" i="20"/>
  <c r="X134" i="20" s="1"/>
  <c r="AE131" i="19"/>
  <c r="AA131" i="19"/>
  <c r="I15" i="639" s="1"/>
  <c r="I28" i="639" s="1"/>
  <c r="AB133" i="27"/>
  <c r="AF133" i="27"/>
  <c r="Z131" i="51"/>
  <c r="D90" i="639" s="1"/>
  <c r="L133" i="102"/>
  <c r="M133" i="102"/>
  <c r="AA131" i="29"/>
  <c r="H15" i="639" s="1"/>
  <c r="H28" i="639" s="1"/>
  <c r="L133" i="104"/>
  <c r="M133" i="104"/>
  <c r="L133" i="23"/>
  <c r="M133" i="23"/>
  <c r="L133" i="133"/>
  <c r="I133" i="133"/>
  <c r="R132" i="19"/>
  <c r="V132" i="19" s="1"/>
  <c r="R132" i="20"/>
  <c r="V132" i="20" s="1"/>
  <c r="T134" i="63"/>
  <c r="X134" i="63" s="1"/>
  <c r="X134" i="314"/>
  <c r="R132" i="133"/>
  <c r="V132" i="133" s="1"/>
  <c r="M133" i="3"/>
  <c r="L133" i="3"/>
  <c r="T134" i="19"/>
  <c r="X134" i="19" s="1"/>
  <c r="AD131" i="101"/>
  <c r="Z131" i="101"/>
  <c r="T90" i="639" s="1"/>
  <c r="Z131" i="19"/>
  <c r="I90" i="639" s="1"/>
  <c r="AD131" i="19"/>
  <c r="I146" i="4"/>
  <c r="M146" i="4" s="1"/>
  <c r="M200" i="4" s="1"/>
  <c r="H146" i="4"/>
  <c r="L146" i="4" s="1"/>
  <c r="L200" i="4" s="1"/>
  <c r="M133" i="21"/>
  <c r="L133" i="21"/>
  <c r="L133" i="323"/>
  <c r="M133" i="323"/>
  <c r="AF133" i="323"/>
  <c r="AB133" i="323"/>
  <c r="S132" i="20"/>
  <c r="AF133" i="23"/>
  <c r="T147" i="4"/>
  <c r="H134" i="16"/>
  <c r="M134" i="16" s="1"/>
  <c r="Q134" i="16" s="1"/>
  <c r="T134" i="51"/>
  <c r="X134" i="51" s="1"/>
  <c r="T134" i="23"/>
  <c r="X134" i="23" s="1"/>
  <c r="AB134" i="23" s="1"/>
  <c r="S132" i="323"/>
  <c r="T131" i="16"/>
  <c r="X131" i="16" s="1"/>
  <c r="D169" i="16" s="1"/>
  <c r="L169" i="16" s="1"/>
  <c r="S132" i="21"/>
  <c r="AD131" i="21"/>
  <c r="Z131" i="21"/>
  <c r="K90" i="639" s="1"/>
  <c r="AF133" i="3"/>
  <c r="AB133" i="3"/>
  <c r="R132" i="63"/>
  <c r="V132" i="63" s="1"/>
  <c r="S132" i="131"/>
  <c r="AB133" i="29"/>
  <c r="AF133" i="29"/>
  <c r="AB133" i="131"/>
  <c r="AF133" i="131"/>
  <c r="AF133" i="133"/>
  <c r="AB133" i="133"/>
  <c r="Z131" i="18"/>
  <c r="E90" i="639" s="1"/>
  <c r="AD131" i="18"/>
  <c r="S132" i="101"/>
  <c r="AD131" i="25"/>
  <c r="Z131" i="25"/>
  <c r="Q90" i="639" s="1"/>
  <c r="AF133" i="314"/>
  <c r="AB133" i="314"/>
  <c r="S132" i="19"/>
  <c r="L133" i="51"/>
  <c r="M133" i="51"/>
  <c r="L133" i="29"/>
  <c r="M133" i="29"/>
  <c r="L133" i="314"/>
  <c r="M133" i="314"/>
  <c r="R145" i="4"/>
  <c r="F132" i="16"/>
  <c r="K132" i="16" s="1"/>
  <c r="O132" i="16" s="1"/>
  <c r="S132" i="51"/>
  <c r="AE16" i="639" s="1"/>
  <c r="S132" i="3"/>
  <c r="AD16" i="639" s="1"/>
  <c r="S132" i="314"/>
  <c r="BB147" i="4"/>
  <c r="H134" i="133"/>
  <c r="L134" i="1"/>
  <c r="AK134" i="103"/>
  <c r="C134" i="103" s="1"/>
  <c r="H134" i="103" s="1"/>
  <c r="L134" i="103" s="1"/>
  <c r="AJ134" i="104"/>
  <c r="C134" i="104" s="1"/>
  <c r="H134" i="104" s="1"/>
  <c r="T134" i="25"/>
  <c r="X134" i="25" s="1"/>
  <c r="T134" i="323"/>
  <c r="X134" i="323" s="1"/>
  <c r="R132" i="323"/>
  <c r="V132" i="323" s="1"/>
  <c r="R132" i="21"/>
  <c r="V132" i="21" s="1"/>
  <c r="S132" i="63"/>
  <c r="R132" i="131"/>
  <c r="V132" i="131" s="1"/>
  <c r="AA131" i="51" l="1"/>
  <c r="AT4" i="641"/>
  <c r="AA131" i="3"/>
  <c r="C15" i="639" s="1"/>
  <c r="C28" i="639" s="1"/>
  <c r="AT3" i="641"/>
  <c r="AU3" i="641" s="1"/>
  <c r="AV3" i="641" s="1"/>
  <c r="AE131" i="3"/>
  <c r="AF131" i="1"/>
  <c r="AT2" i="641"/>
  <c r="AE131" i="20"/>
  <c r="AE131" i="103"/>
  <c r="AA131" i="133"/>
  <c r="V15" i="639" s="1"/>
  <c r="V28" i="639" s="1"/>
  <c r="AA131" i="102"/>
  <c r="U15" i="639" s="1"/>
  <c r="U28" i="639" s="1"/>
  <c r="AE131" i="1"/>
  <c r="AU2" i="641"/>
  <c r="AV2" i="641" s="1"/>
  <c r="AA198" i="4"/>
  <c r="AT25" i="641"/>
  <c r="AU25" i="641" s="1"/>
  <c r="AV25" i="641" s="1"/>
  <c r="D15" i="639"/>
  <c r="D28" i="639" s="1"/>
  <c r="Z131" i="23"/>
  <c r="O90" i="639" s="1"/>
  <c r="AU15" i="641"/>
  <c r="AV15" i="641" s="1"/>
  <c r="AA131" i="18"/>
  <c r="E15" i="639" s="1"/>
  <c r="E28" i="639" s="1"/>
  <c r="J28" i="639"/>
  <c r="Z131" i="1"/>
  <c r="C13" i="491" s="1"/>
  <c r="X147" i="4"/>
  <c r="T201" i="4"/>
  <c r="X201" i="4" s="1"/>
  <c r="AB201" i="4" s="1"/>
  <c r="W145" i="4"/>
  <c r="S199" i="4"/>
  <c r="W199" i="4" s="1"/>
  <c r="AA199" i="4" s="1"/>
  <c r="V145" i="4"/>
  <c r="R199" i="4"/>
  <c r="V199" i="4" s="1"/>
  <c r="Z199" i="4" s="1"/>
  <c r="AA131" i="21"/>
  <c r="K15" i="639" s="1"/>
  <c r="K28" i="639" s="1"/>
  <c r="AA131" i="131"/>
  <c r="P15" i="639" s="1"/>
  <c r="P28" i="639" s="1"/>
  <c r="AD131" i="23"/>
  <c r="J17" i="641"/>
  <c r="I19" i="641"/>
  <c r="AA131" i="27"/>
  <c r="S15" i="639" s="1"/>
  <c r="S28" i="639" s="1"/>
  <c r="AA131" i="1"/>
  <c r="D13" i="491" s="1"/>
  <c r="AA131" i="323"/>
  <c r="G15" i="639" s="1"/>
  <c r="G28" i="639" s="1"/>
  <c r="AA131" i="101"/>
  <c r="T15" i="639" s="1"/>
  <c r="T28" i="639" s="1"/>
  <c r="AA131" i="26"/>
  <c r="R15" i="639" s="1"/>
  <c r="R28" i="639" s="1"/>
  <c r="AA131" i="314"/>
  <c r="N15" i="639" s="1"/>
  <c r="N28" i="639" s="1"/>
  <c r="W132" i="21"/>
  <c r="AA132" i="21" s="1"/>
  <c r="K16" i="639" s="1"/>
  <c r="AL16" i="639"/>
  <c r="W132" i="20"/>
  <c r="AE132" i="20" s="1"/>
  <c r="AK16" i="639"/>
  <c r="W132" i="29"/>
  <c r="AA132" i="29" s="1"/>
  <c r="H16" i="639" s="1"/>
  <c r="AI16" i="639"/>
  <c r="W132" i="18"/>
  <c r="AE132" i="18" s="1"/>
  <c r="AF16" i="639"/>
  <c r="W132" i="104"/>
  <c r="AA132" i="104" s="1"/>
  <c r="AY16" i="639"/>
  <c r="V132" i="23"/>
  <c r="Z132" i="23" s="1"/>
  <c r="O91" i="639" s="1"/>
  <c r="AP16" i="639"/>
  <c r="W132" i="1"/>
  <c r="AA132" i="1" s="1"/>
  <c r="AC16" i="639"/>
  <c r="W132" i="3"/>
  <c r="AA132" i="3" s="1"/>
  <c r="C16" i="639" s="1"/>
  <c r="W132" i="131"/>
  <c r="AA132" i="131" s="1"/>
  <c r="P16" i="639" s="1"/>
  <c r="AQ16" i="639"/>
  <c r="W132" i="27"/>
  <c r="AA132" i="27" s="1"/>
  <c r="S16" i="639" s="1"/>
  <c r="AT16" i="639"/>
  <c r="W132" i="63"/>
  <c r="AE132" i="63" s="1"/>
  <c r="AG16" i="639"/>
  <c r="W132" i="51"/>
  <c r="AA132" i="51" s="1"/>
  <c r="D16" i="639" s="1"/>
  <c r="W132" i="102"/>
  <c r="AA132" i="102" s="1"/>
  <c r="U16" i="639" s="1"/>
  <c r="AV16" i="639"/>
  <c r="W132" i="25"/>
  <c r="AR16" i="639"/>
  <c r="W132" i="101"/>
  <c r="AA132" i="101" s="1"/>
  <c r="T16" i="639" s="1"/>
  <c r="AU16" i="639"/>
  <c r="W132" i="133"/>
  <c r="AA132" i="133" s="1"/>
  <c r="V16" i="639" s="1"/>
  <c r="AW16" i="639"/>
  <c r="W132" i="314"/>
  <c r="AA132" i="314" s="1"/>
  <c r="N16" i="639" s="1"/>
  <c r="AO16" i="639"/>
  <c r="W132" i="19"/>
  <c r="AE132" i="19" s="1"/>
  <c r="AJ16" i="639"/>
  <c r="W132" i="26"/>
  <c r="AE132" i="26" s="1"/>
  <c r="AS16" i="639"/>
  <c r="W132" i="103"/>
  <c r="AE132" i="103" s="1"/>
  <c r="AX16" i="639"/>
  <c r="W132" i="323"/>
  <c r="AA132" i="323" s="1"/>
  <c r="G16" i="639" s="1"/>
  <c r="AH16" i="639"/>
  <c r="N135" i="104"/>
  <c r="T135" i="104" s="1"/>
  <c r="X135" i="104" s="1"/>
  <c r="N135" i="133"/>
  <c r="T135" i="133" s="1"/>
  <c r="X135" i="133" s="1"/>
  <c r="M133" i="133"/>
  <c r="S133" i="133" s="1"/>
  <c r="AS97" i="20"/>
  <c r="AY97" i="20"/>
  <c r="M133" i="1"/>
  <c r="S133" i="1" s="1"/>
  <c r="AG134" i="1"/>
  <c r="AB134" i="1"/>
  <c r="E16" i="491" s="1"/>
  <c r="AF134" i="25"/>
  <c r="AB134" i="25"/>
  <c r="AD132" i="101"/>
  <c r="Z132" i="101"/>
  <c r="T91" i="639" s="1"/>
  <c r="Z132" i="19"/>
  <c r="I91" i="639" s="1"/>
  <c r="AD132" i="19"/>
  <c r="AE132" i="29"/>
  <c r="AB134" i="26"/>
  <c r="AF134" i="26"/>
  <c r="AE132" i="23"/>
  <c r="AF134" i="323"/>
  <c r="AB134" i="323"/>
  <c r="Z132" i="29"/>
  <c r="H91" i="639" s="1"/>
  <c r="AD132" i="29"/>
  <c r="AD132" i="104"/>
  <c r="Z132" i="104"/>
  <c r="X91" i="639" s="1"/>
  <c r="AB134" i="51"/>
  <c r="AF134" i="103"/>
  <c r="AB134" i="103"/>
  <c r="AF134" i="27"/>
  <c r="AB134" i="27"/>
  <c r="AF134" i="314"/>
  <c r="AB134" i="314"/>
  <c r="AA132" i="26"/>
  <c r="R16" i="639" s="1"/>
  <c r="AB147" i="4"/>
  <c r="Z132" i="323"/>
  <c r="G91" i="639" s="1"/>
  <c r="AD132" i="323"/>
  <c r="Z145" i="4"/>
  <c r="Y91" i="639" s="1"/>
  <c r="Z132" i="314"/>
  <c r="N91" i="639" s="1"/>
  <c r="AD132" i="314"/>
  <c r="M134" i="131"/>
  <c r="L134" i="131"/>
  <c r="Z132" i="20"/>
  <c r="J91" i="639" s="1"/>
  <c r="AD132" i="20"/>
  <c r="Z132" i="1"/>
  <c r="AE132" i="1"/>
  <c r="T135" i="63"/>
  <c r="X135" i="63" s="1"/>
  <c r="M134" i="102"/>
  <c r="L134" i="102"/>
  <c r="V134" i="16"/>
  <c r="Z134" i="16" s="1"/>
  <c r="F172" i="16" s="1"/>
  <c r="N172" i="16" s="1"/>
  <c r="L134" i="63"/>
  <c r="M134" i="63"/>
  <c r="AB134" i="18"/>
  <c r="AF134" i="18"/>
  <c r="M134" i="19"/>
  <c r="L134" i="19"/>
  <c r="S146" i="4"/>
  <c r="S133" i="3"/>
  <c r="AD17" i="639" s="1"/>
  <c r="AB134" i="104"/>
  <c r="AF134" i="104"/>
  <c r="R133" i="23"/>
  <c r="R133" i="102"/>
  <c r="V133" i="102" s="1"/>
  <c r="S133" i="103"/>
  <c r="R133" i="101"/>
  <c r="V133" i="101" s="1"/>
  <c r="Z132" i="102"/>
  <c r="U91" i="639" s="1"/>
  <c r="AD132" i="102"/>
  <c r="T135" i="3"/>
  <c r="X135" i="3" s="1"/>
  <c r="T135" i="20"/>
  <c r="X135" i="20" s="1"/>
  <c r="T135" i="314"/>
  <c r="X135" i="314" s="1"/>
  <c r="R133" i="131"/>
  <c r="V133" i="131" s="1"/>
  <c r="S133" i="27"/>
  <c r="T135" i="25"/>
  <c r="X135" i="25" s="1"/>
  <c r="S133" i="314"/>
  <c r="AD132" i="63"/>
  <c r="Z132" i="63"/>
  <c r="F91" i="639" s="1"/>
  <c r="T135" i="23"/>
  <c r="X135" i="23" s="1"/>
  <c r="AB135" i="23" s="1"/>
  <c r="AB134" i="21"/>
  <c r="AF134" i="21"/>
  <c r="AE132" i="104"/>
  <c r="X16" i="639"/>
  <c r="S133" i="20"/>
  <c r="L134" i="104"/>
  <c r="M134" i="104"/>
  <c r="M134" i="51"/>
  <c r="L134" i="51"/>
  <c r="M134" i="26"/>
  <c r="L134" i="26"/>
  <c r="R133" i="314"/>
  <c r="V133" i="314" s="1"/>
  <c r="S133" i="323"/>
  <c r="R133" i="26"/>
  <c r="V133" i="26" s="1"/>
  <c r="S133" i="25"/>
  <c r="BC149" i="4"/>
  <c r="N136" i="314"/>
  <c r="J136" i="133"/>
  <c r="N136" i="101"/>
  <c r="N136" i="323"/>
  <c r="N136" i="23"/>
  <c r="N136" i="25"/>
  <c r="N136" i="63"/>
  <c r="N136" i="20"/>
  <c r="N136" i="26"/>
  <c r="N136" i="18"/>
  <c r="N136" i="131"/>
  <c r="N136" i="3"/>
  <c r="N136" i="51"/>
  <c r="N136" i="19"/>
  <c r="N136" i="29"/>
  <c r="N136" i="27"/>
  <c r="N136" i="21"/>
  <c r="AL136" i="104"/>
  <c r="E136" i="104" s="1"/>
  <c r="J136" i="104" s="1"/>
  <c r="N136" i="102"/>
  <c r="J149" i="4"/>
  <c r="N149" i="4" s="1"/>
  <c r="N203" i="4" s="1"/>
  <c r="N136" i="1"/>
  <c r="T135" i="19"/>
  <c r="X135" i="19" s="1"/>
  <c r="T135" i="26"/>
  <c r="X135" i="26" s="1"/>
  <c r="R133" i="63"/>
  <c r="V133" i="63" s="1"/>
  <c r="S133" i="18"/>
  <c r="R133" i="20"/>
  <c r="V133" i="20" s="1"/>
  <c r="AF134" i="29"/>
  <c r="AB134" i="29"/>
  <c r="AD132" i="21"/>
  <c r="Z132" i="21"/>
  <c r="K91" i="639" s="1"/>
  <c r="L134" i="23"/>
  <c r="M134" i="23"/>
  <c r="R133" i="18"/>
  <c r="V133" i="18" s="1"/>
  <c r="L134" i="29"/>
  <c r="M134" i="29"/>
  <c r="L134" i="101"/>
  <c r="M134" i="101"/>
  <c r="S133" i="29"/>
  <c r="R133" i="323"/>
  <c r="V133" i="323" s="1"/>
  <c r="AF134" i="20"/>
  <c r="AB134" i="20"/>
  <c r="S133" i="26"/>
  <c r="R133" i="25"/>
  <c r="V133" i="25" s="1"/>
  <c r="BB148" i="4"/>
  <c r="H135" i="133"/>
  <c r="L135" i="1"/>
  <c r="AJ135" i="104"/>
  <c r="C135" i="104" s="1"/>
  <c r="H135" i="104" s="1"/>
  <c r="AK135" i="103"/>
  <c r="C135" i="103" s="1"/>
  <c r="H135" i="103" s="1"/>
  <c r="L135" i="103" s="1"/>
  <c r="T135" i="51"/>
  <c r="X135" i="51" s="1"/>
  <c r="T135" i="101"/>
  <c r="X135" i="101" s="1"/>
  <c r="AD132" i="18"/>
  <c r="Z132" i="18"/>
  <c r="E91" i="639" s="1"/>
  <c r="AF134" i="101"/>
  <c r="AB134" i="101"/>
  <c r="AF134" i="102"/>
  <c r="AB134" i="102"/>
  <c r="Z132" i="51"/>
  <c r="D91" i="639" s="1"/>
  <c r="AD132" i="23"/>
  <c r="S133" i="131"/>
  <c r="T135" i="18"/>
  <c r="X135" i="18" s="1"/>
  <c r="L134" i="3"/>
  <c r="M134" i="3"/>
  <c r="Z132" i="133"/>
  <c r="V91" i="639" s="1"/>
  <c r="AD132" i="133"/>
  <c r="AE132" i="133"/>
  <c r="Z132" i="103"/>
  <c r="W91" i="639" s="1"/>
  <c r="AD132" i="103"/>
  <c r="R133" i="27"/>
  <c r="V133" i="27" s="1"/>
  <c r="S133" i="63"/>
  <c r="AD132" i="3"/>
  <c r="Z132" i="3"/>
  <c r="C91" i="639" s="1"/>
  <c r="R133" i="29"/>
  <c r="V133" i="29" s="1"/>
  <c r="AF134" i="19"/>
  <c r="AB134" i="19"/>
  <c r="R133" i="1"/>
  <c r="V133" i="1" s="1"/>
  <c r="AF134" i="3"/>
  <c r="AB134" i="3"/>
  <c r="Z132" i="25"/>
  <c r="Q91" i="639" s="1"/>
  <c r="AD132" i="25"/>
  <c r="T135" i="102"/>
  <c r="X135" i="102" s="1"/>
  <c r="L134" i="20"/>
  <c r="M134" i="20"/>
  <c r="L134" i="314"/>
  <c r="M134" i="314"/>
  <c r="S133" i="51"/>
  <c r="AE17" i="639" s="1"/>
  <c r="AF134" i="23"/>
  <c r="S133" i="21"/>
  <c r="R133" i="133"/>
  <c r="V133" i="133" s="1"/>
  <c r="S133" i="19"/>
  <c r="T135" i="103"/>
  <c r="X135" i="103" s="1"/>
  <c r="T135" i="131"/>
  <c r="X135" i="131" s="1"/>
  <c r="AD132" i="26"/>
  <c r="Z132" i="26"/>
  <c r="R91" i="639" s="1"/>
  <c r="AB134" i="133"/>
  <c r="AF134" i="133"/>
  <c r="AE132" i="25"/>
  <c r="AA132" i="25"/>
  <c r="Q16" i="639" s="1"/>
  <c r="AA145" i="4"/>
  <c r="Y16" i="639" s="1"/>
  <c r="S133" i="104"/>
  <c r="T148" i="4"/>
  <c r="H135" i="16"/>
  <c r="M135" i="16" s="1"/>
  <c r="Q135" i="16" s="1"/>
  <c r="M134" i="27"/>
  <c r="L134" i="27"/>
  <c r="R133" i="104"/>
  <c r="V133" i="104" s="1"/>
  <c r="T135" i="1"/>
  <c r="X135" i="1" s="1"/>
  <c r="AF134" i="131"/>
  <c r="AB134" i="131"/>
  <c r="I147" i="4"/>
  <c r="M147" i="4" s="1"/>
  <c r="M201" i="4" s="1"/>
  <c r="H147" i="4"/>
  <c r="L147" i="4" s="1"/>
  <c r="L201" i="4" s="1"/>
  <c r="L134" i="133"/>
  <c r="I134" i="133"/>
  <c r="R133" i="21"/>
  <c r="V133" i="21" s="1"/>
  <c r="AF134" i="63"/>
  <c r="AB134" i="63"/>
  <c r="R133" i="19"/>
  <c r="V133" i="19" s="1"/>
  <c r="AD132" i="27"/>
  <c r="Z132" i="27"/>
  <c r="S91" i="639" s="1"/>
  <c r="T135" i="21"/>
  <c r="X135" i="21" s="1"/>
  <c r="AD132" i="131"/>
  <c r="Z132" i="131"/>
  <c r="P91" i="639" s="1"/>
  <c r="L134" i="21"/>
  <c r="M134" i="21"/>
  <c r="M134" i="18"/>
  <c r="L134" i="18"/>
  <c r="L134" i="25"/>
  <c r="M134" i="25"/>
  <c r="L134" i="323"/>
  <c r="M134" i="323"/>
  <c r="T132" i="16"/>
  <c r="X132" i="16" s="1"/>
  <c r="D170" i="16" s="1"/>
  <c r="L170" i="16" s="1"/>
  <c r="R133" i="51"/>
  <c r="V133" i="51" s="1"/>
  <c r="R146" i="4"/>
  <c r="F133" i="16"/>
  <c r="K133" i="16" s="1"/>
  <c r="O133" i="16" s="1"/>
  <c r="R133" i="3"/>
  <c r="V133" i="3" s="1"/>
  <c r="S133" i="23"/>
  <c r="W133" i="23" s="1"/>
  <c r="AA133" i="23" s="1"/>
  <c r="O17" i="639" s="1"/>
  <c r="S133" i="102"/>
  <c r="R133" i="103"/>
  <c r="V133" i="103" s="1"/>
  <c r="S133" i="101"/>
  <c r="T135" i="27"/>
  <c r="X135" i="27" s="1"/>
  <c r="T135" i="29"/>
  <c r="X135" i="29" s="1"/>
  <c r="T135" i="323"/>
  <c r="X135" i="323" s="1"/>
  <c r="AT27" i="641" l="1"/>
  <c r="AU4" i="641"/>
  <c r="B15" i="639"/>
  <c r="B28" i="639" s="1"/>
  <c r="AA132" i="18"/>
  <c r="E16" i="639" s="1"/>
  <c r="AE132" i="27"/>
  <c r="AE132" i="314"/>
  <c r="AE132" i="3"/>
  <c r="AE132" i="102"/>
  <c r="AE132" i="131"/>
  <c r="AE132" i="323"/>
  <c r="B90" i="639"/>
  <c r="W146" i="4"/>
  <c r="S200" i="4"/>
  <c r="W200" i="4" s="1"/>
  <c r="AA200" i="4" s="1"/>
  <c r="X148" i="4"/>
  <c r="T202" i="4"/>
  <c r="X202" i="4" s="1"/>
  <c r="AB202" i="4" s="1"/>
  <c r="V146" i="4"/>
  <c r="R200" i="4"/>
  <c r="V200" i="4" s="1"/>
  <c r="Z200" i="4" s="1"/>
  <c r="AE132" i="21"/>
  <c r="AA132" i="19"/>
  <c r="I16" i="639" s="1"/>
  <c r="AA132" i="20"/>
  <c r="J16" i="639" s="1"/>
  <c r="J20" i="641"/>
  <c r="I20" i="641"/>
  <c r="K17" i="641"/>
  <c r="K19" i="641" s="1"/>
  <c r="K20" i="641" s="1"/>
  <c r="J19" i="641"/>
  <c r="AF132" i="1"/>
  <c r="AA132" i="63"/>
  <c r="F16" i="639" s="1"/>
  <c r="AA132" i="103"/>
  <c r="W16" i="639" s="1"/>
  <c r="W133" i="51"/>
  <c r="W133" i="63"/>
  <c r="AG17" i="639"/>
  <c r="W133" i="18"/>
  <c r="AE133" i="18" s="1"/>
  <c r="AF17" i="639"/>
  <c r="W133" i="25"/>
  <c r="AE133" i="25" s="1"/>
  <c r="AR17" i="639"/>
  <c r="W133" i="27"/>
  <c r="AA133" i="27" s="1"/>
  <c r="S17" i="639" s="1"/>
  <c r="AT17" i="639"/>
  <c r="C14" i="491"/>
  <c r="B91" i="639"/>
  <c r="W133" i="29"/>
  <c r="AI17" i="639"/>
  <c r="AE132" i="101"/>
  <c r="W133" i="19"/>
  <c r="AE133" i="19" s="1"/>
  <c r="AJ17" i="639"/>
  <c r="W133" i="20"/>
  <c r="AA133" i="20" s="1"/>
  <c r="J17" i="639" s="1"/>
  <c r="AK17" i="639"/>
  <c r="W133" i="314"/>
  <c r="AA133" i="314" s="1"/>
  <c r="N17" i="639" s="1"/>
  <c r="AO17" i="639"/>
  <c r="V133" i="23"/>
  <c r="Z133" i="23" s="1"/>
  <c r="O92" i="639" s="1"/>
  <c r="AP17" i="639"/>
  <c r="D14" i="491"/>
  <c r="B16" i="639"/>
  <c r="W133" i="1"/>
  <c r="AF133" i="1" s="1"/>
  <c r="AC17" i="639"/>
  <c r="W133" i="104"/>
  <c r="AA133" i="104" s="1"/>
  <c r="X17" i="639" s="1"/>
  <c r="AY17" i="639"/>
  <c r="W133" i="131"/>
  <c r="AE133" i="131" s="1"/>
  <c r="AQ17" i="639"/>
  <c r="W133" i="102"/>
  <c r="AA133" i="102" s="1"/>
  <c r="U17" i="639" s="1"/>
  <c r="AV17" i="639"/>
  <c r="W133" i="21"/>
  <c r="AA133" i="21" s="1"/>
  <c r="K17" i="639" s="1"/>
  <c r="AL17" i="639"/>
  <c r="W133" i="101"/>
  <c r="AA133" i="101" s="1"/>
  <c r="T17" i="639" s="1"/>
  <c r="AU17" i="639"/>
  <c r="W133" i="26"/>
  <c r="AA133" i="26" s="1"/>
  <c r="R17" i="639" s="1"/>
  <c r="AS17" i="639"/>
  <c r="W133" i="3"/>
  <c r="AE133" i="3" s="1"/>
  <c r="W133" i="133"/>
  <c r="AE133" i="133" s="1"/>
  <c r="AW17" i="639"/>
  <c r="W133" i="103"/>
  <c r="AX17" i="639"/>
  <c r="W133" i="323"/>
  <c r="AA133" i="323" s="1"/>
  <c r="G17" i="639" s="1"/>
  <c r="AH17" i="639"/>
  <c r="N136" i="104"/>
  <c r="T136" i="104" s="1"/>
  <c r="X136" i="104" s="1"/>
  <c r="M134" i="133"/>
  <c r="S134" i="133" s="1"/>
  <c r="N136" i="133"/>
  <c r="T136" i="133" s="1"/>
  <c r="X136" i="133" s="1"/>
  <c r="AZ97" i="20"/>
  <c r="AX97" i="20"/>
  <c r="BK97" i="20" s="1"/>
  <c r="M134" i="1"/>
  <c r="S134" i="1" s="1"/>
  <c r="Z133" i="21"/>
  <c r="K92" i="639" s="1"/>
  <c r="AD133" i="21"/>
  <c r="AB135" i="27"/>
  <c r="AF135" i="27"/>
  <c r="Z133" i="26"/>
  <c r="R92" i="639" s="1"/>
  <c r="AD133" i="26"/>
  <c r="AD133" i="63"/>
  <c r="Z133" i="63"/>
  <c r="F92" i="639" s="1"/>
  <c r="AB135" i="104"/>
  <c r="AF135" i="104"/>
  <c r="AB135" i="314"/>
  <c r="AF135" i="314"/>
  <c r="AB135" i="26"/>
  <c r="AF135" i="26"/>
  <c r="AF135" i="21"/>
  <c r="AB135" i="21"/>
  <c r="Z133" i="19"/>
  <c r="I92" i="639" s="1"/>
  <c r="AD133" i="19"/>
  <c r="AB135" i="103"/>
  <c r="AF135" i="103"/>
  <c r="AG135" i="1"/>
  <c r="AB135" i="1"/>
  <c r="E17" i="491" s="1"/>
  <c r="AB135" i="323"/>
  <c r="AF135" i="323"/>
  <c r="Z133" i="131"/>
  <c r="P92" i="639" s="1"/>
  <c r="AD133" i="131"/>
  <c r="AF135" i="29"/>
  <c r="AB135" i="29"/>
  <c r="AF135" i="102"/>
  <c r="AB135" i="102"/>
  <c r="L135" i="133"/>
  <c r="I135" i="133"/>
  <c r="T136" i="29"/>
  <c r="X136" i="29" s="1"/>
  <c r="AB135" i="63"/>
  <c r="AF135" i="63"/>
  <c r="R134" i="18"/>
  <c r="V134" i="18" s="1"/>
  <c r="L135" i="19"/>
  <c r="M135" i="19"/>
  <c r="L135" i="29"/>
  <c r="M135" i="29"/>
  <c r="M135" i="101"/>
  <c r="L135" i="101"/>
  <c r="S134" i="29"/>
  <c r="BB149" i="4"/>
  <c r="H136" i="133"/>
  <c r="AK136" i="103"/>
  <c r="C136" i="103" s="1"/>
  <c r="H136" i="103" s="1"/>
  <c r="L136" i="103" s="1"/>
  <c r="L136" i="1"/>
  <c r="AJ136" i="104"/>
  <c r="C136" i="104" s="1"/>
  <c r="H136" i="104" s="1"/>
  <c r="T136" i="19"/>
  <c r="X136" i="19" s="1"/>
  <c r="T136" i="25"/>
  <c r="X136" i="25" s="1"/>
  <c r="S134" i="26"/>
  <c r="R134" i="23"/>
  <c r="AF135" i="3"/>
  <c r="AB135" i="3"/>
  <c r="AE133" i="23"/>
  <c r="Z133" i="51"/>
  <c r="D92" i="639" s="1"/>
  <c r="S134" i="18"/>
  <c r="R134" i="133"/>
  <c r="V134" i="133" s="1"/>
  <c r="AD133" i="104"/>
  <c r="Z133" i="104"/>
  <c r="X92" i="639" s="1"/>
  <c r="AB135" i="133"/>
  <c r="AF135" i="133"/>
  <c r="Z133" i="29"/>
  <c r="H92" i="639" s="1"/>
  <c r="AD133" i="29"/>
  <c r="S134" i="3"/>
  <c r="AD18" i="639" s="1"/>
  <c r="AF135" i="101"/>
  <c r="AB135" i="101"/>
  <c r="M135" i="104"/>
  <c r="L135" i="104"/>
  <c r="L135" i="23"/>
  <c r="M135" i="23"/>
  <c r="M135" i="314"/>
  <c r="L135" i="314"/>
  <c r="R134" i="29"/>
  <c r="V134" i="29" s="1"/>
  <c r="T149" i="4"/>
  <c r="H136" i="16"/>
  <c r="M136" i="16" s="1"/>
  <c r="Q136" i="16" s="1"/>
  <c r="T136" i="51"/>
  <c r="X136" i="51" s="1"/>
  <c r="T136" i="23"/>
  <c r="X136" i="23" s="1"/>
  <c r="AB136" i="23" s="1"/>
  <c r="R134" i="51"/>
  <c r="V134" i="51" s="1"/>
  <c r="R134" i="19"/>
  <c r="V134" i="19" s="1"/>
  <c r="S134" i="21"/>
  <c r="R147" i="4"/>
  <c r="F134" i="16"/>
  <c r="K134" i="16" s="1"/>
  <c r="O134" i="16" s="1"/>
  <c r="R134" i="27"/>
  <c r="V134" i="27" s="1"/>
  <c r="R134" i="3"/>
  <c r="V134" i="3" s="1"/>
  <c r="I148" i="4"/>
  <c r="M148" i="4" s="1"/>
  <c r="M202" i="4" s="1"/>
  <c r="H148" i="4"/>
  <c r="L148" i="4" s="1"/>
  <c r="L202" i="4" s="1"/>
  <c r="L135" i="18"/>
  <c r="M135" i="18"/>
  <c r="L135" i="323"/>
  <c r="M135" i="323"/>
  <c r="S134" i="103"/>
  <c r="T136" i="102"/>
  <c r="X136" i="102" s="1"/>
  <c r="T136" i="3"/>
  <c r="X136" i="3" s="1"/>
  <c r="T136" i="323"/>
  <c r="X136" i="323" s="1"/>
  <c r="S134" i="51"/>
  <c r="AE18" i="639" s="1"/>
  <c r="S134" i="19"/>
  <c r="R134" i="25"/>
  <c r="V134" i="25" s="1"/>
  <c r="R134" i="26"/>
  <c r="V134" i="26" s="1"/>
  <c r="Z133" i="102"/>
  <c r="U92" i="639" s="1"/>
  <c r="AD133" i="102"/>
  <c r="R134" i="21"/>
  <c r="V134" i="21" s="1"/>
  <c r="S134" i="27"/>
  <c r="AB135" i="131"/>
  <c r="AF135" i="131"/>
  <c r="S134" i="314"/>
  <c r="AB135" i="18"/>
  <c r="AF135" i="18"/>
  <c r="AB135" i="51"/>
  <c r="M135" i="3"/>
  <c r="L135" i="3"/>
  <c r="Z133" i="323"/>
  <c r="G92" i="639" s="1"/>
  <c r="AD133" i="323"/>
  <c r="R134" i="103"/>
  <c r="V134" i="103" s="1"/>
  <c r="T136" i="103"/>
  <c r="X136" i="103" s="1"/>
  <c r="T136" i="131"/>
  <c r="X136" i="131" s="1"/>
  <c r="T136" i="101"/>
  <c r="X136" i="101" s="1"/>
  <c r="S134" i="104"/>
  <c r="AF135" i="23"/>
  <c r="AF135" i="25"/>
  <c r="AB135" i="25"/>
  <c r="L135" i="51"/>
  <c r="M135" i="51"/>
  <c r="T136" i="1"/>
  <c r="X136" i="1" s="1"/>
  <c r="AD133" i="3"/>
  <c r="Z133" i="3"/>
  <c r="C92" i="639" s="1"/>
  <c r="S147" i="4"/>
  <c r="AD133" i="133"/>
  <c r="Z133" i="133"/>
  <c r="V92" i="639" s="1"/>
  <c r="S134" i="323"/>
  <c r="V135" i="16"/>
  <c r="Z135" i="16" s="1"/>
  <c r="F173" i="16" s="1"/>
  <c r="N173" i="16" s="1"/>
  <c r="R134" i="314"/>
  <c r="V134" i="314" s="1"/>
  <c r="L135" i="21"/>
  <c r="M135" i="21"/>
  <c r="M135" i="131"/>
  <c r="L135" i="131"/>
  <c r="AD133" i="25"/>
  <c r="Z133" i="25"/>
  <c r="Q92" i="639" s="1"/>
  <c r="AA133" i="29"/>
  <c r="H17" i="639" s="1"/>
  <c r="AE133" i="29"/>
  <c r="AD133" i="18"/>
  <c r="Z133" i="18"/>
  <c r="E92" i="639" s="1"/>
  <c r="Z133" i="20"/>
  <c r="J92" i="639" s="1"/>
  <c r="AD133" i="20"/>
  <c r="AB135" i="19"/>
  <c r="AF135" i="19"/>
  <c r="T136" i="18"/>
  <c r="X136" i="18" s="1"/>
  <c r="R134" i="104"/>
  <c r="V134" i="104" s="1"/>
  <c r="Z133" i="101"/>
  <c r="T92" i="639" s="1"/>
  <c r="AD133" i="101"/>
  <c r="R134" i="1"/>
  <c r="V134" i="1" s="1"/>
  <c r="L135" i="20"/>
  <c r="M135" i="20"/>
  <c r="T136" i="21"/>
  <c r="X136" i="21" s="1"/>
  <c r="T136" i="26"/>
  <c r="X136" i="26" s="1"/>
  <c r="T136" i="314"/>
  <c r="X136" i="314" s="1"/>
  <c r="Z133" i="314"/>
  <c r="N92" i="639" s="1"/>
  <c r="AD133" i="314"/>
  <c r="AF135" i="20"/>
  <c r="AB135" i="20"/>
  <c r="AA133" i="103"/>
  <c r="W17" i="639" s="1"/>
  <c r="AE133" i="103"/>
  <c r="S134" i="63"/>
  <c r="R134" i="102"/>
  <c r="V134" i="102" s="1"/>
  <c r="R134" i="131"/>
  <c r="V134" i="131" s="1"/>
  <c r="AD133" i="27"/>
  <c r="Z133" i="27"/>
  <c r="S92" i="639" s="1"/>
  <c r="R134" i="101"/>
  <c r="V134" i="101" s="1"/>
  <c r="T136" i="63"/>
  <c r="X136" i="63" s="1"/>
  <c r="AD133" i="103"/>
  <c r="Z133" i="103"/>
  <c r="W92" i="639" s="1"/>
  <c r="T133" i="16"/>
  <c r="X133" i="16" s="1"/>
  <c r="D171" i="16" s="1"/>
  <c r="L171" i="16" s="1"/>
  <c r="R134" i="323"/>
  <c r="V134" i="323" s="1"/>
  <c r="AB148" i="4"/>
  <c r="AE133" i="21"/>
  <c r="S134" i="20"/>
  <c r="Z133" i="1"/>
  <c r="AE133" i="1"/>
  <c r="AA133" i="63"/>
  <c r="F17" i="639" s="1"/>
  <c r="AE133" i="63"/>
  <c r="AA133" i="131"/>
  <c r="P17" i="639" s="1"/>
  <c r="L135" i="102"/>
  <c r="M135" i="102"/>
  <c r="L135" i="25"/>
  <c r="M135" i="25"/>
  <c r="S134" i="25"/>
  <c r="R134" i="20"/>
  <c r="V134" i="20" s="1"/>
  <c r="M135" i="27"/>
  <c r="L135" i="27"/>
  <c r="M135" i="63"/>
  <c r="L135" i="63"/>
  <c r="L135" i="26"/>
  <c r="M135" i="26"/>
  <c r="S134" i="101"/>
  <c r="S134" i="23"/>
  <c r="W134" i="23" s="1"/>
  <c r="AA134" i="23" s="1"/>
  <c r="O18" i="639" s="1"/>
  <c r="BC150" i="4"/>
  <c r="N137" i="323"/>
  <c r="N137" i="314"/>
  <c r="N137" i="101"/>
  <c r="N137" i="20"/>
  <c r="N137" i="23"/>
  <c r="N137" i="26"/>
  <c r="N137" i="18"/>
  <c r="N137" i="25"/>
  <c r="N137" i="21"/>
  <c r="N137" i="29"/>
  <c r="N137" i="63"/>
  <c r="N137" i="3"/>
  <c r="J137" i="133"/>
  <c r="N137" i="131"/>
  <c r="N137" i="51"/>
  <c r="N137" i="19"/>
  <c r="N137" i="27"/>
  <c r="N137" i="1"/>
  <c r="AL137" i="104"/>
  <c r="E137" i="104" s="1"/>
  <c r="J137" i="104" s="1"/>
  <c r="J150" i="4"/>
  <c r="N150" i="4" s="1"/>
  <c r="N204" i="4" s="1"/>
  <c r="N137" i="102"/>
  <c r="T136" i="27"/>
  <c r="X136" i="27" s="1"/>
  <c r="T136" i="20"/>
  <c r="X136" i="20" s="1"/>
  <c r="R134" i="63"/>
  <c r="V134" i="63" s="1"/>
  <c r="S134" i="102"/>
  <c r="S134" i="131"/>
  <c r="AV4" i="641" l="1"/>
  <c r="AU27" i="641"/>
  <c r="Z146" i="4"/>
  <c r="Y92" i="639" s="1"/>
  <c r="AE133" i="104"/>
  <c r="AE133" i="102"/>
  <c r="AA133" i="133"/>
  <c r="V17" i="639" s="1"/>
  <c r="AE133" i="27"/>
  <c r="AE133" i="314"/>
  <c r="AA146" i="4"/>
  <c r="Y17" i="639" s="1"/>
  <c r="AA133" i="3"/>
  <c r="C17" i="639" s="1"/>
  <c r="AA133" i="18"/>
  <c r="E17" i="639" s="1"/>
  <c r="AE133" i="101"/>
  <c r="W147" i="4"/>
  <c r="S201" i="4"/>
  <c r="W201" i="4" s="1"/>
  <c r="AA201" i="4" s="1"/>
  <c r="X149" i="4"/>
  <c r="T203" i="4"/>
  <c r="X203" i="4" s="1"/>
  <c r="AB203" i="4" s="1"/>
  <c r="V147" i="4"/>
  <c r="R201" i="4"/>
  <c r="V201" i="4" s="1"/>
  <c r="Z201" i="4" s="1"/>
  <c r="AE133" i="20"/>
  <c r="AA133" i="19"/>
  <c r="I17" i="639" s="1"/>
  <c r="AA133" i="51"/>
  <c r="D17" i="639" s="1"/>
  <c r="L17" i="641"/>
  <c r="L19" i="641" s="1"/>
  <c r="AA133" i="1"/>
  <c r="B17" i="639" s="1"/>
  <c r="AE133" i="323"/>
  <c r="AD133" i="23"/>
  <c r="W134" i="63"/>
  <c r="AE134" i="63" s="1"/>
  <c r="AG18" i="639"/>
  <c r="W134" i="131"/>
  <c r="AE134" i="131" s="1"/>
  <c r="AQ18" i="639"/>
  <c r="AA133" i="25"/>
  <c r="Q17" i="639" s="1"/>
  <c r="W134" i="104"/>
  <c r="AA134" i="104" s="1"/>
  <c r="X18" i="639" s="1"/>
  <c r="AY18" i="639"/>
  <c r="W134" i="27"/>
  <c r="AE134" i="27" s="1"/>
  <c r="AT18" i="639"/>
  <c r="W134" i="19"/>
  <c r="AE134" i="19" s="1"/>
  <c r="AJ18" i="639"/>
  <c r="W134" i="21"/>
  <c r="AA134" i="21" s="1"/>
  <c r="K18" i="639" s="1"/>
  <c r="AL18" i="639"/>
  <c r="W134" i="3"/>
  <c r="AA134" i="3" s="1"/>
  <c r="C18" i="639" s="1"/>
  <c r="V134" i="23"/>
  <c r="Z134" i="23" s="1"/>
  <c r="O93" i="639" s="1"/>
  <c r="AP18" i="639"/>
  <c r="W134" i="51"/>
  <c r="W134" i="26"/>
  <c r="AE134" i="26" s="1"/>
  <c r="AS18" i="639"/>
  <c r="W134" i="29"/>
  <c r="AA134" i="29" s="1"/>
  <c r="H18" i="639" s="1"/>
  <c r="AI18" i="639"/>
  <c r="W134" i="1"/>
  <c r="AF134" i="1" s="1"/>
  <c r="AC18" i="639"/>
  <c r="W134" i="18"/>
  <c r="AE134" i="18" s="1"/>
  <c r="AF18" i="639"/>
  <c r="W134" i="101"/>
  <c r="AE134" i="101" s="1"/>
  <c r="AU18" i="639"/>
  <c r="AE133" i="26"/>
  <c r="W134" i="102"/>
  <c r="AE134" i="102" s="1"/>
  <c r="AV18" i="639"/>
  <c r="W134" i="25"/>
  <c r="AE134" i="25" s="1"/>
  <c r="AR18" i="639"/>
  <c r="C15" i="491"/>
  <c r="B92" i="639"/>
  <c r="W134" i="20"/>
  <c r="AE134" i="20" s="1"/>
  <c r="AK18" i="639"/>
  <c r="W134" i="314"/>
  <c r="AA134" i="314" s="1"/>
  <c r="N18" i="639" s="1"/>
  <c r="AO18" i="639"/>
  <c r="W134" i="133"/>
  <c r="AE134" i="133" s="1"/>
  <c r="AW18" i="639"/>
  <c r="W134" i="103"/>
  <c r="AA134" i="103" s="1"/>
  <c r="W18" i="639" s="1"/>
  <c r="AX18" i="639"/>
  <c r="W134" i="323"/>
  <c r="AA134" i="323" s="1"/>
  <c r="G18" i="639" s="1"/>
  <c r="AH18" i="639"/>
  <c r="N137" i="133"/>
  <c r="T137" i="133" s="1"/>
  <c r="X137" i="133" s="1"/>
  <c r="M135" i="133"/>
  <c r="S135" i="133" s="1"/>
  <c r="N137" i="104"/>
  <c r="T137" i="104" s="1"/>
  <c r="X137" i="104" s="1"/>
  <c r="M135" i="1"/>
  <c r="S135" i="1" s="1"/>
  <c r="AD134" i="323"/>
  <c r="Z134" i="323"/>
  <c r="G93" i="639" s="1"/>
  <c r="AD134" i="101"/>
  <c r="Z134" i="101"/>
  <c r="T93" i="639" s="1"/>
  <c r="AD134" i="19"/>
  <c r="Z134" i="19"/>
  <c r="I93" i="639" s="1"/>
  <c r="AB136" i="27"/>
  <c r="AF136" i="27"/>
  <c r="AD134" i="314"/>
  <c r="Z134" i="314"/>
  <c r="N93" i="639" s="1"/>
  <c r="AB136" i="101"/>
  <c r="AF136" i="101"/>
  <c r="Z134" i="51"/>
  <c r="D93" i="639" s="1"/>
  <c r="AB136" i="25"/>
  <c r="AF136" i="25"/>
  <c r="AF136" i="63"/>
  <c r="AB136" i="63"/>
  <c r="AB136" i="104"/>
  <c r="AF136" i="104"/>
  <c r="AF136" i="23"/>
  <c r="AD134" i="26"/>
  <c r="Z134" i="26"/>
  <c r="R93" i="639" s="1"/>
  <c r="AF136" i="19"/>
  <c r="AB136" i="19"/>
  <c r="Z134" i="18"/>
  <c r="E93" i="639" s="1"/>
  <c r="AD134" i="18"/>
  <c r="AB136" i="103"/>
  <c r="AF136" i="103"/>
  <c r="AD134" i="131"/>
  <c r="Z134" i="131"/>
  <c r="P93" i="639" s="1"/>
  <c r="AA134" i="27"/>
  <c r="S18" i="639" s="1"/>
  <c r="AB136" i="314"/>
  <c r="AF136" i="314"/>
  <c r="AF136" i="323"/>
  <c r="AB136" i="323"/>
  <c r="AB136" i="29"/>
  <c r="AF136" i="29"/>
  <c r="AB136" i="26"/>
  <c r="AF136" i="26"/>
  <c r="AD134" i="63"/>
  <c r="Z134" i="63"/>
  <c r="F93" i="639" s="1"/>
  <c r="BC151" i="4"/>
  <c r="N138" i="314"/>
  <c r="N138" i="323"/>
  <c r="N138" i="20"/>
  <c r="N138" i="23"/>
  <c r="N138" i="101"/>
  <c r="N138" i="18"/>
  <c r="N138" i="26"/>
  <c r="N138" i="25"/>
  <c r="J138" i="133"/>
  <c r="N138" i="29"/>
  <c r="N138" i="19"/>
  <c r="N138" i="63"/>
  <c r="N138" i="21"/>
  <c r="N138" i="131"/>
  <c r="N138" i="51"/>
  <c r="N138" i="3"/>
  <c r="N138" i="27"/>
  <c r="BB151" i="4"/>
  <c r="J151" i="4"/>
  <c r="N151" i="4" s="1"/>
  <c r="N205" i="4" s="1"/>
  <c r="AL138" i="104"/>
  <c r="E138" i="104" s="1"/>
  <c r="J138" i="104" s="1"/>
  <c r="N138" i="1"/>
  <c r="N138" i="102"/>
  <c r="R135" i="323"/>
  <c r="V135" i="323" s="1"/>
  <c r="V136" i="16"/>
  <c r="Z136" i="16" s="1"/>
  <c r="F174" i="16" s="1"/>
  <c r="N174" i="16" s="1"/>
  <c r="M136" i="21"/>
  <c r="L136" i="21"/>
  <c r="AE134" i="29"/>
  <c r="BB150" i="4"/>
  <c r="H137" i="133"/>
  <c r="AK137" i="103"/>
  <c r="C137" i="103" s="1"/>
  <c r="H137" i="103" s="1"/>
  <c r="L137" i="103" s="1"/>
  <c r="AJ137" i="104"/>
  <c r="C137" i="104" s="1"/>
  <c r="H137" i="104" s="1"/>
  <c r="L137" i="1"/>
  <c r="T137" i="51"/>
  <c r="X137" i="51" s="1"/>
  <c r="T137" i="18"/>
  <c r="X137" i="18" s="1"/>
  <c r="AE134" i="23"/>
  <c r="R135" i="27"/>
  <c r="V135" i="27" s="1"/>
  <c r="S135" i="102"/>
  <c r="Z134" i="102"/>
  <c r="U93" i="639" s="1"/>
  <c r="AD134" i="102"/>
  <c r="AF136" i="21"/>
  <c r="AB136" i="21"/>
  <c r="AD134" i="104"/>
  <c r="Z134" i="104"/>
  <c r="X93" i="639" s="1"/>
  <c r="Z134" i="21"/>
  <c r="K93" i="639" s="1"/>
  <c r="AD134" i="21"/>
  <c r="AD134" i="25"/>
  <c r="Z134" i="25"/>
  <c r="Q93" i="639" s="1"/>
  <c r="AF136" i="3"/>
  <c r="AB136" i="3"/>
  <c r="S135" i="18"/>
  <c r="T134" i="16"/>
  <c r="X134" i="16" s="1"/>
  <c r="D172" i="16" s="1"/>
  <c r="L172" i="16" s="1"/>
  <c r="AB149" i="4"/>
  <c r="R135" i="104"/>
  <c r="V135" i="104" s="1"/>
  <c r="L136" i="102"/>
  <c r="M136" i="102"/>
  <c r="L136" i="63"/>
  <c r="M136" i="63"/>
  <c r="M136" i="20"/>
  <c r="L136" i="20"/>
  <c r="T137" i="25"/>
  <c r="X137" i="25" s="1"/>
  <c r="R135" i="51"/>
  <c r="V135" i="51" s="1"/>
  <c r="Z134" i="103"/>
  <c r="W93" i="639" s="1"/>
  <c r="AD134" i="103"/>
  <c r="AD134" i="27"/>
  <c r="Z134" i="27"/>
  <c r="S93" i="639" s="1"/>
  <c r="R135" i="23"/>
  <c r="Z134" i="133"/>
  <c r="V93" i="639" s="1"/>
  <c r="AD134" i="133"/>
  <c r="L136" i="23"/>
  <c r="M136" i="23"/>
  <c r="T137" i="103"/>
  <c r="X137" i="103" s="1"/>
  <c r="T137" i="131"/>
  <c r="X137" i="131" s="1"/>
  <c r="T137" i="26"/>
  <c r="X137" i="26" s="1"/>
  <c r="S135" i="27"/>
  <c r="R135" i="102"/>
  <c r="V135" i="102" s="1"/>
  <c r="R135" i="18"/>
  <c r="V135" i="18" s="1"/>
  <c r="S135" i="104"/>
  <c r="M136" i="104"/>
  <c r="L136" i="104"/>
  <c r="L136" i="51"/>
  <c r="M136" i="51"/>
  <c r="I136" i="133"/>
  <c r="L136" i="133"/>
  <c r="R135" i="101"/>
  <c r="V135" i="101" s="1"/>
  <c r="M136" i="19"/>
  <c r="L136" i="19"/>
  <c r="L136" i="25"/>
  <c r="M136" i="25"/>
  <c r="M136" i="101"/>
  <c r="L136" i="101"/>
  <c r="S135" i="101"/>
  <c r="S135" i="63"/>
  <c r="T137" i="102"/>
  <c r="X137" i="102" s="1"/>
  <c r="AB136" i="133"/>
  <c r="AF136" i="133"/>
  <c r="AB136" i="131"/>
  <c r="AF136" i="131"/>
  <c r="R148" i="4"/>
  <c r="F135" i="16"/>
  <c r="K135" i="16" s="1"/>
  <c r="O135" i="16" s="1"/>
  <c r="T150" i="4"/>
  <c r="H137" i="16"/>
  <c r="M137" i="16" s="1"/>
  <c r="Q137" i="16" s="1"/>
  <c r="T137" i="3"/>
  <c r="X137" i="3" s="1"/>
  <c r="T137" i="20"/>
  <c r="X137" i="20" s="1"/>
  <c r="R135" i="20"/>
  <c r="V135" i="20" s="1"/>
  <c r="S135" i="131"/>
  <c r="S135" i="3"/>
  <c r="AD19" i="639" s="1"/>
  <c r="S148" i="4"/>
  <c r="AE134" i="21"/>
  <c r="I149" i="4"/>
  <c r="M149" i="4" s="1"/>
  <c r="M203" i="4" s="1"/>
  <c r="H149" i="4"/>
  <c r="L149" i="4" s="1"/>
  <c r="L203" i="4" s="1"/>
  <c r="L136" i="29"/>
  <c r="M136" i="29"/>
  <c r="M136" i="26"/>
  <c r="L136" i="26"/>
  <c r="S135" i="29"/>
  <c r="S135" i="20"/>
  <c r="AG136" i="1"/>
  <c r="AB136" i="1"/>
  <c r="E18" i="491" s="1"/>
  <c r="R135" i="1"/>
  <c r="V135" i="1" s="1"/>
  <c r="R135" i="314"/>
  <c r="V135" i="314" s="1"/>
  <c r="L136" i="18"/>
  <c r="M136" i="18"/>
  <c r="M136" i="323"/>
  <c r="L136" i="323"/>
  <c r="R135" i="29"/>
  <c r="V135" i="29" s="1"/>
  <c r="R135" i="133"/>
  <c r="V135" i="133" s="1"/>
  <c r="R135" i="25"/>
  <c r="V135" i="25" s="1"/>
  <c r="S135" i="26"/>
  <c r="AE134" i="1"/>
  <c r="Z134" i="1"/>
  <c r="AB136" i="18"/>
  <c r="AF136" i="18"/>
  <c r="T137" i="1"/>
  <c r="X137" i="1" s="1"/>
  <c r="T137" i="29"/>
  <c r="X137" i="29" s="1"/>
  <c r="T137" i="314"/>
  <c r="X137" i="314" s="1"/>
  <c r="R135" i="26"/>
  <c r="V135" i="26" s="1"/>
  <c r="R135" i="21"/>
  <c r="V135" i="21" s="1"/>
  <c r="Z134" i="3"/>
  <c r="C93" i="639" s="1"/>
  <c r="AD134" i="3"/>
  <c r="S135" i="103"/>
  <c r="AB136" i="51"/>
  <c r="S135" i="314"/>
  <c r="L136" i="27"/>
  <c r="M136" i="27"/>
  <c r="M136" i="131"/>
  <c r="L136" i="131"/>
  <c r="M136" i="314"/>
  <c r="L136" i="314"/>
  <c r="S135" i="19"/>
  <c r="T137" i="19"/>
  <c r="X137" i="19" s="1"/>
  <c r="AA147" i="4"/>
  <c r="Y18" i="639" s="1"/>
  <c r="T137" i="23"/>
  <c r="X137" i="23" s="1"/>
  <c r="AB137" i="23" s="1"/>
  <c r="Z134" i="20"/>
  <c r="J93" i="639" s="1"/>
  <c r="AD134" i="20"/>
  <c r="R135" i="131"/>
  <c r="V135" i="131" s="1"/>
  <c r="R135" i="3"/>
  <c r="V135" i="3" s="1"/>
  <c r="AF136" i="102"/>
  <c r="AB136" i="102"/>
  <c r="AD134" i="29"/>
  <c r="Z134" i="29"/>
  <c r="H93" i="639" s="1"/>
  <c r="AF136" i="20"/>
  <c r="AB136" i="20"/>
  <c r="T137" i="63"/>
  <c r="X137" i="63" s="1"/>
  <c r="T137" i="101"/>
  <c r="X137" i="101" s="1"/>
  <c r="S135" i="21"/>
  <c r="T137" i="27"/>
  <c r="X137" i="27" s="1"/>
  <c r="T137" i="21"/>
  <c r="X137" i="21" s="1"/>
  <c r="T137" i="323"/>
  <c r="X137" i="323" s="1"/>
  <c r="R135" i="63"/>
  <c r="V135" i="63" s="1"/>
  <c r="S135" i="25"/>
  <c r="S135" i="51"/>
  <c r="AE19" i="639" s="1"/>
  <c r="S135" i="323"/>
  <c r="R135" i="103"/>
  <c r="V135" i="103" s="1"/>
  <c r="S135" i="23"/>
  <c r="W135" i="23" s="1"/>
  <c r="AA135" i="23" s="1"/>
  <c r="O19" i="639" s="1"/>
  <c r="M136" i="3"/>
  <c r="L136" i="3"/>
  <c r="R135" i="19"/>
  <c r="V135" i="19" s="1"/>
  <c r="AA134" i="63" l="1"/>
  <c r="F18" i="639" s="1"/>
  <c r="AA134" i="26"/>
  <c r="R18" i="639" s="1"/>
  <c r="AA134" i="51"/>
  <c r="D18" i="639" s="1"/>
  <c r="AE134" i="314"/>
  <c r="AA134" i="101"/>
  <c r="T18" i="639" s="1"/>
  <c r="AA134" i="19"/>
  <c r="I18" i="639" s="1"/>
  <c r="AA134" i="25"/>
  <c r="Q18" i="639" s="1"/>
  <c r="AA134" i="18"/>
  <c r="E18" i="639" s="1"/>
  <c r="AA134" i="102"/>
  <c r="U18" i="639" s="1"/>
  <c r="AA134" i="133"/>
  <c r="V18" i="639" s="1"/>
  <c r="X150" i="4"/>
  <c r="T204" i="4"/>
  <c r="X204" i="4" s="1"/>
  <c r="AB204" i="4" s="1"/>
  <c r="W148" i="4"/>
  <c r="S202" i="4"/>
  <c r="W202" i="4" s="1"/>
  <c r="AA202" i="4" s="1"/>
  <c r="V148" i="4"/>
  <c r="R202" i="4"/>
  <c r="V202" i="4" s="1"/>
  <c r="Z202" i="4" s="1"/>
  <c r="Z147" i="4"/>
  <c r="Y93" i="639" s="1"/>
  <c r="AA134" i="131"/>
  <c r="P18" i="639" s="1"/>
  <c r="AD134" i="23"/>
  <c r="D15" i="491"/>
  <c r="AA134" i="1"/>
  <c r="B18" i="639" s="1"/>
  <c r="AE134" i="3"/>
  <c r="AE134" i="103"/>
  <c r="C16" i="491"/>
  <c r="B93" i="639"/>
  <c r="W135" i="18"/>
  <c r="AA135" i="18" s="1"/>
  <c r="E19" i="639" s="1"/>
  <c r="AF19" i="639"/>
  <c r="AA134" i="20"/>
  <c r="J18" i="639" s="1"/>
  <c r="W135" i="26"/>
  <c r="AE135" i="26" s="1"/>
  <c r="AS19" i="639"/>
  <c r="W135" i="131"/>
  <c r="AA135" i="131" s="1"/>
  <c r="P19" i="639" s="1"/>
  <c r="AQ19" i="639"/>
  <c r="W135" i="104"/>
  <c r="AE135" i="104" s="1"/>
  <c r="AY19" i="639"/>
  <c r="W135" i="3"/>
  <c r="AA135" i="3" s="1"/>
  <c r="C19" i="639" s="1"/>
  <c r="W135" i="63"/>
  <c r="AA135" i="63" s="1"/>
  <c r="F19" i="639" s="1"/>
  <c r="AG19" i="639"/>
  <c r="W135" i="19"/>
  <c r="AA135" i="19" s="1"/>
  <c r="I19" i="639" s="1"/>
  <c r="AJ19" i="639"/>
  <c r="W135" i="101"/>
  <c r="AA135" i="101" s="1"/>
  <c r="T19" i="639" s="1"/>
  <c r="AU19" i="639"/>
  <c r="W135" i="1"/>
  <c r="AA135" i="1" s="1"/>
  <c r="AC19" i="639"/>
  <c r="W135" i="27"/>
  <c r="AA135" i="27" s="1"/>
  <c r="S19" i="639" s="1"/>
  <c r="AT19" i="639"/>
  <c r="V135" i="23"/>
  <c r="Z135" i="23" s="1"/>
  <c r="O94" i="639" s="1"/>
  <c r="AP19" i="639"/>
  <c r="W135" i="51"/>
  <c r="AA135" i="51" s="1"/>
  <c r="D19" i="639" s="1"/>
  <c r="W135" i="20"/>
  <c r="AA135" i="20" s="1"/>
  <c r="J19" i="639" s="1"/>
  <c r="AK19" i="639"/>
  <c r="AE134" i="323"/>
  <c r="AE134" i="104"/>
  <c r="W135" i="133"/>
  <c r="AA135" i="133" s="1"/>
  <c r="V19" i="639" s="1"/>
  <c r="AW19" i="639"/>
  <c r="W135" i="102"/>
  <c r="AV19" i="639"/>
  <c r="W135" i="314"/>
  <c r="AE135" i="314" s="1"/>
  <c r="AO19" i="639"/>
  <c r="W135" i="21"/>
  <c r="AE135" i="21" s="1"/>
  <c r="AL19" i="639"/>
  <c r="W135" i="25"/>
  <c r="AE135" i="25" s="1"/>
  <c r="AR19" i="639"/>
  <c r="W135" i="29"/>
  <c r="AI19" i="639"/>
  <c r="W135" i="103"/>
  <c r="AE135" i="103" s="1"/>
  <c r="AX19" i="639"/>
  <c r="W135" i="323"/>
  <c r="AE135" i="323" s="1"/>
  <c r="AH19" i="639"/>
  <c r="M136" i="133"/>
  <c r="S136" i="133" s="1"/>
  <c r="N138" i="133"/>
  <c r="T138" i="133" s="1"/>
  <c r="X138" i="133" s="1"/>
  <c r="N138" i="104"/>
  <c r="T138" i="104" s="1"/>
  <c r="X138" i="104" s="1"/>
  <c r="M136" i="1"/>
  <c r="S136" i="1" s="1"/>
  <c r="AD135" i="101"/>
  <c r="Z135" i="101"/>
  <c r="T94" i="639" s="1"/>
  <c r="AD135" i="323"/>
  <c r="Z135" i="323"/>
  <c r="G94" i="639" s="1"/>
  <c r="AD135" i="26"/>
  <c r="Z135" i="26"/>
  <c r="R94" i="639" s="1"/>
  <c r="AF137" i="314"/>
  <c r="AB137" i="314"/>
  <c r="Z135" i="20"/>
  <c r="J94" i="639" s="1"/>
  <c r="AD135" i="20"/>
  <c r="AB137" i="26"/>
  <c r="AF137" i="26"/>
  <c r="AF137" i="323"/>
  <c r="AB137" i="323"/>
  <c r="AF137" i="23"/>
  <c r="AD135" i="131"/>
  <c r="Z135" i="131"/>
  <c r="P94" i="639" s="1"/>
  <c r="AB137" i="101"/>
  <c r="AF137" i="101"/>
  <c r="AB137" i="21"/>
  <c r="AF137" i="21"/>
  <c r="AE135" i="29"/>
  <c r="AA135" i="29"/>
  <c r="H19" i="639" s="1"/>
  <c r="AD135" i="103"/>
  <c r="Z135" i="103"/>
  <c r="W94" i="639" s="1"/>
  <c r="AE135" i="1"/>
  <c r="Z135" i="1"/>
  <c r="AA148" i="4"/>
  <c r="Y19" i="639" s="1"/>
  <c r="AD135" i="27"/>
  <c r="Z135" i="27"/>
  <c r="S94" i="639" s="1"/>
  <c r="AF137" i="133"/>
  <c r="AB137" i="133"/>
  <c r="AE135" i="3"/>
  <c r="Z135" i="51"/>
  <c r="D94" i="639" s="1"/>
  <c r="Z135" i="314"/>
  <c r="N94" i="639" s="1"/>
  <c r="AD135" i="314"/>
  <c r="S136" i="23"/>
  <c r="W136" i="23" s="1"/>
  <c r="AA136" i="23" s="1"/>
  <c r="O20" i="639" s="1"/>
  <c r="Z135" i="104"/>
  <c r="X94" i="639" s="1"/>
  <c r="AD135" i="104"/>
  <c r="S136" i="314"/>
  <c r="S149" i="4"/>
  <c r="S136" i="19"/>
  <c r="S136" i="104"/>
  <c r="R136" i="23"/>
  <c r="R136" i="63"/>
  <c r="V136" i="63" s="1"/>
  <c r="L137" i="51"/>
  <c r="M137" i="51"/>
  <c r="M137" i="19"/>
  <c r="L137" i="19"/>
  <c r="T138" i="102"/>
  <c r="X138" i="102" s="1"/>
  <c r="T138" i="3"/>
  <c r="X138" i="3" s="1"/>
  <c r="T138" i="25"/>
  <c r="X138" i="25" s="1"/>
  <c r="R136" i="3"/>
  <c r="V136" i="3" s="1"/>
  <c r="Z135" i="29"/>
  <c r="H94" i="639" s="1"/>
  <c r="AD135" i="29"/>
  <c r="R136" i="104"/>
  <c r="V136" i="104" s="1"/>
  <c r="T138" i="27"/>
  <c r="X138" i="27" s="1"/>
  <c r="S136" i="3"/>
  <c r="AD20" i="639" s="1"/>
  <c r="R136" i="103"/>
  <c r="V136" i="103" s="1"/>
  <c r="R136" i="131"/>
  <c r="V136" i="131" s="1"/>
  <c r="R136" i="323"/>
  <c r="V136" i="323" s="1"/>
  <c r="S136" i="102"/>
  <c r="L137" i="21"/>
  <c r="M137" i="21"/>
  <c r="M137" i="131"/>
  <c r="L137" i="131"/>
  <c r="T138" i="1"/>
  <c r="X138" i="1" s="1"/>
  <c r="T138" i="51"/>
  <c r="X138" i="51" s="1"/>
  <c r="T138" i="26"/>
  <c r="X138" i="26" s="1"/>
  <c r="R136" i="314"/>
  <c r="V136" i="314" s="1"/>
  <c r="AE135" i="131"/>
  <c r="S136" i="63"/>
  <c r="AE135" i="102"/>
  <c r="AA135" i="102"/>
  <c r="U19" i="639" s="1"/>
  <c r="S136" i="323"/>
  <c r="T135" i="16"/>
  <c r="X135" i="16" s="1"/>
  <c r="D173" i="16" s="1"/>
  <c r="L173" i="16" s="1"/>
  <c r="AE135" i="101"/>
  <c r="R136" i="102"/>
  <c r="V136" i="102" s="1"/>
  <c r="L137" i="29"/>
  <c r="M137" i="29"/>
  <c r="L137" i="63"/>
  <c r="M137" i="63"/>
  <c r="L137" i="101"/>
  <c r="M137" i="101"/>
  <c r="R136" i="21"/>
  <c r="V136" i="21" s="1"/>
  <c r="T138" i="131"/>
  <c r="X138" i="131" s="1"/>
  <c r="T138" i="18"/>
  <c r="X138" i="18" s="1"/>
  <c r="Z135" i="3"/>
  <c r="C94" i="639" s="1"/>
  <c r="AD135" i="3"/>
  <c r="AF137" i="104"/>
  <c r="AB137" i="104"/>
  <c r="R136" i="19"/>
  <c r="V136" i="19" s="1"/>
  <c r="T138" i="314"/>
  <c r="X138" i="314" s="1"/>
  <c r="S136" i="131"/>
  <c r="AE135" i="23"/>
  <c r="AB137" i="27"/>
  <c r="AF137" i="27"/>
  <c r="AB137" i="63"/>
  <c r="AF137" i="63"/>
  <c r="AF137" i="19"/>
  <c r="AB137" i="19"/>
  <c r="S136" i="27"/>
  <c r="Z135" i="25"/>
  <c r="Q94" i="639" s="1"/>
  <c r="AD135" i="25"/>
  <c r="S136" i="18"/>
  <c r="R136" i="26"/>
  <c r="V136" i="26" s="1"/>
  <c r="AB137" i="20"/>
  <c r="AF137" i="20"/>
  <c r="Z148" i="4"/>
  <c r="Y94" i="639" s="1"/>
  <c r="R136" i="101"/>
  <c r="V136" i="101" s="1"/>
  <c r="R136" i="133"/>
  <c r="V136" i="133" s="1"/>
  <c r="Z135" i="18"/>
  <c r="E94" i="639" s="1"/>
  <c r="AD135" i="18"/>
  <c r="AF137" i="131"/>
  <c r="AB137" i="131"/>
  <c r="AF137" i="25"/>
  <c r="AB137" i="25"/>
  <c r="L137" i="27"/>
  <c r="M137" i="27"/>
  <c r="L137" i="23"/>
  <c r="M137" i="23"/>
  <c r="L137" i="26"/>
  <c r="M137" i="26"/>
  <c r="S136" i="21"/>
  <c r="T138" i="103"/>
  <c r="X138" i="103" s="1"/>
  <c r="T138" i="21"/>
  <c r="X138" i="21" s="1"/>
  <c r="T138" i="101"/>
  <c r="X138" i="101" s="1"/>
  <c r="AG137" i="1"/>
  <c r="AB137" i="1"/>
  <c r="E19" i="491" s="1"/>
  <c r="V137" i="16"/>
  <c r="Z137" i="16" s="1"/>
  <c r="F175" i="16" s="1"/>
  <c r="N175" i="16" s="1"/>
  <c r="AB137" i="51"/>
  <c r="L137" i="3"/>
  <c r="M137" i="3"/>
  <c r="S136" i="103"/>
  <c r="R136" i="27"/>
  <c r="V136" i="27" s="1"/>
  <c r="R136" i="18"/>
  <c r="V136" i="18" s="1"/>
  <c r="S136" i="26"/>
  <c r="S136" i="101"/>
  <c r="L137" i="104"/>
  <c r="M137" i="104"/>
  <c r="L137" i="20"/>
  <c r="M137" i="20"/>
  <c r="L137" i="323"/>
  <c r="M137" i="323"/>
  <c r="T151" i="4"/>
  <c r="H138" i="16"/>
  <c r="M138" i="16" s="1"/>
  <c r="Q138" i="16" s="1"/>
  <c r="T138" i="63"/>
  <c r="X138" i="63" s="1"/>
  <c r="T138" i="23"/>
  <c r="X138" i="23" s="1"/>
  <c r="AB138" i="23" s="1"/>
  <c r="R149" i="4"/>
  <c r="F136" i="16"/>
  <c r="K136" i="16" s="1"/>
  <c r="O136" i="16" s="1"/>
  <c r="AF137" i="3"/>
  <c r="AB137" i="3"/>
  <c r="S136" i="51"/>
  <c r="AE20" i="639" s="1"/>
  <c r="AF137" i="103"/>
  <c r="AB137" i="103"/>
  <c r="I150" i="4"/>
  <c r="M150" i="4" s="1"/>
  <c r="M204" i="4" s="1"/>
  <c r="H150" i="4"/>
  <c r="L150" i="4" s="1"/>
  <c r="L204" i="4" s="1"/>
  <c r="L137" i="25"/>
  <c r="M137" i="25"/>
  <c r="I137" i="133"/>
  <c r="L137" i="133"/>
  <c r="H138" i="133"/>
  <c r="L138" i="1"/>
  <c r="AJ138" i="104"/>
  <c r="C138" i="104" s="1"/>
  <c r="H138" i="104" s="1"/>
  <c r="AK138" i="103"/>
  <c r="C138" i="103" s="1"/>
  <c r="H138" i="103" s="1"/>
  <c r="L138" i="103" s="1"/>
  <c r="T138" i="19"/>
  <c r="X138" i="19" s="1"/>
  <c r="T138" i="20"/>
  <c r="X138" i="20" s="1"/>
  <c r="AD135" i="21"/>
  <c r="Z135" i="21"/>
  <c r="K94" i="639" s="1"/>
  <c r="Z135" i="19"/>
  <c r="I94" i="639" s="1"/>
  <c r="AD135" i="19"/>
  <c r="AD135" i="63"/>
  <c r="Z135" i="63"/>
  <c r="F94" i="639" s="1"/>
  <c r="AF137" i="29"/>
  <c r="AB137" i="29"/>
  <c r="AD135" i="133"/>
  <c r="Z135" i="133"/>
  <c r="V94" i="639" s="1"/>
  <c r="S136" i="29"/>
  <c r="AF137" i="102"/>
  <c r="AB137" i="102"/>
  <c r="S136" i="25"/>
  <c r="Z135" i="102"/>
  <c r="U94" i="639" s="1"/>
  <c r="AD135" i="102"/>
  <c r="R136" i="20"/>
  <c r="V136" i="20" s="1"/>
  <c r="AF137" i="18"/>
  <c r="AB137" i="18"/>
  <c r="R136" i="1"/>
  <c r="V136" i="1" s="1"/>
  <c r="R136" i="29"/>
  <c r="V136" i="29" s="1"/>
  <c r="R136" i="25"/>
  <c r="V136" i="25" s="1"/>
  <c r="R136" i="51"/>
  <c r="V136" i="51" s="1"/>
  <c r="S136" i="20"/>
  <c r="M137" i="102"/>
  <c r="L137" i="102"/>
  <c r="L137" i="18"/>
  <c r="M137" i="18"/>
  <c r="L137" i="314"/>
  <c r="M137" i="314"/>
  <c r="N139" i="314"/>
  <c r="J139" i="133"/>
  <c r="N139" i="323"/>
  <c r="BC152" i="4"/>
  <c r="N139" i="26"/>
  <c r="N139" i="20"/>
  <c r="N139" i="101"/>
  <c r="N139" i="18"/>
  <c r="N139" i="23"/>
  <c r="N139" i="19"/>
  <c r="N139" i="29"/>
  <c r="N139" i="3"/>
  <c r="N139" i="21"/>
  <c r="N139" i="63"/>
  <c r="N139" i="25"/>
  <c r="N139" i="51"/>
  <c r="N139" i="1"/>
  <c r="N139" i="102"/>
  <c r="N139" i="131"/>
  <c r="N139" i="27"/>
  <c r="AL139" i="104"/>
  <c r="E139" i="104" s="1"/>
  <c r="J139" i="104" s="1"/>
  <c r="J152" i="4"/>
  <c r="N152" i="4" s="1"/>
  <c r="N206" i="4" s="1"/>
  <c r="T138" i="29"/>
  <c r="X138" i="29" s="1"/>
  <c r="T138" i="323"/>
  <c r="X138" i="323" s="1"/>
  <c r="D16" i="491" l="1"/>
  <c r="AA135" i="314"/>
  <c r="N19" i="639" s="1"/>
  <c r="AA135" i="104"/>
  <c r="X19" i="639" s="1"/>
  <c r="AE135" i="18"/>
  <c r="AB150" i="4"/>
  <c r="AD135" i="23"/>
  <c r="AE135" i="19"/>
  <c r="W149" i="4"/>
  <c r="S203" i="4"/>
  <c r="W203" i="4" s="1"/>
  <c r="AA203" i="4" s="1"/>
  <c r="V149" i="4"/>
  <c r="R203" i="4"/>
  <c r="V203" i="4" s="1"/>
  <c r="Z203" i="4" s="1"/>
  <c r="AA135" i="323"/>
  <c r="G19" i="639" s="1"/>
  <c r="X151" i="4"/>
  <c r="T205" i="4"/>
  <c r="X205" i="4" s="1"/>
  <c r="AB205" i="4" s="1"/>
  <c r="AE135" i="20"/>
  <c r="AE135" i="63"/>
  <c r="AA135" i="21"/>
  <c r="K19" i="639" s="1"/>
  <c r="AF135" i="1"/>
  <c r="AE135" i="27"/>
  <c r="AA135" i="103"/>
  <c r="W19" i="639" s="1"/>
  <c r="AA135" i="26"/>
  <c r="R19" i="639" s="1"/>
  <c r="W136" i="18"/>
  <c r="AA136" i="18" s="1"/>
  <c r="E20" i="639" s="1"/>
  <c r="AF20" i="639"/>
  <c r="W136" i="314"/>
  <c r="AE136" i="314" s="1"/>
  <c r="AO20" i="639"/>
  <c r="AA135" i="25"/>
  <c r="Q19" i="639" s="1"/>
  <c r="D17" i="491"/>
  <c r="B19" i="639"/>
  <c r="W136" i="101"/>
  <c r="AA136" i="101" s="1"/>
  <c r="T20" i="639" s="1"/>
  <c r="AU20" i="639"/>
  <c r="W136" i="102"/>
  <c r="AA136" i="102" s="1"/>
  <c r="U20" i="639" s="1"/>
  <c r="AV20" i="639"/>
  <c r="W136" i="26"/>
  <c r="AE136" i="26" s="1"/>
  <c r="AS20" i="639"/>
  <c r="W136" i="1"/>
  <c r="AA136" i="1" s="1"/>
  <c r="AC20" i="639"/>
  <c r="W136" i="27"/>
  <c r="AA136" i="27" s="1"/>
  <c r="S20" i="639" s="1"/>
  <c r="AT20" i="639"/>
  <c r="W136" i="131"/>
  <c r="AA136" i="131" s="1"/>
  <c r="P20" i="639" s="1"/>
  <c r="AQ20" i="639"/>
  <c r="V136" i="23"/>
  <c r="Z136" i="23" s="1"/>
  <c r="O95" i="639" s="1"/>
  <c r="AP20" i="639"/>
  <c r="C17" i="491"/>
  <c r="B94" i="639"/>
  <c r="W136" i="25"/>
  <c r="AE136" i="25" s="1"/>
  <c r="AR20" i="639"/>
  <c r="W136" i="51"/>
  <c r="AA136" i="51" s="1"/>
  <c r="D20" i="639" s="1"/>
  <c r="W136" i="21"/>
  <c r="AE136" i="21" s="1"/>
  <c r="AL20" i="639"/>
  <c r="W136" i="104"/>
  <c r="AA136" i="104" s="1"/>
  <c r="X20" i="639" s="1"/>
  <c r="AY20" i="639"/>
  <c r="AE135" i="133"/>
  <c r="W136" i="3"/>
  <c r="W136" i="19"/>
  <c r="AA136" i="19" s="1"/>
  <c r="I20" i="639" s="1"/>
  <c r="AJ20" i="639"/>
  <c r="W136" i="133"/>
  <c r="AA136" i="133" s="1"/>
  <c r="V20" i="639" s="1"/>
  <c r="AW20" i="639"/>
  <c r="W136" i="29"/>
  <c r="AA136" i="29" s="1"/>
  <c r="H20" i="639" s="1"/>
  <c r="AI20" i="639"/>
  <c r="W136" i="20"/>
  <c r="AE136" i="20" s="1"/>
  <c r="AK20" i="639"/>
  <c r="W136" i="63"/>
  <c r="AA136" i="63" s="1"/>
  <c r="F20" i="639" s="1"/>
  <c r="AG20" i="639"/>
  <c r="W136" i="103"/>
  <c r="AA136" i="103" s="1"/>
  <c r="W20" i="639" s="1"/>
  <c r="AX20" i="639"/>
  <c r="W136" i="323"/>
  <c r="AE136" i="323" s="1"/>
  <c r="AH20" i="639"/>
  <c r="N139" i="104"/>
  <c r="T139" i="104" s="1"/>
  <c r="X139" i="104" s="1"/>
  <c r="M137" i="133"/>
  <c r="S137" i="133" s="1"/>
  <c r="N139" i="133"/>
  <c r="T139" i="133" s="1"/>
  <c r="X139" i="133" s="1"/>
  <c r="M137" i="1"/>
  <c r="S137" i="1" s="1"/>
  <c r="AD136" i="18"/>
  <c r="Z136" i="18"/>
  <c r="E95" i="639" s="1"/>
  <c r="Z136" i="51"/>
  <c r="D95" i="639" s="1"/>
  <c r="AB138" i="21"/>
  <c r="AF138" i="21"/>
  <c r="AB138" i="18"/>
  <c r="AF138" i="18"/>
  <c r="AB138" i="51"/>
  <c r="AD136" i="26"/>
  <c r="Z136" i="26"/>
  <c r="R95" i="639" s="1"/>
  <c r="AB138" i="1"/>
  <c r="E20" i="491" s="1"/>
  <c r="AG138" i="1"/>
  <c r="AD136" i="323"/>
  <c r="Z136" i="323"/>
  <c r="G95" i="639" s="1"/>
  <c r="AE136" i="23"/>
  <c r="Z136" i="29"/>
  <c r="H95" i="639" s="1"/>
  <c r="AD136" i="29"/>
  <c r="AD136" i="133"/>
  <c r="Z136" i="133"/>
  <c r="V95" i="639" s="1"/>
  <c r="Z136" i="314"/>
  <c r="N95" i="639" s="1"/>
  <c r="AD136" i="314"/>
  <c r="AB138" i="26"/>
  <c r="AF138" i="26"/>
  <c r="AA136" i="323"/>
  <c r="G20" i="639" s="1"/>
  <c r="AD136" i="103"/>
  <c r="Z136" i="103"/>
  <c r="W95" i="639" s="1"/>
  <c r="AF138" i="323"/>
  <c r="AB138" i="323"/>
  <c r="AF138" i="102"/>
  <c r="AB138" i="102"/>
  <c r="AF138" i="133"/>
  <c r="AB138" i="133"/>
  <c r="AF138" i="23"/>
  <c r="AD136" i="21"/>
  <c r="Z136" i="21"/>
  <c r="K95" i="639" s="1"/>
  <c r="T139" i="29"/>
  <c r="X139" i="29" s="1"/>
  <c r="S137" i="101"/>
  <c r="R137" i="19"/>
  <c r="V137" i="19" s="1"/>
  <c r="Z136" i="1"/>
  <c r="AE136" i="1"/>
  <c r="AB138" i="19"/>
  <c r="AF138" i="19"/>
  <c r="I151" i="4"/>
  <c r="M151" i="4" s="1"/>
  <c r="M205" i="4" s="1"/>
  <c r="H151" i="4"/>
  <c r="L151" i="4" s="1"/>
  <c r="L205" i="4" s="1"/>
  <c r="L138" i="21"/>
  <c r="M138" i="21"/>
  <c r="Z149" i="4"/>
  <c r="Y95" i="639" s="1"/>
  <c r="R137" i="26"/>
  <c r="V137" i="26" s="1"/>
  <c r="R137" i="101"/>
  <c r="V137" i="101" s="1"/>
  <c r="S137" i="19"/>
  <c r="S137" i="26"/>
  <c r="AE136" i="104"/>
  <c r="T139" i="23"/>
  <c r="X139" i="23" s="1"/>
  <c r="AB139" i="23" s="1"/>
  <c r="T139" i="314"/>
  <c r="X139" i="314" s="1"/>
  <c r="L138" i="63"/>
  <c r="M138" i="63"/>
  <c r="L138" i="3"/>
  <c r="M138" i="3"/>
  <c r="R137" i="133"/>
  <c r="V137" i="133" s="1"/>
  <c r="S137" i="323"/>
  <c r="AE136" i="101"/>
  <c r="S137" i="23"/>
  <c r="W137" i="23" s="1"/>
  <c r="AA137" i="23" s="1"/>
  <c r="O21" i="639" s="1"/>
  <c r="Z136" i="19"/>
  <c r="I95" i="639" s="1"/>
  <c r="AD136" i="19"/>
  <c r="AB138" i="131"/>
  <c r="AF138" i="131"/>
  <c r="S137" i="63"/>
  <c r="S137" i="103"/>
  <c r="R137" i="131"/>
  <c r="V137" i="131" s="1"/>
  <c r="AB138" i="27"/>
  <c r="AF138" i="27"/>
  <c r="AB138" i="25"/>
  <c r="AF138" i="25"/>
  <c r="S137" i="51"/>
  <c r="AE21" i="639" s="1"/>
  <c r="T139" i="323"/>
  <c r="X139" i="323" s="1"/>
  <c r="T136" i="16"/>
  <c r="X136" i="16" s="1"/>
  <c r="D174" i="16" s="1"/>
  <c r="L174" i="16" s="1"/>
  <c r="T152" i="4"/>
  <c r="H139" i="16"/>
  <c r="M139" i="16" s="1"/>
  <c r="Q139" i="16" s="1"/>
  <c r="T139" i="51"/>
  <c r="X139" i="51" s="1"/>
  <c r="T139" i="18"/>
  <c r="X139" i="18" s="1"/>
  <c r="S137" i="314"/>
  <c r="M138" i="131"/>
  <c r="L138" i="131"/>
  <c r="R137" i="323"/>
  <c r="V137" i="323" s="1"/>
  <c r="R137" i="23"/>
  <c r="R137" i="63"/>
  <c r="V137" i="63" s="1"/>
  <c r="R137" i="103"/>
  <c r="V137" i="103" s="1"/>
  <c r="S137" i="131"/>
  <c r="R137" i="51"/>
  <c r="V137" i="51" s="1"/>
  <c r="AB138" i="29"/>
  <c r="AF138" i="29"/>
  <c r="M138" i="23"/>
  <c r="L138" i="23"/>
  <c r="Z136" i="27"/>
  <c r="S95" i="639" s="1"/>
  <c r="AD136" i="27"/>
  <c r="AF138" i="314"/>
  <c r="AB138" i="314"/>
  <c r="AE136" i="3"/>
  <c r="AA136" i="3"/>
  <c r="C20" i="639" s="1"/>
  <c r="T139" i="101"/>
  <c r="X139" i="101" s="1"/>
  <c r="S137" i="25"/>
  <c r="S137" i="20"/>
  <c r="S137" i="3"/>
  <c r="AD21" i="639" s="1"/>
  <c r="AB138" i="103"/>
  <c r="AF138" i="103"/>
  <c r="S137" i="27"/>
  <c r="AB138" i="104"/>
  <c r="AF138" i="104"/>
  <c r="S137" i="29"/>
  <c r="S137" i="21"/>
  <c r="Z136" i="131"/>
  <c r="P95" i="639" s="1"/>
  <c r="AD136" i="131"/>
  <c r="AD136" i="104"/>
  <c r="Z136" i="104"/>
  <c r="X95" i="639" s="1"/>
  <c r="AF138" i="3"/>
  <c r="AB138" i="3"/>
  <c r="AD136" i="63"/>
  <c r="Z136" i="63"/>
  <c r="F95" i="639" s="1"/>
  <c r="AF138" i="20"/>
  <c r="AB138" i="20"/>
  <c r="T139" i="1"/>
  <c r="X139" i="1" s="1"/>
  <c r="R137" i="314"/>
  <c r="V137" i="314" s="1"/>
  <c r="L138" i="101"/>
  <c r="M138" i="101"/>
  <c r="BB152" i="4"/>
  <c r="H139" i="133"/>
  <c r="L139" i="1"/>
  <c r="AJ139" i="104"/>
  <c r="C139" i="104" s="1"/>
  <c r="H139" i="104" s="1"/>
  <c r="AK139" i="103"/>
  <c r="C139" i="103" s="1"/>
  <c r="H139" i="103" s="1"/>
  <c r="L139" i="103" s="1"/>
  <c r="T139" i="20"/>
  <c r="X139" i="20" s="1"/>
  <c r="S137" i="18"/>
  <c r="AD136" i="25"/>
  <c r="Z136" i="25"/>
  <c r="Q95" i="639" s="1"/>
  <c r="AD136" i="20"/>
  <c r="Z136" i="20"/>
  <c r="J95" i="639" s="1"/>
  <c r="M138" i="19"/>
  <c r="L138" i="19"/>
  <c r="M138" i="51"/>
  <c r="L138" i="51"/>
  <c r="L138" i="26"/>
  <c r="M138" i="26"/>
  <c r="R137" i="25"/>
  <c r="V137" i="25" s="1"/>
  <c r="AB138" i="63"/>
  <c r="AF138" i="63"/>
  <c r="R137" i="20"/>
  <c r="V137" i="20" s="1"/>
  <c r="R137" i="3"/>
  <c r="V137" i="3" s="1"/>
  <c r="R137" i="27"/>
  <c r="V137" i="27" s="1"/>
  <c r="R137" i="29"/>
  <c r="V137" i="29" s="1"/>
  <c r="R137" i="21"/>
  <c r="V137" i="21" s="1"/>
  <c r="T139" i="131"/>
  <c r="X139" i="131" s="1"/>
  <c r="M138" i="314"/>
  <c r="L138" i="314"/>
  <c r="AD136" i="101"/>
  <c r="Z136" i="101"/>
  <c r="T95" i="639" s="1"/>
  <c r="T139" i="102"/>
  <c r="X139" i="102" s="1"/>
  <c r="T139" i="25"/>
  <c r="X139" i="25" s="1"/>
  <c r="M138" i="27"/>
  <c r="L138" i="27"/>
  <c r="T139" i="63"/>
  <c r="X139" i="63" s="1"/>
  <c r="N140" i="323"/>
  <c r="BC153" i="4"/>
  <c r="J140" i="133"/>
  <c r="N140" i="314"/>
  <c r="N140" i="101"/>
  <c r="N140" i="26"/>
  <c r="N140" i="25"/>
  <c r="N140" i="23"/>
  <c r="N140" i="29"/>
  <c r="N140" i="131"/>
  <c r="N140" i="21"/>
  <c r="N140" i="19"/>
  <c r="N140" i="20"/>
  <c r="N140" i="18"/>
  <c r="N140" i="51"/>
  <c r="N140" i="27"/>
  <c r="N140" i="63"/>
  <c r="N140" i="3"/>
  <c r="AL140" i="104"/>
  <c r="E140" i="104" s="1"/>
  <c r="J140" i="104" s="1"/>
  <c r="N140" i="102"/>
  <c r="N140" i="1"/>
  <c r="J153" i="4"/>
  <c r="N153" i="4" s="1"/>
  <c r="N207" i="4" s="1"/>
  <c r="T139" i="21"/>
  <c r="X139" i="21" s="1"/>
  <c r="T139" i="26"/>
  <c r="X139" i="26" s="1"/>
  <c r="R137" i="18"/>
  <c r="V137" i="18" s="1"/>
  <c r="L138" i="102"/>
  <c r="M138" i="102"/>
  <c r="L138" i="29"/>
  <c r="M138" i="29"/>
  <c r="I138" i="133"/>
  <c r="L138" i="133"/>
  <c r="R150" i="4"/>
  <c r="F137" i="16"/>
  <c r="K137" i="16" s="1"/>
  <c r="O137" i="16" s="1"/>
  <c r="S137" i="104"/>
  <c r="S137" i="102"/>
  <c r="L138" i="20"/>
  <c r="M138" i="20"/>
  <c r="AB151" i="4"/>
  <c r="AF138" i="101"/>
  <c r="AB138" i="101"/>
  <c r="Z136" i="3"/>
  <c r="C95" i="639" s="1"/>
  <c r="AD136" i="3"/>
  <c r="T139" i="19"/>
  <c r="X139" i="19" s="1"/>
  <c r="T139" i="27"/>
  <c r="X139" i="27" s="1"/>
  <c r="L138" i="18"/>
  <c r="M138" i="18"/>
  <c r="T139" i="103"/>
  <c r="X139" i="103" s="1"/>
  <c r="T139" i="3"/>
  <c r="X139" i="3" s="1"/>
  <c r="R137" i="102"/>
  <c r="V137" i="102" s="1"/>
  <c r="L138" i="104"/>
  <c r="M138" i="104"/>
  <c r="L138" i="25"/>
  <c r="M138" i="25"/>
  <c r="L138" i="323"/>
  <c r="M138" i="323"/>
  <c r="S150" i="4"/>
  <c r="V138" i="16"/>
  <c r="Z138" i="16" s="1"/>
  <c r="F176" i="16" s="1"/>
  <c r="N176" i="16" s="1"/>
  <c r="R137" i="104"/>
  <c r="V137" i="104" s="1"/>
  <c r="AD136" i="102"/>
  <c r="Z136" i="102"/>
  <c r="U95" i="639" s="1"/>
  <c r="R137" i="1"/>
  <c r="V137" i="1" s="1"/>
  <c r="AA149" i="4" l="1"/>
  <c r="Y20" i="639" s="1"/>
  <c r="AE136" i="133"/>
  <c r="AA136" i="314"/>
  <c r="N20" i="639" s="1"/>
  <c r="AE136" i="18"/>
  <c r="AE136" i="29"/>
  <c r="AA136" i="26"/>
  <c r="R20" i="639" s="1"/>
  <c r="AA136" i="25"/>
  <c r="Q20" i="639" s="1"/>
  <c r="AE136" i="27"/>
  <c r="V150" i="4"/>
  <c r="R204" i="4"/>
  <c r="V204" i="4" s="1"/>
  <c r="Z204" i="4" s="1"/>
  <c r="W150" i="4"/>
  <c r="S204" i="4"/>
  <c r="W204" i="4" s="1"/>
  <c r="AA204" i="4" s="1"/>
  <c r="X152" i="4"/>
  <c r="T206" i="4"/>
  <c r="X206" i="4" s="1"/>
  <c r="AB206" i="4" s="1"/>
  <c r="AE136" i="19"/>
  <c r="AE136" i="63"/>
  <c r="AA136" i="20"/>
  <c r="J20" i="639" s="1"/>
  <c r="AF136" i="1"/>
  <c r="AE136" i="131"/>
  <c r="AA136" i="21"/>
  <c r="K20" i="639" s="1"/>
  <c r="AD136" i="23"/>
  <c r="AE136" i="102"/>
  <c r="W137" i="29"/>
  <c r="AE137" i="29" s="1"/>
  <c r="AI21" i="639"/>
  <c r="W137" i="25"/>
  <c r="AE137" i="25" s="1"/>
  <c r="AR21" i="639"/>
  <c r="V137" i="23"/>
  <c r="Z137" i="23" s="1"/>
  <c r="O96" i="639" s="1"/>
  <c r="AP21" i="639"/>
  <c r="W137" i="18"/>
  <c r="AA137" i="18" s="1"/>
  <c r="E21" i="639" s="1"/>
  <c r="AF21" i="639"/>
  <c r="W137" i="63"/>
  <c r="AE137" i="63" s="1"/>
  <c r="AG21" i="639"/>
  <c r="W137" i="101"/>
  <c r="AE137" i="101" s="1"/>
  <c r="AU21" i="639"/>
  <c r="W137" i="27"/>
  <c r="AE137" i="27" s="1"/>
  <c r="AT21" i="639"/>
  <c r="W137" i="51"/>
  <c r="D18" i="491"/>
  <c r="B20" i="639"/>
  <c r="W137" i="314"/>
  <c r="AA137" i="314" s="1"/>
  <c r="N21" i="639" s="1"/>
  <c r="AO21" i="639"/>
  <c r="C18" i="491"/>
  <c r="B95" i="639"/>
  <c r="W137" i="1"/>
  <c r="AF137" i="1" s="1"/>
  <c r="AC21" i="639"/>
  <c r="W137" i="131"/>
  <c r="AA137" i="131" s="1"/>
  <c r="P21" i="639" s="1"/>
  <c r="AQ21" i="639"/>
  <c r="AE136" i="103"/>
  <c r="W137" i="104"/>
  <c r="AA137" i="104" s="1"/>
  <c r="X21" i="639" s="1"/>
  <c r="AY21" i="639"/>
  <c r="W137" i="3"/>
  <c r="AE137" i="3" s="1"/>
  <c r="W137" i="26"/>
  <c r="AA137" i="26" s="1"/>
  <c r="R21" i="639" s="1"/>
  <c r="AS21" i="639"/>
  <c r="W137" i="133"/>
  <c r="AA137" i="133" s="1"/>
  <c r="V21" i="639" s="1"/>
  <c r="AW21" i="639"/>
  <c r="W137" i="102"/>
  <c r="AE137" i="102" s="1"/>
  <c r="AV21" i="639"/>
  <c r="W137" i="21"/>
  <c r="AA137" i="21" s="1"/>
  <c r="K21" i="639" s="1"/>
  <c r="AL21" i="639"/>
  <c r="W137" i="20"/>
  <c r="AA137" i="20" s="1"/>
  <c r="J21" i="639" s="1"/>
  <c r="AK21" i="639"/>
  <c r="W137" i="19"/>
  <c r="AJ21" i="639"/>
  <c r="W137" i="103"/>
  <c r="AA137" i="103" s="1"/>
  <c r="W21" i="639" s="1"/>
  <c r="AX21" i="639"/>
  <c r="W137" i="323"/>
  <c r="AE137" i="323" s="1"/>
  <c r="AH21" i="639"/>
  <c r="N140" i="104"/>
  <c r="T140" i="104" s="1"/>
  <c r="X140" i="104" s="1"/>
  <c r="M138" i="133"/>
  <c r="S138" i="133" s="1"/>
  <c r="N140" i="133"/>
  <c r="T140" i="133" s="1"/>
  <c r="X140" i="133" s="1"/>
  <c r="M138" i="1"/>
  <c r="S138" i="1" s="1"/>
  <c r="Z137" i="63"/>
  <c r="F96" i="639" s="1"/>
  <c r="AD137" i="63"/>
  <c r="Z137" i="20"/>
  <c r="J96" i="639" s="1"/>
  <c r="AD137" i="20"/>
  <c r="Z137" i="21"/>
  <c r="K96" i="639" s="1"/>
  <c r="AD137" i="21"/>
  <c r="AF139" i="101"/>
  <c r="AB139" i="101"/>
  <c r="Z137" i="323"/>
  <c r="G96" i="639" s="1"/>
  <c r="AD137" i="323"/>
  <c r="AF139" i="314"/>
  <c r="AB139" i="314"/>
  <c r="AF139" i="29"/>
  <c r="AB139" i="29"/>
  <c r="AD137" i="103"/>
  <c r="Z137" i="103"/>
  <c r="W96" i="639" s="1"/>
  <c r="Z137" i="1"/>
  <c r="AE137" i="1"/>
  <c r="AD137" i="26"/>
  <c r="Z137" i="26"/>
  <c r="R96" i="639" s="1"/>
  <c r="Z137" i="51"/>
  <c r="D96" i="639" s="1"/>
  <c r="AA137" i="63"/>
  <c r="F21" i="639" s="1"/>
  <c r="Z137" i="18"/>
  <c r="E96" i="639" s="1"/>
  <c r="AD137" i="18"/>
  <c r="AB139" i="103"/>
  <c r="AF139" i="103"/>
  <c r="AF139" i="21"/>
  <c r="AB139" i="21"/>
  <c r="AB139" i="51"/>
  <c r="AF139" i="19"/>
  <c r="AB139" i="19"/>
  <c r="AB139" i="25"/>
  <c r="AF139" i="25"/>
  <c r="Z137" i="25"/>
  <c r="Q96" i="639" s="1"/>
  <c r="AD137" i="25"/>
  <c r="AF139" i="23"/>
  <c r="R138" i="323"/>
  <c r="V138" i="323" s="1"/>
  <c r="S138" i="102"/>
  <c r="T153" i="4"/>
  <c r="H140" i="16"/>
  <c r="M140" i="16" s="1"/>
  <c r="Q140" i="16" s="1"/>
  <c r="T140" i="63"/>
  <c r="X140" i="63" s="1"/>
  <c r="T140" i="29"/>
  <c r="X140" i="29" s="1"/>
  <c r="T140" i="323"/>
  <c r="X140" i="323" s="1"/>
  <c r="S138" i="314"/>
  <c r="L139" i="20"/>
  <c r="M139" i="20"/>
  <c r="S138" i="101"/>
  <c r="R138" i="23"/>
  <c r="V139" i="16"/>
  <c r="Z139" i="16" s="1"/>
  <c r="F177" i="16" s="1"/>
  <c r="N177" i="16" s="1"/>
  <c r="S151" i="4"/>
  <c r="AF139" i="3"/>
  <c r="AB139" i="3"/>
  <c r="AE137" i="104"/>
  <c r="AB139" i="20"/>
  <c r="AF139" i="20"/>
  <c r="AF139" i="104"/>
  <c r="AB139" i="104"/>
  <c r="R151" i="4"/>
  <c r="F138" i="16"/>
  <c r="K138" i="16" s="1"/>
  <c r="O138" i="16" s="1"/>
  <c r="S138" i="20"/>
  <c r="T137" i="16"/>
  <c r="X137" i="16" s="1"/>
  <c r="D175" i="16" s="1"/>
  <c r="L175" i="16" s="1"/>
  <c r="R138" i="102"/>
  <c r="V138" i="102" s="1"/>
  <c r="T140" i="1"/>
  <c r="X140" i="1" s="1"/>
  <c r="T140" i="27"/>
  <c r="X140" i="27" s="1"/>
  <c r="T140" i="23"/>
  <c r="X140" i="23" s="1"/>
  <c r="AB140" i="23" s="1"/>
  <c r="AF139" i="63"/>
  <c r="AB139" i="63"/>
  <c r="AB139" i="102"/>
  <c r="AF139" i="102"/>
  <c r="AF139" i="131"/>
  <c r="AB139" i="131"/>
  <c r="Z137" i="3"/>
  <c r="C96" i="639" s="1"/>
  <c r="AD137" i="3"/>
  <c r="S138" i="26"/>
  <c r="M139" i="102"/>
  <c r="L139" i="102"/>
  <c r="L139" i="18"/>
  <c r="M139" i="18"/>
  <c r="M139" i="63"/>
  <c r="L139" i="63"/>
  <c r="R138" i="101"/>
  <c r="V138" i="101" s="1"/>
  <c r="S138" i="23"/>
  <c r="W138" i="23" s="1"/>
  <c r="AA138" i="23" s="1"/>
  <c r="O22" i="639" s="1"/>
  <c r="S138" i="3"/>
  <c r="AD22" i="639" s="1"/>
  <c r="T140" i="131"/>
  <c r="X140" i="131" s="1"/>
  <c r="AE137" i="23"/>
  <c r="AD137" i="104"/>
  <c r="Z137" i="104"/>
  <c r="X96" i="639" s="1"/>
  <c r="R138" i="25"/>
  <c r="V138" i="25" s="1"/>
  <c r="R138" i="20"/>
  <c r="V138" i="20" s="1"/>
  <c r="T140" i="102"/>
  <c r="X140" i="102" s="1"/>
  <c r="T140" i="51"/>
  <c r="X140" i="51" s="1"/>
  <c r="T140" i="25"/>
  <c r="X140" i="25" s="1"/>
  <c r="R138" i="26"/>
  <c r="V138" i="26" s="1"/>
  <c r="I152" i="4"/>
  <c r="M152" i="4" s="1"/>
  <c r="M206" i="4" s="1"/>
  <c r="H152" i="4"/>
  <c r="L152" i="4" s="1"/>
  <c r="L206" i="4" s="1"/>
  <c r="M139" i="25"/>
  <c r="L139" i="25"/>
  <c r="M139" i="314"/>
  <c r="L139" i="314"/>
  <c r="Z137" i="314"/>
  <c r="N96" i="639" s="1"/>
  <c r="AD137" i="314"/>
  <c r="R138" i="131"/>
  <c r="V138" i="131" s="1"/>
  <c r="AB139" i="18"/>
  <c r="AF139" i="18"/>
  <c r="R138" i="3"/>
  <c r="V138" i="3" s="1"/>
  <c r="AF139" i="133"/>
  <c r="AB139" i="133"/>
  <c r="R138" i="314"/>
  <c r="V138" i="314" s="1"/>
  <c r="M139" i="27"/>
  <c r="L139" i="27"/>
  <c r="Z137" i="101"/>
  <c r="T96" i="639" s="1"/>
  <c r="AD137" i="101"/>
  <c r="S138" i="18"/>
  <c r="T140" i="18"/>
  <c r="X140" i="18" s="1"/>
  <c r="T140" i="26"/>
  <c r="X140" i="26" s="1"/>
  <c r="R138" i="51"/>
  <c r="V138" i="51" s="1"/>
  <c r="M139" i="51"/>
  <c r="L139" i="51"/>
  <c r="L139" i="26"/>
  <c r="M139" i="26"/>
  <c r="S138" i="131"/>
  <c r="S138" i="63"/>
  <c r="T140" i="3"/>
  <c r="X140" i="3" s="1"/>
  <c r="AD137" i="27"/>
  <c r="Z137" i="27"/>
  <c r="S96" i="639" s="1"/>
  <c r="M139" i="131"/>
  <c r="L139" i="131"/>
  <c r="R138" i="103"/>
  <c r="V138" i="103" s="1"/>
  <c r="Z137" i="133"/>
  <c r="V96" i="639" s="1"/>
  <c r="AD137" i="133"/>
  <c r="S138" i="25"/>
  <c r="S138" i="104"/>
  <c r="R138" i="104"/>
  <c r="V138" i="104" s="1"/>
  <c r="R138" i="18"/>
  <c r="V138" i="18" s="1"/>
  <c r="R138" i="133"/>
  <c r="V138" i="133" s="1"/>
  <c r="N141" i="323"/>
  <c r="N141" i="314"/>
  <c r="BC154" i="4"/>
  <c r="N141" i="29"/>
  <c r="J141" i="133"/>
  <c r="N141" i="26"/>
  <c r="N141" i="18"/>
  <c r="N141" i="20"/>
  <c r="N141" i="25"/>
  <c r="N141" i="101"/>
  <c r="N141" i="131"/>
  <c r="N141" i="19"/>
  <c r="N141" i="23"/>
  <c r="N141" i="21"/>
  <c r="N141" i="63"/>
  <c r="N141" i="51"/>
  <c r="N141" i="1"/>
  <c r="N141" i="3"/>
  <c r="AL141" i="104"/>
  <c r="E141" i="104" s="1"/>
  <c r="J141" i="104" s="1"/>
  <c r="N141" i="27"/>
  <c r="J154" i="4"/>
  <c r="N154" i="4" s="1"/>
  <c r="N208" i="4" s="1"/>
  <c r="N141" i="102"/>
  <c r="T140" i="20"/>
  <c r="X140" i="20" s="1"/>
  <c r="T140" i="101"/>
  <c r="X140" i="101" s="1"/>
  <c r="S138" i="51"/>
  <c r="AE22" i="639" s="1"/>
  <c r="M139" i="104"/>
  <c r="L139" i="104"/>
  <c r="L139" i="23"/>
  <c r="M139" i="23"/>
  <c r="L139" i="133"/>
  <c r="I139" i="133"/>
  <c r="R138" i="63"/>
  <c r="V138" i="63" s="1"/>
  <c r="BB153" i="4"/>
  <c r="H140" i="133"/>
  <c r="AJ140" i="104"/>
  <c r="C140" i="104" s="1"/>
  <c r="H140" i="104" s="1"/>
  <c r="AK140" i="103"/>
  <c r="C140" i="103" s="1"/>
  <c r="H140" i="103" s="1"/>
  <c r="L140" i="103" s="1"/>
  <c r="L140" i="1"/>
  <c r="R138" i="27"/>
  <c r="V138" i="27" s="1"/>
  <c r="R138" i="19"/>
  <c r="V138" i="19" s="1"/>
  <c r="L139" i="21"/>
  <c r="M139" i="21"/>
  <c r="L139" i="101"/>
  <c r="M139" i="101"/>
  <c r="AB139" i="1"/>
  <c r="E21" i="491" s="1"/>
  <c r="AG139" i="1"/>
  <c r="R138" i="1"/>
  <c r="V138" i="1" s="1"/>
  <c r="AF139" i="323"/>
  <c r="AB139" i="323"/>
  <c r="Z137" i="131"/>
  <c r="P96" i="639" s="1"/>
  <c r="AD137" i="131"/>
  <c r="AE137" i="19"/>
  <c r="AA137" i="19"/>
  <c r="I21" i="639" s="1"/>
  <c r="S138" i="21"/>
  <c r="AD137" i="19"/>
  <c r="Z137" i="19"/>
  <c r="I96" i="639" s="1"/>
  <c r="S138" i="323"/>
  <c r="R138" i="29"/>
  <c r="V138" i="29" s="1"/>
  <c r="Z137" i="102"/>
  <c r="U96" i="639" s="1"/>
  <c r="AD137" i="102"/>
  <c r="AF139" i="27"/>
  <c r="AB139" i="27"/>
  <c r="AB139" i="26"/>
  <c r="AF139" i="26"/>
  <c r="T140" i="19"/>
  <c r="X140" i="19" s="1"/>
  <c r="T140" i="314"/>
  <c r="X140" i="314" s="1"/>
  <c r="AD137" i="29"/>
  <c r="Z137" i="29"/>
  <c r="H96" i="639" s="1"/>
  <c r="L139" i="29"/>
  <c r="M139" i="29"/>
  <c r="S138" i="29"/>
  <c r="T140" i="103"/>
  <c r="X140" i="103" s="1"/>
  <c r="T140" i="21"/>
  <c r="X140" i="21" s="1"/>
  <c r="S138" i="27"/>
  <c r="S138" i="19"/>
  <c r="M139" i="19"/>
  <c r="L139" i="19"/>
  <c r="M139" i="3"/>
  <c r="L139" i="3"/>
  <c r="M139" i="323"/>
  <c r="L139" i="323"/>
  <c r="S138" i="103"/>
  <c r="R138" i="21"/>
  <c r="V138" i="21" s="1"/>
  <c r="Z150" i="4" l="1"/>
  <c r="Y96" i="639" s="1"/>
  <c r="AA137" i="29"/>
  <c r="H21" i="639" s="1"/>
  <c r="AE137" i="103"/>
  <c r="AA150" i="4"/>
  <c r="Y21" i="639" s="1"/>
  <c r="AA137" i="25"/>
  <c r="Q21" i="639" s="1"/>
  <c r="AA137" i="27"/>
  <c r="S21" i="639" s="1"/>
  <c r="AA137" i="102"/>
  <c r="U21" i="639" s="1"/>
  <c r="AA137" i="323"/>
  <c r="G21" i="639" s="1"/>
  <c r="AE137" i="26"/>
  <c r="AA137" i="3"/>
  <c r="C21" i="639" s="1"/>
  <c r="AE137" i="18"/>
  <c r="AA137" i="51"/>
  <c r="D21" i="639" s="1"/>
  <c r="AB152" i="4"/>
  <c r="W151" i="4"/>
  <c r="S205" i="4"/>
  <c r="W205" i="4" s="1"/>
  <c r="AA205" i="4" s="1"/>
  <c r="X153" i="4"/>
  <c r="T207" i="4"/>
  <c r="X207" i="4" s="1"/>
  <c r="AB207" i="4" s="1"/>
  <c r="V151" i="4"/>
  <c r="R205" i="4"/>
  <c r="V205" i="4" s="1"/>
  <c r="Z205" i="4" s="1"/>
  <c r="AE137" i="21"/>
  <c r="AE137" i="131"/>
  <c r="AD137" i="23"/>
  <c r="AA137" i="1"/>
  <c r="D19" i="491" s="1"/>
  <c r="AE137" i="314"/>
  <c r="AA137" i="101"/>
  <c r="T21" i="639" s="1"/>
  <c r="AE137" i="20"/>
  <c r="AE137" i="133"/>
  <c r="W138" i="51"/>
  <c r="W138" i="26"/>
  <c r="AE138" i="26" s="1"/>
  <c r="AS22" i="639"/>
  <c r="W138" i="131"/>
  <c r="AE138" i="131" s="1"/>
  <c r="AQ22" i="639"/>
  <c r="W138" i="18"/>
  <c r="AA138" i="18" s="1"/>
  <c r="E22" i="639" s="1"/>
  <c r="AF22" i="639"/>
  <c r="W138" i="314"/>
  <c r="AE138" i="314" s="1"/>
  <c r="AO22" i="639"/>
  <c r="C19" i="491"/>
  <c r="B96" i="639"/>
  <c r="W138" i="21"/>
  <c r="AA138" i="21" s="1"/>
  <c r="K22" i="639" s="1"/>
  <c r="AL22" i="639"/>
  <c r="W138" i="19"/>
  <c r="AA138" i="19" s="1"/>
  <c r="I22" i="639" s="1"/>
  <c r="AJ22" i="639"/>
  <c r="W138" i="104"/>
  <c r="AA138" i="104" s="1"/>
  <c r="X22" i="639" s="1"/>
  <c r="AY22" i="639"/>
  <c r="W138" i="25"/>
  <c r="AE138" i="25" s="1"/>
  <c r="AR22" i="639"/>
  <c r="V138" i="23"/>
  <c r="Z138" i="23" s="1"/>
  <c r="O97" i="639" s="1"/>
  <c r="AP22" i="639"/>
  <c r="W138" i="1"/>
  <c r="AF138" i="1" s="1"/>
  <c r="AC22" i="639"/>
  <c r="W138" i="27"/>
  <c r="AA138" i="27" s="1"/>
  <c r="S22" i="639" s="1"/>
  <c r="AT22" i="639"/>
  <c r="W138" i="63"/>
  <c r="AA138" i="63" s="1"/>
  <c r="F22" i="639" s="1"/>
  <c r="AG22" i="639"/>
  <c r="W138" i="20"/>
  <c r="AA138" i="20" s="1"/>
  <c r="J22" i="639" s="1"/>
  <c r="AK22" i="639"/>
  <c r="W138" i="101"/>
  <c r="AE138" i="101" s="1"/>
  <c r="AU22" i="639"/>
  <c r="W138" i="29"/>
  <c r="AE138" i="29" s="1"/>
  <c r="AI22" i="639"/>
  <c r="W138" i="3"/>
  <c r="AE138" i="3" s="1"/>
  <c r="W138" i="102"/>
  <c r="AA138" i="102" s="1"/>
  <c r="U22" i="639" s="1"/>
  <c r="AV22" i="639"/>
  <c r="W138" i="133"/>
  <c r="AE138" i="133" s="1"/>
  <c r="AW22" i="639"/>
  <c r="W138" i="103"/>
  <c r="AA138" i="103" s="1"/>
  <c r="W22" i="639" s="1"/>
  <c r="AX22" i="639"/>
  <c r="W138" i="323"/>
  <c r="AA138" i="323" s="1"/>
  <c r="G22" i="639" s="1"/>
  <c r="AH22" i="639"/>
  <c r="M139" i="133"/>
  <c r="S139" i="133" s="1"/>
  <c r="N141" i="133"/>
  <c r="T141" i="133" s="1"/>
  <c r="X141" i="133" s="1"/>
  <c r="N141" i="104"/>
  <c r="T141" i="104" s="1"/>
  <c r="X141" i="104" s="1"/>
  <c r="M139" i="1"/>
  <c r="S139" i="1" s="1"/>
  <c r="Z138" i="103"/>
  <c r="W97" i="639" s="1"/>
  <c r="AD138" i="103"/>
  <c r="Z138" i="26"/>
  <c r="R97" i="639" s="1"/>
  <c r="AD138" i="26"/>
  <c r="AF140" i="63"/>
  <c r="AB140" i="63"/>
  <c r="AF140" i="101"/>
  <c r="AB140" i="101"/>
  <c r="AB140" i="314"/>
  <c r="AF140" i="314"/>
  <c r="AB140" i="51"/>
  <c r="Z138" i="63"/>
  <c r="F97" i="639" s="1"/>
  <c r="AD138" i="63"/>
  <c r="Z138" i="1"/>
  <c r="AE138" i="1"/>
  <c r="AF140" i="23"/>
  <c r="AB140" i="103"/>
  <c r="AF140" i="103"/>
  <c r="AB140" i="27"/>
  <c r="AF140" i="27"/>
  <c r="AD138" i="104"/>
  <c r="Z138" i="104"/>
  <c r="X97" i="639" s="1"/>
  <c r="AF140" i="18"/>
  <c r="AB140" i="18"/>
  <c r="AB140" i="131"/>
  <c r="AF140" i="131"/>
  <c r="AG140" i="1"/>
  <c r="AB140" i="1"/>
  <c r="E22" i="491" s="1"/>
  <c r="AE138" i="23"/>
  <c r="AD138" i="27"/>
  <c r="Z138" i="27"/>
  <c r="S97" i="639" s="1"/>
  <c r="AB140" i="29"/>
  <c r="AF140" i="29"/>
  <c r="S139" i="23"/>
  <c r="W139" i="23" s="1"/>
  <c r="AA139" i="23" s="1"/>
  <c r="O23" i="639" s="1"/>
  <c r="S139" i="101"/>
  <c r="M140" i="102"/>
  <c r="L140" i="102"/>
  <c r="L140" i="20"/>
  <c r="M140" i="20"/>
  <c r="R139" i="133"/>
  <c r="V139" i="133" s="1"/>
  <c r="BC155" i="4"/>
  <c r="N142" i="101"/>
  <c r="N142" i="314"/>
  <c r="N142" i="323"/>
  <c r="J142" i="133"/>
  <c r="N142" i="29"/>
  <c r="N142" i="25"/>
  <c r="N142" i="26"/>
  <c r="N142" i="21"/>
  <c r="N142" i="18"/>
  <c r="N142" i="63"/>
  <c r="N142" i="23"/>
  <c r="N142" i="131"/>
  <c r="N142" i="20"/>
  <c r="N142" i="3"/>
  <c r="N142" i="51"/>
  <c r="N142" i="27"/>
  <c r="N142" i="102"/>
  <c r="N142" i="19"/>
  <c r="N142" i="1"/>
  <c r="AL142" i="104"/>
  <c r="E142" i="104" s="1"/>
  <c r="J142" i="104" s="1"/>
  <c r="J155" i="4"/>
  <c r="N155" i="4" s="1"/>
  <c r="N209" i="4" s="1"/>
  <c r="T141" i="19"/>
  <c r="X141" i="19" s="1"/>
  <c r="T141" i="29"/>
  <c r="X141" i="29" s="1"/>
  <c r="R139" i="51"/>
  <c r="V139" i="51" s="1"/>
  <c r="R139" i="25"/>
  <c r="V139" i="25" s="1"/>
  <c r="R139" i="102"/>
  <c r="V139" i="102" s="1"/>
  <c r="T138" i="16"/>
  <c r="X138" i="16" s="1"/>
  <c r="D176" i="16" s="1"/>
  <c r="L176" i="16" s="1"/>
  <c r="M140" i="19"/>
  <c r="L140" i="19"/>
  <c r="V140" i="16"/>
  <c r="Z140" i="16" s="1"/>
  <c r="F178" i="16" s="1"/>
  <c r="N178" i="16" s="1"/>
  <c r="R139" i="323"/>
  <c r="V139" i="323" s="1"/>
  <c r="AF140" i="19"/>
  <c r="AB140" i="19"/>
  <c r="S139" i="21"/>
  <c r="M140" i="23"/>
  <c r="L140" i="23"/>
  <c r="M140" i="29"/>
  <c r="L140" i="29"/>
  <c r="R139" i="23"/>
  <c r="T141" i="3"/>
  <c r="X141" i="3" s="1"/>
  <c r="T141" i="101"/>
  <c r="X141" i="101" s="1"/>
  <c r="T141" i="314"/>
  <c r="X141" i="314" s="1"/>
  <c r="R139" i="131"/>
  <c r="V139" i="131" s="1"/>
  <c r="S139" i="103"/>
  <c r="AB140" i="104"/>
  <c r="AF140" i="104"/>
  <c r="AD138" i="3"/>
  <c r="Z138" i="3"/>
  <c r="C97" i="639" s="1"/>
  <c r="R152" i="4"/>
  <c r="F139" i="16"/>
  <c r="K139" i="16" s="1"/>
  <c r="O139" i="16" s="1"/>
  <c r="AB140" i="102"/>
  <c r="AF140" i="102"/>
  <c r="Z138" i="101"/>
  <c r="T97" i="639" s="1"/>
  <c r="AD138" i="101"/>
  <c r="AD138" i="102"/>
  <c r="Z138" i="102"/>
  <c r="U97" i="639" s="1"/>
  <c r="AB153" i="4"/>
  <c r="R139" i="101"/>
  <c r="V139" i="101" s="1"/>
  <c r="Z151" i="4"/>
  <c r="Y97" i="639" s="1"/>
  <c r="S139" i="323"/>
  <c r="R139" i="21"/>
  <c r="V139" i="21" s="1"/>
  <c r="M140" i="25"/>
  <c r="L140" i="25"/>
  <c r="L140" i="101"/>
  <c r="M140" i="101"/>
  <c r="R139" i="104"/>
  <c r="V139" i="104" s="1"/>
  <c r="T141" i="102"/>
  <c r="X141" i="102" s="1"/>
  <c r="T141" i="1"/>
  <c r="X141" i="1" s="1"/>
  <c r="T141" i="25"/>
  <c r="X141" i="25" s="1"/>
  <c r="T141" i="323"/>
  <c r="X141" i="323" s="1"/>
  <c r="S139" i="131"/>
  <c r="R139" i="103"/>
  <c r="V139" i="103" s="1"/>
  <c r="S152" i="4"/>
  <c r="AB140" i="323"/>
  <c r="AF140" i="323"/>
  <c r="AB140" i="20"/>
  <c r="AF140" i="20"/>
  <c r="S139" i="25"/>
  <c r="AB140" i="133"/>
  <c r="AF140" i="133"/>
  <c r="M140" i="27"/>
  <c r="L140" i="27"/>
  <c r="L140" i="21"/>
  <c r="M140" i="21"/>
  <c r="L140" i="133"/>
  <c r="I140" i="133"/>
  <c r="S139" i="104"/>
  <c r="BB154" i="4"/>
  <c r="H141" i="133"/>
  <c r="AK141" i="103"/>
  <c r="C141" i="103" s="1"/>
  <c r="H141" i="103" s="1"/>
  <c r="L141" i="103" s="1"/>
  <c r="AJ141" i="104"/>
  <c r="C141" i="104" s="1"/>
  <c r="H141" i="104" s="1"/>
  <c r="L141" i="1"/>
  <c r="T141" i="51"/>
  <c r="X141" i="51" s="1"/>
  <c r="T141" i="20"/>
  <c r="X141" i="20" s="1"/>
  <c r="AD138" i="133"/>
  <c r="Z138" i="133"/>
  <c r="V97" i="639" s="1"/>
  <c r="AA138" i="131"/>
  <c r="P22" i="639" s="1"/>
  <c r="Z138" i="51"/>
  <c r="D97" i="639" s="1"/>
  <c r="R139" i="27"/>
  <c r="V139" i="27" s="1"/>
  <c r="Z138" i="20"/>
  <c r="J97" i="639" s="1"/>
  <c r="AD138" i="20"/>
  <c r="R139" i="63"/>
  <c r="V139" i="63" s="1"/>
  <c r="T141" i="131"/>
  <c r="X141" i="131" s="1"/>
  <c r="AA138" i="29"/>
  <c r="H22" i="639" s="1"/>
  <c r="S139" i="29"/>
  <c r="S139" i="3"/>
  <c r="AD23" i="639" s="1"/>
  <c r="R139" i="29"/>
  <c r="V139" i="29" s="1"/>
  <c r="I153" i="4"/>
  <c r="M153" i="4" s="1"/>
  <c r="M207" i="4" s="1"/>
  <c r="H153" i="4"/>
  <c r="L153" i="4" s="1"/>
  <c r="L207" i="4" s="1"/>
  <c r="M140" i="131"/>
  <c r="L140" i="131"/>
  <c r="L140" i="26"/>
  <c r="M140" i="26"/>
  <c r="T141" i="103"/>
  <c r="X141" i="103" s="1"/>
  <c r="T141" i="63"/>
  <c r="X141" i="63" s="1"/>
  <c r="T141" i="18"/>
  <c r="X141" i="18" s="1"/>
  <c r="S139" i="27"/>
  <c r="S139" i="63"/>
  <c r="S139" i="20"/>
  <c r="S139" i="102"/>
  <c r="R139" i="19"/>
  <c r="V139" i="19" s="1"/>
  <c r="AD138" i="29"/>
  <c r="Z138" i="29"/>
  <c r="H97" i="639" s="1"/>
  <c r="L140" i="51"/>
  <c r="M140" i="51"/>
  <c r="M140" i="63"/>
  <c r="L140" i="63"/>
  <c r="M140" i="323"/>
  <c r="L140" i="323"/>
  <c r="T154" i="4"/>
  <c r="H141" i="16"/>
  <c r="M141" i="16" s="1"/>
  <c r="Q141" i="16" s="1"/>
  <c r="T141" i="21"/>
  <c r="X141" i="21" s="1"/>
  <c r="T141" i="26"/>
  <c r="X141" i="26" s="1"/>
  <c r="Z138" i="18"/>
  <c r="E97" i="639" s="1"/>
  <c r="AD138" i="18"/>
  <c r="AB140" i="3"/>
  <c r="AF140" i="3"/>
  <c r="S139" i="26"/>
  <c r="AF140" i="26"/>
  <c r="AB140" i="26"/>
  <c r="AD138" i="314"/>
  <c r="Z138" i="314"/>
  <c r="N97" i="639" s="1"/>
  <c r="Z138" i="131"/>
  <c r="P97" i="639" s="1"/>
  <c r="AD138" i="131"/>
  <c r="R139" i="314"/>
  <c r="V139" i="314" s="1"/>
  <c r="AB140" i="25"/>
  <c r="AF140" i="25"/>
  <c r="AD138" i="25"/>
  <c r="Z138" i="25"/>
  <c r="Q97" i="639" s="1"/>
  <c r="S139" i="18"/>
  <c r="R139" i="20"/>
  <c r="V139" i="20" s="1"/>
  <c r="AD138" i="323"/>
  <c r="Z138" i="323"/>
  <c r="G97" i="639" s="1"/>
  <c r="L140" i="3"/>
  <c r="M140" i="3"/>
  <c r="S139" i="51"/>
  <c r="AE23" i="639" s="1"/>
  <c r="R139" i="3"/>
  <c r="V139" i="3" s="1"/>
  <c r="Z138" i="21"/>
  <c r="K97" i="639" s="1"/>
  <c r="AD138" i="21"/>
  <c r="AB140" i="21"/>
  <c r="AF140" i="21"/>
  <c r="Z138" i="19"/>
  <c r="I97" i="639" s="1"/>
  <c r="AD138" i="19"/>
  <c r="S139" i="19"/>
  <c r="M140" i="104"/>
  <c r="L140" i="104"/>
  <c r="M140" i="18"/>
  <c r="L140" i="18"/>
  <c r="L140" i="314"/>
  <c r="M140" i="314"/>
  <c r="T141" i="27"/>
  <c r="X141" i="27" s="1"/>
  <c r="T141" i="23"/>
  <c r="X141" i="23" s="1"/>
  <c r="AB141" i="23" s="1"/>
  <c r="R139" i="26"/>
  <c r="V139" i="26" s="1"/>
  <c r="S139" i="314"/>
  <c r="R139" i="18"/>
  <c r="V139" i="18" s="1"/>
  <c r="R139" i="1"/>
  <c r="V139" i="1" s="1"/>
  <c r="AE138" i="27" l="1"/>
  <c r="AE138" i="104"/>
  <c r="AE138" i="21"/>
  <c r="AE138" i="103"/>
  <c r="AA138" i="314"/>
  <c r="N22" i="639" s="1"/>
  <c r="B21" i="639"/>
  <c r="AA138" i="26"/>
  <c r="R22" i="639" s="1"/>
  <c r="AA138" i="25"/>
  <c r="Q22" i="639" s="1"/>
  <c r="AA138" i="133"/>
  <c r="V22" i="639" s="1"/>
  <c r="AA151" i="4"/>
  <c r="Y22" i="639" s="1"/>
  <c r="AD138" i="23"/>
  <c r="AE138" i="63"/>
  <c r="AE138" i="102"/>
  <c r="AA138" i="3"/>
  <c r="C22" i="639" s="1"/>
  <c r="AE138" i="18"/>
  <c r="X154" i="4"/>
  <c r="T208" i="4"/>
  <c r="X208" i="4" s="1"/>
  <c r="AB208" i="4" s="1"/>
  <c r="W152" i="4"/>
  <c r="S206" i="4"/>
  <c r="W206" i="4" s="1"/>
  <c r="AA206" i="4" s="1"/>
  <c r="V152" i="4"/>
  <c r="R206" i="4"/>
  <c r="V206" i="4" s="1"/>
  <c r="Z206" i="4" s="1"/>
  <c r="AA138" i="51"/>
  <c r="D22" i="639" s="1"/>
  <c r="AA138" i="1"/>
  <c r="D20" i="491" s="1"/>
  <c r="AE138" i="19"/>
  <c r="AE138" i="20"/>
  <c r="W139" i="27"/>
  <c r="AE139" i="27" s="1"/>
  <c r="AT23" i="639"/>
  <c r="W139" i="25"/>
  <c r="AE139" i="25" s="1"/>
  <c r="AR23" i="639"/>
  <c r="W139" i="131"/>
  <c r="AE139" i="131" s="1"/>
  <c r="AQ23" i="639"/>
  <c r="C20" i="491"/>
  <c r="B97" i="639"/>
  <c r="W139" i="133"/>
  <c r="AE139" i="133" s="1"/>
  <c r="AW23" i="639"/>
  <c r="W139" i="21"/>
  <c r="AA139" i="21" s="1"/>
  <c r="K23" i="639" s="1"/>
  <c r="AL23" i="639"/>
  <c r="W139" i="3"/>
  <c r="AE139" i="3" s="1"/>
  <c r="W139" i="29"/>
  <c r="AE139" i="29" s="1"/>
  <c r="AI23" i="639"/>
  <c r="W139" i="101"/>
  <c r="AE139" i="101" s="1"/>
  <c r="AU23" i="639"/>
  <c r="AE138" i="323"/>
  <c r="W139" i="18"/>
  <c r="AA139" i="18" s="1"/>
  <c r="E23" i="639" s="1"/>
  <c r="AF23" i="639"/>
  <c r="W139" i="102"/>
  <c r="AA139" i="102" s="1"/>
  <c r="U23" i="639" s="1"/>
  <c r="AV23" i="639"/>
  <c r="V139" i="23"/>
  <c r="Z139" i="23" s="1"/>
  <c r="O98" i="639" s="1"/>
  <c r="AP23" i="639"/>
  <c r="AA138" i="101"/>
  <c r="T22" i="639" s="1"/>
  <c r="W139" i="26"/>
  <c r="AE139" i="26" s="1"/>
  <c r="AS23" i="639"/>
  <c r="W139" i="104"/>
  <c r="AA139" i="104" s="1"/>
  <c r="X23" i="639" s="1"/>
  <c r="AY23" i="639"/>
  <c r="W139" i="1"/>
  <c r="AA139" i="1" s="1"/>
  <c r="AC23" i="639"/>
  <c r="W139" i="314"/>
  <c r="AA139" i="314" s="1"/>
  <c r="N23" i="639" s="1"/>
  <c r="AO23" i="639"/>
  <c r="W139" i="20"/>
  <c r="AA139" i="20" s="1"/>
  <c r="J23" i="639" s="1"/>
  <c r="AK23" i="639"/>
  <c r="W139" i="19"/>
  <c r="AE139" i="19" s="1"/>
  <c r="AJ23" i="639"/>
  <c r="W139" i="51"/>
  <c r="AA139" i="51" s="1"/>
  <c r="D23" i="639" s="1"/>
  <c r="W139" i="63"/>
  <c r="AE139" i="63" s="1"/>
  <c r="AG23" i="639"/>
  <c r="W139" i="103"/>
  <c r="AA139" i="103" s="1"/>
  <c r="W23" i="639" s="1"/>
  <c r="AX23" i="639"/>
  <c r="W139" i="323"/>
  <c r="AE139" i="323" s="1"/>
  <c r="AH23" i="639"/>
  <c r="N142" i="104"/>
  <c r="T142" i="104" s="1"/>
  <c r="X142" i="104" s="1"/>
  <c r="N142" i="133"/>
  <c r="T142" i="133" s="1"/>
  <c r="X142" i="133" s="1"/>
  <c r="M140" i="133"/>
  <c r="S140" i="133" s="1"/>
  <c r="M140" i="1"/>
  <c r="S140" i="1" s="1"/>
  <c r="AB141" i="104"/>
  <c r="AF141" i="104"/>
  <c r="AB141" i="314"/>
  <c r="AF141" i="314"/>
  <c r="AD139" i="25"/>
  <c r="Z139" i="25"/>
  <c r="Q98" i="639" s="1"/>
  <c r="AF141" i="26"/>
  <c r="AB141" i="26"/>
  <c r="AA139" i="27"/>
  <c r="S23" i="639" s="1"/>
  <c r="AD139" i="103"/>
  <c r="Z139" i="103"/>
  <c r="W98" i="639" s="1"/>
  <c r="AF141" i="102"/>
  <c r="AB141" i="102"/>
  <c r="AF141" i="101"/>
  <c r="AB141" i="101"/>
  <c r="Z139" i="51"/>
  <c r="D98" i="639" s="1"/>
  <c r="AB141" i="27"/>
  <c r="AF141" i="27"/>
  <c r="AF141" i="18"/>
  <c r="AB141" i="18"/>
  <c r="AF141" i="3"/>
  <c r="AB141" i="3"/>
  <c r="AF141" i="29"/>
  <c r="AB141" i="29"/>
  <c r="Z139" i="26"/>
  <c r="R98" i="639" s="1"/>
  <c r="AD139" i="26"/>
  <c r="AB141" i="63"/>
  <c r="AF141" i="63"/>
  <c r="AB141" i="131"/>
  <c r="AF141" i="131"/>
  <c r="AF141" i="20"/>
  <c r="AB141" i="20"/>
  <c r="AB141" i="19"/>
  <c r="AF141" i="19"/>
  <c r="AB141" i="51"/>
  <c r="Z139" i="131"/>
  <c r="P98" i="639" s="1"/>
  <c r="AD139" i="131"/>
  <c r="AB141" i="133"/>
  <c r="AF141" i="133"/>
  <c r="Z139" i="19"/>
  <c r="I98" i="639" s="1"/>
  <c r="AD139" i="19"/>
  <c r="Z139" i="29"/>
  <c r="H98" i="639" s="1"/>
  <c r="AD139" i="29"/>
  <c r="AD139" i="63"/>
  <c r="Z139" i="63"/>
  <c r="F98" i="639" s="1"/>
  <c r="V141" i="16"/>
  <c r="Z141" i="16" s="1"/>
  <c r="F179" i="16" s="1"/>
  <c r="N179" i="16" s="1"/>
  <c r="R140" i="51"/>
  <c r="V140" i="51" s="1"/>
  <c r="S153" i="4"/>
  <c r="L141" i="29"/>
  <c r="M141" i="29"/>
  <c r="L141" i="23"/>
  <c r="M141" i="23"/>
  <c r="R140" i="103"/>
  <c r="V140" i="103" s="1"/>
  <c r="T142" i="19"/>
  <c r="X142" i="19" s="1"/>
  <c r="T142" i="63"/>
  <c r="X142" i="63" s="1"/>
  <c r="T142" i="323"/>
  <c r="X142" i="323" s="1"/>
  <c r="R140" i="102"/>
  <c r="V140" i="102" s="1"/>
  <c r="S140" i="18"/>
  <c r="AB141" i="103"/>
  <c r="AF141" i="103"/>
  <c r="I154" i="4"/>
  <c r="M154" i="4" s="1"/>
  <c r="M208" i="4" s="1"/>
  <c r="H154" i="4"/>
  <c r="L154" i="4" s="1"/>
  <c r="L208" i="4" s="1"/>
  <c r="L141" i="51"/>
  <c r="M141" i="51"/>
  <c r="L141" i="131"/>
  <c r="M141" i="131"/>
  <c r="S140" i="103"/>
  <c r="R140" i="19"/>
  <c r="V140" i="19" s="1"/>
  <c r="Z139" i="102"/>
  <c r="U98" i="639" s="1"/>
  <c r="AD139" i="102"/>
  <c r="T142" i="102"/>
  <c r="X142" i="102" s="1"/>
  <c r="T142" i="18"/>
  <c r="X142" i="18" s="1"/>
  <c r="T142" i="314"/>
  <c r="X142" i="314" s="1"/>
  <c r="S140" i="102"/>
  <c r="S140" i="3"/>
  <c r="AD24" i="639" s="1"/>
  <c r="L141" i="25"/>
  <c r="M141" i="25"/>
  <c r="M141" i="323"/>
  <c r="L141" i="323"/>
  <c r="AB141" i="323"/>
  <c r="AF141" i="323"/>
  <c r="AD139" i="104"/>
  <c r="Z139" i="104"/>
  <c r="X98" i="639" s="1"/>
  <c r="AD139" i="21"/>
  <c r="Z139" i="21"/>
  <c r="K98" i="639" s="1"/>
  <c r="AD139" i="101"/>
  <c r="Z139" i="101"/>
  <c r="T98" i="639" s="1"/>
  <c r="S140" i="19"/>
  <c r="T142" i="27"/>
  <c r="X142" i="27" s="1"/>
  <c r="T142" i="21"/>
  <c r="X142" i="21" s="1"/>
  <c r="T142" i="101"/>
  <c r="X142" i="101" s="1"/>
  <c r="R140" i="323"/>
  <c r="V140" i="323" s="1"/>
  <c r="S140" i="26"/>
  <c r="L141" i="102"/>
  <c r="M141" i="102"/>
  <c r="M141" i="19"/>
  <c r="L141" i="19"/>
  <c r="L141" i="314"/>
  <c r="M141" i="314"/>
  <c r="R140" i="133"/>
  <c r="V140" i="133" s="1"/>
  <c r="R140" i="29"/>
  <c r="V140" i="29" s="1"/>
  <c r="T155" i="4"/>
  <c r="H142" i="16"/>
  <c r="M142" i="16" s="1"/>
  <c r="Q142" i="16" s="1"/>
  <c r="T142" i="51"/>
  <c r="X142" i="51" s="1"/>
  <c r="AL143" i="104"/>
  <c r="BC156" i="4"/>
  <c r="J156" i="4"/>
  <c r="N156" i="4" s="1"/>
  <c r="AF141" i="23"/>
  <c r="AA139" i="19"/>
  <c r="I23" i="639" s="1"/>
  <c r="S140" i="323"/>
  <c r="R140" i="26"/>
  <c r="V140" i="26" s="1"/>
  <c r="AD139" i="27"/>
  <c r="Z139" i="27"/>
  <c r="S98" i="639" s="1"/>
  <c r="M141" i="104"/>
  <c r="L141" i="104"/>
  <c r="L141" i="20"/>
  <c r="M141" i="20"/>
  <c r="L141" i="26"/>
  <c r="M141" i="26"/>
  <c r="S140" i="21"/>
  <c r="AB141" i="25"/>
  <c r="AF141" i="25"/>
  <c r="S140" i="101"/>
  <c r="S140" i="29"/>
  <c r="T142" i="3"/>
  <c r="X142" i="3" s="1"/>
  <c r="T142" i="26"/>
  <c r="X142" i="26" s="1"/>
  <c r="Z139" i="133"/>
  <c r="V98" i="639" s="1"/>
  <c r="AD139" i="133"/>
  <c r="AE139" i="23"/>
  <c r="R140" i="3"/>
  <c r="V140" i="3" s="1"/>
  <c r="R140" i="104"/>
  <c r="V140" i="104" s="1"/>
  <c r="S140" i="104"/>
  <c r="Z139" i="3"/>
  <c r="C98" i="639" s="1"/>
  <c r="AD139" i="3"/>
  <c r="AD139" i="20"/>
  <c r="Z139" i="20"/>
  <c r="J98" i="639" s="1"/>
  <c r="R140" i="63"/>
  <c r="V140" i="63" s="1"/>
  <c r="R140" i="131"/>
  <c r="V140" i="131" s="1"/>
  <c r="M141" i="27"/>
  <c r="L141" i="27"/>
  <c r="L141" i="18"/>
  <c r="M141" i="18"/>
  <c r="L141" i="101"/>
  <c r="M141" i="101"/>
  <c r="R140" i="21"/>
  <c r="V140" i="21" s="1"/>
  <c r="R140" i="101"/>
  <c r="V140" i="101" s="1"/>
  <c r="R140" i="23"/>
  <c r="T142" i="1"/>
  <c r="X142" i="1" s="1"/>
  <c r="T142" i="20"/>
  <c r="X142" i="20" s="1"/>
  <c r="T142" i="25"/>
  <c r="X142" i="25" s="1"/>
  <c r="Z139" i="18"/>
  <c r="E98" i="639" s="1"/>
  <c r="AD139" i="18"/>
  <c r="S140" i="314"/>
  <c r="AB141" i="21"/>
  <c r="AF141" i="21"/>
  <c r="S140" i="63"/>
  <c r="S140" i="131"/>
  <c r="L141" i="3"/>
  <c r="M141" i="3"/>
  <c r="L141" i="133"/>
  <c r="I141" i="133"/>
  <c r="R140" i="27"/>
  <c r="V140" i="27" s="1"/>
  <c r="AG141" i="1"/>
  <c r="AB141" i="1"/>
  <c r="E23" i="491" s="1"/>
  <c r="R140" i="25"/>
  <c r="V140" i="25" s="1"/>
  <c r="T139" i="16"/>
  <c r="X139" i="16" s="1"/>
  <c r="D177" i="16" s="1"/>
  <c r="L177" i="16" s="1"/>
  <c r="S140" i="23"/>
  <c r="W140" i="23" s="1"/>
  <c r="AA140" i="23" s="1"/>
  <c r="O24" i="639" s="1"/>
  <c r="AD139" i="323"/>
  <c r="Z139" i="323"/>
  <c r="G98" i="639" s="1"/>
  <c r="BB155" i="4"/>
  <c r="H142" i="133"/>
  <c r="AK142" i="103"/>
  <c r="C142" i="103" s="1"/>
  <c r="H142" i="103" s="1"/>
  <c r="L142" i="103" s="1"/>
  <c r="AJ142" i="104"/>
  <c r="C142" i="104" s="1"/>
  <c r="H142" i="104" s="1"/>
  <c r="T142" i="131"/>
  <c r="X142" i="131" s="1"/>
  <c r="T142" i="29"/>
  <c r="X142" i="29" s="1"/>
  <c r="S140" i="20"/>
  <c r="R140" i="18"/>
  <c r="V140" i="18" s="1"/>
  <c r="Z139" i="1"/>
  <c r="AE139" i="1"/>
  <c r="AD139" i="314"/>
  <c r="Z139" i="314"/>
  <c r="N98" i="639" s="1"/>
  <c r="AA139" i="26"/>
  <c r="R23" i="639" s="1"/>
  <c r="R140" i="314"/>
  <c r="V140" i="314" s="1"/>
  <c r="S140" i="51"/>
  <c r="AE24" i="639" s="1"/>
  <c r="R153" i="4"/>
  <c r="F140" i="16"/>
  <c r="K140" i="16" s="1"/>
  <c r="O140" i="16" s="1"/>
  <c r="L141" i="21"/>
  <c r="M141" i="21"/>
  <c r="L141" i="63"/>
  <c r="M141" i="63"/>
  <c r="S140" i="27"/>
  <c r="S140" i="25"/>
  <c r="R140" i="1"/>
  <c r="V140" i="1" s="1"/>
  <c r="T142" i="103"/>
  <c r="X142" i="103" s="1"/>
  <c r="T142" i="23"/>
  <c r="X142" i="23" s="1"/>
  <c r="AB142" i="23" s="1"/>
  <c r="R140" i="20"/>
  <c r="V140" i="20" s="1"/>
  <c r="Z152" i="4" l="1"/>
  <c r="Y98" i="639" s="1"/>
  <c r="AA139" i="323"/>
  <c r="G23" i="639" s="1"/>
  <c r="AA152" i="4"/>
  <c r="Y23" i="639" s="1"/>
  <c r="AA139" i="133"/>
  <c r="V23" i="639" s="1"/>
  <c r="AE139" i="102"/>
  <c r="AE139" i="104"/>
  <c r="AA139" i="29"/>
  <c r="H23" i="639" s="1"/>
  <c r="AB154" i="4"/>
  <c r="AA139" i="25"/>
  <c r="Q23" i="639" s="1"/>
  <c r="AE139" i="18"/>
  <c r="AA139" i="63"/>
  <c r="F23" i="639" s="1"/>
  <c r="V153" i="4"/>
  <c r="R207" i="4"/>
  <c r="V207" i="4" s="1"/>
  <c r="Z207" i="4" s="1"/>
  <c r="W153" i="4"/>
  <c r="S207" i="4"/>
  <c r="W207" i="4" s="1"/>
  <c r="AA207" i="4" s="1"/>
  <c r="X155" i="4"/>
  <c r="T209" i="4"/>
  <c r="X209" i="4" s="1"/>
  <c r="AB209" i="4" s="1"/>
  <c r="B22" i="639"/>
  <c r="AF139" i="1"/>
  <c r="AE139" i="103"/>
  <c r="AA139" i="131"/>
  <c r="P23" i="639" s="1"/>
  <c r="AE139" i="20"/>
  <c r="AA139" i="3"/>
  <c r="C23" i="639" s="1"/>
  <c r="AA139" i="101"/>
  <c r="T23" i="639" s="1"/>
  <c r="AE139" i="21"/>
  <c r="AE139" i="314"/>
  <c r="AD139" i="23"/>
  <c r="W140" i="25"/>
  <c r="AE140" i="25" s="1"/>
  <c r="AR24" i="639"/>
  <c r="W140" i="51"/>
  <c r="W140" i="63"/>
  <c r="AA140" i="63" s="1"/>
  <c r="F24" i="639" s="1"/>
  <c r="AG24" i="639"/>
  <c r="W140" i="27"/>
  <c r="AE140" i="27" s="1"/>
  <c r="AT24" i="639"/>
  <c r="W140" i="20"/>
  <c r="AE140" i="20" s="1"/>
  <c r="AK24" i="639"/>
  <c r="W140" i="26"/>
  <c r="AE140" i="26" s="1"/>
  <c r="AS24" i="639"/>
  <c r="V140" i="23"/>
  <c r="Z140" i="23" s="1"/>
  <c r="O99" i="639" s="1"/>
  <c r="AP24" i="639"/>
  <c r="W140" i="3"/>
  <c r="AA140" i="3" s="1"/>
  <c r="C24" i="639" s="1"/>
  <c r="W140" i="104"/>
  <c r="AA140" i="104" s="1"/>
  <c r="X24" i="639" s="1"/>
  <c r="AY24" i="639"/>
  <c r="W140" i="29"/>
  <c r="AA140" i="29" s="1"/>
  <c r="H24" i="639" s="1"/>
  <c r="AI24" i="639"/>
  <c r="W140" i="102"/>
  <c r="AA140" i="102" s="1"/>
  <c r="U24" i="639" s="1"/>
  <c r="AV24" i="639"/>
  <c r="W140" i="1"/>
  <c r="AF140" i="1" s="1"/>
  <c r="AC24" i="639"/>
  <c r="W140" i="314"/>
  <c r="AE140" i="314" s="1"/>
  <c r="AO24" i="639"/>
  <c r="W140" i="21"/>
  <c r="AE140" i="21" s="1"/>
  <c r="AL24" i="639"/>
  <c r="W140" i="133"/>
  <c r="AE140" i="133" s="1"/>
  <c r="AW24" i="639"/>
  <c r="W140" i="19"/>
  <c r="AA140" i="19" s="1"/>
  <c r="I24" i="639" s="1"/>
  <c r="AJ24" i="639"/>
  <c r="W140" i="18"/>
  <c r="AA140" i="18" s="1"/>
  <c r="E24" i="639" s="1"/>
  <c r="AF24" i="639"/>
  <c r="C21" i="491"/>
  <c r="B98" i="639"/>
  <c r="W140" i="131"/>
  <c r="AA140" i="131" s="1"/>
  <c r="P24" i="639" s="1"/>
  <c r="AQ24" i="639"/>
  <c r="W140" i="101"/>
  <c r="AE140" i="101" s="1"/>
  <c r="AU24" i="639"/>
  <c r="D21" i="491"/>
  <c r="B23" i="639"/>
  <c r="W140" i="103"/>
  <c r="AE140" i="103" s="1"/>
  <c r="AX24" i="639"/>
  <c r="W140" i="323"/>
  <c r="AE140" i="323" s="1"/>
  <c r="AH24" i="639"/>
  <c r="M141" i="133"/>
  <c r="S141" i="133" s="1"/>
  <c r="M141" i="1"/>
  <c r="S141" i="1" s="1"/>
  <c r="AF142" i="131"/>
  <c r="AB142" i="131"/>
  <c r="Z140" i="51"/>
  <c r="D99" i="639" s="1"/>
  <c r="AF142" i="26"/>
  <c r="AB142" i="26"/>
  <c r="AE140" i="19"/>
  <c r="AD140" i="103"/>
  <c r="Z140" i="103"/>
  <c r="W99" i="639" s="1"/>
  <c r="AB142" i="51"/>
  <c r="Z140" i="323"/>
  <c r="G99" i="639" s="1"/>
  <c r="AD140" i="323"/>
  <c r="AB142" i="323"/>
  <c r="AF142" i="323"/>
  <c r="AD140" i="27"/>
  <c r="Z140" i="27"/>
  <c r="S99" i="639" s="1"/>
  <c r="Z140" i="19"/>
  <c r="I99" i="639" s="1"/>
  <c r="AD140" i="19"/>
  <c r="AF142" i="133"/>
  <c r="AB142" i="133"/>
  <c r="AB142" i="314"/>
  <c r="AF142" i="314"/>
  <c r="Z140" i="314"/>
  <c r="N99" i="639" s="1"/>
  <c r="AD140" i="314"/>
  <c r="AA140" i="20"/>
  <c r="J24" i="639" s="1"/>
  <c r="AE140" i="29"/>
  <c r="AF142" i="18"/>
  <c r="AB142" i="18"/>
  <c r="T140" i="16"/>
  <c r="X140" i="16" s="1"/>
  <c r="D178" i="16" s="1"/>
  <c r="L178" i="16" s="1"/>
  <c r="I155" i="4"/>
  <c r="M155" i="4" s="1"/>
  <c r="M209" i="4" s="1"/>
  <c r="H155" i="4"/>
  <c r="L155" i="4" s="1"/>
  <c r="L209" i="4" s="1"/>
  <c r="L142" i="63"/>
  <c r="M142" i="63"/>
  <c r="L142" i="133"/>
  <c r="I142" i="133"/>
  <c r="S141" i="101"/>
  <c r="S141" i="20"/>
  <c r="AK143" i="103"/>
  <c r="BB156" i="4"/>
  <c r="AJ143" i="104"/>
  <c r="S141" i="314"/>
  <c r="L142" i="21"/>
  <c r="M142" i="21"/>
  <c r="L142" i="323"/>
  <c r="AB142" i="1"/>
  <c r="E24" i="491" s="1"/>
  <c r="AG142" i="1"/>
  <c r="R141" i="101"/>
  <c r="V141" i="101" s="1"/>
  <c r="AD140" i="63"/>
  <c r="Z140" i="63"/>
  <c r="F99" i="639" s="1"/>
  <c r="R141" i="20"/>
  <c r="V141" i="20" s="1"/>
  <c r="V142" i="16"/>
  <c r="Z142" i="16" s="1"/>
  <c r="F180" i="16" s="1"/>
  <c r="N180" i="16" s="1"/>
  <c r="R141" i="314"/>
  <c r="V141" i="314" s="1"/>
  <c r="R141" i="1"/>
  <c r="V141" i="1" s="1"/>
  <c r="AF142" i="23"/>
  <c r="L142" i="29"/>
  <c r="M142" i="29"/>
  <c r="S141" i="18"/>
  <c r="AD140" i="104"/>
  <c r="Z140" i="104"/>
  <c r="X99" i="639" s="1"/>
  <c r="R141" i="104"/>
  <c r="V141" i="104" s="1"/>
  <c r="AB155" i="4"/>
  <c r="R141" i="19"/>
  <c r="V141" i="19" s="1"/>
  <c r="AB142" i="101"/>
  <c r="AF142" i="101"/>
  <c r="AF142" i="102"/>
  <c r="AB142" i="102"/>
  <c r="S141" i="131"/>
  <c r="AB142" i="63"/>
  <c r="AF142" i="63"/>
  <c r="S141" i="23"/>
  <c r="W141" i="23" s="1"/>
  <c r="AA141" i="23" s="1"/>
  <c r="O25" i="639" s="1"/>
  <c r="L142" i="27"/>
  <c r="M142" i="27"/>
  <c r="M142" i="19"/>
  <c r="L142" i="19"/>
  <c r="R141" i="133"/>
  <c r="V141" i="133" s="1"/>
  <c r="R141" i="18"/>
  <c r="V141" i="18" s="1"/>
  <c r="S141" i="104"/>
  <c r="S141" i="19"/>
  <c r="R141" i="131"/>
  <c r="V141" i="131" s="1"/>
  <c r="R141" i="23"/>
  <c r="AF142" i="29"/>
  <c r="AB142" i="29"/>
  <c r="M142" i="3"/>
  <c r="L142" i="3"/>
  <c r="AD140" i="25"/>
  <c r="Z140" i="25"/>
  <c r="Q99" i="639" s="1"/>
  <c r="S141" i="3"/>
  <c r="AD25" i="639" s="1"/>
  <c r="AF142" i="25"/>
  <c r="AB142" i="25"/>
  <c r="Z140" i="101"/>
  <c r="T99" i="639" s="1"/>
  <c r="AD140" i="101"/>
  <c r="R141" i="27"/>
  <c r="V141" i="27" s="1"/>
  <c r="Z140" i="3"/>
  <c r="C99" i="639" s="1"/>
  <c r="AD140" i="3"/>
  <c r="AB142" i="3"/>
  <c r="AF142" i="3"/>
  <c r="Z140" i="29"/>
  <c r="H99" i="639" s="1"/>
  <c r="AD140" i="29"/>
  <c r="S141" i="102"/>
  <c r="AB142" i="21"/>
  <c r="AF142" i="21"/>
  <c r="R141" i="323"/>
  <c r="V141" i="323" s="1"/>
  <c r="S141" i="51"/>
  <c r="AE25" i="639" s="1"/>
  <c r="AF142" i="19"/>
  <c r="AB142" i="19"/>
  <c r="S141" i="29"/>
  <c r="L142" i="314"/>
  <c r="M142" i="314"/>
  <c r="AF142" i="103"/>
  <c r="AB142" i="103"/>
  <c r="AD140" i="18"/>
  <c r="Z140" i="18"/>
  <c r="E99" i="639" s="1"/>
  <c r="L142" i="104"/>
  <c r="M142" i="104"/>
  <c r="L142" i="25"/>
  <c r="M142" i="25"/>
  <c r="M142" i="131"/>
  <c r="L142" i="131"/>
  <c r="R141" i="3"/>
  <c r="V141" i="3" s="1"/>
  <c r="S141" i="27"/>
  <c r="R141" i="102"/>
  <c r="V141" i="102" s="1"/>
  <c r="S141" i="323"/>
  <c r="R141" i="51"/>
  <c r="V141" i="51" s="1"/>
  <c r="R141" i="29"/>
  <c r="V141" i="29" s="1"/>
  <c r="S141" i="63"/>
  <c r="L142" i="20"/>
  <c r="M142" i="20"/>
  <c r="S141" i="21"/>
  <c r="M142" i="51"/>
  <c r="L142" i="51"/>
  <c r="L142" i="23"/>
  <c r="M142" i="23"/>
  <c r="L142" i="101"/>
  <c r="M142" i="101"/>
  <c r="AE140" i="23"/>
  <c r="R141" i="103"/>
  <c r="V141" i="103" s="1"/>
  <c r="AB142" i="20"/>
  <c r="AF142" i="20"/>
  <c r="Z140" i="21"/>
  <c r="K99" i="639" s="1"/>
  <c r="AD140" i="21"/>
  <c r="Z140" i="131"/>
  <c r="P99" i="639" s="1"/>
  <c r="AD140" i="131"/>
  <c r="AF142" i="104"/>
  <c r="AB142" i="104"/>
  <c r="S141" i="26"/>
  <c r="AD140" i="26"/>
  <c r="Z140" i="26"/>
  <c r="R99" i="639" s="1"/>
  <c r="BC157" i="4"/>
  <c r="AL144" i="104"/>
  <c r="J157" i="4"/>
  <c r="N157" i="4" s="1"/>
  <c r="AD140" i="133"/>
  <c r="Z140" i="133"/>
  <c r="V99" i="639" s="1"/>
  <c r="AB142" i="27"/>
  <c r="AF142" i="27"/>
  <c r="S141" i="25"/>
  <c r="R154" i="4"/>
  <c r="F141" i="16"/>
  <c r="K141" i="16" s="1"/>
  <c r="O141" i="16" s="1"/>
  <c r="AD140" i="102"/>
  <c r="Z140" i="102"/>
  <c r="U99" i="639" s="1"/>
  <c r="R141" i="63"/>
  <c r="V141" i="63" s="1"/>
  <c r="AD140" i="20"/>
  <c r="Z140" i="20"/>
  <c r="J99" i="639" s="1"/>
  <c r="Z140" i="1"/>
  <c r="AE140" i="1"/>
  <c r="R141" i="21"/>
  <c r="V141" i="21" s="1"/>
  <c r="L142" i="102"/>
  <c r="M142" i="102"/>
  <c r="L142" i="18"/>
  <c r="M142" i="18"/>
  <c r="L142" i="26"/>
  <c r="M142" i="26"/>
  <c r="S141" i="103"/>
  <c r="R141" i="26"/>
  <c r="V141" i="26" s="1"/>
  <c r="T156" i="4"/>
  <c r="X156" i="4" s="1"/>
  <c r="R141" i="25"/>
  <c r="V141" i="25" s="1"/>
  <c r="S154" i="4"/>
  <c r="AA140" i="21" l="1"/>
  <c r="K24" i="639" s="1"/>
  <c r="AE140" i="3"/>
  <c r="Z153" i="4"/>
  <c r="Y99" i="639" s="1"/>
  <c r="AA140" i="26"/>
  <c r="R24" i="639" s="1"/>
  <c r="AA153" i="4"/>
  <c r="Y24" i="639" s="1"/>
  <c r="AE140" i="63"/>
  <c r="AA140" i="103"/>
  <c r="W24" i="639" s="1"/>
  <c r="V154" i="4"/>
  <c r="R208" i="4"/>
  <c r="V208" i="4" s="1"/>
  <c r="Z208" i="4" s="1"/>
  <c r="W154" i="4"/>
  <c r="S208" i="4"/>
  <c r="W208" i="4" s="1"/>
  <c r="AA208" i="4" s="1"/>
  <c r="AE140" i="102"/>
  <c r="AA140" i="51"/>
  <c r="D24" i="639" s="1"/>
  <c r="AD140" i="23"/>
  <c r="AA140" i="133"/>
  <c r="V24" i="639" s="1"/>
  <c r="AA140" i="1"/>
  <c r="D22" i="491" s="1"/>
  <c r="AA140" i="25"/>
  <c r="Q24" i="639" s="1"/>
  <c r="AE140" i="104"/>
  <c r="AA140" i="314"/>
  <c r="N24" i="639" s="1"/>
  <c r="AE140" i="131"/>
  <c r="AE140" i="18"/>
  <c r="W141" i="19"/>
  <c r="AA141" i="19" s="1"/>
  <c r="I25" i="639" s="1"/>
  <c r="AJ25" i="639"/>
  <c r="W141" i="1"/>
  <c r="AF141" i="1" s="1"/>
  <c r="AC25" i="639"/>
  <c r="W141" i="102"/>
  <c r="AE141" i="102" s="1"/>
  <c r="AV25" i="639"/>
  <c r="W141" i="104"/>
  <c r="AE141" i="104" s="1"/>
  <c r="AY25" i="639"/>
  <c r="W141" i="20"/>
  <c r="AE141" i="20" s="1"/>
  <c r="AK25" i="639"/>
  <c r="W141" i="133"/>
  <c r="AE141" i="133" s="1"/>
  <c r="AW25" i="639"/>
  <c r="W141" i="29"/>
  <c r="AE141" i="29" s="1"/>
  <c r="AI25" i="639"/>
  <c r="W141" i="18"/>
  <c r="AE141" i="18" s="1"/>
  <c r="AF25" i="639"/>
  <c r="W141" i="101"/>
  <c r="AA141" i="101" s="1"/>
  <c r="T25" i="639" s="1"/>
  <c r="AU25" i="639"/>
  <c r="W141" i="26"/>
  <c r="AA141" i="26" s="1"/>
  <c r="R25" i="639" s="1"/>
  <c r="AS25" i="639"/>
  <c r="W141" i="21"/>
  <c r="AE141" i="21" s="1"/>
  <c r="AL25" i="639"/>
  <c r="W141" i="131"/>
  <c r="AE141" i="131" s="1"/>
  <c r="AQ25" i="639"/>
  <c r="AA140" i="101"/>
  <c r="T24" i="639" s="1"/>
  <c r="C22" i="491"/>
  <c r="B99" i="639"/>
  <c r="W141" i="27"/>
  <c r="AA141" i="27" s="1"/>
  <c r="S25" i="639" s="1"/>
  <c r="AT25" i="639"/>
  <c r="W141" i="51"/>
  <c r="W141" i="314"/>
  <c r="AE141" i="314" s="1"/>
  <c r="AO25" i="639"/>
  <c r="V141" i="23"/>
  <c r="Z141" i="23" s="1"/>
  <c r="O100" i="639" s="1"/>
  <c r="AP25" i="639"/>
  <c r="AA140" i="323"/>
  <c r="G24" i="639" s="1"/>
  <c r="AA140" i="27"/>
  <c r="S24" i="639" s="1"/>
  <c r="W141" i="25"/>
  <c r="AA141" i="25" s="1"/>
  <c r="Q25" i="639" s="1"/>
  <c r="AR25" i="639"/>
  <c r="W141" i="63"/>
  <c r="AA141" i="63" s="1"/>
  <c r="F25" i="639" s="1"/>
  <c r="AG25" i="639"/>
  <c r="W141" i="3"/>
  <c r="AA141" i="3" s="1"/>
  <c r="C25" i="639" s="1"/>
  <c r="W141" i="103"/>
  <c r="AA141" i="103" s="1"/>
  <c r="W25" i="639" s="1"/>
  <c r="AX25" i="639"/>
  <c r="W141" i="323"/>
  <c r="AA141" i="323" s="1"/>
  <c r="G25" i="639" s="1"/>
  <c r="AH25" i="639"/>
  <c r="M142" i="133"/>
  <c r="S142" i="133" s="1"/>
  <c r="M142" i="1"/>
  <c r="Z141" i="103"/>
  <c r="W100" i="639" s="1"/>
  <c r="AD141" i="103"/>
  <c r="AD141" i="63"/>
  <c r="Z141" i="63"/>
  <c r="F100" i="639" s="1"/>
  <c r="Z141" i="104"/>
  <c r="X100" i="639" s="1"/>
  <c r="AD141" i="104"/>
  <c r="Z141" i="18"/>
  <c r="E100" i="639" s="1"/>
  <c r="AD141" i="18"/>
  <c r="AD141" i="20"/>
  <c r="Z141" i="20"/>
  <c r="J100" i="639" s="1"/>
  <c r="Z141" i="26"/>
  <c r="R100" i="639" s="1"/>
  <c r="AD141" i="26"/>
  <c r="Z141" i="19"/>
  <c r="I100" i="639" s="1"/>
  <c r="AD141" i="19"/>
  <c r="Z141" i="27"/>
  <c r="S100" i="639" s="1"/>
  <c r="AD141" i="27"/>
  <c r="AE141" i="19"/>
  <c r="Z141" i="1"/>
  <c r="AE141" i="1"/>
  <c r="AD141" i="101"/>
  <c r="Z141" i="101"/>
  <c r="T100" i="639" s="1"/>
  <c r="S142" i="314"/>
  <c r="AD141" i="133"/>
  <c r="Z141" i="133"/>
  <c r="V100" i="639" s="1"/>
  <c r="R142" i="25"/>
  <c r="V142" i="25" s="1"/>
  <c r="R142" i="102"/>
  <c r="V142" i="102" s="1"/>
  <c r="R142" i="23"/>
  <c r="S142" i="131"/>
  <c r="R142" i="323"/>
  <c r="V142" i="323" s="1"/>
  <c r="R142" i="51"/>
  <c r="V142" i="51" s="1"/>
  <c r="Z142" i="51" s="1"/>
  <c r="D101" i="639" s="1"/>
  <c r="R142" i="19"/>
  <c r="V142" i="19" s="1"/>
  <c r="S142" i="29"/>
  <c r="R142" i="133"/>
  <c r="V142" i="133" s="1"/>
  <c r="S142" i="25"/>
  <c r="Z141" i="131"/>
  <c r="P100" i="639" s="1"/>
  <c r="AD141" i="131"/>
  <c r="R142" i="314"/>
  <c r="V142" i="314" s="1"/>
  <c r="S142" i="103"/>
  <c r="R142" i="104"/>
  <c r="V142" i="104" s="1"/>
  <c r="R142" i="103"/>
  <c r="V142" i="103" s="1"/>
  <c r="S142" i="19"/>
  <c r="R142" i="29"/>
  <c r="V142" i="29" s="1"/>
  <c r="AD141" i="314"/>
  <c r="Z141" i="314"/>
  <c r="N100" i="639" s="1"/>
  <c r="S142" i="63"/>
  <c r="T141" i="16"/>
  <c r="X141" i="16" s="1"/>
  <c r="D179" i="16" s="1"/>
  <c r="L179" i="16" s="1"/>
  <c r="Z141" i="102"/>
  <c r="U100" i="639" s="1"/>
  <c r="AD141" i="102"/>
  <c r="R142" i="3"/>
  <c r="V142" i="3" s="1"/>
  <c r="S142" i="51"/>
  <c r="AE26" i="639" s="1"/>
  <c r="R142" i="21"/>
  <c r="V142" i="21" s="1"/>
  <c r="Z141" i="25"/>
  <c r="Q100" i="639" s="1"/>
  <c r="AD141" i="25"/>
  <c r="AD141" i="29"/>
  <c r="Z141" i="29"/>
  <c r="H100" i="639" s="1"/>
  <c r="S142" i="18"/>
  <c r="T157" i="4"/>
  <c r="X157" i="4" s="1"/>
  <c r="S142" i="101"/>
  <c r="S142" i="20"/>
  <c r="Z141" i="51"/>
  <c r="D100" i="639" s="1"/>
  <c r="Z141" i="3"/>
  <c r="C100" i="639" s="1"/>
  <c r="AD141" i="3"/>
  <c r="S142" i="27"/>
  <c r="R142" i="63"/>
  <c r="V142" i="63" s="1"/>
  <c r="Z141" i="21"/>
  <c r="K100" i="639" s="1"/>
  <c r="AD141" i="21"/>
  <c r="AD141" i="323"/>
  <c r="Z141" i="323"/>
  <c r="G100" i="639" s="1"/>
  <c r="AE141" i="23"/>
  <c r="S142" i="26"/>
  <c r="R142" i="26"/>
  <c r="V142" i="26" s="1"/>
  <c r="BC158" i="4"/>
  <c r="AL145" i="104"/>
  <c r="J158" i="4"/>
  <c r="N158" i="4" s="1"/>
  <c r="R142" i="18"/>
  <c r="V142" i="18" s="1"/>
  <c r="BB157" i="4"/>
  <c r="AK144" i="103"/>
  <c r="AJ144" i="104"/>
  <c r="R142" i="101"/>
  <c r="V142" i="101" s="1"/>
  <c r="R142" i="20"/>
  <c r="V142" i="20" s="1"/>
  <c r="R142" i="27"/>
  <c r="V142" i="27" s="1"/>
  <c r="AA141" i="20"/>
  <c r="J25" i="639" s="1"/>
  <c r="R155" i="4"/>
  <c r="F142" i="16"/>
  <c r="K142" i="16" s="1"/>
  <c r="O142" i="16" s="1"/>
  <c r="S142" i="21"/>
  <c r="V142" i="1"/>
  <c r="S142" i="3"/>
  <c r="AD26" i="639" s="1"/>
  <c r="S142" i="104"/>
  <c r="S142" i="102"/>
  <c r="S142" i="23"/>
  <c r="W142" i="23" s="1"/>
  <c r="AA142" i="23" s="1"/>
  <c r="O26" i="639" s="1"/>
  <c r="R142" i="131"/>
  <c r="V142" i="131" s="1"/>
  <c r="S142" i="323"/>
  <c r="H156" i="4"/>
  <c r="L156" i="4" s="1"/>
  <c r="I156" i="4"/>
  <c r="M156" i="4" s="1"/>
  <c r="S155" i="4"/>
  <c r="Z154" i="4" l="1"/>
  <c r="Y100" i="639" s="1"/>
  <c r="AE141" i="3"/>
  <c r="AE141" i="27"/>
  <c r="AA154" i="4"/>
  <c r="Y25" i="639" s="1"/>
  <c r="AA141" i="133"/>
  <c r="V25" i="639" s="1"/>
  <c r="AD141" i="23"/>
  <c r="AE141" i="25"/>
  <c r="AE141" i="63"/>
  <c r="AE141" i="26"/>
  <c r="AA141" i="314"/>
  <c r="N25" i="639" s="1"/>
  <c r="AA141" i="102"/>
  <c r="U25" i="639" s="1"/>
  <c r="V155" i="4"/>
  <c r="R209" i="4"/>
  <c r="V209" i="4" s="1"/>
  <c r="Z209" i="4" s="1"/>
  <c r="AE141" i="103"/>
  <c r="AA141" i="104"/>
  <c r="X25" i="639" s="1"/>
  <c r="W155" i="4"/>
  <c r="S209" i="4"/>
  <c r="W209" i="4" s="1"/>
  <c r="AA209" i="4" s="1"/>
  <c r="AA141" i="18"/>
  <c r="E25" i="639" s="1"/>
  <c r="AA141" i="51"/>
  <c r="D25" i="639" s="1"/>
  <c r="AA141" i="21"/>
  <c r="K25" i="639" s="1"/>
  <c r="B24" i="639"/>
  <c r="AA141" i="1"/>
  <c r="D23" i="491" s="1"/>
  <c r="AE141" i="101"/>
  <c r="S142" i="1"/>
  <c r="AA141" i="131"/>
  <c r="P25" i="639" s="1"/>
  <c r="AA141" i="29"/>
  <c r="H25" i="639" s="1"/>
  <c r="W142" i="27"/>
  <c r="AE142" i="27" s="1"/>
  <c r="AT26" i="639"/>
  <c r="C23" i="491"/>
  <c r="B100" i="639"/>
  <c r="O32" i="639"/>
  <c r="O31" i="639"/>
  <c r="O33" i="639" s="1"/>
  <c r="O29" i="639"/>
  <c r="O30" i="639"/>
  <c r="W142" i="20"/>
  <c r="AE142" i="20" s="1"/>
  <c r="AK26" i="639"/>
  <c r="W142" i="51"/>
  <c r="W142" i="19"/>
  <c r="AA142" i="19" s="1"/>
  <c r="I26" i="639" s="1"/>
  <c r="AJ26" i="639"/>
  <c r="W142" i="26"/>
  <c r="AE142" i="26" s="1"/>
  <c r="AS26" i="639"/>
  <c r="W142" i="18"/>
  <c r="AA142" i="18" s="1"/>
  <c r="E26" i="639" s="1"/>
  <c r="AF26" i="639"/>
  <c r="W142" i="25"/>
  <c r="AA142" i="25" s="1"/>
  <c r="Q26" i="639" s="1"/>
  <c r="AR26" i="639"/>
  <c r="W142" i="131"/>
  <c r="AA142" i="131" s="1"/>
  <c r="P26" i="639" s="1"/>
  <c r="AQ26" i="639"/>
  <c r="W142" i="314"/>
  <c r="AE142" i="314" s="1"/>
  <c r="AO26" i="639"/>
  <c r="W142" i="101"/>
  <c r="AA142" i="101" s="1"/>
  <c r="T26" i="639" s="1"/>
  <c r="AU26" i="639"/>
  <c r="AE141" i="323"/>
  <c r="W142" i="21"/>
  <c r="AA142" i="21" s="1"/>
  <c r="K26" i="639" s="1"/>
  <c r="AL26" i="639"/>
  <c r="W142" i="102"/>
  <c r="AE142" i="102" s="1"/>
  <c r="AV26" i="639"/>
  <c r="W142" i="104"/>
  <c r="AE142" i="104" s="1"/>
  <c r="AY26" i="639"/>
  <c r="W142" i="29"/>
  <c r="AA142" i="29" s="1"/>
  <c r="H26" i="639" s="1"/>
  <c r="AI26" i="639"/>
  <c r="W142" i="133"/>
  <c r="AA142" i="133" s="1"/>
  <c r="V26" i="639" s="1"/>
  <c r="AW26" i="639"/>
  <c r="W142" i="3"/>
  <c r="AA142" i="3" s="1"/>
  <c r="C26" i="639" s="1"/>
  <c r="W142" i="63"/>
  <c r="AA142" i="63" s="1"/>
  <c r="F26" i="639" s="1"/>
  <c r="AG26" i="639"/>
  <c r="V142" i="23"/>
  <c r="Z142" i="23" s="1"/>
  <c r="O101" i="639" s="1"/>
  <c r="AP26" i="639"/>
  <c r="W142" i="103"/>
  <c r="AA142" i="103" s="1"/>
  <c r="W26" i="639" s="1"/>
  <c r="W32" i="639" s="1"/>
  <c r="AX26" i="639"/>
  <c r="W142" i="323"/>
  <c r="AA142" i="323" s="1"/>
  <c r="G26" i="639" s="1"/>
  <c r="AH26" i="639"/>
  <c r="AE142" i="1"/>
  <c r="AD142" i="26"/>
  <c r="Z142" i="26"/>
  <c r="R101" i="639" s="1"/>
  <c r="AD142" i="131"/>
  <c r="Z142" i="131"/>
  <c r="P101" i="639" s="1"/>
  <c r="Z142" i="21"/>
  <c r="K101" i="639" s="1"/>
  <c r="AD142" i="21"/>
  <c r="AD142" i="133"/>
  <c r="Z142" i="133"/>
  <c r="V101" i="639" s="1"/>
  <c r="AD142" i="101"/>
  <c r="Z142" i="101"/>
  <c r="T101" i="639" s="1"/>
  <c r="AD142" i="18"/>
  <c r="Z142" i="18"/>
  <c r="E101" i="639" s="1"/>
  <c r="T142" i="16"/>
  <c r="X142" i="16" s="1"/>
  <c r="D180" i="16" s="1"/>
  <c r="L180" i="16" s="1"/>
  <c r="AD142" i="63"/>
  <c r="Z142" i="63"/>
  <c r="F101" i="639" s="1"/>
  <c r="AD142" i="104"/>
  <c r="Z142" i="104"/>
  <c r="X101" i="639" s="1"/>
  <c r="Z142" i="29"/>
  <c r="H101" i="639" s="1"/>
  <c r="AD142" i="29"/>
  <c r="Z142" i="25"/>
  <c r="Q101" i="639" s="1"/>
  <c r="AD142" i="25"/>
  <c r="AD142" i="3"/>
  <c r="Z142" i="3"/>
  <c r="C101" i="639" s="1"/>
  <c r="S156" i="4"/>
  <c r="W156" i="4" s="1"/>
  <c r="R156" i="4"/>
  <c r="V156" i="4" s="1"/>
  <c r="H157" i="4"/>
  <c r="L157" i="4" s="1"/>
  <c r="I157" i="4"/>
  <c r="M157" i="4" s="1"/>
  <c r="AD142" i="102"/>
  <c r="Z142" i="102"/>
  <c r="U101" i="639" s="1"/>
  <c r="AE142" i="23"/>
  <c r="AL146" i="104"/>
  <c r="BC159" i="4"/>
  <c r="J159" i="4"/>
  <c r="N159" i="4" s="1"/>
  <c r="AD142" i="20"/>
  <c r="Z142" i="20"/>
  <c r="J101" i="639" s="1"/>
  <c r="AD142" i="19"/>
  <c r="Z142" i="19"/>
  <c r="I101" i="639" s="1"/>
  <c r="Z142" i="103"/>
  <c r="W101" i="639" s="1"/>
  <c r="W103" i="639" s="1"/>
  <c r="AD142" i="103"/>
  <c r="Z142" i="27"/>
  <c r="S101" i="639" s="1"/>
  <c r="AD142" i="27"/>
  <c r="T158" i="4"/>
  <c r="X158" i="4" s="1"/>
  <c r="Z142" i="314"/>
  <c r="N101" i="639" s="1"/>
  <c r="AD142" i="314"/>
  <c r="AD142" i="323"/>
  <c r="Z142" i="323"/>
  <c r="G101" i="639" s="1"/>
  <c r="BB158" i="4"/>
  <c r="AJ145" i="104"/>
  <c r="AK145" i="103"/>
  <c r="Z155" i="4" l="1"/>
  <c r="Y101" i="639" s="1"/>
  <c r="AA155" i="4"/>
  <c r="Y26" i="639" s="1"/>
  <c r="AA142" i="51"/>
  <c r="D26" i="639" s="1"/>
  <c r="AE142" i="101"/>
  <c r="AA142" i="27"/>
  <c r="S26" i="639" s="1"/>
  <c r="S32" i="639" s="1"/>
  <c r="AE142" i="18"/>
  <c r="AE142" i="323"/>
  <c r="AA142" i="26"/>
  <c r="R26" i="639" s="1"/>
  <c r="R32" i="639" s="1"/>
  <c r="Y103" i="639"/>
  <c r="Y106" i="639"/>
  <c r="Y108" i="639" s="1"/>
  <c r="Y105" i="639"/>
  <c r="Y104" i="639"/>
  <c r="Y32" i="639"/>
  <c r="Y31" i="639"/>
  <c r="Y33" i="639" s="1"/>
  <c r="Y29" i="639"/>
  <c r="Y30" i="639"/>
  <c r="AA142" i="314"/>
  <c r="N26" i="639" s="1"/>
  <c r="N32" i="639" s="1"/>
  <c r="AA142" i="20"/>
  <c r="J26" i="639" s="1"/>
  <c r="J30" i="639" s="1"/>
  <c r="AE142" i="131"/>
  <c r="B25" i="639"/>
  <c r="AE142" i="63"/>
  <c r="AA142" i="104"/>
  <c r="X26" i="639" s="1"/>
  <c r="X32" i="639" s="1"/>
  <c r="AE142" i="29"/>
  <c r="AF142" i="1"/>
  <c r="B26" i="639"/>
  <c r="B32" i="639" s="1"/>
  <c r="AC26" i="639"/>
  <c r="AE142" i="103"/>
  <c r="AE142" i="25"/>
  <c r="AD142" i="23"/>
  <c r="AE142" i="19"/>
  <c r="AE142" i="21"/>
  <c r="P32" i="639"/>
  <c r="P31" i="639"/>
  <c r="P33" i="639" s="1"/>
  <c r="P29" i="639"/>
  <c r="P30" i="639"/>
  <c r="V32" i="639"/>
  <c r="V31" i="639"/>
  <c r="V33" i="639" s="1"/>
  <c r="V30" i="639"/>
  <c r="V29" i="639"/>
  <c r="K32" i="639"/>
  <c r="K31" i="639"/>
  <c r="K33" i="639" s="1"/>
  <c r="K30" i="639"/>
  <c r="K29" i="639"/>
  <c r="C32" i="639"/>
  <c r="C31" i="639"/>
  <c r="C33" i="639" s="1"/>
  <c r="C30" i="639"/>
  <c r="C29" i="639"/>
  <c r="Q32" i="639"/>
  <c r="Q31" i="639"/>
  <c r="Q33" i="639" s="1"/>
  <c r="Q29" i="639"/>
  <c r="Q30" i="639"/>
  <c r="C105" i="639"/>
  <c r="C103" i="639"/>
  <c r="C104" i="639"/>
  <c r="C106" i="639"/>
  <c r="C108" i="639" s="1"/>
  <c r="F104" i="639"/>
  <c r="F103" i="639"/>
  <c r="F105" i="639"/>
  <c r="F106" i="639"/>
  <c r="F108" i="639" s="1"/>
  <c r="T106" i="639"/>
  <c r="T108" i="639" s="1"/>
  <c r="T103" i="639"/>
  <c r="T104" i="639"/>
  <c r="T105" i="639"/>
  <c r="R104" i="639"/>
  <c r="R103" i="639"/>
  <c r="R106" i="639"/>
  <c r="R108" i="639" s="1"/>
  <c r="R105" i="639"/>
  <c r="U106" i="639"/>
  <c r="U108" i="639" s="1"/>
  <c r="U105" i="639"/>
  <c r="U103" i="639"/>
  <c r="U104" i="639"/>
  <c r="S105" i="639"/>
  <c r="S103" i="639"/>
  <c r="S106" i="639"/>
  <c r="S108" i="639" s="1"/>
  <c r="S104" i="639"/>
  <c r="S31" i="639"/>
  <c r="S33" i="639" s="1"/>
  <c r="S30" i="639"/>
  <c r="S29" i="639"/>
  <c r="H104" i="639"/>
  <c r="H103" i="639"/>
  <c r="H106" i="639"/>
  <c r="H108" i="639" s="1"/>
  <c r="H105" i="639"/>
  <c r="T32" i="639"/>
  <c r="T31" i="639"/>
  <c r="T33" i="639" s="1"/>
  <c r="T30" i="639"/>
  <c r="T29" i="639"/>
  <c r="N30" i="639"/>
  <c r="N29" i="639"/>
  <c r="K105" i="639"/>
  <c r="K103" i="639"/>
  <c r="K104" i="639"/>
  <c r="K106" i="639"/>
  <c r="K108" i="639" s="1"/>
  <c r="O104" i="639"/>
  <c r="O103" i="639"/>
  <c r="O106" i="639"/>
  <c r="O108" i="639" s="1"/>
  <c r="O105" i="639"/>
  <c r="J104" i="639"/>
  <c r="J103" i="639"/>
  <c r="J105" i="639"/>
  <c r="J106" i="639"/>
  <c r="J108" i="639" s="1"/>
  <c r="G32" i="639"/>
  <c r="G31" i="639"/>
  <c r="G33" i="639" s="1"/>
  <c r="F32" i="639"/>
  <c r="F31" i="639"/>
  <c r="F33" i="639" s="1"/>
  <c r="F29" i="639"/>
  <c r="F30" i="639"/>
  <c r="AE142" i="3"/>
  <c r="AA142" i="102"/>
  <c r="U26" i="639" s="1"/>
  <c r="AE142" i="133"/>
  <c r="H32" i="639"/>
  <c r="H31" i="639"/>
  <c r="H33" i="639" s="1"/>
  <c r="H29" i="639"/>
  <c r="H30" i="639"/>
  <c r="N104" i="639"/>
  <c r="N103" i="639"/>
  <c r="N106" i="639"/>
  <c r="N108" i="639" s="1"/>
  <c r="N105" i="639"/>
  <c r="Q104" i="639"/>
  <c r="Q103" i="639"/>
  <c r="Q105" i="639"/>
  <c r="Q106" i="639"/>
  <c r="Q108" i="639" s="1"/>
  <c r="D32" i="639"/>
  <c r="D31" i="639"/>
  <c r="D33" i="639" s="1"/>
  <c r="D30" i="639"/>
  <c r="D29" i="639"/>
  <c r="D106" i="639"/>
  <c r="D108" i="639" s="1"/>
  <c r="D103" i="639"/>
  <c r="D104" i="639"/>
  <c r="D105" i="639"/>
  <c r="I104" i="639"/>
  <c r="I103" i="639"/>
  <c r="I105" i="639"/>
  <c r="I106" i="639"/>
  <c r="I108" i="639" s="1"/>
  <c r="I32" i="639"/>
  <c r="I31" i="639"/>
  <c r="I33" i="639" s="1"/>
  <c r="I29" i="639"/>
  <c r="I30" i="639"/>
  <c r="E32" i="639"/>
  <c r="E31" i="639"/>
  <c r="E33" i="639" s="1"/>
  <c r="E30" i="639"/>
  <c r="E29" i="639"/>
  <c r="G104" i="639"/>
  <c r="G106" i="639"/>
  <c r="G108" i="639" s="1"/>
  <c r="G103" i="639"/>
  <c r="G105" i="639"/>
  <c r="X103" i="639"/>
  <c r="X106" i="639"/>
  <c r="X108" i="639" s="1"/>
  <c r="X105" i="639"/>
  <c r="X104" i="639"/>
  <c r="E106" i="639"/>
  <c r="E108" i="639" s="1"/>
  <c r="E103" i="639"/>
  <c r="E105" i="639"/>
  <c r="E104" i="639"/>
  <c r="V104" i="639"/>
  <c r="V103" i="639"/>
  <c r="V106" i="639"/>
  <c r="V108" i="639" s="1"/>
  <c r="V105" i="639"/>
  <c r="P104" i="639"/>
  <c r="P103" i="639"/>
  <c r="P105" i="639"/>
  <c r="P106" i="639"/>
  <c r="P108" i="639" s="1"/>
  <c r="W106" i="639"/>
  <c r="W105" i="639"/>
  <c r="W104" i="639"/>
  <c r="W31" i="639"/>
  <c r="W33" i="639" s="1"/>
  <c r="W30" i="639"/>
  <c r="W29" i="639"/>
  <c r="C24" i="491"/>
  <c r="B101" i="639"/>
  <c r="B103" i="639" s="1"/>
  <c r="G29" i="639"/>
  <c r="G30" i="639"/>
  <c r="S157" i="4"/>
  <c r="W157" i="4" s="1"/>
  <c r="BC160" i="4"/>
  <c r="AL147" i="104"/>
  <c r="J160" i="4"/>
  <c r="N160" i="4" s="1"/>
  <c r="R157" i="4"/>
  <c r="V157" i="4" s="1"/>
  <c r="I158" i="4"/>
  <c r="M158" i="4" s="1"/>
  <c r="H158" i="4"/>
  <c r="L158" i="4" s="1"/>
  <c r="AJ146" i="104"/>
  <c r="BB159" i="4"/>
  <c r="AK146" i="103"/>
  <c r="T159" i="4"/>
  <c r="X159" i="4" s="1"/>
  <c r="R29" i="639" l="1"/>
  <c r="R31" i="639"/>
  <c r="R33" i="639" s="1"/>
  <c r="R30" i="639"/>
  <c r="J32" i="639"/>
  <c r="N31" i="639"/>
  <c r="N33" i="639" s="1"/>
  <c r="J29" i="639"/>
  <c r="J31" i="639"/>
  <c r="J33" i="639" s="1"/>
  <c r="X29" i="639"/>
  <c r="X30" i="639"/>
  <c r="X31" i="639"/>
  <c r="X33" i="639" s="1"/>
  <c r="D24" i="491"/>
  <c r="U32" i="639"/>
  <c r="U31" i="639"/>
  <c r="U33" i="639" s="1"/>
  <c r="U30" i="639"/>
  <c r="U29" i="639"/>
  <c r="B104" i="639"/>
  <c r="B105" i="639"/>
  <c r="B108" i="639"/>
  <c r="W108" i="639"/>
  <c r="B31" i="639"/>
  <c r="B29" i="639"/>
  <c r="B30" i="639"/>
  <c r="H159" i="4"/>
  <c r="L159" i="4" s="1"/>
  <c r="I159" i="4"/>
  <c r="M159" i="4" s="1"/>
  <c r="R158" i="4"/>
  <c r="V158" i="4" s="1"/>
  <c r="AK147" i="103"/>
  <c r="AJ147" i="104"/>
  <c r="BB160" i="4"/>
  <c r="S158" i="4"/>
  <c r="W158" i="4" s="1"/>
  <c r="BC161" i="4"/>
  <c r="AL148" i="104"/>
  <c r="J161" i="4"/>
  <c r="N161" i="4" s="1"/>
  <c r="T160" i="4"/>
  <c r="X160" i="4" s="1"/>
  <c r="AA108" i="639" l="1"/>
  <c r="AA31" i="639"/>
  <c r="B33" i="639"/>
  <c r="AA33" i="639" s="1"/>
  <c r="T161" i="4"/>
  <c r="X161" i="4" s="1"/>
  <c r="AK148" i="103"/>
  <c r="BB161" i="4"/>
  <c r="AJ148" i="104"/>
  <c r="H160" i="4"/>
  <c r="L160" i="4" s="1"/>
  <c r="I160" i="4"/>
  <c r="M160" i="4" s="1"/>
  <c r="S159" i="4"/>
  <c r="W159" i="4" s="1"/>
  <c r="AL149" i="104"/>
  <c r="BC162" i="4"/>
  <c r="J162" i="4"/>
  <c r="N162" i="4" s="1"/>
  <c r="R159" i="4"/>
  <c r="V159" i="4" s="1"/>
  <c r="T162" i="4" l="1"/>
  <c r="X162" i="4" s="1"/>
  <c r="AL150" i="104"/>
  <c r="BC163" i="4"/>
  <c r="J163" i="4"/>
  <c r="N163" i="4" s="1"/>
  <c r="S160" i="4"/>
  <c r="W160" i="4" s="1"/>
  <c r="BB162" i="4"/>
  <c r="AK149" i="103"/>
  <c r="AJ149" i="104"/>
  <c r="R160" i="4"/>
  <c r="V160" i="4"/>
  <c r="I161" i="4"/>
  <c r="M161" i="4" s="1"/>
  <c r="H161" i="4"/>
  <c r="L161" i="4" s="1"/>
  <c r="S161" i="4" l="1"/>
  <c r="W161" i="4" s="1"/>
  <c r="R161" i="4"/>
  <c r="V161" i="4" s="1"/>
  <c r="H162" i="4"/>
  <c r="L162" i="4" s="1"/>
  <c r="I162" i="4"/>
  <c r="M162" i="4" s="1"/>
  <c r="BC164" i="4"/>
  <c r="AL151" i="104"/>
  <c r="J164" i="4"/>
  <c r="N164" i="4" s="1"/>
  <c r="AJ150" i="104"/>
  <c r="BB163" i="4"/>
  <c r="AK150" i="103"/>
  <c r="T163" i="4"/>
  <c r="X163" i="4" s="1"/>
  <c r="AK151" i="103" l="1"/>
  <c r="AJ151" i="104"/>
  <c r="BB164" i="4"/>
  <c r="R162" i="4"/>
  <c r="V162" i="4" s="1"/>
  <c r="BC165" i="4"/>
  <c r="AL152" i="104"/>
  <c r="J165" i="4"/>
  <c r="N165" i="4" s="1"/>
  <c r="H163" i="4"/>
  <c r="L163" i="4" s="1"/>
  <c r="I163" i="4"/>
  <c r="M163" i="4" s="1"/>
  <c r="T164" i="4"/>
  <c r="X164" i="4" s="1"/>
  <c r="S162" i="4"/>
  <c r="W162" i="4" s="1"/>
  <c r="I164" i="4" l="1"/>
  <c r="M164" i="4" s="1"/>
  <c r="H164" i="4"/>
  <c r="L164" i="4" s="1"/>
  <c r="T165" i="4"/>
  <c r="X165" i="4" s="1"/>
  <c r="S163" i="4"/>
  <c r="W163" i="4" s="1"/>
  <c r="AJ152" i="104"/>
  <c r="AK152" i="103"/>
  <c r="BB165" i="4"/>
  <c r="R163" i="4"/>
  <c r="V163" i="4" s="1"/>
  <c r="R164" i="4" l="1"/>
  <c r="V164" i="4" s="1"/>
  <c r="I165" i="4"/>
  <c r="M165" i="4" s="1"/>
  <c r="H165" i="4"/>
  <c r="L165" i="4" s="1"/>
  <c r="S164" i="4"/>
  <c r="W164" i="4" s="1"/>
  <c r="R165" i="4" l="1"/>
  <c r="V165" i="4"/>
  <c r="S165" i="4"/>
  <c r="W165" i="4" s="1"/>
  <c r="AW68" i="26" l="1"/>
  <c r="BH68" i="26" s="1"/>
  <c r="AN68" i="26"/>
  <c r="I68" i="26" l="1"/>
  <c r="AV68" i="26"/>
  <c r="AY68" i="26" l="1"/>
  <c r="BG68" i="26"/>
  <c r="B68" i="26"/>
  <c r="R28" i="135" s="1"/>
  <c r="AA28" i="135" s="1"/>
  <c r="P29" i="193"/>
  <c r="P28" i="490" s="1"/>
  <c r="AA68" i="26"/>
  <c r="AP68" i="26" s="1"/>
  <c r="AB68" i="26"/>
  <c r="Y68" i="26" l="1"/>
  <c r="AO68" i="26" s="1"/>
  <c r="AQ68" i="26"/>
  <c r="AR68" i="26" s="1"/>
  <c r="P68" i="26"/>
  <c r="BF74" i="1" l="1"/>
  <c r="BQ74" i="1" s="1"/>
  <c r="BF44" i="1"/>
  <c r="BQ44" i="1" s="1"/>
  <c r="BF77" i="1"/>
  <c r="BQ77" i="1" s="1"/>
  <c r="BF72" i="1"/>
  <c r="BQ72" i="1" s="1"/>
  <c r="BF54" i="1"/>
  <c r="BQ54" i="1" s="1"/>
  <c r="BF78" i="1"/>
  <c r="BQ78" i="1" s="1"/>
  <c r="BF56" i="1"/>
  <c r="BQ56" i="1" s="1"/>
  <c r="BF63" i="1"/>
  <c r="BQ63" i="1" s="1"/>
  <c r="BF73" i="1"/>
  <c r="BQ73" i="1" s="1"/>
  <c r="BF97" i="1"/>
  <c r="BQ97" i="1" s="1"/>
  <c r="BF66" i="1"/>
  <c r="BQ66" i="1" s="1"/>
  <c r="BF90" i="1"/>
  <c r="BQ90" i="1" s="1"/>
  <c r="BF84" i="1"/>
  <c r="BQ84" i="1" s="1"/>
  <c r="BF48" i="1"/>
  <c r="BQ48" i="1" s="1"/>
  <c r="BF88" i="1"/>
  <c r="BQ88" i="1" s="1"/>
  <c r="BF87" i="1"/>
  <c r="BQ87" i="1" s="1"/>
  <c r="BF50" i="1"/>
  <c r="BQ50" i="1" s="1"/>
  <c r="BF75" i="1"/>
  <c r="BQ75" i="1" s="1"/>
  <c r="BF64" i="1"/>
  <c r="BQ64" i="1" s="1"/>
  <c r="BF53" i="1"/>
  <c r="BQ53" i="1" s="1"/>
  <c r="BF47" i="1"/>
  <c r="BQ47" i="1" s="1"/>
  <c r="BF57" i="1"/>
  <c r="BQ57" i="1" s="1"/>
  <c r="BF68" i="1"/>
  <c r="BQ68" i="1" s="1"/>
  <c r="BF61" i="1"/>
  <c r="BQ61" i="1" s="1"/>
  <c r="BF86" i="1"/>
  <c r="BQ86" i="1" s="1"/>
  <c r="BF62" i="1"/>
  <c r="BQ62" i="1" s="1"/>
  <c r="BF71" i="1"/>
  <c r="BQ71" i="1" s="1"/>
  <c r="BF80" i="1"/>
  <c r="BQ80" i="1" s="1"/>
  <c r="BF81" i="1"/>
  <c r="BQ81" i="1" s="1"/>
  <c r="BF51" i="1"/>
  <c r="BQ51" i="1" s="1"/>
  <c r="BF46" i="1"/>
  <c r="BQ46" i="1" s="1"/>
  <c r="BF70" i="1"/>
  <c r="BQ70" i="1" s="1"/>
  <c r="BF55" i="1"/>
  <c r="BQ55" i="1" s="1"/>
  <c r="BF95" i="1"/>
  <c r="BQ95" i="1" s="1"/>
  <c r="BF96" i="1"/>
  <c r="BQ96" i="1" s="1"/>
  <c r="BF65" i="1"/>
  <c r="BQ65" i="1" s="1"/>
  <c r="BF82" i="1"/>
  <c r="BQ82" i="1" s="1"/>
  <c r="BF52" i="1"/>
  <c r="BQ52" i="1" s="1"/>
  <c r="BF76" i="1"/>
  <c r="BQ76" i="1" s="1"/>
  <c r="BF49" i="1"/>
  <c r="BQ49" i="1" s="1"/>
  <c r="BF60" i="1"/>
  <c r="BQ60" i="1" s="1"/>
  <c r="BF45" i="1"/>
  <c r="BQ45" i="1" s="1"/>
  <c r="BF69" i="1"/>
  <c r="BQ69" i="1" s="1"/>
  <c r="BF79" i="1"/>
  <c r="BQ79" i="1" s="1"/>
  <c r="BF89" i="1"/>
  <c r="BQ89" i="1" s="1"/>
  <c r="BF58" i="1"/>
  <c r="BQ58" i="1" s="1"/>
  <c r="BF59" i="1"/>
  <c r="BQ59" i="1" s="1"/>
  <c r="BF83" i="1"/>
  <c r="BQ83" i="1" s="1"/>
  <c r="BF85" i="1"/>
  <c r="BQ85" i="1" s="1"/>
  <c r="BF91" i="1"/>
  <c r="BQ91" i="1" s="1"/>
  <c r="BF67" i="1"/>
  <c r="BQ67" i="1" s="1"/>
  <c r="BF92" i="1" l="1"/>
  <c r="BQ92" i="1" s="1"/>
  <c r="BF93" i="1"/>
  <c r="BQ93" i="1" s="1"/>
  <c r="BF94" i="1"/>
  <c r="BQ94" i="1" s="1"/>
</calcChain>
</file>

<file path=xl/sharedStrings.xml><?xml version="1.0" encoding="utf-8"?>
<sst xmlns="http://schemas.openxmlformats.org/spreadsheetml/2006/main" count="9313" uniqueCount="2638">
  <si>
    <t>Australia</t>
  </si>
  <si>
    <t>minimum</t>
  </si>
  <si>
    <t>95dollars</t>
  </si>
  <si>
    <t>nominal</t>
  </si>
  <si>
    <t>CDNc/l</t>
  </si>
  <si>
    <t>USc/l</t>
  </si>
  <si>
    <t>DRAG</t>
  </si>
  <si>
    <t>cpi</t>
  </si>
  <si>
    <t>IEA petrolpr</t>
  </si>
  <si>
    <t>IEA index</t>
  </si>
  <si>
    <t>GTZ</t>
  </si>
  <si>
    <t>XR</t>
  </si>
  <si>
    <t>BC</t>
  </si>
  <si>
    <t>ALB</t>
  </si>
  <si>
    <t>SAS</t>
  </si>
  <si>
    <t>MAN</t>
  </si>
  <si>
    <t>ONT</t>
  </si>
  <si>
    <t>QUE</t>
  </si>
  <si>
    <t>NB</t>
  </si>
  <si>
    <t>NS</t>
  </si>
  <si>
    <t>PEI</t>
  </si>
  <si>
    <t>NFL</t>
  </si>
  <si>
    <t>YUK</t>
  </si>
  <si>
    <t>NWT</t>
  </si>
  <si>
    <t>CANADA</t>
  </si>
  <si>
    <t>FUEL</t>
  </si>
  <si>
    <t>2002=100</t>
  </si>
  <si>
    <t>population</t>
  </si>
  <si>
    <t>year</t>
  </si>
  <si>
    <t>Canada</t>
  </si>
  <si>
    <t>Newfoundland and Labrador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</si>
  <si>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</si>
  <si>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</si>
  <si>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</si>
  <si>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</si>
  <si>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</si>
  <si>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</si>
  <si>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</si>
  <si>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</si>
  <si>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</si>
  <si>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 xml:space="preserve">sum 10  </t>
  </si>
  <si>
    <t>Yukon</t>
  </si>
  <si>
    <t>US cpi</t>
  </si>
  <si>
    <t>BITRE</t>
  </si>
  <si>
    <t>AUSc/l</t>
  </si>
  <si>
    <t>1995 Usc/l</t>
  </si>
  <si>
    <t>nomUSc/l</t>
  </si>
  <si>
    <t>nom Ac/l</t>
  </si>
  <si>
    <t>austria</t>
  </si>
  <si>
    <t>Euro</t>
  </si>
  <si>
    <t>Consumer Price</t>
  </si>
  <si>
    <t>Year</t>
  </si>
  <si>
    <t>Index (1982-84=1)</t>
  </si>
  <si>
    <t>Nominal</t>
  </si>
  <si>
    <t>Real</t>
  </si>
  <si>
    <t>United States</t>
  </si>
  <si>
    <t>calc</t>
  </si>
  <si>
    <t>US energy</t>
  </si>
  <si>
    <t>c/l</t>
  </si>
  <si>
    <t>calc'd</t>
  </si>
  <si>
    <t>GARGETT</t>
  </si>
  <si>
    <t>TAX</t>
  </si>
  <si>
    <t>Fed</t>
  </si>
  <si>
    <t>State</t>
  </si>
  <si>
    <t>GST</t>
  </si>
  <si>
    <t>total tax</t>
  </si>
  <si>
    <t>fraction</t>
  </si>
  <si>
    <t>tax</t>
  </si>
  <si>
    <t>engy+tax</t>
  </si>
  <si>
    <t>real tax</t>
  </si>
  <si>
    <t>aust</t>
  </si>
  <si>
    <t>CDN energy</t>
  </si>
  <si>
    <t>Usc/l</t>
  </si>
  <si>
    <t>1995=100</t>
  </si>
  <si>
    <t>CPI</t>
  </si>
  <si>
    <t>2005=100</t>
  </si>
  <si>
    <t>Cdn energy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</si>
  <si>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</si>
  <si>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</si>
  <si>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</si>
  <si>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</si>
  <si>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</si>
  <si>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</si>
  <si>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</si>
  <si>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</si>
  <si>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</si>
  <si>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</si>
  <si>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</si>
  <si>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</si>
  <si>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</si>
  <si>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</si>
  <si>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</si>
  <si>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</si>
  <si>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</si>
  <si>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</si>
  <si>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</si>
  <si>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</si>
  <si>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</si>
  <si>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</si>
  <si>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X Variable 1</t>
  </si>
  <si>
    <t>CDN</t>
  </si>
  <si>
    <t>actual</t>
  </si>
  <si>
    <t>diff</t>
  </si>
  <si>
    <t>pred</t>
  </si>
  <si>
    <t>nom Euros/l</t>
  </si>
  <si>
    <t>Eoros/l</t>
  </si>
  <si>
    <t>AST energy</t>
  </si>
  <si>
    <t>AST</t>
  </si>
  <si>
    <t>Drag</t>
  </si>
  <si>
    <t>fraction tax</t>
  </si>
  <si>
    <t>estimate</t>
  </si>
  <si>
    <t>excise</t>
  </si>
  <si>
    <t>VAT</t>
  </si>
  <si>
    <t>IEA</t>
  </si>
  <si>
    <t>time</t>
  </si>
  <si>
    <t>BEL energy</t>
  </si>
  <si>
    <t>BEL</t>
  </si>
  <si>
    <t>Pound</t>
  </si>
  <si>
    <t>nomP/l</t>
  </si>
  <si>
    <t>nom P/l</t>
  </si>
  <si>
    <t xml:space="preserve"> energy</t>
  </si>
  <si>
    <t>Crowns</t>
  </si>
  <si>
    <t>Crowns/l</t>
  </si>
  <si>
    <t>fraction excise</t>
  </si>
  <si>
    <t>Czech Rep</t>
  </si>
  <si>
    <t>Denmark</t>
  </si>
  <si>
    <t>dum</t>
  </si>
  <si>
    <t>X Variable 2</t>
  </si>
  <si>
    <t>oil price</t>
  </si>
  <si>
    <t>US$/barrel</t>
  </si>
  <si>
    <t xml:space="preserve"> (c/litre)</t>
  </si>
  <si>
    <t>petrol</t>
  </si>
  <si>
    <t>US$/gal</t>
  </si>
  <si>
    <t>energy</t>
  </si>
  <si>
    <t>ACTUAL</t>
  </si>
  <si>
    <t>PRED</t>
  </si>
  <si>
    <t>X Variable 3</t>
  </si>
  <si>
    <t>dum08on</t>
  </si>
  <si>
    <t>dum7485</t>
  </si>
  <si>
    <t>REAL</t>
  </si>
  <si>
    <t>dum6569</t>
  </si>
  <si>
    <t>X Variable 4</t>
  </si>
  <si>
    <t>from OIL</t>
  </si>
  <si>
    <t>dum9407</t>
  </si>
  <si>
    <t>dum7378</t>
  </si>
  <si>
    <t>GTZ petrol</t>
  </si>
  <si>
    <t>Belgium</t>
  </si>
  <si>
    <t>dum8085</t>
  </si>
  <si>
    <t>dum08</t>
  </si>
  <si>
    <t>dum8992</t>
  </si>
  <si>
    <t>Britain</t>
  </si>
  <si>
    <t>nomPound/l</t>
  </si>
  <si>
    <t>fract VAT</t>
  </si>
  <si>
    <t>dum8694</t>
  </si>
  <si>
    <t>dumles73</t>
  </si>
  <si>
    <t>dum0103</t>
  </si>
  <si>
    <t>CDN $</t>
  </si>
  <si>
    <t>excise fed</t>
  </si>
  <si>
    <t>excise prov</t>
  </si>
  <si>
    <t>X Variable 5</t>
  </si>
  <si>
    <t>dumles78</t>
  </si>
  <si>
    <t>dum7981</t>
  </si>
  <si>
    <t>dum8692</t>
  </si>
  <si>
    <t>dum6578</t>
  </si>
  <si>
    <t>dum8688</t>
  </si>
  <si>
    <t>Finland</t>
  </si>
  <si>
    <t>EURO</t>
  </si>
  <si>
    <t>dum8691</t>
  </si>
  <si>
    <t>France</t>
  </si>
  <si>
    <t>nom/l</t>
  </si>
  <si>
    <t>Germany</t>
  </si>
  <si>
    <t>Hungary</t>
  </si>
  <si>
    <t>Forint</t>
  </si>
  <si>
    <t>Ireland</t>
  </si>
  <si>
    <t xml:space="preserve"> </t>
  </si>
  <si>
    <t>Israel</t>
  </si>
  <si>
    <t>Real XR</t>
  </si>
  <si>
    <t>US</t>
  </si>
  <si>
    <t>Sheqel</t>
  </si>
  <si>
    <t>real/l</t>
  </si>
  <si>
    <t>Real/l</t>
  </si>
  <si>
    <t>Tax</t>
  </si>
  <si>
    <t>real</t>
  </si>
  <si>
    <t>ALL IN REAL NEW SHEQELS/L</t>
  </si>
  <si>
    <t>Japan</t>
  </si>
  <si>
    <t>YEN</t>
  </si>
  <si>
    <t>Korea</t>
  </si>
  <si>
    <t>Neth</t>
  </si>
  <si>
    <t>NZ</t>
  </si>
  <si>
    <t>spec taxes</t>
  </si>
  <si>
    <t>.</t>
  </si>
  <si>
    <t>LFTL</t>
  </si>
  <si>
    <t>lead</t>
  </si>
  <si>
    <t>TOTAL</t>
  </si>
  <si>
    <t>ME fr US</t>
  </si>
  <si>
    <t>interpol</t>
  </si>
  <si>
    <t>Norway</t>
  </si>
  <si>
    <t>NZ$</t>
  </si>
  <si>
    <t>EUROs</t>
  </si>
  <si>
    <t>CO2 tax</t>
  </si>
  <si>
    <t>Sweden</t>
  </si>
  <si>
    <t>CO2</t>
  </si>
  <si>
    <t>total excise</t>
  </si>
  <si>
    <t>Swiss</t>
  </si>
  <si>
    <t>Francs</t>
  </si>
  <si>
    <t>(DRAG)</t>
  </si>
  <si>
    <t>no Queensland subsidy</t>
  </si>
  <si>
    <t>Aus oil</t>
  </si>
  <si>
    <t>Real2011</t>
  </si>
  <si>
    <t>GREECE</t>
  </si>
  <si>
    <t>Italy</t>
  </si>
  <si>
    <t>Spain</t>
  </si>
  <si>
    <t>Turkey</t>
  </si>
  <si>
    <t>REDO XR changed</t>
  </si>
  <si>
    <t>LIRA</t>
  </si>
  <si>
    <t>95=100</t>
  </si>
  <si>
    <t>IRF</t>
  </si>
  <si>
    <t>2011c/l</t>
  </si>
  <si>
    <t>2010=100</t>
  </si>
  <si>
    <t>Austria</t>
  </si>
  <si>
    <t xml:space="preserve">Finland </t>
  </si>
  <si>
    <t>Greece</t>
  </si>
  <si>
    <t>Isreal</t>
  </si>
  <si>
    <t>Netherlands</t>
  </si>
  <si>
    <t>New Zealand</t>
  </si>
  <si>
    <t>Switzerland</t>
  </si>
  <si>
    <t>USA</t>
  </si>
  <si>
    <t>2010c/l</t>
  </si>
  <si>
    <t>Real Petrol prices (US2010c/l)</t>
  </si>
  <si>
    <t>landed oil price</t>
  </si>
  <si>
    <t>landed petrol price</t>
  </si>
  <si>
    <t>dum6572</t>
  </si>
  <si>
    <t>dum00-03</t>
  </si>
  <si>
    <t>dum9598</t>
  </si>
  <si>
    <t>dum0910</t>
  </si>
  <si>
    <t>dum8604</t>
  </si>
  <si>
    <t>dum8091</t>
  </si>
  <si>
    <t>Cpi</t>
  </si>
  <si>
    <t>dum9899</t>
  </si>
  <si>
    <t>Forint/litre</t>
  </si>
  <si>
    <t>dum6573</t>
  </si>
  <si>
    <t>dum6579</t>
  </si>
  <si>
    <t>krone</t>
  </si>
  <si>
    <t>krona</t>
  </si>
  <si>
    <t>dum6567</t>
  </si>
  <si>
    <t>dum8283</t>
  </si>
  <si>
    <t>Consumer Price Indices (2010=100)</t>
  </si>
  <si>
    <t>Per cent Tax</t>
  </si>
  <si>
    <t>Nominal Petrol prices (currency/l)</t>
  </si>
  <si>
    <t>adj Euro</t>
  </si>
  <si>
    <t>synthetic</t>
  </si>
  <si>
    <t>C$</t>
  </si>
  <si>
    <t>fatlaities/nominalannulaexchangerates</t>
  </si>
  <si>
    <t>$A</t>
  </si>
  <si>
    <t>Koruny</t>
  </si>
  <si>
    <t>Kroner</t>
  </si>
  <si>
    <t>Shekels</t>
  </si>
  <si>
    <t>Yen</t>
  </si>
  <si>
    <t>Won</t>
  </si>
  <si>
    <t>Kronor</t>
  </si>
  <si>
    <t>Liras</t>
  </si>
  <si>
    <t>http://www.ers.usda.gov/data/macroeconomics/</t>
  </si>
  <si>
    <t>base</t>
  </si>
  <si>
    <t xml:space="preserve">       unemployment</t>
  </si>
  <si>
    <t>unchanged</t>
  </si>
  <si>
    <t xml:space="preserve">             real 2010 world oil price</t>
  </si>
  <si>
    <t>low</t>
  </si>
  <si>
    <t>medium</t>
  </si>
  <si>
    <t>high</t>
  </si>
  <si>
    <t>exchange</t>
  </si>
  <si>
    <t>rate</t>
  </si>
  <si>
    <t xml:space="preserve">           real 2010 landed oil price</t>
  </si>
  <si>
    <t xml:space="preserve">        GFC effect</t>
  </si>
  <si>
    <t xml:space="preserve">      real 2010 energy cost of petrol</t>
  </si>
  <si>
    <t>nominal$A</t>
  </si>
  <si>
    <t>dum7477</t>
  </si>
  <si>
    <t>dum7374</t>
  </si>
  <si>
    <t>dum7475</t>
  </si>
  <si>
    <t>dum9504</t>
  </si>
  <si>
    <t>dum9499</t>
  </si>
  <si>
    <t>dum86</t>
  </si>
  <si>
    <t>dum0809</t>
  </si>
  <si>
    <t>dum90</t>
  </si>
  <si>
    <t>dum9394</t>
  </si>
  <si>
    <t>dum0509</t>
  </si>
  <si>
    <t>dum6876</t>
  </si>
  <si>
    <t>dum94on</t>
  </si>
  <si>
    <t>SDR</t>
  </si>
  <si>
    <t xml:space="preserve">                       real 2010 sales tax</t>
  </si>
  <si>
    <t xml:space="preserve">           real 2010 total petrol price</t>
  </si>
  <si>
    <t>Vehicle kilometres travelled (billion)</t>
  </si>
  <si>
    <t>Basecase</t>
  </si>
  <si>
    <t>Unemploy</t>
  </si>
  <si>
    <t>GFC</t>
  </si>
  <si>
    <t xml:space="preserve">      GFC</t>
  </si>
  <si>
    <t>VKT</t>
  </si>
  <si>
    <t>unempl</t>
  </si>
  <si>
    <t>time sq'd</t>
  </si>
  <si>
    <t xml:space="preserve">                 Other variables</t>
  </si>
  <si>
    <t>basecase</t>
  </si>
  <si>
    <t xml:space="preserve">                     petrol Prices                  </t>
  </si>
  <si>
    <t>High petrol</t>
  </si>
  <si>
    <t>Medium petrol</t>
  </si>
  <si>
    <t>Low petrol</t>
  </si>
  <si>
    <t xml:space="preserve"> GFC unch</t>
  </si>
  <si>
    <t>Unemp unch</t>
  </si>
  <si>
    <t xml:space="preserve">           real 2010 total petrol price </t>
  </si>
  <si>
    <t>need US petrol prices</t>
  </si>
  <si>
    <t>pre73time</t>
  </si>
  <si>
    <t xml:space="preserve">time  </t>
  </si>
  <si>
    <t>petrol price</t>
  </si>
  <si>
    <t>unemployment</t>
  </si>
  <si>
    <t>Formula</t>
  </si>
  <si>
    <t>pre68time</t>
  </si>
  <si>
    <t>petrol price lag1</t>
  </si>
  <si>
    <t>pre77time</t>
  </si>
  <si>
    <t xml:space="preserve"> (2010c/litre)</t>
  </si>
  <si>
    <t xml:space="preserve">           real 2010 landed petrol price</t>
  </si>
  <si>
    <t xml:space="preserve">             real 2010 US energy petrol price</t>
  </si>
  <si>
    <t>Unemployment unch'd</t>
  </si>
  <si>
    <t xml:space="preserve"> GFC unch'd</t>
  </si>
  <si>
    <t>Unemployment</t>
  </si>
  <si>
    <t>dum91</t>
  </si>
  <si>
    <t xml:space="preserve">   </t>
  </si>
  <si>
    <t>https://www.statistikbanken.dk/statbank5a/SelectVarVal/Define.asp?Maintable=DNVALA&amp;PLanguage=1</t>
  </si>
  <si>
    <t>Exchange Rates (currency per US$)</t>
  </si>
  <si>
    <t>https://data.worldbank.org/indicator/EP.PMP.SGAS.CD?locations=AU&amp;view=chart</t>
  </si>
  <si>
    <t>Nominal Petrol prices (US$/l)</t>
  </si>
  <si>
    <t>China</t>
  </si>
  <si>
    <t>India</t>
  </si>
  <si>
    <t>https://tradingeconomics.com/australia/gasoline-prices</t>
  </si>
  <si>
    <t>https://tradingeconomics.com/canada/gasoline-prices</t>
  </si>
  <si>
    <t>https://www.globalpetrolprices.com/data_download.php</t>
  </si>
  <si>
    <t>https://ec.europa.eu/taxation_customs/sites/taxation/files/resources/documents/taxation/excise_duties/energy_products/rates/excise_duties-part_ii_energy_products_en.pdf</t>
  </si>
  <si>
    <t>https://www.eea.europa.eu/portal_css/EEADesign2006/ploneStyles1528119277431982040.css</t>
  </si>
  <si>
    <t>Country:text</t>
  </si>
  <si>
    <t>Petrol:number</t>
  </si>
  <si>
    <t>Bulgaria</t>
  </si>
  <si>
    <t>Romania</t>
  </si>
  <si>
    <t>Poland</t>
  </si>
  <si>
    <t>Lithuania</t>
  </si>
  <si>
    <t>Latvia</t>
  </si>
  <si>
    <t>Luxembourg</t>
  </si>
  <si>
    <t>Estonia</t>
  </si>
  <si>
    <t>Czech Republic</t>
  </si>
  <si>
    <t>Cyprus</t>
  </si>
  <si>
    <t>Slovenia</t>
  </si>
  <si>
    <t>Croatia</t>
  </si>
  <si>
    <t>Slovak Republic</t>
  </si>
  <si>
    <t>Malta</t>
  </si>
  <si>
    <t>Portugal</t>
  </si>
  <si>
    <t>United Kingdom</t>
  </si>
  <si>
    <t>Euros/1000l</t>
  </si>
  <si>
    <t>https://www.eea.europa.eu/data-and-maps/data/external/oil-bulletin</t>
  </si>
  <si>
    <t xml:space="preserve"> see EU Oil Bulletin Price History.xls</t>
  </si>
  <si>
    <t>AU</t>
  </si>
  <si>
    <t>BE</t>
  </si>
  <si>
    <t>CA</t>
  </si>
  <si>
    <t>CZ</t>
  </si>
  <si>
    <t>DE</t>
  </si>
  <si>
    <t>FI</t>
  </si>
  <si>
    <t>FR</t>
  </si>
  <si>
    <t>GR</t>
  </si>
  <si>
    <t>AT</t>
  </si>
  <si>
    <t>GB,UK</t>
  </si>
  <si>
    <t>DK</t>
  </si>
  <si>
    <t>HU</t>
  </si>
  <si>
    <t>IT</t>
  </si>
  <si>
    <t>NO</t>
  </si>
  <si>
    <t>IE</t>
  </si>
  <si>
    <t>IL</t>
  </si>
  <si>
    <t>JP</t>
  </si>
  <si>
    <t>KP</t>
  </si>
  <si>
    <t>NL</t>
  </si>
  <si>
    <t>ES</t>
  </si>
  <si>
    <t>SE</t>
  </si>
  <si>
    <t>CH</t>
  </si>
  <si>
    <t>TR</t>
  </si>
  <si>
    <t>CN</t>
  </si>
  <si>
    <t xml:space="preserve">IN </t>
  </si>
  <si>
    <t>DRAG/aaa</t>
  </si>
  <si>
    <t>EU Oil Bulletin Prices History.xls</t>
  </si>
  <si>
    <t>1000L</t>
  </si>
  <si>
    <t>Euro-super 95(I)</t>
  </si>
  <si>
    <t>ExchangeRateTo €</t>
  </si>
  <si>
    <t>Date</t>
  </si>
  <si>
    <t>510.81</t>
  </si>
  <si>
    <t>519.97</t>
  </si>
  <si>
    <t>416.64</t>
  </si>
  <si>
    <t>370.81</t>
  </si>
  <si>
    <t>645.09</t>
  </si>
  <si>
    <t>667.08</t>
  </si>
  <si>
    <t>609.08</t>
  </si>
  <si>
    <t>446.15</t>
  </si>
  <si>
    <t>440.1</t>
  </si>
  <si>
    <t>554.26</t>
  </si>
  <si>
    <t>490.1</t>
  </si>
  <si>
    <t>519.03</t>
  </si>
  <si>
    <t>539.81</t>
  </si>
  <si>
    <t>499.33</t>
  </si>
  <si>
    <t>426.93</t>
  </si>
  <si>
    <t>462.18</t>
  </si>
  <si>
    <t>414.92</t>
  </si>
  <si>
    <t xml:space="preserve">BE </t>
  </si>
  <si>
    <t>482.48</t>
  </si>
  <si>
    <t>438.79</t>
  </si>
  <si>
    <t>472.5</t>
  </si>
  <si>
    <t>413.65</t>
  </si>
  <si>
    <t>378.26</t>
  </si>
  <si>
    <t>482.59</t>
  </si>
  <si>
    <t>500.06</t>
  </si>
  <si>
    <t>479.61</t>
  </si>
  <si>
    <t>631.75</t>
  </si>
  <si>
    <t>659.12</t>
  </si>
  <si>
    <t>480.53</t>
  </si>
  <si>
    <t>344.91</t>
  </si>
  <si>
    <t>481.09</t>
  </si>
  <si>
    <t>501.84</t>
  </si>
  <si>
    <t>470.71</t>
  </si>
  <si>
    <t>505.16</t>
  </si>
  <si>
    <t>412.31</t>
  </si>
  <si>
    <t>517.98</t>
  </si>
  <si>
    <t>498.4</t>
  </si>
  <si>
    <t>499.59</t>
  </si>
  <si>
    <t>423.7</t>
  </si>
  <si>
    <t>508.98</t>
  </si>
  <si>
    <t>606.7</t>
  </si>
  <si>
    <t>509.32</t>
  </si>
  <si>
    <t>406.89</t>
  </si>
  <si>
    <t>445.18</t>
  </si>
  <si>
    <t xml:space="preserve">FI </t>
  </si>
  <si>
    <t xml:space="preserve">FR </t>
  </si>
  <si>
    <t>UK</t>
  </si>
  <si>
    <t>494.22</t>
  </si>
  <si>
    <t>696.89</t>
  </si>
  <si>
    <t>477.73</t>
  </si>
  <si>
    <t>404.17</t>
  </si>
  <si>
    <t>502.06</t>
  </si>
  <si>
    <t>495.61</t>
  </si>
  <si>
    <t>669.28</t>
  </si>
  <si>
    <t>600.78</t>
  </si>
  <si>
    <t>521.31</t>
  </si>
  <si>
    <t>474.56</t>
  </si>
  <si>
    <t>513.55</t>
  </si>
  <si>
    <t>485.92</t>
  </si>
  <si>
    <t>523.69</t>
  </si>
  <si>
    <t>453.1</t>
  </si>
  <si>
    <t>506.12</t>
  </si>
  <si>
    <t>566.76</t>
  </si>
  <si>
    <t>425.88</t>
  </si>
  <si>
    <t>658.15</t>
  </si>
  <si>
    <t>451.24</t>
  </si>
  <si>
    <t>421.39</t>
  </si>
  <si>
    <t>645.68</t>
  </si>
  <si>
    <t>382.13</t>
  </si>
  <si>
    <t>414.57</t>
  </si>
  <si>
    <t>518.34</t>
  </si>
  <si>
    <t>503.97</t>
  </si>
  <si>
    <t>512.09</t>
  </si>
  <si>
    <t>545.59</t>
  </si>
  <si>
    <t>508.71</t>
  </si>
  <si>
    <t>556.12</t>
  </si>
  <si>
    <t>552.93</t>
  </si>
  <si>
    <t>505.05</t>
  </si>
  <si>
    <t>545.96</t>
  </si>
  <si>
    <t>574.04</t>
  </si>
  <si>
    <t>463.86</t>
  </si>
  <si>
    <t>521.55</t>
  </si>
  <si>
    <t>469.71</t>
  </si>
  <si>
    <t>538.31</t>
  </si>
  <si>
    <t>710.14</t>
  </si>
  <si>
    <t>676.56</t>
  </si>
  <si>
    <t>716.49</t>
  </si>
  <si>
    <t>546.98</t>
  </si>
  <si>
    <t>528.3</t>
  </si>
  <si>
    <t>603.16</t>
  </si>
  <si>
    <t>466.29</t>
  </si>
  <si>
    <t>496.84</t>
  </si>
  <si>
    <t>496.2</t>
  </si>
  <si>
    <t>475.6</t>
  </si>
  <si>
    <t>495.19</t>
  </si>
  <si>
    <t>441.05</t>
  </si>
  <si>
    <t>404.41</t>
  </si>
  <si>
    <t>555.36</t>
  </si>
  <si>
    <t>448.92</t>
  </si>
  <si>
    <t>663.62</t>
  </si>
  <si>
    <t>716.11</t>
  </si>
  <si>
    <t>641.7</t>
  </si>
  <si>
    <t>529.94</t>
  </si>
  <si>
    <t>325.23</t>
  </si>
  <si>
    <t>491.02</t>
  </si>
  <si>
    <t>509.87</t>
  </si>
  <si>
    <t>439.98</t>
  </si>
  <si>
    <t>542.46</t>
  </si>
  <si>
    <t>485.03</t>
  </si>
  <si>
    <t>610.73</t>
  </si>
  <si>
    <t>555</t>
  </si>
  <si>
    <t>604.23</t>
  </si>
  <si>
    <t>434.29</t>
  </si>
  <si>
    <t>436.51</t>
  </si>
  <si>
    <t>383.68</t>
  </si>
  <si>
    <t>465.79</t>
  </si>
  <si>
    <t>640.78</t>
  </si>
  <si>
    <t>672.28</t>
  </si>
  <si>
    <t>480.11</t>
  </si>
  <si>
    <t>412.5</t>
  </si>
  <si>
    <t>290.26</t>
  </si>
  <si>
    <t>481.25</t>
  </si>
  <si>
    <t>491.55</t>
  </si>
  <si>
    <t>536.15</t>
  </si>
  <si>
    <t>517.35</t>
  </si>
  <si>
    <t>499.08</t>
  </si>
  <si>
    <t>493.53</t>
  </si>
  <si>
    <t>491.75</t>
  </si>
  <si>
    <t>472.13</t>
  </si>
  <si>
    <t>465.41</t>
  </si>
  <si>
    <t>479.52</t>
  </si>
  <si>
    <t>489.5</t>
  </si>
  <si>
    <t>475.68</t>
  </si>
  <si>
    <t>476.51</t>
  </si>
  <si>
    <t>477.01</t>
  </si>
  <si>
    <t>471.69</t>
  </si>
  <si>
    <t>452.87</t>
  </si>
  <si>
    <t>450.1</t>
  </si>
  <si>
    <t>444.35</t>
  </si>
  <si>
    <t>445.7</t>
  </si>
  <si>
    <t>444.92</t>
  </si>
  <si>
    <t>457.98</t>
  </si>
  <si>
    <t>467.45</t>
  </si>
  <si>
    <t>465.63</t>
  </si>
  <si>
    <t>446.18</t>
  </si>
  <si>
    <t>430.12</t>
  </si>
  <si>
    <t>422.97</t>
  </si>
  <si>
    <t>424.36</t>
  </si>
  <si>
    <t>421.42</t>
  </si>
  <si>
    <t>416.9</t>
  </si>
  <si>
    <t>415.84</t>
  </si>
  <si>
    <t>414.59</t>
  </si>
  <si>
    <t>421.14</t>
  </si>
  <si>
    <t>419.98</t>
  </si>
  <si>
    <t>433.99</t>
  </si>
  <si>
    <t>434.37</t>
  </si>
  <si>
    <t>442.64</t>
  </si>
  <si>
    <t>442.58</t>
  </si>
  <si>
    <t>451.96</t>
  </si>
  <si>
    <t>468.81</t>
  </si>
  <si>
    <t>478.87</t>
  </si>
  <si>
    <t>477.51</t>
  </si>
  <si>
    <t>463.68</t>
  </si>
  <si>
    <t>463.16</t>
  </si>
  <si>
    <t>467.66</t>
  </si>
  <si>
    <t>474.37</t>
  </si>
  <si>
    <t>480.02</t>
  </si>
  <si>
    <t>487.45</t>
  </si>
  <si>
    <t>494.28</t>
  </si>
  <si>
    <t>495.81</t>
  </si>
  <si>
    <t>490.95</t>
  </si>
  <si>
    <t>465.93</t>
  </si>
  <si>
    <t>464.53</t>
  </si>
  <si>
    <t>450.24</t>
  </si>
  <si>
    <t>443.85</t>
  </si>
  <si>
    <t>436.86</t>
  </si>
  <si>
    <t>431.6</t>
  </si>
  <si>
    <t>439.06</t>
  </si>
  <si>
    <t>455.14</t>
  </si>
  <si>
    <t>440.05</t>
  </si>
  <si>
    <t>430.15</t>
  </si>
  <si>
    <t>427.44</t>
  </si>
  <si>
    <t>396.08</t>
  </si>
  <si>
    <t>401.89</t>
  </si>
  <si>
    <t>400.18</t>
  </si>
  <si>
    <t>406.88</t>
  </si>
  <si>
    <t>412.09</t>
  </si>
  <si>
    <t>412.78</t>
  </si>
  <si>
    <t>398.67</t>
  </si>
  <si>
    <t>387.43</t>
  </si>
  <si>
    <t>382.04</t>
  </si>
  <si>
    <t>394.41</t>
  </si>
  <si>
    <t>409.12</t>
  </si>
  <si>
    <t>419.82</t>
  </si>
  <si>
    <t>423.57</t>
  </si>
  <si>
    <t>414.77</t>
  </si>
  <si>
    <t>418.22</t>
  </si>
  <si>
    <t>418.69</t>
  </si>
  <si>
    <t>434.84</t>
  </si>
  <si>
    <t>432.57</t>
  </si>
  <si>
    <t>440.56</t>
  </si>
  <si>
    <t>425.94</t>
  </si>
  <si>
    <t>407.72</t>
  </si>
  <si>
    <t>407.65</t>
  </si>
  <si>
    <t>403.58</t>
  </si>
  <si>
    <t>385.08</t>
  </si>
  <si>
    <t>373.17</t>
  </si>
  <si>
    <t>365.46</t>
  </si>
  <si>
    <t>351.62</t>
  </si>
  <si>
    <t>346.21</t>
  </si>
  <si>
    <t>343.53</t>
  </si>
  <si>
    <t>338.11</t>
  </si>
  <si>
    <t>339.23</t>
  </si>
  <si>
    <t>344.46</t>
  </si>
  <si>
    <t>348.45</t>
  </si>
  <si>
    <t>350.11</t>
  </si>
  <si>
    <t>352.56</t>
  </si>
  <si>
    <t>360.86</t>
  </si>
  <si>
    <t>366.45</t>
  </si>
  <si>
    <t>395.5</t>
  </si>
  <si>
    <t>432.05</t>
  </si>
  <si>
    <t>442.52</t>
  </si>
  <si>
    <t>447.84</t>
  </si>
  <si>
    <t>446.59</t>
  </si>
  <si>
    <t>446.6</t>
  </si>
  <si>
    <t>449.46</t>
  </si>
  <si>
    <t>443.95</t>
  </si>
  <si>
    <t>443.6</t>
  </si>
  <si>
    <t>452.64</t>
  </si>
  <si>
    <t>466.61</t>
  </si>
  <si>
    <t>471.87</t>
  </si>
  <si>
    <t>477.3</t>
  </si>
  <si>
    <t>498.66</t>
  </si>
  <si>
    <t>541.42</t>
  </si>
  <si>
    <t>552.26</t>
  </si>
  <si>
    <t>548.41</t>
  </si>
  <si>
    <t>564.8</t>
  </si>
  <si>
    <t>548.91</t>
  </si>
  <si>
    <t>550.81</t>
  </si>
  <si>
    <t>539.65</t>
  </si>
  <si>
    <t>531.96</t>
  </si>
  <si>
    <t>529.56</t>
  </si>
  <si>
    <t>527.58</t>
  </si>
  <si>
    <t>496.53</t>
  </si>
  <si>
    <t>483.54</t>
  </si>
  <si>
    <t>479.49</t>
  </si>
  <si>
    <t>484.94</t>
  </si>
  <si>
    <t>470.03</t>
  </si>
  <si>
    <t>439.84</t>
  </si>
  <si>
    <t>413.74</t>
  </si>
  <si>
    <t>409.24</t>
  </si>
  <si>
    <t>405.43</t>
  </si>
  <si>
    <t>420.64</t>
  </si>
  <si>
    <t>442.09</t>
  </si>
  <si>
    <t>534.24</t>
  </si>
  <si>
    <t>542.85</t>
  </si>
  <si>
    <t>552.43</t>
  </si>
  <si>
    <t>580.55</t>
  </si>
  <si>
    <t>588.39</t>
  </si>
  <si>
    <t>588.22</t>
  </si>
  <si>
    <t>602.36</t>
  </si>
  <si>
    <t>607.11</t>
  </si>
  <si>
    <t>628.73</t>
  </si>
  <si>
    <t>625.87</t>
  </si>
  <si>
    <t>617.36</t>
  </si>
  <si>
    <t>616.56</t>
  </si>
  <si>
    <t>615.86</t>
  </si>
  <si>
    <t>622.26</t>
  </si>
  <si>
    <t>625.56</t>
  </si>
  <si>
    <t>628.1</t>
  </si>
  <si>
    <t>646.07</t>
  </si>
  <si>
    <t>647.56</t>
  </si>
  <si>
    <t>644.1</t>
  </si>
  <si>
    <t>646.22</t>
  </si>
  <si>
    <t>635.76</t>
  </si>
  <si>
    <t>630.59</t>
  </si>
  <si>
    <t>618.97</t>
  </si>
  <si>
    <t>616.03</t>
  </si>
  <si>
    <t>617.06</t>
  </si>
  <si>
    <t>612.55</t>
  </si>
  <si>
    <t>612.95</t>
  </si>
  <si>
    <t>604.81</t>
  </si>
  <si>
    <t>597.76</t>
  </si>
  <si>
    <t>596.19</t>
  </si>
  <si>
    <t>595.88</t>
  </si>
  <si>
    <t>588.84</t>
  </si>
  <si>
    <t>589.75</t>
  </si>
  <si>
    <t>598.12</t>
  </si>
  <si>
    <t>605.65</t>
  </si>
  <si>
    <t>602.9</t>
  </si>
  <si>
    <t>593.96</t>
  </si>
  <si>
    <t>598.47</t>
  </si>
  <si>
    <t>603.44</t>
  </si>
  <si>
    <t>609.35</t>
  </si>
  <si>
    <t>609.38</t>
  </si>
  <si>
    <t>606.55</t>
  </si>
  <si>
    <t>612.49</t>
  </si>
  <si>
    <t>603.87</t>
  </si>
  <si>
    <t>599.55</t>
  </si>
  <si>
    <t>598.22</t>
  </si>
  <si>
    <t>595.06</t>
  </si>
  <si>
    <t>610.29</t>
  </si>
  <si>
    <t>610.37</t>
  </si>
  <si>
    <t>613.18</t>
  </si>
  <si>
    <t>636.54</t>
  </si>
  <si>
    <t>667.87</t>
  </si>
  <si>
    <t>675.15</t>
  </si>
  <si>
    <t>674.17</t>
  </si>
  <si>
    <t>664.48</t>
  </si>
  <si>
    <t>653.14</t>
  </si>
  <si>
    <t>656.01</t>
  </si>
  <si>
    <t>650.62</t>
  </si>
  <si>
    <t>649.84</t>
  </si>
  <si>
    <t>630.33</t>
  </si>
  <si>
    <t>621.22</t>
  </si>
  <si>
    <t>621.9</t>
  </si>
  <si>
    <t>636.2</t>
  </si>
  <si>
    <t>638.29</t>
  </si>
  <si>
    <t>634.6</t>
  </si>
  <si>
    <t>631.05</t>
  </si>
  <si>
    <t>624.3</t>
  </si>
  <si>
    <t>627.09</t>
  </si>
  <si>
    <t>628.02</t>
  </si>
  <si>
    <t>631.37</t>
  </si>
  <si>
    <t>642.99</t>
  </si>
  <si>
    <t>643.66</t>
  </si>
  <si>
    <t>660.18</t>
  </si>
  <si>
    <t>660.97</t>
  </si>
  <si>
    <t>662.25</t>
  </si>
  <si>
    <t>674.5</t>
  </si>
  <si>
    <t>653.82</t>
  </si>
  <si>
    <t>650.88</t>
  </si>
  <si>
    <t>644.6</t>
  </si>
  <si>
    <t>626.92</t>
  </si>
  <si>
    <t>618.4</t>
  </si>
  <si>
    <t>622.5</t>
  </si>
  <si>
    <t>626.2</t>
  </si>
  <si>
    <t>639.82</t>
  </si>
  <si>
    <t>652.75</t>
  </si>
  <si>
    <t>652.52</t>
  </si>
  <si>
    <t>674.6</t>
  </si>
  <si>
    <t>681.07</t>
  </si>
  <si>
    <t>698.56</t>
  </si>
  <si>
    <t>703.41</t>
  </si>
  <si>
    <t>708.15</t>
  </si>
  <si>
    <t>719.17</t>
  </si>
  <si>
    <t>732.05</t>
  </si>
  <si>
    <t>721.66</t>
  </si>
  <si>
    <t>722.83</t>
  </si>
  <si>
    <t>721.36</t>
  </si>
  <si>
    <t>710.44</t>
  </si>
  <si>
    <t>703.98</t>
  </si>
  <si>
    <t>686.13</t>
  </si>
  <si>
    <t>675.73</t>
  </si>
  <si>
    <t>669.76</t>
  </si>
  <si>
    <t>645.97</t>
  </si>
  <si>
    <t>631.72</t>
  </si>
  <si>
    <t>643.61</t>
  </si>
  <si>
    <t>661.63</t>
  </si>
  <si>
    <t>665.04</t>
  </si>
  <si>
    <t>675.28</t>
  </si>
  <si>
    <t>683.49</t>
  </si>
  <si>
    <t>729.49</t>
  </si>
  <si>
    <t>732.55</t>
  </si>
  <si>
    <t>736.98</t>
  </si>
  <si>
    <t>735.71</t>
  </si>
  <si>
    <t>697.83</t>
  </si>
  <si>
    <t>698.26</t>
  </si>
  <si>
    <t>678.83</t>
  </si>
  <si>
    <t>657.51</t>
  </si>
  <si>
    <t>654.3</t>
  </si>
  <si>
    <t>649.27</t>
  </si>
  <si>
    <t>651.21</t>
  </si>
  <si>
    <t>643.71</t>
  </si>
  <si>
    <t>639.57</t>
  </si>
  <si>
    <t>642.07</t>
  </si>
  <si>
    <t>638.56</t>
  </si>
  <si>
    <t>624.62</t>
  </si>
  <si>
    <t>618.99</t>
  </si>
  <si>
    <t>613.29</t>
  </si>
  <si>
    <t>617.84</t>
  </si>
  <si>
    <t>618.56</t>
  </si>
  <si>
    <t>623.94</t>
  </si>
  <si>
    <t>631.07</t>
  </si>
  <si>
    <t>622.25</t>
  </si>
  <si>
    <t>624.39</t>
  </si>
  <si>
    <t>619.27</t>
  </si>
  <si>
    <t>622.74</t>
  </si>
  <si>
    <t>634.81</t>
  </si>
  <si>
    <t>633.57</t>
  </si>
  <si>
    <t>632.24</t>
  </si>
  <si>
    <t>634.21</t>
  </si>
  <si>
    <t>619.72</t>
  </si>
  <si>
    <t>610.24</t>
  </si>
  <si>
    <t>620.18</t>
  </si>
  <si>
    <t>630.31</t>
  </si>
  <si>
    <t>624.37</t>
  </si>
  <si>
    <t>624.49</t>
  </si>
  <si>
    <t>611.58</t>
  </si>
  <si>
    <t>590.57</t>
  </si>
  <si>
    <t>611.85</t>
  </si>
  <si>
    <t>629.96</t>
  </si>
  <si>
    <t>627.56</t>
  </si>
  <si>
    <t>618.47</t>
  </si>
  <si>
    <t>634.56</t>
  </si>
  <si>
    <t>637.85</t>
  </si>
  <si>
    <t>638.58</t>
  </si>
  <si>
    <t>639.87</t>
  </si>
  <si>
    <t>625.6</t>
  </si>
  <si>
    <t>622.23</t>
  </si>
  <si>
    <t>604.93</t>
  </si>
  <si>
    <t>596.8</t>
  </si>
  <si>
    <t>596.24</t>
  </si>
  <si>
    <t>591.26</t>
  </si>
  <si>
    <t>585.97</t>
  </si>
  <si>
    <t>576.38</t>
  </si>
  <si>
    <t>575.45</t>
  </si>
  <si>
    <t>575.25</t>
  </si>
  <si>
    <t>574.23</t>
  </si>
  <si>
    <t>559.57</t>
  </si>
  <si>
    <t>563.76</t>
  </si>
  <si>
    <t>569.43</t>
  </si>
  <si>
    <t>567.62</t>
  </si>
  <si>
    <t>549.24</t>
  </si>
  <si>
    <t>537.71</t>
  </si>
  <si>
    <t>524.07</t>
  </si>
  <si>
    <t>512.61</t>
  </si>
  <si>
    <t>503.88</t>
  </si>
  <si>
    <t>475.89</t>
  </si>
  <si>
    <t>471.07</t>
  </si>
  <si>
    <t>468.39</t>
  </si>
  <si>
    <t>482.34</t>
  </si>
  <si>
    <t>485.96</t>
  </si>
  <si>
    <t>481.17</t>
  </si>
  <si>
    <t>498.08</t>
  </si>
  <si>
    <t>504.71</t>
  </si>
  <si>
    <t>503.71</t>
  </si>
  <si>
    <t>508.08</t>
  </si>
  <si>
    <t>504.12</t>
  </si>
  <si>
    <t>498.13</t>
  </si>
  <si>
    <t>525.99</t>
  </si>
  <si>
    <t>516.33</t>
  </si>
  <si>
    <t>526.44</t>
  </si>
  <si>
    <t>514.92</t>
  </si>
  <si>
    <t>532.99</t>
  </si>
  <si>
    <t>529.32</t>
  </si>
  <si>
    <t>530.82</t>
  </si>
  <si>
    <t>515.73</t>
  </si>
  <si>
    <t>508.65</t>
  </si>
  <si>
    <t>478.71</t>
  </si>
  <si>
    <t>462.08</t>
  </si>
  <si>
    <t>449.76</t>
  </si>
  <si>
    <t>435.47</t>
  </si>
  <si>
    <t>440.59</t>
  </si>
  <si>
    <t>449.95</t>
  </si>
  <si>
    <t>446.35</t>
  </si>
  <si>
    <t>444.72</t>
  </si>
  <si>
    <t>423.2</t>
  </si>
  <si>
    <t>413.56</t>
  </si>
  <si>
    <t>417.8</t>
  </si>
  <si>
    <t>423.66</t>
  </si>
  <si>
    <t>422.93</t>
  </si>
  <si>
    <t>425.87</t>
  </si>
  <si>
    <t>426.26</t>
  </si>
  <si>
    <t>423.1</t>
  </si>
  <si>
    <t>412.13</t>
  </si>
  <si>
    <t>398.53</t>
  </si>
  <si>
    <t>384.85</t>
  </si>
  <si>
    <t>373.57</t>
  </si>
  <si>
    <t>381.63</t>
  </si>
  <si>
    <t>384.7</t>
  </si>
  <si>
    <t>396.49</t>
  </si>
  <si>
    <t>420.41</t>
  </si>
  <si>
    <t>422.19</t>
  </si>
  <si>
    <t>424.48</t>
  </si>
  <si>
    <t>419.59</t>
  </si>
  <si>
    <t>409.96</t>
  </si>
  <si>
    <t>400.52</t>
  </si>
  <si>
    <t>403.39</t>
  </si>
  <si>
    <t>405.49</t>
  </si>
  <si>
    <t>416.49</t>
  </si>
  <si>
    <t>419.95</t>
  </si>
  <si>
    <t>417.87</t>
  </si>
  <si>
    <t>407.07</t>
  </si>
  <si>
    <t>371.34</t>
  </si>
  <si>
    <t>361.34</t>
  </si>
  <si>
    <t>347.1</t>
  </si>
  <si>
    <t>331.62</t>
  </si>
  <si>
    <t>316.79</t>
  </si>
  <si>
    <t>315.77</t>
  </si>
  <si>
    <t>301.63</t>
  </si>
  <si>
    <t>291.46</t>
  </si>
  <si>
    <t>280.32</t>
  </si>
  <si>
    <t>282.97</t>
  </si>
  <si>
    <t>285.77</t>
  </si>
  <si>
    <t>292.81</t>
  </si>
  <si>
    <t>298.41</t>
  </si>
  <si>
    <t>290.84</t>
  </si>
  <si>
    <t>269.13</t>
  </si>
  <si>
    <t>251.9</t>
  </si>
  <si>
    <t>249.82</t>
  </si>
  <si>
    <t>250.66</t>
  </si>
  <si>
    <t>234.36</t>
  </si>
  <si>
    <t>279.06</t>
  </si>
  <si>
    <t>301.09</t>
  </si>
  <si>
    <t>323.08</t>
  </si>
  <si>
    <t>336.02</t>
  </si>
  <si>
    <t>357.89</t>
  </si>
  <si>
    <t>382.84</t>
  </si>
  <si>
    <t>408.38</t>
  </si>
  <si>
    <t>416.52</t>
  </si>
  <si>
    <t>479.74</t>
  </si>
  <si>
    <t>518.82</t>
  </si>
  <si>
    <t>553.84</t>
  </si>
  <si>
    <t>542.02</t>
  </si>
  <si>
    <t>571.89</t>
  </si>
  <si>
    <t>559.19</t>
  </si>
  <si>
    <t>564.75</t>
  </si>
  <si>
    <t>572.92</t>
  </si>
  <si>
    <t>600.94</t>
  </si>
  <si>
    <t>620.17</t>
  </si>
  <si>
    <t>645.2</t>
  </si>
  <si>
    <t>643.25</t>
  </si>
  <si>
    <t>642.49</t>
  </si>
  <si>
    <t>641.15</t>
  </si>
  <si>
    <t>637.35</t>
  </si>
  <si>
    <t>632.72</t>
  </si>
  <si>
    <t>615.79</t>
  </si>
  <si>
    <t>615.73</t>
  </si>
  <si>
    <t>595.93</t>
  </si>
  <si>
    <t>559.73</t>
  </si>
  <si>
    <t>525.18</t>
  </si>
  <si>
    <t>516.35</t>
  </si>
  <si>
    <t>512.69</t>
  </si>
  <si>
    <t>511.84</t>
  </si>
  <si>
    <t>511.94</t>
  </si>
  <si>
    <t>513.63</t>
  </si>
  <si>
    <t>505.15</t>
  </si>
  <si>
    <t>507.64</t>
  </si>
  <si>
    <t>516.18</t>
  </si>
  <si>
    <t>515.99</t>
  </si>
  <si>
    <t>500.13</t>
  </si>
  <si>
    <t>504.19</t>
  </si>
  <si>
    <t>514.61</t>
  </si>
  <si>
    <t>509.35</t>
  </si>
  <si>
    <t>502.35</t>
  </si>
  <si>
    <t>491.47</t>
  </si>
  <si>
    <t>476.12</t>
  </si>
  <si>
    <t>471.53</t>
  </si>
  <si>
    <t>464.4</t>
  </si>
  <si>
    <t>467.57</t>
  </si>
  <si>
    <t>454.39</t>
  </si>
  <si>
    <t>465.29</t>
  </si>
  <si>
    <t>473.77</t>
  </si>
  <si>
    <t>478.49</t>
  </si>
  <si>
    <t>482.57</t>
  </si>
  <si>
    <t>492.1</t>
  </si>
  <si>
    <t>492.2</t>
  </si>
  <si>
    <t>496.36</t>
  </si>
  <si>
    <t>495.63</t>
  </si>
  <si>
    <t>498.14</t>
  </si>
  <si>
    <t>500.2</t>
  </si>
  <si>
    <t>493.57</t>
  </si>
  <si>
    <t>484.9</t>
  </si>
  <si>
    <t>475.81</t>
  </si>
  <si>
    <t>469.19</t>
  </si>
  <si>
    <t>456.79</t>
  </si>
  <si>
    <t>453.42</t>
  </si>
  <si>
    <t>409.06</t>
  </si>
  <si>
    <t>400.13</t>
  </si>
  <si>
    <t>395.07</t>
  </si>
  <si>
    <t>385.91</t>
  </si>
  <si>
    <t>383.97</t>
  </si>
  <si>
    <t>375.52</t>
  </si>
  <si>
    <t>374.76</t>
  </si>
  <si>
    <t>371.85</t>
  </si>
  <si>
    <t>382.97</t>
  </si>
  <si>
    <t>391.43</t>
  </si>
  <si>
    <t>390.06</t>
  </si>
  <si>
    <t>391.87</t>
  </si>
  <si>
    <t>385.54</t>
  </si>
  <si>
    <t>378.34</t>
  </si>
  <si>
    <t>378.65</t>
  </si>
  <si>
    <t>380.82</t>
  </si>
  <si>
    <t>385.52</t>
  </si>
  <si>
    <t>385.72</t>
  </si>
  <si>
    <t>386.72</t>
  </si>
  <si>
    <t>393.72</t>
  </si>
  <si>
    <t>396.77</t>
  </si>
  <si>
    <t>473.47</t>
  </si>
  <si>
    <t>536.05</t>
  </si>
  <si>
    <t>539.29</t>
  </si>
  <si>
    <t>528.41</t>
  </si>
  <si>
    <t>496.24</t>
  </si>
  <si>
    <t>488.73</t>
  </si>
  <si>
    <t>500.59</t>
  </si>
  <si>
    <t>500.77</t>
  </si>
  <si>
    <t>493.21</t>
  </si>
  <si>
    <t>496.88</t>
  </si>
  <si>
    <t>512.85</t>
  </si>
  <si>
    <t>511.17</t>
  </si>
  <si>
    <t>492.13</t>
  </si>
  <si>
    <t>459.12</t>
  </si>
  <si>
    <t>444.52</t>
  </si>
  <si>
    <t>438.87</t>
  </si>
  <si>
    <t>427.55</t>
  </si>
  <si>
    <t>421.89</t>
  </si>
  <si>
    <t>422.45</t>
  </si>
  <si>
    <t>425.7</t>
  </si>
  <si>
    <t>427.05</t>
  </si>
  <si>
    <t>428.36</t>
  </si>
  <si>
    <t>429.95</t>
  </si>
  <si>
    <t>423.26</t>
  </si>
  <si>
    <t>417.99</t>
  </si>
  <si>
    <t>413.67</t>
  </si>
  <si>
    <t>403.43</t>
  </si>
  <si>
    <t>402.12</t>
  </si>
  <si>
    <t>402.15</t>
  </si>
  <si>
    <t>404.64</t>
  </si>
  <si>
    <t>412.25</t>
  </si>
  <si>
    <t>445.1</t>
  </si>
  <si>
    <t>466.98</t>
  </si>
  <si>
    <t>476.2</t>
  </si>
  <si>
    <t>494.24</t>
  </si>
  <si>
    <t>501.43</t>
  </si>
  <si>
    <t>489.55</t>
  </si>
  <si>
    <t>450.42</t>
  </si>
  <si>
    <t>444.65</t>
  </si>
  <si>
    <t>422.39</t>
  </si>
  <si>
    <t>417.32</t>
  </si>
  <si>
    <t>409.62</t>
  </si>
  <si>
    <t>400.67</t>
  </si>
  <si>
    <t>401.64</t>
  </si>
  <si>
    <t>384.22</t>
  </si>
  <si>
    <t>377.54</t>
  </si>
  <si>
    <t>361.59</t>
  </si>
  <si>
    <t>358.28</t>
  </si>
  <si>
    <t>364.91</t>
  </si>
  <si>
    <t>370.77</t>
  </si>
  <si>
    <t>374.86</t>
  </si>
  <si>
    <t>378.77</t>
  </si>
  <si>
    <t>377.27</t>
  </si>
  <si>
    <t>375.27</t>
  </si>
  <si>
    <t>353.95</t>
  </si>
  <si>
    <t>335.4</t>
  </si>
  <si>
    <t>320.86</t>
  </si>
  <si>
    <t>318.68</t>
  </si>
  <si>
    <t>309.74</t>
  </si>
  <si>
    <t>306.39</t>
  </si>
  <si>
    <t>305.74</t>
  </si>
  <si>
    <t>303.65</t>
  </si>
  <si>
    <t>297.94</t>
  </si>
  <si>
    <t>288.59</t>
  </si>
  <si>
    <t>285.57</t>
  </si>
  <si>
    <t>298.73</t>
  </si>
  <si>
    <t>310.74</t>
  </si>
  <si>
    <t>currency/000l</t>
  </si>
  <si>
    <t>1,304</t>
  </si>
  <si>
    <t>1,296.9</t>
  </si>
  <si>
    <t>1,335.8</t>
  </si>
  <si>
    <t>1,570.8</t>
  </si>
  <si>
    <t>1,702.6</t>
  </si>
  <si>
    <t>1,496.3</t>
  </si>
  <si>
    <t>1,429.63</t>
  </si>
  <si>
    <t>1,220.2</t>
  </si>
  <si>
    <t>1,223.14</t>
  </si>
  <si>
    <t>1,344.09</t>
  </si>
  <si>
    <t>1,303.71</t>
  </si>
  <si>
    <t>1,422.83</t>
  </si>
  <si>
    <t>1,358.47</t>
  </si>
  <si>
    <t>1,628</t>
  </si>
  <si>
    <t>1,310.25</t>
  </si>
  <si>
    <t>1,279.25</t>
  </si>
  <si>
    <t>1,336.25</t>
  </si>
  <si>
    <t>1,418.1</t>
  </si>
  <si>
    <t>1,582.46</t>
  </si>
  <si>
    <t>1,628.18</t>
  </si>
  <si>
    <t>1,677.86</t>
  </si>
  <si>
    <t>1,637.61</t>
  </si>
  <si>
    <t>1,375.14</t>
  </si>
  <si>
    <t>1,386.65</t>
  </si>
  <si>
    <t>1,281.79</t>
  </si>
  <si>
    <t>1,260.74</t>
  </si>
  <si>
    <t>1,314.91</t>
  </si>
  <si>
    <t>1,361.47</t>
  </si>
  <si>
    <t>1,415.02</t>
  </si>
  <si>
    <t>1,427.25</t>
  </si>
  <si>
    <t>1,379.33</t>
  </si>
  <si>
    <t>1,205.05</t>
  </si>
  <si>
    <t>1,293.23</t>
  </si>
  <si>
    <t>1,453.42</t>
  </si>
  <si>
    <t>1,373.87</t>
  </si>
  <si>
    <t>1,374.39</t>
  </si>
  <si>
    <t>1,412.6</t>
  </si>
  <si>
    <t>1,527.1</t>
  </si>
  <si>
    <t>1,382.93</t>
  </si>
  <si>
    <t>1,314.71</t>
  </si>
  <si>
    <t>1,056.16</t>
  </si>
  <si>
    <t>1,329.29</t>
  </si>
  <si>
    <t>1,306.6</t>
  </si>
  <si>
    <t>1,350.44</t>
  </si>
  <si>
    <t>1,426.16</t>
  </si>
  <si>
    <t>1,532.77</t>
  </si>
  <si>
    <t>1,679.48</t>
  </si>
  <si>
    <t>1,403.83</t>
  </si>
  <si>
    <t>1,388.46</t>
  </si>
  <si>
    <t>1,314.09</t>
  </si>
  <si>
    <t>1,293.31</t>
  </si>
  <si>
    <t>1,389.48</t>
  </si>
  <si>
    <t>1,366.77</t>
  </si>
  <si>
    <t>1,283.43</t>
  </si>
  <si>
    <t>1,432.99</t>
  </si>
  <si>
    <t>1,652.19</t>
  </si>
  <si>
    <t>1,575.85</t>
  </si>
  <si>
    <t>1,330.66</t>
  </si>
  <si>
    <t>1,235.16</t>
  </si>
  <si>
    <t>1,458.58</t>
  </si>
  <si>
    <t>1,436.86</t>
  </si>
  <si>
    <t>1,408.9</t>
  </si>
  <si>
    <t>1,400.6</t>
  </si>
  <si>
    <t>1,385.71</t>
  </si>
  <si>
    <t>1,394.36</t>
  </si>
  <si>
    <t>1,377.48</t>
  </si>
  <si>
    <t>1,366.51</t>
  </si>
  <si>
    <t>1,360.45</t>
  </si>
  <si>
    <t>1,344.52</t>
  </si>
  <si>
    <t>1,339.23</t>
  </si>
  <si>
    <t>1,361.32</t>
  </si>
  <si>
    <t>1,360.39</t>
  </si>
  <si>
    <t>1,372.28</t>
  </si>
  <si>
    <t>1,383.84</t>
  </si>
  <si>
    <t>1,363.17</t>
  </si>
  <si>
    <t>1,354.61</t>
  </si>
  <si>
    <t>1,360.17</t>
  </si>
  <si>
    <t>1,358.71</t>
  </si>
  <si>
    <t>1,365.12</t>
  </si>
  <si>
    <t>1,345.53</t>
  </si>
  <si>
    <t>1,330.18</t>
  </si>
  <si>
    <t>1,330.53</t>
  </si>
  <si>
    <t>1,313.78</t>
  </si>
  <si>
    <t>1,318.36</t>
  </si>
  <si>
    <t>1,313.55</t>
  </si>
  <si>
    <t>1,336.07</t>
  </si>
  <si>
    <t>1,351.74</t>
  </si>
  <si>
    <t>1,346.72</t>
  </si>
  <si>
    <t>1,301.49</t>
  </si>
  <si>
    <t>1,273.21</t>
  </si>
  <si>
    <t>1,270.76</t>
  </si>
  <si>
    <t>1,270.42</t>
  </si>
  <si>
    <t>1,269.22</t>
  </si>
  <si>
    <t>1,276.68</t>
  </si>
  <si>
    <t>1,275.8</t>
  </si>
  <si>
    <t>1,297.79</t>
  </si>
  <si>
    <t>1,284.18</t>
  </si>
  <si>
    <t>1,296.86</t>
  </si>
  <si>
    <t>1,302.81</t>
  </si>
  <si>
    <t>1,315.36</t>
  </si>
  <si>
    <t>1,329.56</t>
  </si>
  <si>
    <t>1,339.52</t>
  </si>
  <si>
    <t>1,361.16</t>
  </si>
  <si>
    <t>1,385.88</t>
  </si>
  <si>
    <t>1,397.87</t>
  </si>
  <si>
    <t>1,392.76</t>
  </si>
  <si>
    <t>1,371.32</t>
  </si>
  <si>
    <t>1,371.42</t>
  </si>
  <si>
    <t>1,366.02</t>
  </si>
  <si>
    <t>1,370.47</t>
  </si>
  <si>
    <t>1,372.97</t>
  </si>
  <si>
    <t>1,390.73</t>
  </si>
  <si>
    <t>1,408.56</t>
  </si>
  <si>
    <t>1,411.7</t>
  </si>
  <si>
    <t>1,415.38</t>
  </si>
  <si>
    <t>1,398.22</t>
  </si>
  <si>
    <t>1,412.97</t>
  </si>
  <si>
    <t>1,386.32</t>
  </si>
  <si>
    <t>1,351.06</t>
  </si>
  <si>
    <t>1,361.39</t>
  </si>
  <si>
    <t>1,374.21</t>
  </si>
  <si>
    <t>1,333.14</t>
  </si>
  <si>
    <t>1,338.07</t>
  </si>
  <si>
    <t>1,354.91</t>
  </si>
  <si>
    <t>1,309.06</t>
  </si>
  <si>
    <t>1,288.42</t>
  </si>
  <si>
    <t>1,294.15</t>
  </si>
  <si>
    <t>1,256.79</t>
  </si>
  <si>
    <t>1,247.36</t>
  </si>
  <si>
    <t>1,278.66</t>
  </si>
  <si>
    <t>1,278.71</t>
  </si>
  <si>
    <t>1,301.59</t>
  </si>
  <si>
    <t>1,317.7</t>
  </si>
  <si>
    <t>1,326.72</t>
  </si>
  <si>
    <t>1,291.98</t>
  </si>
  <si>
    <t>1,271.28</t>
  </si>
  <si>
    <t>1,291.85</t>
  </si>
  <si>
    <t>1,313.52</t>
  </si>
  <si>
    <t>1,334.9</t>
  </si>
  <si>
    <t>1,342.38</t>
  </si>
  <si>
    <t>1,437.44</t>
  </si>
  <si>
    <t>1,396.35</t>
  </si>
  <si>
    <t>1,402.46</t>
  </si>
  <si>
    <t>1,442.18</t>
  </si>
  <si>
    <t>1,409.08</t>
  </si>
  <si>
    <t>1,377.26</t>
  </si>
  <si>
    <t>1,369.54</t>
  </si>
  <si>
    <t>1,377.9</t>
  </si>
  <si>
    <t>1,379.97</t>
  </si>
  <si>
    <t>1,333.76</t>
  </si>
  <si>
    <t>1,316.4</t>
  </si>
  <si>
    <t>1,310.65</t>
  </si>
  <si>
    <t>1,310.04</t>
  </si>
  <si>
    <t>1,313.57</t>
  </si>
  <si>
    <t>1,290.7</t>
  </si>
  <si>
    <t>1,295.85</t>
  </si>
  <si>
    <t>1,314.13</t>
  </si>
  <si>
    <t>1,314.2</t>
  </si>
  <si>
    <t>1,331.94</t>
  </si>
  <si>
    <t>1,336.46</t>
  </si>
  <si>
    <t>1,334.92</t>
  </si>
  <si>
    <t>1,363.9</t>
  </si>
  <si>
    <t>1,381.9</t>
  </si>
  <si>
    <t>1,432.45</t>
  </si>
  <si>
    <t>1,487.39</t>
  </si>
  <si>
    <t>1,517.69</t>
  </si>
  <si>
    <t>1,527.3</t>
  </si>
  <si>
    <t>1,521.17</t>
  </si>
  <si>
    <t>1,500.36</t>
  </si>
  <si>
    <t>1,503.17</t>
  </si>
  <si>
    <t>1,503.91</t>
  </si>
  <si>
    <t>1,489.75</t>
  </si>
  <si>
    <t>1,472.34</t>
  </si>
  <si>
    <t>1,471.79</t>
  </si>
  <si>
    <t>1,489.04</t>
  </si>
  <si>
    <t>1,508.11</t>
  </si>
  <si>
    <t>1,518.4</t>
  </si>
  <si>
    <t>1,528.6</t>
  </si>
  <si>
    <t>1,550.73</t>
  </si>
  <si>
    <t>1,612.71</t>
  </si>
  <si>
    <t>1,633.16</t>
  </si>
  <si>
    <t>1,633.82</t>
  </si>
  <si>
    <t>1,675.31</t>
  </si>
  <si>
    <t>1,636.06</t>
  </si>
  <si>
    <t>1,643.16</t>
  </si>
  <si>
    <t>1,645.02</t>
  </si>
  <si>
    <t>1,626.39</t>
  </si>
  <si>
    <t>1,608.87</t>
  </si>
  <si>
    <t>1,588.62</t>
  </si>
  <si>
    <t>1,614.61</t>
  </si>
  <si>
    <t>1,634.14</t>
  </si>
  <si>
    <t>1,592.01</t>
  </si>
  <si>
    <t>1,599.47</t>
  </si>
  <si>
    <t>1,548.63</t>
  </si>
  <si>
    <t>1,585.46</t>
  </si>
  <si>
    <t>1,568.65</t>
  </si>
  <si>
    <t>1,559.67</t>
  </si>
  <si>
    <t>1,529.22</t>
  </si>
  <si>
    <t>1,525.65</t>
  </si>
  <si>
    <t>1,557.1</t>
  </si>
  <si>
    <t>1,531.74</t>
  </si>
  <si>
    <t>1,497.11</t>
  </si>
  <si>
    <t>1,473.67</t>
  </si>
  <si>
    <t>1,445.36</t>
  </si>
  <si>
    <t>1,434.32</t>
  </si>
  <si>
    <t>1,409.01</t>
  </si>
  <si>
    <t>1,419.59</t>
  </si>
  <si>
    <t>1,393.87</t>
  </si>
  <si>
    <t>1,397.33</t>
  </si>
  <si>
    <t>1,418.97</t>
  </si>
  <si>
    <t>1,465.49</t>
  </si>
  <si>
    <t>1,527.51</t>
  </si>
  <si>
    <t>1,528.67</t>
  </si>
  <si>
    <t>1,544.91</t>
  </si>
  <si>
    <t>1,533.37</t>
  </si>
  <si>
    <t>1,565.75</t>
  </si>
  <si>
    <t>1,587.23</t>
  </si>
  <si>
    <t>1,589.56</t>
  </si>
  <si>
    <t>1,584.57</t>
  </si>
  <si>
    <t>1,605.32</t>
  </si>
  <si>
    <t>1,613.55</t>
  </si>
  <si>
    <t>1,642.94</t>
  </si>
  <si>
    <t>1,635.1</t>
  </si>
  <si>
    <t>1,615.61</t>
  </si>
  <si>
    <t>1,599.59</t>
  </si>
  <si>
    <t>1,619.85</t>
  </si>
  <si>
    <t>1,613.01</t>
  </si>
  <si>
    <t>1,615.75</t>
  </si>
  <si>
    <t>1,622.54</t>
  </si>
  <si>
    <t>1,626.02</t>
  </si>
  <si>
    <t>1,654.92</t>
  </si>
  <si>
    <t>1,655.65</t>
  </si>
  <si>
    <t>1,645.88</t>
  </si>
  <si>
    <t>1,651.45</t>
  </si>
  <si>
    <t>1,630.53</t>
  </si>
  <si>
    <t>1,628.79</t>
  </si>
  <si>
    <t>1,601.44</t>
  </si>
  <si>
    <t>1,594.69</t>
  </si>
  <si>
    <t>1,599.1</t>
  </si>
  <si>
    <t>1,588.73</t>
  </si>
  <si>
    <t>1,588.64</t>
  </si>
  <si>
    <t>1,568.96</t>
  </si>
  <si>
    <t>1,557.78</t>
  </si>
  <si>
    <t>1,556.2</t>
  </si>
  <si>
    <t>1,554.71</t>
  </si>
  <si>
    <t>1,539.04</t>
  </si>
  <si>
    <t>1,538.78</t>
  </si>
  <si>
    <t>1,551.75</t>
  </si>
  <si>
    <t>1,571.69</t>
  </si>
  <si>
    <t>1,566.75</t>
  </si>
  <si>
    <t>1,577.29</t>
  </si>
  <si>
    <t>1,548.98</t>
  </si>
  <si>
    <t>1,560.16</t>
  </si>
  <si>
    <t>1,563.8</t>
  </si>
  <si>
    <t>1,565.81</t>
  </si>
  <si>
    <t>1,567.34</t>
  </si>
  <si>
    <t>1,568.78</t>
  </si>
  <si>
    <t>1,551.95</t>
  </si>
  <si>
    <t>1,561.08</t>
  </si>
  <si>
    <t>1,576.83</t>
  </si>
  <si>
    <t>1,557.65</t>
  </si>
  <si>
    <t>1,548.5</t>
  </si>
  <si>
    <t>1,547.61</t>
  </si>
  <si>
    <t>1,536.45</t>
  </si>
  <si>
    <t>1,539.93</t>
  </si>
  <si>
    <t>1,553.85</t>
  </si>
  <si>
    <t>1,552.21</t>
  </si>
  <si>
    <t>1,560.05</t>
  </si>
  <si>
    <t>1,595.62</t>
  </si>
  <si>
    <t>1,639.51</t>
  </si>
  <si>
    <t>1,635.59</t>
  </si>
  <si>
    <t>1,617.66</t>
  </si>
  <si>
    <t>1,593.79</t>
  </si>
  <si>
    <t>1,606.27</t>
  </si>
  <si>
    <t>1,597.13</t>
  </si>
  <si>
    <t>1,585.37</t>
  </si>
  <si>
    <t>1,585.22</t>
  </si>
  <si>
    <t>1,583.66</t>
  </si>
  <si>
    <t>1,560.61</t>
  </si>
  <si>
    <t>1,552.56</t>
  </si>
  <si>
    <t>1,558.42</t>
  </si>
  <si>
    <t>1,580.45</t>
  </si>
  <si>
    <t>1,586.43</t>
  </si>
  <si>
    <t>1,579.25</t>
  </si>
  <si>
    <t>1,573.66</t>
  </si>
  <si>
    <t>1,561.92</t>
  </si>
  <si>
    <t>1,574.88</t>
  </si>
  <si>
    <t>1,577.46</t>
  </si>
  <si>
    <t>1,595.52</t>
  </si>
  <si>
    <t>1,584.5</t>
  </si>
  <si>
    <t>1,607.56</t>
  </si>
  <si>
    <t>1,609.75</t>
  </si>
  <si>
    <t>1,606.9</t>
  </si>
  <si>
    <t>1,602.99</t>
  </si>
  <si>
    <t>1,614.27</t>
  </si>
  <si>
    <t>1,575.8</t>
  </si>
  <si>
    <t>1,587.88</t>
  </si>
  <si>
    <t>1,588.3</t>
  </si>
  <si>
    <t>1,559.13</t>
  </si>
  <si>
    <t>1,555.88</t>
  </si>
  <si>
    <t>1,588.07</t>
  </si>
  <si>
    <t>1,624.5</t>
  </si>
  <si>
    <t>1,625.33</t>
  </si>
  <si>
    <t>1,647.8</t>
  </si>
  <si>
    <t>1,639.32</t>
  </si>
  <si>
    <t>1,659.07</t>
  </si>
  <si>
    <t>1,684.36</t>
  </si>
  <si>
    <t>1,705.63</t>
  </si>
  <si>
    <t>1,702.62</t>
  </si>
  <si>
    <t>1,697.88</t>
  </si>
  <si>
    <t>1,713.39</t>
  </si>
  <si>
    <t>1,710.01</t>
  </si>
  <si>
    <t>1,734.1</t>
  </si>
  <si>
    <t>1,751.2</t>
  </si>
  <si>
    <t>1,727.75</t>
  </si>
  <si>
    <t>1,736.98</t>
  </si>
  <si>
    <t>1,744.55</t>
  </si>
  <si>
    <t>1,730.07</t>
  </si>
  <si>
    <t>1,732.39</t>
  </si>
  <si>
    <t>1,707.92</t>
  </si>
  <si>
    <t>1,695.49</t>
  </si>
  <si>
    <t>1,676.31</t>
  </si>
  <si>
    <t>1,651.42</t>
  </si>
  <si>
    <t>1,622.9</t>
  </si>
  <si>
    <t>1,638.49</t>
  </si>
  <si>
    <t>1,658.21</t>
  </si>
  <si>
    <t>1,681.37</t>
  </si>
  <si>
    <t>1,728.59</t>
  </si>
  <si>
    <t>1,737.66</t>
  </si>
  <si>
    <t>1,734.47</t>
  </si>
  <si>
    <t>1,735.97</t>
  </si>
  <si>
    <t>1,728.13</t>
  </si>
  <si>
    <t>1,696.56</t>
  </si>
  <si>
    <t>1,670.02</t>
  </si>
  <si>
    <t>1,677.31</t>
  </si>
  <si>
    <t>1,643.24</t>
  </si>
  <si>
    <t>1,645.04</t>
  </si>
  <si>
    <t>1,611.98</t>
  </si>
  <si>
    <t>1,616.58</t>
  </si>
  <si>
    <t>1,608.12</t>
  </si>
  <si>
    <t>1,621.22</t>
  </si>
  <si>
    <t>1,604.46</t>
  </si>
  <si>
    <t>1,599.06</t>
  </si>
  <si>
    <t>1,610.9</t>
  </si>
  <si>
    <t>1,610.21</t>
  </si>
  <si>
    <t>1,577.6</t>
  </si>
  <si>
    <t>1,562.83</t>
  </si>
  <si>
    <t>1,545.27</t>
  </si>
  <si>
    <t>1,551.71</t>
  </si>
  <si>
    <t>1,550.87</t>
  </si>
  <si>
    <t>1,560.54</t>
  </si>
  <si>
    <t>1,569.14</t>
  </si>
  <si>
    <t>1,543.18</t>
  </si>
  <si>
    <t>1,549.41</t>
  </si>
  <si>
    <t>1,570.75</t>
  </si>
  <si>
    <t>1,559.96</t>
  </si>
  <si>
    <t>1,559.75</t>
  </si>
  <si>
    <t>1,569.53</t>
  </si>
  <si>
    <t>1,538.33</t>
  </si>
  <si>
    <t>1,540.19</t>
  </si>
  <si>
    <t>1,570.18</t>
  </si>
  <si>
    <t>1,547.01</t>
  </si>
  <si>
    <t>1,537.24</t>
  </si>
  <si>
    <t>1,545.82</t>
  </si>
  <si>
    <t>1,523.5</t>
  </si>
  <si>
    <t>1,480.07</t>
  </si>
  <si>
    <t>1,515.83</t>
  </si>
  <si>
    <t>1,546.63</t>
  </si>
  <si>
    <t>1,542.77</t>
  </si>
  <si>
    <t>1,523.25</t>
  </si>
  <si>
    <t>1,563.46</t>
  </si>
  <si>
    <t>1,564.97</t>
  </si>
  <si>
    <t>1,563.31</t>
  </si>
  <si>
    <t>1,558.75</t>
  </si>
  <si>
    <t>1,539.16</t>
  </si>
  <si>
    <t>1,512.94</t>
  </si>
  <si>
    <t>1,507.53</t>
  </si>
  <si>
    <t>1,507.96</t>
  </si>
  <si>
    <t>1,527</t>
  </si>
  <si>
    <t>1,526.46</t>
  </si>
  <si>
    <t>1,524.76</t>
  </si>
  <si>
    <t>1,530.2</t>
  </si>
  <si>
    <t>1,532.44</t>
  </si>
  <si>
    <t>1,531.02</t>
  </si>
  <si>
    <t>1,493.18</t>
  </si>
  <si>
    <t>1,507.19</t>
  </si>
  <si>
    <t>1,529.39</t>
  </si>
  <si>
    <t>1,531.59</t>
  </si>
  <si>
    <t>1,449.56</t>
  </si>
  <si>
    <t>1,445.39</t>
  </si>
  <si>
    <t>1,442.16</t>
  </si>
  <si>
    <t>1,412.42</t>
  </si>
  <si>
    <t>1,391.85</t>
  </si>
  <si>
    <t>1,401.07</t>
  </si>
  <si>
    <t>1,375.58</t>
  </si>
  <si>
    <t>1,319.13</t>
  </si>
  <si>
    <t>1,340.85</t>
  </si>
  <si>
    <t>1,335.27</t>
  </si>
  <si>
    <t>1,340.26</t>
  </si>
  <si>
    <t>1,356.94</t>
  </si>
  <si>
    <t>1,372.6</t>
  </si>
  <si>
    <t>1,379.42</t>
  </si>
  <si>
    <t>1,367.03</t>
  </si>
  <si>
    <t>1,408.24</t>
  </si>
  <si>
    <t>1,415.63</t>
  </si>
  <si>
    <t>1,416.84</t>
  </si>
  <si>
    <t>1,401.08</t>
  </si>
  <si>
    <t>1,410.52</t>
  </si>
  <si>
    <t>1,397.83</t>
  </si>
  <si>
    <t>1,377.45</t>
  </si>
  <si>
    <t>1,403.72</t>
  </si>
  <si>
    <t>1,424.88</t>
  </si>
  <si>
    <t>1,437.52</t>
  </si>
  <si>
    <t>1,412.32</t>
  </si>
  <si>
    <t>1,418.7</t>
  </si>
  <si>
    <t>1,433.48</t>
  </si>
  <si>
    <t>1,396.87</t>
  </si>
  <si>
    <t>1,393.18</t>
  </si>
  <si>
    <t>1,403.97</t>
  </si>
  <si>
    <t>1,396.13</t>
  </si>
  <si>
    <t>1,402.91</t>
  </si>
  <si>
    <t>1,369.17</t>
  </si>
  <si>
    <t>1,359.12</t>
  </si>
  <si>
    <t>1,268.07</t>
  </si>
  <si>
    <t>1,260.11</t>
  </si>
  <si>
    <t>1,239.85</t>
  </si>
  <si>
    <t>1,268.22</t>
  </si>
  <si>
    <t>1,289.68</t>
  </si>
  <si>
    <t>1,277.82</t>
  </si>
  <si>
    <t>1,279.14</t>
  </si>
  <si>
    <t>1,275.12</t>
  </si>
  <si>
    <t>1,268.93</t>
  </si>
  <si>
    <t>1,231.75</t>
  </si>
  <si>
    <t>1,226.61</t>
  </si>
  <si>
    <t>1,204.72</t>
  </si>
  <si>
    <t>1,200.34</t>
  </si>
  <si>
    <t>1,193.48</t>
  </si>
  <si>
    <t>1,207.14</t>
  </si>
  <si>
    <t>1,212.31</t>
  </si>
  <si>
    <t>1,209.65</t>
  </si>
  <si>
    <t>1,189.32</t>
  </si>
  <si>
    <t>1,161.15</t>
  </si>
  <si>
    <t>1,149.34</t>
  </si>
  <si>
    <t>1,121.97</t>
  </si>
  <si>
    <t>1,143.46</t>
  </si>
  <si>
    <t>1,142.76</t>
  </si>
  <si>
    <t>1,168.72</t>
  </si>
  <si>
    <t>1,210.83</t>
  </si>
  <si>
    <t>1,223.24</t>
  </si>
  <si>
    <t>1,192.6</t>
  </si>
  <si>
    <t>1,205.93</t>
  </si>
  <si>
    <t>1,206.87</t>
  </si>
  <si>
    <t>1,205.31</t>
  </si>
  <si>
    <t>1,180.79</t>
  </si>
  <si>
    <t>1,188.45</t>
  </si>
  <si>
    <t>1,184.43</t>
  </si>
  <si>
    <t>1,202.59</t>
  </si>
  <si>
    <t>1,217.26</t>
  </si>
  <si>
    <t>1,203.72</t>
  </si>
  <si>
    <t>1,155.01</t>
  </si>
  <si>
    <t>1,144.99</t>
  </si>
  <si>
    <t>1,123.47</t>
  </si>
  <si>
    <t>1,105.33</t>
  </si>
  <si>
    <t>1,074.86</t>
  </si>
  <si>
    <t>1,074.46</t>
  </si>
  <si>
    <t>1,063.66</t>
  </si>
  <si>
    <t>1,035.33</t>
  </si>
  <si>
    <t>983.16</t>
  </si>
  <si>
    <t>970.09</t>
  </si>
  <si>
    <t>979.4</t>
  </si>
  <si>
    <t>989.18</t>
  </si>
  <si>
    <t>1,010.67</t>
  </si>
  <si>
    <t>1,028.84</t>
  </si>
  <si>
    <t>1,007.5</t>
  </si>
  <si>
    <t>1,024.99</t>
  </si>
  <si>
    <t>975.93</t>
  </si>
  <si>
    <t>930.47</t>
  </si>
  <si>
    <t>952.74</t>
  </si>
  <si>
    <t>960.46</t>
  </si>
  <si>
    <t>912.83</t>
  </si>
  <si>
    <t>990.28</t>
  </si>
  <si>
    <t>1,042.15</t>
  </si>
  <si>
    <t>1,086.92</t>
  </si>
  <si>
    <t>1,089.44</t>
  </si>
  <si>
    <t>1,117.97</t>
  </si>
  <si>
    <t>1,174.42</t>
  </si>
  <si>
    <t>1,222.24</t>
  </si>
  <si>
    <t>1,330.37</t>
  </si>
  <si>
    <t>1,362.87</t>
  </si>
  <si>
    <t>1,416.3</t>
  </si>
  <si>
    <t>1,380.19</t>
  </si>
  <si>
    <t>1,399.12</t>
  </si>
  <si>
    <t>1,417.12</t>
  </si>
  <si>
    <t>1,389.96</t>
  </si>
  <si>
    <t>1,382.34</t>
  </si>
  <si>
    <t>1,406.26</t>
  </si>
  <si>
    <t>1,423.87</t>
  </si>
  <si>
    <t>1,457.46</t>
  </si>
  <si>
    <t>1,475.22</t>
  </si>
  <si>
    <t>1,502.66</t>
  </si>
  <si>
    <t>1,497.66</t>
  </si>
  <si>
    <t>1,497.88</t>
  </si>
  <si>
    <t>1,500.09</t>
  </si>
  <si>
    <t>1,494.9</t>
  </si>
  <si>
    <t>1,465.48</t>
  </si>
  <si>
    <t>1,476.17</t>
  </si>
  <si>
    <t>1,444.95</t>
  </si>
  <si>
    <t>1,416.24</t>
  </si>
  <si>
    <t>1,407.65</t>
  </si>
  <si>
    <t>1,404.71</t>
  </si>
  <si>
    <t>1,395.43</t>
  </si>
  <si>
    <t>1,355.95</t>
  </si>
  <si>
    <t>1,347.52</t>
  </si>
  <si>
    <t>1,358.54</t>
  </si>
  <si>
    <t>1,345.83</t>
  </si>
  <si>
    <t>1,354.39</t>
  </si>
  <si>
    <t>1,393.26</t>
  </si>
  <si>
    <t>1,382.05</t>
  </si>
  <si>
    <t>1,389.31</t>
  </si>
  <si>
    <t>1,402.76</t>
  </si>
  <si>
    <t>1,402.27</t>
  </si>
  <si>
    <t>1,366.09</t>
  </si>
  <si>
    <t>1,385.2</t>
  </si>
  <si>
    <t>1,437.57</t>
  </si>
  <si>
    <t>1,426.92</t>
  </si>
  <si>
    <t>1,443.4</t>
  </si>
  <si>
    <t>1,422.52</t>
  </si>
  <si>
    <t>1,420.23</t>
  </si>
  <si>
    <t>1,430.08</t>
  </si>
  <si>
    <t>1,405.87</t>
  </si>
  <si>
    <t>1,402.23</t>
  </si>
  <si>
    <t>1,394.53</t>
  </si>
  <si>
    <t>1,405.25</t>
  </si>
  <si>
    <t>1,382.28</t>
  </si>
  <si>
    <t>1,361.92</t>
  </si>
  <si>
    <t>1,363.29</t>
  </si>
  <si>
    <t>1,392.81</t>
  </si>
  <si>
    <t>1,402.94</t>
  </si>
  <si>
    <t>1,401.84</t>
  </si>
  <si>
    <t>1,416.45</t>
  </si>
  <si>
    <t>1,413.61</t>
  </si>
  <si>
    <t>1,424.5</t>
  </si>
  <si>
    <t>1,422.06</t>
  </si>
  <si>
    <t>1,422.39</t>
  </si>
  <si>
    <t>1,433.44</t>
  </si>
  <si>
    <t>1,427.76</t>
  </si>
  <si>
    <t>1,424.14</t>
  </si>
  <si>
    <t>1,423.6</t>
  </si>
  <si>
    <t>1,417.21</t>
  </si>
  <si>
    <t>1,401.97</t>
  </si>
  <si>
    <t>1,389.22</t>
  </si>
  <si>
    <t>1,383.94</t>
  </si>
  <si>
    <t>1,368.88</t>
  </si>
  <si>
    <t>1,370.7</t>
  </si>
  <si>
    <t>1,351.76</t>
  </si>
  <si>
    <t>1,338.13</t>
  </si>
  <si>
    <t>1,320.62</t>
  </si>
  <si>
    <t>1,301.64</t>
  </si>
  <si>
    <t>1,296.98</t>
  </si>
  <si>
    <t>1,286.21</t>
  </si>
  <si>
    <t>1,298.34</t>
  </si>
  <si>
    <t>1,282.76</t>
  </si>
  <si>
    <t>1,293.81</t>
  </si>
  <si>
    <t>1,294.99</t>
  </si>
  <si>
    <t>1,297.44</t>
  </si>
  <si>
    <t>1,317.54</t>
  </si>
  <si>
    <t>1,322.73</t>
  </si>
  <si>
    <t>1,302.34</t>
  </si>
  <si>
    <t>1,306.43</t>
  </si>
  <si>
    <t>1,293.16</t>
  </si>
  <si>
    <t>1,273.86</t>
  </si>
  <si>
    <t>1,261.17</t>
  </si>
  <si>
    <t>1,262.62</t>
  </si>
  <si>
    <t>1,277.08</t>
  </si>
  <si>
    <t>1,281.46</t>
  </si>
  <si>
    <t>1,278.5</t>
  </si>
  <si>
    <t>1,277.09</t>
  </si>
  <si>
    <t>1,282.59</t>
  </si>
  <si>
    <t>1,330.42</t>
  </si>
  <si>
    <t>1,342.15</t>
  </si>
  <si>
    <t>1,376.52</t>
  </si>
  <si>
    <t>1,397.5</t>
  </si>
  <si>
    <t>1,406.33</t>
  </si>
  <si>
    <t>1,450.54</t>
  </si>
  <si>
    <t>1,454.77</t>
  </si>
  <si>
    <t>1,434.63</t>
  </si>
  <si>
    <t>1,407.35</t>
  </si>
  <si>
    <t>1,382.77</t>
  </si>
  <si>
    <t>1,374.12</t>
  </si>
  <si>
    <t>1,376.2</t>
  </si>
  <si>
    <t>1,399.96</t>
  </si>
  <si>
    <t>1,399.4</t>
  </si>
  <si>
    <t>1,383.45</t>
  </si>
  <si>
    <t>1,391.17</t>
  </si>
  <si>
    <t>1,384.78</t>
  </si>
  <si>
    <t>1,378.11</t>
  </si>
  <si>
    <t>1,337.13</t>
  </si>
  <si>
    <t>1,315.52</t>
  </si>
  <si>
    <t>1,319.72</t>
  </si>
  <si>
    <t>1,300.16</t>
  </si>
  <si>
    <t>1,297.61</t>
  </si>
  <si>
    <t>1,314.25</t>
  </si>
  <si>
    <t>1,308.36</t>
  </si>
  <si>
    <t>1,311.24</t>
  </si>
  <si>
    <t>1,313.25</t>
  </si>
  <si>
    <t>1,301.96</t>
  </si>
  <si>
    <t>1,298.52</t>
  </si>
  <si>
    <t>1,295.87</t>
  </si>
  <si>
    <t>1,288.36</t>
  </si>
  <si>
    <t>1,289.64</t>
  </si>
  <si>
    <t>1,282.78</t>
  </si>
  <si>
    <t>1,290.25</t>
  </si>
  <si>
    <t>1,345.5</t>
  </si>
  <si>
    <t>1,366.71</t>
  </si>
  <si>
    <t>1,369.38</t>
  </si>
  <si>
    <t>1,375.19</t>
  </si>
  <si>
    <t>1,374.65</t>
  </si>
  <si>
    <t>1,403.3</t>
  </si>
  <si>
    <t>1,409.85</t>
  </si>
  <si>
    <t>1,390.82</t>
  </si>
  <si>
    <t>1,341.19</t>
  </si>
  <si>
    <t>1,338.54</t>
  </si>
  <si>
    <t>1,322.41</t>
  </si>
  <si>
    <t>1,296.52</t>
  </si>
  <si>
    <t>1,290.79</t>
  </si>
  <si>
    <t>1,281.67</t>
  </si>
  <si>
    <t>1,275.19</t>
  </si>
  <si>
    <t>1,304.02</t>
  </si>
  <si>
    <t>1,271.72</t>
  </si>
  <si>
    <t>1,245.01</t>
  </si>
  <si>
    <t>1,228.96</t>
  </si>
  <si>
    <t>1,241.34</t>
  </si>
  <si>
    <t>1,252.52</t>
  </si>
  <si>
    <t>1,263.43</t>
  </si>
  <si>
    <t>1,259.93</t>
  </si>
  <si>
    <t>1,253.34</t>
  </si>
  <si>
    <t>1,247.22</t>
  </si>
  <si>
    <t>1,221.46</t>
  </si>
  <si>
    <t>1,191.43</t>
  </si>
  <si>
    <t>1,170.57</t>
  </si>
  <si>
    <t>1,176.98</t>
  </si>
  <si>
    <t>1,166.3</t>
  </si>
  <si>
    <t>1,163.12</t>
  </si>
  <si>
    <t>1,164.46</t>
  </si>
  <si>
    <t>1,162.71</t>
  </si>
  <si>
    <t>1,150.76</t>
  </si>
  <si>
    <t>1,134.7</t>
  </si>
  <si>
    <t>1,122.66</t>
  </si>
  <si>
    <t>1,144.11</t>
  </si>
  <si>
    <t>1,147.62</t>
  </si>
  <si>
    <t>Euros/US$</t>
  </si>
  <si>
    <t>Forints</t>
  </si>
  <si>
    <t>Forints/US$</t>
  </si>
  <si>
    <t>Aus c/l</t>
  </si>
  <si>
    <t>adj Euro/l</t>
  </si>
  <si>
    <t>eros/US$</t>
  </si>
  <si>
    <t>eros/l</t>
  </si>
  <si>
    <t>Kroner/US$</t>
  </si>
  <si>
    <t>Kroner/l</t>
  </si>
  <si>
    <t>US c/l</t>
  </si>
  <si>
    <t>Euros/l</t>
  </si>
  <si>
    <t>Pounds/US$</t>
  </si>
  <si>
    <t>https://www.ontario.ca/data/gasoline-report-international-gasoline-prices</t>
  </si>
  <si>
    <t>internationalpumpprices US Canada.xls</t>
  </si>
  <si>
    <t>IEA petrol prices 2010_17.xlsx</t>
  </si>
  <si>
    <t>Statistica</t>
  </si>
  <si>
    <t>https://www.oecd-ilibrary.org/energy/energy-prices-and-taxes_16096835</t>
  </si>
  <si>
    <t>Month</t>
  </si>
  <si>
    <t>Delhi</t>
  </si>
  <si>
    <t>Kolkata</t>
  </si>
  <si>
    <t>Mumbai</t>
  </si>
  <si>
    <t>Chennai</t>
  </si>
  <si>
    <t>August 15, 2015</t>
  </si>
  <si>
    <t>August 01, 2015</t>
  </si>
  <si>
    <t>July 16, 2015</t>
  </si>
  <si>
    <t>July 01, 2015</t>
  </si>
  <si>
    <t>June 16, 2015</t>
  </si>
  <si>
    <t>May 16, 2015</t>
  </si>
  <si>
    <t>May 01, 2015</t>
  </si>
  <si>
    <t>April 16, 2015</t>
  </si>
  <si>
    <t>April 02, 2015</t>
  </si>
  <si>
    <t>March 01, 2015</t>
  </si>
  <si>
    <t>February 16, 2015</t>
  </si>
  <si>
    <t>February 04, 2015</t>
  </si>
  <si>
    <t>January 17, 2015</t>
  </si>
  <si>
    <t>January 16, 2015</t>
  </si>
  <si>
    <t>December 16, 2014</t>
  </si>
  <si>
    <t>December 01, 2014</t>
  </si>
  <si>
    <t>November 01, 2014</t>
  </si>
  <si>
    <t>October 15, 2014</t>
  </si>
  <si>
    <t>October 01, 2014</t>
  </si>
  <si>
    <t>August 31, 2014</t>
  </si>
  <si>
    <t>August 15, 2014</t>
  </si>
  <si>
    <t>August 01, 2014</t>
  </si>
  <si>
    <t>July 01, 2014</t>
  </si>
  <si>
    <t>June 25, 2014</t>
  </si>
  <si>
    <t>June 07, 2014</t>
  </si>
  <si>
    <t>April 16, 2014</t>
  </si>
  <si>
    <t>April 01, 2014</t>
  </si>
  <si>
    <t>March 01, 2014</t>
  </si>
  <si>
    <t>January 05, 2014</t>
  </si>
  <si>
    <t>January 04, 2014</t>
  </si>
  <si>
    <t>December 21, 2013</t>
  </si>
  <si>
    <t>November 01, 2013</t>
  </si>
  <si>
    <t>October 01, 2013</t>
  </si>
  <si>
    <t>September 14, 2013</t>
  </si>
  <si>
    <t>September 01, 2013</t>
  </si>
  <si>
    <t>August 01, 2013</t>
  </si>
  <si>
    <t>July 15, 2013</t>
  </si>
  <si>
    <t>July 01, 2013</t>
  </si>
  <si>
    <t>June 29, 2013</t>
  </si>
  <si>
    <t>June 16, 2013</t>
  </si>
  <si>
    <t>June 01, 2013</t>
  </si>
  <si>
    <t>May 23, 2013</t>
  </si>
  <si>
    <t>May 01, 2013</t>
  </si>
  <si>
    <t>April 16, 2013</t>
  </si>
  <si>
    <t>April 02, 2013</t>
  </si>
  <si>
    <t>April 01, 2013</t>
  </si>
  <si>
    <t>March 16, 2013</t>
  </si>
  <si>
    <t>March 02, 2013</t>
  </si>
  <si>
    <t>February 16, 2013</t>
  </si>
  <si>
    <t>January 18, 2013</t>
  </si>
  <si>
    <t>January 16, 2013</t>
  </si>
  <si>
    <t>January 01, 2013</t>
  </si>
  <si>
    <t>November 16, 2012</t>
  </si>
  <si>
    <t>October 27, 2012</t>
  </si>
  <si>
    <t>October 09, 2012</t>
  </si>
  <si>
    <t>August 01, 2012</t>
  </si>
  <si>
    <t>July 25, 2012</t>
  </si>
  <si>
    <t>July 24, 2012</t>
  </si>
  <si>
    <t>June 29, 2012</t>
  </si>
  <si>
    <t>June 18, 2012</t>
  </si>
  <si>
    <t>June 03, 2012</t>
  </si>
  <si>
    <t>May 24, 2012</t>
  </si>
  <si>
    <t>December 01, 2011</t>
  </si>
  <si>
    <t>November 16, 2011</t>
  </si>
  <si>
    <t>November 04, 2011</t>
  </si>
  <si>
    <t>September 16, 2011</t>
  </si>
  <si>
    <t>July 01, 2011</t>
  </si>
  <si>
    <t>May 15, 2011</t>
  </si>
  <si>
    <t>March 02, 2011</t>
  </si>
  <si>
    <t>January 16, 2011</t>
  </si>
  <si>
    <t>December 16, 2010</t>
  </si>
  <si>
    <t>November 09, 2010</t>
  </si>
  <si>
    <t>November 02, 2010</t>
  </si>
  <si>
    <t>October 17, 2010</t>
  </si>
  <si>
    <t>September 21, 2010</t>
  </si>
  <si>
    <t>September 08, 2010</t>
  </si>
  <si>
    <t>June 26, 2010</t>
  </si>
  <si>
    <t>April 01, 2010</t>
  </si>
  <si>
    <t>February 27, 2010</t>
  </si>
  <si>
    <t>July 02, 2009</t>
  </si>
  <si>
    <t>January 29, 2009</t>
  </si>
  <si>
    <t>December 06, 2008</t>
  </si>
  <si>
    <t>November 06, 2008</t>
  </si>
  <si>
    <t>July 16, 2008</t>
  </si>
  <si>
    <t>June 06, 2008</t>
  </si>
  <si>
    <t>May 24, 2008</t>
  </si>
  <si>
    <t>February 15, 2008</t>
  </si>
  <si>
    <t>June 06, 2007</t>
  </si>
  <si>
    <t>May 16, 2007</t>
  </si>
  <si>
    <t>March 01, 2007</t>
  </si>
  <si>
    <t>February 16, 2007</t>
  </si>
  <si>
    <t>November 30, 2006</t>
  </si>
  <si>
    <t>June 20, 2006</t>
  </si>
  <si>
    <t>June 05, 2006</t>
  </si>
  <si>
    <t>September 06, 2005</t>
  </si>
  <si>
    <t>June 20, 2005</t>
  </si>
  <si>
    <t>April 05, 2005</t>
  </si>
  <si>
    <t>April 01, 2005</t>
  </si>
  <si>
    <t>November 15, 2004</t>
  </si>
  <si>
    <t>November 04, 2004</t>
  </si>
  <si>
    <t>July 31, 2004</t>
  </si>
  <si>
    <t>June 15, 2004</t>
  </si>
  <si>
    <t>December 31, 2003</t>
  </si>
  <si>
    <t>December 12, 2003</t>
  </si>
  <si>
    <t>October 16, 2003</t>
  </si>
  <si>
    <t>August 31, 2003</t>
  </si>
  <si>
    <t>June 01, 2003</t>
  </si>
  <si>
    <t>May 16, 2003</t>
  </si>
  <si>
    <t>April 26, 2003</t>
  </si>
  <si>
    <t>April 16, 2003</t>
  </si>
  <si>
    <t>April 01, 2003</t>
  </si>
  <si>
    <t>March 16, 2003</t>
  </si>
  <si>
    <t>March 01, 2003</t>
  </si>
  <si>
    <t>February 01, 2003</t>
  </si>
  <si>
    <t>January 16, 2003</t>
  </si>
  <si>
    <t>January 03, 2003</t>
  </si>
  <si>
    <t>December 01, 2002</t>
  </si>
  <si>
    <t>November 16, 2002</t>
  </si>
  <si>
    <t>November 01, 2002</t>
  </si>
  <si>
    <t>October 17, 2002</t>
  </si>
  <si>
    <t>October 01, 2002</t>
  </si>
  <si>
    <t>September 16, 2002</t>
  </si>
  <si>
    <t>September 01, 2002</t>
  </si>
  <si>
    <t>August 16, 2002</t>
  </si>
  <si>
    <t>August 01, 2002</t>
  </si>
  <si>
    <t>July 01, 2002</t>
  </si>
  <si>
    <t>June 16, 2002</t>
  </si>
  <si>
    <t>June 04, 2002</t>
  </si>
  <si>
    <t>www.iocl.com/Products/PetrolDomesticPrices.aspx</t>
  </si>
  <si>
    <t>june 2002 to august 2015</t>
  </si>
  <si>
    <t>https://www.ceicdata.com/en/switzerland/fuel-prices/gasoline-price-value-unleaded-95</t>
  </si>
  <si>
    <t>Euro cents/l</t>
  </si>
  <si>
    <t>pence/l</t>
  </si>
  <si>
    <t>Cdn Dollar/l</t>
  </si>
  <si>
    <t>Crowns/US$</t>
  </si>
  <si>
    <t>krone/l</t>
  </si>
  <si>
    <t>Krone/l</t>
  </si>
  <si>
    <t>Krone/US$</t>
  </si>
  <si>
    <t>Yen/l</t>
  </si>
  <si>
    <t>Won/l</t>
  </si>
  <si>
    <t>NZ$/l</t>
  </si>
  <si>
    <t>Francs/l</t>
  </si>
  <si>
    <t>http://www.usinflationcalculator.com/inflation/consumer-price-index-and-annual-percent-changes-from-1913-to-2008/</t>
  </si>
  <si>
    <t>2010 to 2016</t>
  </si>
  <si>
    <t>http://www.inflation.eu/inflation-rates/united-states/historic-inflation/cpi-inflation-united-states.aspx</t>
  </si>
  <si>
    <t>2017% updates</t>
  </si>
  <si>
    <t>Oz Cpi</t>
  </si>
  <si>
    <t>WTI</t>
  </si>
  <si>
    <t>OzReg</t>
  </si>
  <si>
    <t>AustriaReg</t>
  </si>
  <si>
    <t>BelgiumReg</t>
  </si>
  <si>
    <t>nomPence/l</t>
  </si>
  <si>
    <t>Pence/l</t>
  </si>
  <si>
    <t>BritainReg</t>
  </si>
  <si>
    <t>EU petrol</t>
  </si>
  <si>
    <t>nom Euro</t>
  </si>
  <si>
    <t>cents/l</t>
  </si>
  <si>
    <t>EU petrolpr</t>
  </si>
  <si>
    <t>Cdn$/l</t>
  </si>
  <si>
    <t>https://www.capp.ca/publications-and-statistics/statistics/statistical-handbook</t>
  </si>
  <si>
    <t>CAPP petrolpr p</t>
  </si>
  <si>
    <t>https://en.wikipedia.org/wiki/Motor_fuel_taxes_in_Canada</t>
  </si>
  <si>
    <t>CAN</t>
  </si>
  <si>
    <t>EXCISEc/l</t>
  </si>
  <si>
    <t>pop m</t>
  </si>
  <si>
    <t>wgt'd</t>
  </si>
  <si>
    <t>https://www150.statcan.gc.ca/n1/tbl/csv/18100001-eng.zip</t>
  </si>
  <si>
    <t>dum0814</t>
  </si>
  <si>
    <t>CanadaReg</t>
  </si>
  <si>
    <t>CzechReg</t>
  </si>
  <si>
    <t>old excise</t>
  </si>
  <si>
    <t>Euro/l</t>
  </si>
  <si>
    <t>E/1000l</t>
  </si>
  <si>
    <t>E/l</t>
  </si>
  <si>
    <t>E</t>
  </si>
  <si>
    <t>US $/l</t>
  </si>
  <si>
    <t>Federal</t>
  </si>
  <si>
    <t>Excise</t>
  </si>
  <si>
    <t>c/gal</t>
  </si>
  <si>
    <t>total</t>
  </si>
  <si>
    <t>old</t>
  </si>
  <si>
    <t>www.oecd.org › Tax › Tax policy analysis</t>
  </si>
  <si>
    <t>https://pinedatabase.oecd.org/Query_2.aspx?QryCtx=3&amp;isid=7c304e5f-8c60-4792-b54c-132363febf16</t>
  </si>
  <si>
    <t>https://www.statsbudsjettet.no/Upload/Statsbudsjett_2017/dokumenter/pdf/R-0650%20E_Budget%202017.pdf</t>
  </si>
  <si>
    <t>dum8096</t>
  </si>
  <si>
    <t>dum9704</t>
  </si>
  <si>
    <t>FinlandReg</t>
  </si>
  <si>
    <t>FranceReg</t>
  </si>
  <si>
    <t>IrelandReg</t>
  </si>
  <si>
    <t>ItalyReg</t>
  </si>
  <si>
    <t>JapanReg</t>
  </si>
  <si>
    <t>KoreaReg</t>
  </si>
  <si>
    <t>NethReg</t>
  </si>
  <si>
    <t>NorwayReg</t>
  </si>
  <si>
    <t>SpainReg</t>
  </si>
  <si>
    <t>SwedenReg</t>
  </si>
  <si>
    <t>SwissReg</t>
  </si>
  <si>
    <t>dum80</t>
  </si>
  <si>
    <t>dum8288</t>
  </si>
  <si>
    <t>dum7391</t>
  </si>
  <si>
    <t>excise calc'd</t>
  </si>
  <si>
    <t>Lower 95.0%</t>
  </si>
  <si>
    <t>Upper 95.0%</t>
  </si>
  <si>
    <t>EU</t>
  </si>
  <si>
    <t>petrol prices 100 countries.xlsx</t>
  </si>
  <si>
    <t>rupees/l</t>
  </si>
  <si>
    <t>Dehli petrol</t>
  </si>
  <si>
    <t>Rs/litre</t>
  </si>
  <si>
    <t>Vat %</t>
  </si>
  <si>
    <t>IOCL</t>
  </si>
  <si>
    <t>from monthly</t>
  </si>
  <si>
    <t>https://iocl.com/Products/PetrolDomesticPrices.aspx</t>
  </si>
  <si>
    <t>http://www.dnaindia.com/business/report-from-may-2014-to-april-2018-chart-of-petrol-and-diesel-prices-under-modi-govt-2606993</t>
  </si>
  <si>
    <t>dna india</t>
  </si>
  <si>
    <t>https://www.quora.com/What-is-the-breakdown-of-petrol-price-in-India-and-how-much-of-it-is-taxes</t>
  </si>
  <si>
    <t>Dehli</t>
  </si>
  <si>
    <t>entry price</t>
  </si>
  <si>
    <t>dealer</t>
  </si>
  <si>
    <t>sum</t>
  </si>
  <si>
    <t>Vat fraction</t>
  </si>
  <si>
    <t>Rupee</t>
  </si>
  <si>
    <t>FPCPITOTLZGIND</t>
  </si>
  <si>
    <t>Inflation, consumer prices for India, Percent, Annual, Not Seasonally Adjusted</t>
  </si>
  <si>
    <t>Frequency: Annual</t>
  </si>
  <si>
    <t>observation_date</t>
  </si>
  <si>
    <t>https://fred.stlouisfed.org/series/FPCPITOTLZGIND</t>
  </si>
  <si>
    <t>CPI 2010=100</t>
  </si>
  <si>
    <t>https://fred.stlouisfed.org/tags/series?t=annual%3Bcpi%3Bworld+bank</t>
  </si>
  <si>
    <t>landed oil</t>
  </si>
  <si>
    <t>dum9906</t>
  </si>
  <si>
    <t>dum00</t>
  </si>
  <si>
    <t>IndiaReg</t>
  </si>
  <si>
    <t>Global</t>
  </si>
  <si>
    <t>real US$</t>
  </si>
  <si>
    <t>USCPI</t>
  </si>
  <si>
    <t>Global 2017 Usc/l</t>
  </si>
  <si>
    <t>renminbi</t>
  </si>
  <si>
    <t>RMB</t>
  </si>
  <si>
    <t>RMB/l</t>
  </si>
  <si>
    <t>nomUS$/l</t>
  </si>
  <si>
    <t>2010 US cents/l</t>
  </si>
  <si>
    <t>http://fx.sauder.ubc.ca/data.html</t>
  </si>
  <si>
    <t>2010$/b</t>
  </si>
  <si>
    <t xml:space="preserve"> pred from L/GDPch</t>
  </si>
  <si>
    <t xml:space="preserve"> pred oil price reg</t>
  </si>
  <si>
    <t>OPEC</t>
  </si>
  <si>
    <t>Composite</t>
  </si>
  <si>
    <t>oil update</t>
  </si>
  <si>
    <t>annual</t>
  </si>
  <si>
    <t>quarterly</t>
  </si>
  <si>
    <t>EIA</t>
  </si>
  <si>
    <t>Spot price</t>
  </si>
  <si>
    <t>Historic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</si>
  <si>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</si>
  <si>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</si>
  <si>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</si>
  <si>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</si>
  <si>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</si>
  <si>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</si>
  <si>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</si>
  <si>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</si>
  <si>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</si>
  <si>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</si>
  <si>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</si>
  <si>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</si>
  <si>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aver</t>
  </si>
  <si>
    <t>dum0810</t>
  </si>
  <si>
    <t>dum1517</t>
  </si>
  <si>
    <t>US CPI</t>
  </si>
  <si>
    <t>dum9599</t>
  </si>
  <si>
    <t>DenmarkReg</t>
  </si>
  <si>
    <t>dum9298</t>
  </si>
  <si>
    <t>dum6771</t>
  </si>
  <si>
    <t>dum8792</t>
  </si>
  <si>
    <t>GreeceReg</t>
  </si>
  <si>
    <t>dum8689</t>
  </si>
  <si>
    <t>dum9207</t>
  </si>
  <si>
    <t>HungaryReg</t>
  </si>
  <si>
    <t>dum73</t>
  </si>
  <si>
    <t>dum0709</t>
  </si>
  <si>
    <t>dum8389</t>
  </si>
  <si>
    <t>dum0001</t>
  </si>
  <si>
    <t>dum6593</t>
  </si>
  <si>
    <t>dum6599</t>
  </si>
  <si>
    <t>dum6504</t>
  </si>
  <si>
    <t>dum0514</t>
  </si>
  <si>
    <t>ChinaReg</t>
  </si>
  <si>
    <t>dum6588</t>
  </si>
  <si>
    <t>dum8909</t>
  </si>
  <si>
    <t>dum6570</t>
  </si>
  <si>
    <t>dum0003</t>
  </si>
  <si>
    <t>dum9099</t>
  </si>
  <si>
    <t>dum8211</t>
  </si>
  <si>
    <t>dum7376</t>
  </si>
  <si>
    <t>dum6595</t>
  </si>
  <si>
    <t>dum0007</t>
  </si>
  <si>
    <t>dum6514</t>
  </si>
  <si>
    <t>dum79</t>
  </si>
  <si>
    <t>dum6971</t>
  </si>
  <si>
    <t>dum8914</t>
  </si>
  <si>
    <t>dum9612</t>
  </si>
  <si>
    <t>dum6503</t>
  </si>
  <si>
    <t>dum74</t>
  </si>
  <si>
    <t>dum 6971</t>
  </si>
  <si>
    <t>dum8906</t>
  </si>
  <si>
    <t>US oil prod</t>
  </si>
  <si>
    <t>Gb/yr</t>
  </si>
  <si>
    <t>smoothed</t>
  </si>
  <si>
    <t>change</t>
  </si>
  <si>
    <t>lead prod ch</t>
  </si>
  <si>
    <t>3yr WTI av</t>
  </si>
  <si>
    <t>3yr OPEC av</t>
  </si>
  <si>
    <t>pipelinedum</t>
  </si>
  <si>
    <t>(OPEC from 1999)</t>
  </si>
  <si>
    <t>NZreg</t>
  </si>
  <si>
    <t xml:space="preserve">  actual</t>
  </si>
  <si>
    <t xml:space="preserve">  high</t>
  </si>
  <si>
    <t xml:space="preserve">  medium</t>
  </si>
  <si>
    <t xml:space="preserve">  low</t>
  </si>
  <si>
    <t>2010 US$/b</t>
  </si>
  <si>
    <t>2016 US$/b</t>
  </si>
  <si>
    <t>2010 pence/l</t>
  </si>
  <si>
    <t>2010 Euro cents/l</t>
  </si>
  <si>
    <t>2010 Krone/l</t>
  </si>
  <si>
    <t>2010 Euros/l</t>
  </si>
  <si>
    <t>yen/l</t>
  </si>
  <si>
    <t>2010 yen/l</t>
  </si>
  <si>
    <t>2010 Won</t>
  </si>
  <si>
    <t>dum06</t>
  </si>
  <si>
    <t>Real 2017 Petrol prices (currency/l)</t>
  </si>
  <si>
    <t>Aus $/l</t>
  </si>
  <si>
    <t>HIGH</t>
  </si>
  <si>
    <t>LOW</t>
  </si>
  <si>
    <t>MEDIUM</t>
  </si>
  <si>
    <t>https://stats.oecd.org/index.aspx?queryid=169</t>
  </si>
  <si>
    <t>OPEC nominal</t>
  </si>
  <si>
    <t>2018 US$/b</t>
  </si>
  <si>
    <t>US$/b</t>
  </si>
  <si>
    <t>US2016 CPI</t>
  </si>
  <si>
    <t>2018%est</t>
  </si>
  <si>
    <t>2017,18% updates</t>
  </si>
  <si>
    <t>OPEC 2016$/b</t>
  </si>
  <si>
    <t xml:space="preserve">TAPIS </t>
  </si>
  <si>
    <t>dum0203</t>
  </si>
  <si>
    <t>TAPIS</t>
  </si>
  <si>
    <t>WTI reg</t>
  </si>
  <si>
    <t>dum1417</t>
  </si>
  <si>
    <t>TAPIS/OPEC ratio</t>
  </si>
  <si>
    <t>dum01</t>
  </si>
  <si>
    <t>dum0408</t>
  </si>
  <si>
    <t>dum99</t>
  </si>
  <si>
    <t>Landed</t>
  </si>
  <si>
    <t xml:space="preserve">           real 2018 total petrol price (Australian $/l)</t>
  </si>
  <si>
    <t xml:space="preserve">           real 2018 total petrol price (yen/l)</t>
  </si>
  <si>
    <t xml:space="preserve">           real 2018 total petrol price (won/l)</t>
  </si>
  <si>
    <t>dum8490</t>
  </si>
  <si>
    <t>dum9106</t>
  </si>
  <si>
    <t>dumswitch</t>
  </si>
  <si>
    <t>dum6582</t>
  </si>
  <si>
    <t>https://www.nrcan.gc.ca/energy/fuel-prices/18885</t>
  </si>
  <si>
    <t xml:space="preserve">           real 2017 total petrol price (Australian $/l)</t>
  </si>
  <si>
    <t xml:space="preserve">           real 2017 total petrol price</t>
  </si>
  <si>
    <t xml:space="preserve">           real 2017 total petrol price (yen/l)</t>
  </si>
  <si>
    <t xml:space="preserve">           real 2017 total petrol price (won/l)</t>
  </si>
  <si>
    <t xml:space="preserve">       real 2017 total petrol price (Euro cents/l)</t>
  </si>
  <si>
    <t xml:space="preserve">           real 2017 total petrol price (krone/l)</t>
  </si>
  <si>
    <t xml:space="preserve">           real 2017 total petrol price (krona/l)</t>
  </si>
  <si>
    <t>dum9104</t>
  </si>
  <si>
    <t>yuan/l</t>
  </si>
  <si>
    <t>yuan/US$</t>
  </si>
  <si>
    <t>dum7388</t>
  </si>
  <si>
    <t>dum9304</t>
  </si>
  <si>
    <t>dum7479</t>
  </si>
  <si>
    <t>dum7880</t>
  </si>
  <si>
    <t>dum9199</t>
  </si>
  <si>
    <t>dum8398</t>
  </si>
  <si>
    <t>dum7377</t>
  </si>
  <si>
    <t>dum6671</t>
  </si>
  <si>
    <t>dum9003</t>
  </si>
  <si>
    <t>WTI,OPEC97on</t>
  </si>
  <si>
    <t>dum9403</t>
  </si>
  <si>
    <t>dum8086</t>
  </si>
  <si>
    <t>predicted</t>
  </si>
  <si>
    <t xml:space="preserve">dum </t>
  </si>
  <si>
    <t>2010$A/b</t>
  </si>
  <si>
    <t>Euro c/l</t>
  </si>
  <si>
    <t>Euro/b</t>
  </si>
  <si>
    <t>2010E/b</t>
  </si>
  <si>
    <t>CY</t>
  </si>
  <si>
    <t>2010 p/l</t>
  </si>
  <si>
    <t>0514</t>
  </si>
  <si>
    <t>2010 pds/b</t>
  </si>
  <si>
    <t>provinces</t>
  </si>
  <si>
    <t>0910</t>
  </si>
  <si>
    <t>switch</t>
  </si>
  <si>
    <t>2010 y/l</t>
  </si>
  <si>
    <t>2010 y/b</t>
  </si>
  <si>
    <t>06</t>
  </si>
  <si>
    <t>2010 K/l</t>
  </si>
  <si>
    <t>2010 K/b</t>
  </si>
  <si>
    <t>2010E/l</t>
  </si>
  <si>
    <t>0509</t>
  </si>
  <si>
    <t>0001</t>
  </si>
  <si>
    <t>0003</t>
  </si>
  <si>
    <t>2010R/l</t>
  </si>
  <si>
    <t>Rupees/l</t>
  </si>
  <si>
    <t>2010R/b</t>
  </si>
  <si>
    <t>0809</t>
  </si>
  <si>
    <t>00</t>
  </si>
  <si>
    <t>2010Y/l</t>
  </si>
  <si>
    <t>2010Y/b</t>
  </si>
  <si>
    <t>2010W/l</t>
  </si>
  <si>
    <t>2010W/b</t>
  </si>
  <si>
    <t>0007</t>
  </si>
  <si>
    <t>$/l</t>
  </si>
  <si>
    <t>2010$/l</t>
  </si>
  <si>
    <t>2010K/l</t>
  </si>
  <si>
    <t>2010K/b</t>
  </si>
  <si>
    <t>Krona/l</t>
  </si>
  <si>
    <t>2010F/l</t>
  </si>
  <si>
    <t>2010F/b</t>
  </si>
  <si>
    <t>gasoline</t>
  </si>
  <si>
    <t>WTI oil</t>
  </si>
  <si>
    <t>WORLD</t>
  </si>
  <si>
    <t>potential</t>
  </si>
  <si>
    <t>OPEC cuts</t>
  </si>
  <si>
    <t>mb/day</t>
  </si>
  <si>
    <t>%GDP</t>
  </si>
  <si>
    <t>index</t>
  </si>
  <si>
    <t>1950=100</t>
  </si>
  <si>
    <t>real GDP</t>
  </si>
  <si>
    <t>past 2+</t>
  </si>
  <si>
    <t>current</t>
  </si>
  <si>
    <t>3yrmovav</t>
  </si>
  <si>
    <t>GDP</t>
  </si>
  <si>
    <t>Liq/GDP ratio</t>
  </si>
  <si>
    <t>Liquids Production</t>
  </si>
  <si>
    <t>Net</t>
  </si>
  <si>
    <t>Liquids Average</t>
  </si>
  <si>
    <t>000b/day</t>
  </si>
  <si>
    <t>3yr past average</t>
  </si>
  <si>
    <t>ch Liq/GDP</t>
  </si>
  <si>
    <t>ch Liq/GDP t,t+1</t>
  </si>
  <si>
    <t>stock ch</t>
  </si>
  <si>
    <t>Stock</t>
  </si>
  <si>
    <t>Trend</t>
  </si>
  <si>
    <t>Stock Shortage</t>
  </si>
  <si>
    <t>future</t>
  </si>
  <si>
    <t xml:space="preserve"> real oil price</t>
  </si>
  <si>
    <t>ch liq/GDP t,t+1</t>
  </si>
  <si>
    <t>dumlow</t>
  </si>
  <si>
    <t>dum0608</t>
  </si>
  <si>
    <t>dumGFC</t>
  </si>
  <si>
    <t>echo</t>
  </si>
  <si>
    <t>initial lag</t>
  </si>
  <si>
    <t>stock shortage</t>
  </si>
  <si>
    <t>prediction</t>
  </si>
  <si>
    <t>2018US$/b</t>
  </si>
  <si>
    <t>US$/SDR</t>
  </si>
  <si>
    <t>UK/Royaume-Uni</t>
  </si>
  <si>
    <t>Germany/Allemagne</t>
  </si>
  <si>
    <t>Japan/Japon</t>
  </si>
  <si>
    <t>up to 2015 only</t>
  </si>
  <si>
    <t>http://data.iea.org/payment/products/121-world-energy-prices-2018-edition.aspx</t>
  </si>
  <si>
    <t>400E annual data only released May next year</t>
  </si>
  <si>
    <t>100 countries</t>
  </si>
  <si>
    <t>https://tradingeconomics.com › United States</t>
  </si>
  <si>
    <t>c/l petrol</t>
  </si>
  <si>
    <t>Provincial Petrol TAX (%)</t>
  </si>
  <si>
    <t>vat c/l</t>
  </si>
  <si>
    <t>https://www150.statcan.gc.ca/t1/tbl1/en/cv.action?pid=1710000901#timeframe</t>
  </si>
  <si>
    <t>Northwest Territories 5</t>
  </si>
  <si>
    <t>Nunavut 5</t>
  </si>
  <si>
    <t>Provincial</t>
  </si>
  <si>
    <t>fract sales</t>
  </si>
  <si>
    <t>VAT/sales</t>
  </si>
  <si>
    <t>old VAT</t>
  </si>
  <si>
    <t>on petrol</t>
  </si>
  <si>
    <t>0203</t>
  </si>
  <si>
    <t>0409</t>
  </si>
  <si>
    <t>dum0409</t>
  </si>
  <si>
    <t>PEFM</t>
  </si>
  <si>
    <t>NLT fund</t>
  </si>
  <si>
    <t>acc levy</t>
  </si>
  <si>
    <t>excise?</t>
  </si>
  <si>
    <t>0111</t>
  </si>
  <si>
    <t>dum0111</t>
  </si>
  <si>
    <t>oil01on</t>
  </si>
  <si>
    <t>oil6500</t>
  </si>
  <si>
    <t>dum6500</t>
  </si>
  <si>
    <t>CO2 levy</t>
  </si>
  <si>
    <t>0709</t>
  </si>
  <si>
    <t>dum9807</t>
  </si>
  <si>
    <t>dum6596</t>
  </si>
  <si>
    <t>dum6574</t>
  </si>
  <si>
    <t>dum9699</t>
  </si>
  <si>
    <t>0810</t>
  </si>
  <si>
    <t>1,310</t>
  </si>
  <si>
    <t>1,297</t>
  </si>
  <si>
    <t>1,298</t>
  </si>
  <si>
    <t>1,294</t>
  </si>
  <si>
    <t>1,289</t>
  </si>
  <si>
    <t>1,283</t>
  </si>
  <si>
    <t>1,280</t>
  </si>
  <si>
    <t>1,287</t>
  </si>
  <si>
    <t>1,292</t>
  </si>
  <si>
    <t>1,288</t>
  </si>
  <si>
    <t>1,281</t>
  </si>
  <si>
    <t>1,295</t>
  </si>
  <si>
    <t>1,308</t>
  </si>
  <si>
    <t>1,311</t>
  </si>
  <si>
    <t>1,455.1</t>
  </si>
  <si>
    <t>1,470.1</t>
  </si>
  <si>
    <t>1,433.4</t>
  </si>
  <si>
    <t>1,439.1</t>
  </si>
  <si>
    <t>1,448.8</t>
  </si>
  <si>
    <t>1,427.9</t>
  </si>
  <si>
    <t>1,406.55</t>
  </si>
  <si>
    <t>1,443.9</t>
  </si>
  <si>
    <t>1,432.56</t>
  </si>
  <si>
    <t>1,489.1</t>
  </si>
  <si>
    <t>1,438.3</t>
  </si>
  <si>
    <t>1,442.5</t>
  </si>
  <si>
    <t>1,410.6</t>
  </si>
  <si>
    <t>1,490.4</t>
  </si>
  <si>
    <t>1,454.5</t>
  </si>
  <si>
    <t>1,289.76</t>
  </si>
  <si>
    <t>1,284.38</t>
  </si>
  <si>
    <t>1,285.73</t>
  </si>
  <si>
    <t>1,288.35</t>
  </si>
  <si>
    <t>1,289.43</t>
  </si>
  <si>
    <t>1,285.36</t>
  </si>
  <si>
    <t>1,275.84</t>
  </si>
  <si>
    <t>1,279.8</t>
  </si>
  <si>
    <t>1,282.43</t>
  </si>
  <si>
    <t>1,267.98</t>
  </si>
  <si>
    <t>1,271.6</t>
  </si>
  <si>
    <t>1,286.61</t>
  </si>
  <si>
    <t>1,293.71</t>
  </si>
  <si>
    <t>1,290.94</t>
  </si>
  <si>
    <t>1,277.68</t>
  </si>
  <si>
    <t>1,499</t>
  </si>
  <si>
    <t>1,490</t>
  </si>
  <si>
    <t>1,481</t>
  </si>
  <si>
    <t>1,479</t>
  </si>
  <si>
    <t>1,475</t>
  </si>
  <si>
    <t>1,466</t>
  </si>
  <si>
    <t>1,451</t>
  </si>
  <si>
    <t>1,455</t>
  </si>
  <si>
    <t>1,458</t>
  </si>
  <si>
    <t>1,462</t>
  </si>
  <si>
    <t>1,444</t>
  </si>
  <si>
    <t>1,454</t>
  </si>
  <si>
    <t>1,459</t>
  </si>
  <si>
    <t>1,472</t>
  </si>
  <si>
    <t>1,667.65</t>
  </si>
  <si>
    <t>1,653.21</t>
  </si>
  <si>
    <t>1,653.08</t>
  </si>
  <si>
    <t>1,654.23</t>
  </si>
  <si>
    <t>1,668.01</t>
  </si>
  <si>
    <t>1,657.87</t>
  </si>
  <si>
    <t>1,657.52</t>
  </si>
  <si>
    <t>1,643.21</t>
  </si>
  <si>
    <t>1,643.55</t>
  </si>
  <si>
    <t>1,644.21</t>
  </si>
  <si>
    <t>1,617.08</t>
  </si>
  <si>
    <t>1,630.87</t>
  </si>
  <si>
    <t>1,644.47</t>
  </si>
  <si>
    <t>1,659.19</t>
  </si>
  <si>
    <t>1,671.72</t>
  </si>
  <si>
    <t>1,336.35</t>
  </si>
  <si>
    <t>1,329.38</t>
  </si>
  <si>
    <t>1,327.86</t>
  </si>
  <si>
    <t>1,326.91</t>
  </si>
  <si>
    <t>1,325.13</t>
  </si>
  <si>
    <t>1,318.84</t>
  </si>
  <si>
    <t>1,318.17</t>
  </si>
  <si>
    <t>1,325.97</t>
  </si>
  <si>
    <t>1,325.75</t>
  </si>
  <si>
    <t>1,318.45</t>
  </si>
  <si>
    <t>1,319.6</t>
  </si>
  <si>
    <t>1,328.43</t>
  </si>
  <si>
    <t>1,333.43</t>
  </si>
  <si>
    <t>1,337.18</t>
  </si>
  <si>
    <t>1,335.32</t>
  </si>
  <si>
    <t>1,550</t>
  </si>
  <si>
    <t>1,581</t>
  </si>
  <si>
    <t>1,584</t>
  </si>
  <si>
    <t>1,554</t>
  </si>
  <si>
    <t>1,583</t>
  </si>
  <si>
    <t>1,552</t>
  </si>
  <si>
    <t>1,533</t>
  </si>
  <si>
    <t>1,566</t>
  </si>
  <si>
    <t>1,541</t>
  </si>
  <si>
    <t>1,563</t>
  </si>
  <si>
    <t>1,568</t>
  </si>
  <si>
    <t>1,585</t>
  </si>
  <si>
    <t>1,579</t>
  </si>
  <si>
    <t>1,544.03</t>
  </si>
  <si>
    <t>1,546.86</t>
  </si>
  <si>
    <t>1,544.95</t>
  </si>
  <si>
    <t>1,546.96</t>
  </si>
  <si>
    <t>1,544.78</t>
  </si>
  <si>
    <t>1,524.53</t>
  </si>
  <si>
    <t>1,542.22</t>
  </si>
  <si>
    <t>1,531.51</t>
  </si>
  <si>
    <t>1,534.1</t>
  </si>
  <si>
    <t>1,539.1</t>
  </si>
  <si>
    <t>1,546.83</t>
  </si>
  <si>
    <t>1,548.9</t>
  </si>
  <si>
    <t>1,560.71</t>
  </si>
  <si>
    <t>1,563.69</t>
  </si>
  <si>
    <t>1,643</t>
  </si>
  <si>
    <t>1,644</t>
  </si>
  <si>
    <t>1,637</t>
  </si>
  <si>
    <t>1,639</t>
  </si>
  <si>
    <t>1,645</t>
  </si>
  <si>
    <t>1,633</t>
  </si>
  <si>
    <t>1,635</t>
  </si>
  <si>
    <t>1,642</t>
  </si>
  <si>
    <t>1,654</t>
  </si>
  <si>
    <t>1,647</t>
  </si>
  <si>
    <t>1,236.67</t>
  </si>
  <si>
    <t>1,232.7</t>
  </si>
  <si>
    <t>1,240.4</t>
  </si>
  <si>
    <t>1,237.99</t>
  </si>
  <si>
    <t>1,257.08</t>
  </si>
  <si>
    <t>1,234.88</t>
  </si>
  <si>
    <t>1,210.24</t>
  </si>
  <si>
    <t>1,251.53</t>
  </si>
  <si>
    <t>1,253.08</t>
  </si>
  <si>
    <t>1,195.29</t>
  </si>
  <si>
    <t>1,211.22</t>
  </si>
  <si>
    <t>1,220.07</t>
  </si>
  <si>
    <t>1,230.76</t>
  </si>
  <si>
    <t>1,252.69</t>
  </si>
  <si>
    <t>1,249.72</t>
  </si>
  <si>
    <t>1,439</t>
  </si>
  <si>
    <t>1,449</t>
  </si>
  <si>
    <t>1,489</t>
  </si>
  <si>
    <t>1,469</t>
  </si>
  <si>
    <t>1,633.66</t>
  </si>
  <si>
    <t>1,628.98</t>
  </si>
  <si>
    <t>1,627.86</t>
  </si>
  <si>
    <t>1,629.3</t>
  </si>
  <si>
    <t>1,628.76</t>
  </si>
  <si>
    <t>1,627.7</t>
  </si>
  <si>
    <t>1,632.4</t>
  </si>
  <si>
    <t>1,632.66</t>
  </si>
  <si>
    <t>1,632.24</t>
  </si>
  <si>
    <t>1,636.72</t>
  </si>
  <si>
    <t>1,645.27</t>
  </si>
  <si>
    <t>1,648.07</t>
  </si>
  <si>
    <t>1,648.66</t>
  </si>
  <si>
    <t>1,642.44</t>
  </si>
  <si>
    <t>1,687</t>
  </si>
  <si>
    <t>1,688</t>
  </si>
  <si>
    <t>1,682</t>
  </si>
  <si>
    <t>1,679</t>
  </si>
  <si>
    <t>1,676</t>
  </si>
  <si>
    <t>1,649</t>
  </si>
  <si>
    <t>1,658</t>
  </si>
  <si>
    <t>1,666</t>
  </si>
  <si>
    <t>1,667</t>
  </si>
  <si>
    <t>1,650</t>
  </si>
  <si>
    <t>1,664</t>
  </si>
  <si>
    <t>1,680</t>
  </si>
  <si>
    <t>1,689</t>
  </si>
  <si>
    <t>1,551.42</t>
  </si>
  <si>
    <t>1,537.11</t>
  </si>
  <si>
    <t>1,530.15</t>
  </si>
  <si>
    <t>1,545.54</t>
  </si>
  <si>
    <t>1,562.79</t>
  </si>
  <si>
    <t>1,570.98</t>
  </si>
  <si>
    <t>1,528.87</t>
  </si>
  <si>
    <t>1,530.97</t>
  </si>
  <si>
    <t>1,545.23</t>
  </si>
  <si>
    <t>1,521.29</t>
  </si>
  <si>
    <t>1,515.3</t>
  </si>
  <si>
    <t>1,520.99</t>
  </si>
  <si>
    <t>1,537.01</t>
  </si>
  <si>
    <t>1,553.86</t>
  </si>
  <si>
    <t>1,552.26</t>
  </si>
  <si>
    <t>1,439.24</t>
  </si>
  <si>
    <t>1,429.55</t>
  </si>
  <si>
    <t>1,439.34</t>
  </si>
  <si>
    <t>1,437.29</t>
  </si>
  <si>
    <t>1,433.96</t>
  </si>
  <si>
    <t>1,431.89</t>
  </si>
  <si>
    <t>1,429.9</t>
  </si>
  <si>
    <t>1,444.11</t>
  </si>
  <si>
    <t>1,437.24</t>
  </si>
  <si>
    <t>1,427.42</t>
  </si>
  <si>
    <t>1,444.54</t>
  </si>
  <si>
    <t>1,459.41</t>
  </si>
  <si>
    <t>1,458.46</t>
  </si>
  <si>
    <t>1,464.88</t>
  </si>
  <si>
    <t>https://www.interest.co.nz/charts/commodities/oil-and-petrol</t>
  </si>
  <si>
    <t>https://autotraveler.ru/en/norway/trend-price-fuel-norway.html#.XCwDRTq4ZaQ</t>
  </si>
  <si>
    <t>premium</t>
  </si>
  <si>
    <t>https://tradingeconomics.com/south-korea/gasoline-prices</t>
  </si>
  <si>
    <t>US$/l</t>
  </si>
  <si>
    <t>https://tradingeconomics.com/india/gasoline-prices</t>
  </si>
  <si>
    <t>https://tradingeconomics.com/china/gasoline-prices</t>
  </si>
  <si>
    <t>https://tradingeconomics.com/spain/gasoline-prices</t>
  </si>
  <si>
    <t>https://tradingeconomics.com/austria/gasoline-prices</t>
  </si>
  <si>
    <t>https://tradingeconomics.com/finland/gasoline-prices</t>
  </si>
  <si>
    <t>https://tradingeconomics.com/united-kingdom/gasoline-prices</t>
  </si>
  <si>
    <t>https://tradingeconomics.com/denmark/gasoline-prices</t>
  </si>
  <si>
    <t>https://tradingeconomics.com/france/gasoline-prices</t>
  </si>
  <si>
    <t>https://tradingeconomics.com/germany/gasoline-prices</t>
  </si>
  <si>
    <t>https://tradingeconomics.com/ireland/gasoline-prices</t>
  </si>
  <si>
    <t>https://tradingeconomics.com/italy/gasoline-prices</t>
  </si>
  <si>
    <t>https://tradingeconomics.com/japan/gasoline-prices</t>
  </si>
  <si>
    <t>https://tradingeconomics.com/netherlands/gasoline-prices</t>
  </si>
  <si>
    <t>https://tradingeconomics.com/belgium/gasoline-prices</t>
  </si>
  <si>
    <t>https://tradingeconomics.com/sweden/gasoline-prices</t>
  </si>
  <si>
    <t>Us$/l</t>
  </si>
  <si>
    <t>https://tradingeconomics.com/switzerland/gasoline-prices</t>
  </si>
  <si>
    <t>https://www.mylpg.eu/stations/finland/prices</t>
  </si>
  <si>
    <t>https://www.mylpg.eu/stations/belgium/prices</t>
  </si>
  <si>
    <t>dum7579</t>
  </si>
  <si>
    <t>dum9916</t>
  </si>
  <si>
    <t>dum6516</t>
  </si>
  <si>
    <t>dum9516</t>
  </si>
  <si>
    <t>2018c/l</t>
  </si>
  <si>
    <t>2018 p/l</t>
  </si>
  <si>
    <t>2018 y/l</t>
  </si>
  <si>
    <t>2018 K/l</t>
  </si>
  <si>
    <t>2018E/l</t>
  </si>
  <si>
    <t>GermanyReg</t>
  </si>
  <si>
    <t>dum7279</t>
  </si>
  <si>
    <t>dum8185</t>
  </si>
  <si>
    <t>2018 f/l</t>
  </si>
  <si>
    <t>2018R/l</t>
  </si>
  <si>
    <t>2018Y/l</t>
  </si>
  <si>
    <t>2018W/l</t>
  </si>
  <si>
    <t>2018$/l</t>
  </si>
  <si>
    <t>Nk/US$</t>
  </si>
  <si>
    <t>Nk/l</t>
  </si>
  <si>
    <t>Nk/Euro</t>
  </si>
  <si>
    <t xml:space="preserve">oil tax </t>
  </si>
  <si>
    <t>NOK/t</t>
  </si>
  <si>
    <t>NOK/barrel</t>
  </si>
  <si>
    <t>7b/tonne</t>
  </si>
  <si>
    <t>2010 oil</t>
  </si>
  <si>
    <t>2010 oil+tax</t>
  </si>
  <si>
    <t>preTax</t>
  </si>
  <si>
    <t>2018K/l</t>
  </si>
  <si>
    <t>dumPreTax</t>
  </si>
  <si>
    <t>2018F/l</t>
  </si>
  <si>
    <t>2010c/gal</t>
  </si>
  <si>
    <t>2010 US cents/gallon</t>
  </si>
  <si>
    <t>2018c/gal</t>
  </si>
  <si>
    <t>USreg(litre)</t>
  </si>
  <si>
    <t>2018 forint/l</t>
  </si>
  <si>
    <t>c/gallon</t>
  </si>
  <si>
    <t>USreg(gallon)</t>
  </si>
  <si>
    <t>2018c/litre</t>
  </si>
  <si>
    <t>2010US$/b</t>
  </si>
  <si>
    <t>SDRs2010/b</t>
  </si>
  <si>
    <t>medium scenario</t>
  </si>
  <si>
    <t>Oil Price reg</t>
  </si>
  <si>
    <t>inverse ch liq/GDP t,t+1 * 3 (RHS)</t>
  </si>
  <si>
    <t>stock shortage * 10 (RHS)</t>
  </si>
  <si>
    <t>Gb</t>
  </si>
  <si>
    <t>real oil price (LHS)</t>
  </si>
  <si>
    <t>ch Liq/GDP t,t+1 (RHS)</t>
  </si>
  <si>
    <t xml:space="preserve">                Stock Shortage</t>
  </si>
  <si>
    <t xml:space="preserve">                        Dum Low</t>
  </si>
  <si>
    <t xml:space="preserve">           real 2017 total petrol price (Euros/l)</t>
  </si>
  <si>
    <t xml:space="preserve"> MEDIUM</t>
  </si>
  <si>
    <t xml:space="preserve"> HIGH</t>
  </si>
  <si>
    <t xml:space="preserve"> LOW</t>
  </si>
  <si>
    <t xml:space="preserve"> WTI/OPEC ratio</t>
  </si>
  <si>
    <t xml:space="preserve"> predicted</t>
  </si>
  <si>
    <t xml:space="preserve"> WTI</t>
  </si>
  <si>
    <t>lead production change</t>
  </si>
  <si>
    <t xml:space="preserve">  ACTUAL</t>
  </si>
  <si>
    <t>real 2018 total petrol price (rupees/l)</t>
  </si>
  <si>
    <t>real 2017 total petrol price (rupees/l)</t>
  </si>
  <si>
    <t xml:space="preserve">    real 2018 total petrol price (cents/l)</t>
  </si>
  <si>
    <t xml:space="preserve">       real 2018 total petrol price (krone/l)</t>
  </si>
  <si>
    <t>2018 US dollars per litre</t>
  </si>
  <si>
    <t>Total Petrol Price</t>
  </si>
  <si>
    <t>%ch18to30</t>
  </si>
  <si>
    <t>%ch17-19to30</t>
  </si>
  <si>
    <t>%tax 17-19</t>
  </si>
  <si>
    <t>change18-30</t>
  </si>
  <si>
    <t>%change</t>
  </si>
  <si>
    <t>MEDIUM SCENARIO</t>
  </si>
  <si>
    <t xml:space="preserve"> Australia</t>
  </si>
  <si>
    <t xml:space="preserve">     HIGH SCENARIO</t>
  </si>
  <si>
    <t>2030/2011 %</t>
  </si>
  <si>
    <t xml:space="preserve">     TAX</t>
  </si>
  <si>
    <t>https://www.aaa.asn.au/fuel-price-data/</t>
  </si>
  <si>
    <t>$A/l</t>
  </si>
  <si>
    <t>restore petrol price DM.xlsx</t>
  </si>
  <si>
    <t>Oil price</t>
  </si>
  <si>
    <t xml:space="preserve">Landed </t>
  </si>
  <si>
    <t>Oil</t>
  </si>
  <si>
    <t>Constant</t>
  </si>
  <si>
    <t>Oil component</t>
  </si>
  <si>
    <t>Petrol Price</t>
  </si>
  <si>
    <t>$A/US$</t>
  </si>
  <si>
    <t>% change</t>
  </si>
  <si>
    <t>elasticity</t>
  </si>
  <si>
    <t>2010 Ac/l</t>
  </si>
  <si>
    <t>2010USc/l</t>
  </si>
  <si>
    <t>Petrol Usc/l</t>
  </si>
  <si>
    <t>Petrol/Oil elasticity</t>
  </si>
  <si>
    <t>VAT rate</t>
  </si>
  <si>
    <t>Total Fixed</t>
  </si>
  <si>
    <t>Fixed Fraction</t>
  </si>
  <si>
    <t>Fixed VAT</t>
  </si>
  <si>
    <t>Fraction Variable</t>
  </si>
  <si>
    <t xml:space="preserve">     Energy Component ( .64 of petrol)</t>
  </si>
  <si>
    <t xml:space="preserve">  Petrol tax (about .36 of petrol)</t>
  </si>
  <si>
    <t xml:space="preserve">medium </t>
  </si>
  <si>
    <t>stock</t>
  </si>
  <si>
    <t>shortage</t>
  </si>
  <si>
    <t>Total Variable</t>
  </si>
  <si>
    <t xml:space="preserve">             real 2010 US$  oil price ($/b)</t>
  </si>
  <si>
    <t>real Australian 2010 landed oil price ($A/b)</t>
  </si>
  <si>
    <t xml:space="preserve">  real 2010 energy cost of petrol (c/l)</t>
  </si>
  <si>
    <t>tax c/l</t>
  </si>
  <si>
    <t xml:space="preserve">               real 2010 sales tax (c/l)</t>
  </si>
  <si>
    <t xml:space="preserve">   real 2010 total petrol price (c/l)</t>
  </si>
  <si>
    <t xml:space="preserve">         real 2010 world oil price (US$/b)</t>
  </si>
  <si>
    <t xml:space="preserve">   real 2010 landed oil price (euros/b)</t>
  </si>
  <si>
    <t>real 2010 energy cost of petrol (euros/l)</t>
  </si>
  <si>
    <t>tax (e/l)</t>
  </si>
  <si>
    <t xml:space="preserve">               real 2010 sales tax (euros/l)</t>
  </si>
  <si>
    <t xml:space="preserve">   real 2010 total petrol price (euros/l)</t>
  </si>
  <si>
    <t>tax (e c/l)</t>
  </si>
  <si>
    <t xml:space="preserve">   real 2018 total petrol price (euro c/l)</t>
  </si>
  <si>
    <t xml:space="preserve">             real 2010 world oil price (US$/b)</t>
  </si>
  <si>
    <t xml:space="preserve">           real 2010 landed oil price (C$/b)</t>
  </si>
  <si>
    <t xml:space="preserve">      real 2010 energy cost of petrol (c/l)</t>
  </si>
  <si>
    <t>tax (c/l)</t>
  </si>
  <si>
    <t xml:space="preserve">                       real 2010 sales tax (c/l)</t>
  </si>
  <si>
    <t xml:space="preserve">           real 2010 total petrol price (c/l)</t>
  </si>
  <si>
    <t xml:space="preserve">           real 2018 total petrol price (c/l)</t>
  </si>
  <si>
    <t xml:space="preserve">           real 2010 landed oil price (Pounds/b)</t>
  </si>
  <si>
    <t xml:space="preserve">      real 2010 energy cost of petrol (pence/l)</t>
  </si>
  <si>
    <t>tax (p/l)</t>
  </si>
  <si>
    <t xml:space="preserve">           real 2010 total petrol price (pence/l)</t>
  </si>
  <si>
    <t xml:space="preserve">           real 2018 total petrol price (pence/l)</t>
  </si>
  <si>
    <t xml:space="preserve">           real 2010 landed oil price (yuan/b)</t>
  </si>
  <si>
    <t>tax (y/l)</t>
  </si>
  <si>
    <t xml:space="preserve">           real 2010 landed oil price (krone/b)</t>
  </si>
  <si>
    <t xml:space="preserve">      real 2010 energy cost of petrol (krone/l)</t>
  </si>
  <si>
    <t xml:space="preserve">           real 2010 total petrol price (krone/l)</t>
  </si>
  <si>
    <t>tax (k/l)</t>
  </si>
  <si>
    <t xml:space="preserve">           real 2010 landed oil price (forint/b)</t>
  </si>
  <si>
    <t xml:space="preserve">           real 2010 total petrol price (forint/l)</t>
  </si>
  <si>
    <t>real 2018 total petrol price (forint/l)</t>
  </si>
  <si>
    <t>tax (r/l)</t>
  </si>
  <si>
    <t>tax (f/l)</t>
  </si>
  <si>
    <t xml:space="preserve">   real 2018 total petrol price (euros/l)</t>
  </si>
  <si>
    <t xml:space="preserve">           real 2010 landed oil price (yen/b)</t>
  </si>
  <si>
    <t xml:space="preserve">      real 2010 energy cost of petrol (yen/l)</t>
  </si>
  <si>
    <t xml:space="preserve">           real 2010 total petrol price (yen/l)</t>
  </si>
  <si>
    <t xml:space="preserve">           real 2010 landed oil price (won/b)</t>
  </si>
  <si>
    <t xml:space="preserve">           real 2010 total petrol price (won/l)</t>
  </si>
  <si>
    <t>tax (w/l)</t>
  </si>
  <si>
    <t xml:space="preserve">           real 2010 landed oil price (NZ$/b)</t>
  </si>
  <si>
    <t xml:space="preserve">      real 2010 energy cost of petrol (NZ$/l)</t>
  </si>
  <si>
    <t>tax (NZ$/l)</t>
  </si>
  <si>
    <t xml:space="preserve">           real 2010 total petrol price (NZ$/l)</t>
  </si>
  <si>
    <t xml:space="preserve">           real 2017 total petrol price (NZ$/l)</t>
  </si>
  <si>
    <t xml:space="preserve">           real 2010 landed oil price (krona/b)</t>
  </si>
  <si>
    <t xml:space="preserve">           real 2010 landed oil price (francs/b)</t>
  </si>
  <si>
    <t xml:space="preserve">      real 2018 total petrol price (francs/l)</t>
  </si>
  <si>
    <t xml:space="preserve">           real 2017total petrol price (francs/l)</t>
  </si>
  <si>
    <t xml:space="preserve">             real 2010 WTI oil price (US$/b)</t>
  </si>
  <si>
    <t xml:space="preserve">           real 2010 WTI oil price (US$/b)</t>
  </si>
  <si>
    <t>Table 3a</t>
  </si>
  <si>
    <t>https://www.eia.gov/outlooks/steo/tables/pdf/3atab.pdf</t>
  </si>
  <si>
    <t xml:space="preserve">     real 2010 sales tax (pence/l)</t>
  </si>
  <si>
    <t xml:space="preserve">      real 2010 sales tax (euros/l)</t>
  </si>
  <si>
    <t>real 2010 sales tax (krone/l)</t>
  </si>
  <si>
    <t xml:space="preserve">     real 2010 total petrol price (krone/l)</t>
  </si>
  <si>
    <t xml:space="preserve">     real 2010 sales tax (euros/l)</t>
  </si>
  <si>
    <t xml:space="preserve">  real 2010 sales tax (euros/l)</t>
  </si>
  <si>
    <t xml:space="preserve">            real 2010 sales tax (euros/l)</t>
  </si>
  <si>
    <t xml:space="preserve">   real 2010 sales tax (euros/l)</t>
  </si>
  <si>
    <t>real 2010 energy cost of petrol (forint/l)</t>
  </si>
  <si>
    <t xml:space="preserve">        real 2010 sales tax (forint/l)</t>
  </si>
  <si>
    <t xml:space="preserve">   real 2010 landed oil price (rupees/b)</t>
  </si>
  <si>
    <t>real 2010 energy cost of petrol (rupees/l)</t>
  </si>
  <si>
    <t>real 2010 sales tax (rupees/l)</t>
  </si>
  <si>
    <t xml:space="preserve">        real 2010 total petrol price (rupees/l)</t>
  </si>
  <si>
    <t xml:space="preserve">          real 2010 sales tax (euros/l)</t>
  </si>
  <si>
    <t xml:space="preserve">          real 2010 sales tax (yen/l)</t>
  </si>
  <si>
    <t xml:space="preserve">    real 2010 energy cost of petrol (won/l)</t>
  </si>
  <si>
    <t xml:space="preserve">    real 2010 sales tax (won/l)</t>
  </si>
  <si>
    <t xml:space="preserve">           real 2010 sales tax (NZ$/l)</t>
  </si>
  <si>
    <t xml:space="preserve"> real 2010 energy cost of petrol (krone/l)</t>
  </si>
  <si>
    <t xml:space="preserve">      real 2010 sales tax (krone/l)</t>
  </si>
  <si>
    <t>real 2010 energy cost of petrol (krona/l)</t>
  </si>
  <si>
    <t xml:space="preserve">     real 2010 sales tax (krona/l)</t>
  </si>
  <si>
    <t xml:space="preserve">        real 2010 total petrol price (krona/l)</t>
  </si>
  <si>
    <t xml:space="preserve">        real 2018 total petrol price (krona/l)</t>
  </si>
  <si>
    <t>real 2010 energy cost of petrol (francs/l)</t>
  </si>
  <si>
    <t xml:space="preserve">        real 2010 sales tax (francs/l)</t>
  </si>
  <si>
    <t xml:space="preserve">       real 2010 total petrol price (francs/l)</t>
  </si>
  <si>
    <t xml:space="preserve">           real 2010 sales tax (c/l)</t>
  </si>
  <si>
    <t xml:space="preserve">       real 2018 total gasoline price (c/l)</t>
  </si>
  <si>
    <t>USA (per gallon)</t>
  </si>
  <si>
    <t xml:space="preserve"> Petrol/Oil elasticity</t>
  </si>
  <si>
    <t xml:space="preserve"> Fraction petrol price variable</t>
  </si>
  <si>
    <t>EIA Annual Energy Outlook 2018</t>
  </si>
  <si>
    <t xml:space="preserve">      real 2010 energy cost of petrol (c/gal)</t>
  </si>
  <si>
    <t>tax (c/gal)</t>
  </si>
  <si>
    <t xml:space="preserve">           real 2010 total petrol price (c/gal)</t>
  </si>
  <si>
    <t xml:space="preserve">       real 2018 total gasoline price (c/gal)</t>
  </si>
  <si>
    <t>real 2017 total petrol price ($/l)</t>
  </si>
  <si>
    <t xml:space="preserve">      real 2010 energy cost of petrol (yuan/l)</t>
  </si>
  <si>
    <t xml:space="preserve">           real 2010 total petrol price (yuan/l)</t>
  </si>
  <si>
    <t xml:space="preserve">      real 2010 sales tax (yuan/l)</t>
  </si>
  <si>
    <t xml:space="preserve">           real 2018 total petrol price (yuan/l)</t>
  </si>
  <si>
    <t>lead prod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</si>
</sst>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000"/>
    <numFmt numFmtId="165" formatCode="0.000"/>
    <numFmt numFmtId="166" formatCode="0.0"/>
    <numFmt numFmtId="167" formatCode="0.000000"/>
    <numFmt numFmtId="168" formatCode="0.0000000"/>
    <numFmt numFmtId="169" formatCode="0.00000000"/>
    <numFmt numFmtId="170" formatCode="0.000000000"/>
    <numFmt numFmtId="171" formatCode="0.0000000000"/>
    <numFmt numFmtId="172" formatCode="0.000000000000"/>
    <numFmt numFmtId="173" formatCode="0.00000"/>
    <numFmt numFmtId="174" formatCode="0.0%"/>
    <numFmt numFmtId="175" formatCode="dd/mm/yy"/>
    <numFmt numFmtId="176" formatCode="#,##0.00000"/>
  </numFmts>
  <fonts count="15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indexed="16"/>
      <name val="Times New Roman"/>
      <family val="1"/>
    </font>
    <font>
      <b/>
      <sz val="8"/>
      <color indexed="16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4"/>
      <color rgb="FFFFFFFF"/>
      <name val="Arial"/>
      <family val="2"/>
    </font>
    <font>
      <sz val="11"/>
      <color rgb="FF666666"/>
      <name val="Arial"/>
      <family val="2"/>
    </font>
    <font>
      <sz val="12"/>
      <color theme="1"/>
      <name val="Arial"/>
      <family val="2"/>
    </font>
    <font>
      <i/>
      <sz val="14"/>
      <color rgb="FF545454"/>
      <name val="Arial"/>
      <family val="2"/>
    </font>
    <font>
      <sz val="11"/>
      <color rgb="FF2B2B2B"/>
      <name val="Inherit"/>
    </font>
    <font>
      <b/>
      <sz val="11"/>
      <color rgb="FF2B2B2B"/>
      <name val="Inherit"/>
    </font>
    <font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A3359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AE9F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A5EF01"/>
        <bgColor indexed="64"/>
      </patternFill>
    </fill>
    <fill>
      <patternFill patternType="solid">
        <fgColor rgb="FFB10F0F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rgb="FFDDDDDD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78">
    <xf numFmtId="0" fontId="0" fillId="0" borderId="0" xfId="0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6" fontId="0" fillId="2" borderId="0" xfId="0" applyNumberFormat="1" applyFill="1"/>
    <xf numFmtId="2" fontId="0" fillId="2" borderId="0" xfId="0" applyNumberFormat="1" applyFill="1"/>
    <xf numFmtId="2" fontId="0" fillId="0" borderId="0" xfId="0" applyNumberFormat="1" applyFill="1"/>
    <xf numFmtId="0" fontId="0" fillId="2" borderId="0" xfId="0" applyFill="1"/>
    <xf numFmtId="1" fontId="0" fillId="0" borderId="0" xfId="0" applyNumberFormat="1"/>
    <xf numFmtId="0" fontId="0" fillId="4" borderId="0" xfId="0" applyFill="1"/>
    <xf numFmtId="2" fontId="0" fillId="4" borderId="0" xfId="0" applyNumberFormat="1" applyFill="1"/>
    <xf numFmtId="0" fontId="0" fillId="0" borderId="0" xfId="0" applyFill="1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Continuous"/>
    </xf>
    <xf numFmtId="2" fontId="0" fillId="0" borderId="0" xfId="0" applyNumberFormat="1" applyBorder="1"/>
    <xf numFmtId="0" fontId="1" fillId="0" borderId="0" xfId="0" applyFont="1" applyFill="1" applyBorder="1" applyAlignment="1">
      <alignment horizontal="center"/>
    </xf>
    <xf numFmtId="164" fontId="0" fillId="3" borderId="0" xfId="0" applyNumberFormat="1" applyFill="1"/>
    <xf numFmtId="166" fontId="0" fillId="3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0" fillId="5" borderId="0" xfId="0" applyFill="1"/>
    <xf numFmtId="2" fontId="0" fillId="5" borderId="0" xfId="0" applyNumberFormat="1" applyFill="1"/>
    <xf numFmtId="0" fontId="0" fillId="0" borderId="0" xfId="0" applyBorder="1"/>
    <xf numFmtId="0" fontId="0" fillId="3" borderId="0" xfId="0" applyFill="1"/>
    <xf numFmtId="166" fontId="0" fillId="5" borderId="0" xfId="0" applyNumberFormat="1" applyFill="1"/>
    <xf numFmtId="0" fontId="0" fillId="5" borderId="0" xfId="0" applyFill="1" applyBorder="1" applyAlignment="1"/>
    <xf numFmtId="0" fontId="0" fillId="6" borderId="0" xfId="0" applyFill="1"/>
    <xf numFmtId="2" fontId="0" fillId="3" borderId="0" xfId="0" applyNumberFormat="1" applyFill="1"/>
    <xf numFmtId="2" fontId="0" fillId="0" borderId="0" xfId="0" applyNumberFormat="1" applyFill="1" applyBorder="1" applyAlignment="1"/>
    <xf numFmtId="165" fontId="0" fillId="0" borderId="0" xfId="0" applyNumberFormat="1" applyFill="1"/>
    <xf numFmtId="0" fontId="0" fillId="7" borderId="0" xfId="0" applyFill="1"/>
    <xf numFmtId="165" fontId="0" fillId="7" borderId="0" xfId="0" applyNumberFormat="1" applyFill="1"/>
    <xf numFmtId="2" fontId="0" fillId="6" borderId="0" xfId="0" applyNumberFormat="1" applyFill="1"/>
    <xf numFmtId="2" fontId="0" fillId="7" borderId="0" xfId="0" applyNumberFormat="1" applyFill="1"/>
    <xf numFmtId="165" fontId="0" fillId="5" borderId="0" xfId="0" applyNumberFormat="1" applyFill="1"/>
    <xf numFmtId="165" fontId="0" fillId="3" borderId="0" xfId="0" applyNumberFormat="1" applyFill="1"/>
    <xf numFmtId="165" fontId="0" fillId="2" borderId="0" xfId="0" applyNumberFormat="1" applyFill="1"/>
    <xf numFmtId="165" fontId="0" fillId="0" borderId="0" xfId="0" applyNumberFormat="1" applyFill="1" applyBorder="1" applyAlignment="1"/>
    <xf numFmtId="165" fontId="0" fillId="6" borderId="0" xfId="0" applyNumberFormat="1" applyFill="1"/>
    <xf numFmtId="165" fontId="0" fillId="5" borderId="0" xfId="0" applyNumberFormat="1" applyFill="1" applyBorder="1" applyAlignment="1"/>
    <xf numFmtId="2" fontId="0" fillId="5" borderId="0" xfId="0" applyNumberFormat="1" applyFill="1" applyBorder="1" applyAlignment="1"/>
    <xf numFmtId="1" fontId="0" fillId="0" borderId="0" xfId="0" applyNumberFormat="1" applyFill="1"/>
    <xf numFmtId="1" fontId="0" fillId="5" borderId="0" xfId="0" applyNumberFormat="1" applyFill="1"/>
    <xf numFmtId="1" fontId="0" fillId="6" borderId="0" xfId="0" applyNumberFormat="1" applyFill="1"/>
    <xf numFmtId="1" fontId="0" fillId="3" borderId="0" xfId="0" applyNumberFormat="1" applyFill="1"/>
    <xf numFmtId="1" fontId="0" fillId="2" borderId="0" xfId="0" applyNumberFormat="1" applyFill="1"/>
    <xf numFmtId="165" fontId="0" fillId="0" borderId="1" xfId="0" applyNumberFormat="1" applyFill="1" applyBorder="1" applyAlignment="1"/>
    <xf numFmtId="164" fontId="0" fillId="2" borderId="0" xfId="0" applyNumberFormat="1" applyFill="1"/>
    <xf numFmtId="1" fontId="0" fillId="0" borderId="0" xfId="0" applyNumberFormat="1" applyFill="1" applyBorder="1" applyAlignment="1"/>
    <xf numFmtId="1" fontId="0" fillId="5" borderId="0" xfId="0" applyNumberFormat="1" applyFill="1" applyBorder="1" applyAlignment="1"/>
    <xf numFmtId="167" fontId="0" fillId="0" borderId="0" xfId="0" applyNumberFormat="1"/>
    <xf numFmtId="167" fontId="0" fillId="8" borderId="0" xfId="0" applyNumberFormat="1" applyFill="1"/>
    <xf numFmtId="168" fontId="0" fillId="0" borderId="0" xfId="0" applyNumberFormat="1"/>
    <xf numFmtId="168" fontId="0" fillId="5" borderId="0" xfId="0" applyNumberFormat="1" applyFill="1"/>
    <xf numFmtId="168" fontId="0" fillId="2" borderId="0" xfId="0" applyNumberFormat="1" applyFill="1"/>
    <xf numFmtId="169" fontId="0" fillId="0" borderId="0" xfId="0" applyNumberFormat="1"/>
    <xf numFmtId="169" fontId="0" fillId="5" borderId="0" xfId="0" applyNumberFormat="1" applyFill="1"/>
    <xf numFmtId="169" fontId="0" fillId="2" borderId="0" xfId="0" applyNumberFormat="1" applyFill="1"/>
    <xf numFmtId="168" fontId="0" fillId="3" borderId="0" xfId="0" applyNumberFormat="1" applyFill="1"/>
    <xf numFmtId="168" fontId="0" fillId="0" borderId="0" xfId="0" applyNumberFormat="1" applyFill="1"/>
    <xf numFmtId="168" fontId="0" fillId="6" borderId="0" xfId="0" applyNumberFormat="1" applyFill="1"/>
    <xf numFmtId="170" fontId="0" fillId="0" borderId="0" xfId="0" applyNumberFormat="1"/>
    <xf numFmtId="170" fontId="0" fillId="5" borderId="0" xfId="0" applyNumberFormat="1" applyFill="1"/>
    <xf numFmtId="164" fontId="0" fillId="5" borderId="0" xfId="0" applyNumberFormat="1" applyFill="1"/>
    <xf numFmtId="171" fontId="0" fillId="0" borderId="0" xfId="0" applyNumberFormat="1" applyFill="1"/>
    <xf numFmtId="172" fontId="0" fillId="0" borderId="0" xfId="0" applyNumberFormat="1"/>
    <xf numFmtId="173" fontId="0" fillId="0" borderId="0" xfId="0" applyNumberFormat="1"/>
    <xf numFmtId="167" fontId="0" fillId="0" borderId="0" xfId="0" applyNumberFormat="1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17" fontId="0" fillId="0" borderId="0" xfId="0" applyNumberFormat="1"/>
    <xf numFmtId="9" fontId="0" fillId="3" borderId="0" xfId="1" applyFont="1" applyFill="1"/>
    <xf numFmtId="1" fontId="0" fillId="2" borderId="0" xfId="0" applyNumberFormat="1" applyFill="1" applyAlignment="1">
      <alignment horizontal="right"/>
    </xf>
    <xf numFmtId="174" fontId="0" fillId="3" borderId="0" xfId="1" applyNumberFormat="1" applyFont="1" applyFill="1"/>
    <xf numFmtId="0" fontId="0" fillId="2" borderId="0" xfId="0" applyFill="1" applyBorder="1" applyAlignment="1"/>
    <xf numFmtId="0" fontId="0" fillId="0" borderId="0" xfId="0" applyFill="1" applyAlignment="1">
      <alignment horizontal="center"/>
    </xf>
    <xf numFmtId="0" fontId="3" fillId="0" borderId="0" xfId="2"/>
    <xf numFmtId="49" fontId="7" fillId="10" borderId="3" xfId="0" applyNumberFormat="1" applyFont="1" applyFill="1" applyBorder="1" applyAlignment="1">
      <alignment horizontal="center" vertical="center" wrapText="1"/>
    </xf>
    <xf numFmtId="175" fontId="7" fillId="11" borderId="3" xfId="0" applyNumberFormat="1" applyFont="1" applyFill="1" applyBorder="1" applyAlignment="1">
      <alignment horizontal="right" vertical="center"/>
    </xf>
    <xf numFmtId="49" fontId="4" fillId="11" borderId="4" xfId="0" applyNumberFormat="1" applyFont="1" applyFill="1" applyBorder="1" applyAlignment="1">
      <alignment horizontal="center" vertical="top" wrapText="1"/>
    </xf>
    <xf numFmtId="0" fontId="6" fillId="11" borderId="4" xfId="0" applyFont="1" applyFill="1" applyBorder="1" applyAlignment="1">
      <alignment horizontal="center" vertical="top" wrapText="1"/>
    </xf>
    <xf numFmtId="49" fontId="5" fillId="11" borderId="5" xfId="0" applyNumberFormat="1" applyFont="1" applyFill="1" applyBorder="1" applyAlignment="1">
      <alignment horizontal="center" vertical="center" wrapText="1"/>
    </xf>
    <xf numFmtId="49" fontId="4" fillId="11" borderId="5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0" fillId="0" borderId="1" xfId="0" applyNumberFormat="1" applyBorder="1"/>
    <xf numFmtId="176" fontId="7" fillId="11" borderId="3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right"/>
    </xf>
    <xf numFmtId="164" fontId="0" fillId="12" borderId="0" xfId="0" applyNumberFormat="1" applyFill="1"/>
    <xf numFmtId="2" fontId="0" fillId="13" borderId="0" xfId="0" applyNumberFormat="1" applyFill="1"/>
    <xf numFmtId="0" fontId="8" fillId="14" borderId="0" xfId="0" applyFont="1" applyFill="1" applyAlignment="1">
      <alignment horizontal="center" vertical="center" wrapText="1"/>
    </xf>
    <xf numFmtId="0" fontId="8" fillId="15" borderId="0" xfId="0" applyFont="1" applyFill="1" applyAlignment="1">
      <alignment horizontal="center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6" borderId="6" xfId="0" applyFont="1" applyFill="1" applyBorder="1" applyAlignment="1">
      <alignment horizontal="left" vertical="center" wrapText="1"/>
    </xf>
    <xf numFmtId="0" fontId="3" fillId="0" borderId="0" xfId="2" applyAlignment="1">
      <alignment vertical="center"/>
    </xf>
    <xf numFmtId="2" fontId="0" fillId="17" borderId="0" xfId="0" applyNumberFormat="1" applyFill="1"/>
    <xf numFmtId="164" fontId="0" fillId="18" borderId="0" xfId="0" applyNumberFormat="1" applyFill="1"/>
    <xf numFmtId="2" fontId="0" fillId="19" borderId="0" xfId="0" applyNumberFormat="1" applyFill="1"/>
    <xf numFmtId="2" fontId="0" fillId="20" borderId="0" xfId="0" applyNumberFormat="1" applyFill="1"/>
    <xf numFmtId="2" fontId="0" fillId="21" borderId="0" xfId="0" applyNumberFormat="1" applyFill="1"/>
    <xf numFmtId="2" fontId="0" fillId="22" borderId="0" xfId="0" applyNumberFormat="1" applyFill="1"/>
    <xf numFmtId="165" fontId="0" fillId="23" borderId="0" xfId="0" applyNumberFormat="1" applyFill="1"/>
    <xf numFmtId="164" fontId="0" fillId="24" borderId="0" xfId="0" applyNumberFormat="1" applyFill="1"/>
    <xf numFmtId="9" fontId="0" fillId="0" borderId="0" xfId="0" applyNumberFormat="1"/>
    <xf numFmtId="0" fontId="0" fillId="25" borderId="0" xfId="0" applyFill="1"/>
    <xf numFmtId="2" fontId="0" fillId="25" borderId="0" xfId="0" applyNumberFormat="1" applyFill="1"/>
    <xf numFmtId="0" fontId="10" fillId="0" borderId="0" xfId="0" applyFont="1"/>
    <xf numFmtId="0" fontId="11" fillId="0" borderId="0" xfId="0" applyFont="1" applyAlignment="1">
      <alignment horizontal="left" vertical="center"/>
    </xf>
    <xf numFmtId="0" fontId="0" fillId="0" borderId="0" xfId="0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/>
    <xf numFmtId="165" fontId="0" fillId="0" borderId="0" xfId="0" applyNumberFormat="1" applyFill="1" applyBorder="1"/>
    <xf numFmtId="17" fontId="0" fillId="0" borderId="0" xfId="0" applyNumberFormat="1" applyFill="1" applyBorder="1"/>
    <xf numFmtId="0" fontId="0" fillId="2" borderId="0" xfId="0" applyFill="1" applyAlignment="1">
      <alignment horizontal="right"/>
    </xf>
    <xf numFmtId="0" fontId="13" fillId="26" borderId="0" xfId="0" applyFont="1" applyFill="1" applyAlignment="1">
      <alignment horizontal="left" vertical="center" wrapText="1"/>
    </xf>
    <xf numFmtId="0" fontId="12" fillId="26" borderId="0" xfId="0" applyFont="1" applyFill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0" fillId="27" borderId="0" xfId="0" applyFill="1"/>
    <xf numFmtId="2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2" fontId="0" fillId="0" borderId="7" xfId="0" applyNumberFormat="1" applyBorder="1"/>
    <xf numFmtId="2" fontId="0" fillId="0" borderId="7" xfId="0" applyNumberFormat="1" applyFill="1" applyBorder="1"/>
    <xf numFmtId="0" fontId="0" fillId="28" borderId="0" xfId="0" applyFill="1"/>
    <xf numFmtId="0" fontId="0" fillId="27" borderId="0" xfId="0" applyFill="1" applyAlignment="1">
      <alignment horizontal="center"/>
    </xf>
    <xf numFmtId="9" fontId="0" fillId="27" borderId="0" xfId="0" applyNumberFormat="1" applyFill="1"/>
    <xf numFmtId="166" fontId="0" fillId="27" borderId="0" xfId="0" applyNumberFormat="1" applyFill="1"/>
    <xf numFmtId="2" fontId="0" fillId="2" borderId="7" xfId="0" applyNumberFormat="1" applyFill="1" applyBorder="1"/>
    <xf numFmtId="0" fontId="0" fillId="0" borderId="7" xfId="0" applyBorder="1"/>
    <xf numFmtId="1" fontId="0" fillId="6" borderId="0" xfId="0" quotePrefix="1" applyNumberFormat="1" applyFill="1"/>
    <xf numFmtId="1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5" borderId="0" xfId="0" applyNumberFormat="1" applyFill="1" applyBorder="1"/>
    <xf numFmtId="1" fontId="0" fillId="0" borderId="0" xfId="0" applyNumberFormat="1" applyBorder="1"/>
    <xf numFmtId="165" fontId="14" fillId="0" borderId="0" xfId="0" applyNumberFormat="1" applyFont="1"/>
    <xf numFmtId="165" fontId="0" fillId="0" borderId="7" xfId="0" applyNumberFormat="1" applyFill="1" applyBorder="1"/>
    <xf numFmtId="2" fontId="14" fillId="0" borderId="0" xfId="0" applyNumberFormat="1" applyFont="1" applyFill="1"/>
    <xf numFmtId="2" fontId="14" fillId="2" borderId="0" xfId="0" applyNumberFormat="1" applyFont="1" applyFill="1"/>
    <xf numFmtId="164" fontId="0" fillId="0" borderId="7" xfId="0" applyNumberFormat="1" applyFill="1" applyBorder="1"/>
    <xf numFmtId="165" fontId="0" fillId="0" borderId="7" xfId="0" applyNumberFormat="1" applyBorder="1"/>
    <xf numFmtId="1" fontId="0" fillId="0" borderId="7" xfId="0" applyNumberFormat="1" applyFill="1" applyBorder="1"/>
    <xf numFmtId="0" fontId="0" fillId="0" borderId="7" xfId="0" applyFill="1" applyBorder="1"/>
    <xf numFmtId="166" fontId="0" fillId="0" borderId="7" xfId="0" applyNumberFormat="1" applyFill="1" applyBorder="1"/>
    <xf numFmtId="1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right"/>
    </xf>
    <xf numFmtId="1" fontId="0" fillId="0" borderId="0" xfId="0" quotePrefix="1" applyNumberFormat="1" applyFill="1" applyAlignment="1">
      <alignment horizontal="right"/>
    </xf>
    <xf numFmtId="0" fontId="0" fillId="23" borderId="0" xfId="0" applyFill="1" applyBorder="1" applyAlignment="1"/>
    <xf numFmtId="2" fontId="0" fillId="18" borderId="0" xfId="0" applyNumberFormat="1" applyFill="1"/>
    <xf numFmtId="0" fontId="0" fillId="18" borderId="0" xfId="0" applyFill="1"/>
    <xf numFmtId="165" fontId="0" fillId="0" borderId="0" xfId="0" quotePrefix="1" applyNumberFormat="1" applyFill="1"/>
    <xf numFmtId="0" fontId="0" fillId="4" borderId="0" xfId="0" applyFill="1" applyAlignment="1">
      <alignment horizontal="center"/>
    </xf>
    <xf numFmtId="0" fontId="0" fillId="27" borderId="0" xfId="0" applyFill="1" applyAlignment="1"/>
    <xf numFmtId="0" fontId="0" fillId="3" borderId="0" xfId="0" applyFill="1" applyAlignment="1"/>
    <xf numFmtId="0" fontId="0" fillId="23" borderId="0" xfId="0" applyFill="1" applyAlignment="1">
      <alignment horizontal="center"/>
    </xf>
    <xf numFmtId="2" fontId="0" fillId="27" borderId="0" xfId="0" applyNumberFormat="1" applyFill="1" applyAlignment="1"/>
    <xf numFmtId="2" fontId="0" fillId="3" borderId="0" xfId="0" applyNumberFormat="1" applyFill="1" applyAlignment="1">
      <alignment horizontal="right"/>
    </xf>
    <xf numFmtId="2" fontId="0" fillId="4" borderId="0" xfId="0" applyNumberFormat="1" applyFill="1" applyAlignment="1">
      <alignment horizontal="center"/>
    </xf>
    <xf numFmtId="166" fontId="0" fillId="0" borderId="7" xfId="0" applyNumberFormat="1" applyBorder="1"/>
    <xf numFmtId="1" fontId="0" fillId="0" borderId="7" xfId="0" applyNumberFormat="1" applyBorder="1"/>
    <xf numFmtId="0" fontId="0" fillId="22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166" fontId="0" fillId="22" borderId="0" xfId="0" applyNumberFormat="1" applyFill="1" applyAlignment="1">
      <alignment horizontal="center"/>
    </xf>
    <xf numFmtId="2" fontId="0" fillId="22" borderId="0" xfId="0" applyNumberFormat="1" applyFill="1" applyAlignment="1">
      <alignment horizontal="center"/>
    </xf>
    <xf numFmtId="173" fontId="0" fillId="0" borderId="0" xfId="0" applyNumberFormat="1" applyFill="1"/>
    <xf numFmtId="165" fontId="0" fillId="0" borderId="0" xfId="0" applyNumberFormat="1" applyAlignment="1">
      <alignment horizontal="center"/>
    </xf>
    <xf numFmtId="2" fontId="0" fillId="29" borderId="0" xfId="0" applyNumberFormat="1" applyFill="1"/>
    <xf numFmtId="0" fontId="0" fillId="29" borderId="0" xfId="0" applyFill="1"/>
    <xf numFmtId="0" fontId="0" fillId="0" borderId="1" xfId="0" applyBorder="1"/>
    <xf numFmtId="0" fontId="0" fillId="14" borderId="0" xfId="0" applyFill="1" applyAlignment="1">
      <alignment vertic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B10F0F"/>
      <color rgb="FFFF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'World Oil Price analysis'!$BA$4</c:f>
              <c:strCache>
                <c:ptCount val="1"/>
                <c:pt idx="0">
                  <c:v>Stock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analysis'!$AY$23:$AY$59</c:f>
              <c:numCache>
                <c:formatCode>General</c:formatCode>
                <c:ptCount val="37"/>
                <c:pt idx="0">
                  <c:v>1983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'World Oil Price analysis'!$BA$23:$BA$59</c:f>
              <c:numCache>
                <c:formatCode>0.00</c:formatCode>
                <c:ptCount val="37"/>
                <c:pt idx="0">
                  <c:v>4.543587500000001</c:v>
                </c:pt>
                <c:pt idx="1">
                  <c:v>4.4158375000000012</c:v>
                </c:pt>
                <c:pt idx="2">
                  <c:v>4.2972125000000014</c:v>
                </c:pt>
                <c:pt idx="3">
                  <c:v>4.4249625000000012</c:v>
                </c:pt>
                <c:pt idx="4">
                  <c:v>4.456900000000001</c:v>
                </c:pt>
                <c:pt idx="5">
                  <c:v>4.5919500000000006</c:v>
                </c:pt>
                <c:pt idx="6">
                  <c:v>4.664950000000001</c:v>
                </c:pt>
                <c:pt idx="7">
                  <c:v>4.8748250000000013</c:v>
                </c:pt>
                <c:pt idx="8">
                  <c:v>4.8939875000000015</c:v>
                </c:pt>
                <c:pt idx="9">
                  <c:v>4.9669875000000019</c:v>
                </c:pt>
                <c:pt idx="10">
                  <c:v>5.0774000000000017</c:v>
                </c:pt>
                <c:pt idx="11">
                  <c:v>5.141275000000002</c:v>
                </c:pt>
                <c:pt idx="12">
                  <c:v>5.0317750000000023</c:v>
                </c:pt>
                <c:pt idx="13">
                  <c:v>5.0317750000000023</c:v>
                </c:pt>
                <c:pt idx="14">
                  <c:v>5.305525000000002</c:v>
                </c:pt>
                <c:pt idx="15">
                  <c:v>5.5975250000000019</c:v>
                </c:pt>
                <c:pt idx="16">
                  <c:v>5.3329000000000022</c:v>
                </c:pt>
                <c:pt idx="17">
                  <c:v>5.7982750000000021</c:v>
                </c:pt>
                <c:pt idx="18">
                  <c:v>6.0537750000000017</c:v>
                </c:pt>
                <c:pt idx="19">
                  <c:v>5.8347750000000014</c:v>
                </c:pt>
                <c:pt idx="20">
                  <c:v>5.8347750000000014</c:v>
                </c:pt>
                <c:pt idx="21">
                  <c:v>6.0172750000000015</c:v>
                </c:pt>
                <c:pt idx="22">
                  <c:v>6.0446500000000016</c:v>
                </c:pt>
                <c:pt idx="23">
                  <c:v>6.0629000000000017</c:v>
                </c:pt>
                <c:pt idx="24">
                  <c:v>5.5601125000000016</c:v>
                </c:pt>
                <c:pt idx="25">
                  <c:v>5.5354750000000017</c:v>
                </c:pt>
                <c:pt idx="26">
                  <c:v>5.5400375000000013</c:v>
                </c:pt>
                <c:pt idx="27">
                  <c:v>5.5774500000000016</c:v>
                </c:pt>
                <c:pt idx="28">
                  <c:v>5.1513125000000013</c:v>
                </c:pt>
                <c:pt idx="29">
                  <c:v>5.286362500000001</c:v>
                </c:pt>
                <c:pt idx="30">
                  <c:v>5.1348875000000005</c:v>
                </c:pt>
                <c:pt idx="31">
                  <c:v>5.4679500000000001</c:v>
                </c:pt>
                <c:pt idx="32">
                  <c:v>6.1386374999999997</c:v>
                </c:pt>
                <c:pt idx="33" formatCode="General">
                  <c:v>6.26</c:v>
                </c:pt>
                <c:pt idx="34">
                  <c:v>6.0765874999999996</c:v>
                </c:pt>
                <c:pt idx="35">
                  <c:v>6.2262374999999999</c:v>
                </c:pt>
                <c:pt idx="36">
                  <c:v>6.3138375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A-4B3D-B538-04823AA47F50}"/>
            </c:ext>
          </c:extLst>
        </c:ser>
        <c:ser>
          <c:idx val="1"/>
          <c:order val="1"/>
          <c:tx>
            <c:strRef>
              <c:f>'World Oil Price analysis'!$BB$4</c:f>
              <c:strCache>
                <c:ptCount val="1"/>
                <c:pt idx="0">
                  <c:v>Trend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analysis'!$AY$23:$AY$59</c:f>
              <c:numCache>
                <c:formatCode>General</c:formatCode>
                <c:ptCount val="37"/>
                <c:pt idx="0">
                  <c:v>1983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'World Oil Price analysis'!$BB$23:$BB$59</c:f>
              <c:numCache>
                <c:formatCode>General</c:formatCode>
                <c:ptCount val="37"/>
                <c:pt idx="2" formatCode="0.00">
                  <c:v>4.3</c:v>
                </c:pt>
                <c:pt idx="3" formatCode="0.00">
                  <c:v>4.3965117008782961</c:v>
                </c:pt>
                <c:pt idx="4" formatCode="0.00">
                  <c:v>4.4930234017565924</c:v>
                </c:pt>
                <c:pt idx="5" formatCode="0.00">
                  <c:v>4.5895351026348887</c:v>
                </c:pt>
                <c:pt idx="6" formatCode="0.00">
                  <c:v>4.686046803513185</c:v>
                </c:pt>
                <c:pt idx="7" formatCode="0.00">
                  <c:v>4.7825585043914813</c:v>
                </c:pt>
                <c:pt idx="8" formatCode="0.00">
                  <c:v>4.8790702052697776</c:v>
                </c:pt>
                <c:pt idx="9" formatCode="0.00">
                  <c:v>4.9755819061480739</c:v>
                </c:pt>
                <c:pt idx="10" formatCode="0.00">
                  <c:v>5.0720936070263702</c:v>
                </c:pt>
                <c:pt idx="11" formatCode="0.00">
                  <c:v>5.1686053079046665</c:v>
                </c:pt>
                <c:pt idx="12" formatCode="0.00">
                  <c:v>5.2651170087829628</c:v>
                </c:pt>
                <c:pt idx="13" formatCode="0.00">
                  <c:v>5.3616287096612592</c:v>
                </c:pt>
                <c:pt idx="14" formatCode="0.00">
                  <c:v>5.4581404105395555</c:v>
                </c:pt>
                <c:pt idx="15" formatCode="0.00">
                  <c:v>5.5546521114178518</c:v>
                </c:pt>
                <c:pt idx="16" formatCode="0.00">
                  <c:v>5.6511638122961481</c:v>
                </c:pt>
                <c:pt idx="17" formatCode="0.00">
                  <c:v>5.7476755131744444</c:v>
                </c:pt>
                <c:pt idx="18" formatCode="0.00">
                  <c:v>5.8441872140527407</c:v>
                </c:pt>
                <c:pt idx="19" formatCode="0.00">
                  <c:v>5.940698914931037</c:v>
                </c:pt>
                <c:pt idx="20" formatCode="0.00">
                  <c:v>6.0372106158093333</c:v>
                </c:pt>
                <c:pt idx="21" formatCode="0.00">
                  <c:v>6.1337223166876296</c:v>
                </c:pt>
                <c:pt idx="22" formatCode="0.00">
                  <c:v>6.2302340175659259</c:v>
                </c:pt>
                <c:pt idx="23" formatCode="0.00">
                  <c:v>6.3267457184442222</c:v>
                </c:pt>
                <c:pt idx="24" formatCode="0.00">
                  <c:v>6.4232574193225185</c:v>
                </c:pt>
                <c:pt idx="25" formatCode="0.00">
                  <c:v>6.5197691202008148</c:v>
                </c:pt>
                <c:pt idx="26" formatCode="0.00">
                  <c:v>6.6162808210791173</c:v>
                </c:pt>
                <c:pt idx="27" formatCode="0.00">
                  <c:v>6.6162808210791173</c:v>
                </c:pt>
                <c:pt idx="28" formatCode="0.00">
                  <c:v>6.6162808210791173</c:v>
                </c:pt>
                <c:pt idx="29" formatCode="0.00">
                  <c:v>6.6162808210791173</c:v>
                </c:pt>
                <c:pt idx="30" formatCode="0.00">
                  <c:v>6.6162808210791173</c:v>
                </c:pt>
                <c:pt idx="31" formatCode="0.00">
                  <c:v>6.6162808210791173</c:v>
                </c:pt>
                <c:pt idx="32" formatCode="0.00">
                  <c:v>6.6162808210791173</c:v>
                </c:pt>
                <c:pt idx="33" formatCode="0.00">
                  <c:v>6.6162808210791173</c:v>
                </c:pt>
                <c:pt idx="34" formatCode="0.00">
                  <c:v>6.6162808210791173</c:v>
                </c:pt>
                <c:pt idx="35" formatCode="0.00">
                  <c:v>6.6162808210791173</c:v>
                </c:pt>
                <c:pt idx="36" formatCode="0.00">
                  <c:v>6.6162808210791173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A-4B3D-B538-04823AA47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153520"/>
        <c:axId val="947152536"/>
      </c:lineChart>
      <c:catAx>
        <c:axId val="94715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152536"/>
        <c:crosses val="autoZero"/>
        <c:auto val="1"/>
        <c:lblAlgn val="ctr"/>
        <c:lblOffset val="100"/>
        <c:noMultiLvlLbl val="0"/>
      </c:catAx>
      <c:valAx>
        <c:axId val="947152536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15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DRAG</c:v>
          </c:tx>
          <c:marker>
            <c:symbol val="none"/>
          </c:marker>
          <c:val>
            <c:numRef>
              <c:f>Australia!$H$44:$H$89</c:f>
              <c:numCache>
                <c:formatCode>0.00</c:formatCode>
                <c:ptCount val="46"/>
                <c:pt idx="0">
                  <c:v>7.8997646875200882</c:v>
                </c:pt>
                <c:pt idx="1">
                  <c:v>7.9975485933657167</c:v>
                </c:pt>
                <c:pt idx="2">
                  <c:v>8.4496596946436711</c:v>
                </c:pt>
                <c:pt idx="3">
                  <c:v>8.4496683455494015</c:v>
                </c:pt>
                <c:pt idx="4">
                  <c:v>8.5509430827855066</c:v>
                </c:pt>
                <c:pt idx="5">
                  <c:v>9.3750056937667043</c:v>
                </c:pt>
                <c:pt idx="6">
                  <c:v>9.7976476413361269</c:v>
                </c:pt>
                <c:pt idx="7">
                  <c:v>9.9637255356884662</c:v>
                </c:pt>
                <c:pt idx="8">
                  <c:v>10.130353801488065</c:v>
                </c:pt>
                <c:pt idx="9">
                  <c:v>10.199187161288116</c:v>
                </c:pt>
                <c:pt idx="10">
                  <c:v>10.724745431526385</c:v>
                </c:pt>
                <c:pt idx="11">
                  <c:v>13.099096577564401</c:v>
                </c:pt>
                <c:pt idx="12">
                  <c:v>15.822516868161566</c:v>
                </c:pt>
                <c:pt idx="13">
                  <c:v>18.434224058938295</c:v>
                </c:pt>
                <c:pt idx="14">
                  <c:v>24.960229900713969</c:v>
                </c:pt>
                <c:pt idx="15">
                  <c:v>30.475063654536594</c:v>
                </c:pt>
                <c:pt idx="16">
                  <c:v>35.504763777388966</c:v>
                </c:pt>
                <c:pt idx="17">
                  <c:v>38.842989072687338</c:v>
                </c:pt>
                <c:pt idx="18">
                  <c:v>43.734625229955377</c:v>
                </c:pt>
                <c:pt idx="19">
                  <c:v>47.403998552413896</c:v>
                </c:pt>
                <c:pt idx="20">
                  <c:v>52.550536035116849</c:v>
                </c:pt>
                <c:pt idx="21">
                  <c:v>52.059915530074647</c:v>
                </c:pt>
                <c:pt idx="22">
                  <c:v>54.413670335904747</c:v>
                </c:pt>
                <c:pt idx="23">
                  <c:v>53.116224846653665</c:v>
                </c:pt>
                <c:pt idx="24">
                  <c:v>55.51576858636372</c:v>
                </c:pt>
                <c:pt idx="25">
                  <c:v>78.349447799111871</c:v>
                </c:pt>
                <c:pt idx="26">
                  <c:v>66.498501661041814</c:v>
                </c:pt>
                <c:pt idx="27">
                  <c:v>67.94625098834868</c:v>
                </c:pt>
                <c:pt idx="28">
                  <c:v>67.351657723048618</c:v>
                </c:pt>
                <c:pt idx="29">
                  <c:v>66.609415653151331</c:v>
                </c:pt>
                <c:pt idx="30">
                  <c:v>69.340270500000003</c:v>
                </c:pt>
                <c:pt idx="31">
                  <c:v>71.560382643119624</c:v>
                </c:pt>
                <c:pt idx="32">
                  <c:v>73.027982234896442</c:v>
                </c:pt>
                <c:pt idx="33">
                  <c:v>68.448538375796005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9-408C-A91D-320C79A4E1AB}"/>
            </c:ext>
          </c:extLst>
        </c:ser>
        <c:ser>
          <c:idx val="1"/>
          <c:order val="1"/>
          <c:tx>
            <c:v>BITRE</c:v>
          </c:tx>
          <c:marker>
            <c:symbol val="none"/>
          </c:marker>
          <c:val>
            <c:numRef>
              <c:f>Australia!$I$44:$I$89</c:f>
              <c:numCache>
                <c:formatCode>0.00</c:formatCode>
                <c:ptCount val="46"/>
                <c:pt idx="0">
                  <c:v>7.6689999999999996</c:v>
                </c:pt>
                <c:pt idx="1">
                  <c:v>8.0719999999999992</c:v>
                </c:pt>
                <c:pt idx="2">
                  <c:v>8.3640000000000008</c:v>
                </c:pt>
                <c:pt idx="3">
                  <c:v>8.5229999999999997</c:v>
                </c:pt>
                <c:pt idx="4">
                  <c:v>8.6349999999999998</c:v>
                </c:pt>
                <c:pt idx="5">
                  <c:v>9.1460000000000008</c:v>
                </c:pt>
                <c:pt idx="6">
                  <c:v>9.8219999999999992</c:v>
                </c:pt>
                <c:pt idx="7">
                  <c:v>10.098000000000001</c:v>
                </c:pt>
                <c:pt idx="8">
                  <c:v>10.942</c:v>
                </c:pt>
                <c:pt idx="9">
                  <c:v>12.89</c:v>
                </c:pt>
                <c:pt idx="10">
                  <c:v>15.275</c:v>
                </c:pt>
                <c:pt idx="11">
                  <c:v>16.635999999999999</c:v>
                </c:pt>
                <c:pt idx="12">
                  <c:v>17.611999999999998</c:v>
                </c:pt>
                <c:pt idx="13">
                  <c:v>19.684000000000001</c:v>
                </c:pt>
                <c:pt idx="14">
                  <c:v>26.823</c:v>
                </c:pt>
                <c:pt idx="15">
                  <c:v>32.064999999999998</c:v>
                </c:pt>
                <c:pt idx="16">
                  <c:v>35.494</c:v>
                </c:pt>
                <c:pt idx="17">
                  <c:v>38.956000000000003</c:v>
                </c:pt>
                <c:pt idx="18">
                  <c:v>43.725000000000001</c:v>
                </c:pt>
                <c:pt idx="19">
                  <c:v>47.512</c:v>
                </c:pt>
                <c:pt idx="20">
                  <c:v>52.628999999999998</c:v>
                </c:pt>
                <c:pt idx="21">
                  <c:v>52.069000000000003</c:v>
                </c:pt>
                <c:pt idx="22">
                  <c:v>54.905999999999999</c:v>
                </c:pt>
                <c:pt idx="23">
                  <c:v>53.226999999999997</c:v>
                </c:pt>
                <c:pt idx="24">
                  <c:v>55.551000000000002</c:v>
                </c:pt>
                <c:pt idx="25">
                  <c:v>68.049000000000007</c:v>
                </c:pt>
                <c:pt idx="26">
                  <c:v>66.466999999999999</c:v>
                </c:pt>
                <c:pt idx="27">
                  <c:v>67.710999999999999</c:v>
                </c:pt>
                <c:pt idx="28">
                  <c:v>67.451999999999998</c:v>
                </c:pt>
                <c:pt idx="29">
                  <c:v>66.744</c:v>
                </c:pt>
                <c:pt idx="30">
                  <c:v>69.28</c:v>
                </c:pt>
                <c:pt idx="31">
                  <c:v>71.045000000000002</c:v>
                </c:pt>
                <c:pt idx="32">
                  <c:v>72.337000000000003</c:v>
                </c:pt>
                <c:pt idx="33">
                  <c:v>68.409000000000006</c:v>
                </c:pt>
                <c:pt idx="34">
                  <c:v>70.662000000000006</c:v>
                </c:pt>
                <c:pt idx="35">
                  <c:v>87.221999999999994</c:v>
                </c:pt>
                <c:pt idx="36">
                  <c:v>87.063000000000002</c:v>
                </c:pt>
                <c:pt idx="37">
                  <c:v>85.84</c:v>
                </c:pt>
                <c:pt idx="38">
                  <c:v>89.72</c:v>
                </c:pt>
                <c:pt idx="39">
                  <c:v>97.22</c:v>
                </c:pt>
                <c:pt idx="40">
                  <c:v>110.38</c:v>
                </c:pt>
                <c:pt idx="41">
                  <c:v>124.24</c:v>
                </c:pt>
                <c:pt idx="42">
                  <c:v>124.29</c:v>
                </c:pt>
                <c:pt idx="43">
                  <c:v>141</c:v>
                </c:pt>
                <c:pt idx="44" formatCode="General">
                  <c:v>119.61</c:v>
                </c:pt>
                <c:pt idx="45">
                  <c:v>125.99446257199398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9-408C-A91D-320C79A4E1AB}"/>
            </c:ext>
          </c:extLst>
        </c:ser>
        <c:ser>
          <c:idx val="2"/>
          <c:order val="2"/>
          <c:tx>
            <c:v>IEA</c:v>
          </c:tx>
          <c:marker>
            <c:symbol val="none"/>
          </c:marker>
          <c:val>
            <c:numRef>
              <c:f>Australia!$K$44:$K$89</c:f>
              <c:numCache>
                <c:formatCode>General</c:formatCode>
                <c:ptCount val="46"/>
                <c:pt idx="0" formatCode="0.00">
                  <c:v>0</c:v>
                </c:pt>
                <c:pt idx="25" formatCode="0.0">
                  <c:v>66.16436852723605</c:v>
                </c:pt>
                <c:pt idx="26" formatCode="0.0">
                  <c:v>64.756616005379968</c:v>
                </c:pt>
                <c:pt idx="27" formatCode="0.0">
                  <c:v>66.105712172158704</c:v>
                </c:pt>
                <c:pt idx="28" formatCode="0.0">
                  <c:v>65.753774041694697</c:v>
                </c:pt>
                <c:pt idx="29" formatCode="0.0">
                  <c:v>65.636461331540019</c:v>
                </c:pt>
                <c:pt idx="30" formatCode="0.0">
                  <c:v>68.569279085406862</c:v>
                </c:pt>
                <c:pt idx="31" formatCode="0.0">
                  <c:v>70.387626092804311</c:v>
                </c:pt>
                <c:pt idx="32" formatCode="0.0">
                  <c:v>71.736722259583061</c:v>
                </c:pt>
                <c:pt idx="33" formatCode="0.0">
                  <c:v>68.041371889710817</c:v>
                </c:pt>
                <c:pt idx="34" formatCode="0.0">
                  <c:v>70.622251513113653</c:v>
                </c:pt>
                <c:pt idx="35">
                  <c:v>88.5</c:v>
                </c:pt>
                <c:pt idx="36">
                  <c:v>87.2</c:v>
                </c:pt>
                <c:pt idx="37">
                  <c:v>85.7</c:v>
                </c:pt>
                <c:pt idx="38">
                  <c:v>89.4</c:v>
                </c:pt>
                <c:pt idx="39">
                  <c:v>97.5</c:v>
                </c:pt>
                <c:pt idx="40">
                  <c:v>112</c:v>
                </c:pt>
                <c:pt idx="41">
                  <c:v>124.1</c:v>
                </c:pt>
                <c:pt idx="42">
                  <c:v>121.6</c:v>
                </c:pt>
                <c:pt idx="43">
                  <c:v>140.80000000000001</c:v>
                </c:pt>
                <c:pt idx="44">
                  <c:v>128.5</c:v>
                </c:pt>
                <c:pt idx="45">
                  <c:v>125.9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9-408C-A91D-320C79A4E1AB}"/>
            </c:ext>
          </c:extLst>
        </c:ser>
        <c:ser>
          <c:idx val="4"/>
          <c:order val="3"/>
          <c:tx>
            <c:v>GTZ</c:v>
          </c:tx>
          <c:marker>
            <c:symbol val="none"/>
          </c:marker>
          <c:val>
            <c:numRef>
              <c:f>Australia!$M$44:$M$89</c:f>
              <c:numCache>
                <c:formatCode>General</c:formatCode>
                <c:ptCount val="46"/>
                <c:pt idx="0" formatCode="0.00">
                  <c:v>0</c:v>
                </c:pt>
                <c:pt idx="33" formatCode="0.0">
                  <c:v>73.22410333333319</c:v>
                </c:pt>
                <c:pt idx="34" formatCode="0.0">
                  <c:v>79.822424999999996</c:v>
                </c:pt>
                <c:pt idx="35" formatCode="0.0">
                  <c:v>98.315120000000192</c:v>
                </c:pt>
                <c:pt idx="36" formatCode="0.0">
                  <c:v>103.43917374999999</c:v>
                </c:pt>
                <c:pt idx="37" formatCode="0.0">
                  <c:v>92.028125000000003</c:v>
                </c:pt>
                <c:pt idx="38" formatCode="0.0">
                  <c:v>104.07920625000023</c:v>
                </c:pt>
                <c:pt idx="39" formatCode="0.0">
                  <c:v>115.57896249999999</c:v>
                </c:pt>
                <c:pt idx="40" formatCode="0.0">
                  <c:v>116.54312666666637</c:v>
                </c:pt>
                <c:pt idx="41" formatCode="0.0">
                  <c:v>123.50152996650002</c:v>
                </c:pt>
                <c:pt idx="42" formatCode="0.0">
                  <c:v>127.27522125</c:v>
                </c:pt>
                <c:pt idx="43" formatCode="0.0">
                  <c:v>143.06139999999959</c:v>
                </c:pt>
                <c:pt idx="44" formatCode="0.0">
                  <c:v>128.218881008452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F9-408C-A91D-320C79A4E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050304"/>
        <c:axId val="106051840"/>
      </c:lineChart>
      <c:catAx>
        <c:axId val="10605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6051840"/>
        <c:crosses val="autoZero"/>
        <c:auto val="1"/>
        <c:lblAlgn val="ctr"/>
        <c:lblOffset val="100"/>
        <c:noMultiLvlLbl val="0"/>
      </c:catAx>
      <c:valAx>
        <c:axId val="10605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6050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0402213236858"/>
          <c:y val="3.4804136943697085E-2"/>
          <c:w val="0.8149442598261496"/>
          <c:h val="0.8380616098536272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Japan!$AY$44:$AY$97</c:f>
              <c:numCache>
                <c:formatCode>0.00</c:formatCode>
                <c:ptCount val="54"/>
                <c:pt idx="0">
                  <c:v>82.418845838221216</c:v>
                </c:pt>
                <c:pt idx="1">
                  <c:v>74.688317871815997</c:v>
                </c:pt>
                <c:pt idx="2">
                  <c:v>71.703801434632879</c:v>
                </c:pt>
                <c:pt idx="3">
                  <c:v>66.282584386237716</c:v>
                </c:pt>
                <c:pt idx="4">
                  <c:v>62.994026976339654</c:v>
                </c:pt>
                <c:pt idx="5">
                  <c:v>65.58450735991471</c:v>
                </c:pt>
                <c:pt idx="6">
                  <c:v>77.173413151328958</c:v>
                </c:pt>
                <c:pt idx="7">
                  <c:v>65.146277391982338</c:v>
                </c:pt>
                <c:pt idx="8">
                  <c:v>47.870633949626566</c:v>
                </c:pt>
                <c:pt idx="9">
                  <c:v>136.59369017973967</c:v>
                </c:pt>
                <c:pt idx="10">
                  <c:v>114.30822601193216</c:v>
                </c:pt>
                <c:pt idx="11">
                  <c:v>121.70110906639179</c:v>
                </c:pt>
                <c:pt idx="12">
                  <c:v>113.53635336802303</c:v>
                </c:pt>
                <c:pt idx="13">
                  <c:v>88.058510319958074</c:v>
                </c:pt>
                <c:pt idx="14">
                  <c:v>106.83266785580281</c:v>
                </c:pt>
                <c:pt idx="15">
                  <c:v>126.12214622913682</c:v>
                </c:pt>
                <c:pt idx="16">
                  <c:v>127.83417502087336</c:v>
                </c:pt>
                <c:pt idx="17">
                  <c:v>134.22450107412064</c:v>
                </c:pt>
                <c:pt idx="18">
                  <c:v>115.53057900397067</c:v>
                </c:pt>
                <c:pt idx="19">
                  <c:v>107.20217871753398</c:v>
                </c:pt>
                <c:pt idx="20">
                  <c:v>98.83251310564782</c:v>
                </c:pt>
                <c:pt idx="21">
                  <c:v>72.884810190875058</c:v>
                </c:pt>
                <c:pt idx="22">
                  <c:v>76.26063630336526</c:v>
                </c:pt>
                <c:pt idx="23">
                  <c:v>69.609172766076881</c:v>
                </c:pt>
                <c:pt idx="24">
                  <c:v>71.68046274531477</c:v>
                </c:pt>
                <c:pt idx="25">
                  <c:v>75.064589700900967</c:v>
                </c:pt>
                <c:pt idx="26">
                  <c:v>69.899142649747688</c:v>
                </c:pt>
                <c:pt idx="27">
                  <c:v>64.890164619500752</c:v>
                </c:pt>
                <c:pt idx="28">
                  <c:v>61.620683555805797</c:v>
                </c:pt>
                <c:pt idx="29">
                  <c:v>55.125393823380129</c:v>
                </c:pt>
                <c:pt idx="30">
                  <c:v>45.288219398373428</c:v>
                </c:pt>
                <c:pt idx="31">
                  <c:v>44.914774110728032</c:v>
                </c:pt>
                <c:pt idx="32">
                  <c:v>40.545151609780817</c:v>
                </c:pt>
                <c:pt idx="33">
                  <c:v>38.224900120836189</c:v>
                </c:pt>
                <c:pt idx="34">
                  <c:v>38.026330291872888</c:v>
                </c:pt>
                <c:pt idx="35">
                  <c:v>44.000384295806676</c:v>
                </c:pt>
                <c:pt idx="36">
                  <c:v>45.271657410329901</c:v>
                </c:pt>
                <c:pt idx="37">
                  <c:v>45.020091904895892</c:v>
                </c:pt>
                <c:pt idx="38">
                  <c:v>47.118845864062855</c:v>
                </c:pt>
                <c:pt idx="39">
                  <c:v>52.799062281959209</c:v>
                </c:pt>
                <c:pt idx="40">
                  <c:v>64.517782811504048</c:v>
                </c:pt>
                <c:pt idx="41">
                  <c:v>74.67764234858987</c:v>
                </c:pt>
                <c:pt idx="42">
                  <c:v>76.809591123989051</c:v>
                </c:pt>
                <c:pt idx="43">
                  <c:v>91.718253691693263</c:v>
                </c:pt>
                <c:pt idx="44">
                  <c:v>58.266787684152391</c:v>
                </c:pt>
                <c:pt idx="45">
                  <c:v>70.771428571428586</c:v>
                </c:pt>
                <c:pt idx="46">
                  <c:v>83.07153196182297</c:v>
                </c:pt>
                <c:pt idx="47">
                  <c:v>83.689556055725745</c:v>
                </c:pt>
                <c:pt idx="48">
                  <c:v>91.73972982725823</c:v>
                </c:pt>
                <c:pt idx="49">
                  <c:v>93.09373873113006</c:v>
                </c:pt>
                <c:pt idx="50">
                  <c:v>68.244817457079776</c:v>
                </c:pt>
                <c:pt idx="51">
                  <c:v>54.30385243734915</c:v>
                </c:pt>
                <c:pt idx="52">
                  <c:v>64.455089627668997</c:v>
                </c:pt>
                <c:pt idx="53">
                  <c:v>78.132865387952165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2-40CA-8C35-AD077E41BA7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Japan!$AZ$44:$AZ$97</c:f>
              <c:numCache>
                <c:formatCode>0.00</c:formatCode>
                <c:ptCount val="54"/>
                <c:pt idx="0">
                  <c:v>74.577999930853423</c:v>
                </c:pt>
                <c:pt idx="1">
                  <c:v>73.140109746965436</c:v>
                </c:pt>
                <c:pt idx="2">
                  <c:v>71.884819301443585</c:v>
                </c:pt>
                <c:pt idx="3">
                  <c:v>70.02386131881039</c:v>
                </c:pt>
                <c:pt idx="4">
                  <c:v>68.619887047351511</c:v>
                </c:pt>
                <c:pt idx="5">
                  <c:v>67.270934196197999</c:v>
                </c:pt>
                <c:pt idx="6">
                  <c:v>66.512184964638749</c:v>
                </c:pt>
                <c:pt idx="7">
                  <c:v>62.219444205235305</c:v>
                </c:pt>
                <c:pt idx="8">
                  <c:v>59.613167648603778</c:v>
                </c:pt>
                <c:pt idx="9">
                  <c:v>125.84291662021465</c:v>
                </c:pt>
                <c:pt idx="10">
                  <c:v>122.78407754877819</c:v>
                </c:pt>
                <c:pt idx="11">
                  <c:v>120.92778115122496</c:v>
                </c:pt>
                <c:pt idx="12">
                  <c:v>116.58460330586894</c:v>
                </c:pt>
                <c:pt idx="13">
                  <c:v>88.681206085733791</c:v>
                </c:pt>
                <c:pt idx="14">
                  <c:v>103.81956787326098</c:v>
                </c:pt>
                <c:pt idx="15">
                  <c:v>127.11925211863138</c:v>
                </c:pt>
                <c:pt idx="16">
                  <c:v>127.05096602528681</c:v>
                </c:pt>
                <c:pt idx="17">
                  <c:v>127.21465491874932</c:v>
                </c:pt>
                <c:pt idx="18">
                  <c:v>114.5610468000028</c:v>
                </c:pt>
                <c:pt idx="19">
                  <c:v>109.15437776721829</c:v>
                </c:pt>
                <c:pt idx="20">
                  <c:v>104.84431985807294</c:v>
                </c:pt>
                <c:pt idx="21">
                  <c:v>74.790828464801109</c:v>
                </c:pt>
                <c:pt idx="22">
                  <c:v>76.637472187636291</c:v>
                </c:pt>
                <c:pt idx="23">
                  <c:v>70.861230401162288</c:v>
                </c:pt>
                <c:pt idx="24">
                  <c:v>72.15217789673251</c:v>
                </c:pt>
                <c:pt idx="25">
                  <c:v>74.351363024865378</c:v>
                </c:pt>
                <c:pt idx="26">
                  <c:v>68.920448470746379</c:v>
                </c:pt>
                <c:pt idx="27">
                  <c:v>66.517182833368764</c:v>
                </c:pt>
                <c:pt idx="28">
                  <c:v>62.45535691359153</c:v>
                </c:pt>
                <c:pt idx="29">
                  <c:v>53.651622649622297</c:v>
                </c:pt>
                <c:pt idx="30">
                  <c:v>43.425888450662271</c:v>
                </c:pt>
                <c:pt idx="31">
                  <c:v>41.291441636925057</c:v>
                </c:pt>
                <c:pt idx="32">
                  <c:v>41.592807923437448</c:v>
                </c:pt>
                <c:pt idx="33">
                  <c:v>37.439957711837955</c:v>
                </c:pt>
                <c:pt idx="34">
                  <c:v>38.174043644539033</c:v>
                </c:pt>
                <c:pt idx="35">
                  <c:v>44.897066725225713</c:v>
                </c:pt>
                <c:pt idx="36">
                  <c:v>43.932488133456104</c:v>
                </c:pt>
                <c:pt idx="37">
                  <c:v>45.781918743508292</c:v>
                </c:pt>
                <c:pt idx="38">
                  <c:v>47.230626727609788</c:v>
                </c:pt>
                <c:pt idx="39">
                  <c:v>51.648097087398725</c:v>
                </c:pt>
                <c:pt idx="40">
                  <c:v>63.304331696261606</c:v>
                </c:pt>
                <c:pt idx="41">
                  <c:v>73.673554154653715</c:v>
                </c:pt>
                <c:pt idx="42">
                  <c:v>80.726780971962114</c:v>
                </c:pt>
                <c:pt idx="43">
                  <c:v>90.996597898143875</c:v>
                </c:pt>
                <c:pt idx="44">
                  <c:v>58.266787684152419</c:v>
                </c:pt>
                <c:pt idx="45">
                  <c:v>71.506054357162057</c:v>
                </c:pt>
                <c:pt idx="46">
                  <c:v>84.170396089437702</c:v>
                </c:pt>
                <c:pt idx="47">
                  <c:v>85.586660152222379</c:v>
                </c:pt>
                <c:pt idx="48">
                  <c:v>96.41067477478839</c:v>
                </c:pt>
                <c:pt idx="49">
                  <c:v>93.534225101084473</c:v>
                </c:pt>
                <c:pt idx="50">
                  <c:v>64.831440032956976</c:v>
                </c:pt>
                <c:pt idx="51">
                  <c:v>54.476866964896288</c:v>
                </c:pt>
                <c:pt idx="52">
                  <c:v>64.024614695220762</c:v>
                </c:pt>
                <c:pt idx="53">
                  <c:v>75.697663521503529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2-40CA-8C35-AD077E41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625024"/>
        <c:axId val="162626560"/>
      </c:lineChart>
      <c:catAx>
        <c:axId val="1626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626560"/>
        <c:crosses val="autoZero"/>
        <c:auto val="1"/>
        <c:lblAlgn val="ctr"/>
        <c:lblOffset val="100"/>
        <c:noMultiLvlLbl val="0"/>
      </c:catAx>
      <c:valAx>
        <c:axId val="162626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Yen per litre</a:t>
                </a:r>
              </a:p>
            </c:rich>
          </c:tx>
          <c:layout>
            <c:manualLayout>
              <c:xMode val="edge"/>
              <c:yMode val="edge"/>
              <c:x val="1.4494910697138468E-2"/>
              <c:y val="0.3417813879034351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2625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371002132196153"/>
          <c:y val="0.145508108508381"/>
          <c:w val="0.11895522388059702"/>
          <c:h val="0.198011996149384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Japan!$X$89:$X$96</c:f>
              <c:numCache>
                <c:formatCode>0.0</c:formatCode>
                <c:ptCount val="8"/>
                <c:pt idx="0">
                  <c:v>6.3573562483978385</c:v>
                </c:pt>
                <c:pt idx="1">
                  <c:v>6.9812385695574939</c:v>
                </c:pt>
                <c:pt idx="2">
                  <c:v>7.0898617154488024</c:v>
                </c:pt>
                <c:pt idx="3">
                  <c:v>7.6475955760796683</c:v>
                </c:pt>
                <c:pt idx="4">
                  <c:v>7.6323755805432816</c:v>
                </c:pt>
                <c:pt idx="5">
                  <c:v>6.1789950058825589</c:v>
                </c:pt>
                <c:pt idx="6">
                  <c:v>5.6377282475317863</c:v>
                </c:pt>
                <c:pt idx="7">
                  <c:v>6.148742117563855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2-4FD8-A209-EE13752AE1A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Japan!$AA$89:$AA$96</c:f>
              <c:numCache>
                <c:formatCode>0.0</c:formatCode>
                <c:ptCount val="8"/>
                <c:pt idx="0">
                  <c:v>6.3285714285714292</c:v>
                </c:pt>
                <c:pt idx="1">
                  <c:v>6.9324603174603174</c:v>
                </c:pt>
                <c:pt idx="2">
                  <c:v>7.0011111111111113</c:v>
                </c:pt>
                <c:pt idx="3">
                  <c:v>7.4181746031746023</c:v>
                </c:pt>
                <c:pt idx="4">
                  <c:v>10.660280373831776</c:v>
                </c:pt>
                <c:pt idx="5">
                  <c:v>10.184135802469136</c:v>
                </c:pt>
                <c:pt idx="6">
                  <c:v>9.0234567901234559</c:v>
                </c:pt>
                <c:pt idx="7">
                  <c:v>9.8888888888888875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2-4FD8-A209-EE13752AE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8081464"/>
        <c:axId val="808081792"/>
      </c:lineChart>
      <c:catAx>
        <c:axId val="808081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081792"/>
        <c:crosses val="autoZero"/>
        <c:auto val="1"/>
        <c:lblAlgn val="ctr"/>
        <c:lblOffset val="100"/>
        <c:noMultiLvlLbl val="0"/>
      </c:catAx>
      <c:valAx>
        <c:axId val="80808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08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3648293963253"/>
          <c:y val="5.0925925925925923E-2"/>
          <c:w val="0.85130796150481203"/>
          <c:h val="0.79940580344123646"/>
        </c:manualLayout>
      </c:layout>
      <c:lineChart>
        <c:grouping val="standard"/>
        <c:varyColors val="0"/>
        <c:ser>
          <c:idx val="0"/>
          <c:order val="0"/>
          <c:tx>
            <c:strRef>
              <c:f>Japan!$Y$121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Japan!$A$122:$A$142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Japan!$Y$122:$Y$142</c:f>
              <c:numCache>
                <c:formatCode>0.00</c:formatCode>
                <c:ptCount val="21"/>
                <c:pt idx="0">
                  <c:v>139.49669722911889</c:v>
                </c:pt>
                <c:pt idx="1">
                  <c:v>153.21789745636116</c:v>
                </c:pt>
                <c:pt idx="2">
                  <c:v>154.81559947073717</c:v>
                </c:pt>
                <c:pt idx="3">
                  <c:v>163.47178871492167</c:v>
                </c:pt>
                <c:pt idx="4">
                  <c:v>166.39815221843247</c:v>
                </c:pt>
                <c:pt idx="5">
                  <c:v>139.29538558703612</c:v>
                </c:pt>
                <c:pt idx="6">
                  <c:v>123.56414136799999</c:v>
                </c:pt>
                <c:pt idx="7">
                  <c:v>134.7816</c:v>
                </c:pt>
                <c:pt idx="8">
                  <c:v>149.69999999999999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9-48E0-8489-8A41A655F434}"/>
            </c:ext>
          </c:extLst>
        </c:ser>
        <c:ser>
          <c:idx val="1"/>
          <c:order val="1"/>
          <c:tx>
            <c:strRef>
              <c:f>Japan!$Z$121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Japan!$A$122:$A$142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Japan!$Z$122:$Z$142</c:f>
              <c:numCache>
                <c:formatCode>0.00</c:formatCode>
                <c:ptCount val="21"/>
                <c:pt idx="0">
                  <c:v>140.30634180661795</c:v>
                </c:pt>
                <c:pt idx="1">
                  <c:v>154.42897580347255</c:v>
                </c:pt>
                <c:pt idx="2">
                  <c:v>156.90643275553151</c:v>
                </c:pt>
                <c:pt idx="3">
                  <c:v>168.61972297207348</c:v>
                </c:pt>
                <c:pt idx="4">
                  <c:v>166.89286735272816</c:v>
                </c:pt>
                <c:pt idx="5">
                  <c:v>135.42595543484279</c:v>
                </c:pt>
                <c:pt idx="6">
                  <c:v>123.76027192916418</c:v>
                </c:pt>
                <c:pt idx="7">
                  <c:v>134.29361040013711</c:v>
                </c:pt>
                <c:pt idx="8">
                  <c:v>146.9394369687567</c:v>
                </c:pt>
                <c:pt idx="9">
                  <c:v>176.24681829846227</c:v>
                </c:pt>
                <c:pt idx="10">
                  <c:v>190.3244857981359</c:v>
                </c:pt>
                <c:pt idx="11">
                  <c:v>205.23025138602551</c:v>
                </c:pt>
                <c:pt idx="12">
                  <c:v>211.85503609175433</c:v>
                </c:pt>
                <c:pt idx="13">
                  <c:v>216.82362462105093</c:v>
                </c:pt>
                <c:pt idx="14">
                  <c:v>220.96411506213136</c:v>
                </c:pt>
                <c:pt idx="15">
                  <c:v>225.10460550321181</c:v>
                </c:pt>
                <c:pt idx="16">
                  <c:v>229.2450959442923</c:v>
                </c:pt>
                <c:pt idx="17">
                  <c:v>233.38558638537276</c:v>
                </c:pt>
                <c:pt idx="18">
                  <c:v>236.69797873823717</c:v>
                </c:pt>
                <c:pt idx="19">
                  <c:v>240.83846917931763</c:v>
                </c:pt>
                <c:pt idx="20">
                  <c:v>243.32276344396584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9-48E0-8489-8A41A655F434}"/>
            </c:ext>
          </c:extLst>
        </c:ser>
        <c:ser>
          <c:idx val="3"/>
          <c:order val="2"/>
          <c:tx>
            <c:strRef>
              <c:f>Japan!$AB$121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Japan!$A$122:$A$142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Japan!$AB$122:$AB$142</c:f>
              <c:numCache>
                <c:formatCode>0.00</c:formatCode>
                <c:ptCount val="21"/>
                <c:pt idx="0">
                  <c:v>140.30634180661795</c:v>
                </c:pt>
                <c:pt idx="1">
                  <c:v>154.42897580347255</c:v>
                </c:pt>
                <c:pt idx="2">
                  <c:v>156.90643275553151</c:v>
                </c:pt>
                <c:pt idx="3">
                  <c:v>168.61972297207348</c:v>
                </c:pt>
                <c:pt idx="4">
                  <c:v>166.89286735272816</c:v>
                </c:pt>
                <c:pt idx="5">
                  <c:v>135.42595543484279</c:v>
                </c:pt>
                <c:pt idx="6">
                  <c:v>123.76027192916418</c:v>
                </c:pt>
                <c:pt idx="7">
                  <c:v>134.29361040013711</c:v>
                </c:pt>
                <c:pt idx="8">
                  <c:v>146.9394369687567</c:v>
                </c:pt>
                <c:pt idx="9">
                  <c:v>114.1394616822552</c:v>
                </c:pt>
                <c:pt idx="10">
                  <c:v>114.96755977047131</c:v>
                </c:pt>
                <c:pt idx="11">
                  <c:v>116.62375594690349</c:v>
                </c:pt>
                <c:pt idx="12">
                  <c:v>117.4518540351196</c:v>
                </c:pt>
                <c:pt idx="13">
                  <c:v>117.4518540351196</c:v>
                </c:pt>
                <c:pt idx="14">
                  <c:v>117.4518540351196</c:v>
                </c:pt>
                <c:pt idx="15">
                  <c:v>118.2799521233357</c:v>
                </c:pt>
                <c:pt idx="16">
                  <c:v>119.10805021155176</c:v>
                </c:pt>
                <c:pt idx="17">
                  <c:v>119.93614829976788</c:v>
                </c:pt>
                <c:pt idx="18">
                  <c:v>119.93614829976788</c:v>
                </c:pt>
                <c:pt idx="19">
                  <c:v>119.93614829976788</c:v>
                </c:pt>
                <c:pt idx="20">
                  <c:v>120.76424638798395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B9-48E0-8489-8A41A655F434}"/>
            </c:ext>
          </c:extLst>
        </c:ser>
        <c:ser>
          <c:idx val="2"/>
          <c:order val="3"/>
          <c:tx>
            <c:strRef>
              <c:f>Japan!$AA$121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Japan!$A$122:$A$142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Japan!$AA$122:$AA$142</c:f>
              <c:numCache>
                <c:formatCode>0.00</c:formatCode>
                <c:ptCount val="21"/>
                <c:pt idx="0">
                  <c:v>140.30634180661795</c:v>
                </c:pt>
                <c:pt idx="1">
                  <c:v>154.42897580347255</c:v>
                </c:pt>
                <c:pt idx="2">
                  <c:v>156.90643275553151</c:v>
                </c:pt>
                <c:pt idx="3">
                  <c:v>168.61972297207348</c:v>
                </c:pt>
                <c:pt idx="4">
                  <c:v>166.89286735272816</c:v>
                </c:pt>
                <c:pt idx="5">
                  <c:v>135.42595543484279</c:v>
                </c:pt>
                <c:pt idx="6">
                  <c:v>123.76027192916418</c:v>
                </c:pt>
                <c:pt idx="7">
                  <c:v>134.29361040013711</c:v>
                </c:pt>
                <c:pt idx="8">
                  <c:v>146.9394369687567</c:v>
                </c:pt>
                <c:pt idx="9">
                  <c:v>143.05264447772123</c:v>
                </c:pt>
                <c:pt idx="10">
                  <c:v>143.27512018450167</c:v>
                </c:pt>
                <c:pt idx="11">
                  <c:v>149.82976439892585</c:v>
                </c:pt>
                <c:pt idx="12">
                  <c:v>154.71014771558129</c:v>
                </c:pt>
                <c:pt idx="13">
                  <c:v>156.95593551160084</c:v>
                </c:pt>
                <c:pt idx="14">
                  <c:v>157.54969371252878</c:v>
                </c:pt>
                <c:pt idx="15">
                  <c:v>160.65648768491945</c:v>
                </c:pt>
                <c:pt idx="16">
                  <c:v>166.11704008134296</c:v>
                </c:pt>
                <c:pt idx="17">
                  <c:v>168.93127061836253</c:v>
                </c:pt>
                <c:pt idx="18">
                  <c:v>170.71274876307419</c:v>
                </c:pt>
                <c:pt idx="19">
                  <c:v>173.12742353472731</c:v>
                </c:pt>
                <c:pt idx="20">
                  <c:v>174.97375401082098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B9-48E0-8489-8A41A655F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4487248"/>
        <c:axId val="1214487904"/>
      </c:lineChart>
      <c:catAx>
        <c:axId val="121448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487904"/>
        <c:crosses val="autoZero"/>
        <c:auto val="1"/>
        <c:lblAlgn val="ctr"/>
        <c:lblOffset val="100"/>
        <c:noMultiLvlLbl val="0"/>
      </c:catAx>
      <c:valAx>
        <c:axId val="12144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yen per litre</a:t>
                </a:r>
              </a:p>
            </c:rich>
          </c:tx>
          <c:layout>
            <c:manualLayout>
              <c:xMode val="edge"/>
              <c:yMode val="edge"/>
              <c:x val="2.208223972003499E-3"/>
              <c:y val="0.260975867599883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48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59105801773665"/>
          <c:y val="0.57928186060075837"/>
          <c:w val="0.26579658792650918"/>
          <c:h val="0.26794036162146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455337920743E-2"/>
          <c:y val="3.6885447458602914E-2"/>
          <c:w val="0.83061968353382643"/>
          <c:h val="0.8283775865226145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Japan!$BG$44:$BG$97</c:f>
              <c:numCache>
                <c:formatCode>0.0</c:formatCode>
                <c:ptCount val="54"/>
                <c:pt idx="0">
                  <c:v>206.96132257350331</c:v>
                </c:pt>
                <c:pt idx="1">
                  <c:v>193.56935344902234</c:v>
                </c:pt>
                <c:pt idx="2">
                  <c:v>185.83439658341166</c:v>
                </c:pt>
                <c:pt idx="3">
                  <c:v>173.06622653643979</c:v>
                </c:pt>
                <c:pt idx="4">
                  <c:v>164.47968412941688</c:v>
                </c:pt>
                <c:pt idx="5">
                  <c:v>160.84087828855482</c:v>
                </c:pt>
                <c:pt idx="6">
                  <c:v>179.60983365297474</c:v>
                </c:pt>
                <c:pt idx="7">
                  <c:v>150.94903690227599</c:v>
                </c:pt>
                <c:pt idx="8">
                  <c:v>126.24815821464426</c:v>
                </c:pt>
                <c:pt idx="9">
                  <c:v>224.02145224806259</c:v>
                </c:pt>
                <c:pt idx="10">
                  <c:v>182.34360449711022</c:v>
                </c:pt>
                <c:pt idx="11">
                  <c:v>206.36822618440181</c:v>
                </c:pt>
                <c:pt idx="12">
                  <c:v>195.68457474819468</c:v>
                </c:pt>
                <c:pt idx="13">
                  <c:v>167.44462100400258</c:v>
                </c:pt>
                <c:pt idx="14">
                  <c:v>177.4295454141301</c:v>
                </c:pt>
                <c:pt idx="15">
                  <c:v>209.46584524402755</c:v>
                </c:pt>
                <c:pt idx="16">
                  <c:v>198.49026950482147</c:v>
                </c:pt>
                <c:pt idx="17">
                  <c:v>206.88244047632946</c:v>
                </c:pt>
                <c:pt idx="18">
                  <c:v>187.13752798471995</c:v>
                </c:pt>
                <c:pt idx="19">
                  <c:v>175.5434084353916</c:v>
                </c:pt>
                <c:pt idx="20">
                  <c:v>166.24714404858432</c:v>
                </c:pt>
                <c:pt idx="21">
                  <c:v>145.16614908983081</c:v>
                </c:pt>
                <c:pt idx="22">
                  <c:v>142.68440470178473</c:v>
                </c:pt>
                <c:pt idx="23">
                  <c:v>135.8073081994016</c:v>
                </c:pt>
                <c:pt idx="24">
                  <c:v>136.30150991846205</c:v>
                </c:pt>
                <c:pt idx="25">
                  <c:v>134.45484097379563</c:v>
                </c:pt>
                <c:pt idx="26">
                  <c:v>132.43446714620595</c:v>
                </c:pt>
                <c:pt idx="27">
                  <c:v>126.83629122965529</c:v>
                </c:pt>
                <c:pt idx="28">
                  <c:v>123.1987077578643</c:v>
                </c:pt>
                <c:pt idx="29">
                  <c:v>122.84846726089087</c:v>
                </c:pt>
                <c:pt idx="30">
                  <c:v>114.26964008256651</c:v>
                </c:pt>
                <c:pt idx="31">
                  <c:v>108.62716233123717</c:v>
                </c:pt>
                <c:pt idx="32">
                  <c:v>106.39418243450557</c:v>
                </c:pt>
                <c:pt idx="33">
                  <c:v>100.30563052613988</c:v>
                </c:pt>
                <c:pt idx="34">
                  <c:v>99.784565151615212</c:v>
                </c:pt>
                <c:pt idx="35">
                  <c:v>106.27480216677188</c:v>
                </c:pt>
                <c:pt idx="36">
                  <c:v>108.11726310065666</c:v>
                </c:pt>
                <c:pt idx="37">
                  <c:v>108.36597005591483</c:v>
                </c:pt>
                <c:pt idx="38">
                  <c:v>110.82547730018184</c:v>
                </c:pt>
                <c:pt idx="39">
                  <c:v>117.09064182836977</c:v>
                </c:pt>
                <c:pt idx="40">
                  <c:v>130.16800661791871</c:v>
                </c:pt>
                <c:pt idx="41">
                  <c:v>143.41332221877846</c:v>
                </c:pt>
                <c:pt idx="42">
                  <c:v>145.72744732785918</c:v>
                </c:pt>
                <c:pt idx="43">
                  <c:v>161.32782102502347</c:v>
                </c:pt>
                <c:pt idx="44">
                  <c:v>125.28600982535512</c:v>
                </c:pt>
                <c:pt idx="45">
                  <c:v>139.49669722911889</c:v>
                </c:pt>
                <c:pt idx="46">
                  <c:v>153.21789745636116</c:v>
                </c:pt>
                <c:pt idx="47">
                  <c:v>154.81559947073717</c:v>
                </c:pt>
                <c:pt idx="48">
                  <c:v>163.47178871492167</c:v>
                </c:pt>
                <c:pt idx="49">
                  <c:v>166.39815221843247</c:v>
                </c:pt>
                <c:pt idx="50">
                  <c:v>139.29538558703612</c:v>
                </c:pt>
                <c:pt idx="51">
                  <c:v>123.56414136799999</c:v>
                </c:pt>
                <c:pt idx="52">
                  <c:v>134.7816</c:v>
                </c:pt>
                <c:pt idx="53">
                  <c:v>149.69999999999999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C-43C1-A4BA-65ADFD1FAEF1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Japan!$BH$44:$BH$97</c:f>
              <c:numCache>
                <c:formatCode>0.0</c:formatCode>
                <c:ptCount val="54"/>
                <c:pt idx="0">
                  <c:v>198.73128414189864</c:v>
                </c:pt>
                <c:pt idx="1">
                  <c:v>191.9442976172696</c:v>
                </c:pt>
                <c:pt idx="2">
                  <c:v>186.02439955225705</c:v>
                </c:pt>
                <c:pt idx="3">
                  <c:v>176.99320754105509</c:v>
                </c:pt>
                <c:pt idx="4">
                  <c:v>170.38479247388139</c:v>
                </c:pt>
                <c:pt idx="5">
                  <c:v>162.61101353144474</c:v>
                </c:pt>
                <c:pt idx="6">
                  <c:v>168.41941890166345</c:v>
                </c:pt>
                <c:pt idx="7">
                  <c:v>147.87692581956881</c:v>
                </c:pt>
                <c:pt idx="8">
                  <c:v>138.5735507512052</c:v>
                </c:pt>
                <c:pt idx="9">
                  <c:v>212.73704740071963</c:v>
                </c:pt>
                <c:pt idx="10">
                  <c:v>191.2401680456006</c:v>
                </c:pt>
                <c:pt idx="11">
                  <c:v>205.55651294105454</c:v>
                </c:pt>
                <c:pt idx="12">
                  <c:v>198.88412929039464</c:v>
                </c:pt>
                <c:pt idx="13">
                  <c:v>168.09822523804525</c:v>
                </c:pt>
                <c:pt idx="14">
                  <c:v>174.26688554967785</c:v>
                </c:pt>
                <c:pt idx="15">
                  <c:v>210.51244402786651</c:v>
                </c:pt>
                <c:pt idx="16">
                  <c:v>197.66818471833199</c:v>
                </c:pt>
                <c:pt idx="17">
                  <c:v>199.52464975579872</c:v>
                </c:pt>
                <c:pt idx="18">
                  <c:v>186.11987154897287</c:v>
                </c:pt>
                <c:pt idx="19">
                  <c:v>177.59250790690993</c:v>
                </c:pt>
                <c:pt idx="20">
                  <c:v>172.55735613543925</c:v>
                </c:pt>
                <c:pt idx="21">
                  <c:v>147.16677553129833</c:v>
                </c:pt>
                <c:pt idx="22">
                  <c:v>143.07994541851326</c:v>
                </c:pt>
                <c:pt idx="23">
                  <c:v>137.12151365338894</c:v>
                </c:pt>
                <c:pt idx="24">
                  <c:v>136.79663938163517</c:v>
                </c:pt>
                <c:pt idx="25">
                  <c:v>133.70621218762054</c:v>
                </c:pt>
                <c:pt idx="26">
                  <c:v>131.40719396661189</c:v>
                </c:pt>
                <c:pt idx="27">
                  <c:v>128.54406901119185</c:v>
                </c:pt>
                <c:pt idx="28">
                  <c:v>124.07481141983759</c:v>
                </c:pt>
                <c:pt idx="29">
                  <c:v>121.3015431735267</c:v>
                </c:pt>
                <c:pt idx="30">
                  <c:v>112.31486945537854</c:v>
                </c:pt>
                <c:pt idx="31">
                  <c:v>104.82398014118053</c:v>
                </c:pt>
                <c:pt idx="32">
                  <c:v>107.49384079106188</c:v>
                </c:pt>
                <c:pt idx="33">
                  <c:v>99.481726285580649</c:v>
                </c:pt>
                <c:pt idx="34">
                  <c:v>99.939610485201115</c:v>
                </c:pt>
                <c:pt idx="35">
                  <c:v>107.21599281663897</c:v>
                </c:pt>
                <c:pt idx="36">
                  <c:v>106.71162208369202</c:v>
                </c:pt>
                <c:pt idx="37">
                  <c:v>109.16561134896925</c:v>
                </c:pt>
                <c:pt idx="38">
                  <c:v>110.94280657992762</c:v>
                </c:pt>
                <c:pt idx="39">
                  <c:v>115.88254669468387</c:v>
                </c:pt>
                <c:pt idx="40">
                  <c:v>128.8943239781496</c:v>
                </c:pt>
                <c:pt idx="41">
                  <c:v>142.35939455300837</c:v>
                </c:pt>
                <c:pt idx="42">
                  <c:v>149.83907295774389</c:v>
                </c:pt>
                <c:pt idx="43">
                  <c:v>160.57034472903854</c:v>
                </c:pt>
                <c:pt idx="44">
                  <c:v>125.28600982535514</c:v>
                </c:pt>
                <c:pt idx="45">
                  <c:v>140.26778730292753</c:v>
                </c:pt>
                <c:pt idx="46">
                  <c:v>154.37130540599108</c:v>
                </c:pt>
                <c:pt idx="47">
                  <c:v>156.8068692657794</c:v>
                </c:pt>
                <c:pt idx="48">
                  <c:v>168.37458324554242</c:v>
                </c:pt>
                <c:pt idx="49">
                  <c:v>166.86050281123221</c:v>
                </c:pt>
                <c:pt idx="50">
                  <c:v>135.71257989056082</c:v>
                </c:pt>
                <c:pt idx="51">
                  <c:v>123.74574373944832</c:v>
                </c:pt>
                <c:pt idx="52">
                  <c:v>134.32975777790475</c:v>
                </c:pt>
                <c:pt idx="53">
                  <c:v>147.14392311921915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C-43C1-A4BA-65ADFD1F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93408"/>
        <c:axId val="162742656"/>
      </c:lineChart>
      <c:catAx>
        <c:axId val="162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742656"/>
        <c:crosses val="autoZero"/>
        <c:auto val="1"/>
        <c:lblAlgn val="ctr"/>
        <c:lblOffset val="100"/>
        <c:noMultiLvlLbl val="0"/>
      </c:catAx>
      <c:valAx>
        <c:axId val="16274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Yen per litre</a:t>
                </a:r>
              </a:p>
            </c:rich>
          </c:tx>
          <c:layout>
            <c:manualLayout>
              <c:xMode val="edge"/>
              <c:yMode val="edge"/>
              <c:x val="1.1607859828332269E-2"/>
              <c:y val="0.3402454324128704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259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63821138211918"/>
          <c:y val="9.4408925628483228E-2"/>
          <c:w val="0.13141235723912892"/>
          <c:h val="0.216497763360976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89099052835786"/>
          <c:y val="3.3849145381217652E-2"/>
          <c:w val="0.85263437179048274"/>
          <c:h val="0.8527613567534827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Korea!$A$44:$A$97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Korea!$AY$44:$AY$97</c:f>
              <c:numCache>
                <c:formatCode>0.00</c:formatCode>
                <c:ptCount val="54"/>
                <c:pt idx="0">
                  <c:v>488.61712012501772</c:v>
                </c:pt>
                <c:pt idx="1">
                  <c:v>467.45857235732223</c:v>
                </c:pt>
                <c:pt idx="2">
                  <c:v>450.73529706302196</c:v>
                </c:pt>
                <c:pt idx="3">
                  <c:v>439.28883386895444</c:v>
                </c:pt>
                <c:pt idx="4">
                  <c:v>429.21229365301843</c:v>
                </c:pt>
                <c:pt idx="5">
                  <c:v>422.01396433947065</c:v>
                </c:pt>
                <c:pt idx="6">
                  <c:v>427.60920302366782</c:v>
                </c:pt>
                <c:pt idx="7">
                  <c:v>429.2858297887089</c:v>
                </c:pt>
                <c:pt idx="8">
                  <c:v>437.92708346687067</c:v>
                </c:pt>
                <c:pt idx="9">
                  <c:v>654.86975247686541</c:v>
                </c:pt>
                <c:pt idx="10">
                  <c:v>649.83288035631745</c:v>
                </c:pt>
                <c:pt idx="11">
                  <c:v>619.04855195080972</c:v>
                </c:pt>
                <c:pt idx="12">
                  <c:v>612.45033058907757</c:v>
                </c:pt>
                <c:pt idx="13">
                  <c:v>572.80954173200348</c:v>
                </c:pt>
                <c:pt idx="14">
                  <c:v>644.11895379715452</c:v>
                </c:pt>
                <c:pt idx="15">
                  <c:v>828.22475376490388</c:v>
                </c:pt>
                <c:pt idx="16">
                  <c:v>825.87400555398858</c:v>
                </c:pt>
                <c:pt idx="17">
                  <c:v>780.3645464322633</c:v>
                </c:pt>
                <c:pt idx="18">
                  <c:v>729.9407938326724</c:v>
                </c:pt>
                <c:pt idx="19">
                  <c:v>730.2746075507664</c:v>
                </c:pt>
                <c:pt idx="20">
                  <c:v>723.93460468097692</c:v>
                </c:pt>
                <c:pt idx="21">
                  <c:v>536.62384646166493</c:v>
                </c:pt>
                <c:pt idx="22">
                  <c:v>573.11172541927294</c:v>
                </c:pt>
                <c:pt idx="23">
                  <c:v>489.05100272161309</c:v>
                </c:pt>
                <c:pt idx="24">
                  <c:v>501.7992294578641</c:v>
                </c:pt>
                <c:pt idx="25">
                  <c:v>488.09747106560366</c:v>
                </c:pt>
                <c:pt idx="26">
                  <c:v>496.86279039208989</c:v>
                </c:pt>
                <c:pt idx="27">
                  <c:v>497.06096349830887</c:v>
                </c:pt>
                <c:pt idx="28">
                  <c:v>496.89772674347807</c:v>
                </c:pt>
                <c:pt idx="29">
                  <c:v>469.59342578369638</c:v>
                </c:pt>
                <c:pt idx="30">
                  <c:v>453.56566114685654</c:v>
                </c:pt>
                <c:pt idx="31">
                  <c:v>489.32266412343495</c:v>
                </c:pt>
                <c:pt idx="32">
                  <c:v>567.14822204847087</c:v>
                </c:pt>
                <c:pt idx="33">
                  <c:v>691.1246904049608</c:v>
                </c:pt>
                <c:pt idx="34">
                  <c:v>681.90504642915664</c:v>
                </c:pt>
                <c:pt idx="35">
                  <c:v>727.76245451668706</c:v>
                </c:pt>
                <c:pt idx="36">
                  <c:v>729.56860594874206</c:v>
                </c:pt>
                <c:pt idx="37">
                  <c:v>759.84353606876425</c:v>
                </c:pt>
                <c:pt idx="38">
                  <c:v>737.75092573777511</c:v>
                </c:pt>
                <c:pt idx="39">
                  <c:v>811.2207118916815</c:v>
                </c:pt>
                <c:pt idx="40">
                  <c:v>866.10599558211959</c:v>
                </c:pt>
                <c:pt idx="41">
                  <c:v>924.71036710314831</c:v>
                </c:pt>
                <c:pt idx="42">
                  <c:v>947.18988353881264</c:v>
                </c:pt>
                <c:pt idx="43">
                  <c:v>1097.4995473859772</c:v>
                </c:pt>
                <c:pt idx="44">
                  <c:v>971.6170220800002</c:v>
                </c:pt>
                <c:pt idx="45">
                  <c:v>1025</c:v>
                </c:pt>
                <c:pt idx="46">
                  <c:v>1093.3471382171319</c:v>
                </c:pt>
                <c:pt idx="47">
                  <c:v>1175.990295601558</c:v>
                </c:pt>
                <c:pt idx="48">
                  <c:v>1060.4210201411447</c:v>
                </c:pt>
                <c:pt idx="49">
                  <c:v>947.87651344618882</c:v>
                </c:pt>
                <c:pt idx="50">
                  <c:v>781.47457066746551</c:v>
                </c:pt>
                <c:pt idx="51">
                  <c:v>664.92349103332856</c:v>
                </c:pt>
                <c:pt idx="52">
                  <c:v>729.39908102726997</c:v>
                </c:pt>
                <c:pt idx="53">
                  <c:v>790.4087457862363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8-4D2F-B33B-37384657B3CC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Korea!$A$44:$A$97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Korea!$AZ$44:$AZ$97</c:f>
              <c:numCache>
                <c:formatCode>0.00</c:formatCode>
                <c:ptCount val="54"/>
                <c:pt idx="0">
                  <c:v>488.61712012501766</c:v>
                </c:pt>
                <c:pt idx="1">
                  <c:v>467.45857235732205</c:v>
                </c:pt>
                <c:pt idx="2">
                  <c:v>450.73529706302179</c:v>
                </c:pt>
                <c:pt idx="3">
                  <c:v>439.28883386895438</c:v>
                </c:pt>
                <c:pt idx="4">
                  <c:v>429.21229365301849</c:v>
                </c:pt>
                <c:pt idx="5">
                  <c:v>422.01396433947048</c:v>
                </c:pt>
                <c:pt idx="6">
                  <c:v>427.60920302366787</c:v>
                </c:pt>
                <c:pt idx="7">
                  <c:v>429.28582978870907</c:v>
                </c:pt>
                <c:pt idx="8">
                  <c:v>437.92708346687084</c:v>
                </c:pt>
                <c:pt idx="9">
                  <c:v>654.86975247686541</c:v>
                </c:pt>
                <c:pt idx="10">
                  <c:v>649.83288035631745</c:v>
                </c:pt>
                <c:pt idx="11">
                  <c:v>619.04855195080995</c:v>
                </c:pt>
                <c:pt idx="12">
                  <c:v>612.45033058907779</c:v>
                </c:pt>
                <c:pt idx="13">
                  <c:v>572.80954173200348</c:v>
                </c:pt>
                <c:pt idx="14">
                  <c:v>644.11895379715475</c:v>
                </c:pt>
                <c:pt idx="15">
                  <c:v>828.22475376490377</c:v>
                </c:pt>
                <c:pt idx="16">
                  <c:v>825.8740055539887</c:v>
                </c:pt>
                <c:pt idx="17">
                  <c:v>780.3645464322633</c:v>
                </c:pt>
                <c:pt idx="18">
                  <c:v>729.94079383267251</c:v>
                </c:pt>
                <c:pt idx="19">
                  <c:v>730.27460755076652</c:v>
                </c:pt>
                <c:pt idx="20">
                  <c:v>723.93460468097692</c:v>
                </c:pt>
                <c:pt idx="21">
                  <c:v>536.62384646166493</c:v>
                </c:pt>
                <c:pt idx="22">
                  <c:v>573.11172541927272</c:v>
                </c:pt>
                <c:pt idx="23">
                  <c:v>489.05100272161303</c:v>
                </c:pt>
                <c:pt idx="24">
                  <c:v>501.79922945786393</c:v>
                </c:pt>
                <c:pt idx="25">
                  <c:v>544.3387636403146</c:v>
                </c:pt>
                <c:pt idx="26">
                  <c:v>503.61364484801584</c:v>
                </c:pt>
                <c:pt idx="27">
                  <c:v>495.04421273834851</c:v>
                </c:pt>
                <c:pt idx="28">
                  <c:v>471.56935942670191</c:v>
                </c:pt>
                <c:pt idx="29">
                  <c:v>451.02487408110994</c:v>
                </c:pt>
                <c:pt idx="30">
                  <c:v>448.70850999996219</c:v>
                </c:pt>
                <c:pt idx="31">
                  <c:v>477.10133801901566</c:v>
                </c:pt>
                <c:pt idx="32">
                  <c:v>588.13325729701694</c:v>
                </c:pt>
                <c:pt idx="33">
                  <c:v>674.6075205154126</c:v>
                </c:pt>
                <c:pt idx="34">
                  <c:v>678.15600004243674</c:v>
                </c:pt>
                <c:pt idx="35">
                  <c:v>763.00290333539124</c:v>
                </c:pt>
                <c:pt idx="36">
                  <c:v>741.43339008321323</c:v>
                </c:pt>
                <c:pt idx="37">
                  <c:v>739.87464756738166</c:v>
                </c:pt>
                <c:pt idx="38">
                  <c:v>754.7726518143852</c:v>
                </c:pt>
                <c:pt idx="39">
                  <c:v>803.81538786882368</c:v>
                </c:pt>
                <c:pt idx="40">
                  <c:v>872.01415681814206</c:v>
                </c:pt>
                <c:pt idx="41">
                  <c:v>909.61169104558121</c:v>
                </c:pt>
                <c:pt idx="42">
                  <c:v>939.89386813108172</c:v>
                </c:pt>
                <c:pt idx="43">
                  <c:v>1088.8623660226974</c:v>
                </c:pt>
                <c:pt idx="44">
                  <c:v>968.99138115556434</c:v>
                </c:pt>
                <c:pt idx="45">
                  <c:v>1027.6256409244361</c:v>
                </c:pt>
                <c:pt idx="46">
                  <c:v>1113.284321682278</c:v>
                </c:pt>
                <c:pt idx="47">
                  <c:v>1121.4783864186109</c:v>
                </c:pt>
                <c:pt idx="48">
                  <c:v>1073.642548236438</c:v>
                </c:pt>
                <c:pt idx="49">
                  <c:v>980.77999900637496</c:v>
                </c:pt>
                <c:pt idx="50">
                  <c:v>720.98889717569818</c:v>
                </c:pt>
                <c:pt idx="51">
                  <c:v>667.91809379000551</c:v>
                </c:pt>
                <c:pt idx="52">
                  <c:v>729.86084750960049</c:v>
                </c:pt>
                <c:pt idx="53">
                  <c:v>823.53990821605271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8-4D2F-B33B-37384657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698432"/>
        <c:axId val="163123968"/>
      </c:lineChart>
      <c:catAx>
        <c:axId val="151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123968"/>
        <c:crosses val="autoZero"/>
        <c:auto val="1"/>
        <c:lblAlgn val="ctr"/>
        <c:lblOffset val="100"/>
        <c:noMultiLvlLbl val="0"/>
      </c:catAx>
      <c:valAx>
        <c:axId val="16312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Won per litre</a:t>
                </a:r>
              </a:p>
            </c:rich>
          </c:tx>
          <c:layout>
            <c:manualLayout>
              <c:xMode val="edge"/>
              <c:yMode val="edge"/>
              <c:x val="1.7941100735901994E-2"/>
              <c:y val="0.3448381677226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1698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24417442743516"/>
          <c:y val="7.8121573154141061E-2"/>
          <c:w val="0.13517516635721735"/>
          <c:h val="0.171237276742846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7246906636658"/>
          <c:y val="3.7892558652011542E-2"/>
          <c:w val="0.8092078529246346"/>
          <c:h val="0.8471377952755905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Korea!$A$44:$A$97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Korea!$AV$44:$AV$97</c:f>
              <c:numCache>
                <c:formatCode>0.00</c:formatCode>
                <c:ptCount val="54"/>
                <c:pt idx="0">
                  <c:v>976.71459119062138</c:v>
                </c:pt>
                <c:pt idx="1">
                  <c:v>955.55604342292588</c:v>
                </c:pt>
                <c:pt idx="2">
                  <c:v>938.83276812862562</c:v>
                </c:pt>
                <c:pt idx="3">
                  <c:v>927.3863049345581</c:v>
                </c:pt>
                <c:pt idx="4">
                  <c:v>917.30976471862209</c:v>
                </c:pt>
                <c:pt idx="5">
                  <c:v>910.1114354050743</c:v>
                </c:pt>
                <c:pt idx="6">
                  <c:v>915.70667408927147</c:v>
                </c:pt>
                <c:pt idx="7">
                  <c:v>917.38330085431255</c:v>
                </c:pt>
                <c:pt idx="8">
                  <c:v>926.02455453247433</c:v>
                </c:pt>
                <c:pt idx="9">
                  <c:v>1142.9672235424691</c:v>
                </c:pt>
                <c:pt idx="10">
                  <c:v>1137.9303514219212</c:v>
                </c:pt>
                <c:pt idx="11">
                  <c:v>1107.1460230164134</c:v>
                </c:pt>
                <c:pt idx="12">
                  <c:v>1100.5478016546813</c:v>
                </c:pt>
                <c:pt idx="13">
                  <c:v>1060.9070127976072</c:v>
                </c:pt>
                <c:pt idx="14">
                  <c:v>1132.2164248627582</c:v>
                </c:pt>
                <c:pt idx="15">
                  <c:v>1316.3222248305076</c:v>
                </c:pt>
                <c:pt idx="16">
                  <c:v>1313.9714766195923</c:v>
                </c:pt>
                <c:pt idx="17">
                  <c:v>1268.462017497867</c:v>
                </c:pt>
                <c:pt idx="18">
                  <c:v>1218.0382648982761</c:v>
                </c:pt>
                <c:pt idx="19">
                  <c:v>1218.3720786163701</c:v>
                </c:pt>
                <c:pt idx="20">
                  <c:v>1212.0320757465806</c:v>
                </c:pt>
                <c:pt idx="21">
                  <c:v>1024.7213175272686</c:v>
                </c:pt>
                <c:pt idx="22">
                  <c:v>1061.2091964848767</c:v>
                </c:pt>
                <c:pt idx="23">
                  <c:v>977.14847378721674</c:v>
                </c:pt>
                <c:pt idx="24">
                  <c:v>989.89670052346776</c:v>
                </c:pt>
                <c:pt idx="25">
                  <c:v>976.19494213120731</c:v>
                </c:pt>
                <c:pt idx="26">
                  <c:v>1008.5959050249319</c:v>
                </c:pt>
                <c:pt idx="27">
                  <c:v>1024.3264241180473</c:v>
                </c:pt>
                <c:pt idx="28">
                  <c:v>1039.7859875517447</c:v>
                </c:pt>
                <c:pt idx="29">
                  <c:v>998.04597305526738</c:v>
                </c:pt>
                <c:pt idx="30">
                  <c:v>979.32516455238192</c:v>
                </c:pt>
                <c:pt idx="31">
                  <c:v>1073.619347443823</c:v>
                </c:pt>
                <c:pt idx="32">
                  <c:v>1264.8337761195341</c:v>
                </c:pt>
                <c:pt idx="33">
                  <c:v>1567.0850538252009</c:v>
                </c:pt>
                <c:pt idx="34">
                  <c:v>1572.4639651581433</c:v>
                </c:pt>
                <c:pt idx="35">
                  <c:v>1707.2322241293712</c:v>
                </c:pt>
                <c:pt idx="36">
                  <c:v>1682.6086767826841</c:v>
                </c:pt>
                <c:pt idx="37">
                  <c:v>1657.8404423318493</c:v>
                </c:pt>
                <c:pt idx="38">
                  <c:v>1599.0782209458644</c:v>
                </c:pt>
                <c:pt idx="39">
                  <c:v>1628.4062819590372</c:v>
                </c:pt>
                <c:pt idx="40">
                  <c:v>1657.9079915432533</c:v>
                </c:pt>
                <c:pt idx="41">
                  <c:v>1691.5156469491251</c:v>
                </c:pt>
                <c:pt idx="42">
                  <c:v>1689.4322484171805</c:v>
                </c:pt>
                <c:pt idx="43">
                  <c:v>1793.8878812143023</c:v>
                </c:pt>
                <c:pt idx="44">
                  <c:v>1628.2819162400003</c:v>
                </c:pt>
                <c:pt idx="45">
                  <c:v>1709</c:v>
                </c:pt>
                <c:pt idx="46">
                  <c:v>1762.0620532229264</c:v>
                </c:pt>
                <c:pt idx="47">
                  <c:v>1840.9965161380801</c:v>
                </c:pt>
                <c:pt idx="48">
                  <c:v>1706.8380053509802</c:v>
                </c:pt>
                <c:pt idx="49">
                  <c:v>1576.2375334406811</c:v>
                </c:pt>
                <c:pt idx="50">
                  <c:v>1389.4536747403959</c:v>
                </c:pt>
                <c:pt idx="51">
                  <c:v>1256.1487674890514</c:v>
                </c:pt>
                <c:pt idx="52">
                  <c:v>1317.0353376855535</c:v>
                </c:pt>
                <c:pt idx="53">
                  <c:v>1376.9896544399576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6-4752-B500-8856E96C9843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Korea!$A$44:$A$97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Korea!$AW$44:$AW$97</c:f>
              <c:numCache>
                <c:formatCode>0.00</c:formatCode>
                <c:ptCount val="54"/>
                <c:pt idx="0">
                  <c:v>976.71459119062138</c:v>
                </c:pt>
                <c:pt idx="1">
                  <c:v>955.55604342292577</c:v>
                </c:pt>
                <c:pt idx="2">
                  <c:v>938.8327681286255</c:v>
                </c:pt>
                <c:pt idx="3">
                  <c:v>927.38630493455798</c:v>
                </c:pt>
                <c:pt idx="4">
                  <c:v>917.30976471862209</c:v>
                </c:pt>
                <c:pt idx="5">
                  <c:v>910.11143540507419</c:v>
                </c:pt>
                <c:pt idx="6">
                  <c:v>915.70667408927147</c:v>
                </c:pt>
                <c:pt idx="7">
                  <c:v>917.38330085431267</c:v>
                </c:pt>
                <c:pt idx="8">
                  <c:v>926.02455453247444</c:v>
                </c:pt>
                <c:pt idx="9">
                  <c:v>1142.9672235424691</c:v>
                </c:pt>
                <c:pt idx="10">
                  <c:v>1137.9303514219212</c:v>
                </c:pt>
                <c:pt idx="11">
                  <c:v>1107.1460230164137</c:v>
                </c:pt>
                <c:pt idx="12">
                  <c:v>1100.5478016546815</c:v>
                </c:pt>
                <c:pt idx="13">
                  <c:v>1060.9070127976072</c:v>
                </c:pt>
                <c:pt idx="14">
                  <c:v>1132.2164248627585</c:v>
                </c:pt>
                <c:pt idx="15">
                  <c:v>1316.3222248305074</c:v>
                </c:pt>
                <c:pt idx="16">
                  <c:v>1313.9714766195923</c:v>
                </c:pt>
                <c:pt idx="17">
                  <c:v>1268.462017497867</c:v>
                </c:pt>
                <c:pt idx="18">
                  <c:v>1218.0382648982761</c:v>
                </c:pt>
                <c:pt idx="19">
                  <c:v>1218.3720786163701</c:v>
                </c:pt>
                <c:pt idx="20">
                  <c:v>1212.0320757465806</c:v>
                </c:pt>
                <c:pt idx="21">
                  <c:v>1024.7213175272686</c:v>
                </c:pt>
                <c:pt idx="22">
                  <c:v>1061.2091964848764</c:v>
                </c:pt>
                <c:pt idx="23">
                  <c:v>977.14847378721674</c:v>
                </c:pt>
                <c:pt idx="24">
                  <c:v>989.89670052346764</c:v>
                </c:pt>
                <c:pt idx="25">
                  <c:v>1032.4362347059182</c:v>
                </c:pt>
                <c:pt idx="26">
                  <c:v>1015.3467594808578</c:v>
                </c:pt>
                <c:pt idx="27">
                  <c:v>1022.3096733580869</c:v>
                </c:pt>
                <c:pt idx="28">
                  <c:v>1014.4576202349685</c:v>
                </c:pt>
                <c:pt idx="29">
                  <c:v>979.47742135268095</c:v>
                </c:pt>
                <c:pt idx="30">
                  <c:v>974.46801340548757</c:v>
                </c:pt>
                <c:pt idx="31">
                  <c:v>1061.3980213394038</c:v>
                </c:pt>
                <c:pt idx="32">
                  <c:v>1285.8188113680803</c:v>
                </c:pt>
                <c:pt idx="33">
                  <c:v>1550.5678839356528</c:v>
                </c:pt>
                <c:pt idx="34">
                  <c:v>1568.7149187714235</c:v>
                </c:pt>
                <c:pt idx="35">
                  <c:v>1742.4726729480753</c:v>
                </c:pt>
                <c:pt idx="36">
                  <c:v>1694.4734609171553</c:v>
                </c:pt>
                <c:pt idx="37">
                  <c:v>1637.8715538304668</c:v>
                </c:pt>
                <c:pt idx="38">
                  <c:v>1616.0999470224745</c:v>
                </c:pt>
                <c:pt idx="39">
                  <c:v>1621.0009579361795</c:v>
                </c:pt>
                <c:pt idx="40">
                  <c:v>1663.8161527792759</c:v>
                </c:pt>
                <c:pt idx="41">
                  <c:v>1676.4169708915579</c:v>
                </c:pt>
                <c:pt idx="42">
                  <c:v>1682.1362330094496</c:v>
                </c:pt>
                <c:pt idx="43">
                  <c:v>1785.2506998510225</c:v>
                </c:pt>
                <c:pt idx="44">
                  <c:v>1625.6562753155645</c:v>
                </c:pt>
                <c:pt idx="45">
                  <c:v>1711.6256409244361</c:v>
                </c:pt>
                <c:pt idx="46">
                  <c:v>1781.9992366880724</c:v>
                </c:pt>
                <c:pt idx="47">
                  <c:v>1786.4846069551329</c:v>
                </c:pt>
                <c:pt idx="48">
                  <c:v>1720.0595334462737</c:v>
                </c:pt>
                <c:pt idx="49">
                  <c:v>1609.1410190008673</c:v>
                </c:pt>
                <c:pt idx="50">
                  <c:v>1328.9680012486285</c:v>
                </c:pt>
                <c:pt idx="51">
                  <c:v>1259.1433702457284</c:v>
                </c:pt>
                <c:pt idx="52">
                  <c:v>1317.4971041678841</c:v>
                </c:pt>
                <c:pt idx="53">
                  <c:v>1410.120816869774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6-4752-B500-8856E96C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42272"/>
        <c:axId val="163152256"/>
      </c:lineChart>
      <c:catAx>
        <c:axId val="1631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152256"/>
        <c:crosses val="autoZero"/>
        <c:auto val="1"/>
        <c:lblAlgn val="ctr"/>
        <c:lblOffset val="100"/>
        <c:noMultiLvlLbl val="0"/>
      </c:catAx>
      <c:valAx>
        <c:axId val="163152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Won per litre</a:t>
                </a:r>
              </a:p>
            </c:rich>
          </c:tx>
          <c:layout>
            <c:manualLayout>
              <c:xMode val="edge"/>
              <c:yMode val="edge"/>
              <c:x val="1.8119679484508877E-2"/>
              <c:y val="0.332796933278077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314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01645627629876"/>
          <c:y val="3.6295633500357902E-2"/>
          <c:w val="0.13237732002249741"/>
          <c:h val="0.161307904693731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02537182852144"/>
          <c:y val="5.0925925925925923E-2"/>
          <c:w val="0.84141907261592297"/>
          <c:h val="0.80866506270049576"/>
        </c:manualLayout>
      </c:layout>
      <c:lineChart>
        <c:grouping val="standard"/>
        <c:varyColors val="0"/>
        <c:ser>
          <c:idx val="0"/>
          <c:order val="0"/>
          <c:tx>
            <c:strRef>
              <c:f>Korea!$Y$121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Korea!$A$122:$A$142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Korea!$Y$122:$Y$142</c:f>
              <c:numCache>
                <c:formatCode>0</c:formatCode>
                <c:ptCount val="21"/>
                <c:pt idx="0">
                  <c:v>1959.3865177793143</c:v>
                </c:pt>
                <c:pt idx="1">
                  <c:v>2020.222721226178</c:v>
                </c:pt>
                <c:pt idx="2">
                  <c:v>2110.721915154852</c:v>
                </c:pt>
                <c:pt idx="3">
                  <c:v>1956.9077681205663</c:v>
                </c:pt>
                <c:pt idx="4">
                  <c:v>1807.172950170504</c:v>
                </c:pt>
                <c:pt idx="5">
                  <c:v>1593.0232869311037</c:v>
                </c:pt>
                <c:pt idx="6">
                  <c:v>1440.18780535</c:v>
                </c:pt>
                <c:pt idx="7">
                  <c:v>1509.9948999999999</c:v>
                </c:pt>
                <c:pt idx="8">
                  <c:v>1578.7331562499999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1-44DF-A2E9-56F778723CCD}"/>
            </c:ext>
          </c:extLst>
        </c:ser>
        <c:ser>
          <c:idx val="1"/>
          <c:order val="1"/>
          <c:tx>
            <c:strRef>
              <c:f>Korea!$Z$121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Korea!$A$122:$A$142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Korea!$Z$122:$Z$142</c:f>
              <c:numCache>
                <c:formatCode>0</c:formatCode>
                <c:ptCount val="21"/>
                <c:pt idx="0">
                  <c:v>1879.4926619209766</c:v>
                </c:pt>
                <c:pt idx="1">
                  <c:v>2045.3667313680794</c:v>
                </c:pt>
                <c:pt idx="2">
                  <c:v>2041.9735887051011</c:v>
                </c:pt>
                <c:pt idx="3">
                  <c:v>1973.582251610206</c:v>
                </c:pt>
                <c:pt idx="4">
                  <c:v>1848.6695625719274</c:v>
                </c:pt>
                <c:pt idx="5">
                  <c:v>1516.7410783445455</c:v>
                </c:pt>
                <c:pt idx="6">
                  <c:v>1443.964483345489</c:v>
                </c:pt>
                <c:pt idx="7">
                  <c:v>1510.5772621543738</c:v>
                </c:pt>
                <c:pt idx="8">
                  <c:v>1620.5169059759637</c:v>
                </c:pt>
                <c:pt idx="9">
                  <c:v>1895.5201336352911</c:v>
                </c:pt>
                <c:pt idx="10">
                  <c:v>2025.9023676436755</c:v>
                </c:pt>
                <c:pt idx="11">
                  <c:v>2163.9541448290224</c:v>
                </c:pt>
                <c:pt idx="12">
                  <c:v>2225.3104902447326</c:v>
                </c:pt>
                <c:pt idx="13">
                  <c:v>2271.3277493065152</c:v>
                </c:pt>
                <c:pt idx="14">
                  <c:v>2309.6754651913343</c:v>
                </c:pt>
                <c:pt idx="15">
                  <c:v>2348.0231810761529</c:v>
                </c:pt>
                <c:pt idx="16">
                  <c:v>2386.3708969609711</c:v>
                </c:pt>
                <c:pt idx="17">
                  <c:v>2424.7186128457902</c:v>
                </c:pt>
                <c:pt idx="18">
                  <c:v>2455.3967855536453</c:v>
                </c:pt>
                <c:pt idx="19">
                  <c:v>2493.7445014384643</c:v>
                </c:pt>
                <c:pt idx="20">
                  <c:v>2516.753130969355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1-44DF-A2E9-56F778723CCD}"/>
            </c:ext>
          </c:extLst>
        </c:ser>
        <c:ser>
          <c:idx val="3"/>
          <c:order val="2"/>
          <c:tx>
            <c:strRef>
              <c:f>Korea!$AB$121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Korea!$A$122:$A$142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Korea!$AB$122:$AB$142</c:f>
              <c:numCache>
                <c:formatCode>0</c:formatCode>
                <c:ptCount val="21"/>
                <c:pt idx="0">
                  <c:v>1879.4926619209766</c:v>
                </c:pt>
                <c:pt idx="1">
                  <c:v>2045.3667313680794</c:v>
                </c:pt>
                <c:pt idx="2">
                  <c:v>2041.9735887051011</c:v>
                </c:pt>
                <c:pt idx="3">
                  <c:v>1973.582251610206</c:v>
                </c:pt>
                <c:pt idx="4">
                  <c:v>1848.6695625719274</c:v>
                </c:pt>
                <c:pt idx="5">
                  <c:v>1516.7410783445455</c:v>
                </c:pt>
                <c:pt idx="6">
                  <c:v>1443.964483345489</c:v>
                </c:pt>
                <c:pt idx="7">
                  <c:v>1510.5772621543738</c:v>
                </c:pt>
                <c:pt idx="8">
                  <c:v>1620.5169059759637</c:v>
                </c:pt>
                <c:pt idx="9">
                  <c:v>1320.3043953630095</c:v>
                </c:pt>
                <c:pt idx="10">
                  <c:v>1327.9739385399735</c:v>
                </c:pt>
                <c:pt idx="11">
                  <c:v>1343.313024893901</c:v>
                </c:pt>
                <c:pt idx="12">
                  <c:v>1350.9825680708645</c:v>
                </c:pt>
                <c:pt idx="13">
                  <c:v>1350.9825680708645</c:v>
                </c:pt>
                <c:pt idx="14">
                  <c:v>1350.9825680708645</c:v>
                </c:pt>
                <c:pt idx="15">
                  <c:v>1358.6521112478285</c:v>
                </c:pt>
                <c:pt idx="16">
                  <c:v>1366.3216544247925</c:v>
                </c:pt>
                <c:pt idx="17">
                  <c:v>1373.9911976017561</c:v>
                </c:pt>
                <c:pt idx="18">
                  <c:v>1373.9911976017561</c:v>
                </c:pt>
                <c:pt idx="19">
                  <c:v>1373.9911976017561</c:v>
                </c:pt>
                <c:pt idx="20">
                  <c:v>1381.6607407787201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71-44DF-A2E9-56F778723CCD}"/>
            </c:ext>
          </c:extLst>
        </c:ser>
        <c:ser>
          <c:idx val="2"/>
          <c:order val="3"/>
          <c:tx>
            <c:strRef>
              <c:f>Korea!$AA$121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Korea!$A$122:$A$142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Korea!$AA$122:$AA$142</c:f>
              <c:numCache>
                <c:formatCode>0</c:formatCode>
                <c:ptCount val="21"/>
                <c:pt idx="0">
                  <c:v>1879.4926619209766</c:v>
                </c:pt>
                <c:pt idx="1">
                  <c:v>2045.3667313680794</c:v>
                </c:pt>
                <c:pt idx="2">
                  <c:v>2041.9735887051011</c:v>
                </c:pt>
                <c:pt idx="3">
                  <c:v>1973.582251610206</c:v>
                </c:pt>
                <c:pt idx="4">
                  <c:v>1848.6695625719274</c:v>
                </c:pt>
                <c:pt idx="5">
                  <c:v>1516.7410783445455</c:v>
                </c:pt>
                <c:pt idx="6">
                  <c:v>1443.964483345489</c:v>
                </c:pt>
                <c:pt idx="7">
                  <c:v>1510.5772621543738</c:v>
                </c:pt>
                <c:pt idx="8">
                  <c:v>1620.5169059759637</c:v>
                </c:pt>
                <c:pt idx="9">
                  <c:v>1588.0877739129742</c:v>
                </c:pt>
                <c:pt idx="10">
                  <c:v>1590.1482629580025</c:v>
                </c:pt>
                <c:pt idx="11">
                  <c:v>1650.8549926649355</c:v>
                </c:pt>
                <c:pt idx="12">
                  <c:v>1696.0553271420445</c:v>
                </c:pt>
                <c:pt idx="13">
                  <c:v>1716.8549965447053</c:v>
                </c:pt>
                <c:pt idx="14">
                  <c:v>1722.354168953741</c:v>
                </c:pt>
                <c:pt idx="15">
                  <c:v>1751.1281642717486</c:v>
                </c:pt>
                <c:pt idx="16">
                  <c:v>1801.7018136623199</c:v>
                </c:pt>
                <c:pt idx="17">
                  <c:v>1827.7661928955795</c:v>
                </c:pt>
                <c:pt idx="18">
                  <c:v>1844.2655952539603</c:v>
                </c:pt>
                <c:pt idx="19">
                  <c:v>1866.6294343728428</c:v>
                </c:pt>
                <c:pt idx="20">
                  <c:v>1883.729475426976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1-44DF-A2E9-56F778723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4359000"/>
        <c:axId val="1214359328"/>
      </c:lineChart>
      <c:catAx>
        <c:axId val="1214359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359328"/>
        <c:crosses val="autoZero"/>
        <c:auto val="1"/>
        <c:lblAlgn val="ctr"/>
        <c:lblOffset val="100"/>
        <c:noMultiLvlLbl val="0"/>
      </c:catAx>
      <c:valAx>
        <c:axId val="121435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won per litre</a:t>
                </a:r>
              </a:p>
            </c:rich>
          </c:tx>
          <c:layout>
            <c:manualLayout>
              <c:xMode val="edge"/>
              <c:yMode val="edge"/>
              <c:x val="2.208223972003499E-3"/>
              <c:y val="0.31030475357247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35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3392330383481"/>
          <c:y val="0.57928186060075837"/>
          <c:w val="0.29357436570428697"/>
          <c:h val="0.2864588801399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41232838590152E-2"/>
          <c:y val="3.6006537364450336E-2"/>
          <c:w val="0.83060010263675854"/>
          <c:h val="0.82216585121438945"/>
        </c:manualLayout>
      </c:layout>
      <c:lineChart>
        <c:grouping val="standard"/>
        <c:varyColors val="0"/>
        <c:ser>
          <c:idx val="0"/>
          <c:order val="0"/>
          <c:tx>
            <c:v> energy compnent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Korea!$AM$69:$AM$97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Korea!$AY$69:$AY$97</c:f>
              <c:numCache>
                <c:formatCode>0.00</c:formatCode>
                <c:ptCount val="29"/>
                <c:pt idx="0">
                  <c:v>488.09747106560366</c:v>
                </c:pt>
                <c:pt idx="1">
                  <c:v>496.86279039208989</c:v>
                </c:pt>
                <c:pt idx="2">
                  <c:v>497.06096349830887</c:v>
                </c:pt>
                <c:pt idx="3">
                  <c:v>496.89772674347807</c:v>
                </c:pt>
                <c:pt idx="4">
                  <c:v>469.59342578369638</c:v>
                </c:pt>
                <c:pt idx="5">
                  <c:v>453.56566114685654</c:v>
                </c:pt>
                <c:pt idx="6">
                  <c:v>489.32266412343495</c:v>
                </c:pt>
                <c:pt idx="7">
                  <c:v>567.14822204847087</c:v>
                </c:pt>
                <c:pt idx="8">
                  <c:v>691.1246904049608</c:v>
                </c:pt>
                <c:pt idx="9">
                  <c:v>681.90504642915664</c:v>
                </c:pt>
                <c:pt idx="10">
                  <c:v>727.76245451668706</c:v>
                </c:pt>
                <c:pt idx="11">
                  <c:v>729.56860594874206</c:v>
                </c:pt>
                <c:pt idx="12">
                  <c:v>759.84353606876425</c:v>
                </c:pt>
                <c:pt idx="13">
                  <c:v>737.75092573777511</c:v>
                </c:pt>
                <c:pt idx="14">
                  <c:v>811.2207118916815</c:v>
                </c:pt>
                <c:pt idx="15">
                  <c:v>866.10599558211959</c:v>
                </c:pt>
                <c:pt idx="16">
                  <c:v>924.71036710314831</c:v>
                </c:pt>
                <c:pt idx="17">
                  <c:v>947.18988353881264</c:v>
                </c:pt>
                <c:pt idx="18">
                  <c:v>1097.4995473859772</c:v>
                </c:pt>
                <c:pt idx="19">
                  <c:v>971.6170220800002</c:v>
                </c:pt>
                <c:pt idx="20">
                  <c:v>1025</c:v>
                </c:pt>
                <c:pt idx="21">
                  <c:v>1093.3471382171319</c:v>
                </c:pt>
                <c:pt idx="22">
                  <c:v>1175.990295601558</c:v>
                </c:pt>
                <c:pt idx="23">
                  <c:v>1060.4210201411447</c:v>
                </c:pt>
                <c:pt idx="24">
                  <c:v>947.87651344618882</c:v>
                </c:pt>
                <c:pt idx="25">
                  <c:v>781.47457066746551</c:v>
                </c:pt>
                <c:pt idx="26">
                  <c:v>664.92349103332856</c:v>
                </c:pt>
                <c:pt idx="27">
                  <c:v>729.39908102726997</c:v>
                </c:pt>
                <c:pt idx="28">
                  <c:v>790.4087457862363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6-4094-81B9-F5A4F9CCA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87168"/>
        <c:axId val="780287496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Korea!$AM$69:$AM$97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Korea!$BA$69:$BA$97</c:f>
              <c:numCache>
                <c:formatCode>0</c:formatCode>
                <c:ptCount val="29"/>
                <c:pt idx="0">
                  <c:v>38980.366947193957</c:v>
                </c:pt>
                <c:pt idx="1">
                  <c:v>32438.685732733313</c:v>
                </c:pt>
                <c:pt idx="2">
                  <c:v>31062.176720290405</c:v>
                </c:pt>
                <c:pt idx="3">
                  <c:v>27291.407930045461</c:v>
                </c:pt>
                <c:pt idx="4">
                  <c:v>23991.344533510059</c:v>
                </c:pt>
                <c:pt idx="5">
                  <c:v>23619.266664989242</c:v>
                </c:pt>
                <c:pt idx="6">
                  <c:v>28180.010382519602</c:v>
                </c:pt>
                <c:pt idx="7">
                  <c:v>29729.066919169076</c:v>
                </c:pt>
                <c:pt idx="8">
                  <c:v>28501.67373608828</c:v>
                </c:pt>
                <c:pt idx="9">
                  <c:v>29071.666471535424</c:v>
                </c:pt>
                <c:pt idx="10">
                  <c:v>42700.635762145321</c:v>
                </c:pt>
                <c:pt idx="11">
                  <c:v>39235.92199749167</c:v>
                </c:pt>
                <c:pt idx="12">
                  <c:v>38985.540981146434</c:v>
                </c:pt>
                <c:pt idx="13">
                  <c:v>41378.609372490399</c:v>
                </c:pt>
                <c:pt idx="14">
                  <c:v>49256.350547151887</c:v>
                </c:pt>
                <c:pt idx="15">
                  <c:v>60211.127817671819</c:v>
                </c:pt>
                <c:pt idx="16">
                  <c:v>66250.424710089734</c:v>
                </c:pt>
                <c:pt idx="17">
                  <c:v>71114.654817888702</c:v>
                </c:pt>
                <c:pt idx="18">
                  <c:v>110161.24983778193</c:v>
                </c:pt>
                <c:pt idx="19">
                  <c:v>80250.363961569674</c:v>
                </c:pt>
                <c:pt idx="20">
                  <c:v>89668.792858242829</c:v>
                </c:pt>
                <c:pt idx="21">
                  <c:v>114084.15180335901</c:v>
                </c:pt>
                <c:pt idx="22">
                  <c:v>115400.3655050089</c:v>
                </c:pt>
                <c:pt idx="23">
                  <c:v>107716.48849509151</c:v>
                </c:pt>
                <c:pt idx="24">
                  <c:v>92799.964938133649</c:v>
                </c:pt>
                <c:pt idx="25">
                  <c:v>51069.685913112145</c:v>
                </c:pt>
                <c:pt idx="26">
                  <c:v>42544.915750620399</c:v>
                </c:pt>
                <c:pt idx="27">
                  <c:v>52494.788467899343</c:v>
                </c:pt>
                <c:pt idx="28">
                  <c:v>67542.468371232215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6-4094-81B9-F5A4F9CCA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03248"/>
        <c:axId val="893298984"/>
      </c:lineChart>
      <c:catAx>
        <c:axId val="7802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87496"/>
        <c:crosses val="autoZero"/>
        <c:auto val="1"/>
        <c:lblAlgn val="ctr"/>
        <c:lblOffset val="100"/>
        <c:noMultiLvlLbl val="0"/>
      </c:catAx>
      <c:valAx>
        <c:axId val="78028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87168"/>
        <c:crosses val="autoZero"/>
        <c:crossBetween val="between"/>
      </c:valAx>
      <c:valAx>
        <c:axId val="893298984"/>
        <c:scaling>
          <c:orientation val="minMax"/>
          <c:max val="160000"/>
          <c:min val="-650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303248"/>
        <c:crosses val="max"/>
        <c:crossBetween val="between"/>
      </c:valAx>
      <c:catAx>
        <c:axId val="89330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3298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512360431102719"/>
          <c:y val="0.48977061232506092"/>
          <c:w val="0.31771674486652351"/>
          <c:h val="0.228723731916509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7246906636658"/>
          <c:y val="3.7892558652011542E-2"/>
          <c:w val="0.8092078529246346"/>
          <c:h val="0.8471377952755905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Korea!$A$44:$A$97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Korea!$BG$44:$BG$97</c:f>
              <c:numCache>
                <c:formatCode>0.00</c:formatCode>
                <c:ptCount val="54"/>
                <c:pt idx="0">
                  <c:v>1119.8135761832873</c:v>
                </c:pt>
                <c:pt idx="1">
                  <c:v>1095.5550780956266</c:v>
                </c:pt>
                <c:pt idx="2">
                  <c:v>1076.3816666592522</c:v>
                </c:pt>
                <c:pt idx="3">
                  <c:v>1063.2581759285833</c:v>
                </c:pt>
                <c:pt idx="4">
                  <c:v>1051.7053163352739</c:v>
                </c:pt>
                <c:pt idx="5">
                  <c:v>1043.4523558861802</c:v>
                </c:pt>
                <c:pt idx="6">
                  <c:v>1049.8673560275338</c:v>
                </c:pt>
                <c:pt idx="7">
                  <c:v>1051.7896262901254</c:v>
                </c:pt>
                <c:pt idx="8">
                  <c:v>1061.6969147358254</c:v>
                </c:pt>
                <c:pt idx="9">
                  <c:v>1310.4239719559801</c:v>
                </c:pt>
                <c:pt idx="10">
                  <c:v>1304.649144966641</c:v>
                </c:pt>
                <c:pt idx="11">
                  <c:v>1269.354587894293</c:v>
                </c:pt>
                <c:pt idx="12">
                  <c:v>1261.7896575388213</c:v>
                </c:pt>
                <c:pt idx="13">
                  <c:v>1216.3410751861661</c:v>
                </c:pt>
                <c:pt idx="14">
                  <c:v>1298.0980679253273</c:v>
                </c:pt>
                <c:pt idx="15">
                  <c:v>1509.1773085934276</c:v>
                </c:pt>
                <c:pt idx="16">
                  <c:v>1506.4821509859605</c:v>
                </c:pt>
                <c:pt idx="17">
                  <c:v>1454.3050763022056</c:v>
                </c:pt>
                <c:pt idx="18">
                  <c:v>1396.4937123352786</c:v>
                </c:pt>
                <c:pt idx="19">
                  <c:v>1396.8764332824308</c:v>
                </c:pt>
                <c:pt idx="20">
                  <c:v>1389.6075531503375</c:v>
                </c:pt>
                <c:pt idx="21">
                  <c:v>1174.8537940573351</c:v>
                </c:pt>
                <c:pt idx="22">
                  <c:v>1216.6875319695066</c:v>
                </c:pt>
                <c:pt idx="23">
                  <c:v>1120.3110271546554</c:v>
                </c:pt>
                <c:pt idx="24">
                  <c:v>1134.9270035107725</c:v>
                </c:pt>
                <c:pt idx="25">
                  <c:v>1119.2177930580722</c:v>
                </c:pt>
                <c:pt idx="26">
                  <c:v>1156.3658386151417</c:v>
                </c:pt>
                <c:pt idx="27">
                  <c:v>1174.4010446003497</c:v>
                </c:pt>
                <c:pt idx="28">
                  <c:v>1192.1255970653824</c:v>
                </c:pt>
                <c:pt idx="29">
                  <c:v>1144.2702303852707</c:v>
                </c:pt>
                <c:pt idx="30">
                  <c:v>1122.8066260655035</c:v>
                </c:pt>
                <c:pt idx="31">
                  <c:v>1230.9159008826518</c:v>
                </c:pt>
                <c:pt idx="32">
                  <c:v>1450.1452593098388</c:v>
                </c:pt>
                <c:pt idx="33">
                  <c:v>1796.6795357978758</c:v>
                </c:pt>
                <c:pt idx="34">
                  <c:v>1802.8465143503026</c:v>
                </c:pt>
                <c:pt idx="35">
                  <c:v>1957.359744106192</c:v>
                </c:pt>
                <c:pt idx="36">
                  <c:v>1929.128587470148</c:v>
                </c:pt>
                <c:pt idx="37">
                  <c:v>1900.7315455437802</c:v>
                </c:pt>
                <c:pt idx="38">
                  <c:v>1833.3600392017895</c:v>
                </c:pt>
                <c:pt idx="39">
                  <c:v>1866.9849703555751</c:v>
                </c:pt>
                <c:pt idx="40">
                  <c:v>1900.808991426818</c:v>
                </c:pt>
                <c:pt idx="41">
                  <c:v>1939.3405226710768</c:v>
                </c:pt>
                <c:pt idx="42">
                  <c:v>1936.9518842891848</c:v>
                </c:pt>
                <c:pt idx="43">
                  <c:v>2056.7113685541276</c:v>
                </c:pt>
                <c:pt idx="44">
                  <c:v>1866.8423837475268</c:v>
                </c:pt>
                <c:pt idx="45">
                  <c:v>1959.3865177793143</c:v>
                </c:pt>
                <c:pt idx="46">
                  <c:v>2020.222721226178</c:v>
                </c:pt>
                <c:pt idx="47">
                  <c:v>2110.721915154852</c:v>
                </c:pt>
                <c:pt idx="48">
                  <c:v>1956.9077681205663</c:v>
                </c:pt>
                <c:pt idx="49">
                  <c:v>1807.172950170504</c:v>
                </c:pt>
                <c:pt idx="50">
                  <c:v>1593.0232869311037</c:v>
                </c:pt>
                <c:pt idx="51">
                  <c:v>1440.18780535</c:v>
                </c:pt>
                <c:pt idx="52">
                  <c:v>1509.9948999999999</c:v>
                </c:pt>
                <c:pt idx="53">
                  <c:v>1578.7331562499999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A-414B-B850-071EE9979BC9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Korea!$A$44:$A$97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Korea!$BH$44:$BH$97</c:f>
              <c:numCache>
                <c:formatCode>0.00</c:formatCode>
                <c:ptCount val="54"/>
                <c:pt idx="0">
                  <c:v>1119.8135761832873</c:v>
                </c:pt>
                <c:pt idx="1">
                  <c:v>1095.5550780956264</c:v>
                </c:pt>
                <c:pt idx="2">
                  <c:v>1076.381666659252</c:v>
                </c:pt>
                <c:pt idx="3">
                  <c:v>1063.2581759285833</c:v>
                </c:pt>
                <c:pt idx="4">
                  <c:v>1051.7053163352739</c:v>
                </c:pt>
                <c:pt idx="5">
                  <c:v>1043.4523558861799</c:v>
                </c:pt>
                <c:pt idx="6">
                  <c:v>1049.8673560275338</c:v>
                </c:pt>
                <c:pt idx="7">
                  <c:v>1051.7896262901256</c:v>
                </c:pt>
                <c:pt idx="8">
                  <c:v>1061.6969147358257</c:v>
                </c:pt>
                <c:pt idx="9">
                  <c:v>1310.4239719559801</c:v>
                </c:pt>
                <c:pt idx="10">
                  <c:v>1304.649144966641</c:v>
                </c:pt>
                <c:pt idx="11">
                  <c:v>1269.3545878942934</c:v>
                </c:pt>
                <c:pt idx="12">
                  <c:v>1261.7896575388215</c:v>
                </c:pt>
                <c:pt idx="13">
                  <c:v>1216.3410751861661</c:v>
                </c:pt>
                <c:pt idx="14">
                  <c:v>1298.0980679253275</c:v>
                </c:pt>
                <c:pt idx="15">
                  <c:v>1509.1773085934274</c:v>
                </c:pt>
                <c:pt idx="16">
                  <c:v>1506.4821509859605</c:v>
                </c:pt>
                <c:pt idx="17">
                  <c:v>1454.3050763022056</c:v>
                </c:pt>
                <c:pt idx="18">
                  <c:v>1396.4937123352786</c:v>
                </c:pt>
                <c:pt idx="19">
                  <c:v>1396.8764332824308</c:v>
                </c:pt>
                <c:pt idx="20">
                  <c:v>1389.6075531503375</c:v>
                </c:pt>
                <c:pt idx="21">
                  <c:v>1174.8537940573351</c:v>
                </c:pt>
                <c:pt idx="22">
                  <c:v>1216.6875319695062</c:v>
                </c:pt>
                <c:pt idx="23">
                  <c:v>1120.3110271546554</c:v>
                </c:pt>
                <c:pt idx="24">
                  <c:v>1134.9270035107722</c:v>
                </c:pt>
                <c:pt idx="25">
                  <c:v>1183.6990279400911</c:v>
                </c:pt>
                <c:pt idx="26">
                  <c:v>1164.105764422299</c:v>
                </c:pt>
                <c:pt idx="27">
                  <c:v>1172.088818591697</c:v>
                </c:pt>
                <c:pt idx="28">
                  <c:v>1163.0863569027999</c:v>
                </c:pt>
                <c:pt idx="29">
                  <c:v>1122.9811900922714</c:v>
                </c:pt>
                <c:pt idx="30">
                  <c:v>1117.2378510672349</c:v>
                </c:pt>
                <c:pt idx="31">
                  <c:v>1216.9040216559795</c:v>
                </c:pt>
                <c:pt idx="32">
                  <c:v>1474.2048234649735</c:v>
                </c:pt>
                <c:pt idx="33">
                  <c:v>1777.7424263809942</c:v>
                </c:pt>
                <c:pt idx="34">
                  <c:v>1798.548193142188</c:v>
                </c:pt>
                <c:pt idx="35">
                  <c:v>1997.7632902126059</c:v>
                </c:pt>
                <c:pt idx="36">
                  <c:v>1942.7316875692966</c:v>
                </c:pt>
                <c:pt idx="37">
                  <c:v>1877.8370043473803</c:v>
                </c:pt>
                <c:pt idx="38">
                  <c:v>1852.8756276066124</c:v>
                </c:pt>
                <c:pt idx="39">
                  <c:v>1858.4946882899376</c:v>
                </c:pt>
                <c:pt idx="40">
                  <c:v>1907.5827605729437</c:v>
                </c:pt>
                <c:pt idx="41">
                  <c:v>1922.029731387569</c:v>
                </c:pt>
                <c:pt idx="42">
                  <c:v>1928.5869257032175</c:v>
                </c:pt>
                <c:pt idx="43">
                  <c:v>2046.8087490603739</c:v>
                </c:pt>
                <c:pt idx="44">
                  <c:v>1863.8320587458479</c:v>
                </c:pt>
                <c:pt idx="45">
                  <c:v>1962.3968427809932</c:v>
                </c:pt>
                <c:pt idx="46">
                  <c:v>2043.0809122642706</c:v>
                </c:pt>
                <c:pt idx="47">
                  <c:v>2048.2234365641689</c:v>
                </c:pt>
                <c:pt idx="48">
                  <c:v>1972.066389474784</c:v>
                </c:pt>
                <c:pt idx="49">
                  <c:v>1844.8971432627075</c:v>
                </c:pt>
                <c:pt idx="50">
                  <c:v>1523.6758245796873</c:v>
                </c:pt>
                <c:pt idx="51">
                  <c:v>1443.6211489822631</c:v>
                </c:pt>
                <c:pt idx="52">
                  <c:v>1510.5243201403398</c:v>
                </c:pt>
                <c:pt idx="53">
                  <c:v>1616.7183832736036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A-414B-B850-071EE9979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42272"/>
        <c:axId val="163152256"/>
      </c:lineChart>
      <c:catAx>
        <c:axId val="1631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152256"/>
        <c:crosses val="autoZero"/>
        <c:auto val="1"/>
        <c:lblAlgn val="ctr"/>
        <c:lblOffset val="100"/>
        <c:noMultiLvlLbl val="0"/>
      </c:catAx>
      <c:valAx>
        <c:axId val="163152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Won per litre</a:t>
                </a:r>
              </a:p>
            </c:rich>
          </c:tx>
          <c:layout>
            <c:manualLayout>
              <c:xMode val="edge"/>
              <c:yMode val="edge"/>
              <c:x val="1.8119679484508877E-2"/>
              <c:y val="0.332796933278077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314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321581385928031"/>
          <c:y val="0.54945358474927475"/>
          <c:w val="0.13237732002249741"/>
          <c:h val="0.161307904693731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16441694788191"/>
          <c:y val="3.5814579629159508E-2"/>
          <c:w val="0.83769669416323222"/>
          <c:h val="0.8333601727203454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Netherlands!$A$44:$A$97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Netherlands!$AY$44:$AY$97</c:f>
              <c:numCache>
                <c:formatCode>0.0000</c:formatCode>
                <c:ptCount val="54"/>
                <c:pt idx="0">
                  <c:v>0.44722735028505367</c:v>
                </c:pt>
                <c:pt idx="1">
                  <c:v>0.42299534207509626</c:v>
                </c:pt>
                <c:pt idx="2">
                  <c:v>0.39596094681224758</c:v>
                </c:pt>
                <c:pt idx="3">
                  <c:v>0.31802547712740725</c:v>
                </c:pt>
                <c:pt idx="4">
                  <c:v>0.27125254889763339</c:v>
                </c:pt>
                <c:pt idx="5">
                  <c:v>0.29279952913641816</c:v>
                </c:pt>
                <c:pt idx="6">
                  <c:v>0.35119226622176236</c:v>
                </c:pt>
                <c:pt idx="7">
                  <c:v>0.46050246227445224</c:v>
                </c:pt>
                <c:pt idx="8">
                  <c:v>0.43120969095376294</c:v>
                </c:pt>
                <c:pt idx="9">
                  <c:v>0.57417876458016814</c:v>
                </c:pt>
                <c:pt idx="10">
                  <c:v>0.46827458386878673</c:v>
                </c:pt>
                <c:pt idx="11">
                  <c:v>0.49302468652496345</c:v>
                </c:pt>
                <c:pt idx="12">
                  <c:v>0.4521716146092708</c:v>
                </c:pt>
                <c:pt idx="13">
                  <c:v>0.46504842639913124</c:v>
                </c:pt>
                <c:pt idx="14">
                  <c:v>0.52678815001662238</c:v>
                </c:pt>
                <c:pt idx="15">
                  <c:v>0.62252850653873615</c:v>
                </c:pt>
                <c:pt idx="16">
                  <c:v>0.76151734501110269</c:v>
                </c:pt>
                <c:pt idx="17">
                  <c:v>0.68721304978745223</c:v>
                </c:pt>
                <c:pt idx="18">
                  <c:v>0.74301545705789618</c:v>
                </c:pt>
                <c:pt idx="19">
                  <c:v>0.83646536271288419</c:v>
                </c:pt>
                <c:pt idx="20">
                  <c:v>0.8331889150476971</c:v>
                </c:pt>
                <c:pt idx="21">
                  <c:v>0.57611336269845126</c:v>
                </c:pt>
                <c:pt idx="22">
                  <c:v>0.6668770700337846</c:v>
                </c:pt>
                <c:pt idx="23">
                  <c:v>0.42569223673356071</c:v>
                </c:pt>
                <c:pt idx="24">
                  <c:v>0.42941864964418697</c:v>
                </c:pt>
                <c:pt idx="25">
                  <c:v>0.38125450127489591</c:v>
                </c:pt>
                <c:pt idx="26">
                  <c:v>0.43851179841195354</c:v>
                </c:pt>
                <c:pt idx="27">
                  <c:v>0.31070564256763911</c:v>
                </c:pt>
                <c:pt idx="28">
                  <c:v>0.31421308338027398</c:v>
                </c:pt>
                <c:pt idx="29">
                  <c:v>0.33340391360587363</c:v>
                </c:pt>
                <c:pt idx="30">
                  <c:v>0.28853946002937436</c:v>
                </c:pt>
                <c:pt idx="31">
                  <c:v>0.33469888918203572</c:v>
                </c:pt>
                <c:pt idx="32">
                  <c:v>0.34513782186101838</c:v>
                </c:pt>
                <c:pt idx="33">
                  <c:v>0.29009987702717543</c:v>
                </c:pt>
                <c:pt idx="34">
                  <c:v>0.32327015169374951</c:v>
                </c:pt>
                <c:pt idx="35">
                  <c:v>0.47645213469566006</c:v>
                </c:pt>
                <c:pt idx="36">
                  <c:v>0.41459655721217292</c:v>
                </c:pt>
                <c:pt idx="37">
                  <c:v>0.37602687156811765</c:v>
                </c:pt>
                <c:pt idx="38">
                  <c:v>0.39781563504261985</c:v>
                </c:pt>
                <c:pt idx="39">
                  <c:v>0.45459122093562565</c:v>
                </c:pt>
                <c:pt idx="40">
                  <c:v>0.50544660341342107</c:v>
                </c:pt>
                <c:pt idx="41">
                  <c:v>0.54757598032017063</c:v>
                </c:pt>
                <c:pt idx="42">
                  <c:v>0.56615855489929023</c:v>
                </c:pt>
                <c:pt idx="43">
                  <c:v>0.60934641614937013</c:v>
                </c:pt>
                <c:pt idx="44">
                  <c:v>0.42492328451571426</c:v>
                </c:pt>
                <c:pt idx="45">
                  <c:v>0.5430252100840337</c:v>
                </c:pt>
                <c:pt idx="46">
                  <c:v>0.6439264048578266</c:v>
                </c:pt>
                <c:pt idx="47">
                  <c:v>0.71418715570901636</c:v>
                </c:pt>
                <c:pt idx="48">
                  <c:v>0.64151447551457041</c:v>
                </c:pt>
                <c:pt idx="49">
                  <c:v>0.59640768172581815</c:v>
                </c:pt>
                <c:pt idx="50">
                  <c:v>0.48171535643472363</c:v>
                </c:pt>
                <c:pt idx="51">
                  <c:v>0.41154514820866128</c:v>
                </c:pt>
                <c:pt idx="52">
                  <c:v>0.45971994810843597</c:v>
                </c:pt>
                <c:pt idx="53">
                  <c:v>0.49584046454534936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2-4994-A169-0793C58E4286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Netherlands!$A$44:$A$97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Netherlands!$AZ$44:$AZ$97</c:f>
              <c:numCache>
                <c:formatCode>0.0000</c:formatCode>
                <c:ptCount val="54"/>
                <c:pt idx="0">
                  <c:v>0.45797464357008982</c:v>
                </c:pt>
                <c:pt idx="1">
                  <c:v>0.42469873465840657</c:v>
                </c:pt>
                <c:pt idx="2">
                  <c:v>0.38684503598733561</c:v>
                </c:pt>
                <c:pt idx="3">
                  <c:v>0.33237798907049498</c:v>
                </c:pt>
                <c:pt idx="4">
                  <c:v>0.26524331150171465</c:v>
                </c:pt>
                <c:pt idx="5">
                  <c:v>0.28717285629320616</c:v>
                </c:pt>
                <c:pt idx="6">
                  <c:v>0.36375751322423255</c:v>
                </c:pt>
                <c:pt idx="7">
                  <c:v>0.40295431764571366</c:v>
                </c:pt>
                <c:pt idx="8">
                  <c:v>0.39016294768527948</c:v>
                </c:pt>
                <c:pt idx="9">
                  <c:v>0.55223494065447998</c:v>
                </c:pt>
                <c:pt idx="10">
                  <c:v>0.52204172751405564</c:v>
                </c:pt>
                <c:pt idx="11">
                  <c:v>0.52424780770109469</c:v>
                </c:pt>
                <c:pt idx="12">
                  <c:v>0.5108752690063908</c:v>
                </c:pt>
                <c:pt idx="13">
                  <c:v>0.47820671739630866</c:v>
                </c:pt>
                <c:pt idx="14">
                  <c:v>0.53718586217035047</c:v>
                </c:pt>
                <c:pt idx="15">
                  <c:v>0.64829782813001147</c:v>
                </c:pt>
                <c:pt idx="16">
                  <c:v>0.76416134834164273</c:v>
                </c:pt>
                <c:pt idx="17">
                  <c:v>0.72937976202383181</c:v>
                </c:pt>
                <c:pt idx="18">
                  <c:v>0.74830953475076334</c:v>
                </c:pt>
                <c:pt idx="19">
                  <c:v>0.83170139718718761</c:v>
                </c:pt>
                <c:pt idx="20">
                  <c:v>0.81054636039410055</c:v>
                </c:pt>
                <c:pt idx="21">
                  <c:v>0.5914902532768721</c:v>
                </c:pt>
                <c:pt idx="22">
                  <c:v>0.6011833016689726</c:v>
                </c:pt>
                <c:pt idx="23">
                  <c:v>0.45550947584858614</c:v>
                </c:pt>
                <c:pt idx="24">
                  <c:v>0.3827943158705861</c:v>
                </c:pt>
                <c:pt idx="25">
                  <c:v>0.39093660136816111</c:v>
                </c:pt>
                <c:pt idx="26">
                  <c:v>0.36795747803199441</c:v>
                </c:pt>
                <c:pt idx="27">
                  <c:v>0.34737580082595265</c:v>
                </c:pt>
                <c:pt idx="28">
                  <c:v>0.33655318288232983</c:v>
                </c:pt>
                <c:pt idx="29">
                  <c:v>0.32242055554928867</c:v>
                </c:pt>
                <c:pt idx="30">
                  <c:v>0.31416533291927229</c:v>
                </c:pt>
                <c:pt idx="31">
                  <c:v>0.33905982828217524</c:v>
                </c:pt>
                <c:pt idx="32">
                  <c:v>0.34629345583475757</c:v>
                </c:pt>
                <c:pt idx="33">
                  <c:v>0.30462123062572422</c:v>
                </c:pt>
                <c:pt idx="34">
                  <c:v>0.32737505015110735</c:v>
                </c:pt>
                <c:pt idx="35">
                  <c:v>0.45855633621384029</c:v>
                </c:pt>
                <c:pt idx="36">
                  <c:v>0.4220863149859756</c:v>
                </c:pt>
                <c:pt idx="37">
                  <c:v>0.41680817495631095</c:v>
                </c:pt>
                <c:pt idx="38">
                  <c:v>0.40693165967503975</c:v>
                </c:pt>
                <c:pt idx="39">
                  <c:v>0.43128985708755418</c:v>
                </c:pt>
                <c:pt idx="40">
                  <c:v>0.50139983600022298</c:v>
                </c:pt>
                <c:pt idx="41">
                  <c:v>0.54775999836657041</c:v>
                </c:pt>
                <c:pt idx="42">
                  <c:v>0.55383138080156402</c:v>
                </c:pt>
                <c:pt idx="43">
                  <c:v>0.59161786065283217</c:v>
                </c:pt>
                <c:pt idx="44">
                  <c:v>0.42492328451571432</c:v>
                </c:pt>
                <c:pt idx="45">
                  <c:v>0.54918860203017972</c:v>
                </c:pt>
                <c:pt idx="46">
                  <c:v>0.64400923250896847</c:v>
                </c:pt>
                <c:pt idx="47">
                  <c:v>0.67705418385809724</c:v>
                </c:pt>
                <c:pt idx="48">
                  <c:v>0.63803682729197864</c:v>
                </c:pt>
                <c:pt idx="49">
                  <c:v>0.59768928730331261</c:v>
                </c:pt>
                <c:pt idx="50">
                  <c:v>0.44673270431502798</c:v>
                </c:pt>
                <c:pt idx="51">
                  <c:v>0.4038062411531248</c:v>
                </c:pt>
                <c:pt idx="52">
                  <c:v>0.45169389190556319</c:v>
                </c:pt>
                <c:pt idx="53">
                  <c:v>0.51380459635876696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2-4994-A169-0793C58E4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468416"/>
        <c:axId val="163469952"/>
      </c:lineChart>
      <c:catAx>
        <c:axId val="1634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469952"/>
        <c:crosses val="autoZero"/>
        <c:auto val="1"/>
        <c:lblAlgn val="ctr"/>
        <c:lblOffset val="100"/>
        <c:noMultiLvlLbl val="0"/>
      </c:catAx>
      <c:valAx>
        <c:axId val="163469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2.6878853998671851E-2"/>
              <c:y val="0.3119382778765557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3468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820872595843552"/>
          <c:y val="0.13155808736198477"/>
          <c:w val="0.13134847601881089"/>
          <c:h val="0.1805133506356398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76998177775555E-2"/>
          <c:y val="3.4267036064936328E-2"/>
          <c:w val="0.79868933580754631"/>
          <c:h val="0.8634903275979392"/>
        </c:manualLayout>
      </c:layout>
      <c:lineChart>
        <c:grouping val="standard"/>
        <c:varyColors val="0"/>
        <c:ser>
          <c:idx val="0"/>
          <c:order val="1"/>
          <c:tx>
            <c:v> real energy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Australia!$BH$44:$BH$97</c:f>
              <c:numCache>
                <c:formatCode>0.00</c:formatCode>
                <c:ptCount val="54"/>
                <c:pt idx="0">
                  <c:v>57.888928324324311</c:v>
                </c:pt>
                <c:pt idx="1">
                  <c:v>59.388975006535944</c:v>
                </c:pt>
                <c:pt idx="2">
                  <c:v>61.421113910828041</c:v>
                </c:pt>
                <c:pt idx="3">
                  <c:v>60.284852226993848</c:v>
                </c:pt>
                <c:pt idx="4">
                  <c:v>60.054408443113758</c:v>
                </c:pt>
                <c:pt idx="5">
                  <c:v>60.456500000000005</c:v>
                </c:pt>
                <c:pt idx="6">
                  <c:v>58.961644444444431</c:v>
                </c:pt>
                <c:pt idx="7">
                  <c:v>55.484269430051818</c:v>
                </c:pt>
                <c:pt idx="8">
                  <c:v>54.946794117647066</c:v>
                </c:pt>
                <c:pt idx="9">
                  <c:v>58.830909090909095</c:v>
                </c:pt>
                <c:pt idx="10">
                  <c:v>65.619312267657989</c:v>
                </c:pt>
                <c:pt idx="11">
                  <c:v>65.688743421052621</c:v>
                </c:pt>
                <c:pt idx="12">
                  <c:v>61.9281676300578</c:v>
                </c:pt>
                <c:pt idx="13">
                  <c:v>65.262195250659644</c:v>
                </c:pt>
                <c:pt idx="14">
                  <c:v>89.980704878048783</c:v>
                </c:pt>
                <c:pt idx="15">
                  <c:v>100.23963495575221</c:v>
                </c:pt>
                <c:pt idx="16">
                  <c:v>102.36615789473686</c:v>
                </c:pt>
                <c:pt idx="17">
                  <c:v>100.91990476190479</c:v>
                </c:pt>
                <c:pt idx="18">
                  <c:v>95.706362889983581</c:v>
                </c:pt>
                <c:pt idx="19">
                  <c:v>94.246639999999999</c:v>
                </c:pt>
                <c:pt idx="20">
                  <c:v>101.24812241887905</c:v>
                </c:pt>
                <c:pt idx="21">
                  <c:v>72.473655782312932</c:v>
                </c:pt>
                <c:pt idx="22">
                  <c:v>66.332273631840792</c:v>
                </c:pt>
                <c:pt idx="23">
                  <c:v>55.918784472769417</c:v>
                </c:pt>
                <c:pt idx="24">
                  <c:v>52.820586393088561</c:v>
                </c:pt>
                <c:pt idx="25">
                  <c:v>66.176877000000019</c:v>
                </c:pt>
                <c:pt idx="26">
                  <c:v>57.327864197530872</c:v>
                </c:pt>
                <c:pt idx="27">
                  <c:v>57.313171481826672</c:v>
                </c:pt>
                <c:pt idx="28">
                  <c:v>56.403234317343184</c:v>
                </c:pt>
                <c:pt idx="29">
                  <c:v>45.805146739130429</c:v>
                </c:pt>
                <c:pt idx="30">
                  <c:v>44.511246707638293</c:v>
                </c:pt>
                <c:pt idx="31">
                  <c:v>43.952320977253585</c:v>
                </c:pt>
                <c:pt idx="32">
                  <c:v>42.945894430590201</c:v>
                </c:pt>
                <c:pt idx="33">
                  <c:v>36.082931837074014</c:v>
                </c:pt>
                <c:pt idx="34">
                  <c:v>38.117558292282425</c:v>
                </c:pt>
                <c:pt idx="35">
                  <c:v>60.324739422614265</c:v>
                </c:pt>
                <c:pt idx="36">
                  <c:v>54.912513608169448</c:v>
                </c:pt>
                <c:pt idx="37">
                  <c:v>51.984575882352949</c:v>
                </c:pt>
                <c:pt idx="38">
                  <c:v>54.801130955777467</c:v>
                </c:pt>
                <c:pt idx="39">
                  <c:v>61.818543972125454</c:v>
                </c:pt>
                <c:pt idx="40">
                  <c:v>74.475317959183656</c:v>
                </c:pt>
                <c:pt idx="41">
                  <c:v>86.585145154911004</c:v>
                </c:pt>
                <c:pt idx="42">
                  <c:v>84.139655156950681</c:v>
                </c:pt>
                <c:pt idx="43">
                  <c:v>97.663990086741038</c:v>
                </c:pt>
                <c:pt idx="44">
                  <c:v>73.395922656250008</c:v>
                </c:pt>
                <c:pt idx="45">
                  <c:v>76.514960940514527</c:v>
                </c:pt>
                <c:pt idx="46">
                  <c:v>87.401217062956604</c:v>
                </c:pt>
                <c:pt idx="47">
                  <c:v>87.849858261175882</c:v>
                </c:pt>
                <c:pt idx="48">
                  <c:v>88.037008306645077</c:v>
                </c:pt>
                <c:pt idx="49">
                  <c:v>86.604501436409137</c:v>
                </c:pt>
                <c:pt idx="50">
                  <c:v>69.201363706611545</c:v>
                </c:pt>
                <c:pt idx="51">
                  <c:v>58.748198210679604</c:v>
                </c:pt>
                <c:pt idx="52">
                  <c:v>66.001626299768333</c:v>
                </c:pt>
                <c:pt idx="53">
                  <c:v>76.120176701917387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E-4F48-9F1B-C18CFF321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75264"/>
        <c:axId val="106076800"/>
      </c:lineChart>
      <c:lineChart>
        <c:grouping val="standard"/>
        <c:varyColors val="0"/>
        <c:ser>
          <c:idx val="1"/>
          <c:order val="0"/>
          <c:tx>
            <c:v> real landed oil price (RHS)</c:v>
          </c:tx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Australia!$BJ$44:$BJ$97</c:f>
              <c:numCache>
                <c:formatCode>0.00</c:formatCode>
                <c:ptCount val="54"/>
                <c:pt idx="0">
                  <c:v>33.903831443904508</c:v>
                </c:pt>
                <c:pt idx="1">
                  <c:v>32.795863096064494</c:v>
                </c:pt>
                <c:pt idx="2">
                  <c:v>31.960299705081958</c:v>
                </c:pt>
                <c:pt idx="3">
                  <c:v>30.783846955201639</c:v>
                </c:pt>
                <c:pt idx="4">
                  <c:v>30.046509303580045</c:v>
                </c:pt>
                <c:pt idx="5">
                  <c:v>29.615080390922934</c:v>
                </c:pt>
                <c:pt idx="6">
                  <c:v>29.729707375699626</c:v>
                </c:pt>
                <c:pt idx="7">
                  <c:v>26.345888197577395</c:v>
                </c:pt>
                <c:pt idx="8">
                  <c:v>22.72781878738823</c:v>
                </c:pt>
                <c:pt idx="9">
                  <c:v>63.07039759432692</c:v>
                </c:pt>
                <c:pt idx="10">
                  <c:v>61.271589510726741</c:v>
                </c:pt>
                <c:pt idx="11">
                  <c:v>61.058958527256699</c:v>
                </c:pt>
                <c:pt idx="12">
                  <c:v>63.740469643193407</c:v>
                </c:pt>
                <c:pt idx="13">
                  <c:v>56.294591010590992</c:v>
                </c:pt>
                <c:pt idx="14">
                  <c:v>79.6345845441965</c:v>
                </c:pt>
                <c:pt idx="15">
                  <c:v>111.80977170396523</c:v>
                </c:pt>
                <c:pt idx="16">
                  <c:v>109.2281893552928</c:v>
                </c:pt>
                <c:pt idx="17">
                  <c:v>102.08844358057469</c:v>
                </c:pt>
                <c:pt idx="18">
                  <c:v>89.861729042143338</c:v>
                </c:pt>
                <c:pt idx="19">
                  <c:v>85.147606923291789</c:v>
                </c:pt>
                <c:pt idx="20">
                  <c:v>95.922202509204268</c:v>
                </c:pt>
                <c:pt idx="21">
                  <c:v>52.166043920250637</c:v>
                </c:pt>
                <c:pt idx="22">
                  <c:v>58.082162149253733</c:v>
                </c:pt>
                <c:pt idx="23">
                  <c:v>40.335517670818746</c:v>
                </c:pt>
                <c:pt idx="24">
                  <c:v>45.676958468970611</c:v>
                </c:pt>
                <c:pt idx="25">
                  <c:v>53.515617016766825</c:v>
                </c:pt>
                <c:pt idx="26">
                  <c:v>44.721298582098662</c:v>
                </c:pt>
                <c:pt idx="27">
                  <c:v>44.475952244268299</c:v>
                </c:pt>
                <c:pt idx="28">
                  <c:v>42.57880315719558</c:v>
                </c:pt>
                <c:pt idx="29">
                  <c:v>36.289502092089279</c:v>
                </c:pt>
                <c:pt idx="30">
                  <c:v>37.173946676404746</c:v>
                </c:pt>
                <c:pt idx="31">
                  <c:v>40.55397792541411</c:v>
                </c:pt>
                <c:pt idx="32">
                  <c:v>39.31127312169577</c:v>
                </c:pt>
                <c:pt idx="33">
                  <c:v>32.494548842089159</c:v>
                </c:pt>
                <c:pt idx="34">
                  <c:v>37.881439719211826</c:v>
                </c:pt>
                <c:pt idx="35">
                  <c:v>65.013378386527805</c:v>
                </c:pt>
                <c:pt idx="36">
                  <c:v>57.584060205597588</c:v>
                </c:pt>
                <c:pt idx="37">
                  <c:v>56.144031292279429</c:v>
                </c:pt>
                <c:pt idx="38">
                  <c:v>52.629973684676777</c:v>
                </c:pt>
                <c:pt idx="39">
                  <c:v>58.173860066463412</c:v>
                </c:pt>
                <c:pt idx="40">
                  <c:v>76.822364291700467</c:v>
                </c:pt>
                <c:pt idx="41">
                  <c:v>91.057869493075316</c:v>
                </c:pt>
                <c:pt idx="42">
                  <c:v>90.065471450928897</c:v>
                </c:pt>
                <c:pt idx="43">
                  <c:v>118.81035800645361</c:v>
                </c:pt>
                <c:pt idx="44">
                  <c:v>80.125381136192686</c:v>
                </c:pt>
                <c:pt idx="45">
                  <c:v>84.432852220655349</c:v>
                </c:pt>
                <c:pt idx="46">
                  <c:v>100.03630587653136</c:v>
                </c:pt>
                <c:pt idx="47">
                  <c:v>100.23620254517789</c:v>
                </c:pt>
                <c:pt idx="48">
                  <c:v>102.46141715284041</c:v>
                </c:pt>
                <c:pt idx="49">
                  <c:v>96.990113549768068</c:v>
                </c:pt>
                <c:pt idx="50">
                  <c:v>59.231178923944071</c:v>
                </c:pt>
                <c:pt idx="51">
                  <c:v>48.227149263955063</c:v>
                </c:pt>
                <c:pt idx="52">
                  <c:v>59.011296021850313</c:v>
                </c:pt>
                <c:pt idx="53">
                  <c:v>80.196133798275497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E-4F48-9F1B-C18CFF321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84224"/>
        <c:axId val="106082688"/>
      </c:lineChart>
      <c:catAx>
        <c:axId val="1060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076800"/>
        <c:crosses val="autoZero"/>
        <c:auto val="1"/>
        <c:lblAlgn val="ctr"/>
        <c:lblOffset val="100"/>
        <c:noMultiLvlLbl val="0"/>
      </c:catAx>
      <c:valAx>
        <c:axId val="10607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 sz="1000" b="0" i="0" u="none" strike="noStrike" baseline="0">
                    <a:effectLst/>
                  </a:rPr>
                  <a:t>2010c/l</a:t>
                </a:r>
                <a:r>
                  <a:rPr lang="en-AU" sz="1000" b="1" i="0" u="none" strike="noStrike" baseline="0"/>
                  <a:t> </a:t>
                </a:r>
                <a:endParaRPr lang="en-AU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06075264"/>
        <c:crosses val="autoZero"/>
        <c:crossBetween val="between"/>
      </c:valAx>
      <c:valAx>
        <c:axId val="106082688"/>
        <c:scaling>
          <c:orientation val="minMax"/>
          <c:max val="164"/>
          <c:min val="-67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AU" sz="1000" b="0" i="0" u="none" strike="noStrike" baseline="0">
                    <a:effectLst/>
                  </a:rPr>
                  <a:t>2010$A/b</a:t>
                </a:r>
                <a:r>
                  <a:rPr lang="en-AU" sz="1000" b="1" i="0" u="none" strike="noStrike" baseline="0"/>
                  <a:t> </a:t>
                </a:r>
                <a:endParaRPr lang="en-AU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06084224"/>
        <c:crosses val="max"/>
        <c:crossBetween val="between"/>
      </c:valAx>
      <c:catAx>
        <c:axId val="10608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082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30039152749218451"/>
          <c:y val="0.65406508214250991"/>
          <c:w val="0.31956600966280491"/>
          <c:h val="0.1980426752211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24264639333878"/>
          <c:y val="4.1165032942310803E-2"/>
          <c:w val="0.83445183576190907"/>
          <c:h val="0.83397779571182407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Netherlands!$A$44:$A$97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Netherlands!$AV$44:$AV$97</c:f>
              <c:numCache>
                <c:formatCode>0.0000</c:formatCode>
                <c:ptCount val="54"/>
                <c:pt idx="0">
                  <c:v>1.1526478100130249</c:v>
                </c:pt>
                <c:pt idx="1">
                  <c:v>1.15257586396484</c:v>
                </c:pt>
                <c:pt idx="2">
                  <c:v>1.1443958000353982</c:v>
                </c:pt>
                <c:pt idx="3">
                  <c:v>1.1398762621054024</c:v>
                </c:pt>
                <c:pt idx="4">
                  <c:v>1.0679234208568251</c:v>
                </c:pt>
                <c:pt idx="5">
                  <c:v>1.1482334475937968</c:v>
                </c:pt>
                <c:pt idx="6">
                  <c:v>1.2817235993494978</c:v>
                </c:pt>
                <c:pt idx="7">
                  <c:v>1.1658290184163347</c:v>
                </c:pt>
                <c:pt idx="8">
                  <c:v>1.3602829367626588</c:v>
                </c:pt>
                <c:pt idx="9">
                  <c:v>1.5602683820113263</c:v>
                </c:pt>
                <c:pt idx="10">
                  <c:v>1.1706864596719666</c:v>
                </c:pt>
                <c:pt idx="11">
                  <c:v>1.2839184544920921</c:v>
                </c:pt>
                <c:pt idx="12">
                  <c:v>1.1684021049335165</c:v>
                </c:pt>
                <c:pt idx="13">
                  <c:v>1.0715401529933903</c:v>
                </c:pt>
                <c:pt idx="14">
                  <c:v>1.1353192888289274</c:v>
                </c:pt>
                <c:pt idx="15">
                  <c:v>1.2862159226006944</c:v>
                </c:pt>
                <c:pt idx="16">
                  <c:v>1.418095614545815</c:v>
                </c:pt>
                <c:pt idx="17">
                  <c:v>1.3799458831073339</c:v>
                </c:pt>
                <c:pt idx="18">
                  <c:v>1.3387665892935066</c:v>
                </c:pt>
                <c:pt idx="19">
                  <c:v>1.3491376817949745</c:v>
                </c:pt>
                <c:pt idx="20">
                  <c:v>1.3438530887866083</c:v>
                </c:pt>
                <c:pt idx="21">
                  <c:v>1.087006344714059</c:v>
                </c:pt>
                <c:pt idx="22">
                  <c:v>1.1699597719890957</c:v>
                </c:pt>
                <c:pt idx="23">
                  <c:v>1.1505195587393533</c:v>
                </c:pt>
                <c:pt idx="24">
                  <c:v>1.2629960283652559</c:v>
                </c:pt>
                <c:pt idx="25">
                  <c:v>1.1231226744929561</c:v>
                </c:pt>
                <c:pt idx="26">
                  <c:v>1.2595678838525313</c:v>
                </c:pt>
                <c:pt idx="27">
                  <c:v>1.1561342800352279</c:v>
                </c:pt>
                <c:pt idx="28">
                  <c:v>1.1324877548678951</c:v>
                </c:pt>
                <c:pt idx="29">
                  <c:v>1.2170955580464005</c:v>
                </c:pt>
                <c:pt idx="30">
                  <c:v>1.1488061230824014</c:v>
                </c:pt>
                <c:pt idx="31">
                  <c:v>1.2045215111480443</c:v>
                </c:pt>
                <c:pt idx="32">
                  <c:v>1.2499928426569031</c:v>
                </c:pt>
                <c:pt idx="33">
                  <c:v>1.2048840091442024</c:v>
                </c:pt>
                <c:pt idx="34">
                  <c:v>1.2414638187991192</c:v>
                </c:pt>
                <c:pt idx="35">
                  <c:v>1.4162897542995145</c:v>
                </c:pt>
                <c:pt idx="36">
                  <c:v>1.345628872534969</c:v>
                </c:pt>
                <c:pt idx="37">
                  <c:v>1.2982702051178616</c:v>
                </c:pt>
                <c:pt idx="38">
                  <c:v>1.2880817494767858</c:v>
                </c:pt>
                <c:pt idx="39">
                  <c:v>1.3744193519371122</c:v>
                </c:pt>
                <c:pt idx="40">
                  <c:v>1.4597596957345171</c:v>
                </c:pt>
                <c:pt idx="41">
                  <c:v>1.5101477569151589</c:v>
                </c:pt>
                <c:pt idx="42">
                  <c:v>1.5323711858726001</c:v>
                </c:pt>
                <c:pt idx="43">
                  <c:v>1.5751273733053719</c:v>
                </c:pt>
                <c:pt idx="44">
                  <c:v>1.3601306767899999</c:v>
                </c:pt>
                <c:pt idx="45">
                  <c:v>1.5029999999999999</c:v>
                </c:pt>
                <c:pt idx="46">
                  <c:v>1.6014614092780999</c:v>
                </c:pt>
                <c:pt idx="47">
                  <c:v>1.678911919823193</c:v>
                </c:pt>
                <c:pt idx="48">
                  <c:v>1.6166820216655529</c:v>
                </c:pt>
                <c:pt idx="49">
                  <c:v>1.5681157348607064</c:v>
                </c:pt>
                <c:pt idx="50">
                  <c:v>1.4318566154697727</c:v>
                </c:pt>
                <c:pt idx="51">
                  <c:v>1.348501694148325</c:v>
                </c:pt>
                <c:pt idx="52">
                  <c:v>1.3976498268546269</c:v>
                </c:pt>
                <c:pt idx="53">
                  <c:v>1.4431431670611747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7-4263-9E15-5741BDFF05CA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Netherlands!$A$44:$A$97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Netherlands!$AW$44:$AW$97</c:f>
              <c:numCache>
                <c:formatCode>0.0000</c:formatCode>
                <c:ptCount val="54"/>
                <c:pt idx="0">
                  <c:v>1.163395103298061</c:v>
                </c:pt>
                <c:pt idx="1">
                  <c:v>1.1542792565481503</c:v>
                </c:pt>
                <c:pt idx="2">
                  <c:v>1.1352798892104863</c:v>
                </c:pt>
                <c:pt idx="3">
                  <c:v>1.15422877404849</c:v>
                </c:pt>
                <c:pt idx="4">
                  <c:v>1.0619141834609063</c:v>
                </c:pt>
                <c:pt idx="5">
                  <c:v>1.1426067747505848</c:v>
                </c:pt>
                <c:pt idx="6">
                  <c:v>1.2942888463519679</c:v>
                </c:pt>
                <c:pt idx="7">
                  <c:v>1.1082808737875962</c:v>
                </c:pt>
                <c:pt idx="8">
                  <c:v>1.3192361934941754</c:v>
                </c:pt>
                <c:pt idx="9">
                  <c:v>1.5383245580856382</c:v>
                </c:pt>
                <c:pt idx="10">
                  <c:v>1.2244536033172355</c:v>
                </c:pt>
                <c:pt idx="11">
                  <c:v>1.3151415756682234</c:v>
                </c:pt>
                <c:pt idx="12">
                  <c:v>1.2271057593306365</c:v>
                </c:pt>
                <c:pt idx="13">
                  <c:v>1.0846984439905678</c:v>
                </c:pt>
                <c:pt idx="14">
                  <c:v>1.1457170009826556</c:v>
                </c:pt>
                <c:pt idx="15">
                  <c:v>1.3119852441919697</c:v>
                </c:pt>
                <c:pt idx="16">
                  <c:v>1.4207396178763552</c:v>
                </c:pt>
                <c:pt idx="17">
                  <c:v>1.4221125953437135</c:v>
                </c:pt>
                <c:pt idx="18">
                  <c:v>1.3440606669863737</c:v>
                </c:pt>
                <c:pt idx="19">
                  <c:v>1.3443737162692779</c:v>
                </c:pt>
                <c:pt idx="20">
                  <c:v>1.3212105341330118</c:v>
                </c:pt>
                <c:pt idx="21">
                  <c:v>1.1023832352924798</c:v>
                </c:pt>
                <c:pt idx="22">
                  <c:v>1.1042660036242837</c:v>
                </c:pt>
                <c:pt idx="23">
                  <c:v>1.1803367978543786</c:v>
                </c:pt>
                <c:pt idx="24">
                  <c:v>1.216371694591655</c:v>
                </c:pt>
                <c:pt idx="25">
                  <c:v>1.1328047745862213</c:v>
                </c:pt>
                <c:pt idx="26">
                  <c:v>1.1890135634725723</c:v>
                </c:pt>
                <c:pt idx="27">
                  <c:v>1.1928044382935414</c:v>
                </c:pt>
                <c:pt idx="28">
                  <c:v>1.1548278543699508</c:v>
                </c:pt>
                <c:pt idx="29">
                  <c:v>1.2061121999898154</c:v>
                </c:pt>
                <c:pt idx="30">
                  <c:v>1.1744319959722993</c:v>
                </c:pt>
                <c:pt idx="31">
                  <c:v>1.2088824502481839</c:v>
                </c:pt>
                <c:pt idx="32">
                  <c:v>1.2511484766306422</c:v>
                </c:pt>
                <c:pt idx="33">
                  <c:v>1.219405362742751</c:v>
                </c:pt>
                <c:pt idx="34">
                  <c:v>1.2455687172564769</c:v>
                </c:pt>
                <c:pt idx="35">
                  <c:v>1.3983939558176948</c:v>
                </c:pt>
                <c:pt idx="36">
                  <c:v>1.3531186303087717</c:v>
                </c:pt>
                <c:pt idx="37">
                  <c:v>1.339051508506055</c:v>
                </c:pt>
                <c:pt idx="38">
                  <c:v>1.2971977741092058</c:v>
                </c:pt>
                <c:pt idx="39">
                  <c:v>1.3511179880890407</c:v>
                </c:pt>
                <c:pt idx="40">
                  <c:v>1.455712928321319</c:v>
                </c:pt>
                <c:pt idx="41">
                  <c:v>1.5103317749615588</c:v>
                </c:pt>
                <c:pt idx="42">
                  <c:v>1.5200440117748739</c:v>
                </c:pt>
                <c:pt idx="43">
                  <c:v>1.557398817808834</c:v>
                </c:pt>
                <c:pt idx="44">
                  <c:v>1.3601306767899999</c:v>
                </c:pt>
                <c:pt idx="45">
                  <c:v>1.5091633919461458</c:v>
                </c:pt>
                <c:pt idx="46">
                  <c:v>1.6015442369292416</c:v>
                </c:pt>
                <c:pt idx="47">
                  <c:v>1.641778947972274</c:v>
                </c:pt>
                <c:pt idx="48">
                  <c:v>1.6132043734429611</c:v>
                </c:pt>
                <c:pt idx="49">
                  <c:v>1.5693973404382009</c:v>
                </c:pt>
                <c:pt idx="50">
                  <c:v>1.3968739633500771</c:v>
                </c:pt>
                <c:pt idx="51">
                  <c:v>1.3407627870927885</c:v>
                </c:pt>
                <c:pt idx="52">
                  <c:v>1.3896237706517542</c:v>
                </c:pt>
                <c:pt idx="53">
                  <c:v>1.4611072988745923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7-4263-9E15-5741BDFF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59136"/>
        <c:axId val="163260672"/>
      </c:lineChart>
      <c:catAx>
        <c:axId val="1632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260672"/>
        <c:crosses val="autoZero"/>
        <c:auto val="1"/>
        <c:lblAlgn val="ctr"/>
        <c:lblOffset val="100"/>
        <c:noMultiLvlLbl val="0"/>
      </c:catAx>
      <c:valAx>
        <c:axId val="163260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142290403354753E-2"/>
              <c:y val="0.30276744069411704"/>
            </c:manualLayout>
          </c:layout>
          <c:overlay val="0"/>
        </c:title>
        <c:numFmt formatCode="0.0000" sourceLinked="1"/>
        <c:majorTickMark val="out"/>
        <c:minorTickMark val="none"/>
        <c:tickLblPos val="nextTo"/>
        <c:crossAx val="16325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602347120403051"/>
          <c:y val="0.50550308635243302"/>
          <c:w val="0.1625747428123209"/>
          <c:h val="0.18511374790062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3648293963253"/>
          <c:y val="5.0925925925925923E-2"/>
          <c:w val="0.85130796150481203"/>
          <c:h val="0.81329469233012541"/>
        </c:manualLayout>
      </c:layout>
      <c:lineChart>
        <c:grouping val="standard"/>
        <c:varyColors val="0"/>
        <c:ser>
          <c:idx val="0"/>
          <c:order val="0"/>
          <c:tx>
            <c:strRef>
              <c:f>Netherlands!$Y$121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Netherlands!$A$122:$A$142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Netherlands!$Y$122:$Y$142</c:f>
              <c:numCache>
                <c:formatCode>0</c:formatCode>
                <c:ptCount val="21"/>
                <c:pt idx="0">
                  <c:v>169.53077797844222</c:v>
                </c:pt>
                <c:pt idx="1">
                  <c:v>180.63672562699185</c:v>
                </c:pt>
                <c:pt idx="2">
                  <c:v>189.37275044903922</c:v>
                </c:pt>
                <c:pt idx="3">
                  <c:v>182.35353351744644</c:v>
                </c:pt>
                <c:pt idx="4">
                  <c:v>176.87550265547054</c:v>
                </c:pt>
                <c:pt idx="5">
                  <c:v>161.5061649861409</c:v>
                </c:pt>
                <c:pt idx="6">
                  <c:v>152.10415257099993</c:v>
                </c:pt>
                <c:pt idx="7">
                  <c:v>157.6478127</c:v>
                </c:pt>
                <c:pt idx="8">
                  <c:v>162.77923076923085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F-4332-B454-F26561C9DDE6}"/>
            </c:ext>
          </c:extLst>
        </c:ser>
        <c:ser>
          <c:idx val="1"/>
          <c:order val="1"/>
          <c:tx>
            <c:strRef>
              <c:f>Netherlands!$Z$121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Netherlands!$A$122:$A$142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Netherlands!$Z$122:$Z$142</c:f>
              <c:numCache>
                <c:formatCode>0</c:formatCode>
                <c:ptCount val="21"/>
                <c:pt idx="0">
                  <c:v>170.35806521172455</c:v>
                </c:pt>
                <c:pt idx="1">
                  <c:v>180.64784324841708</c:v>
                </c:pt>
                <c:pt idx="2">
                  <c:v>184.38854145916557</c:v>
                </c:pt>
                <c:pt idx="3">
                  <c:v>181.87889760624171</c:v>
                </c:pt>
                <c:pt idx="4">
                  <c:v>177.05041857339671</c:v>
                </c:pt>
                <c:pt idx="5">
                  <c:v>156.73166742272281</c:v>
                </c:pt>
                <c:pt idx="6">
                  <c:v>151.04793211196343</c:v>
                </c:pt>
                <c:pt idx="7">
                  <c:v>156.55240159013451</c:v>
                </c:pt>
                <c:pt idx="8">
                  <c:v>165.23100896142216</c:v>
                </c:pt>
                <c:pt idx="9">
                  <c:v>186.81343693572228</c:v>
                </c:pt>
                <c:pt idx="10">
                  <c:v>197.05283281955298</c:v>
                </c:pt>
                <c:pt idx="11">
                  <c:v>207.89454610831487</c:v>
                </c:pt>
                <c:pt idx="12">
                  <c:v>212.71308534776458</c:v>
                </c:pt>
                <c:pt idx="13">
                  <c:v>216.3269897773518</c:v>
                </c:pt>
                <c:pt idx="14">
                  <c:v>219.33857680200794</c:v>
                </c:pt>
                <c:pt idx="15">
                  <c:v>222.35016382666396</c:v>
                </c:pt>
                <c:pt idx="16">
                  <c:v>225.36175085132001</c:v>
                </c:pt>
                <c:pt idx="17">
                  <c:v>228.37333787597615</c:v>
                </c:pt>
                <c:pt idx="18">
                  <c:v>230.78260749570109</c:v>
                </c:pt>
                <c:pt idx="19">
                  <c:v>233.79419452035708</c:v>
                </c:pt>
                <c:pt idx="20">
                  <c:v>235.60114673515068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F-4332-B454-F26561C9DDE6}"/>
            </c:ext>
          </c:extLst>
        </c:ser>
        <c:ser>
          <c:idx val="3"/>
          <c:order val="2"/>
          <c:tx>
            <c:strRef>
              <c:f>Netherlands!$AB$121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Netherlands!$A$122:$A$142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Netherlands!$AB$122:$AB$142</c:f>
              <c:numCache>
                <c:formatCode>0</c:formatCode>
                <c:ptCount val="21"/>
                <c:pt idx="0">
                  <c:v>170.35806521172455</c:v>
                </c:pt>
                <c:pt idx="1">
                  <c:v>180.64784324841708</c:v>
                </c:pt>
                <c:pt idx="2">
                  <c:v>184.38854145916557</c:v>
                </c:pt>
                <c:pt idx="3">
                  <c:v>181.87889760624171</c:v>
                </c:pt>
                <c:pt idx="4">
                  <c:v>177.05041857339671</c:v>
                </c:pt>
                <c:pt idx="5">
                  <c:v>156.73166742272281</c:v>
                </c:pt>
                <c:pt idx="6">
                  <c:v>151.04793211196343</c:v>
                </c:pt>
                <c:pt idx="7">
                  <c:v>156.55240159013451</c:v>
                </c:pt>
                <c:pt idx="8">
                  <c:v>165.23100896142216</c:v>
                </c:pt>
                <c:pt idx="9">
                  <c:v>141.63963156588122</c:v>
                </c:pt>
                <c:pt idx="10">
                  <c:v>142.24194897081242</c:v>
                </c:pt>
                <c:pt idx="11">
                  <c:v>143.44658378067484</c:v>
                </c:pt>
                <c:pt idx="12">
                  <c:v>144.0489011856061</c:v>
                </c:pt>
                <c:pt idx="13">
                  <c:v>144.0489011856061</c:v>
                </c:pt>
                <c:pt idx="14">
                  <c:v>144.0489011856061</c:v>
                </c:pt>
                <c:pt idx="15">
                  <c:v>144.65121859053727</c:v>
                </c:pt>
                <c:pt idx="16">
                  <c:v>145.2535359954685</c:v>
                </c:pt>
                <c:pt idx="17">
                  <c:v>145.85585340039972</c:v>
                </c:pt>
                <c:pt idx="18">
                  <c:v>145.85585340039972</c:v>
                </c:pt>
                <c:pt idx="19">
                  <c:v>145.85585340039972</c:v>
                </c:pt>
                <c:pt idx="20">
                  <c:v>146.45817080533092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FF-4332-B454-F26561C9DDE6}"/>
            </c:ext>
          </c:extLst>
        </c:ser>
        <c:ser>
          <c:idx val="2"/>
          <c:order val="3"/>
          <c:tx>
            <c:strRef>
              <c:f>Netherlands!$AA$121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Netherlands!$A$122:$A$142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Netherlands!$AA$122:$AA$142</c:f>
              <c:numCache>
                <c:formatCode>0</c:formatCode>
                <c:ptCount val="21"/>
                <c:pt idx="0">
                  <c:v>170.35806521172455</c:v>
                </c:pt>
                <c:pt idx="1">
                  <c:v>180.64784324841708</c:v>
                </c:pt>
                <c:pt idx="2">
                  <c:v>184.38854145916557</c:v>
                </c:pt>
                <c:pt idx="3">
                  <c:v>181.87889760624171</c:v>
                </c:pt>
                <c:pt idx="4">
                  <c:v>177.05041857339671</c:v>
                </c:pt>
                <c:pt idx="5">
                  <c:v>156.73166742272281</c:v>
                </c:pt>
                <c:pt idx="6">
                  <c:v>151.04793211196343</c:v>
                </c:pt>
                <c:pt idx="7">
                  <c:v>156.55240159013451</c:v>
                </c:pt>
                <c:pt idx="8">
                  <c:v>165.23100896142216</c:v>
                </c:pt>
                <c:pt idx="9">
                  <c:v>162.66964416642048</c:v>
                </c:pt>
                <c:pt idx="10">
                  <c:v>162.831461941724</c:v>
                </c:pt>
                <c:pt idx="11">
                  <c:v>167.5989844727616</c:v>
                </c:pt>
                <c:pt idx="12">
                  <c:v>171.14873281319058</c:v>
                </c:pt>
                <c:pt idx="13">
                  <c:v>172.78220727300808</c:v>
                </c:pt>
                <c:pt idx="14">
                  <c:v>173.21407748721174</c:v>
                </c:pt>
                <c:pt idx="15">
                  <c:v>175.4738050602308</c:v>
                </c:pt>
                <c:pt idx="16">
                  <c:v>179.44553956331359</c:v>
                </c:pt>
                <c:pt idx="17">
                  <c:v>181.49247102959359</c:v>
                </c:pt>
                <c:pt idx="18">
                  <c:v>182.78822971848979</c:v>
                </c:pt>
                <c:pt idx="19">
                  <c:v>184.5445441731556</c:v>
                </c:pt>
                <c:pt idx="20">
                  <c:v>185.88747322568099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F-4332-B454-F26561C9D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552608"/>
        <c:axId val="1199554576"/>
      </c:lineChart>
      <c:catAx>
        <c:axId val="11995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54576"/>
        <c:crosses val="autoZero"/>
        <c:auto val="1"/>
        <c:lblAlgn val="ctr"/>
        <c:lblOffset val="100"/>
        <c:noMultiLvlLbl val="0"/>
      </c:catAx>
      <c:valAx>
        <c:axId val="11995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 cents per litre</a:t>
                </a:r>
              </a:p>
            </c:rich>
          </c:tx>
          <c:layout>
            <c:manualLayout>
              <c:xMode val="edge"/>
              <c:yMode val="edge"/>
              <c:x val="2.208223972003499E-3"/>
              <c:y val="0.259621609798775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5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126837270341211"/>
          <c:y val="0.44965223097112861"/>
          <c:w val="0.23801881014873141"/>
          <c:h val="0.34201443569553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25304223335718E-2"/>
          <c:y val="4.2553165565625085E-2"/>
          <c:w val="0.81854939155332851"/>
          <c:h val="0.8207802002587915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Netherlands!$AM$44:$AM$97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Netherlands!$AY$44:$AY$97</c:f>
              <c:numCache>
                <c:formatCode>0.0000</c:formatCode>
                <c:ptCount val="54"/>
                <c:pt idx="0">
                  <c:v>0.44722735028505367</c:v>
                </c:pt>
                <c:pt idx="1">
                  <c:v>0.42299534207509626</c:v>
                </c:pt>
                <c:pt idx="2">
                  <c:v>0.39596094681224758</c:v>
                </c:pt>
                <c:pt idx="3">
                  <c:v>0.31802547712740725</c:v>
                </c:pt>
                <c:pt idx="4">
                  <c:v>0.27125254889763339</c:v>
                </c:pt>
                <c:pt idx="5">
                  <c:v>0.29279952913641816</c:v>
                </c:pt>
                <c:pt idx="6">
                  <c:v>0.35119226622176236</c:v>
                </c:pt>
                <c:pt idx="7">
                  <c:v>0.46050246227445224</c:v>
                </c:pt>
                <c:pt idx="8">
                  <c:v>0.43120969095376294</c:v>
                </c:pt>
                <c:pt idx="9">
                  <c:v>0.57417876458016814</c:v>
                </c:pt>
                <c:pt idx="10">
                  <c:v>0.46827458386878673</c:v>
                </c:pt>
                <c:pt idx="11">
                  <c:v>0.49302468652496345</c:v>
                </c:pt>
                <c:pt idx="12">
                  <c:v>0.4521716146092708</c:v>
                </c:pt>
                <c:pt idx="13">
                  <c:v>0.46504842639913124</c:v>
                </c:pt>
                <c:pt idx="14">
                  <c:v>0.52678815001662238</c:v>
                </c:pt>
                <c:pt idx="15">
                  <c:v>0.62252850653873615</c:v>
                </c:pt>
                <c:pt idx="16">
                  <c:v>0.76151734501110269</c:v>
                </c:pt>
                <c:pt idx="17">
                  <c:v>0.68721304978745223</c:v>
                </c:pt>
                <c:pt idx="18">
                  <c:v>0.74301545705789618</c:v>
                </c:pt>
                <c:pt idx="19">
                  <c:v>0.83646536271288419</c:v>
                </c:pt>
                <c:pt idx="20">
                  <c:v>0.8331889150476971</c:v>
                </c:pt>
                <c:pt idx="21">
                  <c:v>0.57611336269845126</c:v>
                </c:pt>
                <c:pt idx="22">
                  <c:v>0.6668770700337846</c:v>
                </c:pt>
                <c:pt idx="23">
                  <c:v>0.42569223673356071</c:v>
                </c:pt>
                <c:pt idx="24">
                  <c:v>0.42941864964418697</c:v>
                </c:pt>
                <c:pt idx="25">
                  <c:v>0.38125450127489591</c:v>
                </c:pt>
                <c:pt idx="26">
                  <c:v>0.43851179841195354</c:v>
                </c:pt>
                <c:pt idx="27">
                  <c:v>0.31070564256763911</c:v>
                </c:pt>
                <c:pt idx="28">
                  <c:v>0.31421308338027398</c:v>
                </c:pt>
                <c:pt idx="29">
                  <c:v>0.33340391360587363</c:v>
                </c:pt>
                <c:pt idx="30">
                  <c:v>0.28853946002937436</c:v>
                </c:pt>
                <c:pt idx="31">
                  <c:v>0.33469888918203572</c:v>
                </c:pt>
                <c:pt idx="32">
                  <c:v>0.34513782186101838</c:v>
                </c:pt>
                <c:pt idx="33">
                  <c:v>0.29009987702717543</c:v>
                </c:pt>
                <c:pt idx="34">
                  <c:v>0.32327015169374951</c:v>
                </c:pt>
                <c:pt idx="35">
                  <c:v>0.47645213469566006</c:v>
                </c:pt>
                <c:pt idx="36">
                  <c:v>0.41459655721217292</c:v>
                </c:pt>
                <c:pt idx="37">
                  <c:v>0.37602687156811765</c:v>
                </c:pt>
                <c:pt idx="38">
                  <c:v>0.39781563504261985</c:v>
                </c:pt>
                <c:pt idx="39">
                  <c:v>0.45459122093562565</c:v>
                </c:pt>
                <c:pt idx="40">
                  <c:v>0.50544660341342107</c:v>
                </c:pt>
                <c:pt idx="41">
                  <c:v>0.54757598032017063</c:v>
                </c:pt>
                <c:pt idx="42">
                  <c:v>0.56615855489929023</c:v>
                </c:pt>
                <c:pt idx="43">
                  <c:v>0.60934641614937013</c:v>
                </c:pt>
                <c:pt idx="44">
                  <c:v>0.42492328451571426</c:v>
                </c:pt>
                <c:pt idx="45">
                  <c:v>0.5430252100840337</c:v>
                </c:pt>
                <c:pt idx="46">
                  <c:v>0.6439264048578266</c:v>
                </c:pt>
                <c:pt idx="47">
                  <c:v>0.71418715570901636</c:v>
                </c:pt>
                <c:pt idx="48">
                  <c:v>0.64151447551457041</c:v>
                </c:pt>
                <c:pt idx="49">
                  <c:v>0.59640768172581815</c:v>
                </c:pt>
                <c:pt idx="50">
                  <c:v>0.48171535643472363</c:v>
                </c:pt>
                <c:pt idx="51">
                  <c:v>0.41154514820866128</c:v>
                </c:pt>
                <c:pt idx="52">
                  <c:v>0.45971994810843597</c:v>
                </c:pt>
                <c:pt idx="53">
                  <c:v>0.49584046454534936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8-42D7-AE73-5F0F6944F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758392"/>
        <c:axId val="909750192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Netherlands!$AM$44:$AM$97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Netherlands!$BA$44:$BA$97</c:f>
              <c:numCache>
                <c:formatCode>0.00</c:formatCode>
                <c:ptCount val="54"/>
                <c:pt idx="0">
                  <c:v>27.365039357865406</c:v>
                </c:pt>
                <c:pt idx="1">
                  <c:v>25.874135204832328</c:v>
                </c:pt>
                <c:pt idx="2">
                  <c:v>25.009958360514378</c:v>
                </c:pt>
                <c:pt idx="3">
                  <c:v>24.112771794356277</c:v>
                </c:pt>
                <c:pt idx="4">
                  <c:v>22.446815814016844</c:v>
                </c:pt>
                <c:pt idx="5">
                  <c:v>21.980473321928045</c:v>
                </c:pt>
                <c:pt idx="6">
                  <c:v>21.027363055658689</c:v>
                </c:pt>
                <c:pt idx="7">
                  <c:v>17.874038788144723</c:v>
                </c:pt>
                <c:pt idx="8">
                  <c:v>15.667528784026366</c:v>
                </c:pt>
                <c:pt idx="9">
                  <c:v>43.624930921569025</c:v>
                </c:pt>
                <c:pt idx="10">
                  <c:v>38.416604756592477</c:v>
                </c:pt>
                <c:pt idx="11">
                  <c:v>38.797153362226254</c:v>
                </c:pt>
                <c:pt idx="12">
                  <c:v>36.490391811149784</c:v>
                </c:pt>
                <c:pt idx="13">
                  <c:v>30.855070014448632</c:v>
                </c:pt>
                <c:pt idx="14">
                  <c:v>41.028966429047458</c:v>
                </c:pt>
                <c:pt idx="15">
                  <c:v>60.195769142564515</c:v>
                </c:pt>
                <c:pt idx="16">
                  <c:v>76.267301029609143</c:v>
                </c:pt>
                <c:pt idx="17">
                  <c:v>70.267480962896684</c:v>
                </c:pt>
                <c:pt idx="18">
                  <c:v>63.745581196611859</c:v>
                </c:pt>
                <c:pt idx="19">
                  <c:v>68.34338528302861</c:v>
                </c:pt>
                <c:pt idx="20">
                  <c:v>64.694143609476555</c:v>
                </c:pt>
                <c:pt idx="21">
                  <c:v>26.90698763537311</c:v>
                </c:pt>
                <c:pt idx="22">
                  <c:v>28.579037487244268</c:v>
                </c:pt>
                <c:pt idx="23">
                  <c:v>23.024884732342016</c:v>
                </c:pt>
                <c:pt idx="24">
                  <c:v>30.056094340212823</c:v>
                </c:pt>
                <c:pt idx="25">
                  <c:v>31.460637752088083</c:v>
                </c:pt>
                <c:pt idx="26">
                  <c:v>27.496741337243051</c:v>
                </c:pt>
                <c:pt idx="27">
                  <c:v>23.946404133555106</c:v>
                </c:pt>
                <c:pt idx="28">
                  <c:v>22.079503650086945</c:v>
                </c:pt>
                <c:pt idx="29">
                  <c:v>19.641626886981157</c:v>
                </c:pt>
                <c:pt idx="30">
                  <c:v>18.217601831361776</c:v>
                </c:pt>
                <c:pt idx="31">
                  <c:v>22.511899724052771</c:v>
                </c:pt>
                <c:pt idx="32">
                  <c:v>23.759699733763178</c:v>
                </c:pt>
                <c:pt idx="33">
                  <c:v>16.571245166189684</c:v>
                </c:pt>
                <c:pt idx="34">
                  <c:v>20.496276696819997</c:v>
                </c:pt>
                <c:pt idx="35">
                  <c:v>36.575731742362699</c:v>
                </c:pt>
                <c:pt idx="36">
                  <c:v>30.284656827118745</c:v>
                </c:pt>
                <c:pt idx="37">
                  <c:v>29.374178214224557</c:v>
                </c:pt>
                <c:pt idx="38">
                  <c:v>27.670480342818983</c:v>
                </c:pt>
                <c:pt idx="39">
                  <c:v>31.872266894161825</c:v>
                </c:pt>
                <c:pt idx="40">
                  <c:v>43.96623105420398</c:v>
                </c:pt>
                <c:pt idx="41">
                  <c:v>51.963354299822697</c:v>
                </c:pt>
                <c:pt idx="42">
                  <c:v>53.010667146146432</c:v>
                </c:pt>
                <c:pt idx="43">
                  <c:v>66.078134362722224</c:v>
                </c:pt>
                <c:pt idx="44">
                  <c:v>44.514337361956208</c:v>
                </c:pt>
                <c:pt idx="45">
                  <c:v>58.759091609069415</c:v>
                </c:pt>
                <c:pt idx="46">
                  <c:v>75.115640625743779</c:v>
                </c:pt>
                <c:pt idx="47">
                  <c:v>80.815891338762981</c:v>
                </c:pt>
                <c:pt idx="48">
                  <c:v>74.085401339357801</c:v>
                </c:pt>
                <c:pt idx="49">
                  <c:v>67.125454836212853</c:v>
                </c:pt>
                <c:pt idx="50">
                  <c:v>41.085459778492897</c:v>
                </c:pt>
                <c:pt idx="51">
                  <c:v>33.680649292897144</c:v>
                </c:pt>
                <c:pt idx="52">
                  <c:v>41.941264128197766</c:v>
                </c:pt>
                <c:pt idx="53">
                  <c:v>52.655354265747135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8-42D7-AE73-5F0F6944F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53336"/>
        <c:axId val="953345464"/>
      </c:lineChart>
      <c:catAx>
        <c:axId val="90975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750192"/>
        <c:crosses val="autoZero"/>
        <c:auto val="1"/>
        <c:lblAlgn val="ctr"/>
        <c:lblOffset val="100"/>
        <c:noMultiLvlLbl val="0"/>
      </c:catAx>
      <c:valAx>
        <c:axId val="90975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euro per litre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758392"/>
        <c:crosses val="autoZero"/>
        <c:crossBetween val="between"/>
      </c:valAx>
      <c:valAx>
        <c:axId val="953345464"/>
        <c:scaling>
          <c:orientation val="minMax"/>
          <c:max val="117"/>
          <c:min val="-3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euros per barrel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353336"/>
        <c:crosses val="max"/>
        <c:crossBetween val="between"/>
      </c:valAx>
      <c:catAx>
        <c:axId val="953353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3345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259735146743024"/>
          <c:y val="4.4971111365624643E-2"/>
          <c:w val="0.22935075161059412"/>
          <c:h val="0.17359803006562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24264639333878"/>
          <c:y val="4.1165032942310803E-2"/>
          <c:w val="0.83445183576190907"/>
          <c:h val="0.83397779571182407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Netherlands!$A$44:$A$97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Netherlands!$BG$44:$BG$97</c:f>
              <c:numCache>
                <c:formatCode>0.0000</c:formatCode>
                <c:ptCount val="54"/>
                <c:pt idx="0">
                  <c:v>1.3001282765579227</c:v>
                </c:pt>
                <c:pt idx="1">
                  <c:v>1.3000471250641021</c:v>
                </c:pt>
                <c:pt idx="2">
                  <c:v>1.2908204277795265</c:v>
                </c:pt>
                <c:pt idx="3">
                  <c:v>1.2857226181895383</c:v>
                </c:pt>
                <c:pt idx="4">
                  <c:v>1.2045634621374381</c:v>
                </c:pt>
                <c:pt idx="5">
                  <c:v>1.295149099610414</c:v>
                </c:pt>
                <c:pt idx="6">
                  <c:v>1.4457192212312011</c:v>
                </c:pt>
                <c:pt idx="7">
                  <c:v>1.3149960111907177</c:v>
                </c:pt>
                <c:pt idx="8">
                  <c:v>1.5343301699279686</c:v>
                </c:pt>
                <c:pt idx="9">
                  <c:v>1.7599036104959778</c:v>
                </c:pt>
                <c:pt idx="10">
                  <c:v>1.3204749585962525</c:v>
                </c:pt>
                <c:pt idx="11">
                  <c:v>1.4481949065264375</c:v>
                </c:pt>
                <c:pt idx="12">
                  <c:v>1.3178983222955991</c:v>
                </c:pt>
                <c:pt idx="13">
                  <c:v>1.208642952575572</c:v>
                </c:pt>
                <c:pt idx="14">
                  <c:v>1.2805825834271445</c:v>
                </c:pt>
                <c:pt idx="15">
                  <c:v>1.4507863340436165</c:v>
                </c:pt>
                <c:pt idx="16">
                  <c:v>1.5995399386677922</c:v>
                </c:pt>
                <c:pt idx="17">
                  <c:v>1.556508976256386</c:v>
                </c:pt>
                <c:pt idx="18">
                  <c:v>1.510060821120917</c:v>
                </c:pt>
                <c:pt idx="19">
                  <c:v>1.5217588875231809</c:v>
                </c:pt>
                <c:pt idx="20">
                  <c:v>1.5157981346023042</c:v>
                </c:pt>
                <c:pt idx="21">
                  <c:v>1.226088032514153</c:v>
                </c:pt>
                <c:pt idx="22">
                  <c:v>1.3196552917417983</c:v>
                </c:pt>
                <c:pt idx="23">
                  <c:v>1.2977277170492123</c:v>
                </c:pt>
                <c:pt idx="24">
                  <c:v>1.4245954708745479</c:v>
                </c:pt>
                <c:pt idx="25">
                  <c:v>1.2668254209715208</c:v>
                </c:pt>
                <c:pt idx="26">
                  <c:v>1.4207286977124403</c:v>
                </c:pt>
                <c:pt idx="27">
                  <c:v>1.3040608379369154</c:v>
                </c:pt>
                <c:pt idx="28">
                  <c:v>1.2773887567120001</c:v>
                </c:pt>
                <c:pt idx="29">
                  <c:v>1.3728220680619601</c:v>
                </c:pt>
                <c:pt idx="30">
                  <c:v>1.2957950485200103</c:v>
                </c:pt>
                <c:pt idx="31">
                  <c:v>1.358639180816346</c:v>
                </c:pt>
                <c:pt idx="32">
                  <c:v>1.409928536813768</c:v>
                </c:pt>
                <c:pt idx="33">
                  <c:v>1.3590480601729948</c:v>
                </c:pt>
                <c:pt idx="34">
                  <c:v>1.4003082304264971</c:v>
                </c:pt>
                <c:pt idx="35">
                  <c:v>1.5975030198888456</c:v>
                </c:pt>
                <c:pt idx="36">
                  <c:v>1.5178011286168154</c:v>
                </c:pt>
                <c:pt idx="37">
                  <c:v>1.4643829534255679</c:v>
                </c:pt>
                <c:pt idx="38">
                  <c:v>1.4528908921399364</c:v>
                </c:pt>
                <c:pt idx="39">
                  <c:v>1.5502753293581173</c:v>
                </c:pt>
                <c:pt idx="40">
                  <c:v>1.646534909377557</c:v>
                </c:pt>
                <c:pt idx="41">
                  <c:v>1.7033700871072943</c:v>
                </c:pt>
                <c:pt idx="42">
                  <c:v>1.7284369879755823</c:v>
                </c:pt>
                <c:pt idx="43">
                  <c:v>1.7766637991457079</c:v>
                </c:pt>
                <c:pt idx="44">
                  <c:v>1.5341584284002252</c:v>
                </c:pt>
                <c:pt idx="45">
                  <c:v>1.6953077797844223</c:v>
                </c:pt>
                <c:pt idx="46">
                  <c:v>1.8063672562699185</c:v>
                </c:pt>
                <c:pt idx="47">
                  <c:v>1.8937275044903921</c:v>
                </c:pt>
                <c:pt idx="48">
                  <c:v>1.8235353351744643</c:v>
                </c:pt>
                <c:pt idx="49">
                  <c:v>1.7687550265547054</c:v>
                </c:pt>
                <c:pt idx="50">
                  <c:v>1.615061649861409</c:v>
                </c:pt>
                <c:pt idx="51">
                  <c:v>1.5210415257099994</c:v>
                </c:pt>
                <c:pt idx="52">
                  <c:v>1.5764781270000001</c:v>
                </c:pt>
                <c:pt idx="53">
                  <c:v>1.6277923076923084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E-41A3-A9E7-799F7AC8351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Netherlands!$A$44:$A$97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Netherlands!$BH$44:$BH$97</c:f>
              <c:numCache>
                <c:formatCode>0.0000</c:formatCode>
                <c:ptCount val="54"/>
                <c:pt idx="0">
                  <c:v>1.3122506783661374</c:v>
                </c:pt>
                <c:pt idx="1">
                  <c:v>1.3019684655155412</c:v>
                </c:pt>
                <c:pt idx="2">
                  <c:v>1.2805381426555786</c:v>
                </c:pt>
                <c:pt idx="3">
                  <c:v>1.3019115238159955</c:v>
                </c:pt>
                <c:pt idx="4">
                  <c:v>1.1977853470956066</c:v>
                </c:pt>
                <c:pt idx="5">
                  <c:v>1.2888024979834023</c:v>
                </c:pt>
                <c:pt idx="6">
                  <c:v>1.4598921826405162</c:v>
                </c:pt>
                <c:pt idx="7">
                  <c:v>1.2500846224340583</c:v>
                </c:pt>
                <c:pt idx="8">
                  <c:v>1.4880315250857372</c:v>
                </c:pt>
                <c:pt idx="9">
                  <c:v>1.7351520899241624</c:v>
                </c:pt>
                <c:pt idx="10">
                  <c:v>1.3811215699858803</c:v>
                </c:pt>
                <c:pt idx="11">
                  <c:v>1.4834130038245394</c:v>
                </c:pt>
                <c:pt idx="12">
                  <c:v>1.3841130674727204</c:v>
                </c:pt>
                <c:pt idx="13">
                  <c:v>1.2234848375364384</c:v>
                </c:pt>
                <c:pt idx="14">
                  <c:v>1.2923106754472207</c:v>
                </c:pt>
                <c:pt idx="15">
                  <c:v>1.4798528219833742</c:v>
                </c:pt>
                <c:pt idx="16">
                  <c:v>1.6025222403418047</c:v>
                </c:pt>
                <c:pt idx="17">
                  <c:v>1.6040708892984787</c:v>
                </c:pt>
                <c:pt idx="18">
                  <c:v>1.5160322722849231</c:v>
                </c:pt>
                <c:pt idx="19">
                  <c:v>1.5163853760006671</c:v>
                </c:pt>
                <c:pt idx="20">
                  <c:v>1.4902584812034778</c:v>
                </c:pt>
                <c:pt idx="21">
                  <c:v>1.2434323852929225</c:v>
                </c:pt>
                <c:pt idx="22">
                  <c:v>1.2455560524921498</c:v>
                </c:pt>
                <c:pt idx="23">
                  <c:v>1.3313600506775523</c:v>
                </c:pt>
                <c:pt idx="24">
                  <c:v>1.3720055867936087</c:v>
                </c:pt>
                <c:pt idx="25">
                  <c:v>1.2777463388775514</c:v>
                </c:pt>
                <c:pt idx="26">
                  <c:v>1.3411470022782774</c:v>
                </c:pt>
                <c:pt idx="27">
                  <c:v>1.3454229168332859</c:v>
                </c:pt>
                <c:pt idx="28">
                  <c:v>1.3025872560380103</c:v>
                </c:pt>
                <c:pt idx="29">
                  <c:v>1.3604333971627673</c:v>
                </c:pt>
                <c:pt idx="30">
                  <c:v>1.3246997335991926</c:v>
                </c:pt>
                <c:pt idx="31">
                  <c:v>1.3635580989691292</c:v>
                </c:pt>
                <c:pt idx="32">
                  <c:v>1.4112320333315744</c:v>
                </c:pt>
                <c:pt idx="33">
                  <c:v>1.3754274106245052</c:v>
                </c:pt>
                <c:pt idx="34">
                  <c:v>1.4049383477185688</c:v>
                </c:pt>
                <c:pt idx="35">
                  <c:v>1.5773174667340331</c:v>
                </c:pt>
                <c:pt idx="36">
                  <c:v>1.526249195564672</c:v>
                </c:pt>
                <c:pt idx="37">
                  <c:v>1.5103821955438335</c:v>
                </c:pt>
                <c:pt idx="38">
                  <c:v>1.4631733056329821</c:v>
                </c:pt>
                <c:pt idx="39">
                  <c:v>1.5239925725974899</c:v>
                </c:pt>
                <c:pt idx="40">
                  <c:v>1.6419703609553529</c:v>
                </c:pt>
                <c:pt idx="41">
                  <c:v>1.7035776501317006</c:v>
                </c:pt>
                <c:pt idx="42">
                  <c:v>1.7145325607296524</c:v>
                </c:pt>
                <c:pt idx="43">
                  <c:v>1.7566668875970584</c:v>
                </c:pt>
                <c:pt idx="44">
                  <c:v>1.5341584284002252</c:v>
                </c:pt>
                <c:pt idx="45">
                  <c:v>1.7022597733414162</c:v>
                </c:pt>
                <c:pt idx="46">
                  <c:v>1.8064606816600461</c:v>
                </c:pt>
                <c:pt idx="47">
                  <c:v>1.8518433953317901</c:v>
                </c:pt>
                <c:pt idx="48">
                  <c:v>1.8196127243380615</c:v>
                </c:pt>
                <c:pt idx="49">
                  <c:v>1.7702006126532692</c:v>
                </c:pt>
                <c:pt idx="50">
                  <c:v>1.5756029923124988</c:v>
                </c:pt>
                <c:pt idx="51">
                  <c:v>1.5123124310072185</c:v>
                </c:pt>
                <c:pt idx="52">
                  <c:v>1.5674251426209467</c:v>
                </c:pt>
                <c:pt idx="53">
                  <c:v>1.6480549373798399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E-41A3-A9E7-799F7AC83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259136"/>
        <c:axId val="163260672"/>
      </c:lineChart>
      <c:catAx>
        <c:axId val="1632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260672"/>
        <c:crosses val="autoZero"/>
        <c:auto val="1"/>
        <c:lblAlgn val="ctr"/>
        <c:lblOffset val="100"/>
        <c:noMultiLvlLbl val="0"/>
      </c:catAx>
      <c:valAx>
        <c:axId val="163260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1.142290403354753E-2"/>
              <c:y val="0.30276744069411704"/>
            </c:manualLayout>
          </c:layout>
          <c:overlay val="0"/>
        </c:title>
        <c:numFmt formatCode="0.0000" sourceLinked="1"/>
        <c:majorTickMark val="out"/>
        <c:minorTickMark val="none"/>
        <c:tickLblPos val="nextTo"/>
        <c:crossAx val="16325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602347120403051"/>
          <c:y val="0.45564159050755765"/>
          <c:w val="0.1625747428123209"/>
          <c:h val="0.1684932492856675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71400857501508"/>
          <c:y val="3.688544745860256E-2"/>
          <c:w val="0.78316378930894504"/>
          <c:h val="0.85305935595259896"/>
        </c:manualLayout>
      </c:layout>
      <c:lineChart>
        <c:grouping val="standard"/>
        <c:varyColors val="0"/>
        <c:ser>
          <c:idx val="0"/>
          <c:order val="0"/>
          <c:tx>
            <c:v> energy component 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'New Zealand'!$A$44:$A$96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'New Zealand'!$BG$44:$BG$97</c:f>
              <c:numCache>
                <c:formatCode>0.0000</c:formatCode>
                <c:ptCount val="54"/>
                <c:pt idx="0">
                  <c:v>0.72798033458760569</c:v>
                </c:pt>
                <c:pt idx="1">
                  <c:v>0.70845879965022585</c:v>
                </c:pt>
                <c:pt idx="2">
                  <c:v>0.78704106411971098</c:v>
                </c:pt>
                <c:pt idx="3">
                  <c:v>0.7772702540351073</c:v>
                </c:pt>
                <c:pt idx="4">
                  <c:v>0.58162716268903591</c:v>
                </c:pt>
                <c:pt idx="5">
                  <c:v>0.58229621899819517</c:v>
                </c:pt>
                <c:pt idx="6">
                  <c:v>0.5563921070561797</c:v>
                </c:pt>
                <c:pt idx="7">
                  <c:v>0.73676513381186481</c:v>
                </c:pt>
                <c:pt idx="8">
                  <c:v>0.77743272833575439</c:v>
                </c:pt>
                <c:pt idx="9">
                  <c:v>0.7566983705484055</c:v>
                </c:pt>
                <c:pt idx="10">
                  <c:v>0.48350494921157416</c:v>
                </c:pt>
                <c:pt idx="11">
                  <c:v>1.0142723318035309</c:v>
                </c:pt>
                <c:pt idx="12">
                  <c:v>1.1676198410664957</c:v>
                </c:pt>
                <c:pt idx="13">
                  <c:v>0.93844140668938936</c:v>
                </c:pt>
                <c:pt idx="14">
                  <c:v>0.82076484673398364</c:v>
                </c:pt>
                <c:pt idx="15">
                  <c:v>1.3187973267385398</c:v>
                </c:pt>
                <c:pt idx="16">
                  <c:v>1.5039428839507494</c:v>
                </c:pt>
                <c:pt idx="17">
                  <c:v>1.523391455395382</c:v>
                </c:pt>
                <c:pt idx="18">
                  <c:v>1.4151797550683487</c:v>
                </c:pt>
                <c:pt idx="19">
                  <c:v>1.5519640779096453</c:v>
                </c:pt>
                <c:pt idx="20">
                  <c:v>1.5774381791869201</c:v>
                </c:pt>
                <c:pt idx="21">
                  <c:v>0.93470772090777365</c:v>
                </c:pt>
                <c:pt idx="22">
                  <c:v>0.85390346153964047</c:v>
                </c:pt>
                <c:pt idx="23">
                  <c:v>0.7993861278165757</c:v>
                </c:pt>
                <c:pt idx="24">
                  <c:v>0.7504096378841395</c:v>
                </c:pt>
                <c:pt idx="25">
                  <c:v>0.7854190627870502</c:v>
                </c:pt>
                <c:pt idx="26">
                  <c:v>0.74754612773688622</c:v>
                </c:pt>
                <c:pt idx="27">
                  <c:v>0.7514489884226736</c:v>
                </c:pt>
                <c:pt idx="28">
                  <c:v>0.72740134126368616</c:v>
                </c:pt>
                <c:pt idx="29">
                  <c:v>0.6502356063012954</c:v>
                </c:pt>
                <c:pt idx="30">
                  <c:v>0.62970923319580463</c:v>
                </c:pt>
                <c:pt idx="31">
                  <c:v>0.6486192878747048</c:v>
                </c:pt>
                <c:pt idx="32">
                  <c:v>0.64042395535014929</c:v>
                </c:pt>
                <c:pt idx="33">
                  <c:v>0.55421098643144451</c:v>
                </c:pt>
                <c:pt idx="34">
                  <c:v>0.55032566135381</c:v>
                </c:pt>
                <c:pt idx="35">
                  <c:v>0.78068271215887675</c:v>
                </c:pt>
                <c:pt idx="36">
                  <c:v>0.73483538000329918</c:v>
                </c:pt>
                <c:pt idx="37">
                  <c:v>0.64419063924039799</c:v>
                </c:pt>
                <c:pt idx="38">
                  <c:v>0.63981820519812127</c:v>
                </c:pt>
                <c:pt idx="39">
                  <c:v>0.7278558073528073</c:v>
                </c:pt>
                <c:pt idx="40">
                  <c:v>0.81864509304737432</c:v>
                </c:pt>
                <c:pt idx="41">
                  <c:v>0.99990301931900638</c:v>
                </c:pt>
                <c:pt idx="42">
                  <c:v>0.96149104024632648</c:v>
                </c:pt>
                <c:pt idx="43">
                  <c:v>1.1446033577818784</c:v>
                </c:pt>
                <c:pt idx="44">
                  <c:v>0.90935134222222214</c:v>
                </c:pt>
                <c:pt idx="45">
                  <c:v>0.99333421750663131</c:v>
                </c:pt>
                <c:pt idx="46">
                  <c:v>1.1708169062774214</c:v>
                </c:pt>
                <c:pt idx="47">
                  <c:v>1.2027010994867955</c:v>
                </c:pt>
                <c:pt idx="48">
                  <c:v>1.1744716491790141</c:v>
                </c:pt>
                <c:pt idx="49">
                  <c:v>1.1413959172952262</c:v>
                </c:pt>
                <c:pt idx="50">
                  <c:v>0.96518705693370233</c:v>
                </c:pt>
                <c:pt idx="51">
                  <c:v>0.88795482529120662</c:v>
                </c:pt>
                <c:pt idx="52">
                  <c:v>0.98627758823963596</c:v>
                </c:pt>
                <c:pt idx="53">
                  <c:v>1.1540608320979111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4-4F1A-9649-E2ECC896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47872"/>
        <c:axId val="163649408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Zealand'!$BI$44:$BI$97</c:f>
              <c:numCache>
                <c:formatCode>0.00</c:formatCode>
                <c:ptCount val="54"/>
                <c:pt idx="0">
                  <c:v>41.689833173437457</c:v>
                </c:pt>
                <c:pt idx="1">
                  <c:v>40.571883445200484</c:v>
                </c:pt>
                <c:pt idx="2">
                  <c:v>39.024500759201146</c:v>
                </c:pt>
                <c:pt idx="3">
                  <c:v>45.529398527624501</c:v>
                </c:pt>
                <c:pt idx="4">
                  <c:v>43.392226369727609</c:v>
                </c:pt>
                <c:pt idx="5">
                  <c:v>41.354533316452034</c:v>
                </c:pt>
                <c:pt idx="6">
                  <c:v>39.265697773108485</c:v>
                </c:pt>
                <c:pt idx="7">
                  <c:v>34.89360517541072</c:v>
                </c:pt>
                <c:pt idx="8">
                  <c:v>30.877122883060327</c:v>
                </c:pt>
                <c:pt idx="9">
                  <c:v>85.618349187277545</c:v>
                </c:pt>
                <c:pt idx="10">
                  <c:v>89.613790012381301</c:v>
                </c:pt>
                <c:pt idx="11">
                  <c:v>97.296173293948286</c:v>
                </c:pt>
                <c:pt idx="12">
                  <c:v>94.022491666404534</c:v>
                </c:pt>
                <c:pt idx="13">
                  <c:v>78.500976609598467</c:v>
                </c:pt>
                <c:pt idx="14">
                  <c:v>104.68483297556534</c:v>
                </c:pt>
                <c:pt idx="15">
                  <c:v>147.83582464774491</c:v>
                </c:pt>
                <c:pt idx="16">
                  <c:v>155.03645043307088</c:v>
                </c:pt>
                <c:pt idx="17">
                  <c:v>140.68043083102393</c:v>
                </c:pt>
                <c:pt idx="18">
                  <c:v>128.36015703813851</c:v>
                </c:pt>
                <c:pt idx="19">
                  <c:v>140.36709475257325</c:v>
                </c:pt>
                <c:pt idx="20">
                  <c:v>130.45049408533765</c:v>
                </c:pt>
                <c:pt idx="21">
                  <c:v>61.480496341925281</c:v>
                </c:pt>
                <c:pt idx="22">
                  <c:v>60.021684141041412</c:v>
                </c:pt>
                <c:pt idx="23">
                  <c:v>42.274905828575662</c:v>
                </c:pt>
                <c:pt idx="24">
                  <c:v>53.874767217717213</c:v>
                </c:pt>
                <c:pt idx="25">
                  <c:v>63.574518599387595</c:v>
                </c:pt>
                <c:pt idx="26">
                  <c:v>56.269652179430629</c:v>
                </c:pt>
                <c:pt idx="27">
                  <c:v>57.160271185964021</c:v>
                </c:pt>
                <c:pt idx="28">
                  <c:v>50.231493641717826</c:v>
                </c:pt>
                <c:pt idx="29">
                  <c:v>41.991808790945292</c:v>
                </c:pt>
                <c:pt idx="30">
                  <c:v>39.184287679066735</c:v>
                </c:pt>
                <c:pt idx="31">
                  <c:v>43.895925664017327</c:v>
                </c:pt>
                <c:pt idx="32">
                  <c:v>42.019018725333076</c:v>
                </c:pt>
                <c:pt idx="33">
                  <c:v>35.862070294685303</c:v>
                </c:pt>
                <c:pt idx="34">
                  <c:v>44.019514575017574</c:v>
                </c:pt>
                <c:pt idx="35">
                  <c:v>78.90027696194791</c:v>
                </c:pt>
                <c:pt idx="36">
                  <c:v>69.598486125305598</c:v>
                </c:pt>
                <c:pt idx="37">
                  <c:v>64.917344233151809</c:v>
                </c:pt>
                <c:pt idx="38">
                  <c:v>58.614438892157992</c:v>
                </c:pt>
                <c:pt idx="39">
                  <c:v>64.403295642144883</c:v>
                </c:pt>
                <c:pt idx="40">
                  <c:v>82.656498976443487</c:v>
                </c:pt>
                <c:pt idx="41">
                  <c:v>104.72189431160052</c:v>
                </c:pt>
                <c:pt idx="42">
                  <c:v>102.08143249994164</c:v>
                </c:pt>
                <c:pt idx="43">
                  <c:v>140.37863583928817</c:v>
                </c:pt>
                <c:pt idx="44">
                  <c:v>99.944987320960024</c:v>
                </c:pt>
                <c:pt idx="45">
                  <c:v>107.57392678883626</c:v>
                </c:pt>
                <c:pt idx="46">
                  <c:v>129.65399716829489</c:v>
                </c:pt>
                <c:pt idx="47">
                  <c:v>127.91407311829504</c:v>
                </c:pt>
                <c:pt idx="48">
                  <c:v>121.80473832806223</c:v>
                </c:pt>
                <c:pt idx="49">
                  <c:v>108.17499283965427</c:v>
                </c:pt>
                <c:pt idx="50">
                  <c:v>66.111959306706666</c:v>
                </c:pt>
                <c:pt idx="51">
                  <c:v>53.739347190439254</c:v>
                </c:pt>
                <c:pt idx="52">
                  <c:v>66.903529430335567</c:v>
                </c:pt>
                <c:pt idx="53">
                  <c:v>91.480457638631691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4-4F1A-9649-E2ECC896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979560"/>
        <c:axId val="744976936"/>
      </c:lineChart>
      <c:catAx>
        <c:axId val="163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649408"/>
        <c:crosses val="autoZero"/>
        <c:auto val="1"/>
        <c:lblAlgn val="ctr"/>
        <c:lblOffset val="100"/>
        <c:noMultiLvlLbl val="0"/>
      </c:catAx>
      <c:valAx>
        <c:axId val="16364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NZ dollars per litre</a:t>
                </a:r>
              </a:p>
            </c:rich>
          </c:tx>
          <c:layout>
            <c:manualLayout>
              <c:xMode val="edge"/>
              <c:yMode val="edge"/>
              <c:x val="2.0279421594039872E-2"/>
              <c:y val="0.2811308760823501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3647872"/>
        <c:crosses val="autoZero"/>
        <c:crossBetween val="between"/>
      </c:valAx>
      <c:valAx>
        <c:axId val="744976936"/>
        <c:scaling>
          <c:orientation val="minMax"/>
          <c:max val="205"/>
          <c:min val="-9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NZ dollars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44979560"/>
        <c:crosses val="max"/>
        <c:crossBetween val="between"/>
      </c:valAx>
      <c:catAx>
        <c:axId val="744979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4976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8176977877765281"/>
          <c:y val="3.460826117665524E-2"/>
          <c:w val="0.20974160838590827"/>
          <c:h val="0.18991969027127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6422672775672"/>
          <c:y val="4.4288914032373533E-2"/>
          <c:w val="0.83135737605969984"/>
          <c:h val="0.8485092479275867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Zealand'!$BG$44:$BG$97</c:f>
              <c:numCache>
                <c:formatCode>0.0000</c:formatCode>
                <c:ptCount val="54"/>
                <c:pt idx="0">
                  <c:v>0.72798033458760569</c:v>
                </c:pt>
                <c:pt idx="1">
                  <c:v>0.70845879965022585</c:v>
                </c:pt>
                <c:pt idx="2">
                  <c:v>0.78704106411971098</c:v>
                </c:pt>
                <c:pt idx="3">
                  <c:v>0.7772702540351073</c:v>
                </c:pt>
                <c:pt idx="4">
                  <c:v>0.58162716268903591</c:v>
                </c:pt>
                <c:pt idx="5">
                  <c:v>0.58229621899819517</c:v>
                </c:pt>
                <c:pt idx="6">
                  <c:v>0.5563921070561797</c:v>
                </c:pt>
                <c:pt idx="7">
                  <c:v>0.73676513381186481</c:v>
                </c:pt>
                <c:pt idx="8">
                  <c:v>0.77743272833575439</c:v>
                </c:pt>
                <c:pt idx="9">
                  <c:v>0.7566983705484055</c:v>
                </c:pt>
                <c:pt idx="10">
                  <c:v>0.48350494921157416</c:v>
                </c:pt>
                <c:pt idx="11">
                  <c:v>1.0142723318035309</c:v>
                </c:pt>
                <c:pt idx="12">
                  <c:v>1.1676198410664957</c:v>
                </c:pt>
                <c:pt idx="13">
                  <c:v>0.93844140668938936</c:v>
                </c:pt>
                <c:pt idx="14">
                  <c:v>0.82076484673398364</c:v>
                </c:pt>
                <c:pt idx="15">
                  <c:v>1.3187973267385398</c:v>
                </c:pt>
                <c:pt idx="16">
                  <c:v>1.5039428839507494</c:v>
                </c:pt>
                <c:pt idx="17">
                  <c:v>1.523391455395382</c:v>
                </c:pt>
                <c:pt idx="18">
                  <c:v>1.4151797550683487</c:v>
                </c:pt>
                <c:pt idx="19">
                  <c:v>1.5519640779096453</c:v>
                </c:pt>
                <c:pt idx="20">
                  <c:v>1.5774381791869201</c:v>
                </c:pt>
                <c:pt idx="21">
                  <c:v>0.93470772090777365</c:v>
                </c:pt>
                <c:pt idx="22">
                  <c:v>0.85390346153964047</c:v>
                </c:pt>
                <c:pt idx="23">
                  <c:v>0.7993861278165757</c:v>
                </c:pt>
                <c:pt idx="24">
                  <c:v>0.7504096378841395</c:v>
                </c:pt>
                <c:pt idx="25">
                  <c:v>0.7854190627870502</c:v>
                </c:pt>
                <c:pt idx="26">
                  <c:v>0.74754612773688622</c:v>
                </c:pt>
                <c:pt idx="27">
                  <c:v>0.7514489884226736</c:v>
                </c:pt>
                <c:pt idx="28">
                  <c:v>0.72740134126368616</c:v>
                </c:pt>
                <c:pt idx="29">
                  <c:v>0.6502356063012954</c:v>
                </c:pt>
                <c:pt idx="30">
                  <c:v>0.62970923319580463</c:v>
                </c:pt>
                <c:pt idx="31">
                  <c:v>0.6486192878747048</c:v>
                </c:pt>
                <c:pt idx="32">
                  <c:v>0.64042395535014929</c:v>
                </c:pt>
                <c:pt idx="33">
                  <c:v>0.55421098643144451</c:v>
                </c:pt>
                <c:pt idx="34">
                  <c:v>0.55032566135381</c:v>
                </c:pt>
                <c:pt idx="35">
                  <c:v>0.78068271215887675</c:v>
                </c:pt>
                <c:pt idx="36">
                  <c:v>0.73483538000329918</c:v>
                </c:pt>
                <c:pt idx="37">
                  <c:v>0.64419063924039799</c:v>
                </c:pt>
                <c:pt idx="38">
                  <c:v>0.63981820519812127</c:v>
                </c:pt>
                <c:pt idx="39">
                  <c:v>0.7278558073528073</c:v>
                </c:pt>
                <c:pt idx="40">
                  <c:v>0.81864509304737432</c:v>
                </c:pt>
                <c:pt idx="41">
                  <c:v>0.99990301931900638</c:v>
                </c:pt>
                <c:pt idx="42">
                  <c:v>0.96149104024632648</c:v>
                </c:pt>
                <c:pt idx="43">
                  <c:v>1.1446033577818784</c:v>
                </c:pt>
                <c:pt idx="44">
                  <c:v>0.90935134222222214</c:v>
                </c:pt>
                <c:pt idx="45">
                  <c:v>0.99333421750663131</c:v>
                </c:pt>
                <c:pt idx="46">
                  <c:v>1.1708169062774214</c:v>
                </c:pt>
                <c:pt idx="47">
                  <c:v>1.2027010994867955</c:v>
                </c:pt>
                <c:pt idx="48">
                  <c:v>1.1744716491790141</c:v>
                </c:pt>
                <c:pt idx="49">
                  <c:v>1.1413959172952262</c:v>
                </c:pt>
                <c:pt idx="50">
                  <c:v>0.96518705693370233</c:v>
                </c:pt>
                <c:pt idx="51">
                  <c:v>0.88795482529120662</c:v>
                </c:pt>
                <c:pt idx="52">
                  <c:v>0.98627758823963596</c:v>
                </c:pt>
                <c:pt idx="53">
                  <c:v>1.1540608320979111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A-4B1B-94DD-C67DBD69D403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Zealand'!$BH$44:$BH$97</c:f>
              <c:numCache>
                <c:formatCode>0.0000</c:formatCode>
                <c:ptCount val="54"/>
                <c:pt idx="0">
                  <c:v>0.76749972892905582</c:v>
                </c:pt>
                <c:pt idx="1">
                  <c:v>0.75981025263701696</c:v>
                </c:pt>
                <c:pt idx="2">
                  <c:v>0.74916705269861938</c:v>
                </c:pt>
                <c:pt idx="3">
                  <c:v>0.79390900835999711</c:v>
                </c:pt>
                <c:pt idx="4">
                  <c:v>0.58757140253703577</c:v>
                </c:pt>
                <c:pt idx="5">
                  <c:v>0.57355575225522504</c:v>
                </c:pt>
                <c:pt idx="6">
                  <c:v>0.55918833395114942</c:v>
                </c:pt>
                <c:pt idx="7">
                  <c:v>0.72075394712316787</c:v>
                </c:pt>
                <c:pt idx="8">
                  <c:v>0.69312779848307848</c:v>
                </c:pt>
                <c:pt idx="9">
                  <c:v>0.76160853747701429</c:v>
                </c:pt>
                <c:pt idx="10">
                  <c:v>0.48104986574726938</c:v>
                </c:pt>
                <c:pt idx="11">
                  <c:v>1.1499709825497566</c:v>
                </c:pt>
                <c:pt idx="12">
                  <c:v>1.1274539617688857</c:v>
                </c:pt>
                <c:pt idx="13">
                  <c:v>1.0206939536654309</c:v>
                </c:pt>
                <c:pt idx="14">
                  <c:v>0.82076484673398387</c:v>
                </c:pt>
                <c:pt idx="15">
                  <c:v>1.4975925625521012</c:v>
                </c:pt>
                <c:pt idx="16">
                  <c:v>1.5471198712186776</c:v>
                </c:pt>
                <c:pt idx="17">
                  <c:v>1.4483763681882931</c:v>
                </c:pt>
                <c:pt idx="18">
                  <c:v>1.3636351219148841</c:v>
                </c:pt>
                <c:pt idx="19">
                  <c:v>1.4462211815230692</c:v>
                </c:pt>
                <c:pt idx="20">
                  <c:v>1.3780128678553536</c:v>
                </c:pt>
                <c:pt idx="21">
                  <c:v>0.90362377046158882</c:v>
                </c:pt>
                <c:pt idx="22">
                  <c:v>0.89358977559589503</c:v>
                </c:pt>
                <c:pt idx="23">
                  <c:v>0.77152397277220275</c:v>
                </c:pt>
                <c:pt idx="24">
                  <c:v>0.75266890663651365</c:v>
                </c:pt>
                <c:pt idx="25">
                  <c:v>0.8193856886206633</c:v>
                </c:pt>
                <c:pt idx="26">
                  <c:v>0.76914139253648084</c:v>
                </c:pt>
                <c:pt idx="27">
                  <c:v>0.77526724378274192</c:v>
                </c:pt>
                <c:pt idx="28">
                  <c:v>0.72760976034355929</c:v>
                </c:pt>
                <c:pt idx="29">
                  <c:v>0.64627530690750179</c:v>
                </c:pt>
                <c:pt idx="30">
                  <c:v>0.62696462908012396</c:v>
                </c:pt>
                <c:pt idx="31">
                  <c:v>0.65937219416722559</c:v>
                </c:pt>
                <c:pt idx="32">
                  <c:v>0.64646246214364345</c:v>
                </c:pt>
                <c:pt idx="33">
                  <c:v>0.55479318220840035</c:v>
                </c:pt>
                <c:pt idx="34">
                  <c:v>0.53692079358316658</c:v>
                </c:pt>
                <c:pt idx="35">
                  <c:v>0.77683748093325056</c:v>
                </c:pt>
                <c:pt idx="36">
                  <c:v>0.71285794920183454</c:v>
                </c:pt>
                <c:pt idx="37">
                  <c:v>0.6806601421893923</c:v>
                </c:pt>
                <c:pt idx="38">
                  <c:v>0.63730752984342498</c:v>
                </c:pt>
                <c:pt idx="39">
                  <c:v>0.67712441571290993</c:v>
                </c:pt>
                <c:pt idx="40">
                  <c:v>0.80267350861729292</c:v>
                </c:pt>
                <c:pt idx="41">
                  <c:v>0.9544436016891249</c:v>
                </c:pt>
                <c:pt idx="42">
                  <c:v>0.93628199031434134</c:v>
                </c:pt>
                <c:pt idx="43">
                  <c:v>1.1996976249276303</c:v>
                </c:pt>
                <c:pt idx="44">
                  <c:v>0.92158710364986907</c:v>
                </c:pt>
                <c:pt idx="45">
                  <c:v>0.99872073121367611</c:v>
                </c:pt>
                <c:pt idx="46">
                  <c:v>1.1875822028688001</c:v>
                </c:pt>
                <c:pt idx="47">
                  <c:v>1.2249352535609317</c:v>
                </c:pt>
                <c:pt idx="48">
                  <c:v>1.1829140572199228</c:v>
                </c:pt>
                <c:pt idx="49">
                  <c:v>1.1508167438164976</c:v>
                </c:pt>
                <c:pt idx="50">
                  <c:v>0.97466187213855271</c:v>
                </c:pt>
                <c:pt idx="51">
                  <c:v>0.88956063266809227</c:v>
                </c:pt>
                <c:pt idx="52">
                  <c:v>0.98010644584825757</c:v>
                </c:pt>
                <c:pt idx="53">
                  <c:v>1.1491513519075531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A-4B1B-94DD-C67DBD69D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00736"/>
        <c:axId val="163702272"/>
      </c:lineChart>
      <c:catAx>
        <c:axId val="1637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702272"/>
        <c:crosses val="autoZero"/>
        <c:auto val="1"/>
        <c:lblAlgn val="ctr"/>
        <c:lblOffset val="100"/>
        <c:noMultiLvlLbl val="0"/>
      </c:catAx>
      <c:valAx>
        <c:axId val="163702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New Zealand Dollars per litre</a:t>
                </a:r>
              </a:p>
            </c:rich>
          </c:tx>
          <c:layout>
            <c:manualLayout>
              <c:xMode val="edge"/>
              <c:yMode val="edge"/>
              <c:x val="2.6583134019510356E-2"/>
              <c:y val="0.2691968503937007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370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157007146063604"/>
          <c:y val="0.15074043376156929"/>
          <c:w val="0.1280117200296034"/>
          <c:h val="0.161828060966063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54542211349808E-2"/>
          <c:y val="3.7508512449457451E-2"/>
          <c:w val="0.84242680223224531"/>
          <c:h val="0.84704183203514649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Zealand'!$BD$44:$BD$97</c:f>
              <c:numCache>
                <c:formatCode>0.0000</c:formatCode>
                <c:ptCount val="54"/>
                <c:pt idx="0">
                  <c:v>1.2380617935163363</c:v>
                </c:pt>
                <c:pt idx="1">
                  <c:v>1.2048619041670507</c:v>
                </c:pt>
                <c:pt idx="2">
                  <c:v>1.2653393313821719</c:v>
                </c:pt>
                <c:pt idx="3">
                  <c:v>1.227915093262413</c:v>
                </c:pt>
                <c:pt idx="4">
                  <c:v>1.1702759812656656</c:v>
                </c:pt>
                <c:pt idx="5">
                  <c:v>1.0986721113173494</c:v>
                </c:pt>
                <c:pt idx="6">
                  <c:v>1.047819410651939</c:v>
                </c:pt>
                <c:pt idx="7">
                  <c:v>1.2702847134687325</c:v>
                </c:pt>
                <c:pt idx="8">
                  <c:v>1.3404012557513008</c:v>
                </c:pt>
                <c:pt idx="9">
                  <c:v>1.3609682923532473</c:v>
                </c:pt>
                <c:pt idx="10">
                  <c:v>1.4068022532112601</c:v>
                </c:pt>
                <c:pt idx="11">
                  <c:v>1.8641129468457474</c:v>
                </c:pt>
                <c:pt idx="12">
                  <c:v>1.9806257597454562</c:v>
                </c:pt>
                <c:pt idx="13">
                  <c:v>1.7353429346995717</c:v>
                </c:pt>
                <c:pt idx="14">
                  <c:v>1.7243743860847673</c:v>
                </c:pt>
                <c:pt idx="15">
                  <c:v>2.0956886422059728</c:v>
                </c:pt>
                <c:pt idx="16">
                  <c:v>2.1971649714641086</c:v>
                </c:pt>
                <c:pt idx="17">
                  <c:v>2.1780034044293521</c:v>
                </c:pt>
                <c:pt idx="18">
                  <c:v>2.1060828059606722</c:v>
                </c:pt>
                <c:pt idx="19">
                  <c:v>2.2246123150663646</c:v>
                </c:pt>
                <c:pt idx="20">
                  <c:v>2.2499901833669123</c:v>
                </c:pt>
                <c:pt idx="21">
                  <c:v>1.764755761662079</c:v>
                </c:pt>
                <c:pt idx="22">
                  <c:v>1.6568483850217981</c:v>
                </c:pt>
                <c:pt idx="23">
                  <c:v>1.553875004978035</c:v>
                </c:pt>
                <c:pt idx="24">
                  <c:v>1.4812811025983548</c:v>
                </c:pt>
                <c:pt idx="25">
                  <c:v>1.4643121873135279</c:v>
                </c:pt>
                <c:pt idx="26">
                  <c:v>1.4315582187839675</c:v>
                </c:pt>
                <c:pt idx="27">
                  <c:v>1.4442830455380282</c:v>
                </c:pt>
                <c:pt idx="28">
                  <c:v>1.4036473845078101</c:v>
                </c:pt>
                <c:pt idx="29">
                  <c:v>1.3012581124771696</c:v>
                </c:pt>
                <c:pt idx="30">
                  <c:v>1.2544074731768515</c:v>
                </c:pt>
                <c:pt idx="31">
                  <c:v>1.2343245769199171</c:v>
                </c:pt>
                <c:pt idx="32">
                  <c:v>1.2191844171437769</c:v>
                </c:pt>
                <c:pt idx="33">
                  <c:v>1.1309395351126743</c:v>
                </c:pt>
                <c:pt idx="34">
                  <c:v>1.1436411883608442</c:v>
                </c:pt>
                <c:pt idx="35">
                  <c:v>1.3896440883715309</c:v>
                </c:pt>
                <c:pt idx="36">
                  <c:v>1.3249815893170853</c:v>
                </c:pt>
                <c:pt idx="37">
                  <c:v>1.2682503210045335</c:v>
                </c:pt>
                <c:pt idx="38">
                  <c:v>1.2730417339017732</c:v>
                </c:pt>
                <c:pt idx="39">
                  <c:v>1.3783473314945789</c:v>
                </c:pt>
                <c:pt idx="40">
                  <c:v>1.5170026057405721</c:v>
                </c:pt>
                <c:pt idx="41">
                  <c:v>1.7277790496905883</c:v>
                </c:pt>
                <c:pt idx="42">
                  <c:v>1.6876774207938154</c:v>
                </c:pt>
                <c:pt idx="43">
                  <c:v>1.8929308953155735</c:v>
                </c:pt>
                <c:pt idx="44">
                  <c:v>1.63990147678</c:v>
                </c:pt>
                <c:pt idx="45">
                  <c:v>1.7669999999999999</c:v>
                </c:pt>
                <c:pt idx="46">
                  <c:v>2.0000064556623647</c:v>
                </c:pt>
                <c:pt idx="47">
                  <c:v>2.0407059034621882</c:v>
                </c:pt>
                <c:pt idx="48">
                  <c:v>2.0278632959152261</c:v>
                </c:pt>
                <c:pt idx="49">
                  <c:v>2.0138505171346348</c:v>
                </c:pt>
                <c:pt idx="50">
                  <c:v>1.8247892542791535</c:v>
                </c:pt>
                <c:pt idx="51">
                  <c:v>1.7319749493554133</c:v>
                </c:pt>
                <c:pt idx="52">
                  <c:v>1.8299676413274624</c:v>
                </c:pt>
                <c:pt idx="53">
                  <c:v>2.0083742601467076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1-49B0-BBB0-85EE3BAE5B9E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Zealand'!$BE$44:$BE$97</c:f>
              <c:numCache>
                <c:formatCode>0.0000</c:formatCode>
                <c:ptCount val="54"/>
                <c:pt idx="0">
                  <c:v>1.2775811878577863</c:v>
                </c:pt>
                <c:pt idx="1">
                  <c:v>1.2562133571538419</c:v>
                </c:pt>
                <c:pt idx="2">
                  <c:v>1.2274653199610803</c:v>
                </c:pt>
                <c:pt idx="3">
                  <c:v>1.2445538475873028</c:v>
                </c:pt>
                <c:pt idx="4">
                  <c:v>1.1762202211136654</c:v>
                </c:pt>
                <c:pt idx="5">
                  <c:v>1.0899316445743792</c:v>
                </c:pt>
                <c:pt idx="6">
                  <c:v>1.0506156375469087</c:v>
                </c:pt>
                <c:pt idx="7">
                  <c:v>1.2542735267800356</c:v>
                </c:pt>
                <c:pt idx="8">
                  <c:v>1.2560963258986249</c:v>
                </c:pt>
                <c:pt idx="9">
                  <c:v>1.365878459281856</c:v>
                </c:pt>
                <c:pt idx="10">
                  <c:v>1.4043471697469552</c:v>
                </c:pt>
                <c:pt idx="11">
                  <c:v>1.999811597591973</c:v>
                </c:pt>
                <c:pt idx="12">
                  <c:v>1.9404598804478461</c:v>
                </c:pt>
                <c:pt idx="13">
                  <c:v>1.8175954816756132</c:v>
                </c:pt>
                <c:pt idx="14">
                  <c:v>1.7243743860847676</c:v>
                </c:pt>
                <c:pt idx="15">
                  <c:v>2.2744838780195344</c:v>
                </c:pt>
                <c:pt idx="16">
                  <c:v>2.2403419587320368</c:v>
                </c:pt>
                <c:pt idx="17">
                  <c:v>2.1029883172222634</c:v>
                </c:pt>
                <c:pt idx="18">
                  <c:v>2.0545381728072076</c:v>
                </c:pt>
                <c:pt idx="19">
                  <c:v>2.1188694186797883</c:v>
                </c:pt>
                <c:pt idx="20">
                  <c:v>2.0505648720353458</c:v>
                </c:pt>
                <c:pt idx="21">
                  <c:v>1.7336718112158942</c:v>
                </c:pt>
                <c:pt idx="22">
                  <c:v>1.6965346990780525</c:v>
                </c:pt>
                <c:pt idx="23">
                  <c:v>1.526012849933662</c:v>
                </c:pt>
                <c:pt idx="24">
                  <c:v>1.4835403713507289</c:v>
                </c:pt>
                <c:pt idx="25">
                  <c:v>1.498278813147141</c:v>
                </c:pt>
                <c:pt idx="26">
                  <c:v>1.453153483583562</c:v>
                </c:pt>
                <c:pt idx="27">
                  <c:v>1.4681013008980965</c:v>
                </c:pt>
                <c:pt idx="28">
                  <c:v>1.4038558035876831</c:v>
                </c:pt>
                <c:pt idx="29">
                  <c:v>1.2972978130833761</c:v>
                </c:pt>
                <c:pt idx="30">
                  <c:v>1.2516628690611709</c:v>
                </c:pt>
                <c:pt idx="31">
                  <c:v>1.2450774832124378</c:v>
                </c:pt>
                <c:pt idx="32">
                  <c:v>1.2252229239372712</c:v>
                </c:pt>
                <c:pt idx="33">
                  <c:v>1.1315217308896302</c:v>
                </c:pt>
                <c:pt idx="34">
                  <c:v>1.1302363205902006</c:v>
                </c:pt>
                <c:pt idx="35">
                  <c:v>1.3857988571459048</c:v>
                </c:pt>
                <c:pt idx="36">
                  <c:v>1.3030041585156207</c:v>
                </c:pt>
                <c:pt idx="37">
                  <c:v>1.3047198239535278</c:v>
                </c:pt>
                <c:pt idx="38">
                  <c:v>1.270531058547077</c:v>
                </c:pt>
                <c:pt idx="39">
                  <c:v>1.3276159398546814</c:v>
                </c:pt>
                <c:pt idx="40">
                  <c:v>1.5010310213104907</c:v>
                </c:pt>
                <c:pt idx="41">
                  <c:v>1.6823196320607068</c:v>
                </c:pt>
                <c:pt idx="42">
                  <c:v>1.6624683708618302</c:v>
                </c:pt>
                <c:pt idx="43">
                  <c:v>1.9480251624613256</c:v>
                </c:pt>
                <c:pt idx="44">
                  <c:v>1.6521372382076469</c:v>
                </c:pt>
                <c:pt idx="45">
                  <c:v>1.7723865137070447</c:v>
                </c:pt>
                <c:pt idx="46">
                  <c:v>2.0167717522537432</c:v>
                </c:pt>
                <c:pt idx="47">
                  <c:v>2.0629400575363244</c:v>
                </c:pt>
                <c:pt idx="48">
                  <c:v>2.0363057039561347</c:v>
                </c:pt>
                <c:pt idx="49">
                  <c:v>2.0232713436559062</c:v>
                </c:pt>
                <c:pt idx="50">
                  <c:v>1.834264069484004</c:v>
                </c:pt>
                <c:pt idx="51">
                  <c:v>1.7335807567322989</c:v>
                </c:pt>
                <c:pt idx="52">
                  <c:v>1.823796498936084</c:v>
                </c:pt>
                <c:pt idx="53">
                  <c:v>2.0034647799563494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1-49B0-BBB0-85EE3BAE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02496"/>
        <c:axId val="163804288"/>
      </c:lineChart>
      <c:catAx>
        <c:axId val="1638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804288"/>
        <c:crosses val="autoZero"/>
        <c:auto val="1"/>
        <c:lblAlgn val="ctr"/>
        <c:lblOffset val="100"/>
        <c:noMultiLvlLbl val="0"/>
      </c:catAx>
      <c:valAx>
        <c:axId val="16380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New Zealand Dollars per litre</a:t>
                </a:r>
              </a:p>
            </c:rich>
          </c:tx>
          <c:layout>
            <c:manualLayout>
              <c:xMode val="edge"/>
              <c:yMode val="edge"/>
              <c:x val="1.5449768961695143E-2"/>
              <c:y val="0.2277624671916020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380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380417142513673"/>
          <c:y val="9.4314481804639291E-2"/>
          <c:w val="0.14930335998076577"/>
          <c:h val="0.220154820174504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8092738407698"/>
          <c:y val="5.0925925925925923E-2"/>
          <c:w val="0.83186351706036754"/>
          <c:h val="0.78088728492271797"/>
        </c:manualLayout>
      </c:layout>
      <c:lineChart>
        <c:grouping val="standard"/>
        <c:varyColors val="0"/>
        <c:ser>
          <c:idx val="0"/>
          <c:order val="0"/>
          <c:tx>
            <c:strRef>
              <c:f>'New Zealand'!$Y$121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'New Zealand'!$A$122:$A$142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'New Zealand'!$Y$122:$Y$142</c:f>
              <c:numCache>
                <c:formatCode>0</c:formatCode>
                <c:ptCount val="21"/>
                <c:pt idx="0">
                  <c:v>198.25189353448241</c:v>
                </c:pt>
                <c:pt idx="1">
                  <c:v>224.39449174660589</c:v>
                </c:pt>
                <c:pt idx="2">
                  <c:v>228.96084295889955</c:v>
                </c:pt>
                <c:pt idx="3">
                  <c:v>227.51994241328242</c:v>
                </c:pt>
                <c:pt idx="4">
                  <c:v>225.94775230183245</c:v>
                </c:pt>
                <c:pt idx="5">
                  <c:v>204.73566777714674</c:v>
                </c:pt>
                <c:pt idx="6">
                  <c:v>194.322192</c:v>
                </c:pt>
                <c:pt idx="7">
                  <c:v>205.31666666666669</c:v>
                </c:pt>
                <c:pt idx="8">
                  <c:v>225.33333333333329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A-4024-AF21-521CE5E4B498}"/>
            </c:ext>
          </c:extLst>
        </c:ser>
        <c:ser>
          <c:idx val="1"/>
          <c:order val="1"/>
          <c:tx>
            <c:strRef>
              <c:f>'New Zealand'!$Z$121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'New Zealand'!$A$122:$A$142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'New Zealand'!$Z$122:$Z$142</c:f>
              <c:numCache>
                <c:formatCode>0</c:formatCode>
                <c:ptCount val="21"/>
                <c:pt idx="0">
                  <c:v>198.93541344335017</c:v>
                </c:pt>
                <c:pt idx="1">
                  <c:v>226.55765788364289</c:v>
                </c:pt>
                <c:pt idx="2">
                  <c:v>231.82963617807616</c:v>
                </c:pt>
                <c:pt idx="3">
                  <c:v>228.60923606756427</c:v>
                </c:pt>
                <c:pt idx="4">
                  <c:v>227.16328778625657</c:v>
                </c:pt>
                <c:pt idx="5">
                  <c:v>205.95816922793256</c:v>
                </c:pt>
                <c:pt idx="6">
                  <c:v>194.52938357107359</c:v>
                </c:pt>
                <c:pt idx="7">
                  <c:v>204.52042627956089</c:v>
                </c:pt>
                <c:pt idx="8">
                  <c:v>224.69988069857965</c:v>
                </c:pt>
                <c:pt idx="9">
                  <c:v>269.76568140634936</c:v>
                </c:pt>
                <c:pt idx="10">
                  <c:v>290.20645841758949</c:v>
                </c:pt>
                <c:pt idx="11">
                  <c:v>311.84963407654959</c:v>
                </c:pt>
                <c:pt idx="12">
                  <c:v>321.46882325830973</c:v>
                </c:pt>
                <c:pt idx="13">
                  <c:v>328.68321514462968</c:v>
                </c:pt>
                <c:pt idx="14">
                  <c:v>334.69520838322978</c:v>
                </c:pt>
                <c:pt idx="15">
                  <c:v>340.70720162182965</c:v>
                </c:pt>
                <c:pt idx="16">
                  <c:v>346.71919486042987</c:v>
                </c:pt>
                <c:pt idx="17">
                  <c:v>352.73118809902991</c:v>
                </c:pt>
                <c:pt idx="18">
                  <c:v>357.54078268990992</c:v>
                </c:pt>
                <c:pt idx="19">
                  <c:v>363.5527759285099</c:v>
                </c:pt>
                <c:pt idx="20">
                  <c:v>367.15997187166982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A-4024-AF21-521CE5E4B498}"/>
            </c:ext>
          </c:extLst>
        </c:ser>
        <c:ser>
          <c:idx val="3"/>
          <c:order val="2"/>
          <c:tx>
            <c:strRef>
              <c:f>'New Zealand'!$AB$121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'New Zealand'!$A$122:$A$142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'New Zealand'!$AB$122:$AB$142</c:f>
              <c:numCache>
                <c:formatCode>0</c:formatCode>
                <c:ptCount val="21"/>
                <c:pt idx="0">
                  <c:v>198.93541344335017</c:v>
                </c:pt>
                <c:pt idx="1">
                  <c:v>226.55765788364289</c:v>
                </c:pt>
                <c:pt idx="2">
                  <c:v>231.82963617807616</c:v>
                </c:pt>
                <c:pt idx="3">
                  <c:v>228.60923606756427</c:v>
                </c:pt>
                <c:pt idx="4">
                  <c:v>227.16328778625657</c:v>
                </c:pt>
                <c:pt idx="5">
                  <c:v>205.95816922793256</c:v>
                </c:pt>
                <c:pt idx="6">
                  <c:v>194.52938357107359</c:v>
                </c:pt>
                <c:pt idx="7">
                  <c:v>204.52042627956089</c:v>
                </c:pt>
                <c:pt idx="8">
                  <c:v>224.69988069857965</c:v>
                </c:pt>
                <c:pt idx="9">
                  <c:v>179.58578282734885</c:v>
                </c:pt>
                <c:pt idx="10">
                  <c:v>180.78818147506885</c:v>
                </c:pt>
                <c:pt idx="11">
                  <c:v>183.19297877050886</c:v>
                </c:pt>
                <c:pt idx="12">
                  <c:v>184.39537741822886</c:v>
                </c:pt>
                <c:pt idx="13">
                  <c:v>184.39537741822886</c:v>
                </c:pt>
                <c:pt idx="14">
                  <c:v>184.39537741822886</c:v>
                </c:pt>
                <c:pt idx="15">
                  <c:v>185.59777606594886</c:v>
                </c:pt>
                <c:pt idx="16">
                  <c:v>186.80017471366887</c:v>
                </c:pt>
                <c:pt idx="17">
                  <c:v>188.00257336138887</c:v>
                </c:pt>
                <c:pt idx="18">
                  <c:v>188.00257336138887</c:v>
                </c:pt>
                <c:pt idx="19">
                  <c:v>188.00257336138887</c:v>
                </c:pt>
                <c:pt idx="20">
                  <c:v>189.20497200910887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A-4024-AF21-521CE5E4B498}"/>
            </c:ext>
          </c:extLst>
        </c:ser>
        <c:ser>
          <c:idx val="2"/>
          <c:order val="3"/>
          <c:tx>
            <c:strRef>
              <c:f>'New Zealand'!$AA$121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'New Zealand'!$A$122:$A$142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'New Zealand'!$AA$122:$AA$142</c:f>
              <c:numCache>
                <c:formatCode>0</c:formatCode>
                <c:ptCount val="21"/>
                <c:pt idx="0">
                  <c:v>198.93541344335017</c:v>
                </c:pt>
                <c:pt idx="1">
                  <c:v>226.55765788364289</c:v>
                </c:pt>
                <c:pt idx="2">
                  <c:v>231.82963617807616</c:v>
                </c:pt>
                <c:pt idx="3">
                  <c:v>228.60923606756427</c:v>
                </c:pt>
                <c:pt idx="4">
                  <c:v>227.16328778625657</c:v>
                </c:pt>
                <c:pt idx="5">
                  <c:v>205.95816922793256</c:v>
                </c:pt>
                <c:pt idx="6">
                  <c:v>194.52938357107359</c:v>
                </c:pt>
                <c:pt idx="7">
                  <c:v>204.52042627956089</c:v>
                </c:pt>
                <c:pt idx="8">
                  <c:v>224.69988069857965</c:v>
                </c:pt>
                <c:pt idx="9">
                  <c:v>221.56773205445256</c:v>
                </c:pt>
                <c:pt idx="10">
                  <c:v>221.8907668407779</c:v>
                </c:pt>
                <c:pt idx="11">
                  <c:v>231.40811201022217</c:v>
                </c:pt>
                <c:pt idx="12">
                  <c:v>238.49442990396722</c:v>
                </c:pt>
                <c:pt idx="13">
                  <c:v>241.75531439026895</c:v>
                </c:pt>
                <c:pt idx="14">
                  <c:v>242.61745145836232</c:v>
                </c:pt>
                <c:pt idx="15">
                  <c:v>247.12851714527218</c:v>
                </c:pt>
                <c:pt idx="16">
                  <c:v>255.0572406995168</c:v>
                </c:pt>
                <c:pt idx="17">
                  <c:v>259.14350419926018</c:v>
                </c:pt>
                <c:pt idx="18">
                  <c:v>261.7302109464747</c:v>
                </c:pt>
                <c:pt idx="19">
                  <c:v>265.23631936700474</c:v>
                </c:pt>
                <c:pt idx="20">
                  <c:v>267.91719171689959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A-4024-AF21-521CE5E4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1934584"/>
        <c:axId val="1211925728"/>
      </c:lineChart>
      <c:catAx>
        <c:axId val="121193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925728"/>
        <c:crosses val="autoZero"/>
        <c:auto val="1"/>
        <c:lblAlgn val="ctr"/>
        <c:lblOffset val="100"/>
        <c:noMultiLvlLbl val="0"/>
      </c:catAx>
      <c:valAx>
        <c:axId val="121192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cents per litre</a:t>
                </a:r>
              </a:p>
            </c:rich>
          </c:tx>
          <c:layout>
            <c:manualLayout>
              <c:xMode val="edge"/>
              <c:yMode val="edge"/>
              <c:x val="2.2082239720034994E-3"/>
              <c:y val="0.2448530912802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93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802470372101949"/>
          <c:y val="0.57002260134149896"/>
          <c:w val="0.25468547681539805"/>
          <c:h val="0.23553295421405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254542211349808E-2"/>
          <c:y val="3.7508512449457451E-2"/>
          <c:w val="0.84242680223224531"/>
          <c:h val="0.84704183203514649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Zealand'!$BP$44:$BP$97</c:f>
              <c:numCache>
                <c:formatCode>0.0000</c:formatCode>
                <c:ptCount val="54"/>
                <c:pt idx="0">
                  <c:v>1.3890667508619754</c:v>
                </c:pt>
                <c:pt idx="1">
                  <c:v>1.3518175096133556</c:v>
                </c:pt>
                <c:pt idx="2">
                  <c:v>1.4196712983031778</c:v>
                </c:pt>
                <c:pt idx="3">
                  <c:v>1.3776824693765928</c:v>
                </c:pt>
                <c:pt idx="4">
                  <c:v>1.3130131819119564</c:v>
                </c:pt>
                <c:pt idx="5">
                  <c:v>1.2326758712065204</c:v>
                </c:pt>
                <c:pt idx="6">
                  <c:v>1.1756207257721127</c:v>
                </c:pt>
                <c:pt idx="7">
                  <c:v>1.4252198628923807</c:v>
                </c:pt>
                <c:pt idx="8">
                  <c:v>1.5038884383061315</c:v>
                </c:pt>
                <c:pt idx="9">
                  <c:v>1.5269640124472119</c:v>
                </c:pt>
                <c:pt idx="10">
                  <c:v>1.578388288215669</c:v>
                </c:pt>
                <c:pt idx="11">
                  <c:v>2.0914766353950953</c:v>
                </c:pt>
                <c:pt idx="12">
                  <c:v>2.2222003806039026</c:v>
                </c:pt>
                <c:pt idx="13">
                  <c:v>1.9470006946003156</c:v>
                </c:pt>
                <c:pt idx="14">
                  <c:v>1.9346943248651149</c:v>
                </c:pt>
                <c:pt idx="15">
                  <c:v>2.3512973490438176</c:v>
                </c:pt>
                <c:pt idx="16">
                  <c:v>2.4651506281856062</c:v>
                </c:pt>
                <c:pt idx="17">
                  <c:v>2.4436519471005558</c:v>
                </c:pt>
                <c:pt idx="18">
                  <c:v>2.3629592768654173</c:v>
                </c:pt>
                <c:pt idx="19">
                  <c:v>2.4959456923714511</c:v>
                </c:pt>
                <c:pt idx="20">
                  <c:v>2.5244188697594097</c:v>
                </c:pt>
                <c:pt idx="21">
                  <c:v>1.9800009698664116</c:v>
                </c:pt>
                <c:pt idx="22">
                  <c:v>1.8589322559712544</c:v>
                </c:pt>
                <c:pt idx="23">
                  <c:v>1.7433993325002757</c:v>
                </c:pt>
                <c:pt idx="24">
                  <c:v>1.6619512362590254</c:v>
                </c:pt>
                <c:pt idx="25">
                  <c:v>1.6429126421082436</c:v>
                </c:pt>
                <c:pt idx="26">
                  <c:v>1.6061637101232167</c:v>
                </c:pt>
                <c:pt idx="27">
                  <c:v>1.6204405692001314</c:v>
                </c:pt>
                <c:pt idx="28">
                  <c:v>1.5748486238449184</c:v>
                </c:pt>
                <c:pt idx="29">
                  <c:v>1.4599710513622262</c:v>
                </c:pt>
                <c:pt idx="30">
                  <c:v>1.4074060940640425</c:v>
                </c:pt>
                <c:pt idx="31">
                  <c:v>1.3848737103029003</c:v>
                </c:pt>
                <c:pt idx="32">
                  <c:v>1.3678869228437356</c:v>
                </c:pt>
                <c:pt idx="33">
                  <c:v>1.2688789151618278</c:v>
                </c:pt>
                <c:pt idx="34">
                  <c:v>1.2831297742872838</c:v>
                </c:pt>
                <c:pt idx="35">
                  <c:v>1.5591373619618316</c:v>
                </c:pt>
                <c:pt idx="36">
                  <c:v>1.4865880530868145</c:v>
                </c:pt>
                <c:pt idx="37">
                  <c:v>1.4229373379449006</c:v>
                </c:pt>
                <c:pt idx="38">
                  <c:v>1.4283131539017955</c:v>
                </c:pt>
                <c:pt idx="39">
                  <c:v>1.5464627527843871</c:v>
                </c:pt>
                <c:pt idx="40">
                  <c:v>1.7020296496027862</c:v>
                </c:pt>
                <c:pt idx="41">
                  <c:v>1.9385142513320188</c:v>
                </c:pt>
                <c:pt idx="42">
                  <c:v>1.8935214733885988</c:v>
                </c:pt>
                <c:pt idx="43">
                  <c:v>2.1238094755304786</c:v>
                </c:pt>
                <c:pt idx="44">
                  <c:v>1.8399183530369498</c:v>
                </c:pt>
                <c:pt idx="45">
                  <c:v>1.982518935344824</c:v>
                </c:pt>
                <c:pt idx="46">
                  <c:v>2.2439449174660591</c:v>
                </c:pt>
                <c:pt idx="47">
                  <c:v>2.2896084295889954</c:v>
                </c:pt>
                <c:pt idx="48">
                  <c:v>2.2751994241328242</c:v>
                </c:pt>
                <c:pt idx="49">
                  <c:v>2.2594775230183246</c:v>
                </c:pt>
                <c:pt idx="50">
                  <c:v>2.0473566777714676</c:v>
                </c:pt>
                <c:pt idx="51">
                  <c:v>1.94322192</c:v>
                </c:pt>
                <c:pt idx="52">
                  <c:v>2.0531666666666668</c:v>
                </c:pt>
                <c:pt idx="53">
                  <c:v>2.253333333333333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234-8CE3-E63EBD0DFED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'New Zealand'!$A$44:$A$97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'New Zealand'!$BQ$44:$BQ$97</c:f>
              <c:numCache>
                <c:formatCode>0.0000</c:formatCode>
                <c:ptCount val="54"/>
                <c:pt idx="0">
                  <c:v>1.4334062797783784</c:v>
                </c:pt>
                <c:pt idx="1">
                  <c:v>1.4094322396098371</c:v>
                </c:pt>
                <c:pt idx="2">
                  <c:v>1.3771778377486898</c:v>
                </c:pt>
                <c:pt idx="3">
                  <c:v>1.3963506332190629</c:v>
                </c:pt>
                <c:pt idx="4">
                  <c:v>1.3196824337822963</c:v>
                </c:pt>
                <c:pt idx="5">
                  <c:v>1.2228693398982635</c:v>
                </c:pt>
                <c:pt idx="6">
                  <c:v>1.178758005210029</c:v>
                </c:pt>
                <c:pt idx="7">
                  <c:v>1.4072558103809587</c:v>
                </c:pt>
                <c:pt idx="8">
                  <c:v>1.4093009341885041</c:v>
                </c:pt>
                <c:pt idx="9">
                  <c:v>1.5324730667265953</c:v>
                </c:pt>
                <c:pt idx="10">
                  <c:v>1.5756337610759765</c:v>
                </c:pt>
                <c:pt idx="11">
                  <c:v>2.2437262927834016</c:v>
                </c:pt>
                <c:pt idx="12">
                  <c:v>2.1771355157129646</c:v>
                </c:pt>
                <c:pt idx="13">
                  <c:v>2.0392854890883414</c:v>
                </c:pt>
                <c:pt idx="14">
                  <c:v>1.9346943248651149</c:v>
                </c:pt>
                <c:pt idx="15">
                  <c:v>2.5519000318677163</c:v>
                </c:pt>
                <c:pt idx="16">
                  <c:v>2.5135938623847061</c:v>
                </c:pt>
                <c:pt idx="17">
                  <c:v>2.3594873569338346</c:v>
                </c:pt>
                <c:pt idx="18">
                  <c:v>2.3051278047419617</c:v>
                </c:pt>
                <c:pt idx="19">
                  <c:v>2.3773054578697002</c:v>
                </c:pt>
                <c:pt idx="20">
                  <c:v>2.3006698850950817</c:v>
                </c:pt>
                <c:pt idx="21">
                  <c:v>1.9451257461285048</c:v>
                </c:pt>
                <c:pt idx="22">
                  <c:v>1.9034590636059832</c:v>
                </c:pt>
                <c:pt idx="23">
                  <c:v>1.7121388628030587</c:v>
                </c:pt>
                <c:pt idx="24">
                  <c:v>1.6644860653940645</c:v>
                </c:pt>
                <c:pt idx="25">
                  <c:v>1.6810221377986287</c:v>
                </c:pt>
                <c:pt idx="26">
                  <c:v>1.6303929242595958</c:v>
                </c:pt>
                <c:pt idx="27">
                  <c:v>1.6471639094707671</c:v>
                </c:pt>
                <c:pt idx="28">
                  <c:v>1.5750824635576155</c:v>
                </c:pt>
                <c:pt idx="29">
                  <c:v>1.45552771885638</c:v>
                </c:pt>
                <c:pt idx="30">
                  <c:v>1.4043267337757785</c:v>
                </c:pt>
                <c:pt idx="31">
                  <c:v>1.3969381360725159</c:v>
                </c:pt>
                <c:pt idx="32">
                  <c:v>1.3746619392892989</c:v>
                </c:pt>
                <c:pt idx="33">
                  <c:v>1.2695321206807257</c:v>
                </c:pt>
                <c:pt idx="34">
                  <c:v>1.2680899303817408</c:v>
                </c:pt>
                <c:pt idx="35">
                  <c:v>1.5548231323548236</c:v>
                </c:pt>
                <c:pt idx="36">
                  <c:v>1.4619300606056973</c:v>
                </c:pt>
                <c:pt idx="37">
                  <c:v>1.4638549837621022</c:v>
                </c:pt>
                <c:pt idx="38">
                  <c:v>1.4254962543934826</c:v>
                </c:pt>
                <c:pt idx="39">
                  <c:v>1.4895437122962769</c:v>
                </c:pt>
                <c:pt idx="40">
                  <c:v>1.6841100295914138</c:v>
                </c:pt>
                <c:pt idx="41">
                  <c:v>1.8875102013937117</c:v>
                </c:pt>
                <c:pt idx="42">
                  <c:v>1.8652377049493152</c:v>
                </c:pt>
                <c:pt idx="43">
                  <c:v>2.1856235263767716</c:v>
                </c:pt>
                <c:pt idx="44">
                  <c:v>1.8536464960582697</c:v>
                </c:pt>
                <c:pt idx="45">
                  <c:v>1.9885624358653169</c:v>
                </c:pt>
                <c:pt idx="46">
                  <c:v>2.262755057788119</c:v>
                </c:pt>
                <c:pt idx="47">
                  <c:v>2.3145544575818362</c:v>
                </c:pt>
                <c:pt idx="48">
                  <c:v>2.2846715428657096</c:v>
                </c:pt>
                <c:pt idx="49">
                  <c:v>2.2700473967959249</c:v>
                </c:pt>
                <c:pt idx="50">
                  <c:v>2.0579871251696051</c:v>
                </c:pt>
                <c:pt idx="51">
                  <c:v>1.9450235858354228</c:v>
                </c:pt>
                <c:pt idx="52">
                  <c:v>2.0462428372135726</c:v>
                </c:pt>
                <c:pt idx="53">
                  <c:v>2.247825049552866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234-8CE3-E63EBD0DF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02496"/>
        <c:axId val="163804288"/>
      </c:lineChart>
      <c:catAx>
        <c:axId val="1638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804288"/>
        <c:crosses val="autoZero"/>
        <c:auto val="1"/>
        <c:lblAlgn val="ctr"/>
        <c:lblOffset val="100"/>
        <c:noMultiLvlLbl val="0"/>
      </c:catAx>
      <c:valAx>
        <c:axId val="16380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New Zealand Dollars per litre</a:t>
                </a:r>
              </a:p>
            </c:rich>
          </c:tx>
          <c:layout>
            <c:manualLayout>
              <c:xMode val="edge"/>
              <c:yMode val="edge"/>
              <c:x val="1.5449768961695143E-2"/>
              <c:y val="0.2277624671916020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380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380417142513673"/>
          <c:y val="7.2751236284143733E-2"/>
          <c:w val="0.14930335998076577"/>
          <c:h val="0.20937305006685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67525122896111E-2"/>
          <c:y val="3.3241076901315482E-2"/>
          <c:w val="0.85487869955482521"/>
          <c:h val="0.8453342920458332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Norway!$AY$44:$AY$97</c:f>
              <c:numCache>
                <c:formatCode>0.0000</c:formatCode>
                <c:ptCount val="54"/>
                <c:pt idx="0">
                  <c:v>3.5220360270960924</c:v>
                </c:pt>
                <c:pt idx="1">
                  <c:v>3.5438113742566806</c:v>
                </c:pt>
                <c:pt idx="2">
                  <c:v>3.4913214386892619</c:v>
                </c:pt>
                <c:pt idx="3">
                  <c:v>3.6727331034203745</c:v>
                </c:pt>
                <c:pt idx="4">
                  <c:v>3.2778217387287478</c:v>
                </c:pt>
                <c:pt idx="5">
                  <c:v>3.1779575593842013</c:v>
                </c:pt>
                <c:pt idx="6">
                  <c:v>3.2443517021360009</c:v>
                </c:pt>
                <c:pt idx="7">
                  <c:v>2.8681679040025703</c:v>
                </c:pt>
                <c:pt idx="8">
                  <c:v>3.407767949356046</c:v>
                </c:pt>
                <c:pt idx="9">
                  <c:v>4.3788133420684705</c:v>
                </c:pt>
                <c:pt idx="10">
                  <c:v>3.8498072165781956</c:v>
                </c:pt>
                <c:pt idx="11">
                  <c:v>4.2204774837830206</c:v>
                </c:pt>
                <c:pt idx="12">
                  <c:v>4.5750590934710269</c:v>
                </c:pt>
                <c:pt idx="13">
                  <c:v>3.9947671643337621</c:v>
                </c:pt>
                <c:pt idx="14">
                  <c:v>4.4777488796528964</c:v>
                </c:pt>
                <c:pt idx="15">
                  <c:v>5.743651843007596</c:v>
                </c:pt>
                <c:pt idx="16">
                  <c:v>6.1378451647966301</c:v>
                </c:pt>
                <c:pt idx="17">
                  <c:v>6.0577188349312028</c:v>
                </c:pt>
                <c:pt idx="18">
                  <c:v>5.8541559231902909</c:v>
                </c:pt>
                <c:pt idx="19">
                  <c:v>5.6935358154125923</c:v>
                </c:pt>
                <c:pt idx="20">
                  <c:v>5.2598773082470185</c:v>
                </c:pt>
                <c:pt idx="21">
                  <c:v>3.6474779049963875</c:v>
                </c:pt>
                <c:pt idx="22">
                  <c:v>3.6615190435862983</c:v>
                </c:pt>
                <c:pt idx="23">
                  <c:v>3.4889911466944428</c:v>
                </c:pt>
                <c:pt idx="24">
                  <c:v>3.7886279570691066</c:v>
                </c:pt>
                <c:pt idx="25">
                  <c:v>5.2108302998462808</c:v>
                </c:pt>
                <c:pt idx="26">
                  <c:v>3.9682926620118391</c:v>
                </c:pt>
                <c:pt idx="27">
                  <c:v>2.7980564256779568</c:v>
                </c:pt>
                <c:pt idx="28">
                  <c:v>2.6501734755826885</c:v>
                </c:pt>
                <c:pt idx="29">
                  <c:v>3.7777912334588608</c:v>
                </c:pt>
                <c:pt idx="30">
                  <c:v>3.1130274122344339</c:v>
                </c:pt>
                <c:pt idx="31">
                  <c:v>3.3181028363880198</c:v>
                </c:pt>
                <c:pt idx="32">
                  <c:v>2.680620129369327</c:v>
                </c:pt>
                <c:pt idx="33">
                  <c:v>2.4529218242851751</c:v>
                </c:pt>
                <c:pt idx="34">
                  <c:v>2.7912336803707571</c:v>
                </c:pt>
                <c:pt idx="35">
                  <c:v>4.0397526373635362</c:v>
                </c:pt>
                <c:pt idx="36">
                  <c:v>3.6840214655067243</c:v>
                </c:pt>
                <c:pt idx="37">
                  <c:v>3.1412346386890242</c:v>
                </c:pt>
                <c:pt idx="38">
                  <c:v>3.330434871292228</c:v>
                </c:pt>
                <c:pt idx="39">
                  <c:v>3.7848102513916775</c:v>
                </c:pt>
                <c:pt idx="40">
                  <c:v>4.2947128247089177</c:v>
                </c:pt>
                <c:pt idx="41">
                  <c:v>4.6762247999779705</c:v>
                </c:pt>
                <c:pt idx="42">
                  <c:v>4.7509401491223366</c:v>
                </c:pt>
                <c:pt idx="43">
                  <c:v>5.1497210221377676</c:v>
                </c:pt>
                <c:pt idx="44">
                  <c:v>4.4379838417200022</c:v>
                </c:pt>
                <c:pt idx="45">
                  <c:v>4.8311999999999991</c:v>
                </c:pt>
                <c:pt idx="46">
                  <c:v>5.3994689463389403</c:v>
                </c:pt>
                <c:pt idx="47">
                  <c:v>6.0755377939771265</c:v>
                </c:pt>
                <c:pt idx="48">
                  <c:v>6.3016958046015983</c:v>
                </c:pt>
                <c:pt idx="49">
                  <c:v>6.2189886360771194</c:v>
                </c:pt>
                <c:pt idx="50">
                  <c:v>5.7226579562394768</c:v>
                </c:pt>
                <c:pt idx="51">
                  <c:v>5.2031265271706113</c:v>
                </c:pt>
                <c:pt idx="52">
                  <c:v>5.8984019643052825</c:v>
                </c:pt>
                <c:pt idx="53">
                  <c:v>6.5097842392106653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9-47CB-A289-080CEE01F50E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Norway!$AZ$44:$AZ$97</c:f>
              <c:numCache>
                <c:formatCode>0.0000</c:formatCode>
                <c:ptCount val="54"/>
                <c:pt idx="0">
                  <c:v>3.5874176891334555</c:v>
                </c:pt>
                <c:pt idx="1">
                  <c:v>3.5408582364971286</c:v>
                </c:pt>
                <c:pt idx="2">
                  <c:v>3.4781395436370328</c:v>
                </c:pt>
                <c:pt idx="3">
                  <c:v>3.4324855623842216</c:v>
                </c:pt>
                <c:pt idx="4">
                  <c:v>3.3943858380836094</c:v>
                </c:pt>
                <c:pt idx="5">
                  <c:v>3.2883660809901523</c:v>
                </c:pt>
                <c:pt idx="6">
                  <c:v>3.2721569171141187</c:v>
                </c:pt>
                <c:pt idx="7">
                  <c:v>3.1235408613197295</c:v>
                </c:pt>
                <c:pt idx="8">
                  <c:v>3.007488828266661</c:v>
                </c:pt>
                <c:pt idx="9">
                  <c:v>4.6134359504039653</c:v>
                </c:pt>
                <c:pt idx="10">
                  <c:v>4.2918565031459357</c:v>
                </c:pt>
                <c:pt idx="11">
                  <c:v>4.3035833932365106</c:v>
                </c:pt>
                <c:pt idx="12">
                  <c:v>4.2246324884095943</c:v>
                </c:pt>
                <c:pt idx="13">
                  <c:v>4.0324114066447416</c:v>
                </c:pt>
                <c:pt idx="14">
                  <c:v>4.7605868477570477</c:v>
                </c:pt>
                <c:pt idx="15">
                  <c:v>5.7858538496700262</c:v>
                </c:pt>
                <c:pt idx="16">
                  <c:v>6.1597272823408771</c:v>
                </c:pt>
                <c:pt idx="17">
                  <c:v>5.8399605470895404</c:v>
                </c:pt>
                <c:pt idx="18">
                  <c:v>5.5014280147330457</c:v>
                </c:pt>
                <c:pt idx="19">
                  <c:v>5.6254332122901385</c:v>
                </c:pt>
                <c:pt idx="20">
                  <c:v>5.3876189492820439</c:v>
                </c:pt>
                <c:pt idx="21">
                  <c:v>3.5933013273061043</c:v>
                </c:pt>
                <c:pt idx="22">
                  <c:v>3.6959073530537783</c:v>
                </c:pt>
                <c:pt idx="23">
                  <c:v>3.3056715014650262</c:v>
                </c:pt>
                <c:pt idx="24">
                  <c:v>3.6005888605778056</c:v>
                </c:pt>
                <c:pt idx="25">
                  <c:v>5.2108302998462799</c:v>
                </c:pt>
                <c:pt idx="26">
                  <c:v>3.5352920827507441</c:v>
                </c:pt>
                <c:pt idx="27">
                  <c:v>3.3852743953714421</c:v>
                </c:pt>
                <c:pt idx="28">
                  <c:v>3.3845703324780985</c:v>
                </c:pt>
                <c:pt idx="29">
                  <c:v>3.2769443018105404</c:v>
                </c:pt>
                <c:pt idx="30">
                  <c:v>3.2054915821350045</c:v>
                </c:pt>
                <c:pt idx="31">
                  <c:v>3.0134003417361006</c:v>
                </c:pt>
                <c:pt idx="32">
                  <c:v>3.0082800843880033</c:v>
                </c:pt>
                <c:pt idx="33">
                  <c:v>2.6519117779463066</c:v>
                </c:pt>
                <c:pt idx="34">
                  <c:v>2.8679332175624062</c:v>
                </c:pt>
                <c:pt idx="35">
                  <c:v>3.7265384075896906</c:v>
                </c:pt>
                <c:pt idx="36">
                  <c:v>3.3816271088811778</c:v>
                </c:pt>
                <c:pt idx="37">
                  <c:v>3.2524057209590804</c:v>
                </c:pt>
                <c:pt idx="38">
                  <c:v>3.2497004333187256</c:v>
                </c:pt>
                <c:pt idx="39">
                  <c:v>3.5863367549709819</c:v>
                </c:pt>
                <c:pt idx="40">
                  <c:v>4.1979159376307669</c:v>
                </c:pt>
                <c:pt idx="41">
                  <c:v>4.6327163525761286</c:v>
                </c:pt>
                <c:pt idx="42">
                  <c:v>4.709860568946131</c:v>
                </c:pt>
                <c:pt idx="43">
                  <c:v>5.5187233990934663</c:v>
                </c:pt>
                <c:pt idx="44">
                  <c:v>4.3910394927762253</c:v>
                </c:pt>
                <c:pt idx="45">
                  <c:v>4.9071466614928188</c:v>
                </c:pt>
                <c:pt idx="46">
                  <c:v>5.7768964142886139</c:v>
                </c:pt>
                <c:pt idx="47">
                  <c:v>5.9809817183616891</c:v>
                </c:pt>
                <c:pt idx="48">
                  <c:v>6.2093730800176212</c:v>
                </c:pt>
                <c:pt idx="49">
                  <c:v>6.0202857491376145</c:v>
                </c:pt>
                <c:pt idx="50">
                  <c:v>5.7132653984913118</c:v>
                </c:pt>
                <c:pt idx="51">
                  <c:v>5.2747877327601049</c:v>
                </c:pt>
                <c:pt idx="52">
                  <c:v>5.7916773009618669</c:v>
                </c:pt>
                <c:pt idx="53">
                  <c:v>6.5395306700727547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9-47CB-A289-080CEE01F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987840"/>
        <c:axId val="163989376"/>
      </c:lineChart>
      <c:catAx>
        <c:axId val="1639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989376"/>
        <c:crosses val="autoZero"/>
        <c:auto val="1"/>
        <c:lblAlgn val="ctr"/>
        <c:lblOffset val="100"/>
        <c:noMultiLvlLbl val="0"/>
      </c:catAx>
      <c:valAx>
        <c:axId val="163989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Krone per litre</a:t>
                </a:r>
              </a:p>
            </c:rich>
          </c:tx>
          <c:layout>
            <c:manualLayout>
              <c:xMode val="edge"/>
              <c:yMode val="edge"/>
              <c:x val="2.5161643755569511E-2"/>
              <c:y val="0.3322296123066360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3987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4714940044259164"/>
          <c:y val="5.6655776236925616E-2"/>
          <c:w val="0.14195975503062117"/>
          <c:h val="0.183131217879203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786784004940544E-2"/>
          <c:y val="4.1615427052510159E-2"/>
          <c:w val="0.8550590151890296"/>
          <c:h val="0.8360052493438369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Australia!$BH$44:$BH$97</c:f>
              <c:numCache>
                <c:formatCode>0.00</c:formatCode>
                <c:ptCount val="54"/>
                <c:pt idx="0">
                  <c:v>57.888928324324311</c:v>
                </c:pt>
                <c:pt idx="1">
                  <c:v>59.388975006535944</c:v>
                </c:pt>
                <c:pt idx="2">
                  <c:v>61.421113910828041</c:v>
                </c:pt>
                <c:pt idx="3">
                  <c:v>60.284852226993848</c:v>
                </c:pt>
                <c:pt idx="4">
                  <c:v>60.054408443113758</c:v>
                </c:pt>
                <c:pt idx="5">
                  <c:v>60.456500000000005</c:v>
                </c:pt>
                <c:pt idx="6">
                  <c:v>58.961644444444431</c:v>
                </c:pt>
                <c:pt idx="7">
                  <c:v>55.484269430051818</c:v>
                </c:pt>
                <c:pt idx="8">
                  <c:v>54.946794117647066</c:v>
                </c:pt>
                <c:pt idx="9">
                  <c:v>58.830909090909095</c:v>
                </c:pt>
                <c:pt idx="10">
                  <c:v>65.619312267657989</c:v>
                </c:pt>
                <c:pt idx="11">
                  <c:v>65.688743421052621</c:v>
                </c:pt>
                <c:pt idx="12">
                  <c:v>61.9281676300578</c:v>
                </c:pt>
                <c:pt idx="13">
                  <c:v>65.262195250659644</c:v>
                </c:pt>
                <c:pt idx="14">
                  <c:v>89.980704878048783</c:v>
                </c:pt>
                <c:pt idx="15">
                  <c:v>100.23963495575221</c:v>
                </c:pt>
                <c:pt idx="16">
                  <c:v>102.36615789473686</c:v>
                </c:pt>
                <c:pt idx="17">
                  <c:v>100.91990476190479</c:v>
                </c:pt>
                <c:pt idx="18">
                  <c:v>95.706362889983581</c:v>
                </c:pt>
                <c:pt idx="19">
                  <c:v>94.246639999999999</c:v>
                </c:pt>
                <c:pt idx="20">
                  <c:v>101.24812241887905</c:v>
                </c:pt>
                <c:pt idx="21">
                  <c:v>72.473655782312932</c:v>
                </c:pt>
                <c:pt idx="22">
                  <c:v>66.332273631840792</c:v>
                </c:pt>
                <c:pt idx="23">
                  <c:v>55.918784472769417</c:v>
                </c:pt>
                <c:pt idx="24">
                  <c:v>52.820586393088561</c:v>
                </c:pt>
                <c:pt idx="25">
                  <c:v>66.176877000000019</c:v>
                </c:pt>
                <c:pt idx="26">
                  <c:v>57.327864197530872</c:v>
                </c:pt>
                <c:pt idx="27">
                  <c:v>57.313171481826672</c:v>
                </c:pt>
                <c:pt idx="28">
                  <c:v>56.403234317343184</c:v>
                </c:pt>
                <c:pt idx="29">
                  <c:v>45.805146739130429</c:v>
                </c:pt>
                <c:pt idx="30">
                  <c:v>44.511246707638293</c:v>
                </c:pt>
                <c:pt idx="31">
                  <c:v>43.952320977253585</c:v>
                </c:pt>
                <c:pt idx="32">
                  <c:v>42.945894430590201</c:v>
                </c:pt>
                <c:pt idx="33">
                  <c:v>36.082931837074014</c:v>
                </c:pt>
                <c:pt idx="34">
                  <c:v>38.117558292282425</c:v>
                </c:pt>
                <c:pt idx="35">
                  <c:v>60.324739422614265</c:v>
                </c:pt>
                <c:pt idx="36">
                  <c:v>54.912513608169448</c:v>
                </c:pt>
                <c:pt idx="37">
                  <c:v>51.984575882352949</c:v>
                </c:pt>
                <c:pt idx="38">
                  <c:v>54.801130955777467</c:v>
                </c:pt>
                <c:pt idx="39">
                  <c:v>61.818543972125454</c:v>
                </c:pt>
                <c:pt idx="40">
                  <c:v>74.475317959183656</c:v>
                </c:pt>
                <c:pt idx="41">
                  <c:v>86.585145154911004</c:v>
                </c:pt>
                <c:pt idx="42">
                  <c:v>84.139655156950681</c:v>
                </c:pt>
                <c:pt idx="43">
                  <c:v>97.663990086741038</c:v>
                </c:pt>
                <c:pt idx="44">
                  <c:v>73.395922656250008</c:v>
                </c:pt>
                <c:pt idx="45">
                  <c:v>76.514960940514527</c:v>
                </c:pt>
                <c:pt idx="46">
                  <c:v>87.401217062956604</c:v>
                </c:pt>
                <c:pt idx="47">
                  <c:v>87.849858261175882</c:v>
                </c:pt>
                <c:pt idx="48">
                  <c:v>88.037008306645077</c:v>
                </c:pt>
                <c:pt idx="49">
                  <c:v>86.604501436409137</c:v>
                </c:pt>
                <c:pt idx="50">
                  <c:v>69.201363706611545</c:v>
                </c:pt>
                <c:pt idx="51">
                  <c:v>58.748198210679604</c:v>
                </c:pt>
                <c:pt idx="52">
                  <c:v>66.001626299768333</c:v>
                </c:pt>
                <c:pt idx="53">
                  <c:v>76.120176701917387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1-405E-B473-E65E470D8F58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Australia!$BI$44:$BI$97</c:f>
              <c:numCache>
                <c:formatCode>0.00</c:formatCode>
                <c:ptCount val="54"/>
                <c:pt idx="0">
                  <c:v>61.017383901981333</c:v>
                </c:pt>
                <c:pt idx="1">
                  <c:v>60.414106760314667</c:v>
                </c:pt>
                <c:pt idx="2">
                  <c:v>59.959151259847573</c:v>
                </c:pt>
                <c:pt idx="3">
                  <c:v>59.318585079742071</c:v>
                </c:pt>
                <c:pt idx="4">
                  <c:v>58.917112463867568</c:v>
                </c:pt>
                <c:pt idx="5">
                  <c:v>58.682203947060621</c:v>
                </c:pt>
                <c:pt idx="6">
                  <c:v>58.744617137716077</c:v>
                </c:pt>
                <c:pt idx="7">
                  <c:v>56.902163094986349</c:v>
                </c:pt>
                <c:pt idx="8">
                  <c:v>54.932162258423027</c:v>
                </c:pt>
                <c:pt idx="9">
                  <c:v>66.890203407015747</c:v>
                </c:pt>
                <c:pt idx="10">
                  <c:v>65.910771276849971</c:v>
                </c:pt>
                <c:pt idx="11">
                  <c:v>65.79499593706916</c:v>
                </c:pt>
                <c:pt idx="12">
                  <c:v>67.255050607875745</c:v>
                </c:pt>
                <c:pt idx="13">
                  <c:v>63.200847807380327</c:v>
                </c:pt>
                <c:pt idx="14">
                  <c:v>89.980704878048783</c:v>
                </c:pt>
                <c:pt idx="15">
                  <c:v>105.92757588142872</c:v>
                </c:pt>
                <c:pt idx="16">
                  <c:v>104.52193137604155</c:v>
                </c:pt>
                <c:pt idx="17">
                  <c:v>100.63441470501431</c:v>
                </c:pt>
                <c:pt idx="18">
                  <c:v>93.977096909701103</c:v>
                </c:pt>
                <c:pt idx="19">
                  <c:v>91.410306871995971</c:v>
                </c:pt>
                <c:pt idx="20">
                  <c:v>97.276961131890147</c:v>
                </c:pt>
                <c:pt idx="21">
                  <c:v>73.452191827497728</c:v>
                </c:pt>
                <c:pt idx="22">
                  <c:v>64.174161538914831</c:v>
                </c:pt>
                <c:pt idx="23">
                  <c:v>54.511299801035435</c:v>
                </c:pt>
                <c:pt idx="24">
                  <c:v>57.419658278398771</c:v>
                </c:pt>
                <c:pt idx="25">
                  <c:v>61.687725622050259</c:v>
                </c:pt>
                <c:pt idx="26">
                  <c:v>56.899311495856168</c:v>
                </c:pt>
                <c:pt idx="27">
                  <c:v>56.765722988844004</c:v>
                </c:pt>
                <c:pt idx="28">
                  <c:v>55.732745213986114</c:v>
                </c:pt>
                <c:pt idx="29">
                  <c:v>44.406026705785877</c:v>
                </c:pt>
                <c:pt idx="30">
                  <c:v>44.887597503208546</c:v>
                </c:pt>
                <c:pt idx="31">
                  <c:v>45.147537046372946</c:v>
                </c:pt>
                <c:pt idx="32">
                  <c:v>44.470897318005107</c:v>
                </c:pt>
                <c:pt idx="33">
                  <c:v>34.43745441462633</c:v>
                </c:pt>
                <c:pt idx="34">
                  <c:v>37.370559983171006</c:v>
                </c:pt>
                <c:pt idx="35">
                  <c:v>60.045876004980691</c:v>
                </c:pt>
                <c:pt idx="36">
                  <c:v>56.000690196684552</c:v>
                </c:pt>
                <c:pt idx="37">
                  <c:v>55.2166095607733</c:v>
                </c:pt>
                <c:pt idx="38">
                  <c:v>53.303242059527115</c:v>
                </c:pt>
                <c:pt idx="39">
                  <c:v>64.224090092829655</c:v>
                </c:pt>
                <c:pt idx="40">
                  <c:v>74.378005001402627</c:v>
                </c:pt>
                <c:pt idx="41">
                  <c:v>82.12908823839993</c:v>
                </c:pt>
                <c:pt idx="42">
                  <c:v>81.588737915731571</c:v>
                </c:pt>
                <c:pt idx="43">
                  <c:v>97.240027081668487</c:v>
                </c:pt>
                <c:pt idx="44">
                  <c:v>76.176463021170747</c:v>
                </c:pt>
                <c:pt idx="45">
                  <c:v>78.521835836840438</c:v>
                </c:pt>
                <c:pt idx="46">
                  <c:v>87.017752656121587</c:v>
                </c:pt>
                <c:pt idx="47">
                  <c:v>87.126594295077126</c:v>
                </c:pt>
                <c:pt idx="48">
                  <c:v>88.338200304150035</c:v>
                </c:pt>
                <c:pt idx="49">
                  <c:v>85.359132891902448</c:v>
                </c:pt>
                <c:pt idx="50">
                  <c:v>64.799789118361105</c:v>
                </c:pt>
                <c:pt idx="51">
                  <c:v>58.808210412132652</c:v>
                </c:pt>
                <c:pt idx="52">
                  <c:v>64.680065184969777</c:v>
                </c:pt>
                <c:pt idx="53">
                  <c:v>76.214987103406344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1-405E-B473-E65E470D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37152"/>
        <c:axId val="107538688"/>
      </c:lineChart>
      <c:catAx>
        <c:axId val="1075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538688"/>
        <c:crosses val="autoZero"/>
        <c:auto val="1"/>
        <c:lblAlgn val="ctr"/>
        <c:lblOffset val="100"/>
        <c:noMultiLvlLbl val="0"/>
      </c:catAx>
      <c:valAx>
        <c:axId val="10753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cents per litre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0753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12706499922804"/>
          <c:y val="0.63158383068359014"/>
          <c:w val="0.18059641935002152"/>
          <c:h val="0.203883093434976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07767650056874E-2"/>
          <c:y val="3.4804136943697085E-2"/>
          <c:w val="0.85187587714762958"/>
          <c:h val="0.8583827658271938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Norway!$AV$44:$AV$97</c:f>
              <c:numCache>
                <c:formatCode>0.0000</c:formatCode>
                <c:ptCount val="54"/>
                <c:pt idx="0">
                  <c:v>9.7834334086002528</c:v>
                </c:pt>
                <c:pt idx="1">
                  <c:v>10.738822346232368</c:v>
                </c:pt>
                <c:pt idx="2">
                  <c:v>10.268592466733125</c:v>
                </c:pt>
                <c:pt idx="3">
                  <c:v>9.9263056849199334</c:v>
                </c:pt>
                <c:pt idx="4">
                  <c:v>9.6406521727316132</c:v>
                </c:pt>
                <c:pt idx="5">
                  <c:v>10.25147599801355</c:v>
                </c:pt>
                <c:pt idx="6">
                  <c:v>10.465650652051615</c:v>
                </c:pt>
                <c:pt idx="7">
                  <c:v>8.9630247000080328</c:v>
                </c:pt>
                <c:pt idx="8">
                  <c:v>9.7364798553029868</c:v>
                </c:pt>
                <c:pt idx="9">
                  <c:v>11.227726518124282</c:v>
                </c:pt>
                <c:pt idx="10">
                  <c:v>9.3897736989712097</c:v>
                </c:pt>
                <c:pt idx="11">
                  <c:v>10.293847521422</c:v>
                </c:pt>
                <c:pt idx="12">
                  <c:v>11.158680715782991</c:v>
                </c:pt>
                <c:pt idx="13">
                  <c:v>9.7433345471555164</c:v>
                </c:pt>
                <c:pt idx="14">
                  <c:v>10.068049866865948</c:v>
                </c:pt>
                <c:pt idx="15">
                  <c:v>11.894872790238004</c:v>
                </c:pt>
                <c:pt idx="16">
                  <c:v>12.274654401985261</c:v>
                </c:pt>
                <c:pt idx="17">
                  <c:v>11.679203558157953</c:v>
                </c:pt>
                <c:pt idx="18">
                  <c:v>11.513411966850501</c:v>
                </c:pt>
                <c:pt idx="19">
                  <c:v>11.450090948463986</c:v>
                </c:pt>
                <c:pt idx="20">
                  <c:v>10.682727066548791</c:v>
                </c:pt>
                <c:pt idx="21">
                  <c:v>9.2467233742103812</c:v>
                </c:pt>
                <c:pt idx="22">
                  <c:v>9.1086534953261289</c:v>
                </c:pt>
                <c:pt idx="23">
                  <c:v>8.9679357283107741</c:v>
                </c:pt>
                <c:pt idx="24">
                  <c:v>9.2543758957631521</c:v>
                </c:pt>
                <c:pt idx="25">
                  <c:v>11.106689343755765</c:v>
                </c:pt>
                <c:pt idx="26">
                  <c:v>10.614809704077409</c:v>
                </c:pt>
                <c:pt idx="27">
                  <c:v>9.8433551153602181</c:v>
                </c:pt>
                <c:pt idx="28">
                  <c:v>9.9396224140648055</c:v>
                </c:pt>
                <c:pt idx="29">
                  <c:v>11.547606918604655</c:v>
                </c:pt>
                <c:pt idx="30">
                  <c:v>11.229271492435739</c:v>
                </c:pt>
                <c:pt idx="31">
                  <c:v>11.539807978560784</c:v>
                </c:pt>
                <c:pt idx="32">
                  <c:v>11.215962495752008</c:v>
                </c:pt>
                <c:pt idx="33">
                  <c:v>10.934559084289814</c:v>
                </c:pt>
                <c:pt idx="34">
                  <c:v>11.433225184453788</c:v>
                </c:pt>
                <c:pt idx="35">
                  <c:v>12.894526090640342</c:v>
                </c:pt>
                <c:pt idx="36">
                  <c:v>11.354719341873766</c:v>
                </c:pt>
                <c:pt idx="37">
                  <c:v>10.479333812662302</c:v>
                </c:pt>
                <c:pt idx="38">
                  <c:v>10.696417245481692</c:v>
                </c:pt>
                <c:pt idx="39">
                  <c:v>11.342117661180575</c:v>
                </c:pt>
                <c:pt idx="40">
                  <c:v>12.096364157140025</c:v>
                </c:pt>
                <c:pt idx="41">
                  <c:v>12.52927316391067</c:v>
                </c:pt>
                <c:pt idx="42">
                  <c:v>12.68285206155659</c:v>
                </c:pt>
                <c:pt idx="43">
                  <c:v>13.106554722359409</c:v>
                </c:pt>
                <c:pt idx="44">
                  <c:v>12.165031850400002</c:v>
                </c:pt>
                <c:pt idx="45">
                  <c:v>12.689</c:v>
                </c:pt>
                <c:pt idx="46">
                  <c:v>13.529873805346803</c:v>
                </c:pt>
                <c:pt idx="47">
                  <c:v>14.431356051898033</c:v>
                </c:pt>
                <c:pt idx="48">
                  <c:v>14.703317046374739</c:v>
                </c:pt>
                <c:pt idx="49">
                  <c:v>14.733714350384531</c:v>
                </c:pt>
                <c:pt idx="50">
                  <c:v>13.851299057457037</c:v>
                </c:pt>
                <c:pt idx="51">
                  <c:v>13.127854468773448</c:v>
                </c:pt>
                <c:pt idx="52">
                  <c:v>14.169257279144107</c:v>
                </c:pt>
                <c:pt idx="53">
                  <c:v>14.876781329915833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9-4421-B2D1-D814205B86FF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Norway!$AW$44:$AW$97</c:f>
              <c:numCache>
                <c:formatCode>0.0000</c:formatCode>
                <c:ptCount val="54"/>
                <c:pt idx="0">
                  <c:v>9.8488150706376167</c:v>
                </c:pt>
                <c:pt idx="1">
                  <c:v>10.735869208472817</c:v>
                </c:pt>
                <c:pt idx="2">
                  <c:v>10.255410571680896</c:v>
                </c:pt>
                <c:pt idx="3">
                  <c:v>9.6860581438837805</c:v>
                </c:pt>
                <c:pt idx="4">
                  <c:v>9.7572162720864739</c:v>
                </c:pt>
                <c:pt idx="5">
                  <c:v>10.361884519619501</c:v>
                </c:pt>
                <c:pt idx="6">
                  <c:v>10.493455867029732</c:v>
                </c:pt>
                <c:pt idx="7">
                  <c:v>9.2183976573251911</c:v>
                </c:pt>
                <c:pt idx="8">
                  <c:v>9.3362007342136017</c:v>
                </c:pt>
                <c:pt idx="9">
                  <c:v>11.462349126459777</c:v>
                </c:pt>
                <c:pt idx="10">
                  <c:v>9.831822985538949</c:v>
                </c:pt>
                <c:pt idx="11">
                  <c:v>10.37695343087549</c:v>
                </c:pt>
                <c:pt idx="12">
                  <c:v>10.808254110721558</c:v>
                </c:pt>
                <c:pt idx="13">
                  <c:v>9.780978789466495</c:v>
                </c:pt>
                <c:pt idx="14">
                  <c:v>10.350887834970099</c:v>
                </c:pt>
                <c:pt idx="15">
                  <c:v>11.937074796900434</c:v>
                </c:pt>
                <c:pt idx="16">
                  <c:v>12.296536519529507</c:v>
                </c:pt>
                <c:pt idx="17">
                  <c:v>11.46144527031629</c:v>
                </c:pt>
                <c:pt idx="18">
                  <c:v>11.160684058393256</c:v>
                </c:pt>
                <c:pt idx="19">
                  <c:v>11.381988345341533</c:v>
                </c:pt>
                <c:pt idx="20">
                  <c:v>10.810468707583816</c:v>
                </c:pt>
                <c:pt idx="21">
                  <c:v>9.192546796520098</c:v>
                </c:pt>
                <c:pt idx="22">
                  <c:v>9.143041804793608</c:v>
                </c:pt>
                <c:pt idx="23">
                  <c:v>8.7846160830813567</c:v>
                </c:pt>
                <c:pt idx="24">
                  <c:v>9.066336799271852</c:v>
                </c:pt>
                <c:pt idx="25">
                  <c:v>11.106689343755765</c:v>
                </c:pt>
                <c:pt idx="26">
                  <c:v>10.181809124816315</c:v>
                </c:pt>
                <c:pt idx="27">
                  <c:v>10.430573085053704</c:v>
                </c:pt>
                <c:pt idx="28">
                  <c:v>10.674019270960216</c:v>
                </c:pt>
                <c:pt idx="29">
                  <c:v>11.046759986956335</c:v>
                </c:pt>
                <c:pt idx="30">
                  <c:v>11.321735662336309</c:v>
                </c:pt>
                <c:pt idx="31">
                  <c:v>11.235105483908864</c:v>
                </c:pt>
                <c:pt idx="32">
                  <c:v>11.543622450770684</c:v>
                </c:pt>
                <c:pt idx="33">
                  <c:v>11.133549037950946</c:v>
                </c:pt>
                <c:pt idx="34">
                  <c:v>11.509924721645437</c:v>
                </c:pt>
                <c:pt idx="35">
                  <c:v>12.581311860866496</c:v>
                </c:pt>
                <c:pt idx="36">
                  <c:v>11.052324985248219</c:v>
                </c:pt>
                <c:pt idx="37">
                  <c:v>10.590504894932359</c:v>
                </c:pt>
                <c:pt idx="38">
                  <c:v>10.61568280750819</c:v>
                </c:pt>
                <c:pt idx="39">
                  <c:v>11.143644164759881</c:v>
                </c:pt>
                <c:pt idx="40">
                  <c:v>11.999567270061874</c:v>
                </c:pt>
                <c:pt idx="41">
                  <c:v>12.485764716508829</c:v>
                </c:pt>
                <c:pt idx="42">
                  <c:v>12.641772481380384</c:v>
                </c:pt>
                <c:pt idx="43">
                  <c:v>13.475557099315107</c:v>
                </c:pt>
                <c:pt idx="44">
                  <c:v>12.118087501456225</c:v>
                </c:pt>
                <c:pt idx="45">
                  <c:v>12.76494666149282</c:v>
                </c:pt>
                <c:pt idx="46">
                  <c:v>13.907301273296476</c:v>
                </c:pt>
                <c:pt idx="47">
                  <c:v>14.336799976282595</c:v>
                </c:pt>
                <c:pt idx="48">
                  <c:v>14.610994321790763</c:v>
                </c:pt>
                <c:pt idx="49">
                  <c:v>14.535011463445027</c:v>
                </c:pt>
                <c:pt idx="50">
                  <c:v>13.841906499708873</c:v>
                </c:pt>
                <c:pt idx="51">
                  <c:v>13.199515674362942</c:v>
                </c:pt>
                <c:pt idx="52">
                  <c:v>14.062532615800691</c:v>
                </c:pt>
                <c:pt idx="53">
                  <c:v>14.906527760777923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9-4421-B2D1-D814205B8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20224"/>
        <c:axId val="164021760"/>
      </c:lineChart>
      <c:catAx>
        <c:axId val="1640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021760"/>
        <c:crosses val="autoZero"/>
        <c:auto val="1"/>
        <c:lblAlgn val="ctr"/>
        <c:lblOffset val="100"/>
        <c:noMultiLvlLbl val="0"/>
      </c:catAx>
      <c:valAx>
        <c:axId val="16402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Krone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02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237761375718464"/>
          <c:y val="0.45585293609458732"/>
          <c:w val="0.15852780226795976"/>
          <c:h val="0.194877199911139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99759405074365"/>
          <c:y val="5.0925925925925923E-2"/>
          <c:w val="0.84344685039370071"/>
          <c:h val="0.7941980169145525"/>
        </c:manualLayout>
      </c:layout>
      <c:lineChart>
        <c:grouping val="standard"/>
        <c:varyColors val="0"/>
        <c:ser>
          <c:idx val="0"/>
          <c:order val="0"/>
          <c:tx>
            <c:strRef>
              <c:f>Norway!$Y$121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Norway!$A$122:$A$142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Norway!$Y$122:$Y$142</c:f>
              <c:numCache>
                <c:formatCode>0.00</c:formatCode>
                <c:ptCount val="21"/>
                <c:pt idx="0">
                  <c:v>14.897388867542279</c:v>
                </c:pt>
                <c:pt idx="1">
                  <c:v>15.884608039012164</c:v>
                </c:pt>
                <c:pt idx="2">
                  <c:v>16.942983922380382</c:v>
                </c:pt>
                <c:pt idx="3">
                  <c:v>17.262276907763233</c:v>
                </c:pt>
                <c:pt idx="4">
                  <c:v>17.297964547321811</c:v>
                </c:pt>
                <c:pt idx="5">
                  <c:v>16.261974023134947</c:v>
                </c:pt>
                <c:pt idx="6">
                  <c:v>15.412621405770411</c:v>
                </c:pt>
                <c:pt idx="7">
                  <c:v>16.635269576141841</c:v>
                </c:pt>
                <c:pt idx="8">
                  <c:v>17.465930851063831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A-4428-AA90-05BFF70857D8}"/>
            </c:ext>
          </c:extLst>
        </c:ser>
        <c:ser>
          <c:idx val="1"/>
          <c:order val="1"/>
          <c:tx>
            <c:strRef>
              <c:f>Norway!$Z$121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Norway!$A$122:$A$142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Norway!$Z$122:$Z$142</c:f>
              <c:numCache>
                <c:formatCode>0.00</c:formatCode>
                <c:ptCount val="21"/>
                <c:pt idx="0">
                  <c:v>15.008844355509233</c:v>
                </c:pt>
                <c:pt idx="1">
                  <c:v>16.438501545133423</c:v>
                </c:pt>
                <c:pt idx="2">
                  <c:v>16.804218197320104</c:v>
                </c:pt>
                <c:pt idx="3">
                  <c:v>17.126788735976788</c:v>
                </c:pt>
                <c:pt idx="4">
                  <c:v>17.006358217445435</c:v>
                </c:pt>
                <c:pt idx="5">
                  <c:v>16.248189979353395</c:v>
                </c:pt>
                <c:pt idx="6">
                  <c:v>15.517787774907415</c:v>
                </c:pt>
                <c:pt idx="7">
                  <c:v>16.478645845786374</c:v>
                </c:pt>
                <c:pt idx="8">
                  <c:v>17.509585211925007</c:v>
                </c:pt>
                <c:pt idx="9">
                  <c:v>20.135785280897096</c:v>
                </c:pt>
                <c:pt idx="10">
                  <c:v>21.357393795631356</c:v>
                </c:pt>
                <c:pt idx="11">
                  <c:v>22.650861634761739</c:v>
                </c:pt>
                <c:pt idx="12">
                  <c:v>23.225736229930806</c:v>
                </c:pt>
                <c:pt idx="13">
                  <c:v>23.656892176307601</c:v>
                </c:pt>
                <c:pt idx="14">
                  <c:v>24.016188798288269</c:v>
                </c:pt>
                <c:pt idx="15">
                  <c:v>24.375485420268934</c:v>
                </c:pt>
                <c:pt idx="16">
                  <c:v>24.734782042249599</c:v>
                </c:pt>
                <c:pt idx="17">
                  <c:v>25.094078664230256</c:v>
                </c:pt>
                <c:pt idx="18">
                  <c:v>25.381515961814788</c:v>
                </c:pt>
                <c:pt idx="19">
                  <c:v>25.740812583795456</c:v>
                </c:pt>
                <c:pt idx="20">
                  <c:v>25.956390556983852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A-4428-AA90-05BFF70857D8}"/>
            </c:ext>
          </c:extLst>
        </c:ser>
        <c:ser>
          <c:idx val="3"/>
          <c:order val="2"/>
          <c:tx>
            <c:strRef>
              <c:f>Norway!$AB$121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Norway!$A$122:$A$142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Norway!$AB$122:$AB$142</c:f>
              <c:numCache>
                <c:formatCode>0.00</c:formatCode>
                <c:ptCount val="21"/>
                <c:pt idx="0">
                  <c:v>15.008844355509233</c:v>
                </c:pt>
                <c:pt idx="1">
                  <c:v>16.438501545133423</c:v>
                </c:pt>
                <c:pt idx="2">
                  <c:v>16.804218197320104</c:v>
                </c:pt>
                <c:pt idx="3">
                  <c:v>17.126788735976788</c:v>
                </c:pt>
                <c:pt idx="4">
                  <c:v>17.006358217445435</c:v>
                </c:pt>
                <c:pt idx="5">
                  <c:v>16.248189979353395</c:v>
                </c:pt>
                <c:pt idx="6">
                  <c:v>15.517787774907415</c:v>
                </c:pt>
                <c:pt idx="7">
                  <c:v>16.478645845786374</c:v>
                </c:pt>
                <c:pt idx="8">
                  <c:v>17.509585211925007</c:v>
                </c:pt>
                <c:pt idx="9">
                  <c:v>14.746335951187142</c:v>
                </c:pt>
                <c:pt idx="10">
                  <c:v>14.818195275583271</c:v>
                </c:pt>
                <c:pt idx="11">
                  <c:v>14.961913924375537</c:v>
                </c:pt>
                <c:pt idx="12">
                  <c:v>15.03377324877167</c:v>
                </c:pt>
                <c:pt idx="13">
                  <c:v>15.03377324877167</c:v>
                </c:pt>
                <c:pt idx="14">
                  <c:v>15.03377324877167</c:v>
                </c:pt>
                <c:pt idx="15">
                  <c:v>15.105632573167799</c:v>
                </c:pt>
                <c:pt idx="16">
                  <c:v>15.177491897563936</c:v>
                </c:pt>
                <c:pt idx="17">
                  <c:v>15.249351221960069</c:v>
                </c:pt>
                <c:pt idx="18">
                  <c:v>15.249351221960069</c:v>
                </c:pt>
                <c:pt idx="19">
                  <c:v>15.249351221960069</c:v>
                </c:pt>
                <c:pt idx="20">
                  <c:v>15.321210546356202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A-4428-AA90-05BFF70857D8}"/>
            </c:ext>
          </c:extLst>
        </c:ser>
        <c:ser>
          <c:idx val="2"/>
          <c:order val="3"/>
          <c:tx>
            <c:strRef>
              <c:f>Norway!$AA$121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Norway!$A$122:$A$142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Norway!$AA$122:$AA$142</c:f>
              <c:numCache>
                <c:formatCode>0.00</c:formatCode>
                <c:ptCount val="21"/>
                <c:pt idx="0">
                  <c:v>15.008844355509233</c:v>
                </c:pt>
                <c:pt idx="1">
                  <c:v>16.438501545133423</c:v>
                </c:pt>
                <c:pt idx="2">
                  <c:v>16.804218197320104</c:v>
                </c:pt>
                <c:pt idx="3">
                  <c:v>17.126788735976788</c:v>
                </c:pt>
                <c:pt idx="4">
                  <c:v>17.006358217445435</c:v>
                </c:pt>
                <c:pt idx="5">
                  <c:v>16.248189979353395</c:v>
                </c:pt>
                <c:pt idx="6">
                  <c:v>15.517787774907415</c:v>
                </c:pt>
                <c:pt idx="7">
                  <c:v>16.478645845786374</c:v>
                </c:pt>
                <c:pt idx="8">
                  <c:v>17.509585211925007</c:v>
                </c:pt>
                <c:pt idx="9">
                  <c:v>17.255316241553302</c:v>
                </c:pt>
                <c:pt idx="10">
                  <c:v>17.274621869970137</c:v>
                </c:pt>
                <c:pt idx="11">
                  <c:v>17.843409929752049</c:v>
                </c:pt>
                <c:pt idx="12">
                  <c:v>18.266911750272495</c:v>
                </c:pt>
                <c:pt idx="13">
                  <c:v>18.46179300414267</c:v>
                </c:pt>
                <c:pt idx="14">
                  <c:v>18.513317169915421</c:v>
                </c:pt>
                <c:pt idx="15">
                  <c:v>18.782913391752984</c:v>
                </c:pt>
                <c:pt idx="16">
                  <c:v>19.256760163796592</c:v>
                </c:pt>
                <c:pt idx="17">
                  <c:v>19.500968800385571</c:v>
                </c:pt>
                <c:pt idx="18">
                  <c:v>19.655558960328129</c:v>
                </c:pt>
                <c:pt idx="19">
                  <c:v>19.865095608457793</c:v>
                </c:pt>
                <c:pt idx="20">
                  <c:v>20.025313416604046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A-4428-AA90-05BFF708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1926056"/>
        <c:axId val="1211926384"/>
      </c:lineChart>
      <c:catAx>
        <c:axId val="121192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926384"/>
        <c:crosses val="autoZero"/>
        <c:auto val="1"/>
        <c:lblAlgn val="ctr"/>
        <c:lblOffset val="100"/>
        <c:noMultiLvlLbl val="0"/>
      </c:catAx>
      <c:valAx>
        <c:axId val="12119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krone per litre</a:t>
                </a:r>
              </a:p>
            </c:rich>
          </c:tx>
          <c:layout>
            <c:manualLayout>
              <c:xMode val="edge"/>
              <c:yMode val="edge"/>
              <c:x val="1.1624890638670166E-2"/>
              <c:y val="0.247307159521726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92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801382723626776"/>
          <c:y val="0.50983741615631384"/>
          <c:w val="0.25468547681539805"/>
          <c:h val="0.258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Norway!$AY$43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Norway!$AY$44:$AY$97</c:f>
              <c:numCache>
                <c:formatCode>0.0000</c:formatCode>
                <c:ptCount val="54"/>
                <c:pt idx="0">
                  <c:v>3.5220360270960924</c:v>
                </c:pt>
                <c:pt idx="1">
                  <c:v>3.5438113742566806</c:v>
                </c:pt>
                <c:pt idx="2">
                  <c:v>3.4913214386892619</c:v>
                </c:pt>
                <c:pt idx="3">
                  <c:v>3.6727331034203745</c:v>
                </c:pt>
                <c:pt idx="4">
                  <c:v>3.2778217387287478</c:v>
                </c:pt>
                <c:pt idx="5">
                  <c:v>3.1779575593842013</c:v>
                </c:pt>
                <c:pt idx="6">
                  <c:v>3.2443517021360009</c:v>
                </c:pt>
                <c:pt idx="7">
                  <c:v>2.8681679040025703</c:v>
                </c:pt>
                <c:pt idx="8">
                  <c:v>3.407767949356046</c:v>
                </c:pt>
                <c:pt idx="9">
                  <c:v>4.3788133420684705</c:v>
                </c:pt>
                <c:pt idx="10">
                  <c:v>3.8498072165781956</c:v>
                </c:pt>
                <c:pt idx="11">
                  <c:v>4.2204774837830206</c:v>
                </c:pt>
                <c:pt idx="12">
                  <c:v>4.5750590934710269</c:v>
                </c:pt>
                <c:pt idx="13">
                  <c:v>3.9947671643337621</c:v>
                </c:pt>
                <c:pt idx="14">
                  <c:v>4.4777488796528964</c:v>
                </c:pt>
                <c:pt idx="15">
                  <c:v>5.743651843007596</c:v>
                </c:pt>
                <c:pt idx="16">
                  <c:v>6.1378451647966301</c:v>
                </c:pt>
                <c:pt idx="17">
                  <c:v>6.0577188349312028</c:v>
                </c:pt>
                <c:pt idx="18">
                  <c:v>5.8541559231902909</c:v>
                </c:pt>
                <c:pt idx="19">
                  <c:v>5.6935358154125923</c:v>
                </c:pt>
                <c:pt idx="20">
                  <c:v>5.2598773082470185</c:v>
                </c:pt>
                <c:pt idx="21">
                  <c:v>3.6474779049963875</c:v>
                </c:pt>
                <c:pt idx="22">
                  <c:v>3.6615190435862983</c:v>
                </c:pt>
                <c:pt idx="23">
                  <c:v>3.4889911466944428</c:v>
                </c:pt>
                <c:pt idx="24">
                  <c:v>3.7886279570691066</c:v>
                </c:pt>
                <c:pt idx="25">
                  <c:v>5.2108302998462808</c:v>
                </c:pt>
                <c:pt idx="26">
                  <c:v>3.9682926620118391</c:v>
                </c:pt>
                <c:pt idx="27">
                  <c:v>2.7980564256779568</c:v>
                </c:pt>
                <c:pt idx="28">
                  <c:v>2.6501734755826885</c:v>
                </c:pt>
                <c:pt idx="29">
                  <c:v>3.7777912334588608</c:v>
                </c:pt>
                <c:pt idx="30">
                  <c:v>3.1130274122344339</c:v>
                </c:pt>
                <c:pt idx="31">
                  <c:v>3.3181028363880198</c:v>
                </c:pt>
                <c:pt idx="32">
                  <c:v>2.680620129369327</c:v>
                </c:pt>
                <c:pt idx="33">
                  <c:v>2.4529218242851751</c:v>
                </c:pt>
                <c:pt idx="34">
                  <c:v>2.7912336803707571</c:v>
                </c:pt>
                <c:pt idx="35">
                  <c:v>4.0397526373635362</c:v>
                </c:pt>
                <c:pt idx="36">
                  <c:v>3.6840214655067243</c:v>
                </c:pt>
                <c:pt idx="37">
                  <c:v>3.1412346386890242</c:v>
                </c:pt>
                <c:pt idx="38">
                  <c:v>3.330434871292228</c:v>
                </c:pt>
                <c:pt idx="39">
                  <c:v>3.7848102513916775</c:v>
                </c:pt>
                <c:pt idx="40">
                  <c:v>4.2947128247089177</c:v>
                </c:pt>
                <c:pt idx="41">
                  <c:v>4.6762247999779705</c:v>
                </c:pt>
                <c:pt idx="42">
                  <c:v>4.7509401491223366</c:v>
                </c:pt>
                <c:pt idx="43">
                  <c:v>5.1497210221377676</c:v>
                </c:pt>
                <c:pt idx="44">
                  <c:v>4.4379838417200022</c:v>
                </c:pt>
                <c:pt idx="45">
                  <c:v>4.8311999999999991</c:v>
                </c:pt>
                <c:pt idx="46">
                  <c:v>5.3994689463389403</c:v>
                </c:pt>
                <c:pt idx="47">
                  <c:v>6.0755377939771265</c:v>
                </c:pt>
                <c:pt idx="48">
                  <c:v>6.3016958046015983</c:v>
                </c:pt>
                <c:pt idx="49">
                  <c:v>6.2189886360771194</c:v>
                </c:pt>
                <c:pt idx="50">
                  <c:v>5.7226579562394768</c:v>
                </c:pt>
                <c:pt idx="51">
                  <c:v>5.2031265271706113</c:v>
                </c:pt>
                <c:pt idx="52">
                  <c:v>5.8984019643052825</c:v>
                </c:pt>
                <c:pt idx="53">
                  <c:v>6.5097842392106653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C-4618-94BC-991F5BCA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243896"/>
        <c:axId val="323244880"/>
      </c:lineChart>
      <c:lineChart>
        <c:grouping val="standard"/>
        <c:varyColors val="0"/>
        <c:ser>
          <c:idx val="1"/>
          <c:order val="1"/>
          <c:tx>
            <c:strRef>
              <c:f>Norway!$BU$43</c:f>
              <c:strCache>
                <c:ptCount val="1"/>
                <c:pt idx="0">
                  <c:v>2010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Norway!$BU$44:$BU$97</c:f>
              <c:numCache>
                <c:formatCode>General</c:formatCode>
                <c:ptCount val="54"/>
                <c:pt idx="0">
                  <c:v>215.23562996407961</c:v>
                </c:pt>
                <c:pt idx="1">
                  <c:v>208.45946534492921</c:v>
                </c:pt>
                <c:pt idx="2">
                  <c:v>199.33151895695249</c:v>
                </c:pt>
                <c:pt idx="3">
                  <c:v>192.68713473480457</c:v>
                </c:pt>
                <c:pt idx="4">
                  <c:v>187.14218114993889</c:v>
                </c:pt>
                <c:pt idx="5">
                  <c:v>171.71228912438116</c:v>
                </c:pt>
                <c:pt idx="6">
                  <c:v>169.35324157241121</c:v>
                </c:pt>
                <c:pt idx="7">
                  <c:v>147.72397399966735</c:v>
                </c:pt>
                <c:pt idx="8">
                  <c:v>130.83400567256768</c:v>
                </c:pt>
                <c:pt idx="9">
                  <c:v>364.56016551926825</c:v>
                </c:pt>
                <c:pt idx="10">
                  <c:v>317.75817044908587</c:v>
                </c:pt>
                <c:pt idx="11">
                  <c:v>319.46487732008592</c:v>
                </c:pt>
                <c:pt idx="12">
                  <c:v>307.97452900957677</c:v>
                </c:pt>
                <c:pt idx="13">
                  <c:v>279.99907784859096</c:v>
                </c:pt>
                <c:pt idx="14">
                  <c:v>385.97619702008109</c:v>
                </c:pt>
                <c:pt idx="15">
                  <c:v>535.19139587154905</c:v>
                </c:pt>
                <c:pt idx="16">
                  <c:v>589.60414737644635</c:v>
                </c:pt>
                <c:pt idx="17">
                  <c:v>543.06597059168053</c:v>
                </c:pt>
                <c:pt idx="18">
                  <c:v>493.79665924252538</c:v>
                </c:pt>
                <c:pt idx="19">
                  <c:v>511.84411437135793</c:v>
                </c:pt>
                <c:pt idx="20">
                  <c:v>477.23312769348968</c:v>
                </c:pt>
                <c:pt idx="21">
                  <c:v>216.09192226478152</c:v>
                </c:pt>
                <c:pt idx="22">
                  <c:v>231.02498702423574</c:v>
                </c:pt>
                <c:pt idx="23">
                  <c:v>174.2308835515388</c:v>
                </c:pt>
                <c:pt idx="24">
                  <c:v>217.15253449968682</c:v>
                </c:pt>
                <c:pt idx="25">
                  <c:v>236.15065291704173</c:v>
                </c:pt>
                <c:pt idx="26">
                  <c:v>207.6493790585717</c:v>
                </c:pt>
                <c:pt idx="27">
                  <c:v>185.8161209787024</c:v>
                </c:pt>
                <c:pt idx="28">
                  <c:v>185.71365314891938</c:v>
                </c:pt>
                <c:pt idx="29">
                  <c:v>170.04998745238407</c:v>
                </c:pt>
                <c:pt idx="30">
                  <c:v>159.65090920742938</c:v>
                </c:pt>
                <c:pt idx="31">
                  <c:v>192.67905223134591</c:v>
                </c:pt>
                <c:pt idx="32">
                  <c:v>191.93386076713068</c:v>
                </c:pt>
                <c:pt idx="33">
                  <c:v>140.06876844401697</c:v>
                </c:pt>
                <c:pt idx="34">
                  <c:v>171.50807353074464</c:v>
                </c:pt>
                <c:pt idx="35">
                  <c:v>329.59224040420298</c:v>
                </c:pt>
                <c:pt idx="36">
                  <c:v>310.91718360901285</c:v>
                </c:pt>
                <c:pt idx="37">
                  <c:v>292.45798413678091</c:v>
                </c:pt>
                <c:pt idx="38">
                  <c:v>291.9616588552563</c:v>
                </c:pt>
                <c:pt idx="39">
                  <c:v>341.79042647833722</c:v>
                </c:pt>
                <c:pt idx="40">
                  <c:v>431.25167161009813</c:v>
                </c:pt>
                <c:pt idx="41">
                  <c:v>494.11684466366154</c:v>
                </c:pt>
                <c:pt idx="42">
                  <c:v>506.10895410946478</c:v>
                </c:pt>
                <c:pt idx="43">
                  <c:v>683.58747437549687</c:v>
                </c:pt>
                <c:pt idx="44">
                  <c:v>520.44540032028237</c:v>
                </c:pt>
                <c:pt idx="45">
                  <c:v>594.86232937440957</c:v>
                </c:pt>
                <c:pt idx="46">
                  <c:v>733.49755513218201</c:v>
                </c:pt>
                <c:pt idx="47">
                  <c:v>764.46392895254371</c:v>
                </c:pt>
                <c:pt idx="48">
                  <c:v>736.40406090302247</c:v>
                </c:pt>
                <c:pt idx="49">
                  <c:v>778.54790892837207</c:v>
                </c:pt>
                <c:pt idx="50">
                  <c:v>576.69737765116986</c:v>
                </c:pt>
                <c:pt idx="51">
                  <c:v>510.79346698711538</c:v>
                </c:pt>
                <c:pt idx="52">
                  <c:v>578.83381611847472</c:v>
                </c:pt>
                <c:pt idx="53">
                  <c:v>686.16187467145755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C-4618-94BC-991F5BCA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98992"/>
        <c:axId val="664112432"/>
      </c:lineChart>
      <c:catAx>
        <c:axId val="32324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244880"/>
        <c:crosses val="autoZero"/>
        <c:auto val="1"/>
        <c:lblAlgn val="ctr"/>
        <c:lblOffset val="100"/>
        <c:noMultiLvlLbl val="0"/>
      </c:catAx>
      <c:valAx>
        <c:axId val="32324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243896"/>
        <c:crosses val="autoZero"/>
        <c:crossBetween val="between"/>
      </c:valAx>
      <c:valAx>
        <c:axId val="664112432"/>
        <c:scaling>
          <c:orientation val="minMax"/>
          <c:max val="850"/>
          <c:min val="-2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398992"/>
        <c:crosses val="max"/>
        <c:crossBetween val="between"/>
      </c:valAx>
      <c:catAx>
        <c:axId val="55939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112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33176889693103E-2"/>
          <c:y val="5.0925925925925923E-2"/>
          <c:w val="0.79618032485616141"/>
          <c:h val="0.80513493000981096"/>
        </c:manualLayout>
      </c:layout>
      <c:lineChart>
        <c:grouping val="standard"/>
        <c:varyColors val="0"/>
        <c:ser>
          <c:idx val="0"/>
          <c:order val="0"/>
          <c:tx>
            <c:v> energy content (RHS)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Norway!$AM$44:$AM$97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Norway!$AY$44:$AY$97</c:f>
              <c:numCache>
                <c:formatCode>0.0000</c:formatCode>
                <c:ptCount val="54"/>
                <c:pt idx="0">
                  <c:v>3.5220360270960924</c:v>
                </c:pt>
                <c:pt idx="1">
                  <c:v>3.5438113742566806</c:v>
                </c:pt>
                <c:pt idx="2">
                  <c:v>3.4913214386892619</c:v>
                </c:pt>
                <c:pt idx="3">
                  <c:v>3.6727331034203745</c:v>
                </c:pt>
                <c:pt idx="4">
                  <c:v>3.2778217387287478</c:v>
                </c:pt>
                <c:pt idx="5">
                  <c:v>3.1779575593842013</c:v>
                </c:pt>
                <c:pt idx="6">
                  <c:v>3.2443517021360009</c:v>
                </c:pt>
                <c:pt idx="7">
                  <c:v>2.8681679040025703</c:v>
                </c:pt>
                <c:pt idx="8">
                  <c:v>3.407767949356046</c:v>
                </c:pt>
                <c:pt idx="9">
                  <c:v>4.3788133420684705</c:v>
                </c:pt>
                <c:pt idx="10">
                  <c:v>3.8498072165781956</c:v>
                </c:pt>
                <c:pt idx="11">
                  <c:v>4.2204774837830206</c:v>
                </c:pt>
                <c:pt idx="12">
                  <c:v>4.5750590934710269</c:v>
                </c:pt>
                <c:pt idx="13">
                  <c:v>3.9947671643337621</c:v>
                </c:pt>
                <c:pt idx="14">
                  <c:v>4.4777488796528964</c:v>
                </c:pt>
                <c:pt idx="15">
                  <c:v>5.743651843007596</c:v>
                </c:pt>
                <c:pt idx="16">
                  <c:v>6.1378451647966301</c:v>
                </c:pt>
                <c:pt idx="17">
                  <c:v>6.0577188349312028</c:v>
                </c:pt>
                <c:pt idx="18">
                  <c:v>5.8541559231902909</c:v>
                </c:pt>
                <c:pt idx="19">
                  <c:v>5.6935358154125923</c:v>
                </c:pt>
                <c:pt idx="20">
                  <c:v>5.2598773082470185</c:v>
                </c:pt>
                <c:pt idx="21">
                  <c:v>3.6474779049963875</c:v>
                </c:pt>
                <c:pt idx="22">
                  <c:v>3.6615190435862983</c:v>
                </c:pt>
                <c:pt idx="23">
                  <c:v>3.4889911466944428</c:v>
                </c:pt>
                <c:pt idx="24">
                  <c:v>3.7886279570691066</c:v>
                </c:pt>
                <c:pt idx="25">
                  <c:v>5.2108302998462808</c:v>
                </c:pt>
                <c:pt idx="26">
                  <c:v>3.9682926620118391</c:v>
                </c:pt>
                <c:pt idx="27">
                  <c:v>2.7980564256779568</c:v>
                </c:pt>
                <c:pt idx="28">
                  <c:v>2.6501734755826885</c:v>
                </c:pt>
                <c:pt idx="29">
                  <c:v>3.7777912334588608</c:v>
                </c:pt>
                <c:pt idx="30">
                  <c:v>3.1130274122344339</c:v>
                </c:pt>
                <c:pt idx="31">
                  <c:v>3.3181028363880198</c:v>
                </c:pt>
                <c:pt idx="32">
                  <c:v>2.680620129369327</c:v>
                </c:pt>
                <c:pt idx="33">
                  <c:v>2.4529218242851751</c:v>
                </c:pt>
                <c:pt idx="34">
                  <c:v>2.7912336803707571</c:v>
                </c:pt>
                <c:pt idx="35">
                  <c:v>4.0397526373635362</c:v>
                </c:pt>
                <c:pt idx="36">
                  <c:v>3.6840214655067243</c:v>
                </c:pt>
                <c:pt idx="37">
                  <c:v>3.1412346386890242</c:v>
                </c:pt>
                <c:pt idx="38">
                  <c:v>3.330434871292228</c:v>
                </c:pt>
                <c:pt idx="39">
                  <c:v>3.7848102513916775</c:v>
                </c:pt>
                <c:pt idx="40">
                  <c:v>4.2947128247089177</c:v>
                </c:pt>
                <c:pt idx="41">
                  <c:v>4.6762247999779705</c:v>
                </c:pt>
                <c:pt idx="42">
                  <c:v>4.7509401491223366</c:v>
                </c:pt>
                <c:pt idx="43">
                  <c:v>5.1497210221377676</c:v>
                </c:pt>
                <c:pt idx="44">
                  <c:v>4.4379838417200022</c:v>
                </c:pt>
                <c:pt idx="45">
                  <c:v>4.8311999999999991</c:v>
                </c:pt>
                <c:pt idx="46">
                  <c:v>5.3994689463389403</c:v>
                </c:pt>
                <c:pt idx="47">
                  <c:v>6.0755377939771265</c:v>
                </c:pt>
                <c:pt idx="48">
                  <c:v>6.3016958046015983</c:v>
                </c:pt>
                <c:pt idx="49">
                  <c:v>6.2189886360771194</c:v>
                </c:pt>
                <c:pt idx="50">
                  <c:v>5.7226579562394768</c:v>
                </c:pt>
                <c:pt idx="51">
                  <c:v>5.2031265271706113</c:v>
                </c:pt>
                <c:pt idx="52">
                  <c:v>5.8984019643052825</c:v>
                </c:pt>
                <c:pt idx="53">
                  <c:v>6.5097842392106653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F-46C6-9C87-0B9CFDF0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380384"/>
        <c:axId val="669380056"/>
      </c:lineChart>
      <c:lineChart>
        <c:grouping val="standard"/>
        <c:varyColors val="0"/>
        <c:ser>
          <c:idx val="1"/>
          <c:order val="1"/>
          <c:tx>
            <c:v> landed oil price (LHS)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Norway!$AM$44:$AM$97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Norway!$BA$44:$BA$97</c:f>
              <c:numCache>
                <c:formatCode>0.00</c:formatCode>
                <c:ptCount val="54"/>
                <c:pt idx="0">
                  <c:v>215.23562996407958</c:v>
                </c:pt>
                <c:pt idx="1">
                  <c:v>208.45946534492921</c:v>
                </c:pt>
                <c:pt idx="2">
                  <c:v>199.33151895695246</c:v>
                </c:pt>
                <c:pt idx="3">
                  <c:v>192.68713473480457</c:v>
                </c:pt>
                <c:pt idx="4">
                  <c:v>187.14218114993889</c:v>
                </c:pt>
                <c:pt idx="5">
                  <c:v>171.71228912438116</c:v>
                </c:pt>
                <c:pt idx="6">
                  <c:v>169.35324157241121</c:v>
                </c:pt>
                <c:pt idx="7">
                  <c:v>147.72397399966738</c:v>
                </c:pt>
                <c:pt idx="8">
                  <c:v>130.83400567256768</c:v>
                </c:pt>
                <c:pt idx="9">
                  <c:v>364.56016551926831</c:v>
                </c:pt>
                <c:pt idx="10">
                  <c:v>317.75817044908592</c:v>
                </c:pt>
                <c:pt idx="11">
                  <c:v>319.46487732008592</c:v>
                </c:pt>
                <c:pt idx="12">
                  <c:v>307.97452900957671</c:v>
                </c:pt>
                <c:pt idx="13">
                  <c:v>279.9990778485909</c:v>
                </c:pt>
                <c:pt idx="14">
                  <c:v>385.97619702008109</c:v>
                </c:pt>
                <c:pt idx="15">
                  <c:v>535.19139587154893</c:v>
                </c:pt>
                <c:pt idx="16">
                  <c:v>589.60414737644624</c:v>
                </c:pt>
                <c:pt idx="17">
                  <c:v>543.06597059168053</c:v>
                </c:pt>
                <c:pt idx="18">
                  <c:v>493.79665924252538</c:v>
                </c:pt>
                <c:pt idx="19">
                  <c:v>511.84411437135793</c:v>
                </c:pt>
                <c:pt idx="20">
                  <c:v>477.23312769348968</c:v>
                </c:pt>
                <c:pt idx="21">
                  <c:v>216.09192226478152</c:v>
                </c:pt>
                <c:pt idx="22">
                  <c:v>231.02498702423574</c:v>
                </c:pt>
                <c:pt idx="23">
                  <c:v>174.23088355153877</c:v>
                </c:pt>
                <c:pt idx="24">
                  <c:v>217.15253449968682</c:v>
                </c:pt>
                <c:pt idx="25">
                  <c:v>236.15065291704173</c:v>
                </c:pt>
                <c:pt idx="26">
                  <c:v>207.6493790585717</c:v>
                </c:pt>
                <c:pt idx="27">
                  <c:v>185.81612097870243</c:v>
                </c:pt>
                <c:pt idx="28">
                  <c:v>185.71365314891938</c:v>
                </c:pt>
                <c:pt idx="29">
                  <c:v>170.0499874523841</c:v>
                </c:pt>
                <c:pt idx="30">
                  <c:v>159.65090920742938</c:v>
                </c:pt>
                <c:pt idx="31">
                  <c:v>192.67905223134591</c:v>
                </c:pt>
                <c:pt idx="32">
                  <c:v>191.93386076713068</c:v>
                </c:pt>
                <c:pt idx="33">
                  <c:v>140.068768444017</c:v>
                </c:pt>
                <c:pt idx="34">
                  <c:v>171.50807353074461</c:v>
                </c:pt>
                <c:pt idx="35">
                  <c:v>296.46766349684964</c:v>
                </c:pt>
                <c:pt idx="36">
                  <c:v>246.26999993518061</c:v>
                </c:pt>
                <c:pt idx="37">
                  <c:v>227.46339145301758</c:v>
                </c:pt>
                <c:pt idx="38">
                  <c:v>227.06966959085605</c:v>
                </c:pt>
                <c:pt idx="39">
                  <c:v>276.06301043011536</c:v>
                </c:pt>
                <c:pt idx="40">
                  <c:v>365.07095585674836</c:v>
                </c:pt>
                <c:pt idx="41">
                  <c:v>428.35089196677609</c:v>
                </c:pt>
                <c:pt idx="42">
                  <c:v>439.57829864660943</c:v>
                </c:pt>
                <c:pt idx="43">
                  <c:v>557.29849038085979</c:v>
                </c:pt>
                <c:pt idx="44">
                  <c:v>393.17775109171095</c:v>
                </c:pt>
                <c:pt idx="45">
                  <c:v>468.29090080298101</c:v>
                </c:pt>
                <c:pt idx="46">
                  <c:v>594.87244694880621</c:v>
                </c:pt>
                <c:pt idx="47">
                  <c:v>624.57459202233986</c:v>
                </c:pt>
                <c:pt idx="48">
                  <c:v>596.82949214873781</c:v>
                </c:pt>
                <c:pt idx="49">
                  <c:v>569.31012048759055</c:v>
                </c:pt>
                <c:pt idx="50">
                  <c:v>367.57056737467047</c:v>
                </c:pt>
                <c:pt idx="51">
                  <c:v>303.7554519345631</c:v>
                </c:pt>
                <c:pt idx="52">
                  <c:v>378.98247041810708</c:v>
                </c:pt>
                <c:pt idx="53">
                  <c:v>487.82347376202705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F-46C6-9C87-0B9CFDF0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976008"/>
        <c:axId val="572973056"/>
      </c:lineChart>
      <c:catAx>
        <c:axId val="66938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380056"/>
        <c:crosses val="autoZero"/>
        <c:auto val="1"/>
        <c:lblAlgn val="ctr"/>
        <c:lblOffset val="100"/>
        <c:noMultiLvlLbl val="0"/>
      </c:catAx>
      <c:valAx>
        <c:axId val="669380056"/>
        <c:scaling>
          <c:orientation val="minMax"/>
          <c:max val="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2010 krone per litre</a:t>
                </a:r>
              </a:p>
            </c:rich>
          </c:tx>
          <c:layout>
            <c:manualLayout>
              <c:xMode val="edge"/>
              <c:yMode val="edge"/>
              <c:x val="2.4900832638290051E-2"/>
              <c:y val="0.28556556632344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380384"/>
        <c:crosses val="autoZero"/>
        <c:crossBetween val="between"/>
      </c:valAx>
      <c:valAx>
        <c:axId val="572973056"/>
        <c:scaling>
          <c:orientation val="minMax"/>
          <c:min val="-4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kroner per barrel</a:t>
                </a:r>
              </a:p>
            </c:rich>
          </c:tx>
          <c:layout>
            <c:manualLayout>
              <c:xMode val="edge"/>
              <c:yMode val="edge"/>
              <c:x val="0.94527898330482474"/>
              <c:y val="0.30272410660205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976008"/>
        <c:crosses val="max"/>
        <c:crossBetween val="between"/>
      </c:valAx>
      <c:catAx>
        <c:axId val="57297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297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580170335850876"/>
          <c:y val="6.0050957074955523E-2"/>
          <c:w val="0.210029246344207"/>
          <c:h val="0.15289644317255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07767650056874E-2"/>
          <c:y val="3.4804136943697085E-2"/>
          <c:w val="0.85187587714762958"/>
          <c:h val="0.8583827658271938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Norway!$BF$44:$BF$97</c:f>
              <c:numCache>
                <c:formatCode>0.0000</c:formatCode>
                <c:ptCount val="54"/>
                <c:pt idx="0">
                  <c:v>11.486138541068849</c:v>
                </c:pt>
                <c:pt idx="1">
                  <c:v>12.607803016098694</c:v>
                </c:pt>
                <c:pt idx="2">
                  <c:v>12.055734502264841</c:v>
                </c:pt>
                <c:pt idx="3">
                  <c:v>11.653876255524301</c:v>
                </c:pt>
                <c:pt idx="4">
                  <c:v>11.31850771171087</c:v>
                </c:pt>
                <c:pt idx="5">
                  <c:v>12.035639089659069</c:v>
                </c:pt>
                <c:pt idx="6">
                  <c:v>12.287088621283026</c:v>
                </c:pt>
                <c:pt idx="7">
                  <c:v>10.522946204224615</c:v>
                </c:pt>
                <c:pt idx="8">
                  <c:v>11.431013208719394</c:v>
                </c:pt>
                <c:pt idx="9">
                  <c:v>13.18179588926739</c:v>
                </c:pt>
                <c:pt idx="10">
                  <c:v>11.023966441153361</c:v>
                </c:pt>
                <c:pt idx="11">
                  <c:v>12.08538493733232</c:v>
                </c:pt>
                <c:pt idx="12">
                  <c:v>13.100733381020115</c:v>
                </c:pt>
                <c:pt idx="13">
                  <c:v>11.439060888607036</c:v>
                </c:pt>
                <c:pt idx="14">
                  <c:v>11.82028954247847</c:v>
                </c:pt>
                <c:pt idx="15">
                  <c:v>13.965052051865648</c:v>
                </c:pt>
                <c:pt idx="16">
                  <c:v>14.410930714876196</c:v>
                </c:pt>
                <c:pt idx="17">
                  <c:v>13.711847826389981</c:v>
                </c:pt>
                <c:pt idx="18">
                  <c:v>13.517201927841969</c:v>
                </c:pt>
                <c:pt idx="19">
                  <c:v>13.442860542831902</c:v>
                </c:pt>
                <c:pt idx="20">
                  <c:v>12.541944934683313</c:v>
                </c:pt>
                <c:pt idx="21">
                  <c:v>10.856019690771907</c:v>
                </c:pt>
                <c:pt idx="22">
                  <c:v>10.693920181225591</c:v>
                </c:pt>
                <c:pt idx="23">
                  <c:v>10.528711946077042</c:v>
                </c:pt>
                <c:pt idx="24">
                  <c:v>10.86500405434578</c:v>
                </c:pt>
                <c:pt idx="25">
                  <c:v>13.039693449831947</c:v>
                </c:pt>
                <c:pt idx="26">
                  <c:v>12.462207259563602</c:v>
                </c:pt>
                <c:pt idx="27">
                  <c:v>11.556488999513961</c:v>
                </c:pt>
                <c:pt idx="28">
                  <c:v>11.66951062328495</c:v>
                </c:pt>
                <c:pt idx="29">
                  <c:v>13.557348156353944</c:v>
                </c:pt>
                <c:pt idx="30">
                  <c:v>13.183609750336673</c:v>
                </c:pt>
                <c:pt idx="31">
                  <c:v>13.548191891668926</c:v>
                </c:pt>
                <c:pt idx="32">
                  <c:v>13.167984460791841</c:v>
                </c:pt>
                <c:pt idx="33">
                  <c:v>12.837605703663202</c:v>
                </c:pt>
                <c:pt idx="34">
                  <c:v>13.423059467490416</c:v>
                </c:pt>
                <c:pt idx="35">
                  <c:v>15.138684642993057</c:v>
                </c:pt>
                <c:pt idx="36">
                  <c:v>13.330890497099633</c:v>
                </c:pt>
                <c:pt idx="37">
                  <c:v>12.303153194106294</c:v>
                </c:pt>
                <c:pt idx="38">
                  <c:v>12.558017747294995</c:v>
                </c:pt>
                <c:pt idx="39">
                  <c:v>13.316095624558766</c:v>
                </c:pt>
                <c:pt idx="40">
                  <c:v>14.201610901750747</c:v>
                </c:pt>
                <c:pt idx="41">
                  <c:v>14.70986323196777</c:v>
                </c:pt>
                <c:pt idx="42">
                  <c:v>14.890170944165718</c:v>
                </c:pt>
                <c:pt idx="43">
                  <c:v>15.387614659367227</c:v>
                </c:pt>
                <c:pt idx="44">
                  <c:v>14.282229494952025</c:v>
                </c:pt>
                <c:pt idx="45">
                  <c:v>14.897388867542279</c:v>
                </c:pt>
                <c:pt idx="46">
                  <c:v>15.884608039012164</c:v>
                </c:pt>
                <c:pt idx="47">
                  <c:v>16.942983922380382</c:v>
                </c:pt>
                <c:pt idx="48">
                  <c:v>17.262276907763233</c:v>
                </c:pt>
                <c:pt idx="49">
                  <c:v>17.297964547321811</c:v>
                </c:pt>
                <c:pt idx="50">
                  <c:v>16.261974023134947</c:v>
                </c:pt>
                <c:pt idx="51">
                  <c:v>15.412621405770411</c:v>
                </c:pt>
                <c:pt idx="52">
                  <c:v>16.635269576141841</c:v>
                </c:pt>
                <c:pt idx="53">
                  <c:v>17.465930851063831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D-4CEB-A634-E11D3DFC6E23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Norway!$A$44:$A$97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Norway!$BG$44:$BG$97</c:f>
              <c:numCache>
                <c:formatCode>0.0000</c:formatCode>
                <c:ptCount val="54"/>
                <c:pt idx="0">
                  <c:v>11.562899203388719</c:v>
                </c:pt>
                <c:pt idx="1">
                  <c:v>12.604335915335557</c:v>
                </c:pt>
                <c:pt idx="2">
                  <c:v>12.040258435072456</c:v>
                </c:pt>
                <c:pt idx="3">
                  <c:v>11.371816121290998</c:v>
                </c:pt>
                <c:pt idx="4">
                  <c:v>11.455358583811444</c:v>
                </c:pt>
                <c:pt idx="5">
                  <c:v>12.165263069535678</c:v>
                </c:pt>
                <c:pt idx="6">
                  <c:v>12.319733045593424</c:v>
                </c:pt>
                <c:pt idx="7">
                  <c:v>10.822764176595015</c:v>
                </c:pt>
                <c:pt idx="8">
                  <c:v>10.961069657420897</c:v>
                </c:pt>
                <c:pt idx="9">
                  <c:v>13.457252129592943</c:v>
                </c:pt>
                <c:pt idx="10">
                  <c:v>11.542949822083239</c:v>
                </c:pt>
                <c:pt idx="11">
                  <c:v>12.182954568534099</c:v>
                </c:pt>
                <c:pt idx="12">
                  <c:v>12.689318659203359</c:v>
                </c:pt>
                <c:pt idx="13">
                  <c:v>11.483256720928782</c:v>
                </c:pt>
                <c:pt idx="14">
                  <c:v>12.152352525956525</c:v>
                </c:pt>
                <c:pt idx="15">
                  <c:v>14.014598880161088</c:v>
                </c:pt>
                <c:pt idx="16">
                  <c:v>14.436621188065724</c:v>
                </c:pt>
                <c:pt idx="17">
                  <c:v>13.456190966660493</c:v>
                </c:pt>
                <c:pt idx="18">
                  <c:v>13.103085384637424</c:v>
                </c:pt>
                <c:pt idx="19">
                  <c:v>13.362905387846711</c:v>
                </c:pt>
                <c:pt idx="20">
                  <c:v>12.691918683684555</c:v>
                </c:pt>
                <c:pt idx="21">
                  <c:v>10.792414241535184</c:v>
                </c:pt>
                <c:pt idx="22">
                  <c:v>10.734293419355817</c:v>
                </c:pt>
                <c:pt idx="23">
                  <c:v>10.313487417584449</c:v>
                </c:pt>
                <c:pt idx="24">
                  <c:v>10.644238703038962</c:v>
                </c:pt>
                <c:pt idx="25">
                  <c:v>13.039693449831947</c:v>
                </c:pt>
                <c:pt idx="26">
                  <c:v>11.953847419613759</c:v>
                </c:pt>
                <c:pt idx="27">
                  <c:v>12.245906167496663</c:v>
                </c:pt>
                <c:pt idx="28">
                  <c:v>12.531721637570689</c:v>
                </c:pt>
                <c:pt idx="29">
                  <c:v>12.969334009937331</c:v>
                </c:pt>
                <c:pt idx="30">
                  <c:v>13.292166350173011</c:v>
                </c:pt>
                <c:pt idx="31">
                  <c:v>13.190459087528341</c:v>
                </c:pt>
                <c:pt idx="32">
                  <c:v>13.552670233211625</c:v>
                </c:pt>
                <c:pt idx="33">
                  <c:v>13.071227795272005</c:v>
                </c:pt>
                <c:pt idx="34">
                  <c:v>13.513107763771012</c:v>
                </c:pt>
                <c:pt idx="35">
                  <c:v>14.770958724497609</c:v>
                </c:pt>
                <c:pt idx="36">
                  <c:v>12.97586753847397</c:v>
                </c:pt>
                <c:pt idx="37">
                  <c:v>12.433672450422991</c:v>
                </c:pt>
                <c:pt idx="38">
                  <c:v>12.463232317592597</c:v>
                </c:pt>
                <c:pt idx="39">
                  <c:v>13.083079874217537</c:v>
                </c:pt>
                <c:pt idx="40">
                  <c:v>14.087967520241504</c:v>
                </c:pt>
                <c:pt idx="41">
                  <c:v>14.658782590469762</c:v>
                </c:pt>
                <c:pt idx="42">
                  <c:v>14.841941889047087</c:v>
                </c:pt>
                <c:pt idx="43">
                  <c:v>15.820838073549313</c:v>
                </c:pt>
                <c:pt idx="44">
                  <c:v>14.227114968878336</c:v>
                </c:pt>
                <c:pt idx="45">
                  <c:v>14.98655325791584</c:v>
                </c:pt>
                <c:pt idx="46">
                  <c:v>16.327722843909172</c:v>
                </c:pt>
                <c:pt idx="47">
                  <c:v>16.831971342332157</c:v>
                </c:pt>
                <c:pt idx="48">
                  <c:v>17.153886370334082</c:v>
                </c:pt>
                <c:pt idx="49">
                  <c:v>17.064679483420708</c:v>
                </c:pt>
                <c:pt idx="50">
                  <c:v>16.250946788109708</c:v>
                </c:pt>
                <c:pt idx="51">
                  <c:v>15.496754501080016</c:v>
                </c:pt>
                <c:pt idx="52">
                  <c:v>16.509970591857467</c:v>
                </c:pt>
                <c:pt idx="53">
                  <c:v>17.500854339752774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D-4CEB-A634-E11D3DFC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20224"/>
        <c:axId val="164021760"/>
      </c:lineChart>
      <c:catAx>
        <c:axId val="1640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021760"/>
        <c:crosses val="autoZero"/>
        <c:auto val="1"/>
        <c:lblAlgn val="ctr"/>
        <c:lblOffset val="100"/>
        <c:noMultiLvlLbl val="0"/>
      </c:catAx>
      <c:valAx>
        <c:axId val="16402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Krone per litre</a:t>
                </a:r>
              </a:p>
            </c:rich>
          </c:tx>
          <c:layout>
            <c:manualLayout>
              <c:xMode val="edge"/>
              <c:yMode val="edge"/>
              <c:x val="1.7213047614014692E-2"/>
              <c:y val="0.3366031665396663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402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237761375718464"/>
          <c:y val="0.45585293609458732"/>
          <c:w val="0.15852780226795976"/>
          <c:h val="0.194877199911139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55940352588676E-2"/>
          <c:y val="3.5699420209129806E-2"/>
          <c:w val="0.84906501289108771"/>
          <c:h val="0.82449072081423858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Spain!$AW$44:$AW$97</c:f>
              <c:numCache>
                <c:formatCode>0.0000</c:formatCode>
                <c:ptCount val="54"/>
                <c:pt idx="0">
                  <c:v>1.2438772071270729</c:v>
                </c:pt>
                <c:pt idx="1">
                  <c:v>1.1708143554765051</c:v>
                </c:pt>
                <c:pt idx="2">
                  <c:v>1.1310454607559806</c:v>
                </c:pt>
                <c:pt idx="3">
                  <c:v>1.2232836809846974</c:v>
                </c:pt>
                <c:pt idx="4">
                  <c:v>1.197415427784938</c:v>
                </c:pt>
                <c:pt idx="5">
                  <c:v>1.1325102890104723</c:v>
                </c:pt>
                <c:pt idx="6">
                  <c:v>1.2038867036962835</c:v>
                </c:pt>
                <c:pt idx="7">
                  <c:v>0.9693675694211753</c:v>
                </c:pt>
                <c:pt idx="8">
                  <c:v>1.0014769924770439</c:v>
                </c:pt>
                <c:pt idx="9">
                  <c:v>1.3617033871733286</c:v>
                </c:pt>
                <c:pt idx="10">
                  <c:v>1.3334217193195048</c:v>
                </c:pt>
                <c:pt idx="11">
                  <c:v>1.4408287247108194</c:v>
                </c:pt>
                <c:pt idx="12">
                  <c:v>1.2045404157139399</c:v>
                </c:pt>
                <c:pt idx="13">
                  <c:v>1.2781124215529129</c:v>
                </c:pt>
                <c:pt idx="14">
                  <c:v>1.3291109776493817</c:v>
                </c:pt>
                <c:pt idx="15">
                  <c:v>1.3208252625963239</c:v>
                </c:pt>
                <c:pt idx="16">
                  <c:v>1.5037694440682536</c:v>
                </c:pt>
                <c:pt idx="17">
                  <c:v>1.4830751717992372</c:v>
                </c:pt>
                <c:pt idx="18">
                  <c:v>1.5320455916204343</c:v>
                </c:pt>
                <c:pt idx="19">
                  <c:v>1.3858796934661044</c:v>
                </c:pt>
                <c:pt idx="20">
                  <c:v>1.3342239325303908</c:v>
                </c:pt>
                <c:pt idx="21">
                  <c:v>1.1202213192048176</c:v>
                </c:pt>
                <c:pt idx="22">
                  <c:v>1.1165444041884907</c:v>
                </c:pt>
                <c:pt idx="23">
                  <c:v>0.9699788918863963</c:v>
                </c:pt>
                <c:pt idx="24">
                  <c:v>1.053774773542552</c:v>
                </c:pt>
                <c:pt idx="25">
                  <c:v>0.95203610888424695</c:v>
                </c:pt>
                <c:pt idx="26">
                  <c:v>0.95839703041638302</c:v>
                </c:pt>
                <c:pt idx="27">
                  <c:v>0.89085697982549761</c:v>
                </c:pt>
                <c:pt idx="28">
                  <c:v>0.91178263646624502</c:v>
                </c:pt>
                <c:pt idx="29">
                  <c:v>1.0320509685029324</c:v>
                </c:pt>
                <c:pt idx="30">
                  <c:v>1.037056876823649</c:v>
                </c:pt>
                <c:pt idx="31">
                  <c:v>0.94165480730450735</c:v>
                </c:pt>
                <c:pt idx="32">
                  <c:v>0.95315039596447648</c:v>
                </c:pt>
                <c:pt idx="33">
                  <c:v>0.90126399691608894</c:v>
                </c:pt>
                <c:pt idx="34">
                  <c:v>0.93384804685990885</c:v>
                </c:pt>
                <c:pt idx="35">
                  <c:v>1.0786940968402001</c:v>
                </c:pt>
                <c:pt idx="36">
                  <c:v>1.0260553804814572</c:v>
                </c:pt>
                <c:pt idx="37">
                  <c:v>1.0041643556408371</c:v>
                </c:pt>
                <c:pt idx="38">
                  <c:v>0.97813828370858136</c:v>
                </c:pt>
                <c:pt idx="39">
                  <c:v>1.0097076202533837</c:v>
                </c:pt>
                <c:pt idx="40">
                  <c:v>1.0734659243070515</c:v>
                </c:pt>
                <c:pt idx="41">
                  <c:v>1.1075912049702794</c:v>
                </c:pt>
                <c:pt idx="42">
                  <c:v>1.0934133276294529</c:v>
                </c:pt>
                <c:pt idx="43">
                  <c:v>1.1246962387694326</c:v>
                </c:pt>
                <c:pt idx="44">
                  <c:v>1.0200365811600001</c:v>
                </c:pt>
                <c:pt idx="45">
                  <c:v>1.165</c:v>
                </c:pt>
                <c:pt idx="46">
                  <c:v>1.2766745785780671</c:v>
                </c:pt>
                <c:pt idx="47">
                  <c:v>1.3485053398533433</c:v>
                </c:pt>
                <c:pt idx="48">
                  <c:v>1.3355369714157035</c:v>
                </c:pt>
                <c:pt idx="49">
                  <c:v>1.3009074955522983</c:v>
                </c:pt>
                <c:pt idx="50">
                  <c:v>1.1564119744036603</c:v>
                </c:pt>
                <c:pt idx="51">
                  <c:v>1.1138622716955326</c:v>
                </c:pt>
                <c:pt idx="52">
                  <c:v>1.1565232094512456</c:v>
                </c:pt>
                <c:pt idx="53">
                  <c:v>1.205892593668819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3-41C6-8C59-383179E5526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Spain!$AX$44:$AX$97</c:f>
              <c:numCache>
                <c:formatCode>0.0000</c:formatCode>
                <c:ptCount val="54"/>
                <c:pt idx="0">
                  <c:v>1.2388695662448774</c:v>
                </c:pt>
                <c:pt idx="1">
                  <c:v>1.1865489849642552</c:v>
                </c:pt>
                <c:pt idx="2">
                  <c:v>1.1580702516161019</c:v>
                </c:pt>
                <c:pt idx="3">
                  <c:v>1.2241223175985416</c:v>
                </c:pt>
                <c:pt idx="4">
                  <c:v>1.2055979727289587</c:v>
                </c:pt>
                <c:pt idx="5">
                  <c:v>1.1613001028217971</c:v>
                </c:pt>
                <c:pt idx="6">
                  <c:v>1.1491681302468142</c:v>
                </c:pt>
                <c:pt idx="7">
                  <c:v>1.0005613730558482</c:v>
                </c:pt>
                <c:pt idx="8">
                  <c:v>0.95693413208975908</c:v>
                </c:pt>
                <c:pt idx="9">
                  <c:v>1.3467130979077599</c:v>
                </c:pt>
                <c:pt idx="10">
                  <c:v>1.3463179088933421</c:v>
                </c:pt>
                <c:pt idx="11">
                  <c:v>1.4284501835490337</c:v>
                </c:pt>
                <c:pt idx="12">
                  <c:v>1.2213308609811333</c:v>
                </c:pt>
                <c:pt idx="13">
                  <c:v>1.252336532818894</c:v>
                </c:pt>
                <c:pt idx="14">
                  <c:v>1.326385142526026</c:v>
                </c:pt>
                <c:pt idx="15">
                  <c:v>1.3208252625963239</c:v>
                </c:pt>
                <c:pt idx="16">
                  <c:v>1.5100665647114218</c:v>
                </c:pt>
                <c:pt idx="17">
                  <c:v>1.4752852316573546</c:v>
                </c:pt>
                <c:pt idx="18">
                  <c:v>1.5203721915262287</c:v>
                </c:pt>
                <c:pt idx="19">
                  <c:v>1.3987549651621074</c:v>
                </c:pt>
                <c:pt idx="20">
                  <c:v>1.3277753891329769</c:v>
                </c:pt>
                <c:pt idx="21">
                  <c:v>1.1277415082434501</c:v>
                </c:pt>
                <c:pt idx="22">
                  <c:v>1.1260312966463406</c:v>
                </c:pt>
                <c:pt idx="23">
                  <c:v>0.97103199542176832</c:v>
                </c:pt>
                <c:pt idx="24">
                  <c:v>1.0686683516905042</c:v>
                </c:pt>
                <c:pt idx="25">
                  <c:v>0.96153975727631136</c:v>
                </c:pt>
                <c:pt idx="26">
                  <c:v>0.95621799327476187</c:v>
                </c:pt>
                <c:pt idx="27">
                  <c:v>0.88886136267287064</c:v>
                </c:pt>
                <c:pt idx="28">
                  <c:v>0.93328749828304236</c:v>
                </c:pt>
                <c:pt idx="29">
                  <c:v>1.0105461066861352</c:v>
                </c:pt>
                <c:pt idx="30">
                  <c:v>0.99552831162272803</c:v>
                </c:pt>
                <c:pt idx="31">
                  <c:v>0.94626487619347821</c:v>
                </c:pt>
                <c:pt idx="32">
                  <c:v>0.95867911788143001</c:v>
                </c:pt>
                <c:pt idx="33">
                  <c:v>0.90663956815862945</c:v>
                </c:pt>
                <c:pt idx="34">
                  <c:v>0.94348057815544983</c:v>
                </c:pt>
                <c:pt idx="35">
                  <c:v>1.0821456672474346</c:v>
                </c:pt>
                <c:pt idx="36">
                  <c:v>1.0226061779919469</c:v>
                </c:pt>
                <c:pt idx="37">
                  <c:v>1.0086295265498573</c:v>
                </c:pt>
                <c:pt idx="38">
                  <c:v>0.98021347397381686</c:v>
                </c:pt>
                <c:pt idx="39">
                  <c:v>1.0172558007335211</c:v>
                </c:pt>
                <c:pt idx="40">
                  <c:v>1.0767137664197197</c:v>
                </c:pt>
                <c:pt idx="41">
                  <c:v>1.10495016303843</c:v>
                </c:pt>
                <c:pt idx="42">
                  <c:v>1.0945408580148623</c:v>
                </c:pt>
                <c:pt idx="43">
                  <c:v>1.1331701072046374</c:v>
                </c:pt>
                <c:pt idx="44">
                  <c:v>1.0090110993459742</c:v>
                </c:pt>
                <c:pt idx="45">
                  <c:v>1.1692430358737103</c:v>
                </c:pt>
                <c:pt idx="46">
                  <c:v>1.2817656020234929</c:v>
                </c:pt>
                <c:pt idx="47">
                  <c:v>1.3385868889543449</c:v>
                </c:pt>
                <c:pt idx="48">
                  <c:v>1.3397734912376269</c:v>
                </c:pt>
                <c:pt idx="49">
                  <c:v>1.3010412742111035</c:v>
                </c:pt>
                <c:pt idx="50">
                  <c:v>1.1390886108345255</c:v>
                </c:pt>
                <c:pt idx="51">
                  <c:v>1.1104201893679502</c:v>
                </c:pt>
                <c:pt idx="52">
                  <c:v>1.1555328004103285</c:v>
                </c:pt>
                <c:pt idx="53">
                  <c:v>1.2182757056517801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3-41C6-8C59-383179E55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461952"/>
        <c:axId val="164476032"/>
      </c:lineChart>
      <c:catAx>
        <c:axId val="1644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476032"/>
        <c:crosses val="autoZero"/>
        <c:auto val="1"/>
        <c:lblAlgn val="ctr"/>
        <c:lblOffset val="100"/>
        <c:noMultiLvlLbl val="0"/>
      </c:catAx>
      <c:valAx>
        <c:axId val="1644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2326945857431536E-2"/>
              <c:y val="0.3013919302986535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4461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92339304200521"/>
          <c:y val="0.12674304377547807"/>
          <c:w val="0.15614486934153152"/>
          <c:h val="0.183812947818822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49414609690644E-2"/>
          <c:y val="3.5471308897889679E-2"/>
          <c:w val="0.85069140936035181"/>
          <c:h val="0.8349573595632816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Spain!$AZ$44:$AZ$97</c:f>
              <c:numCache>
                <c:formatCode>0.0000</c:formatCode>
                <c:ptCount val="54"/>
                <c:pt idx="0">
                  <c:v>0.51123353212922706</c:v>
                </c:pt>
                <c:pt idx="1">
                  <c:v>0.48120470010084371</c:v>
                </c:pt>
                <c:pt idx="2">
                  <c:v>0.46485968437070802</c:v>
                </c:pt>
                <c:pt idx="3">
                  <c:v>0.50276959288471057</c:v>
                </c:pt>
                <c:pt idx="4">
                  <c:v>0.4921377408196097</c:v>
                </c:pt>
                <c:pt idx="5">
                  <c:v>0.46546172878330427</c:v>
                </c:pt>
                <c:pt idx="6">
                  <c:v>0.54536067677441635</c:v>
                </c:pt>
                <c:pt idx="7">
                  <c:v>0.4391235089477924</c:v>
                </c:pt>
                <c:pt idx="8">
                  <c:v>0.50073849623852196</c:v>
                </c:pt>
                <c:pt idx="9">
                  <c:v>0.64000059197146442</c:v>
                </c:pt>
                <c:pt idx="10">
                  <c:v>0.48269866239366077</c:v>
                </c:pt>
                <c:pt idx="11">
                  <c:v>0.51869834089589506</c:v>
                </c:pt>
                <c:pt idx="12">
                  <c:v>0.43363454965701831</c:v>
                </c:pt>
                <c:pt idx="13">
                  <c:v>0.48568272019010705</c:v>
                </c:pt>
                <c:pt idx="14">
                  <c:v>0.49177106173027119</c:v>
                </c:pt>
                <c:pt idx="15">
                  <c:v>0.48870534716063985</c:v>
                </c:pt>
                <c:pt idx="16">
                  <c:v>0.75188472203412682</c:v>
                </c:pt>
                <c:pt idx="17">
                  <c:v>0.8453528479255652</c:v>
                </c:pt>
                <c:pt idx="18">
                  <c:v>0.98050917863707798</c:v>
                </c:pt>
                <c:pt idx="19">
                  <c:v>0.87310420688364576</c:v>
                </c:pt>
                <c:pt idx="20">
                  <c:v>0.85390331681945009</c:v>
                </c:pt>
                <c:pt idx="21">
                  <c:v>0.61948238952026413</c:v>
                </c:pt>
                <c:pt idx="22">
                  <c:v>0.6174490555162353</c:v>
                </c:pt>
                <c:pt idx="23">
                  <c:v>0.53639832721317715</c:v>
                </c:pt>
                <c:pt idx="24">
                  <c:v>0.37935891847531866</c:v>
                </c:pt>
                <c:pt idx="25">
                  <c:v>0.29513119375411656</c:v>
                </c:pt>
                <c:pt idx="26">
                  <c:v>0.28272712397283306</c:v>
                </c:pt>
                <c:pt idx="27">
                  <c:v>0.26814795092747479</c:v>
                </c:pt>
                <c:pt idx="28">
                  <c:v>0.47139162305304866</c:v>
                </c:pt>
                <c:pt idx="29">
                  <c:v>0.50673702553493982</c:v>
                </c:pt>
                <c:pt idx="30">
                  <c:v>0.31837646118486029</c:v>
                </c:pt>
                <c:pt idx="31">
                  <c:v>0.29191299026439732</c:v>
                </c:pt>
                <c:pt idx="32">
                  <c:v>0.29833607393688111</c:v>
                </c:pt>
                <c:pt idx="33">
                  <c:v>0.28209563103473567</c:v>
                </c:pt>
                <c:pt idx="34">
                  <c:v>0.30091831654849632</c:v>
                </c:pt>
                <c:pt idx="35">
                  <c:v>0.4399524111023122</c:v>
                </c:pt>
                <c:pt idx="36">
                  <c:v>0.41155329900352255</c:v>
                </c:pt>
                <c:pt idx="37">
                  <c:v>0.40675334951443221</c:v>
                </c:pt>
                <c:pt idx="38">
                  <c:v>0.39785247288648951</c:v>
                </c:pt>
                <c:pt idx="39">
                  <c:v>0.43820373170553772</c:v>
                </c:pt>
                <c:pt idx="40">
                  <c:v>0.50725577004536493</c:v>
                </c:pt>
                <c:pt idx="41">
                  <c:v>0.55087497658968054</c:v>
                </c:pt>
                <c:pt idx="42">
                  <c:v>0.54960276108430961</c:v>
                </c:pt>
                <c:pt idx="43">
                  <c:v>0.59196012666714326</c:v>
                </c:pt>
                <c:pt idx="44">
                  <c:v>0.48537565585034492</c:v>
                </c:pt>
                <c:pt idx="45">
                  <c:v>0.59472649572649572</c:v>
                </c:pt>
                <c:pt idx="46">
                  <c:v>0.69334757229767818</c:v>
                </c:pt>
                <c:pt idx="47">
                  <c:v>0.75389512457643515</c:v>
                </c:pt>
                <c:pt idx="48">
                  <c:v>0.70826237537484704</c:v>
                </c:pt>
                <c:pt idx="49">
                  <c:v>0.67906063009910933</c:v>
                </c:pt>
                <c:pt idx="50">
                  <c:v>0.55764777027001711</c:v>
                </c:pt>
                <c:pt idx="51">
                  <c:v>0.50967929777693344</c:v>
                </c:pt>
                <c:pt idx="52">
                  <c:v>0.5528344797109277</c:v>
                </c:pt>
                <c:pt idx="53">
                  <c:v>0.59994256357561881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1-44FD-AA1E-4A5D4FDC113A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Spain!$BA$44:$BA$97</c:f>
              <c:numCache>
                <c:formatCode>0.0000</c:formatCode>
                <c:ptCount val="54"/>
                <c:pt idx="0">
                  <c:v>0.50622589124703155</c:v>
                </c:pt>
                <c:pt idx="1">
                  <c:v>0.49693932958859366</c:v>
                </c:pt>
                <c:pt idx="2">
                  <c:v>0.49188447523082929</c:v>
                </c:pt>
                <c:pt idx="3">
                  <c:v>0.50360822949855488</c:v>
                </c:pt>
                <c:pt idx="4">
                  <c:v>0.5003202857636303</c:v>
                </c:pt>
                <c:pt idx="5">
                  <c:v>0.49425154259462889</c:v>
                </c:pt>
                <c:pt idx="6">
                  <c:v>0.49064210332494718</c:v>
                </c:pt>
                <c:pt idx="7">
                  <c:v>0.4703173125824654</c:v>
                </c:pt>
                <c:pt idx="8">
                  <c:v>0.45619563585123707</c:v>
                </c:pt>
                <c:pt idx="9">
                  <c:v>0.62501030270589575</c:v>
                </c:pt>
                <c:pt idx="10">
                  <c:v>0.49559485196749808</c:v>
                </c:pt>
                <c:pt idx="11">
                  <c:v>0.50631979973410945</c:v>
                </c:pt>
                <c:pt idx="12">
                  <c:v>0.45042499492421173</c:v>
                </c:pt>
                <c:pt idx="13">
                  <c:v>0.45990683145608813</c:v>
                </c:pt>
                <c:pt idx="14">
                  <c:v>0.48904522660691552</c:v>
                </c:pt>
                <c:pt idx="15">
                  <c:v>0.48870534716063974</c:v>
                </c:pt>
                <c:pt idx="16">
                  <c:v>0.75818184267729494</c:v>
                </c:pt>
                <c:pt idx="17">
                  <c:v>0.83756290778368259</c:v>
                </c:pt>
                <c:pt idx="18">
                  <c:v>0.96883577854287251</c:v>
                </c:pt>
                <c:pt idx="19">
                  <c:v>0.88597947857964887</c:v>
                </c:pt>
                <c:pt idx="20">
                  <c:v>0.84745477342203612</c:v>
                </c:pt>
                <c:pt idx="21">
                  <c:v>0.62700257855889663</c:v>
                </c:pt>
                <c:pt idx="22">
                  <c:v>0.62693594797408525</c:v>
                </c:pt>
                <c:pt idx="23">
                  <c:v>0.53745143074854917</c:v>
                </c:pt>
                <c:pt idx="24">
                  <c:v>0.39425249662327083</c:v>
                </c:pt>
                <c:pt idx="25">
                  <c:v>0.30463484214618103</c:v>
                </c:pt>
                <c:pt idx="26">
                  <c:v>0.28054808683121196</c:v>
                </c:pt>
                <c:pt idx="27">
                  <c:v>0.26615233377484782</c:v>
                </c:pt>
                <c:pt idx="28">
                  <c:v>0.49289648486984594</c:v>
                </c:pt>
                <c:pt idx="29">
                  <c:v>0.48523216371814248</c:v>
                </c:pt>
                <c:pt idx="30">
                  <c:v>0.27684789598393933</c:v>
                </c:pt>
                <c:pt idx="31">
                  <c:v>0.29652305915336818</c:v>
                </c:pt>
                <c:pt idx="32">
                  <c:v>0.30386479585383463</c:v>
                </c:pt>
                <c:pt idx="33">
                  <c:v>0.28747120227727618</c:v>
                </c:pt>
                <c:pt idx="34">
                  <c:v>0.3105508478440373</c:v>
                </c:pt>
                <c:pt idx="35">
                  <c:v>0.44340398150954657</c:v>
                </c:pt>
                <c:pt idx="36">
                  <c:v>0.4081040965140123</c:v>
                </c:pt>
                <c:pt idx="37">
                  <c:v>0.41121852042345247</c:v>
                </c:pt>
                <c:pt idx="38">
                  <c:v>0.39992766315172507</c:v>
                </c:pt>
                <c:pt idx="39">
                  <c:v>0.44575191218567511</c:v>
                </c:pt>
                <c:pt idx="40">
                  <c:v>0.51050361215803319</c:v>
                </c:pt>
                <c:pt idx="41">
                  <c:v>0.5482339346578311</c:v>
                </c:pt>
                <c:pt idx="42">
                  <c:v>0.55073029146971908</c:v>
                </c:pt>
                <c:pt idx="43">
                  <c:v>0.60043399510234796</c:v>
                </c:pt>
                <c:pt idx="44">
                  <c:v>0.47435017403631918</c:v>
                </c:pt>
                <c:pt idx="45">
                  <c:v>0.59896953160020594</c:v>
                </c:pt>
                <c:pt idx="46">
                  <c:v>0.69843859574310407</c:v>
                </c:pt>
                <c:pt idx="47">
                  <c:v>0.7439766736774367</c:v>
                </c:pt>
                <c:pt idx="48">
                  <c:v>0.71249889519677045</c:v>
                </c:pt>
                <c:pt idx="49">
                  <c:v>0.67919440875791448</c:v>
                </c:pt>
                <c:pt idx="50">
                  <c:v>0.54032440670088233</c:v>
                </c:pt>
                <c:pt idx="51">
                  <c:v>0.50623721544935107</c:v>
                </c:pt>
                <c:pt idx="52">
                  <c:v>0.55184407067001051</c:v>
                </c:pt>
                <c:pt idx="53">
                  <c:v>0.61232567555857997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1-44FD-AA1E-4A5D4FDC1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633600"/>
        <c:axId val="164639488"/>
      </c:lineChart>
      <c:catAx>
        <c:axId val="16463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39488"/>
        <c:crosses val="autoZero"/>
        <c:auto val="1"/>
        <c:lblAlgn val="ctr"/>
        <c:lblOffset val="100"/>
        <c:noMultiLvlLbl val="0"/>
      </c:catAx>
      <c:valAx>
        <c:axId val="1646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9956999046005324E-2"/>
              <c:y val="0.312618168304183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4633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713483146067415"/>
          <c:y val="0.17385650675454667"/>
          <c:w val="0.14567415730337077"/>
          <c:h val="0.26890040502125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7907657951594E-2"/>
          <c:y val="8.4695635605098935E-2"/>
          <c:w val="0.81922970954597529"/>
          <c:h val="0.76979474625716904"/>
        </c:manualLayout>
      </c:layout>
      <c:lineChart>
        <c:grouping val="standard"/>
        <c:varyColors val="0"/>
        <c:ser>
          <c:idx val="0"/>
          <c:order val="0"/>
          <c:tx>
            <c:v> energy content (RHS)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Spain!$AZ$44:$AZ$97</c:f>
              <c:numCache>
                <c:formatCode>0.0000</c:formatCode>
                <c:ptCount val="54"/>
                <c:pt idx="0">
                  <c:v>0.51123353212922706</c:v>
                </c:pt>
                <c:pt idx="1">
                  <c:v>0.48120470010084371</c:v>
                </c:pt>
                <c:pt idx="2">
                  <c:v>0.46485968437070802</c:v>
                </c:pt>
                <c:pt idx="3">
                  <c:v>0.50276959288471057</c:v>
                </c:pt>
                <c:pt idx="4">
                  <c:v>0.4921377408196097</c:v>
                </c:pt>
                <c:pt idx="5">
                  <c:v>0.46546172878330427</c:v>
                </c:pt>
                <c:pt idx="6">
                  <c:v>0.54536067677441635</c:v>
                </c:pt>
                <c:pt idx="7">
                  <c:v>0.4391235089477924</c:v>
                </c:pt>
                <c:pt idx="8">
                  <c:v>0.50073849623852196</c:v>
                </c:pt>
                <c:pt idx="9">
                  <c:v>0.64000059197146442</c:v>
                </c:pt>
                <c:pt idx="10">
                  <c:v>0.48269866239366077</c:v>
                </c:pt>
                <c:pt idx="11">
                  <c:v>0.51869834089589506</c:v>
                </c:pt>
                <c:pt idx="12">
                  <c:v>0.43363454965701831</c:v>
                </c:pt>
                <c:pt idx="13">
                  <c:v>0.48568272019010705</c:v>
                </c:pt>
                <c:pt idx="14">
                  <c:v>0.49177106173027119</c:v>
                </c:pt>
                <c:pt idx="15">
                  <c:v>0.48870534716063985</c:v>
                </c:pt>
                <c:pt idx="16">
                  <c:v>0.75188472203412682</c:v>
                </c:pt>
                <c:pt idx="17">
                  <c:v>0.8453528479255652</c:v>
                </c:pt>
                <c:pt idx="18">
                  <c:v>0.98050917863707798</c:v>
                </c:pt>
                <c:pt idx="19">
                  <c:v>0.87310420688364576</c:v>
                </c:pt>
                <c:pt idx="20">
                  <c:v>0.85390331681945009</c:v>
                </c:pt>
                <c:pt idx="21">
                  <c:v>0.61948238952026413</c:v>
                </c:pt>
                <c:pt idx="22">
                  <c:v>0.6174490555162353</c:v>
                </c:pt>
                <c:pt idx="23">
                  <c:v>0.53639832721317715</c:v>
                </c:pt>
                <c:pt idx="24">
                  <c:v>0.37935891847531866</c:v>
                </c:pt>
                <c:pt idx="25">
                  <c:v>0.29513119375411656</c:v>
                </c:pt>
                <c:pt idx="26">
                  <c:v>0.28272712397283306</c:v>
                </c:pt>
                <c:pt idx="27">
                  <c:v>0.26814795092747479</c:v>
                </c:pt>
                <c:pt idx="28">
                  <c:v>0.47139162305304866</c:v>
                </c:pt>
                <c:pt idx="29">
                  <c:v>0.50673702553493982</c:v>
                </c:pt>
                <c:pt idx="30">
                  <c:v>0.31837646118486029</c:v>
                </c:pt>
                <c:pt idx="31">
                  <c:v>0.29191299026439732</c:v>
                </c:pt>
                <c:pt idx="32">
                  <c:v>0.29833607393688111</c:v>
                </c:pt>
                <c:pt idx="33">
                  <c:v>0.28209563103473567</c:v>
                </c:pt>
                <c:pt idx="34">
                  <c:v>0.30091831654849632</c:v>
                </c:pt>
                <c:pt idx="35">
                  <c:v>0.4399524111023122</c:v>
                </c:pt>
                <c:pt idx="36">
                  <c:v>0.41155329900352255</c:v>
                </c:pt>
                <c:pt idx="37">
                  <c:v>0.40675334951443221</c:v>
                </c:pt>
                <c:pt idx="38">
                  <c:v>0.39785247288648951</c:v>
                </c:pt>
                <c:pt idx="39">
                  <c:v>0.43820373170553772</c:v>
                </c:pt>
                <c:pt idx="40">
                  <c:v>0.50725577004536493</c:v>
                </c:pt>
                <c:pt idx="41">
                  <c:v>0.55087497658968054</c:v>
                </c:pt>
                <c:pt idx="42">
                  <c:v>0.54960276108430961</c:v>
                </c:pt>
                <c:pt idx="43">
                  <c:v>0.59196012666714326</c:v>
                </c:pt>
                <c:pt idx="44">
                  <c:v>0.48537565585034492</c:v>
                </c:pt>
                <c:pt idx="45">
                  <c:v>0.59472649572649572</c:v>
                </c:pt>
                <c:pt idx="46">
                  <c:v>0.69334757229767818</c:v>
                </c:pt>
                <c:pt idx="47">
                  <c:v>0.75389512457643515</c:v>
                </c:pt>
                <c:pt idx="48">
                  <c:v>0.70826237537484704</c:v>
                </c:pt>
                <c:pt idx="49">
                  <c:v>0.67906063009910933</c:v>
                </c:pt>
                <c:pt idx="50">
                  <c:v>0.55764777027001711</c:v>
                </c:pt>
                <c:pt idx="51">
                  <c:v>0.50967929777693344</c:v>
                </c:pt>
                <c:pt idx="52">
                  <c:v>0.5528344797109277</c:v>
                </c:pt>
                <c:pt idx="53">
                  <c:v>0.59994256357561881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6-42CC-A80D-BD03CA53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217760"/>
        <c:axId val="702219728"/>
      </c:lineChart>
      <c:lineChart>
        <c:grouping val="standard"/>
        <c:varyColors val="0"/>
        <c:ser>
          <c:idx val="1"/>
          <c:order val="1"/>
          <c:tx>
            <c:v> landed oil price (LHS)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Spain!$A$44:$A$96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Spain!$BB$44:$BB$97</c:f>
              <c:numCache>
                <c:formatCode>0.00</c:formatCode>
                <c:ptCount val="54"/>
                <c:pt idx="0">
                  <c:v>29.530918667168088</c:v>
                </c:pt>
                <c:pt idx="1">
                  <c:v>27.79632670231446</c:v>
                </c:pt>
                <c:pt idx="2">
                  <c:v>26.852154889863666</c:v>
                </c:pt>
                <c:pt idx="3">
                  <c:v>29.041978281844028</c:v>
                </c:pt>
                <c:pt idx="4">
                  <c:v>28.427839164132045</c:v>
                </c:pt>
                <c:pt idx="5">
                  <c:v>27.294287961341563</c:v>
                </c:pt>
                <c:pt idx="6">
                  <c:v>26.620098246666242</c:v>
                </c:pt>
                <c:pt idx="7">
                  <c:v>22.823728825352283</c:v>
                </c:pt>
                <c:pt idx="8">
                  <c:v>20.186009086961036</c:v>
                </c:pt>
                <c:pt idx="9">
                  <c:v>54.825329194719721</c:v>
                </c:pt>
                <c:pt idx="10">
                  <c:v>48.132352020036151</c:v>
                </c:pt>
                <c:pt idx="11">
                  <c:v>50.135613173483129</c:v>
                </c:pt>
                <c:pt idx="12">
                  <c:v>49.277069331003915</c:v>
                </c:pt>
                <c:pt idx="13">
                  <c:v>41.466359169563219</c:v>
                </c:pt>
                <c:pt idx="14">
                  <c:v>46.908979157062106</c:v>
                </c:pt>
                <c:pt idx="15">
                  <c:v>68.368138869006017</c:v>
                </c:pt>
                <c:pt idx="16">
                  <c:v>82.8070419158108</c:v>
                </c:pt>
                <c:pt idx="17">
                  <c:v>78.529644025996731</c:v>
                </c:pt>
                <c:pt idx="18">
                  <c:v>79.699398280631925</c:v>
                </c:pt>
                <c:pt idx="19">
                  <c:v>79.082206439043858</c:v>
                </c:pt>
                <c:pt idx="20">
                  <c:v>71.886362974844999</c:v>
                </c:pt>
                <c:pt idx="21">
                  <c:v>30.709163069377475</c:v>
                </c:pt>
                <c:pt idx="22">
                  <c:v>32.819451169662109</c:v>
                </c:pt>
                <c:pt idx="23">
                  <c:v>24.596005548183932</c:v>
                </c:pt>
                <c:pt idx="24">
                  <c:v>28.724687151483696</c:v>
                </c:pt>
                <c:pt idx="25">
                  <c:v>28.9672981727911</c:v>
                </c:pt>
                <c:pt idx="26">
                  <c:v>24.468249572733821</c:v>
                </c:pt>
                <c:pt idx="27">
                  <c:v>21.779336442339915</c:v>
                </c:pt>
                <c:pt idx="28">
                  <c:v>23.143027626179428</c:v>
                </c:pt>
                <c:pt idx="29">
                  <c:v>21.711446124351671</c:v>
                </c:pt>
                <c:pt idx="30">
                  <c:v>20.689497986425469</c:v>
                </c:pt>
                <c:pt idx="31">
                  <c:v>24.36452661339483</c:v>
                </c:pt>
                <c:pt idx="32">
                  <c:v>25.735854124813322</c:v>
                </c:pt>
                <c:pt idx="33">
                  <c:v>18.04235778570704</c:v>
                </c:pt>
                <c:pt idx="34">
                  <c:v>22.353293223840719</c:v>
                </c:pt>
                <c:pt idx="35">
                  <c:v>39.449260847378945</c:v>
                </c:pt>
                <c:pt idx="36">
                  <c:v>32.855765953832908</c:v>
                </c:pt>
                <c:pt idx="37">
                  <c:v>31.893688730509524</c:v>
                </c:pt>
                <c:pt idx="38">
                  <c:v>29.784724075970004</c:v>
                </c:pt>
                <c:pt idx="39">
                  <c:v>33.712597823246057</c:v>
                </c:pt>
                <c:pt idx="40">
                  <c:v>45.807254878649481</c:v>
                </c:pt>
                <c:pt idx="41">
                  <c:v>52.854719445906149</c:v>
                </c:pt>
                <c:pt idx="42">
                  <c:v>53.321001868461749</c:v>
                </c:pt>
                <c:pt idx="43">
                  <c:v>65.450190280302436</c:v>
                </c:pt>
                <c:pt idx="44">
                  <c:v>44.744876636503875</c:v>
                </c:pt>
                <c:pt idx="45">
                  <c:v>58.759091609069415</c:v>
                </c:pt>
                <c:pt idx="46">
                  <c:v>74.493163451716754</c:v>
                </c:pt>
                <c:pt idx="47">
                  <c:v>80.153727060128631</c:v>
                </c:pt>
                <c:pt idx="48">
                  <c:v>74.274144968042393</c:v>
                </c:pt>
                <c:pt idx="49">
                  <c:v>68.05336092598246</c:v>
                </c:pt>
                <c:pt idx="50">
                  <c:v>42.114504480823918</c:v>
                </c:pt>
                <c:pt idx="51">
                  <c:v>35.747522790069631</c:v>
                </c:pt>
                <c:pt idx="52">
                  <c:v>44.266206832415769</c:v>
                </c:pt>
                <c:pt idx="53">
                  <c:v>55.563273466958677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6-42CC-A80D-BD03CA53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061112"/>
        <c:axId val="812068000"/>
      </c:lineChart>
      <c:catAx>
        <c:axId val="70221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219728"/>
        <c:crosses val="autoZero"/>
        <c:auto val="1"/>
        <c:lblAlgn val="ctr"/>
        <c:lblOffset val="100"/>
        <c:noMultiLvlLbl val="0"/>
      </c:catAx>
      <c:valAx>
        <c:axId val="70221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2.1721842780702137E-2"/>
              <c:y val="0.32046209533871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217760"/>
        <c:crosses val="autoZero"/>
        <c:crossBetween val="between"/>
      </c:valAx>
      <c:valAx>
        <c:axId val="812068000"/>
        <c:scaling>
          <c:orientation val="minMax"/>
          <c:max val="170"/>
          <c:min val="-6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euros per barrel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61112"/>
        <c:crosses val="max"/>
        <c:crossBetween val="between"/>
      </c:valAx>
      <c:catAx>
        <c:axId val="812061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2068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693981048979055"/>
          <c:y val="8.6505993248681537E-2"/>
          <c:w val="0.18630527886633585"/>
          <c:h val="0.261175955878384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9203849518808"/>
          <c:y val="5.0925925925925923E-2"/>
          <c:w val="0.84575240594925638"/>
          <c:h val="0.78551691455234762"/>
        </c:manualLayout>
      </c:layout>
      <c:lineChart>
        <c:grouping val="standard"/>
        <c:varyColors val="0"/>
        <c:ser>
          <c:idx val="0"/>
          <c:order val="0"/>
          <c:tx>
            <c:strRef>
              <c:f>Spain!$Y$121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Spain!$A$122:$A$142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Spain!$Y$122:$Y$142</c:f>
              <c:numCache>
                <c:formatCode>0</c:formatCode>
                <c:ptCount val="21"/>
                <c:pt idx="0">
                  <c:v>124.52891807148924</c:v>
                </c:pt>
                <c:pt idx="1">
                  <c:v>136.46601201691089</c:v>
                </c:pt>
                <c:pt idx="2">
                  <c:v>144.14412960134143</c:v>
                </c:pt>
                <c:pt idx="3">
                  <c:v>142.75791767800087</c:v>
                </c:pt>
                <c:pt idx="4">
                  <c:v>139.05631152980123</c:v>
                </c:pt>
                <c:pt idx="5">
                  <c:v>123.61092877030259</c:v>
                </c:pt>
                <c:pt idx="6">
                  <c:v>119.06271551493211</c:v>
                </c:pt>
                <c:pt idx="7">
                  <c:v>123.62281888199998</c:v>
                </c:pt>
                <c:pt idx="8">
                  <c:v>128.90000000000003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1-4930-9C22-A33FD419F5D9}"/>
            </c:ext>
          </c:extLst>
        </c:ser>
        <c:ser>
          <c:idx val="1"/>
          <c:order val="1"/>
          <c:tx>
            <c:strRef>
              <c:f>Spain!$Z$121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Spain!$A$122:$A$142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Spain!$Z$122:$Z$142</c:f>
              <c:numCache>
                <c:formatCode>0</c:formatCode>
                <c:ptCount val="21"/>
                <c:pt idx="0">
                  <c:v>128.86971438893909</c:v>
                </c:pt>
                <c:pt idx="1">
                  <c:v>139.02951113116626</c:v>
                </c:pt>
                <c:pt idx="2">
                  <c:v>142.88249062135603</c:v>
                </c:pt>
                <c:pt idx="3">
                  <c:v>143.30586511840707</c:v>
                </c:pt>
                <c:pt idx="4">
                  <c:v>139.07361433416764</c:v>
                </c:pt>
                <c:pt idx="5">
                  <c:v>121.37034141890834</c:v>
                </c:pt>
                <c:pt idx="6">
                  <c:v>118.61751986370301</c:v>
                </c:pt>
                <c:pt idx="7">
                  <c:v>123.49472031956263</c:v>
                </c:pt>
                <c:pt idx="8">
                  <c:v>130.50161991458498</c:v>
                </c:pt>
                <c:pt idx="9">
                  <c:v>150.43343077373441</c:v>
                </c:pt>
                <c:pt idx="10">
                  <c:v>159.88972097016139</c:v>
                </c:pt>
                <c:pt idx="11">
                  <c:v>169.90226353108403</c:v>
                </c:pt>
                <c:pt idx="12">
                  <c:v>174.35228244704973</c:v>
                </c:pt>
                <c:pt idx="13">
                  <c:v>177.68979663402393</c:v>
                </c:pt>
                <c:pt idx="14">
                  <c:v>180.47105845650245</c:v>
                </c:pt>
                <c:pt idx="15">
                  <c:v>183.25232027898096</c:v>
                </c:pt>
                <c:pt idx="16">
                  <c:v>186.0335821014595</c:v>
                </c:pt>
                <c:pt idx="17">
                  <c:v>188.81484392393801</c:v>
                </c:pt>
                <c:pt idx="18">
                  <c:v>191.03985338192084</c:v>
                </c:pt>
                <c:pt idx="19">
                  <c:v>193.82111520439938</c:v>
                </c:pt>
                <c:pt idx="20">
                  <c:v>195.48987229788645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1-4930-9C22-A33FD419F5D9}"/>
            </c:ext>
          </c:extLst>
        </c:ser>
        <c:ser>
          <c:idx val="3"/>
          <c:order val="2"/>
          <c:tx>
            <c:strRef>
              <c:f>Spain!$AB$121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Spain!$A$122:$A$142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Spain!$AB$122:$AB$142</c:f>
              <c:numCache>
                <c:formatCode>0</c:formatCode>
                <c:ptCount val="21"/>
                <c:pt idx="0">
                  <c:v>128.86971438893909</c:v>
                </c:pt>
                <c:pt idx="1">
                  <c:v>139.02951113116626</c:v>
                </c:pt>
                <c:pt idx="2">
                  <c:v>142.88249062135603</c:v>
                </c:pt>
                <c:pt idx="3">
                  <c:v>143.30586511840707</c:v>
                </c:pt>
                <c:pt idx="4">
                  <c:v>139.07361433416764</c:v>
                </c:pt>
                <c:pt idx="5">
                  <c:v>121.37034141890834</c:v>
                </c:pt>
                <c:pt idx="6">
                  <c:v>118.61751986370301</c:v>
                </c:pt>
                <c:pt idx="7">
                  <c:v>123.49472031956263</c:v>
                </c:pt>
                <c:pt idx="8">
                  <c:v>130.50161991458498</c:v>
                </c:pt>
                <c:pt idx="9">
                  <c:v>108.71450343655657</c:v>
                </c:pt>
                <c:pt idx="10">
                  <c:v>109.2707558010523</c:v>
                </c:pt>
                <c:pt idx="11">
                  <c:v>110.3832605300437</c:v>
                </c:pt>
                <c:pt idx="12">
                  <c:v>110.9395128945394</c:v>
                </c:pt>
                <c:pt idx="13">
                  <c:v>110.9395128945394</c:v>
                </c:pt>
                <c:pt idx="14">
                  <c:v>110.9395128945394</c:v>
                </c:pt>
                <c:pt idx="15">
                  <c:v>111.49576525903511</c:v>
                </c:pt>
                <c:pt idx="16">
                  <c:v>112.05201762353082</c:v>
                </c:pt>
                <c:pt idx="17">
                  <c:v>112.60826998802654</c:v>
                </c:pt>
                <c:pt idx="18">
                  <c:v>112.60826998802654</c:v>
                </c:pt>
                <c:pt idx="19">
                  <c:v>112.60826998802654</c:v>
                </c:pt>
                <c:pt idx="20">
                  <c:v>113.16452235252224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1-4930-9C22-A33FD419F5D9}"/>
            </c:ext>
          </c:extLst>
        </c:ser>
        <c:ser>
          <c:idx val="2"/>
          <c:order val="3"/>
          <c:tx>
            <c:strRef>
              <c:f>Spain!$AA$121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Spain!$A$122:$A$142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Spain!$AA$122:$AA$142</c:f>
              <c:numCache>
                <c:formatCode>0</c:formatCode>
                <c:ptCount val="21"/>
                <c:pt idx="0">
                  <c:v>128.86971438893909</c:v>
                </c:pt>
                <c:pt idx="1">
                  <c:v>139.02951113116626</c:v>
                </c:pt>
                <c:pt idx="2">
                  <c:v>142.88249062135603</c:v>
                </c:pt>
                <c:pt idx="3">
                  <c:v>143.30586511840707</c:v>
                </c:pt>
                <c:pt idx="4">
                  <c:v>139.07361433416764</c:v>
                </c:pt>
                <c:pt idx="5">
                  <c:v>121.37034141890834</c:v>
                </c:pt>
                <c:pt idx="6">
                  <c:v>118.61751986370301</c:v>
                </c:pt>
                <c:pt idx="7">
                  <c:v>123.49472031956263</c:v>
                </c:pt>
                <c:pt idx="8">
                  <c:v>130.50161991458498</c:v>
                </c:pt>
                <c:pt idx="9">
                  <c:v>128.13614747116713</c:v>
                </c:pt>
                <c:pt idx="10">
                  <c:v>128.28558947532156</c:v>
                </c:pt>
                <c:pt idx="11">
                  <c:v>132.68849342424377</c:v>
                </c:pt>
                <c:pt idx="12">
                  <c:v>135.96675815902063</c:v>
                </c:pt>
                <c:pt idx="13">
                  <c:v>137.47530502015707</c:v>
                </c:pt>
                <c:pt idx="14">
                  <c:v>137.87414593997653</c:v>
                </c:pt>
                <c:pt idx="15">
                  <c:v>139.96105027864755</c:v>
                </c:pt>
                <c:pt idx="16">
                  <c:v>143.62902781076161</c:v>
                </c:pt>
                <c:pt idx="17">
                  <c:v>145.51941062015248</c:v>
                </c:pt>
                <c:pt idx="18">
                  <c:v>146.71607010336425</c:v>
                </c:pt>
                <c:pt idx="19">
                  <c:v>148.33806219624981</c:v>
                </c:pt>
                <c:pt idx="20">
                  <c:v>149.57828446892771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1-4930-9C22-A33FD419F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042168"/>
        <c:axId val="1212045776"/>
      </c:lineChart>
      <c:catAx>
        <c:axId val="121204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045776"/>
        <c:crosses val="autoZero"/>
        <c:auto val="1"/>
        <c:lblAlgn val="ctr"/>
        <c:lblOffset val="100"/>
        <c:noMultiLvlLbl val="0"/>
      </c:catAx>
      <c:valAx>
        <c:axId val="121204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 cents per litre</a:t>
                </a:r>
              </a:p>
            </c:rich>
          </c:tx>
          <c:layout>
            <c:manualLayout>
              <c:xMode val="edge"/>
              <c:yMode val="edge"/>
              <c:x val="4.9860017497812773E-3"/>
              <c:y val="0.193556794983960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042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515278982121062"/>
          <c:y val="0.52835593467483233"/>
          <c:w val="0.26857436570428694"/>
          <c:h val="0.30497739865850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55940352588676E-2"/>
          <c:y val="3.5699420209129806E-2"/>
          <c:w val="0.84906501289108771"/>
          <c:h val="0.82449072081423858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Spain!$BK$44:$BK$97</c:f>
              <c:numCache>
                <c:formatCode>0.0000</c:formatCode>
                <c:ptCount val="54"/>
                <c:pt idx="0">
                  <c:v>1.3296024276164817</c:v>
                </c:pt>
                <c:pt idx="1">
                  <c:v>1.2515042484983452</c:v>
                </c:pt>
                <c:pt idx="2">
                  <c:v>1.2089945709666208</c:v>
                </c:pt>
                <c:pt idx="3">
                  <c:v>1.3075896419530744</c:v>
                </c:pt>
                <c:pt idx="4">
                  <c:v>1.2799386069027279</c:v>
                </c:pt>
                <c:pt idx="5">
                  <c:v>1.2105603518910191</c:v>
                </c:pt>
                <c:pt idx="6">
                  <c:v>1.286855868600427</c:v>
                </c:pt>
                <c:pt idx="7">
                  <c:v>1.0361742028635899</c:v>
                </c:pt>
                <c:pt idx="8">
                  <c:v>1.0704965351644227</c:v>
                </c:pt>
                <c:pt idx="9">
                  <c:v>1.4555489230813463</c:v>
                </c:pt>
                <c:pt idx="10">
                  <c:v>1.4253181462650897</c:v>
                </c:pt>
                <c:pt idx="11">
                  <c:v>1.5401274009833645</c:v>
                </c:pt>
                <c:pt idx="12">
                  <c:v>1.2875546329805909</c:v>
                </c:pt>
                <c:pt idx="13">
                  <c:v>1.3661970560490595</c:v>
                </c:pt>
                <c:pt idx="14">
                  <c:v>1.4207103179709599</c:v>
                </c:pt>
                <c:pt idx="15">
                  <c:v>1.4118535700653296</c:v>
                </c:pt>
                <c:pt idx="16">
                  <c:v>1.6074058532084508</c:v>
                </c:pt>
                <c:pt idx="17">
                  <c:v>1.585285378221863</c:v>
                </c:pt>
                <c:pt idx="18">
                  <c:v>1.6376307292762862</c:v>
                </c:pt>
                <c:pt idx="19">
                  <c:v>1.481391406047907</c:v>
                </c:pt>
                <c:pt idx="20">
                  <c:v>1.4261756462068433</c:v>
                </c:pt>
                <c:pt idx="21">
                  <c:v>1.1974244539158141</c:v>
                </c:pt>
                <c:pt idx="22">
                  <c:v>1.1934941341834193</c:v>
                </c:pt>
                <c:pt idx="23">
                  <c:v>1.0368276562986694</c:v>
                </c:pt>
                <c:pt idx="24">
                  <c:v>1.1263985617191639</c:v>
                </c:pt>
                <c:pt idx="25">
                  <c:v>1.0176482970330112</c:v>
                </c:pt>
                <c:pt idx="26">
                  <c:v>1.0244475989757971</c:v>
                </c:pt>
                <c:pt idx="27">
                  <c:v>0.95225283994938836</c:v>
                </c:pt>
                <c:pt idx="28">
                  <c:v>0.97462064579838203</c:v>
                </c:pt>
                <c:pt idx="29">
                  <c:v>1.1031776008781358</c:v>
                </c:pt>
                <c:pt idx="30">
                  <c:v>1.1085285051454654</c:v>
                </c:pt>
                <c:pt idx="31">
                  <c:v>1.0065515394888154</c:v>
                </c:pt>
                <c:pt idx="32">
                  <c:v>1.0188393782735436</c:v>
                </c:pt>
                <c:pt idx="33">
                  <c:v>0.96337708525962729</c:v>
                </c:pt>
                <c:pt idx="34">
                  <c:v>0.99820675466641928</c:v>
                </c:pt>
                <c:pt idx="35">
                  <c:v>1.1530352687520375</c:v>
                </c:pt>
                <c:pt idx="36">
                  <c:v>1.0967688104101811</c:v>
                </c:pt>
                <c:pt idx="37">
                  <c:v>1.07336910535543</c:v>
                </c:pt>
                <c:pt idx="38">
                  <c:v>1.0455493750603695</c:v>
                </c:pt>
                <c:pt idx="39">
                  <c:v>1.0792943993020772</c:v>
                </c:pt>
                <c:pt idx="40">
                  <c:v>1.1474467823224748</c:v>
                </c:pt>
                <c:pt idx="41">
                  <c:v>1.1839239006046867</c:v>
                </c:pt>
                <c:pt idx="42">
                  <c:v>1.1687689158338417</c:v>
                </c:pt>
                <c:pt idx="43">
                  <c:v>1.2022077748758009</c:v>
                </c:pt>
                <c:pt idx="44">
                  <c:v>1.0903352089716365</c:v>
                </c:pt>
                <c:pt idx="45">
                  <c:v>1.2452891807148925</c:v>
                </c:pt>
                <c:pt idx="46">
                  <c:v>1.3646601201691089</c:v>
                </c:pt>
                <c:pt idx="47">
                  <c:v>1.4414412960134144</c:v>
                </c:pt>
                <c:pt idx="48">
                  <c:v>1.4275791767800086</c:v>
                </c:pt>
                <c:pt idx="49">
                  <c:v>1.3905631152980122</c:v>
                </c:pt>
                <c:pt idx="50">
                  <c:v>1.236109287703026</c:v>
                </c:pt>
                <c:pt idx="51">
                  <c:v>1.190627155149321</c:v>
                </c:pt>
                <c:pt idx="52">
                  <c:v>1.2362281888199997</c:v>
                </c:pt>
                <c:pt idx="53">
                  <c:v>1.2890000000000004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9-4B9B-8399-B378F7FDCACD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Spain!$A$44:$A$97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Spain!$BL$44:$BL$97</c:f>
              <c:numCache>
                <c:formatCode>0.0000</c:formatCode>
                <c:ptCount val="54"/>
                <c:pt idx="0">
                  <c:v>1.3242496713834313</c:v>
                </c:pt>
                <c:pt idx="1">
                  <c:v>1.2683232732740126</c:v>
                </c:pt>
                <c:pt idx="2">
                  <c:v>1.2378818496526223</c:v>
                </c:pt>
                <c:pt idx="3">
                  <c:v>1.3084860755168271</c:v>
                </c:pt>
                <c:pt idx="4">
                  <c:v>1.288685074447365</c:v>
                </c:pt>
                <c:pt idx="5">
                  <c:v>1.2413342949416961</c:v>
                </c:pt>
                <c:pt idx="6">
                  <c:v>1.228366214093322</c:v>
                </c:pt>
                <c:pt idx="7">
                  <c:v>1.0695178133113179</c:v>
                </c:pt>
                <c:pt idx="8">
                  <c:v>1.022883880985556</c:v>
                </c:pt>
                <c:pt idx="9">
                  <c:v>1.4395255367824629</c:v>
                </c:pt>
                <c:pt idx="10">
                  <c:v>1.43910311222968</c:v>
                </c:pt>
                <c:pt idx="11">
                  <c:v>1.5268957585955485</c:v>
                </c:pt>
                <c:pt idx="12">
                  <c:v>1.3055022379854162</c:v>
                </c:pt>
                <c:pt idx="13">
                  <c:v>1.338644751015768</c:v>
                </c:pt>
                <c:pt idx="14">
                  <c:v>1.4177966244194342</c:v>
                </c:pt>
                <c:pt idx="15">
                  <c:v>1.4118535700653296</c:v>
                </c:pt>
                <c:pt idx="16">
                  <c:v>1.6141369572484452</c:v>
                </c:pt>
                <c:pt idx="17">
                  <c:v>1.5769585729196287</c:v>
                </c:pt>
                <c:pt idx="18">
                  <c:v>1.62515282469305</c:v>
                </c:pt>
                <c:pt idx="19">
                  <c:v>1.4951540125215528</c:v>
                </c:pt>
                <c:pt idx="20">
                  <c:v>1.419282683696826</c:v>
                </c:pt>
                <c:pt idx="21">
                  <c:v>1.2054629174752474</c:v>
                </c:pt>
                <c:pt idx="22">
                  <c:v>1.2036348419399567</c:v>
                </c:pt>
                <c:pt idx="23">
                  <c:v>1.0379533373619925</c:v>
                </c:pt>
                <c:pt idx="24">
                  <c:v>1.1423185717876416</c:v>
                </c:pt>
                <c:pt idx="25">
                  <c:v>1.0278069155050766</c:v>
                </c:pt>
                <c:pt idx="26">
                  <c:v>1.0221183874935338</c:v>
                </c:pt>
                <c:pt idx="27">
                  <c:v>0.95011968934937518</c:v>
                </c:pt>
                <c:pt idx="28">
                  <c:v>0.99760757434192404</c:v>
                </c:pt>
                <c:pt idx="29">
                  <c:v>1.0801906723345938</c:v>
                </c:pt>
                <c:pt idx="30">
                  <c:v>1.0641378846001264</c:v>
                </c:pt>
                <c:pt idx="31">
                  <c:v>1.0114793239607345</c:v>
                </c:pt>
                <c:pt idx="32">
                  <c:v>1.024749127274714</c:v>
                </c:pt>
                <c:pt idx="33">
                  <c:v>0.96912312878623486</c:v>
                </c:pt>
                <c:pt idx="34">
                  <c:v>1.0085031383618999</c:v>
                </c:pt>
                <c:pt idx="35">
                  <c:v>1.1567247136315266</c:v>
                </c:pt>
                <c:pt idx="36">
                  <c:v>1.093081896639982</c:v>
                </c:pt>
                <c:pt idx="37">
                  <c:v>1.0781420058043962</c:v>
                </c:pt>
                <c:pt idx="38">
                  <c:v>1.0477675827730069</c:v>
                </c:pt>
                <c:pt idx="39">
                  <c:v>1.0873627834102304</c:v>
                </c:pt>
                <c:pt idx="40">
                  <c:v>1.1509184584113812</c:v>
                </c:pt>
                <c:pt idx="41">
                  <c:v>1.181100844000784</c:v>
                </c:pt>
                <c:pt idx="42">
                  <c:v>1.169974153078372</c:v>
                </c:pt>
                <c:pt idx="43">
                  <c:v>1.2112656432716478</c:v>
                </c:pt>
                <c:pt idx="44">
                  <c:v>1.0785498757397263</c:v>
                </c:pt>
                <c:pt idx="45">
                  <c:v>1.2498246370813444</c:v>
                </c:pt>
                <c:pt idx="46">
                  <c:v>1.3701020055041773</c:v>
                </c:pt>
                <c:pt idx="47">
                  <c:v>1.430839287778243</c:v>
                </c:pt>
                <c:pt idx="48">
                  <c:v>1.4321076680230349</c:v>
                </c:pt>
                <c:pt idx="49">
                  <c:v>1.3907061136812058</c:v>
                </c:pt>
                <c:pt idx="50">
                  <c:v>1.2175920368650568</c:v>
                </c:pt>
                <c:pt idx="51">
                  <c:v>1.1869478522466013</c:v>
                </c:pt>
                <c:pt idx="52">
                  <c:v>1.2351695230147326</c:v>
                </c:pt>
                <c:pt idx="53">
                  <c:v>1.3022365282197106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9-4B9B-8399-B378F7FD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461952"/>
        <c:axId val="164476032"/>
      </c:lineChart>
      <c:catAx>
        <c:axId val="1644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476032"/>
        <c:crosses val="autoZero"/>
        <c:auto val="1"/>
        <c:lblAlgn val="ctr"/>
        <c:lblOffset val="100"/>
        <c:noMultiLvlLbl val="0"/>
      </c:catAx>
      <c:valAx>
        <c:axId val="1644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1.2326945857431536E-2"/>
              <c:y val="0.3013919302986535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4461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92339304200521"/>
          <c:y val="0.12674304377547807"/>
          <c:w val="0.15614486934153152"/>
          <c:h val="0.183812947818822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0575081441229"/>
          <c:y val="3.5699420209129806E-2"/>
          <c:w val="0.84104801348896474"/>
          <c:h val="0.83389599210067067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Australia!$BE$44:$BE$97</c:f>
              <c:numCache>
                <c:formatCode>0.00</c:formatCode>
                <c:ptCount val="54"/>
                <c:pt idx="0">
                  <c:v>88.245317567567554</c:v>
                </c:pt>
                <c:pt idx="1">
                  <c:v>89.847163398692814</c:v>
                </c:pt>
                <c:pt idx="2">
                  <c:v>90.72542675159238</c:v>
                </c:pt>
                <c:pt idx="3">
                  <c:v>89.047049079754586</c:v>
                </c:pt>
                <c:pt idx="4">
                  <c:v>88.05631736526945</c:v>
                </c:pt>
                <c:pt idx="5">
                  <c:v>90.55603488372094</c:v>
                </c:pt>
                <c:pt idx="6">
                  <c:v>92.927033333333327</c:v>
                </c:pt>
                <c:pt idx="7">
                  <c:v>89.103077720207253</c:v>
                </c:pt>
                <c:pt idx="8">
                  <c:v>91.344245098039224</c:v>
                </c:pt>
                <c:pt idx="9">
                  <c:v>95.028874458874469</c:v>
                </c:pt>
                <c:pt idx="10">
                  <c:v>96.703810408921939</c:v>
                </c:pt>
                <c:pt idx="11">
                  <c:v>93.19443421052631</c:v>
                </c:pt>
                <c:pt idx="12">
                  <c:v>86.685653179190751</c:v>
                </c:pt>
                <c:pt idx="13">
                  <c:v>88.448158311345665</c:v>
                </c:pt>
                <c:pt idx="14">
                  <c:v>111.41358292682928</c:v>
                </c:pt>
                <c:pt idx="15">
                  <c:v>120.8112721238938</c:v>
                </c:pt>
                <c:pt idx="16">
                  <c:v>122.36089473684211</c:v>
                </c:pt>
                <c:pt idx="17">
                  <c:v>121.50561904761908</c:v>
                </c:pt>
                <c:pt idx="18">
                  <c:v>122.27204433497538</c:v>
                </c:pt>
                <c:pt idx="19">
                  <c:v>124.48144000000001</c:v>
                </c:pt>
                <c:pt idx="20">
                  <c:v>132.19349115044247</c:v>
                </c:pt>
                <c:pt idx="21">
                  <c:v>120.64422721088437</c:v>
                </c:pt>
                <c:pt idx="22">
                  <c:v>116.29964925373135</c:v>
                </c:pt>
                <c:pt idx="23">
                  <c:v>105.0354356894554</c:v>
                </c:pt>
                <c:pt idx="24">
                  <c:v>102.16344816414689</c:v>
                </c:pt>
                <c:pt idx="25">
                  <c:v>115.88744700000002</c:v>
                </c:pt>
                <c:pt idx="26">
                  <c:v>107.49601234567902</c:v>
                </c:pt>
                <c:pt idx="27">
                  <c:v>107.46675955265613</c:v>
                </c:pt>
                <c:pt idx="28">
                  <c:v>105.96933210332105</c:v>
                </c:pt>
                <c:pt idx="29">
                  <c:v>102.95745652173913</c:v>
                </c:pt>
                <c:pt idx="30">
                  <c:v>103.58546093064092</c:v>
                </c:pt>
                <c:pt idx="31">
                  <c:v>101.92892586352148</c:v>
                </c:pt>
                <c:pt idx="32">
                  <c:v>102.40225353283459</c:v>
                </c:pt>
                <c:pt idx="33">
                  <c:v>96.841668329177082</c:v>
                </c:pt>
                <c:pt idx="34">
                  <c:v>98.799167487684741</c:v>
                </c:pt>
                <c:pt idx="35">
                  <c:v>119.11713392141139</c:v>
                </c:pt>
                <c:pt idx="36">
                  <c:v>112.1545302571861</c:v>
                </c:pt>
                <c:pt idx="37">
                  <c:v>107.48935294117649</c:v>
                </c:pt>
                <c:pt idx="38">
                  <c:v>108.98228245363768</c:v>
                </c:pt>
                <c:pt idx="39">
                  <c:v>115.37676655052267</c:v>
                </c:pt>
                <c:pt idx="40">
                  <c:v>127.87560544217686</c:v>
                </c:pt>
                <c:pt idx="41">
                  <c:v>139.47311799604483</c:v>
                </c:pt>
                <c:pt idx="42">
                  <c:v>135.59632927610508</c:v>
                </c:pt>
                <c:pt idx="43">
                  <c:v>148.77509293680299</c:v>
                </c:pt>
                <c:pt idx="44">
                  <c:v>122.41335937500001</c:v>
                </c:pt>
                <c:pt idx="45">
                  <c:v>125.99446257199398</c:v>
                </c:pt>
                <c:pt idx="46">
                  <c:v>136.65273653953506</c:v>
                </c:pt>
                <c:pt idx="47">
                  <c:v>136.41197871695971</c:v>
                </c:pt>
                <c:pt idx="48">
                  <c:v>135.66148376032754</c:v>
                </c:pt>
                <c:pt idx="49">
                  <c:v>133.21981443661244</c:v>
                </c:pt>
                <c:pt idx="50">
                  <c:v>114.31402450808375</c:v>
                </c:pt>
                <c:pt idx="51">
                  <c:v>102.8263602230267</c:v>
                </c:pt>
                <c:pt idx="52">
                  <c:v>110.65850300287966</c:v>
                </c:pt>
                <c:pt idx="53">
                  <c:v>121.77778915908743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D-4C86-99C9-DFD63E820014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Australia!$BF$44:$BF$97</c:f>
              <c:numCache>
                <c:formatCode>0.00</c:formatCode>
                <c:ptCount val="54"/>
                <c:pt idx="0">
                  <c:v>91.373773145224575</c:v>
                </c:pt>
                <c:pt idx="1">
                  <c:v>90.872295152471537</c:v>
                </c:pt>
                <c:pt idx="2">
                  <c:v>89.263464100611912</c:v>
                </c:pt>
                <c:pt idx="3">
                  <c:v>88.080781932502802</c:v>
                </c:pt>
                <c:pt idx="4">
                  <c:v>86.91902138602326</c:v>
                </c:pt>
                <c:pt idx="5">
                  <c:v>88.781738830781549</c:v>
                </c:pt>
                <c:pt idx="6">
                  <c:v>92.710006026604972</c:v>
                </c:pt>
                <c:pt idx="7">
                  <c:v>90.520971385141792</c:v>
                </c:pt>
                <c:pt idx="8">
                  <c:v>91.329613238815185</c:v>
                </c:pt>
                <c:pt idx="9">
                  <c:v>103.08816877498111</c:v>
                </c:pt>
                <c:pt idx="10">
                  <c:v>96.995269418113907</c:v>
                </c:pt>
                <c:pt idx="11">
                  <c:v>93.30068672654285</c:v>
                </c:pt>
                <c:pt idx="12">
                  <c:v>92.012536157008697</c:v>
                </c:pt>
                <c:pt idx="13">
                  <c:v>86.386810868066348</c:v>
                </c:pt>
                <c:pt idx="14">
                  <c:v>111.41358292682928</c:v>
                </c:pt>
                <c:pt idx="15">
                  <c:v>126.49921304957032</c:v>
                </c:pt>
                <c:pt idx="16">
                  <c:v>124.5166682181468</c:v>
                </c:pt>
                <c:pt idx="17">
                  <c:v>121.2201289907286</c:v>
                </c:pt>
                <c:pt idx="18">
                  <c:v>120.5427783546929</c:v>
                </c:pt>
                <c:pt idx="19">
                  <c:v>121.64510687199598</c:v>
                </c:pt>
                <c:pt idx="20">
                  <c:v>128.22232986345358</c:v>
                </c:pt>
                <c:pt idx="21">
                  <c:v>121.62276325606916</c:v>
                </c:pt>
                <c:pt idx="22">
                  <c:v>114.14153716080537</c:v>
                </c:pt>
                <c:pt idx="23">
                  <c:v>103.62795101772141</c:v>
                </c:pt>
                <c:pt idx="24">
                  <c:v>106.76252004945709</c:v>
                </c:pt>
                <c:pt idx="25">
                  <c:v>111.39829562205027</c:v>
                </c:pt>
                <c:pt idx="26">
                  <c:v>107.06745964400432</c:v>
                </c:pt>
                <c:pt idx="27">
                  <c:v>106.91931105967346</c:v>
                </c:pt>
                <c:pt idx="28">
                  <c:v>105.29884299996398</c:v>
                </c:pt>
                <c:pt idx="29">
                  <c:v>101.55833648839459</c:v>
                </c:pt>
                <c:pt idx="30">
                  <c:v>103.96181172621118</c:v>
                </c:pt>
                <c:pt idx="31">
                  <c:v>103.12414193264084</c:v>
                </c:pt>
                <c:pt idx="32">
                  <c:v>103.92725642024951</c:v>
                </c:pt>
                <c:pt idx="33">
                  <c:v>95.196190906729399</c:v>
                </c:pt>
                <c:pt idx="34">
                  <c:v>98.052169178573322</c:v>
                </c:pt>
                <c:pt idx="35">
                  <c:v>118.83827050377782</c:v>
                </c:pt>
                <c:pt idx="36">
                  <c:v>113.24270684570121</c:v>
                </c:pt>
                <c:pt idx="37">
                  <c:v>110.72138661959684</c:v>
                </c:pt>
                <c:pt idx="38">
                  <c:v>107.48439355738734</c:v>
                </c:pt>
                <c:pt idx="39">
                  <c:v>117.78231267122688</c:v>
                </c:pt>
                <c:pt idx="40">
                  <c:v>127.77829248439582</c:v>
                </c:pt>
                <c:pt idx="41">
                  <c:v>135.01706107953376</c:v>
                </c:pt>
                <c:pt idx="42">
                  <c:v>133.04541203488597</c:v>
                </c:pt>
                <c:pt idx="43">
                  <c:v>148.35112993173044</c:v>
                </c:pt>
                <c:pt idx="44">
                  <c:v>125.19389973992077</c:v>
                </c:pt>
                <c:pt idx="45">
                  <c:v>128.00133746831989</c:v>
                </c:pt>
                <c:pt idx="46">
                  <c:v>136.26927213270005</c:v>
                </c:pt>
                <c:pt idx="47">
                  <c:v>135.68871475086095</c:v>
                </c:pt>
                <c:pt idx="48">
                  <c:v>135.9626757578325</c:v>
                </c:pt>
                <c:pt idx="49">
                  <c:v>131.97444589210573</c:v>
                </c:pt>
                <c:pt idx="50">
                  <c:v>109.91244991983331</c:v>
                </c:pt>
                <c:pt idx="51">
                  <c:v>102.88637242447975</c:v>
                </c:pt>
                <c:pt idx="52">
                  <c:v>109.3369418880811</c:v>
                </c:pt>
                <c:pt idx="53">
                  <c:v>121.87259956057639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D-4C86-99C9-DFD63E82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626880"/>
        <c:axId val="107628416"/>
      </c:lineChart>
      <c:catAx>
        <c:axId val="1076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628416"/>
        <c:crosses val="autoZero"/>
        <c:auto val="1"/>
        <c:lblAlgn val="ctr"/>
        <c:lblOffset val="100"/>
        <c:noMultiLvlLbl val="0"/>
      </c:catAx>
      <c:valAx>
        <c:axId val="107628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cents per litre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0762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90331821827884"/>
          <c:y val="0.557611210978049"/>
          <c:w val="0.19813937498976869"/>
          <c:h val="0.20310555232042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Sweden!$A$44:$A$96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Sweden!$BB$44:$BB$96</c:f>
              <c:numCache>
                <c:formatCode>0.0000</c:formatCode>
                <c:ptCount val="53"/>
                <c:pt idx="0">
                  <c:v>2.3249237809541086</c:v>
                </c:pt>
                <c:pt idx="1">
                  <c:v>2.1308761908011737</c:v>
                </c:pt>
                <c:pt idx="2">
                  <c:v>2.3675873595896642</c:v>
                </c:pt>
                <c:pt idx="3">
                  <c:v>2.3292038155357142</c:v>
                </c:pt>
                <c:pt idx="4">
                  <c:v>2.0088561335866109</c:v>
                </c:pt>
                <c:pt idx="5">
                  <c:v>2.0940147675928804</c:v>
                </c:pt>
                <c:pt idx="6">
                  <c:v>2.03006194814387</c:v>
                </c:pt>
                <c:pt idx="7">
                  <c:v>1.6207049181503432</c:v>
                </c:pt>
                <c:pt idx="8">
                  <c:v>1.8675591620272272</c:v>
                </c:pt>
                <c:pt idx="9">
                  <c:v>3.3336401587635982</c:v>
                </c:pt>
                <c:pt idx="10">
                  <c:v>2.7829906313745632</c:v>
                </c:pt>
                <c:pt idx="11">
                  <c:v>3.1626045347526954</c:v>
                </c:pt>
                <c:pt idx="12">
                  <c:v>3.2712084732586066</c:v>
                </c:pt>
                <c:pt idx="13">
                  <c:v>2.8413341771834517</c:v>
                </c:pt>
                <c:pt idx="14">
                  <c:v>3.4088935113250964</c:v>
                </c:pt>
                <c:pt idx="15">
                  <c:v>4.1943129368765701</c:v>
                </c:pt>
                <c:pt idx="16">
                  <c:v>4.7478223469723293</c:v>
                </c:pt>
                <c:pt idx="17">
                  <c:v>5.1893256887617429</c:v>
                </c:pt>
                <c:pt idx="18">
                  <c:v>5.2129719520861162</c:v>
                </c:pt>
                <c:pt idx="19">
                  <c:v>4.6106774242982347</c:v>
                </c:pt>
                <c:pt idx="20">
                  <c:v>4.358384605755222</c:v>
                </c:pt>
                <c:pt idx="21">
                  <c:v>3.1137422266140069</c:v>
                </c:pt>
                <c:pt idx="22">
                  <c:v>2.9496575703065986</c:v>
                </c:pt>
                <c:pt idx="23">
                  <c:v>2.7332717455969489</c:v>
                </c:pt>
                <c:pt idx="24">
                  <c:v>2.9103349169059483</c:v>
                </c:pt>
                <c:pt idx="25">
                  <c:v>2.1984134651595246</c:v>
                </c:pt>
                <c:pt idx="26">
                  <c:v>4.2764039771625715</c:v>
                </c:pt>
                <c:pt idx="27">
                  <c:v>2.2846151110752597</c:v>
                </c:pt>
                <c:pt idx="28">
                  <c:v>1.8585214565711459</c:v>
                </c:pt>
                <c:pt idx="29">
                  <c:v>2.3578753481984114</c:v>
                </c:pt>
                <c:pt idx="30">
                  <c:v>2.4547522892573328</c:v>
                </c:pt>
                <c:pt idx="31">
                  <c:v>1.8808521023526179</c:v>
                </c:pt>
                <c:pt idx="32">
                  <c:v>1.9246499082158088</c:v>
                </c:pt>
                <c:pt idx="33">
                  <c:v>1.2558375777281361</c:v>
                </c:pt>
                <c:pt idx="34">
                  <c:v>1.6281044651996277</c:v>
                </c:pt>
                <c:pt idx="35">
                  <c:v>3.6411166057709279</c:v>
                </c:pt>
                <c:pt idx="36">
                  <c:v>3.465424717106818</c:v>
                </c:pt>
                <c:pt idx="37">
                  <c:v>3.1323572856236108</c:v>
                </c:pt>
                <c:pt idx="38">
                  <c:v>3.0596919853814146</c:v>
                </c:pt>
                <c:pt idx="39">
                  <c:v>3.4470558052472136</c:v>
                </c:pt>
                <c:pt idx="40">
                  <c:v>4.1381727375238242</c:v>
                </c:pt>
                <c:pt idx="41">
                  <c:v>4.4135872064493498</c:v>
                </c:pt>
                <c:pt idx="42">
                  <c:v>4.3183022600894994</c:v>
                </c:pt>
                <c:pt idx="43">
                  <c:v>4.8657120979855639</c:v>
                </c:pt>
                <c:pt idx="44">
                  <c:v>4.0919089794118833</c:v>
                </c:pt>
                <c:pt idx="45">
                  <c:v>4.6714888476263816</c:v>
                </c:pt>
                <c:pt idx="46">
                  <c:v>5.5479643146721997</c:v>
                </c:pt>
                <c:pt idx="47">
                  <c:v>6.0852116209597895</c:v>
                </c:pt>
                <c:pt idx="48">
                  <c:v>5.7253545572529791</c:v>
                </c:pt>
                <c:pt idx="49">
                  <c:v>5.5525278537804326</c:v>
                </c:pt>
                <c:pt idx="50">
                  <c:v>4.4887429871287505</c:v>
                </c:pt>
                <c:pt idx="51">
                  <c:v>3.9657140266050597</c:v>
                </c:pt>
                <c:pt idx="52">
                  <c:v>4.4325937941058697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F-4530-804C-F67B7ECFC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56512"/>
        <c:axId val="165058048"/>
      </c:lineChart>
      <c:lineChart>
        <c:grouping val="standard"/>
        <c:varyColors val="0"/>
        <c:ser>
          <c:idx val="1"/>
          <c:order val="1"/>
          <c:marker>
            <c:symbol val="none"/>
          </c:marker>
          <c:cat>
            <c:numRef>
              <c:f>Sweden!$A$44:$A$96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Sweden!$BM$44:$BM$96</c:f>
              <c:numCache>
                <c:formatCode>0.00</c:formatCode>
                <c:ptCount val="53"/>
                <c:pt idx="0">
                  <c:v>155.34960856620785</c:v>
                </c:pt>
                <c:pt idx="1">
                  <c:v>145.9986669646305</c:v>
                </c:pt>
                <c:pt idx="2">
                  <c:v>139.58850041539884</c:v>
                </c:pt>
                <c:pt idx="3">
                  <c:v>137.32548369060845</c:v>
                </c:pt>
                <c:pt idx="4">
                  <c:v>133.46744237326917</c:v>
                </c:pt>
                <c:pt idx="5">
                  <c:v>126.60650086793427</c:v>
                </c:pt>
                <c:pt idx="6">
                  <c:v>123.91221640024604</c:v>
                </c:pt>
                <c:pt idx="7">
                  <c:v>108.79436103769291</c:v>
                </c:pt>
                <c:pt idx="8">
                  <c:v>101.62722142386889</c:v>
                </c:pt>
                <c:pt idx="9">
                  <c:v>298.24460239446938</c:v>
                </c:pt>
                <c:pt idx="10">
                  <c:v>262.16704713944523</c:v>
                </c:pt>
                <c:pt idx="11">
                  <c:v>262.25868099685806</c:v>
                </c:pt>
                <c:pt idx="12">
                  <c:v>261.03096766057007</c:v>
                </c:pt>
                <c:pt idx="13">
                  <c:v>238.9286091391304</c:v>
                </c:pt>
                <c:pt idx="14">
                  <c:v>315.99191370079154</c:v>
                </c:pt>
                <c:pt idx="15">
                  <c:v>432.30777023625319</c:v>
                </c:pt>
                <c:pt idx="16">
                  <c:v>497.45417079337466</c:v>
                </c:pt>
                <c:pt idx="17">
                  <c:v>518.29657715611017</c:v>
                </c:pt>
                <c:pt idx="18">
                  <c:v>506.59411939602921</c:v>
                </c:pt>
                <c:pt idx="19">
                  <c:v>498.34235179270541</c:v>
                </c:pt>
                <c:pt idx="20">
                  <c:v>451.44491605461826</c:v>
                </c:pt>
                <c:pt idx="21">
                  <c:v>202.34958877326397</c:v>
                </c:pt>
                <c:pt idx="22">
                  <c:v>220.53019659399519</c:v>
                </c:pt>
                <c:pt idx="23">
                  <c:v>167.50316008554847</c:v>
                </c:pt>
                <c:pt idx="24">
                  <c:v>203.62561720805155</c:v>
                </c:pt>
                <c:pt idx="25">
                  <c:v>211.56038876679668</c:v>
                </c:pt>
                <c:pt idx="26">
                  <c:v>173.43184689301009</c:v>
                </c:pt>
                <c:pt idx="27">
                  <c:v>155.87348938001028</c:v>
                </c:pt>
                <c:pt idx="28">
                  <c:v>178.13572671739098</c:v>
                </c:pt>
                <c:pt idx="29">
                  <c:v>161.32463062684158</c:v>
                </c:pt>
                <c:pt idx="30">
                  <c:v>155.97748404196733</c:v>
                </c:pt>
                <c:pt idx="31">
                  <c:v>175.05913625893464</c:v>
                </c:pt>
                <c:pt idx="32">
                  <c:v>184.48854634351702</c:v>
                </c:pt>
                <c:pt idx="33">
                  <c:v>134.76453434475744</c:v>
                </c:pt>
                <c:pt idx="34">
                  <c:v>169.00399441364672</c:v>
                </c:pt>
                <c:pt idx="35">
                  <c:v>293.27227806014076</c:v>
                </c:pt>
                <c:pt idx="36">
                  <c:v>270.44898381020295</c:v>
                </c:pt>
                <c:pt idx="37">
                  <c:v>262.94711937644041</c:v>
                </c:pt>
                <c:pt idx="38">
                  <c:v>247.13443877756706</c:v>
                </c:pt>
                <c:pt idx="39">
                  <c:v>287.06771765851443</c:v>
                </c:pt>
                <c:pt idx="40">
                  <c:v>408.21372260154811</c:v>
                </c:pt>
                <c:pt idx="41">
                  <c:v>479.59932387740275</c:v>
                </c:pt>
                <c:pt idx="42">
                  <c:v>486.12007869591559</c:v>
                </c:pt>
                <c:pt idx="43">
                  <c:v>626.62440335556266</c:v>
                </c:pt>
                <c:pt idx="44">
                  <c:v>472.75401636466609</c:v>
                </c:pt>
                <c:pt idx="45">
                  <c:v>557.35260676241967</c:v>
                </c:pt>
                <c:pt idx="46">
                  <c:v>678.12921336217823</c:v>
                </c:pt>
                <c:pt idx="47">
                  <c:v>713.69485887153019</c:v>
                </c:pt>
                <c:pt idx="48">
                  <c:v>664.58131857717592</c:v>
                </c:pt>
                <c:pt idx="49">
                  <c:v>636.06757646765516</c:v>
                </c:pt>
                <c:pt idx="50">
                  <c:v>403.23146084711539</c:v>
                </c:pt>
                <c:pt idx="51">
                  <c:v>332.99099207003792</c:v>
                </c:pt>
                <c:pt idx="52">
                  <c:v>421.46213002761226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F-4530-804C-F67B7ECFC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969600"/>
        <c:axId val="811965336"/>
      </c:lineChart>
      <c:catAx>
        <c:axId val="1650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058048"/>
        <c:crosses val="autoZero"/>
        <c:auto val="1"/>
        <c:lblAlgn val="ctr"/>
        <c:lblOffset val="100"/>
        <c:noMultiLvlLbl val="0"/>
      </c:catAx>
      <c:valAx>
        <c:axId val="165058048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65056512"/>
        <c:crosses val="autoZero"/>
        <c:crossBetween val="between"/>
      </c:valAx>
      <c:valAx>
        <c:axId val="811965336"/>
        <c:scaling>
          <c:orientation val="minMax"/>
          <c:max val="900"/>
          <c:min val="-400"/>
        </c:scaling>
        <c:delete val="0"/>
        <c:axPos val="r"/>
        <c:numFmt formatCode="0.00" sourceLinked="1"/>
        <c:majorTickMark val="out"/>
        <c:minorTickMark val="none"/>
        <c:tickLblPos val="nextTo"/>
        <c:crossAx val="811969600"/>
        <c:crosses val="max"/>
        <c:crossBetween val="between"/>
      </c:valAx>
      <c:catAx>
        <c:axId val="811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19653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879119751724845E-2"/>
          <c:y val="3.1631110213787637E-2"/>
          <c:w val="0.87193644361230094"/>
          <c:h val="0.8439359409342125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Sweden!$A$44:$A$97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Sweden!$AY$44:$AY$97</c:f>
              <c:numCache>
                <c:formatCode>0.0000</c:formatCode>
                <c:ptCount val="54"/>
                <c:pt idx="0">
                  <c:v>6.6426393741545988</c:v>
                </c:pt>
                <c:pt idx="1">
                  <c:v>6.6589880962536681</c:v>
                </c:pt>
                <c:pt idx="2">
                  <c:v>6.764535313113325</c:v>
                </c:pt>
                <c:pt idx="3">
                  <c:v>6.6548680443877561</c:v>
                </c:pt>
                <c:pt idx="4">
                  <c:v>6.087442829050338</c:v>
                </c:pt>
                <c:pt idx="5">
                  <c:v>6.7548863470738087</c:v>
                </c:pt>
                <c:pt idx="6">
                  <c:v>6.548586929496353</c:v>
                </c:pt>
                <c:pt idx="7">
                  <c:v>5.588637648794287</c:v>
                </c:pt>
                <c:pt idx="8">
                  <c:v>5.3358833200777918</c:v>
                </c:pt>
                <c:pt idx="9">
                  <c:v>7.2470438233991281</c:v>
                </c:pt>
                <c:pt idx="10">
                  <c:v>5.9212566624990703</c:v>
                </c:pt>
                <c:pt idx="11">
                  <c:v>6.875227249462383</c:v>
                </c:pt>
                <c:pt idx="12">
                  <c:v>6.4141342612913865</c:v>
                </c:pt>
                <c:pt idx="13">
                  <c:v>6.4575776754169354</c:v>
                </c:pt>
                <c:pt idx="14">
                  <c:v>7.1018614819272852</c:v>
                </c:pt>
                <c:pt idx="15">
                  <c:v>8.3886258737531403</c:v>
                </c:pt>
                <c:pt idx="16">
                  <c:v>8.9581553716459048</c:v>
                </c:pt>
                <c:pt idx="17">
                  <c:v>9.2666530156459697</c:v>
                </c:pt>
                <c:pt idx="18">
                  <c:v>8.9878826760105444</c:v>
                </c:pt>
                <c:pt idx="19">
                  <c:v>8.3830498623604264</c:v>
                </c:pt>
                <c:pt idx="20">
                  <c:v>8.6304645658519252</c:v>
                </c:pt>
                <c:pt idx="21">
                  <c:v>7.3610927343120736</c:v>
                </c:pt>
                <c:pt idx="22">
                  <c:v>7.1420280152702142</c:v>
                </c:pt>
                <c:pt idx="23">
                  <c:v>7.1928203831498667</c:v>
                </c:pt>
                <c:pt idx="24">
                  <c:v>7.2758372922648684</c:v>
                </c:pt>
                <c:pt idx="25">
                  <c:v>8.0149833294933437</c:v>
                </c:pt>
                <c:pt idx="26">
                  <c:v>9.3147492164712222</c:v>
                </c:pt>
                <c:pt idx="27">
                  <c:v>7.6514492264973342</c:v>
                </c:pt>
                <c:pt idx="28">
                  <c:v>8.345923634729866</c:v>
                </c:pt>
                <c:pt idx="29">
                  <c:v>8.8884662105145491</c:v>
                </c:pt>
                <c:pt idx="30">
                  <c:v>9.0155000648694354</c:v>
                </c:pt>
                <c:pt idx="31">
                  <c:v>8.5763777270225638</c:v>
                </c:pt>
                <c:pt idx="32">
                  <c:v>8.8102364803077595</c:v>
                </c:pt>
                <c:pt idx="33">
                  <c:v>8.2411848819489357</c:v>
                </c:pt>
                <c:pt idx="34">
                  <c:v>8.5149288744040508</c:v>
                </c:pt>
                <c:pt idx="35">
                  <c:v>11.03143749334089</c:v>
                </c:pt>
                <c:pt idx="36">
                  <c:v>10.702046920476937</c:v>
                </c:pt>
                <c:pt idx="37">
                  <c:v>10.317401350969334</c:v>
                </c:pt>
                <c:pt idx="38">
                  <c:v>10.227976478930337</c:v>
                </c:pt>
                <c:pt idx="39">
                  <c:v>10.796700629788518</c:v>
                </c:pt>
                <c:pt idx="40">
                  <c:v>11.8605483050685</c:v>
                </c:pt>
                <c:pt idx="41">
                  <c:v>12.154976027174349</c:v>
                </c:pt>
                <c:pt idx="42">
                  <c:v>11.983307142857075</c:v>
                </c:pt>
                <c:pt idx="43">
                  <c:v>12.738137253651413</c:v>
                </c:pt>
                <c:pt idx="44">
                  <c:v>12.094787396264852</c:v>
                </c:pt>
                <c:pt idx="45">
                  <c:v>12.714361059532978</c:v>
                </c:pt>
                <c:pt idx="46">
                  <c:v>13.61223314592411</c:v>
                </c:pt>
                <c:pt idx="47">
                  <c:v>14.405494902422872</c:v>
                </c:pt>
                <c:pt idx="48">
                  <c:v>13.934613712994221</c:v>
                </c:pt>
                <c:pt idx="49">
                  <c:v>13.730769842101973</c:v>
                </c:pt>
                <c:pt idx="50">
                  <c:v>12.669679483263954</c:v>
                </c:pt>
                <c:pt idx="51">
                  <c:v>12.49672545591034</c:v>
                </c:pt>
                <c:pt idx="52">
                  <c:v>13.170771532488306</c:v>
                </c:pt>
                <c:pt idx="53">
                  <c:v>14.431487873335902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A-4A4A-98C8-F9E4FB60A19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Sweden!$A$44:$A$97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Sweden!$AZ$44:$AZ$97</c:f>
              <c:numCache>
                <c:formatCode>0.0000</c:formatCode>
                <c:ptCount val="54"/>
                <c:pt idx="0">
                  <c:v>6.5503554736978051</c:v>
                </c:pt>
                <c:pt idx="1">
                  <c:v>6.6894979341546366</c:v>
                </c:pt>
                <c:pt idx="2">
                  <c:v>6.5094887346836439</c:v>
                </c:pt>
                <c:pt idx="3">
                  <c:v>6.4209609007887343</c:v>
                </c:pt>
                <c:pt idx="4">
                  <c:v>6.144485225912832</c:v>
                </c:pt>
                <c:pt idx="5">
                  <c:v>6.6744899728030926</c:v>
                </c:pt>
                <c:pt idx="6">
                  <c:v>6.5116130201569469</c:v>
                </c:pt>
                <c:pt idx="7">
                  <c:v>5.8458232341239968</c:v>
                </c:pt>
                <c:pt idx="8">
                  <c:v>5.2916013054005164</c:v>
                </c:pt>
                <c:pt idx="9">
                  <c:v>7.2348984590372893</c:v>
                </c:pt>
                <c:pt idx="10">
                  <c:v>6.184851101478797</c:v>
                </c:pt>
                <c:pt idx="11">
                  <c:v>6.7599060318902024</c:v>
                </c:pt>
                <c:pt idx="12">
                  <c:v>6.1808539720258455</c:v>
                </c:pt>
                <c:pt idx="13">
                  <c:v>6.4857524742459569</c:v>
                </c:pt>
                <c:pt idx="14">
                  <c:v>7.1496966637345469</c:v>
                </c:pt>
                <c:pt idx="15">
                  <c:v>8.5373644364317869</c:v>
                </c:pt>
                <c:pt idx="16">
                  <c:v>9.0497978447336536</c:v>
                </c:pt>
                <c:pt idx="17">
                  <c:v>9.0756105630249486</c:v>
                </c:pt>
                <c:pt idx="18">
                  <c:v>8.6840216364207148</c:v>
                </c:pt>
                <c:pt idx="19">
                  <c:v>8.6186051666378063</c:v>
                </c:pt>
                <c:pt idx="20">
                  <c:v>8.7609558493256152</c:v>
                </c:pt>
                <c:pt idx="21">
                  <c:v>7.2034195441528857</c:v>
                </c:pt>
                <c:pt idx="22">
                  <c:v>7.2869750846122354</c:v>
                </c:pt>
                <c:pt idx="23">
                  <c:v>7.150089091850119</c:v>
                </c:pt>
                <c:pt idx="24">
                  <c:v>7.3312947043817775</c:v>
                </c:pt>
                <c:pt idx="25">
                  <c:v>8.4775339470727715</c:v>
                </c:pt>
                <c:pt idx="26">
                  <c:v>9.3147492164712204</c:v>
                </c:pt>
                <c:pt idx="27">
                  <c:v>7.6034659496129846</c:v>
                </c:pt>
                <c:pt idx="28">
                  <c:v>8.8936714913815926</c:v>
                </c:pt>
                <c:pt idx="29">
                  <c:v>8.8087602043929643</c:v>
                </c:pt>
                <c:pt idx="30">
                  <c:v>8.7981720455326222</c:v>
                </c:pt>
                <c:pt idx="31">
                  <c:v>8.438219554663176</c:v>
                </c:pt>
                <c:pt idx="32">
                  <c:v>8.7001322810086421</c:v>
                </c:pt>
                <c:pt idx="33">
                  <c:v>8.4209977603831234</c:v>
                </c:pt>
                <c:pt idx="34">
                  <c:v>8.5833783676283613</c:v>
                </c:pt>
                <c:pt idx="35">
                  <c:v>10.673926742409098</c:v>
                </c:pt>
                <c:pt idx="36">
                  <c:v>10.685327685833334</c:v>
                </c:pt>
                <c:pt idx="37">
                  <c:v>10.407641826082642</c:v>
                </c:pt>
                <c:pt idx="38">
                  <c:v>10.304551349562379</c:v>
                </c:pt>
                <c:pt idx="39">
                  <c:v>10.703931394088482</c:v>
                </c:pt>
                <c:pt idx="40">
                  <c:v>11.738070817610609</c:v>
                </c:pt>
                <c:pt idx="41">
                  <c:v>12.146820871192258</c:v>
                </c:pt>
                <c:pt idx="42">
                  <c:v>12.106037643654687</c:v>
                </c:pt>
                <c:pt idx="43">
                  <c:v>12.770425961247305</c:v>
                </c:pt>
                <c:pt idx="44">
                  <c:v>12.060808518671513</c:v>
                </c:pt>
                <c:pt idx="45">
                  <c:v>12.717741399527872</c:v>
                </c:pt>
                <c:pt idx="46">
                  <c:v>13.553594587577695</c:v>
                </c:pt>
                <c:pt idx="47">
                  <c:v>14.41522887887848</c:v>
                </c:pt>
                <c:pt idx="48">
                  <c:v>14.036064488052819</c:v>
                </c:pt>
                <c:pt idx="49">
                  <c:v>13.849373705525641</c:v>
                </c:pt>
                <c:pt idx="50">
                  <c:v>12.580876248881962</c:v>
                </c:pt>
                <c:pt idx="51">
                  <c:v>12.547466346586674</c:v>
                </c:pt>
                <c:pt idx="52">
                  <c:v>13.237649645353484</c:v>
                </c:pt>
                <c:pt idx="53">
                  <c:v>14.180407144828123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A-4A4A-98C8-F9E4FB60A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149312"/>
        <c:axId val="164761984"/>
      </c:lineChart>
      <c:catAx>
        <c:axId val="165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61984"/>
        <c:crosses val="autoZero"/>
        <c:auto val="1"/>
        <c:lblAlgn val="ctr"/>
        <c:lblOffset val="100"/>
        <c:noMultiLvlLbl val="0"/>
      </c:catAx>
      <c:valAx>
        <c:axId val="164761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Krona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514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2597988560117"/>
          <c:y val="5.8168337932117918E-2"/>
          <c:w val="0.14421092465105448"/>
          <c:h val="0.18280862328106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105854159534405E-2"/>
          <c:y val="3.0501427706152152E-2"/>
          <c:w val="0.88702348510783957"/>
          <c:h val="0.85069049061175628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Sweden!$A$44:$A$97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Sweden!$BB$44:$BB$97</c:f>
              <c:numCache>
                <c:formatCode>0.0000</c:formatCode>
                <c:ptCount val="54"/>
                <c:pt idx="0">
                  <c:v>2.3249237809541086</c:v>
                </c:pt>
                <c:pt idx="1">
                  <c:v>2.1308761908011737</c:v>
                </c:pt>
                <c:pt idx="2">
                  <c:v>2.3675873595896642</c:v>
                </c:pt>
                <c:pt idx="3">
                  <c:v>2.3292038155357142</c:v>
                </c:pt>
                <c:pt idx="4">
                  <c:v>2.0088561335866109</c:v>
                </c:pt>
                <c:pt idx="5">
                  <c:v>2.0940147675928804</c:v>
                </c:pt>
                <c:pt idx="6">
                  <c:v>2.03006194814387</c:v>
                </c:pt>
                <c:pt idx="7">
                  <c:v>1.6207049181503432</c:v>
                </c:pt>
                <c:pt idx="8">
                  <c:v>1.8675591620272272</c:v>
                </c:pt>
                <c:pt idx="9">
                  <c:v>3.3336401587635982</c:v>
                </c:pt>
                <c:pt idx="10">
                  <c:v>2.7829906313745632</c:v>
                </c:pt>
                <c:pt idx="11">
                  <c:v>3.1626045347526954</c:v>
                </c:pt>
                <c:pt idx="12">
                  <c:v>3.2712084732586066</c:v>
                </c:pt>
                <c:pt idx="13">
                  <c:v>2.8413341771834517</c:v>
                </c:pt>
                <c:pt idx="14">
                  <c:v>3.4088935113250964</c:v>
                </c:pt>
                <c:pt idx="15">
                  <c:v>4.1943129368765701</c:v>
                </c:pt>
                <c:pt idx="16">
                  <c:v>4.7478223469723293</c:v>
                </c:pt>
                <c:pt idx="17">
                  <c:v>5.1893256887617429</c:v>
                </c:pt>
                <c:pt idx="18">
                  <c:v>5.2129719520861162</c:v>
                </c:pt>
                <c:pt idx="19">
                  <c:v>4.6106774242982347</c:v>
                </c:pt>
                <c:pt idx="20">
                  <c:v>4.358384605755222</c:v>
                </c:pt>
                <c:pt idx="21">
                  <c:v>3.1137422266140069</c:v>
                </c:pt>
                <c:pt idx="22">
                  <c:v>2.9496575703065986</c:v>
                </c:pt>
                <c:pt idx="23">
                  <c:v>2.7332717455969489</c:v>
                </c:pt>
                <c:pt idx="24">
                  <c:v>2.9103349169059483</c:v>
                </c:pt>
                <c:pt idx="25">
                  <c:v>2.1984134651595246</c:v>
                </c:pt>
                <c:pt idx="26">
                  <c:v>4.2764039771625715</c:v>
                </c:pt>
                <c:pt idx="27">
                  <c:v>2.2846151110752597</c:v>
                </c:pt>
                <c:pt idx="28">
                  <c:v>1.8585214565711459</c:v>
                </c:pt>
                <c:pt idx="29">
                  <c:v>2.3578753481984114</c:v>
                </c:pt>
                <c:pt idx="30">
                  <c:v>2.4547522892573328</c:v>
                </c:pt>
                <c:pt idx="31">
                  <c:v>1.8808521023526179</c:v>
                </c:pt>
                <c:pt idx="32">
                  <c:v>1.9246499082158088</c:v>
                </c:pt>
                <c:pt idx="33">
                  <c:v>1.2558375777281361</c:v>
                </c:pt>
                <c:pt idx="34">
                  <c:v>1.6281044651996277</c:v>
                </c:pt>
                <c:pt idx="35">
                  <c:v>3.6411166057709279</c:v>
                </c:pt>
                <c:pt idx="36">
                  <c:v>3.465424717106818</c:v>
                </c:pt>
                <c:pt idx="37">
                  <c:v>3.1323572856236108</c:v>
                </c:pt>
                <c:pt idx="38">
                  <c:v>3.0596919853814146</c:v>
                </c:pt>
                <c:pt idx="39">
                  <c:v>3.4470558052472136</c:v>
                </c:pt>
                <c:pt idx="40">
                  <c:v>4.1381727375238242</c:v>
                </c:pt>
                <c:pt idx="41">
                  <c:v>4.4135872064493498</c:v>
                </c:pt>
                <c:pt idx="42">
                  <c:v>4.3183022600894994</c:v>
                </c:pt>
                <c:pt idx="43">
                  <c:v>4.8657120979855639</c:v>
                </c:pt>
                <c:pt idx="44">
                  <c:v>4.0919089794118833</c:v>
                </c:pt>
                <c:pt idx="45">
                  <c:v>4.6714888476263816</c:v>
                </c:pt>
                <c:pt idx="46">
                  <c:v>5.5479643146721997</c:v>
                </c:pt>
                <c:pt idx="47">
                  <c:v>6.0852116209597895</c:v>
                </c:pt>
                <c:pt idx="48">
                  <c:v>5.7253545572529791</c:v>
                </c:pt>
                <c:pt idx="49">
                  <c:v>5.5525278537804326</c:v>
                </c:pt>
                <c:pt idx="50">
                  <c:v>4.4887429871287505</c:v>
                </c:pt>
                <c:pt idx="51">
                  <c:v>3.9657140266050597</c:v>
                </c:pt>
                <c:pt idx="52">
                  <c:v>4.4325937941058697</c:v>
                </c:pt>
                <c:pt idx="53">
                  <c:v>5.5508630553369187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B-44CB-BB6F-939C6CECE009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Sweden!$A$44:$A$97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Sweden!$BC$44:$BC$97</c:f>
              <c:numCache>
                <c:formatCode>0.0000</c:formatCode>
                <c:ptCount val="54"/>
                <c:pt idx="0">
                  <c:v>2.2326398804973149</c:v>
                </c:pt>
                <c:pt idx="1">
                  <c:v>2.1613860287021422</c:v>
                </c:pt>
                <c:pt idx="2">
                  <c:v>2.112540781159983</c:v>
                </c:pt>
                <c:pt idx="3">
                  <c:v>2.0952966719366923</c:v>
                </c:pt>
                <c:pt idx="4">
                  <c:v>2.0658985304491049</c:v>
                </c:pt>
                <c:pt idx="5">
                  <c:v>2.0136183933221643</c:v>
                </c:pt>
                <c:pt idx="6">
                  <c:v>1.9930880388044641</c:v>
                </c:pt>
                <c:pt idx="7">
                  <c:v>1.8778905034800533</c:v>
                </c:pt>
                <c:pt idx="8">
                  <c:v>1.8232771473499521</c:v>
                </c:pt>
                <c:pt idx="9">
                  <c:v>3.321494794401759</c:v>
                </c:pt>
                <c:pt idx="10">
                  <c:v>3.0465850703542898</c:v>
                </c:pt>
                <c:pt idx="11">
                  <c:v>3.0472833171805149</c:v>
                </c:pt>
                <c:pt idx="12">
                  <c:v>3.0379281839930652</c:v>
                </c:pt>
                <c:pt idx="13">
                  <c:v>2.8695089760124732</c:v>
                </c:pt>
                <c:pt idx="14">
                  <c:v>3.4567286931323586</c:v>
                </c:pt>
                <c:pt idx="15">
                  <c:v>4.3430514995552167</c:v>
                </c:pt>
                <c:pt idx="16">
                  <c:v>4.8394648200600789</c:v>
                </c:pt>
                <c:pt idx="17">
                  <c:v>4.9982832361407219</c:v>
                </c:pt>
                <c:pt idx="18">
                  <c:v>4.9091109124962857</c:v>
                </c:pt>
                <c:pt idx="19">
                  <c:v>4.8462327285756155</c:v>
                </c:pt>
                <c:pt idx="20">
                  <c:v>4.488875889228912</c:v>
                </c:pt>
                <c:pt idx="21">
                  <c:v>2.956069036454819</c:v>
                </c:pt>
                <c:pt idx="22">
                  <c:v>3.0946046396486198</c:v>
                </c:pt>
                <c:pt idx="23">
                  <c:v>2.6905404542972011</c:v>
                </c:pt>
                <c:pt idx="24">
                  <c:v>2.9657923290228574</c:v>
                </c:pt>
                <c:pt idx="25">
                  <c:v>2.6609640827389516</c:v>
                </c:pt>
                <c:pt idx="26">
                  <c:v>4.2764039771625688</c:v>
                </c:pt>
                <c:pt idx="27">
                  <c:v>2.2366318341909102</c:v>
                </c:pt>
                <c:pt idx="28">
                  <c:v>2.4062693132228716</c:v>
                </c:pt>
                <c:pt idx="29">
                  <c:v>2.2781693420768274</c:v>
                </c:pt>
                <c:pt idx="30">
                  <c:v>2.2374242699205196</c:v>
                </c:pt>
                <c:pt idx="31">
                  <c:v>1.7426939299932307</c:v>
                </c:pt>
                <c:pt idx="32">
                  <c:v>1.8145457089166921</c:v>
                </c:pt>
                <c:pt idx="33">
                  <c:v>1.4356504561623245</c:v>
                </c:pt>
                <c:pt idx="34">
                  <c:v>1.6965539584239389</c:v>
                </c:pt>
                <c:pt idx="35">
                  <c:v>3.283605854839136</c:v>
                </c:pt>
                <c:pt idx="36">
                  <c:v>3.448705482463216</c:v>
                </c:pt>
                <c:pt idx="37">
                  <c:v>3.2225977607369201</c:v>
                </c:pt>
                <c:pt idx="38">
                  <c:v>3.1362668560134561</c:v>
                </c:pt>
                <c:pt idx="39">
                  <c:v>3.3542865695471766</c:v>
                </c:pt>
                <c:pt idx="40">
                  <c:v>4.0156952500659342</c:v>
                </c:pt>
                <c:pt idx="41">
                  <c:v>4.4054320504672591</c:v>
                </c:pt>
                <c:pt idx="42">
                  <c:v>4.4410327608871114</c:v>
                </c:pt>
                <c:pt idx="43">
                  <c:v>4.8980008055814555</c:v>
                </c:pt>
                <c:pt idx="44">
                  <c:v>4.0579301018185436</c:v>
                </c:pt>
                <c:pt idx="45">
                  <c:v>4.674869187621276</c:v>
                </c:pt>
                <c:pt idx="46">
                  <c:v>5.4893257563257842</c:v>
                </c:pt>
                <c:pt idx="47">
                  <c:v>6.0949455974153972</c:v>
                </c:pt>
                <c:pt idx="48">
                  <c:v>5.8268053323115776</c:v>
                </c:pt>
                <c:pt idx="49">
                  <c:v>5.6711317172041014</c:v>
                </c:pt>
                <c:pt idx="50">
                  <c:v>4.399939752746759</c:v>
                </c:pt>
                <c:pt idx="51">
                  <c:v>4.0164549172813926</c:v>
                </c:pt>
                <c:pt idx="52">
                  <c:v>4.4994719069710474</c:v>
                </c:pt>
                <c:pt idx="53">
                  <c:v>5.2997823268291402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B-44CB-BB6F-939C6CEC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0752"/>
      </c:lineChart>
      <c:catAx>
        <c:axId val="1647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10752"/>
        <c:crosses val="autoZero"/>
        <c:auto val="1"/>
        <c:lblAlgn val="ctr"/>
        <c:lblOffset val="100"/>
        <c:noMultiLvlLbl val="0"/>
      </c:catAx>
      <c:valAx>
        <c:axId val="16481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Krona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79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47130434782607"/>
          <c:y val="7.6695292896080292E-2"/>
          <c:w val="0.16137391304347823"/>
          <c:h val="0.146232984575558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21981627296588"/>
          <c:y val="5.0925925925925923E-2"/>
          <c:w val="0.84622462817147859"/>
          <c:h val="0.80403543307086611"/>
        </c:manualLayout>
      </c:layout>
      <c:lineChart>
        <c:grouping val="standard"/>
        <c:varyColors val="0"/>
        <c:ser>
          <c:idx val="0"/>
          <c:order val="0"/>
          <c:tx>
            <c:strRef>
              <c:f>Sweden!$Y$121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Sweden!$A$122:$A$142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Sweden!$Y$122:$Y$142</c:f>
              <c:numCache>
                <c:formatCode>0.00</c:formatCode>
                <c:ptCount val="21"/>
                <c:pt idx="0">
                  <c:v>13.786926127347867</c:v>
                </c:pt>
                <c:pt idx="1">
                  <c:v>14.760541401361246</c:v>
                </c:pt>
                <c:pt idx="2">
                  <c:v>15.620721569699203</c:v>
                </c:pt>
                <c:pt idx="3">
                  <c:v>15.110117525735632</c:v>
                </c:pt>
                <c:pt idx="4">
                  <c:v>14.889077681393877</c:v>
                </c:pt>
                <c:pt idx="5">
                  <c:v>13.738475278076713</c:v>
                </c:pt>
                <c:pt idx="6">
                  <c:v>13.55093109969555</c:v>
                </c:pt>
                <c:pt idx="7">
                  <c:v>14.281838726173667</c:v>
                </c:pt>
                <c:pt idx="8">
                  <c:v>15.648907269958169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6-4058-95FA-0E5F84B42240}"/>
            </c:ext>
          </c:extLst>
        </c:ser>
        <c:ser>
          <c:idx val="1"/>
          <c:order val="1"/>
          <c:tx>
            <c:strRef>
              <c:f>Sweden!$Z$121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Sweden!$A$122:$A$142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Sweden!$Z$122:$Z$142</c:f>
              <c:numCache>
                <c:formatCode>0.00</c:formatCode>
                <c:ptCount val="21"/>
                <c:pt idx="0">
                  <c:v>13.791508003068627</c:v>
                </c:pt>
                <c:pt idx="1">
                  <c:v>14.681059873706142</c:v>
                </c:pt>
                <c:pt idx="2">
                  <c:v>15.633915470447585</c:v>
                </c:pt>
                <c:pt idx="3">
                  <c:v>15.247628794955721</c:v>
                </c:pt>
                <c:pt idx="4">
                  <c:v>15.049839073156276</c:v>
                </c:pt>
                <c:pt idx="5">
                  <c:v>13.618107094948853</c:v>
                </c:pt>
                <c:pt idx="6">
                  <c:v>13.619707748018151</c:v>
                </c:pt>
                <c:pt idx="7">
                  <c:v>14.372488543070808</c:v>
                </c:pt>
                <c:pt idx="8">
                  <c:v>15.308580351471182</c:v>
                </c:pt>
                <c:pt idx="9">
                  <c:v>17.585562629745763</c:v>
                </c:pt>
                <c:pt idx="10">
                  <c:v>18.634813556887604</c:v>
                </c:pt>
                <c:pt idx="11">
                  <c:v>19.745785126802492</c:v>
                </c:pt>
                <c:pt idx="12">
                  <c:v>20.239550268986889</c:v>
                </c:pt>
                <c:pt idx="13">
                  <c:v>20.609874125625186</c:v>
                </c:pt>
                <c:pt idx="14">
                  <c:v>20.918477339490437</c:v>
                </c:pt>
                <c:pt idx="15">
                  <c:v>21.227080553355687</c:v>
                </c:pt>
                <c:pt idx="16">
                  <c:v>21.535683767220931</c:v>
                </c:pt>
                <c:pt idx="17">
                  <c:v>21.844286981086174</c:v>
                </c:pt>
                <c:pt idx="18">
                  <c:v>22.091169552178382</c:v>
                </c:pt>
                <c:pt idx="19">
                  <c:v>22.399772766043625</c:v>
                </c:pt>
                <c:pt idx="20">
                  <c:v>22.584934694362769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6-4058-95FA-0E5F84B42240}"/>
            </c:ext>
          </c:extLst>
        </c:ser>
        <c:ser>
          <c:idx val="3"/>
          <c:order val="2"/>
          <c:tx>
            <c:strRef>
              <c:f>Sweden!$AB$121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Sweden!$A$122:$A$142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Sweden!$AB$122:$AB$142</c:f>
              <c:numCache>
                <c:formatCode>0.00</c:formatCode>
                <c:ptCount val="21"/>
                <c:pt idx="0">
                  <c:v>13.791508003068627</c:v>
                </c:pt>
                <c:pt idx="1">
                  <c:v>14.681059873706142</c:v>
                </c:pt>
                <c:pt idx="2">
                  <c:v>15.633915470447585</c:v>
                </c:pt>
                <c:pt idx="3">
                  <c:v>15.247628794955721</c:v>
                </c:pt>
                <c:pt idx="4">
                  <c:v>15.049839073156276</c:v>
                </c:pt>
                <c:pt idx="5">
                  <c:v>13.618107094948853</c:v>
                </c:pt>
                <c:pt idx="6">
                  <c:v>13.619707748018151</c:v>
                </c:pt>
                <c:pt idx="7">
                  <c:v>14.372488543070808</c:v>
                </c:pt>
                <c:pt idx="8">
                  <c:v>15.308580351471182</c:v>
                </c:pt>
                <c:pt idx="9">
                  <c:v>12.956514421767048</c:v>
                </c:pt>
                <c:pt idx="10">
                  <c:v>13.018235064540097</c:v>
                </c:pt>
                <c:pt idx="11">
                  <c:v>13.1416763500862</c:v>
                </c:pt>
                <c:pt idx="12">
                  <c:v>13.203396992859247</c:v>
                </c:pt>
                <c:pt idx="13">
                  <c:v>13.203396992859247</c:v>
                </c:pt>
                <c:pt idx="14">
                  <c:v>13.203396992859247</c:v>
                </c:pt>
                <c:pt idx="15">
                  <c:v>13.265117635632295</c:v>
                </c:pt>
                <c:pt idx="16">
                  <c:v>13.326838278405349</c:v>
                </c:pt>
                <c:pt idx="17">
                  <c:v>13.388558921178396</c:v>
                </c:pt>
                <c:pt idx="18">
                  <c:v>13.388558921178396</c:v>
                </c:pt>
                <c:pt idx="19">
                  <c:v>13.388558921178396</c:v>
                </c:pt>
                <c:pt idx="20">
                  <c:v>13.450279563951444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66-4058-95FA-0E5F84B42240}"/>
            </c:ext>
          </c:extLst>
        </c:ser>
        <c:ser>
          <c:idx val="2"/>
          <c:order val="3"/>
          <c:tx>
            <c:strRef>
              <c:f>Sweden!$AA$121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Sweden!$A$122:$A$142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Sweden!$AA$122:$AA$142</c:f>
              <c:numCache>
                <c:formatCode>0.00</c:formatCode>
                <c:ptCount val="21"/>
                <c:pt idx="0">
                  <c:v>13.791508003068627</c:v>
                </c:pt>
                <c:pt idx="1">
                  <c:v>14.681059873706142</c:v>
                </c:pt>
                <c:pt idx="2">
                  <c:v>15.633915470447585</c:v>
                </c:pt>
                <c:pt idx="3">
                  <c:v>15.247628794955721</c:v>
                </c:pt>
                <c:pt idx="4">
                  <c:v>15.049839073156276</c:v>
                </c:pt>
                <c:pt idx="5">
                  <c:v>13.618107094948853</c:v>
                </c:pt>
                <c:pt idx="6">
                  <c:v>13.619707748018151</c:v>
                </c:pt>
                <c:pt idx="7">
                  <c:v>14.372488543070808</c:v>
                </c:pt>
                <c:pt idx="8">
                  <c:v>15.308580351471182</c:v>
                </c:pt>
                <c:pt idx="9">
                  <c:v>15.111500953127281</c:v>
                </c:pt>
                <c:pt idx="10">
                  <c:v>15.128082737120355</c:v>
                </c:pt>
                <c:pt idx="11">
                  <c:v>15.61662009739179</c:v>
                </c:pt>
                <c:pt idx="12">
                  <c:v>15.980369754068011</c:v>
                </c:pt>
                <c:pt idx="13">
                  <c:v>16.147755077467075</c:v>
                </c:pt>
                <c:pt idx="14">
                  <c:v>16.192009663167163</c:v>
                </c:pt>
                <c:pt idx="15">
                  <c:v>16.423568368190224</c:v>
                </c:pt>
                <c:pt idx="16">
                  <c:v>16.83055977246844</c:v>
                </c:pt>
                <c:pt idx="17">
                  <c:v>17.040312844149327</c:v>
                </c:pt>
                <c:pt idx="18">
                  <c:v>17.173091771842067</c:v>
                </c:pt>
                <c:pt idx="19">
                  <c:v>17.353064749820259</c:v>
                </c:pt>
                <c:pt idx="20">
                  <c:v>17.490677316951597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6-4058-95FA-0E5F84B4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178200"/>
        <c:axId val="1197178528"/>
      </c:lineChart>
      <c:catAx>
        <c:axId val="119717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178528"/>
        <c:crosses val="autoZero"/>
        <c:auto val="1"/>
        <c:lblAlgn val="ctr"/>
        <c:lblOffset val="100"/>
        <c:noMultiLvlLbl val="0"/>
      </c:catAx>
      <c:valAx>
        <c:axId val="119717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krona per litre</a:t>
                </a:r>
              </a:p>
            </c:rich>
          </c:tx>
          <c:layout>
            <c:manualLayout>
              <c:xMode val="edge"/>
              <c:yMode val="edge"/>
              <c:x val="1.1624890638670166E-2"/>
              <c:y val="0.25265419947506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178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626837270341208"/>
          <c:y val="0.44965223097112861"/>
          <c:w val="0.26024103237095364"/>
          <c:h val="0.33275517643627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7676172831334E-2"/>
          <c:y val="3.6974780129747864E-2"/>
          <c:w val="0.80352246410375172"/>
          <c:h val="0.82074510137097823"/>
        </c:manualLayout>
      </c:layout>
      <c:lineChart>
        <c:grouping val="standard"/>
        <c:varyColors val="0"/>
        <c:ser>
          <c:idx val="0"/>
          <c:order val="0"/>
          <c:tx>
            <c:v> energy content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Sweden!$AP$44:$AP$97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Sweden!$BB$44:$BB$97</c:f>
              <c:numCache>
                <c:formatCode>0.0000</c:formatCode>
                <c:ptCount val="54"/>
                <c:pt idx="0">
                  <c:v>2.3249237809541086</c:v>
                </c:pt>
                <c:pt idx="1">
                  <c:v>2.1308761908011737</c:v>
                </c:pt>
                <c:pt idx="2">
                  <c:v>2.3675873595896642</c:v>
                </c:pt>
                <c:pt idx="3">
                  <c:v>2.3292038155357142</c:v>
                </c:pt>
                <c:pt idx="4">
                  <c:v>2.0088561335866109</c:v>
                </c:pt>
                <c:pt idx="5">
                  <c:v>2.0940147675928804</c:v>
                </c:pt>
                <c:pt idx="6">
                  <c:v>2.03006194814387</c:v>
                </c:pt>
                <c:pt idx="7">
                  <c:v>1.6207049181503432</c:v>
                </c:pt>
                <c:pt idx="8">
                  <c:v>1.8675591620272272</c:v>
                </c:pt>
                <c:pt idx="9">
                  <c:v>3.3336401587635982</c:v>
                </c:pt>
                <c:pt idx="10">
                  <c:v>2.7829906313745632</c:v>
                </c:pt>
                <c:pt idx="11">
                  <c:v>3.1626045347526954</c:v>
                </c:pt>
                <c:pt idx="12">
                  <c:v>3.2712084732586066</c:v>
                </c:pt>
                <c:pt idx="13">
                  <c:v>2.8413341771834517</c:v>
                </c:pt>
                <c:pt idx="14">
                  <c:v>3.4088935113250964</c:v>
                </c:pt>
                <c:pt idx="15">
                  <c:v>4.1943129368765701</c:v>
                </c:pt>
                <c:pt idx="16">
                  <c:v>4.7478223469723293</c:v>
                </c:pt>
                <c:pt idx="17">
                  <c:v>5.1893256887617429</c:v>
                </c:pt>
                <c:pt idx="18">
                  <c:v>5.2129719520861162</c:v>
                </c:pt>
                <c:pt idx="19">
                  <c:v>4.6106774242982347</c:v>
                </c:pt>
                <c:pt idx="20">
                  <c:v>4.358384605755222</c:v>
                </c:pt>
                <c:pt idx="21">
                  <c:v>3.1137422266140069</c:v>
                </c:pt>
                <c:pt idx="22">
                  <c:v>2.9496575703065986</c:v>
                </c:pt>
                <c:pt idx="23">
                  <c:v>2.7332717455969489</c:v>
                </c:pt>
                <c:pt idx="24">
                  <c:v>2.9103349169059483</c:v>
                </c:pt>
                <c:pt idx="25">
                  <c:v>2.1984134651595246</c:v>
                </c:pt>
                <c:pt idx="26">
                  <c:v>4.2764039771625715</c:v>
                </c:pt>
                <c:pt idx="27">
                  <c:v>2.2846151110752597</c:v>
                </c:pt>
                <c:pt idx="28">
                  <c:v>1.8585214565711459</c:v>
                </c:pt>
                <c:pt idx="29">
                  <c:v>2.3578753481984114</c:v>
                </c:pt>
                <c:pt idx="30">
                  <c:v>2.4547522892573328</c:v>
                </c:pt>
                <c:pt idx="31">
                  <c:v>1.8808521023526179</c:v>
                </c:pt>
                <c:pt idx="32">
                  <c:v>1.9246499082158088</c:v>
                </c:pt>
                <c:pt idx="33">
                  <c:v>1.2558375777281361</c:v>
                </c:pt>
                <c:pt idx="34">
                  <c:v>1.6281044651996277</c:v>
                </c:pt>
                <c:pt idx="35">
                  <c:v>3.6411166057709279</c:v>
                </c:pt>
                <c:pt idx="36">
                  <c:v>3.465424717106818</c:v>
                </c:pt>
                <c:pt idx="37">
                  <c:v>3.1323572856236108</c:v>
                </c:pt>
                <c:pt idx="38">
                  <c:v>3.0596919853814146</c:v>
                </c:pt>
                <c:pt idx="39">
                  <c:v>3.4470558052472136</c:v>
                </c:pt>
                <c:pt idx="40">
                  <c:v>4.1381727375238242</c:v>
                </c:pt>
                <c:pt idx="41">
                  <c:v>4.4135872064493498</c:v>
                </c:pt>
                <c:pt idx="42">
                  <c:v>4.3183022600894994</c:v>
                </c:pt>
                <c:pt idx="43">
                  <c:v>4.8657120979855639</c:v>
                </c:pt>
                <c:pt idx="44">
                  <c:v>4.0919089794118833</c:v>
                </c:pt>
                <c:pt idx="45">
                  <c:v>4.6714888476263816</c:v>
                </c:pt>
                <c:pt idx="46">
                  <c:v>5.5479643146721997</c:v>
                </c:pt>
                <c:pt idx="47">
                  <c:v>6.0852116209597895</c:v>
                </c:pt>
                <c:pt idx="48">
                  <c:v>5.7253545572529791</c:v>
                </c:pt>
                <c:pt idx="49">
                  <c:v>5.5525278537804326</c:v>
                </c:pt>
                <c:pt idx="50">
                  <c:v>4.4887429871287505</c:v>
                </c:pt>
                <c:pt idx="51">
                  <c:v>3.9657140266050597</c:v>
                </c:pt>
                <c:pt idx="52">
                  <c:v>4.4325937941058697</c:v>
                </c:pt>
                <c:pt idx="53">
                  <c:v>5.5508630553369187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8-4529-A9FB-E69B95A1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155360"/>
        <c:axId val="669158312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Sweden!$AP$44:$AP$97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Sweden!$BM$44:$BM$97</c:f>
              <c:numCache>
                <c:formatCode>0.00</c:formatCode>
                <c:ptCount val="54"/>
                <c:pt idx="0">
                  <c:v>155.34960856620785</c:v>
                </c:pt>
                <c:pt idx="1">
                  <c:v>145.9986669646305</c:v>
                </c:pt>
                <c:pt idx="2">
                  <c:v>139.58850041539884</c:v>
                </c:pt>
                <c:pt idx="3">
                  <c:v>137.32548369060845</c:v>
                </c:pt>
                <c:pt idx="4">
                  <c:v>133.46744237326917</c:v>
                </c:pt>
                <c:pt idx="5">
                  <c:v>126.60650086793427</c:v>
                </c:pt>
                <c:pt idx="6">
                  <c:v>123.91221640024604</c:v>
                </c:pt>
                <c:pt idx="7">
                  <c:v>108.79436103769291</c:v>
                </c:pt>
                <c:pt idx="8">
                  <c:v>101.62722142386889</c:v>
                </c:pt>
                <c:pt idx="9">
                  <c:v>298.24460239446938</c:v>
                </c:pt>
                <c:pt idx="10">
                  <c:v>262.16704713944523</c:v>
                </c:pt>
                <c:pt idx="11">
                  <c:v>262.25868099685806</c:v>
                </c:pt>
                <c:pt idx="12">
                  <c:v>261.03096766057007</c:v>
                </c:pt>
                <c:pt idx="13">
                  <c:v>238.9286091391304</c:v>
                </c:pt>
                <c:pt idx="14">
                  <c:v>315.99191370079154</c:v>
                </c:pt>
                <c:pt idx="15">
                  <c:v>432.30777023625319</c:v>
                </c:pt>
                <c:pt idx="16">
                  <c:v>497.45417079337466</c:v>
                </c:pt>
                <c:pt idx="17">
                  <c:v>518.29657715611017</c:v>
                </c:pt>
                <c:pt idx="18">
                  <c:v>506.59411939602921</c:v>
                </c:pt>
                <c:pt idx="19">
                  <c:v>498.34235179270541</c:v>
                </c:pt>
                <c:pt idx="20">
                  <c:v>451.44491605461826</c:v>
                </c:pt>
                <c:pt idx="21">
                  <c:v>202.34958877326397</c:v>
                </c:pt>
                <c:pt idx="22">
                  <c:v>220.53019659399519</c:v>
                </c:pt>
                <c:pt idx="23">
                  <c:v>167.50316008554847</c:v>
                </c:pt>
                <c:pt idx="24">
                  <c:v>203.62561720805155</c:v>
                </c:pt>
                <c:pt idx="25">
                  <c:v>211.56038876679668</c:v>
                </c:pt>
                <c:pt idx="26">
                  <c:v>173.43184689301009</c:v>
                </c:pt>
                <c:pt idx="27">
                  <c:v>155.87348938001028</c:v>
                </c:pt>
                <c:pt idx="28">
                  <c:v>178.13572671739098</c:v>
                </c:pt>
                <c:pt idx="29">
                  <c:v>161.32463062684158</c:v>
                </c:pt>
                <c:pt idx="30">
                  <c:v>155.97748404196733</c:v>
                </c:pt>
                <c:pt idx="31">
                  <c:v>175.05913625893464</c:v>
                </c:pt>
                <c:pt idx="32">
                  <c:v>184.48854634351702</c:v>
                </c:pt>
                <c:pt idx="33">
                  <c:v>134.76453434475744</c:v>
                </c:pt>
                <c:pt idx="34">
                  <c:v>169.00399441364672</c:v>
                </c:pt>
                <c:pt idx="35">
                  <c:v>293.27227806014076</c:v>
                </c:pt>
                <c:pt idx="36">
                  <c:v>270.44898381020295</c:v>
                </c:pt>
                <c:pt idx="37">
                  <c:v>262.94711937644041</c:v>
                </c:pt>
                <c:pt idx="38">
                  <c:v>247.13443877756706</c:v>
                </c:pt>
                <c:pt idx="39">
                  <c:v>287.06771765851443</c:v>
                </c:pt>
                <c:pt idx="40">
                  <c:v>408.21372260154811</c:v>
                </c:pt>
                <c:pt idx="41">
                  <c:v>479.59932387740275</c:v>
                </c:pt>
                <c:pt idx="42">
                  <c:v>486.12007869591559</c:v>
                </c:pt>
                <c:pt idx="43">
                  <c:v>626.62440335556266</c:v>
                </c:pt>
                <c:pt idx="44">
                  <c:v>472.75401636466609</c:v>
                </c:pt>
                <c:pt idx="45">
                  <c:v>557.35260676241967</c:v>
                </c:pt>
                <c:pt idx="46">
                  <c:v>678.12921336217823</c:v>
                </c:pt>
                <c:pt idx="47">
                  <c:v>713.69485887153019</c:v>
                </c:pt>
                <c:pt idx="48">
                  <c:v>664.58131857717592</c:v>
                </c:pt>
                <c:pt idx="49">
                  <c:v>636.06757646765516</c:v>
                </c:pt>
                <c:pt idx="50">
                  <c:v>403.23146084711539</c:v>
                </c:pt>
                <c:pt idx="51">
                  <c:v>332.99099207003792</c:v>
                </c:pt>
                <c:pt idx="52">
                  <c:v>421.46213002761226</c:v>
                </c:pt>
                <c:pt idx="53">
                  <c:v>568.04987968346268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8-4529-A9FB-E69B95A1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323584"/>
        <c:axId val="560322928"/>
      </c:lineChart>
      <c:catAx>
        <c:axId val="6691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58312"/>
        <c:crosses val="autoZero"/>
        <c:auto val="1"/>
        <c:lblAlgn val="ctr"/>
        <c:lblOffset val="100"/>
        <c:noMultiLvlLbl val="0"/>
      </c:catAx>
      <c:valAx>
        <c:axId val="66915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krona per litre</a:t>
                </a:r>
              </a:p>
            </c:rich>
          </c:tx>
          <c:layout>
            <c:manualLayout>
              <c:xMode val="edge"/>
              <c:yMode val="edge"/>
              <c:x val="1.811966518891021E-2"/>
              <c:y val="0.298565923756785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55360"/>
        <c:crosses val="autoZero"/>
        <c:crossBetween val="between"/>
      </c:valAx>
      <c:valAx>
        <c:axId val="560322928"/>
        <c:scaling>
          <c:orientation val="minMax"/>
          <c:max val="900"/>
          <c:min val="-4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krona per barrel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323584"/>
        <c:crosses val="max"/>
        <c:crossBetween val="between"/>
      </c:valAx>
      <c:catAx>
        <c:axId val="56032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032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094951366373322"/>
          <c:y val="4.5798174869800867E-2"/>
          <c:w val="0.18783096695418042"/>
          <c:h val="0.2180675661834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879119751724845E-2"/>
          <c:y val="3.1631110213787637E-2"/>
          <c:w val="0.87193644361230094"/>
          <c:h val="0.8439359409342125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Sweden!$A$44:$A$97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Sweden!$BO$44:$BO$97</c:f>
              <c:numCache>
                <c:formatCode>0.0000</c:formatCode>
                <c:ptCount val="54"/>
                <c:pt idx="0">
                  <c:v>7.2030028023638408</c:v>
                </c:pt>
                <c:pt idx="1">
                  <c:v>7.2207306789595274</c:v>
                </c:pt>
                <c:pt idx="2">
                  <c:v>7.3351817060286546</c:v>
                </c:pt>
                <c:pt idx="3">
                  <c:v>7.2162630654907742</c:v>
                </c:pt>
                <c:pt idx="4">
                  <c:v>6.6009706815462517</c:v>
                </c:pt>
                <c:pt idx="5">
                  <c:v>7.3247187672015119</c:v>
                </c:pt>
                <c:pt idx="6">
                  <c:v>7.1010162298158264</c:v>
                </c:pt>
                <c:pt idx="7">
                  <c:v>6.0600870193686411</c:v>
                </c:pt>
                <c:pt idx="8">
                  <c:v>5.7860107018828355</c:v>
                </c:pt>
                <c:pt idx="9">
                  <c:v>7.8583939347815308</c:v>
                </c:pt>
                <c:pt idx="10">
                  <c:v>6.4207652908938009</c:v>
                </c:pt>
                <c:pt idx="11">
                  <c:v>7.4552114536653482</c:v>
                </c:pt>
                <c:pt idx="12">
                  <c:v>6.9552213294282179</c:v>
                </c:pt>
                <c:pt idx="13">
                  <c:v>7.0023295669923584</c:v>
                </c:pt>
                <c:pt idx="14">
                  <c:v>7.7009642214443499</c:v>
                </c:pt>
                <c:pt idx="15">
                  <c:v>9.0962781920275013</c:v>
                </c:pt>
                <c:pt idx="16">
                  <c:v>9.7138523727533013</c:v>
                </c:pt>
                <c:pt idx="17">
                  <c:v>10.048374430792604</c:v>
                </c:pt>
                <c:pt idx="18">
                  <c:v>9.7460874294204363</c:v>
                </c:pt>
                <c:pt idx="19">
                  <c:v>9.0902317963968731</c:v>
                </c:pt>
                <c:pt idx="20">
                  <c:v>9.3585180456142023</c:v>
                </c:pt>
                <c:pt idx="21">
                  <c:v>7.9820638464899378</c:v>
                </c:pt>
                <c:pt idx="22">
                  <c:v>7.7445191453133244</c:v>
                </c:pt>
                <c:pt idx="23">
                  <c:v>7.7995962837169728</c:v>
                </c:pt>
                <c:pt idx="24">
                  <c:v>7.8896163789407998</c:v>
                </c:pt>
                <c:pt idx="25">
                  <c:v>8.6911157043788041</c:v>
                </c:pt>
                <c:pt idx="26">
                  <c:v>10.100527957397597</c:v>
                </c:pt>
                <c:pt idx="27">
                  <c:v>8.2969143914453678</c:v>
                </c:pt>
                <c:pt idx="28">
                  <c:v>9.0499736540228319</c:v>
                </c:pt>
                <c:pt idx="29">
                  <c:v>9.6382843350126652</c:v>
                </c:pt>
                <c:pt idx="30">
                  <c:v>9.7760345811683642</c:v>
                </c:pt>
                <c:pt idx="31">
                  <c:v>9.2998685194673048</c:v>
                </c:pt>
                <c:pt idx="32">
                  <c:v>9.5534552581700911</c:v>
                </c:pt>
                <c:pt idx="33">
                  <c:v>8.9363992918901367</c:v>
                </c:pt>
                <c:pt idx="34">
                  <c:v>9.2332359307202267</c:v>
                </c:pt>
                <c:pt idx="35">
                  <c:v>11.962033568734672</c:v>
                </c:pt>
                <c:pt idx="36">
                  <c:v>11.604856084639616</c:v>
                </c:pt>
                <c:pt idx="37">
                  <c:v>11.187762372483565</c:v>
                </c:pt>
                <c:pt idx="38">
                  <c:v>11.090793747872672</c:v>
                </c:pt>
                <c:pt idx="39">
                  <c:v>11.707494643655506</c:v>
                </c:pt>
                <c:pt idx="40">
                  <c:v>12.861086966632579</c:v>
                </c:pt>
                <c:pt idx="41">
                  <c:v>13.180352184562905</c:v>
                </c:pt>
                <c:pt idx="42">
                  <c:v>12.99420156202164</c:v>
                </c:pt>
                <c:pt idx="43">
                  <c:v>13.812708046735361</c:v>
                </c:pt>
                <c:pt idx="44">
                  <c:v>13.115086128001355</c:v>
                </c:pt>
                <c:pt idx="45">
                  <c:v>13.786926127347867</c:v>
                </c:pt>
                <c:pt idx="46">
                  <c:v>14.760541401361246</c:v>
                </c:pt>
                <c:pt idx="47">
                  <c:v>15.620721569699203</c:v>
                </c:pt>
                <c:pt idx="48">
                  <c:v>15.110117525735632</c:v>
                </c:pt>
                <c:pt idx="49">
                  <c:v>14.889077681393877</c:v>
                </c:pt>
                <c:pt idx="50">
                  <c:v>13.738475278076713</c:v>
                </c:pt>
                <c:pt idx="51">
                  <c:v>13.55093109969555</c:v>
                </c:pt>
                <c:pt idx="52">
                  <c:v>14.281838726173667</c:v>
                </c:pt>
                <c:pt idx="53">
                  <c:v>15.648907269958169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1-4D80-95C2-0C72AD3EFEEC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Sweden!$A$44:$A$97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Sweden!$BP$44:$BP$97</c:f>
              <c:numCache>
                <c:formatCode>0.0000</c:formatCode>
                <c:ptCount val="54"/>
                <c:pt idx="0">
                  <c:v>7.1029339658423716</c:v>
                </c:pt>
                <c:pt idx="1">
                  <c:v>7.2538142825577303</c:v>
                </c:pt>
                <c:pt idx="2">
                  <c:v>7.0586197679667801</c:v>
                </c:pt>
                <c:pt idx="3">
                  <c:v>6.9626238543374361</c:v>
                </c:pt>
                <c:pt idx="4">
                  <c:v>6.6628250923174797</c:v>
                </c:pt>
                <c:pt idx="5">
                  <c:v>7.2375402713426169</c:v>
                </c:pt>
                <c:pt idx="6">
                  <c:v>7.0609232550831758</c:v>
                </c:pt>
                <c:pt idx="7">
                  <c:v>6.3389684078518522</c:v>
                </c:pt>
                <c:pt idx="8">
                  <c:v>5.7379931206400894</c:v>
                </c:pt>
                <c:pt idx="9">
                  <c:v>7.8452240050884576</c:v>
                </c:pt>
                <c:pt idx="10">
                  <c:v>6.7065961746304534</c:v>
                </c:pt>
                <c:pt idx="11">
                  <c:v>7.3301619053523108</c:v>
                </c:pt>
                <c:pt idx="12">
                  <c:v>6.7022618531312252</c:v>
                </c:pt>
                <c:pt idx="13">
                  <c:v>7.032881151007456</c:v>
                </c:pt>
                <c:pt idx="14">
                  <c:v>7.7528347098453763</c:v>
                </c:pt>
                <c:pt idx="15">
                  <c:v>9.2575641242372733</c:v>
                </c:pt>
                <c:pt idx="16">
                  <c:v>9.8132256720227069</c:v>
                </c:pt>
                <c:pt idx="17">
                  <c:v>9.8412159138100659</c:v>
                </c:pt>
                <c:pt idx="18">
                  <c:v>9.4165931130180365</c:v>
                </c:pt>
                <c:pt idx="19">
                  <c:v>9.3456582046741659</c:v>
                </c:pt>
                <c:pt idx="20">
                  <c:v>9.5000173845971592</c:v>
                </c:pt>
                <c:pt idx="21">
                  <c:v>7.8110895745773039</c:v>
                </c:pt>
                <c:pt idx="22">
                  <c:v>7.9016937393048705</c:v>
                </c:pt>
                <c:pt idx="23">
                  <c:v>7.7532602426279018</c:v>
                </c:pt>
                <c:pt idx="24">
                  <c:v>7.9497520979509533</c:v>
                </c:pt>
                <c:pt idx="25">
                  <c:v>9.1926864215282311</c:v>
                </c:pt>
                <c:pt idx="26">
                  <c:v>10.100527957397595</c:v>
                </c:pt>
                <c:pt idx="27">
                  <c:v>8.2448833148812337</c:v>
                </c:pt>
                <c:pt idx="28">
                  <c:v>9.6439287258279016</c:v>
                </c:pt>
                <c:pt idx="29">
                  <c:v>9.551854445759183</c:v>
                </c:pt>
                <c:pt idx="30">
                  <c:v>9.5403730851663351</c:v>
                </c:pt>
                <c:pt idx="31">
                  <c:v>9.150055523966433</c:v>
                </c:pt>
                <c:pt idx="32">
                  <c:v>9.4340628282288659</c:v>
                </c:pt>
                <c:pt idx="33">
                  <c:v>9.1313809240862103</c:v>
                </c:pt>
                <c:pt idx="34">
                  <c:v>9.3074597239662413</c:v>
                </c:pt>
                <c:pt idx="35">
                  <c:v>11.574363729113934</c:v>
                </c:pt>
                <c:pt idx="36">
                  <c:v>11.586726439598246</c:v>
                </c:pt>
                <c:pt idx="37">
                  <c:v>11.285615403261788</c:v>
                </c:pt>
                <c:pt idx="38">
                  <c:v>11.173828363585715</c:v>
                </c:pt>
                <c:pt idx="39">
                  <c:v>11.606899529713235</c:v>
                </c:pt>
                <c:pt idx="40">
                  <c:v>12.728277455880246</c:v>
                </c:pt>
                <c:pt idx="41">
                  <c:v>13.171509071444154</c:v>
                </c:pt>
                <c:pt idx="42">
                  <c:v>13.127285429952259</c:v>
                </c:pt>
                <c:pt idx="43">
                  <c:v>13.847720582897241</c:v>
                </c:pt>
                <c:pt idx="44">
                  <c:v>13.078240841551171</c:v>
                </c:pt>
                <c:pt idx="45">
                  <c:v>13.790591627924478</c:v>
                </c:pt>
                <c:pt idx="46">
                  <c:v>14.696956179237166</c:v>
                </c:pt>
                <c:pt idx="47">
                  <c:v>15.631276690297907</c:v>
                </c:pt>
                <c:pt idx="48">
                  <c:v>15.220126541111703</c:v>
                </c:pt>
                <c:pt idx="49">
                  <c:v>15.017686794803799</c:v>
                </c:pt>
                <c:pt idx="50">
                  <c:v>13.642180731574424</c:v>
                </c:pt>
                <c:pt idx="51">
                  <c:v>13.605952418353629</c:v>
                </c:pt>
                <c:pt idx="52">
                  <c:v>14.354358579691379</c:v>
                </c:pt>
                <c:pt idx="53">
                  <c:v>15.376645735168582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1-4D80-95C2-0C72AD3E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149312"/>
        <c:axId val="164761984"/>
      </c:lineChart>
      <c:catAx>
        <c:axId val="165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61984"/>
        <c:crosses val="autoZero"/>
        <c:auto val="1"/>
        <c:lblAlgn val="ctr"/>
        <c:lblOffset val="100"/>
        <c:noMultiLvlLbl val="0"/>
      </c:catAx>
      <c:valAx>
        <c:axId val="164761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Krona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514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00259842519685"/>
          <c:y val="4.4618142244414571E-2"/>
          <c:w val="0.14421092465105448"/>
          <c:h val="0.1529983142351108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6757004211685"/>
          <c:y val="3.6401703885374982E-2"/>
          <c:w val="0.79315525239577611"/>
          <c:h val="0.85498644636633536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Swiss!$A$44:$A$96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Swiss!$AY$44:$AY$96</c:f>
              <c:numCache>
                <c:formatCode>0.0000</c:formatCode>
                <c:ptCount val="53"/>
                <c:pt idx="0">
                  <c:v>0.84724298805156018</c:v>
                </c:pt>
                <c:pt idx="1">
                  <c:v>0.86432950923602259</c:v>
                </c:pt>
                <c:pt idx="2">
                  <c:v>0.89931939783370507</c:v>
                </c:pt>
                <c:pt idx="3">
                  <c:v>0.64864534861135903</c:v>
                </c:pt>
                <c:pt idx="4">
                  <c:v>0.57595099003480632</c:v>
                </c:pt>
                <c:pt idx="5">
                  <c:v>0.56940963175808235</c:v>
                </c:pt>
                <c:pt idx="6">
                  <c:v>0.57484035761716634</c:v>
                </c:pt>
                <c:pt idx="7">
                  <c:v>0.63152086432608745</c:v>
                </c:pt>
                <c:pt idx="8">
                  <c:v>0.63781796139786673</c:v>
                </c:pt>
                <c:pt idx="9">
                  <c:v>0.98624227714979096</c:v>
                </c:pt>
                <c:pt idx="10">
                  <c:v>0.77510928956334935</c:v>
                </c:pt>
                <c:pt idx="11">
                  <c:v>0.7700099377692442</c:v>
                </c:pt>
                <c:pt idx="12">
                  <c:v>0.8070570023910133</c:v>
                </c:pt>
                <c:pt idx="13">
                  <c:v>0.64984433043711842</c:v>
                </c:pt>
                <c:pt idx="14">
                  <c:v>0.90754587177943491</c:v>
                </c:pt>
                <c:pt idx="15">
                  <c:v>1.063510378640883</c:v>
                </c:pt>
                <c:pt idx="16">
                  <c:v>1.1441999475224531</c:v>
                </c:pt>
                <c:pt idx="17">
                  <c:v>1.0997520916926953</c:v>
                </c:pt>
                <c:pt idx="18">
                  <c:v>0.974729966598053</c:v>
                </c:pt>
                <c:pt idx="19">
                  <c:v>0.95005429699992838</c:v>
                </c:pt>
                <c:pt idx="20">
                  <c:v>0.92664679174389653</c:v>
                </c:pt>
                <c:pt idx="21">
                  <c:v>0.66493930291448278</c:v>
                </c:pt>
                <c:pt idx="22">
                  <c:v>0.63593584089503152</c:v>
                </c:pt>
                <c:pt idx="23">
                  <c:v>0.61756128230984753</c:v>
                </c:pt>
                <c:pt idx="24">
                  <c:v>0.68812927576230853</c:v>
                </c:pt>
                <c:pt idx="25">
                  <c:v>0.61135546277484254</c:v>
                </c:pt>
                <c:pt idx="26">
                  <c:v>0.57511126180538807</c:v>
                </c:pt>
                <c:pt idx="27">
                  <c:v>0.40347993203170163</c:v>
                </c:pt>
                <c:pt idx="28">
                  <c:v>0.45464029202621514</c:v>
                </c:pt>
                <c:pt idx="29">
                  <c:v>0.37195068869352244</c:v>
                </c:pt>
                <c:pt idx="30">
                  <c:v>0.35354663843491951</c:v>
                </c:pt>
                <c:pt idx="31">
                  <c:v>0.28842594257391185</c:v>
                </c:pt>
                <c:pt idx="32">
                  <c:v>0.34741239788921641</c:v>
                </c:pt>
                <c:pt idx="33">
                  <c:v>0.23039337580865793</c:v>
                </c:pt>
                <c:pt idx="34">
                  <c:v>0.26947164875496743</c:v>
                </c:pt>
                <c:pt idx="35">
                  <c:v>0.60635286182532344</c:v>
                </c:pt>
                <c:pt idx="36">
                  <c:v>0.54996036318525732</c:v>
                </c:pt>
                <c:pt idx="37">
                  <c:v>0.48964127083107178</c:v>
                </c:pt>
                <c:pt idx="38">
                  <c:v>0.50436094957430799</c:v>
                </c:pt>
                <c:pt idx="39">
                  <c:v>0.58876049956549625</c:v>
                </c:pt>
                <c:pt idx="40">
                  <c:v>0.70331869486188303</c:v>
                </c:pt>
                <c:pt idx="41">
                  <c:v>0.80740334083323717</c:v>
                </c:pt>
                <c:pt idx="42">
                  <c:v>0.84064162157402023</c:v>
                </c:pt>
                <c:pt idx="43">
                  <c:v>0.91478834473593484</c:v>
                </c:pt>
                <c:pt idx="44">
                  <c:v>0.65906246374942734</c:v>
                </c:pt>
                <c:pt idx="45">
                  <c:v>0.77537546468401486</c:v>
                </c:pt>
                <c:pt idx="46">
                  <c:v>0.84463868256649233</c:v>
                </c:pt>
                <c:pt idx="47">
                  <c:v>0.88773807319653175</c:v>
                </c:pt>
                <c:pt idx="48">
                  <c:v>0.88034895477523223</c:v>
                </c:pt>
                <c:pt idx="49">
                  <c:v>0.83384646580697375</c:v>
                </c:pt>
                <c:pt idx="50">
                  <c:v>0.60362817678435776</c:v>
                </c:pt>
                <c:pt idx="51">
                  <c:v>0.55889885311504561</c:v>
                </c:pt>
                <c:pt idx="52">
                  <c:v>0.65018151028258919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8-4819-86BC-E4ED2DF6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98464"/>
        <c:axId val="165306752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Swiss!$A$44:$A$96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Swiss!$BA$44:$BA$96</c:f>
              <c:numCache>
                <c:formatCode>0.00</c:formatCode>
                <c:ptCount val="53"/>
                <c:pt idx="0">
                  <c:v>50.513154368389301</c:v>
                </c:pt>
                <c:pt idx="1">
                  <c:v>48.311109441649698</c:v>
                </c:pt>
                <c:pt idx="2">
                  <c:v>46.429197165396154</c:v>
                </c:pt>
                <c:pt idx="3">
                  <c:v>45.101733646089556</c:v>
                </c:pt>
                <c:pt idx="4">
                  <c:v>44.170070605646053</c:v>
                </c:pt>
                <c:pt idx="5">
                  <c:v>43.254466207544112</c:v>
                </c:pt>
                <c:pt idx="6">
                  <c:v>40.806196847319562</c:v>
                </c:pt>
                <c:pt idx="7">
                  <c:v>35.700198000495476</c:v>
                </c:pt>
                <c:pt idx="8">
                  <c:v>29.418822232856169</c:v>
                </c:pt>
                <c:pt idx="9">
                  <c:v>78.874200294809754</c:v>
                </c:pt>
                <c:pt idx="10">
                  <c:v>67.860825498086712</c:v>
                </c:pt>
                <c:pt idx="11">
                  <c:v>67.490057200735194</c:v>
                </c:pt>
                <c:pt idx="12">
                  <c:v>68.122202633026234</c:v>
                </c:pt>
                <c:pt idx="13">
                  <c:v>50.228551765062527</c:v>
                </c:pt>
                <c:pt idx="14">
                  <c:v>68.077978202095451</c:v>
                </c:pt>
                <c:pt idx="15">
                  <c:v>105.59648797438048</c:v>
                </c:pt>
                <c:pt idx="16">
                  <c:v>123.96560675169903</c:v>
                </c:pt>
                <c:pt idx="17">
                  <c:v>111.03555934686284</c:v>
                </c:pt>
                <c:pt idx="18">
                  <c:v>97.779000363748821</c:v>
                </c:pt>
                <c:pt idx="19">
                  <c:v>105.19437140951209</c:v>
                </c:pt>
                <c:pt idx="20">
                  <c:v>96.03142086309272</c:v>
                </c:pt>
                <c:pt idx="21">
                  <c:v>39.227718574104372</c:v>
                </c:pt>
                <c:pt idx="22">
                  <c:v>41.394385064254799</c:v>
                </c:pt>
                <c:pt idx="23">
                  <c:v>33.97056225026904</c:v>
                </c:pt>
                <c:pt idx="24">
                  <c:v>44.632372856361734</c:v>
                </c:pt>
                <c:pt idx="25">
                  <c:v>44.355254457016201</c:v>
                </c:pt>
                <c:pt idx="26">
                  <c:v>38.835238079863899</c:v>
                </c:pt>
                <c:pt idx="27">
                  <c:v>34.862238626454285</c:v>
                </c:pt>
                <c:pt idx="28">
                  <c:v>31.608438966312104</c:v>
                </c:pt>
                <c:pt idx="29">
                  <c:v>26.780976158348498</c:v>
                </c:pt>
                <c:pt idx="30">
                  <c:v>24.461115818757523</c:v>
                </c:pt>
                <c:pt idx="31">
                  <c:v>31.111830992830125</c:v>
                </c:pt>
                <c:pt idx="32">
                  <c:v>33.540090529749619</c:v>
                </c:pt>
                <c:pt idx="33">
                  <c:v>23.204745588033525</c:v>
                </c:pt>
                <c:pt idx="34">
                  <c:v>29.39438773119522</c:v>
                </c:pt>
                <c:pt idx="35">
                  <c:v>50.909881307338068</c:v>
                </c:pt>
                <c:pt idx="36">
                  <c:v>42.185972688770448</c:v>
                </c:pt>
                <c:pt idx="37">
                  <c:v>40.083468616007821</c:v>
                </c:pt>
                <c:pt idx="38">
                  <c:v>39.985742987904786</c:v>
                </c:pt>
                <c:pt idx="39">
                  <c:v>47.15184239730992</c:v>
                </c:pt>
                <c:pt idx="40">
                  <c:v>65.907263300507779</c:v>
                </c:pt>
                <c:pt idx="41">
                  <c:v>79.179705408778474</c:v>
                </c:pt>
                <c:pt idx="42">
                  <c:v>85.106094177658946</c:v>
                </c:pt>
                <c:pt idx="43">
                  <c:v>102.50714977959292</c:v>
                </c:pt>
                <c:pt idx="44">
                  <c:v>66.899201535836767</c:v>
                </c:pt>
                <c:pt idx="45">
                  <c:v>80.400162147962277</c:v>
                </c:pt>
                <c:pt idx="46">
                  <c:v>94.486894652422663</c:v>
                </c:pt>
                <c:pt idx="47">
                  <c:v>102.52222369636681</c:v>
                </c:pt>
                <c:pt idx="48">
                  <c:v>98.601221593377574</c:v>
                </c:pt>
                <c:pt idx="49">
                  <c:v>88.99175851955377</c:v>
                </c:pt>
                <c:pt idx="50">
                  <c:v>48.57165721401833</c:v>
                </c:pt>
                <c:pt idx="51">
                  <c:v>41.138672459227152</c:v>
                </c:pt>
                <c:pt idx="52">
                  <c:v>52.636563607875161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8-4819-86BC-E4ED2DF6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137512"/>
        <c:axId val="837124064"/>
      </c:lineChart>
      <c:catAx>
        <c:axId val="1651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306752"/>
        <c:crosses val="autoZero"/>
        <c:auto val="1"/>
        <c:lblAlgn val="ctr"/>
        <c:lblOffset val="100"/>
        <c:noMultiLvlLbl val="0"/>
      </c:catAx>
      <c:valAx>
        <c:axId val="16530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francs per litre</a:t>
                </a:r>
              </a:p>
            </c:rich>
          </c:tx>
          <c:layout>
            <c:manualLayout>
              <c:xMode val="edge"/>
              <c:yMode val="edge"/>
              <c:x val="1.5106512848684613E-2"/>
              <c:y val="0.3177062088550406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5198464"/>
        <c:crosses val="autoZero"/>
        <c:crossBetween val="between"/>
      </c:valAx>
      <c:valAx>
        <c:axId val="837124064"/>
        <c:scaling>
          <c:orientation val="minMax"/>
          <c:max val="19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francs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37137512"/>
        <c:crosses val="max"/>
        <c:crossBetween val="between"/>
      </c:valAx>
      <c:catAx>
        <c:axId val="837137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7124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2770310687908197"/>
          <c:y val="4.3990447915322063E-2"/>
          <c:w val="0.21376976133797229"/>
          <c:h val="0.233330579579191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626816408162227E-2"/>
          <c:y val="3.3952659587276376E-2"/>
          <c:w val="0.84909665599082562"/>
          <c:h val="0.8337961424546750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Swiss!$A$44:$A$97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Swiss!$AY$44:$AY$97</c:f>
              <c:numCache>
                <c:formatCode>0.0000</c:formatCode>
                <c:ptCount val="54"/>
                <c:pt idx="0">
                  <c:v>0.84724298805156018</c:v>
                </c:pt>
                <c:pt idx="1">
                  <c:v>0.86432950923602259</c:v>
                </c:pt>
                <c:pt idx="2">
                  <c:v>0.89931939783370507</c:v>
                </c:pt>
                <c:pt idx="3">
                  <c:v>0.64864534861135903</c:v>
                </c:pt>
                <c:pt idx="4">
                  <c:v>0.57595099003480632</c:v>
                </c:pt>
                <c:pt idx="5">
                  <c:v>0.56940963175808235</c:v>
                </c:pt>
                <c:pt idx="6">
                  <c:v>0.57484035761716634</c:v>
                </c:pt>
                <c:pt idx="7">
                  <c:v>0.63152086432608745</c:v>
                </c:pt>
                <c:pt idx="8">
                  <c:v>0.63781796139786673</c:v>
                </c:pt>
                <c:pt idx="9">
                  <c:v>0.98624227714979096</c:v>
                </c:pt>
                <c:pt idx="10">
                  <c:v>0.77510928956334935</c:v>
                </c:pt>
                <c:pt idx="11">
                  <c:v>0.7700099377692442</c:v>
                </c:pt>
                <c:pt idx="12">
                  <c:v>0.8070570023910133</c:v>
                </c:pt>
                <c:pt idx="13">
                  <c:v>0.64984433043711842</c:v>
                </c:pt>
                <c:pt idx="14">
                  <c:v>0.90754587177943491</c:v>
                </c:pt>
                <c:pt idx="15">
                  <c:v>1.063510378640883</c:v>
                </c:pt>
                <c:pt idx="16">
                  <c:v>1.1441999475224531</c:v>
                </c:pt>
                <c:pt idx="17">
                  <c:v>1.0997520916926953</c:v>
                </c:pt>
                <c:pt idx="18">
                  <c:v>0.974729966598053</c:v>
                </c:pt>
                <c:pt idx="19">
                  <c:v>0.95005429699992838</c:v>
                </c:pt>
                <c:pt idx="20">
                  <c:v>0.92664679174389653</c:v>
                </c:pt>
                <c:pt idx="21">
                  <c:v>0.66493930291448278</c:v>
                </c:pt>
                <c:pt idx="22">
                  <c:v>0.63593584089503152</c:v>
                </c:pt>
                <c:pt idx="23">
                  <c:v>0.61756128230984753</c:v>
                </c:pt>
                <c:pt idx="24">
                  <c:v>0.68812927576230853</c:v>
                </c:pt>
                <c:pt idx="25">
                  <c:v>0.61135546277484254</c:v>
                </c:pt>
                <c:pt idx="26">
                  <c:v>0.57511126180538807</c:v>
                </c:pt>
                <c:pt idx="27">
                  <c:v>0.40347993203170163</c:v>
                </c:pt>
                <c:pt idx="28">
                  <c:v>0.45464029202621514</c:v>
                </c:pt>
                <c:pt idx="29">
                  <c:v>0.37195068869352244</c:v>
                </c:pt>
                <c:pt idx="30">
                  <c:v>0.35354663843491951</c:v>
                </c:pt>
                <c:pt idx="31">
                  <c:v>0.28842594257391185</c:v>
                </c:pt>
                <c:pt idx="32">
                  <c:v>0.34741239788921641</c:v>
                </c:pt>
                <c:pt idx="33">
                  <c:v>0.23039337580865793</c:v>
                </c:pt>
                <c:pt idx="34">
                  <c:v>0.26947164875496743</c:v>
                </c:pt>
                <c:pt idx="35">
                  <c:v>0.60635286182532344</c:v>
                </c:pt>
                <c:pt idx="36">
                  <c:v>0.54996036318525732</c:v>
                </c:pt>
                <c:pt idx="37">
                  <c:v>0.48964127083107178</c:v>
                </c:pt>
                <c:pt idx="38">
                  <c:v>0.50436094957430799</c:v>
                </c:pt>
                <c:pt idx="39">
                  <c:v>0.58876049956549625</c:v>
                </c:pt>
                <c:pt idx="40">
                  <c:v>0.70331869486188303</c:v>
                </c:pt>
                <c:pt idx="41">
                  <c:v>0.80740334083323717</c:v>
                </c:pt>
                <c:pt idx="42">
                  <c:v>0.84064162157402023</c:v>
                </c:pt>
                <c:pt idx="43">
                  <c:v>0.91478834473593484</c:v>
                </c:pt>
                <c:pt idx="44">
                  <c:v>0.65906246374942734</c:v>
                </c:pt>
                <c:pt idx="45">
                  <c:v>0.77537546468401486</c:v>
                </c:pt>
                <c:pt idx="46">
                  <c:v>0.84463868256649233</c:v>
                </c:pt>
                <c:pt idx="47">
                  <c:v>0.88773807319653175</c:v>
                </c:pt>
                <c:pt idx="48">
                  <c:v>0.88034895477523223</c:v>
                </c:pt>
                <c:pt idx="49">
                  <c:v>0.83384646580697375</c:v>
                </c:pt>
                <c:pt idx="50">
                  <c:v>0.60362817678435776</c:v>
                </c:pt>
                <c:pt idx="51">
                  <c:v>0.55889885311504561</c:v>
                </c:pt>
                <c:pt idx="52">
                  <c:v>0.65018151028258919</c:v>
                </c:pt>
                <c:pt idx="53">
                  <c:v>0.76036128512659218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8-4730-A4C9-BD8814B95E1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Swiss!$A$44:$A$97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Swiss!$AZ$44:$AZ$97</c:f>
              <c:numCache>
                <c:formatCode>0.0000</c:formatCode>
                <c:ptCount val="54"/>
                <c:pt idx="0">
                  <c:v>0.88238582296288193</c:v>
                </c:pt>
                <c:pt idx="1">
                  <c:v>0.86968165565883582</c:v>
                </c:pt>
                <c:pt idx="2">
                  <c:v>0.85882441649956842</c:v>
                </c:pt>
                <c:pt idx="3">
                  <c:v>0.67348630798753051</c:v>
                </c:pt>
                <c:pt idx="4">
                  <c:v>0.58163013229173277</c:v>
                </c:pt>
                <c:pt idx="5">
                  <c:v>0.57634777346400901</c:v>
                </c:pt>
                <c:pt idx="6">
                  <c:v>0.56222307365431223</c:v>
                </c:pt>
                <c:pt idx="7">
                  <c:v>0.61924641473820252</c:v>
                </c:pt>
                <c:pt idx="8">
                  <c:v>0.58300753165155095</c:v>
                </c:pt>
                <c:pt idx="9">
                  <c:v>0.98624227714979074</c:v>
                </c:pt>
                <c:pt idx="10">
                  <c:v>0.80478940133723065</c:v>
                </c:pt>
                <c:pt idx="11">
                  <c:v>0.80265034303583438</c:v>
                </c:pt>
                <c:pt idx="12">
                  <c:v>0.80629735370069155</c:v>
                </c:pt>
                <c:pt idx="13">
                  <c:v>0.70306424907762588</c:v>
                </c:pt>
                <c:pt idx="14">
                  <c:v>0.80604221150870059</c:v>
                </c:pt>
                <c:pt idx="15">
                  <c:v>1.0224962081359734</c:v>
                </c:pt>
                <c:pt idx="16">
                  <c:v>1.1284724102293948</c:v>
                </c:pt>
                <c:pt idx="17">
                  <c:v>1.0538756190896694</c:v>
                </c:pt>
                <c:pt idx="18">
                  <c:v>0.97739509811919467</c:v>
                </c:pt>
                <c:pt idx="19">
                  <c:v>1.0201762935630314</c:v>
                </c:pt>
                <c:pt idx="20">
                  <c:v>0.9673128595218522</c:v>
                </c:pt>
                <c:pt idx="21">
                  <c:v>0.63959759422205853</c:v>
                </c:pt>
                <c:pt idx="22">
                  <c:v>0.6520976541657475</c:v>
                </c:pt>
                <c:pt idx="23">
                  <c:v>0.60926769828282556</c:v>
                </c:pt>
                <c:pt idx="24">
                  <c:v>0.67077844407147025</c:v>
                </c:pt>
                <c:pt idx="25">
                  <c:v>0.60394726690082334</c:v>
                </c:pt>
                <c:pt idx="26">
                  <c:v>0.5721008632580743</c:v>
                </c:pt>
                <c:pt idx="27">
                  <c:v>0.46763908905802848</c:v>
                </c:pt>
                <c:pt idx="28">
                  <c:v>0.44886707639182971</c:v>
                </c:pt>
                <c:pt idx="29">
                  <c:v>0.37209188656270803</c:v>
                </c:pt>
                <c:pt idx="30">
                  <c:v>0.35870801163885641</c:v>
                </c:pt>
                <c:pt idx="31">
                  <c:v>0.2992290953192589</c:v>
                </c:pt>
                <c:pt idx="32">
                  <c:v>0.31323835327765415</c:v>
                </c:pt>
                <c:pt idx="33">
                  <c:v>0.22099486774191174</c:v>
                </c:pt>
                <c:pt idx="34">
                  <c:v>0.25670451579860609</c:v>
                </c:pt>
                <c:pt idx="35">
                  <c:v>0.59283829919670128</c:v>
                </c:pt>
                <c:pt idx="36">
                  <c:v>0.54250781170769724</c:v>
                </c:pt>
                <c:pt idx="37">
                  <c:v>0.5303779213619253</c:v>
                </c:pt>
                <c:pt idx="38">
                  <c:v>0.52981411691169</c:v>
                </c:pt>
                <c:pt idx="39">
                  <c:v>0.60413936224061981</c:v>
                </c:pt>
                <c:pt idx="40">
                  <c:v>0.71234424131400886</c:v>
                </c:pt>
                <c:pt idx="41">
                  <c:v>0.78891639614574194</c:v>
                </c:pt>
                <c:pt idx="42">
                  <c:v>0.82310726732844441</c:v>
                </c:pt>
                <c:pt idx="43">
                  <c:v>0.92349846232612909</c:v>
                </c:pt>
                <c:pt idx="44">
                  <c:v>0.6640210825875793</c:v>
                </c:pt>
                <c:pt idx="45">
                  <c:v>0.76352998272251171</c:v>
                </c:pt>
                <c:pt idx="46">
                  <c:v>0.8447999896741778</c:v>
                </c:pt>
                <c:pt idx="47">
                  <c:v>0.89115788332009549</c:v>
                </c:pt>
                <c:pt idx="48">
                  <c:v>0.90096415135330976</c:v>
                </c:pt>
                <c:pt idx="49">
                  <c:v>0.84552467093695638</c:v>
                </c:pt>
                <c:pt idx="50">
                  <c:v>0.61233064151616756</c:v>
                </c:pt>
                <c:pt idx="51">
                  <c:v>0.56944782802466165</c:v>
                </c:pt>
                <c:pt idx="52">
                  <c:v>0.63578213892921309</c:v>
                </c:pt>
                <c:pt idx="53">
                  <c:v>0.72942833323820944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8-4730-A4C9-BD8814B95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419264"/>
        <c:axId val="165433344"/>
      </c:lineChart>
      <c:catAx>
        <c:axId val="165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33344"/>
        <c:crosses val="autoZero"/>
        <c:auto val="1"/>
        <c:lblAlgn val="ctr"/>
        <c:lblOffset val="100"/>
        <c:noMultiLvlLbl val="0"/>
      </c:catAx>
      <c:valAx>
        <c:axId val="165433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Francs per litre</a:t>
                </a:r>
              </a:p>
            </c:rich>
          </c:tx>
          <c:layout>
            <c:manualLayout>
              <c:xMode val="edge"/>
              <c:yMode val="edge"/>
              <c:x val="1.412691893729111E-2"/>
              <c:y val="0.3233573869304072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541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466343128068141"/>
          <c:y val="6.8842903783368548E-2"/>
          <c:w val="0.15343239954685947"/>
          <c:h val="0.177923708469368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16950001391171E-2"/>
          <c:y val="3.5358418312465043E-2"/>
          <c:w val="0.84678737375142599"/>
          <c:h val="0.8261675610612303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Swiss!$A$44:$A$97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Swiss!$AV$44:$AV$97</c:f>
              <c:numCache>
                <c:formatCode>0.0000</c:formatCode>
                <c:ptCount val="54"/>
                <c:pt idx="0">
                  <c:v>2.296051458134309</c:v>
                </c:pt>
                <c:pt idx="1">
                  <c:v>2.3423563935935574</c:v>
                </c:pt>
                <c:pt idx="2">
                  <c:v>2.3918069091321943</c:v>
                </c:pt>
                <c:pt idx="3">
                  <c:v>1.9134081079981091</c:v>
                </c:pt>
                <c:pt idx="4">
                  <c:v>1.7400332025220739</c:v>
                </c:pt>
                <c:pt idx="5">
                  <c:v>1.8076496246288325</c:v>
                </c:pt>
                <c:pt idx="6">
                  <c:v>1.9486113817531063</c:v>
                </c:pt>
                <c:pt idx="7">
                  <c:v>1.8411687006591471</c:v>
                </c:pt>
                <c:pt idx="8">
                  <c:v>1.7332009820594203</c:v>
                </c:pt>
                <c:pt idx="9">
                  <c:v>2.4291681703196826</c:v>
                </c:pt>
                <c:pt idx="10">
                  <c:v>1.9426297984043845</c:v>
                </c:pt>
                <c:pt idx="11">
                  <c:v>1.9395716316605642</c:v>
                </c:pt>
                <c:pt idx="12">
                  <c:v>2.1812351415973321</c:v>
                </c:pt>
                <c:pt idx="13">
                  <c:v>1.7968793215529002</c:v>
                </c:pt>
                <c:pt idx="14">
                  <c:v>2.0299255602296107</c:v>
                </c:pt>
                <c:pt idx="15">
                  <c:v>2.1531874913949012</c:v>
                </c:pt>
                <c:pt idx="16">
                  <c:v>2.1756124840563151</c:v>
                </c:pt>
                <c:pt idx="17">
                  <c:v>2.0768996254718224</c:v>
                </c:pt>
                <c:pt idx="18">
                  <c:v>1.9555803290722529</c:v>
                </c:pt>
                <c:pt idx="19">
                  <c:v>1.8995482159435515</c:v>
                </c:pt>
                <c:pt idx="20">
                  <c:v>1.8471746220976324</c:v>
                </c:pt>
                <c:pt idx="21">
                  <c:v>1.4674555029923106</c:v>
                </c:pt>
                <c:pt idx="22">
                  <c:v>1.4272431148222851</c:v>
                </c:pt>
                <c:pt idx="23">
                  <c:v>1.3890284318773536</c:v>
                </c:pt>
                <c:pt idx="24">
                  <c:v>1.4725956604336949</c:v>
                </c:pt>
                <c:pt idx="25">
                  <c:v>1.3572385504748126</c:v>
                </c:pt>
                <c:pt idx="26">
                  <c:v>1.2890998540780569</c:v>
                </c:pt>
                <c:pt idx="27">
                  <c:v>1.0987195179325453</c:v>
                </c:pt>
                <c:pt idx="28">
                  <c:v>1.3157896949548786</c:v>
                </c:pt>
                <c:pt idx="29">
                  <c:v>1.2957637751469102</c:v>
                </c:pt>
                <c:pt idx="30">
                  <c:v>1.2656603388370686</c:v>
                </c:pt>
                <c:pt idx="31">
                  <c:v>1.1840106629720171</c:v>
                </c:pt>
                <c:pt idx="32">
                  <c:v>1.2449084698691952</c:v>
                </c:pt>
                <c:pt idx="33">
                  <c:v>1.127137545661592</c:v>
                </c:pt>
                <c:pt idx="34">
                  <c:v>1.1726097842859831</c:v>
                </c:pt>
                <c:pt idx="35">
                  <c:v>1.5258942513955556</c:v>
                </c:pt>
                <c:pt idx="36">
                  <c:v>1.4580673876420602</c:v>
                </c:pt>
                <c:pt idx="37">
                  <c:v>1.3876318645767545</c:v>
                </c:pt>
                <c:pt idx="38">
                  <c:v>1.3980106279264362</c:v>
                </c:pt>
                <c:pt idx="39">
                  <c:v>1.4820121826994792</c:v>
                </c:pt>
                <c:pt idx="40">
                  <c:v>1.5954477515383134</c:v>
                </c:pt>
                <c:pt idx="41">
                  <c:v>1.6986501663114459</c:v>
                </c:pt>
                <c:pt idx="42">
                  <c:v>1.7283810898693071</c:v>
                </c:pt>
                <c:pt idx="43">
                  <c:v>1.7886493205774592</c:v>
                </c:pt>
                <c:pt idx="44">
                  <c:v>1.517371582397</c:v>
                </c:pt>
                <c:pt idx="45">
                  <c:v>1.637</c:v>
                </c:pt>
                <c:pt idx="46">
                  <c:v>1.7160302921685147</c:v>
                </c:pt>
                <c:pt idx="47">
                  <c:v>1.76818313514541</c:v>
                </c:pt>
                <c:pt idx="48">
                  <c:v>1.7619657791058001</c:v>
                </c:pt>
                <c:pt idx="49">
                  <c:v>1.7118504687601794</c:v>
                </c:pt>
                <c:pt idx="50">
                  <c:v>1.4770026950692254</c:v>
                </c:pt>
                <c:pt idx="51">
                  <c:v>1.4322967218812694</c:v>
                </c:pt>
                <c:pt idx="52">
                  <c:v>1.5265131110982533</c:v>
                </c:pt>
                <c:pt idx="53">
                  <c:v>1.6332813156192925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8-4D51-BD17-1698C0125263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Swiss!$A$44:$A$97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Swiss!$AW$44:$AW$97</c:f>
              <c:numCache>
                <c:formatCode>0.0000</c:formatCode>
                <c:ptCount val="54"/>
                <c:pt idx="0">
                  <c:v>2.3311942930456309</c:v>
                </c:pt>
                <c:pt idx="1">
                  <c:v>2.3477085400163706</c:v>
                </c:pt>
                <c:pt idx="2">
                  <c:v>2.3513119277980579</c:v>
                </c:pt>
                <c:pt idx="3">
                  <c:v>1.9382490673742807</c:v>
                </c:pt>
                <c:pt idx="4">
                  <c:v>1.7457123447790004</c:v>
                </c:pt>
                <c:pt idx="5">
                  <c:v>1.8145877663347592</c:v>
                </c:pt>
                <c:pt idx="6">
                  <c:v>1.9359940977902523</c:v>
                </c:pt>
                <c:pt idx="7">
                  <c:v>1.828894251071262</c:v>
                </c:pt>
                <c:pt idx="8">
                  <c:v>1.6783905523131044</c:v>
                </c:pt>
                <c:pt idx="9">
                  <c:v>2.4291681703196826</c:v>
                </c:pt>
                <c:pt idx="10">
                  <c:v>1.9723099101782657</c:v>
                </c:pt>
                <c:pt idx="11">
                  <c:v>1.9722120369271545</c:v>
                </c:pt>
                <c:pt idx="12">
                  <c:v>2.1804754929070103</c:v>
                </c:pt>
                <c:pt idx="13">
                  <c:v>1.8500992401934075</c:v>
                </c:pt>
                <c:pt idx="14">
                  <c:v>1.9284218999588765</c:v>
                </c:pt>
                <c:pt idx="15">
                  <c:v>2.1121733208899913</c:v>
                </c:pt>
                <c:pt idx="16">
                  <c:v>2.159884946763257</c:v>
                </c:pt>
                <c:pt idx="17">
                  <c:v>2.0310231528687965</c:v>
                </c:pt>
                <c:pt idx="18">
                  <c:v>1.9582454605933945</c:v>
                </c:pt>
                <c:pt idx="19">
                  <c:v>1.9696702125066545</c:v>
                </c:pt>
                <c:pt idx="20">
                  <c:v>1.887840689875588</c:v>
                </c:pt>
                <c:pt idx="21">
                  <c:v>1.4421137942998863</c:v>
                </c:pt>
                <c:pt idx="22">
                  <c:v>1.443404928093001</c:v>
                </c:pt>
                <c:pt idx="23">
                  <c:v>1.3807348478503316</c:v>
                </c:pt>
                <c:pt idx="24">
                  <c:v>1.4552448287428565</c:v>
                </c:pt>
                <c:pt idx="25">
                  <c:v>1.3498303546007935</c:v>
                </c:pt>
                <c:pt idx="26">
                  <c:v>1.2860894555307432</c:v>
                </c:pt>
                <c:pt idx="27">
                  <c:v>1.1628786749588722</c:v>
                </c:pt>
                <c:pt idx="28">
                  <c:v>1.3100164793204931</c:v>
                </c:pt>
                <c:pt idx="29">
                  <c:v>1.2959049730160959</c:v>
                </c:pt>
                <c:pt idx="30">
                  <c:v>1.2708217120410055</c:v>
                </c:pt>
                <c:pt idx="31">
                  <c:v>1.1948138157173642</c:v>
                </c:pt>
                <c:pt idx="32">
                  <c:v>1.2107344252576331</c:v>
                </c:pt>
                <c:pt idx="33">
                  <c:v>1.1177390375948457</c:v>
                </c:pt>
                <c:pt idx="34">
                  <c:v>1.1598426513296216</c:v>
                </c:pt>
                <c:pt idx="35">
                  <c:v>1.5123796887669334</c:v>
                </c:pt>
                <c:pt idx="36">
                  <c:v>1.4506148361645002</c:v>
                </c:pt>
                <c:pt idx="37">
                  <c:v>1.428368515107608</c:v>
                </c:pt>
                <c:pt idx="38">
                  <c:v>1.4234637952638183</c:v>
                </c:pt>
                <c:pt idx="39">
                  <c:v>1.4973910453746027</c:v>
                </c:pt>
                <c:pt idx="40">
                  <c:v>1.6044732979904393</c:v>
                </c:pt>
                <c:pt idx="41">
                  <c:v>1.6801632216239506</c:v>
                </c:pt>
                <c:pt idx="42">
                  <c:v>1.7108467356237314</c:v>
                </c:pt>
                <c:pt idx="43">
                  <c:v>1.7973594381676534</c:v>
                </c:pt>
                <c:pt idx="44">
                  <c:v>1.5223302012351518</c:v>
                </c:pt>
                <c:pt idx="45">
                  <c:v>1.6251545180384968</c:v>
                </c:pt>
                <c:pt idx="46">
                  <c:v>1.7161915992762</c:v>
                </c:pt>
                <c:pt idx="47">
                  <c:v>1.7716029452689739</c:v>
                </c:pt>
                <c:pt idx="48">
                  <c:v>1.7825809756838775</c:v>
                </c:pt>
                <c:pt idx="49">
                  <c:v>1.7235286738901621</c:v>
                </c:pt>
                <c:pt idx="50">
                  <c:v>1.4857051598010353</c:v>
                </c:pt>
                <c:pt idx="51">
                  <c:v>1.4428456967908856</c:v>
                </c:pt>
                <c:pt idx="52">
                  <c:v>1.5121137397448772</c:v>
                </c:pt>
                <c:pt idx="53">
                  <c:v>1.6023483637309097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8-4D51-BD17-1698C0125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447552"/>
        <c:axId val="165449088"/>
      </c:lineChart>
      <c:catAx>
        <c:axId val="16544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49088"/>
        <c:crosses val="autoZero"/>
        <c:auto val="1"/>
        <c:lblAlgn val="ctr"/>
        <c:lblOffset val="100"/>
        <c:noMultiLvlLbl val="0"/>
      </c:catAx>
      <c:valAx>
        <c:axId val="165449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Francs per litre</a:t>
                </a:r>
              </a:p>
            </c:rich>
          </c:tx>
          <c:layout>
            <c:manualLayout>
              <c:xMode val="edge"/>
              <c:yMode val="edge"/>
              <c:x val="1.0187945256842893E-2"/>
              <c:y val="0.32193946043629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5447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912301954158561"/>
          <c:y val="7.5734047588313758E-2"/>
          <c:w val="0.1761584433240809"/>
          <c:h val="0.203862570457381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46981627296588"/>
          <c:y val="5.0925925925925923E-2"/>
          <c:w val="0.84297462817147861"/>
          <c:h val="0.79940580344123646"/>
        </c:manualLayout>
      </c:layout>
      <c:lineChart>
        <c:grouping val="standard"/>
        <c:varyColors val="0"/>
        <c:ser>
          <c:idx val="0"/>
          <c:order val="0"/>
          <c:tx>
            <c:strRef>
              <c:f>Swiss!$Y$121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Swiss!$A$122:$A$142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Swiss!$Y$122:$Y$142</c:f>
              <c:numCache>
                <c:formatCode>0.00</c:formatCode>
                <c:ptCount val="21"/>
                <c:pt idx="0">
                  <c:v>1.6236884452415732</c:v>
                </c:pt>
                <c:pt idx="1">
                  <c:v>1.7020760886246415</c:v>
                </c:pt>
                <c:pt idx="2">
                  <c:v>1.753804841543446</c:v>
                </c:pt>
                <c:pt idx="3">
                  <c:v>1.7476380430330809</c:v>
                </c:pt>
                <c:pt idx="4">
                  <c:v>1.6979302541889272</c:v>
                </c:pt>
                <c:pt idx="5">
                  <c:v>1.4649921866674185</c:v>
                </c:pt>
                <c:pt idx="6">
                  <c:v>1.4206497480000002</c:v>
                </c:pt>
                <c:pt idx="7">
                  <c:v>1.5140999999999998</c:v>
                </c:pt>
                <c:pt idx="8">
                  <c:v>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B-41C7-BE8B-D1609F24C881}"/>
            </c:ext>
          </c:extLst>
        </c:ser>
        <c:ser>
          <c:idx val="1"/>
          <c:order val="1"/>
          <c:tx>
            <c:strRef>
              <c:f>Swiss!$Z$121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Swiss!$A$122:$A$142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Swiss!$Z$122:$Z$142</c:f>
              <c:numCache>
                <c:formatCode>0.00</c:formatCode>
                <c:ptCount val="21"/>
                <c:pt idx="0">
                  <c:v>1.6110463508765214</c:v>
                </c:pt>
                <c:pt idx="1">
                  <c:v>1.7022488836679124</c:v>
                </c:pt>
                <c:pt idx="2">
                  <c:v>1.7574682029833695</c:v>
                </c:pt>
                <c:pt idx="3">
                  <c:v>1.7697214083346233</c:v>
                </c:pt>
                <c:pt idx="4">
                  <c:v>1.7104401552696671</c:v>
                </c:pt>
                <c:pt idx="5">
                  <c:v>1.4743144216977024</c:v>
                </c:pt>
                <c:pt idx="6">
                  <c:v>1.431949997580622</c:v>
                </c:pt>
                <c:pt idx="7">
                  <c:v>1.4986751372534894</c:v>
                </c:pt>
                <c:pt idx="8">
                  <c:v>1.5869561159111942</c:v>
                </c:pt>
                <c:pt idx="9">
                  <c:v>1.7942249259788263</c:v>
                </c:pt>
                <c:pt idx="10">
                  <c:v>1.8965006438161292</c:v>
                </c:pt>
                <c:pt idx="11">
                  <c:v>2.0047925803497439</c:v>
                </c:pt>
                <c:pt idx="12">
                  <c:v>2.0529223299202388</c:v>
                </c:pt>
                <c:pt idx="13">
                  <c:v>2.0890196420981102</c:v>
                </c:pt>
                <c:pt idx="14">
                  <c:v>2.1191007355796705</c:v>
                </c:pt>
                <c:pt idx="15">
                  <c:v>2.1491818290612295</c:v>
                </c:pt>
                <c:pt idx="16">
                  <c:v>2.1792629225427897</c:v>
                </c:pt>
                <c:pt idx="17">
                  <c:v>2.2093440160243496</c:v>
                </c:pt>
                <c:pt idx="18">
                  <c:v>2.2334088908095975</c:v>
                </c:pt>
                <c:pt idx="19">
                  <c:v>2.2634899842911564</c:v>
                </c:pt>
                <c:pt idx="20">
                  <c:v>2.2815386403800919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B-41C7-BE8B-D1609F24C881}"/>
            </c:ext>
          </c:extLst>
        </c:ser>
        <c:ser>
          <c:idx val="3"/>
          <c:order val="2"/>
          <c:tx>
            <c:strRef>
              <c:f>Swiss!$AB$121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Swiss!$A$122:$A$142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Swiss!$AB$122:$AB$142</c:f>
              <c:numCache>
                <c:formatCode>0.00</c:formatCode>
                <c:ptCount val="21"/>
                <c:pt idx="0">
                  <c:v>1.6110463508765214</c:v>
                </c:pt>
                <c:pt idx="1">
                  <c:v>1.7022488836679124</c:v>
                </c:pt>
                <c:pt idx="2">
                  <c:v>1.7574682029833695</c:v>
                </c:pt>
                <c:pt idx="3">
                  <c:v>1.7697214083346233</c:v>
                </c:pt>
                <c:pt idx="4">
                  <c:v>1.7104401552696671</c:v>
                </c:pt>
                <c:pt idx="5">
                  <c:v>1.4743144216977024</c:v>
                </c:pt>
                <c:pt idx="6">
                  <c:v>1.431949997580622</c:v>
                </c:pt>
                <c:pt idx="7">
                  <c:v>1.4986751372534894</c:v>
                </c:pt>
                <c:pt idx="8">
                  <c:v>1.5869561159111942</c:v>
                </c:pt>
                <c:pt idx="9">
                  <c:v>1.3430085237554321</c:v>
                </c:pt>
                <c:pt idx="10">
                  <c:v>1.3490247424517441</c:v>
                </c:pt>
                <c:pt idx="11">
                  <c:v>1.3610571798443678</c:v>
                </c:pt>
                <c:pt idx="12">
                  <c:v>1.3670733985406796</c:v>
                </c:pt>
                <c:pt idx="13">
                  <c:v>1.3670733985406796</c:v>
                </c:pt>
                <c:pt idx="14">
                  <c:v>1.3670733985406796</c:v>
                </c:pt>
                <c:pt idx="15">
                  <c:v>1.3730896172369913</c:v>
                </c:pt>
                <c:pt idx="16">
                  <c:v>1.3791058359333039</c:v>
                </c:pt>
                <c:pt idx="17">
                  <c:v>1.3851220546296157</c:v>
                </c:pt>
                <c:pt idx="18">
                  <c:v>1.3851220546296157</c:v>
                </c:pt>
                <c:pt idx="19">
                  <c:v>1.3851220546296157</c:v>
                </c:pt>
                <c:pt idx="20">
                  <c:v>1.3911382733259274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DB-41C7-BE8B-D1609F24C881}"/>
            </c:ext>
          </c:extLst>
        </c:ser>
        <c:ser>
          <c:idx val="2"/>
          <c:order val="3"/>
          <c:tx>
            <c:strRef>
              <c:f>Swiss!$AA$121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Swiss!$A$122:$A$142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Swiss!$AA$122:$AA$142</c:f>
              <c:numCache>
                <c:formatCode>0.00</c:formatCode>
                <c:ptCount val="21"/>
                <c:pt idx="0">
                  <c:v>1.6110463508765214</c:v>
                </c:pt>
                <c:pt idx="1">
                  <c:v>1.7022488836679124</c:v>
                </c:pt>
                <c:pt idx="2">
                  <c:v>1.7574682029833695</c:v>
                </c:pt>
                <c:pt idx="3">
                  <c:v>1.7697214083346233</c:v>
                </c:pt>
                <c:pt idx="4">
                  <c:v>1.7104401552696671</c:v>
                </c:pt>
                <c:pt idx="5">
                  <c:v>1.4743144216977024</c:v>
                </c:pt>
                <c:pt idx="6">
                  <c:v>1.431949997580622</c:v>
                </c:pt>
                <c:pt idx="7">
                  <c:v>1.4986751372534894</c:v>
                </c:pt>
                <c:pt idx="8">
                  <c:v>1.5869561159111942</c:v>
                </c:pt>
                <c:pt idx="9">
                  <c:v>1.5530658024513526</c:v>
                </c:pt>
                <c:pt idx="10">
                  <c:v>1.5546821115887048</c:v>
                </c:pt>
                <c:pt idx="11">
                  <c:v>1.6023022831983766</c:v>
                </c:pt>
                <c:pt idx="12">
                  <c:v>1.637758775336986</c:v>
                </c:pt>
                <c:pt idx="13">
                  <c:v>1.6540746571372542</c:v>
                </c:pt>
                <c:pt idx="14">
                  <c:v>1.6583883721914774</c:v>
                </c:pt>
                <c:pt idx="15">
                  <c:v>1.6809595533694834</c:v>
                </c:pt>
                <c:pt idx="16">
                  <c:v>1.7206310341844244</c:v>
                </c:pt>
                <c:pt idx="17">
                  <c:v>1.7410767115908559</c:v>
                </c:pt>
                <c:pt idx="18">
                  <c:v>1.7540193355067908</c:v>
                </c:pt>
                <c:pt idx="19">
                  <c:v>1.7715621987417816</c:v>
                </c:pt>
                <c:pt idx="20">
                  <c:v>1.7849759815869686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B-41C7-BE8B-D1609F24C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474112"/>
        <c:axId val="327471816"/>
      </c:lineChart>
      <c:catAx>
        <c:axId val="3274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471816"/>
        <c:crosses val="autoZero"/>
        <c:auto val="1"/>
        <c:lblAlgn val="ctr"/>
        <c:lblOffset val="100"/>
        <c:noMultiLvlLbl val="0"/>
      </c:catAx>
      <c:valAx>
        <c:axId val="32747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francs per litre</a:t>
                </a:r>
              </a:p>
            </c:rich>
          </c:tx>
          <c:layout>
            <c:manualLayout>
              <c:xMode val="edge"/>
              <c:yMode val="edge"/>
              <c:x val="4.9860017497812773E-3"/>
              <c:y val="0.20050123942840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47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91777252468721"/>
          <c:y val="0.44356051524596229"/>
          <c:w val="0.27135214348206471"/>
          <c:h val="0.32349591717701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66426071741034"/>
          <c:y val="5.0925925925925923E-2"/>
          <c:w val="0.83078018372703399"/>
          <c:h val="0.81792432195975506"/>
        </c:manualLayout>
      </c:layout>
      <c:lineChart>
        <c:grouping val="standard"/>
        <c:varyColors val="0"/>
        <c:ser>
          <c:idx val="0"/>
          <c:order val="0"/>
          <c:tx>
            <c:strRef>
              <c:f>Australia!$Y$121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76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Australia!$A$122:$A$142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Australia!$Y$122:$Y$142</c:f>
              <c:numCache>
                <c:formatCode>0.00</c:formatCode>
                <c:ptCount val="21"/>
                <c:pt idx="0">
                  <c:v>1.4860684947698137</c:v>
                </c:pt>
                <c:pt idx="1">
                  <c:v>1.6117797746821163</c:v>
                </c:pt>
                <c:pt idx="2">
                  <c:v>1.6089401053212966</c:v>
                </c:pt>
                <c:pt idx="3">
                  <c:v>1.6000882328836696</c:v>
                </c:pt>
                <c:pt idx="4">
                  <c:v>1.5712894445675116</c:v>
                </c:pt>
                <c:pt idx="5">
                  <c:v>1.348301082952261</c:v>
                </c:pt>
                <c:pt idx="6">
                  <c:v>1.2128073824829968</c:v>
                </c:pt>
                <c:pt idx="7">
                  <c:v>1.3051852568282893</c:v>
                </c:pt>
                <c:pt idx="8">
                  <c:v>1.4363340430825156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E-46EE-B87A-7E11A9E78523}"/>
            </c:ext>
          </c:extLst>
        </c:ser>
        <c:ser>
          <c:idx val="1"/>
          <c:order val="1"/>
          <c:tx>
            <c:strRef>
              <c:f>Australia!$Z$121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Australia!$A$122:$A$142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Australia!$Z$122:$Z$142</c:f>
              <c:numCache>
                <c:formatCode>0.00</c:formatCode>
                <c:ptCount val="21"/>
                <c:pt idx="0">
                  <c:v>1.5118773978492013</c:v>
                </c:pt>
                <c:pt idx="1">
                  <c:v>1.6084164166733321</c:v>
                </c:pt>
                <c:pt idx="2">
                  <c:v>1.6011652856277445</c:v>
                </c:pt>
                <c:pt idx="3">
                  <c:v>1.6055960415207293</c:v>
                </c:pt>
                <c:pt idx="4">
                  <c:v>1.5567030933297172</c:v>
                </c:pt>
                <c:pt idx="5">
                  <c:v>1.2925425453027979</c:v>
                </c:pt>
                <c:pt idx="6">
                  <c:v>1.2147987992112135</c:v>
                </c:pt>
                <c:pt idx="7">
                  <c:v>1.2893442649740243</c:v>
                </c:pt>
                <c:pt idx="8">
                  <c:v>1.4390004647225316</c:v>
                </c:pt>
                <c:pt idx="9">
                  <c:v>1.7482609682764667</c:v>
                </c:pt>
                <c:pt idx="10">
                  <c:v>1.8900556401349302</c:v>
                </c:pt>
                <c:pt idx="11">
                  <c:v>2.0401911750438906</c:v>
                </c:pt>
                <c:pt idx="12">
                  <c:v>2.1069180794478739</c:v>
                </c:pt>
                <c:pt idx="13">
                  <c:v>2.1569632577508608</c:v>
                </c:pt>
                <c:pt idx="14">
                  <c:v>2.1986675730033496</c:v>
                </c:pt>
                <c:pt idx="15">
                  <c:v>2.2403718882558388</c:v>
                </c:pt>
                <c:pt idx="16">
                  <c:v>2.2820762035083288</c:v>
                </c:pt>
                <c:pt idx="17">
                  <c:v>2.3237805187608176</c:v>
                </c:pt>
                <c:pt idx="18">
                  <c:v>2.357143970962809</c:v>
                </c:pt>
                <c:pt idx="19">
                  <c:v>2.3988482862152978</c:v>
                </c:pt>
                <c:pt idx="20">
                  <c:v>2.423870875366791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E-46EE-B87A-7E11A9E78523}"/>
            </c:ext>
          </c:extLst>
        </c:ser>
        <c:ser>
          <c:idx val="3"/>
          <c:order val="2"/>
          <c:tx>
            <c:strRef>
              <c:f>Australia!$AB$121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Australia!$A$122:$A$142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Australia!$AB$122:$AB$142</c:f>
              <c:numCache>
                <c:formatCode>0.00</c:formatCode>
                <c:ptCount val="21"/>
                <c:pt idx="0">
                  <c:v>1.5118773978492013</c:v>
                </c:pt>
                <c:pt idx="1">
                  <c:v>1.6084164166733321</c:v>
                </c:pt>
                <c:pt idx="2">
                  <c:v>1.6011652856277445</c:v>
                </c:pt>
                <c:pt idx="3">
                  <c:v>1.6055960415207293</c:v>
                </c:pt>
                <c:pt idx="4">
                  <c:v>1.5567030933297172</c:v>
                </c:pt>
                <c:pt idx="5">
                  <c:v>1.2925425453027979</c:v>
                </c:pt>
                <c:pt idx="6">
                  <c:v>1.2147987992112135</c:v>
                </c:pt>
                <c:pt idx="7">
                  <c:v>1.2893442649740243</c:v>
                </c:pt>
                <c:pt idx="8">
                  <c:v>1.4390004647225316</c:v>
                </c:pt>
                <c:pt idx="9">
                  <c:v>1.1226962394891289</c:v>
                </c:pt>
                <c:pt idx="10">
                  <c:v>1.1310371025396266</c:v>
                </c:pt>
                <c:pt idx="11">
                  <c:v>1.1477188286406226</c:v>
                </c:pt>
                <c:pt idx="12">
                  <c:v>1.1560596916911201</c:v>
                </c:pt>
                <c:pt idx="13">
                  <c:v>1.1560596916911201</c:v>
                </c:pt>
                <c:pt idx="14">
                  <c:v>1.1560596916911201</c:v>
                </c:pt>
                <c:pt idx="15">
                  <c:v>1.1644005547416183</c:v>
                </c:pt>
                <c:pt idx="16">
                  <c:v>1.172741417792116</c:v>
                </c:pt>
                <c:pt idx="17">
                  <c:v>1.1810822808426138</c:v>
                </c:pt>
                <c:pt idx="18">
                  <c:v>1.1810822808426138</c:v>
                </c:pt>
                <c:pt idx="19">
                  <c:v>1.1810822808426138</c:v>
                </c:pt>
                <c:pt idx="20">
                  <c:v>1.1894231438931115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0E-46EE-B87A-7E11A9E78523}"/>
            </c:ext>
          </c:extLst>
        </c:ser>
        <c:ser>
          <c:idx val="2"/>
          <c:order val="3"/>
          <c:tx>
            <c:strRef>
              <c:f>Australia!$AA$121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Australia!$A$122:$A$142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Australia!$AA$122:$AA$142</c:f>
              <c:numCache>
                <c:formatCode>0.00</c:formatCode>
                <c:ptCount val="21"/>
                <c:pt idx="0">
                  <c:v>1.5118773978492013</c:v>
                </c:pt>
                <c:pt idx="1">
                  <c:v>1.6084164166733321</c:v>
                </c:pt>
                <c:pt idx="2">
                  <c:v>1.6011652856277445</c:v>
                </c:pt>
                <c:pt idx="3">
                  <c:v>1.6055960415207293</c:v>
                </c:pt>
                <c:pt idx="4">
                  <c:v>1.5567030933297172</c:v>
                </c:pt>
                <c:pt idx="5">
                  <c:v>1.2925425453027979</c:v>
                </c:pt>
                <c:pt idx="6">
                  <c:v>1.2147987992112135</c:v>
                </c:pt>
                <c:pt idx="7">
                  <c:v>1.2893442649740243</c:v>
                </c:pt>
                <c:pt idx="8">
                  <c:v>1.4390004647225316</c:v>
                </c:pt>
                <c:pt idx="9">
                  <c:v>1.4139188633337343</c:v>
                </c:pt>
                <c:pt idx="10">
                  <c:v>1.4161597082634885</c:v>
                </c:pt>
                <c:pt idx="11">
                  <c:v>1.4821801356925928</c:v>
                </c:pt>
                <c:pt idx="12">
                  <c:v>1.531336883495076</c:v>
                </c:pt>
                <c:pt idx="13">
                  <c:v>1.5539571608675684</c:v>
                </c:pt>
                <c:pt idx="14">
                  <c:v>1.5599376792500201</c:v>
                </c:pt>
                <c:pt idx="15">
                  <c:v>1.5912302802336133</c:v>
                </c:pt>
                <c:pt idx="16">
                  <c:v>1.6462306725382883</c:v>
                </c:pt>
                <c:pt idx="17">
                  <c:v>1.674576483059812</c:v>
                </c:pt>
                <c:pt idx="18">
                  <c:v>1.6925200883451526</c:v>
                </c:pt>
                <c:pt idx="19">
                  <c:v>1.7168414481797558</c:v>
                </c:pt>
                <c:pt idx="20">
                  <c:v>1.7354382664386085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E-46EE-B87A-7E11A9E78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423840"/>
        <c:axId val="632422200"/>
      </c:lineChart>
      <c:catAx>
        <c:axId val="6324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42220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32422200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Australian dollars</a:t>
                </a:r>
                <a:r>
                  <a:rPr lang="en-US" baseline="0"/>
                  <a:t> </a:t>
                </a:r>
                <a:r>
                  <a:rPr lang="en-US"/>
                  <a:t>per litre</a:t>
                </a:r>
              </a:p>
            </c:rich>
          </c:tx>
          <c:layout>
            <c:manualLayout>
              <c:xMode val="edge"/>
              <c:yMode val="edge"/>
              <c:x val="1.7180446194225724E-2"/>
              <c:y val="0.135929571303587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42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3877049772456"/>
          <c:y val="0.56619353501864911"/>
          <c:w val="0.1620777649353464"/>
          <c:h val="0.271452252678941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16950001391171E-2"/>
          <c:y val="3.5358418312465043E-2"/>
          <c:w val="0.84678737375142599"/>
          <c:h val="0.8261675610612303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Swiss!$A$44:$A$97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Swiss!$BI$44:$BI$97</c:f>
              <c:numCache>
                <c:formatCode>0.0000</c:formatCode>
                <c:ptCount val="54"/>
                <c:pt idx="0">
                  <c:v>2.2773807099894583</c:v>
                </c:pt>
                <c:pt idx="1">
                  <c:v>2.3233091086839228</c:v>
                </c:pt>
                <c:pt idx="2">
                  <c:v>2.3723575086175352</c:v>
                </c:pt>
                <c:pt idx="3">
                  <c:v>1.897848891868094</c:v>
                </c:pt>
                <c:pt idx="4">
                  <c:v>1.7258838150713387</c:v>
                </c:pt>
                <c:pt idx="5">
                  <c:v>1.7929504022938927</c:v>
                </c:pt>
                <c:pt idx="6">
                  <c:v>1.9327659039821226</c:v>
                </c:pt>
                <c:pt idx="7">
                  <c:v>1.8261969120346353</c:v>
                </c:pt>
                <c:pt idx="8">
                  <c:v>1.7191071520166326</c:v>
                </c:pt>
                <c:pt idx="9">
                  <c:v>2.4094149601079304</c:v>
                </c:pt>
                <c:pt idx="10">
                  <c:v>1.9268329609353487</c:v>
                </c:pt>
                <c:pt idx="11">
                  <c:v>1.9237996622147846</c:v>
                </c:pt>
                <c:pt idx="12">
                  <c:v>2.1634980426184818</c:v>
                </c:pt>
                <c:pt idx="13">
                  <c:v>1.7822676798405381</c:v>
                </c:pt>
                <c:pt idx="14">
                  <c:v>2.0134188618481037</c:v>
                </c:pt>
                <c:pt idx="15">
                  <c:v>2.1356784668397011</c:v>
                </c:pt>
                <c:pt idx="16">
                  <c:v>2.1579211067107851</c:v>
                </c:pt>
                <c:pt idx="17">
                  <c:v>2.0600109491784657</c:v>
                </c:pt>
                <c:pt idx="18">
                  <c:v>1.9396781820747282</c:v>
                </c:pt>
                <c:pt idx="19">
                  <c:v>1.8841017039748253</c:v>
                </c:pt>
                <c:pt idx="20">
                  <c:v>1.8321539952616954</c:v>
                </c:pt>
                <c:pt idx="21">
                  <c:v>1.4555226292698689</c:v>
                </c:pt>
                <c:pt idx="22">
                  <c:v>1.4156372352397897</c:v>
                </c:pt>
                <c:pt idx="23">
                  <c:v>1.3777333017417721</c:v>
                </c:pt>
                <c:pt idx="24">
                  <c:v>1.4606209886127512</c:v>
                </c:pt>
                <c:pt idx="25">
                  <c:v>1.346201925377138</c:v>
                </c:pt>
                <c:pt idx="26">
                  <c:v>1.2786173108302621</c:v>
                </c:pt>
                <c:pt idx="27">
                  <c:v>1.0897850860283844</c:v>
                </c:pt>
                <c:pt idx="28">
                  <c:v>1.3050901185498904</c:v>
                </c:pt>
                <c:pt idx="29">
                  <c:v>1.2852270430474269</c:v>
                </c:pt>
                <c:pt idx="30">
                  <c:v>1.2553683981492256</c:v>
                </c:pt>
                <c:pt idx="31">
                  <c:v>1.1743826710509948</c:v>
                </c:pt>
                <c:pt idx="32">
                  <c:v>1.2347852766707266</c:v>
                </c:pt>
                <c:pt idx="33">
                  <c:v>1.1179720275434777</c:v>
                </c:pt>
                <c:pt idx="34">
                  <c:v>1.1630745006245353</c:v>
                </c:pt>
                <c:pt idx="35">
                  <c:v>1.5134861726643274</c:v>
                </c:pt>
                <c:pt idx="36">
                  <c:v>1.446210855038472</c:v>
                </c:pt>
                <c:pt idx="37">
                  <c:v>1.3763480908749515</c:v>
                </c:pt>
                <c:pt idx="38">
                  <c:v>1.3866424574765244</c:v>
                </c:pt>
                <c:pt idx="39">
                  <c:v>1.4699609387638288</c:v>
                </c:pt>
                <c:pt idx="40">
                  <c:v>1.5824740862305484</c:v>
                </c:pt>
                <c:pt idx="41">
                  <c:v>1.6848372923320534</c:v>
                </c:pt>
                <c:pt idx="42">
                  <c:v>1.7143264536315399</c:v>
                </c:pt>
                <c:pt idx="43">
                  <c:v>1.7741046025722731</c:v>
                </c:pt>
                <c:pt idx="44">
                  <c:v>1.5050328072546919</c:v>
                </c:pt>
                <c:pt idx="45">
                  <c:v>1.6236884452415732</c:v>
                </c:pt>
                <c:pt idx="46">
                  <c:v>1.7020760886246415</c:v>
                </c:pt>
                <c:pt idx="47">
                  <c:v>1.753804841543446</c:v>
                </c:pt>
                <c:pt idx="48">
                  <c:v>1.7476380430330809</c:v>
                </c:pt>
                <c:pt idx="49">
                  <c:v>1.6979302541889272</c:v>
                </c:pt>
                <c:pt idx="50">
                  <c:v>1.4649921866674185</c:v>
                </c:pt>
                <c:pt idx="51">
                  <c:v>1.4206497480000002</c:v>
                </c:pt>
                <c:pt idx="52">
                  <c:v>1.5140999999999998</c:v>
                </c:pt>
                <c:pt idx="53">
                  <c:v>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5-4207-B531-136F327AE337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Swiss!$A$44:$A$97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Swiss!$BJ$44:$BJ$97</c:f>
              <c:numCache>
                <c:formatCode>0.0000</c:formatCode>
                <c:ptCount val="54"/>
                <c:pt idx="0">
                  <c:v>2.3122377747289486</c:v>
                </c:pt>
                <c:pt idx="1">
                  <c:v>2.328617733182373</c:v>
                </c:pt>
                <c:pt idx="2">
                  <c:v>2.3321918193795934</c:v>
                </c:pt>
                <c:pt idx="3">
                  <c:v>1.9224878525936928</c:v>
                </c:pt>
                <c:pt idx="4">
                  <c:v>1.731516776379497</c:v>
                </c:pt>
                <c:pt idx="5">
                  <c:v>1.7998321252745657</c:v>
                </c:pt>
                <c:pt idx="6">
                  <c:v>1.9202512196932906</c:v>
                </c:pt>
                <c:pt idx="7">
                  <c:v>1.8140222743024734</c:v>
                </c:pt>
                <c:pt idx="8">
                  <c:v>1.6647424229648196</c:v>
                </c:pt>
                <c:pt idx="9">
                  <c:v>2.4094149601079304</c:v>
                </c:pt>
                <c:pt idx="10">
                  <c:v>1.9562717236358551</c:v>
                </c:pt>
                <c:pt idx="11">
                  <c:v>1.9561746462583796</c:v>
                </c:pt>
                <c:pt idx="12">
                  <c:v>2.1627445711457156</c:v>
                </c:pt>
                <c:pt idx="13">
                  <c:v>1.8350548313086437</c:v>
                </c:pt>
                <c:pt idx="14">
                  <c:v>1.9127405965265905</c:v>
                </c:pt>
                <c:pt idx="15">
                  <c:v>2.0949978103094686</c:v>
                </c:pt>
                <c:pt idx="16">
                  <c:v>2.1423214606662864</c:v>
                </c:pt>
                <c:pt idx="17">
                  <c:v>2.0145075292187991</c:v>
                </c:pt>
                <c:pt idx="18">
                  <c:v>1.9423216416079763</c:v>
                </c:pt>
                <c:pt idx="19">
                  <c:v>1.9536534911322962</c:v>
                </c:pt>
                <c:pt idx="20">
                  <c:v>1.8724893797238069</c:v>
                </c:pt>
                <c:pt idx="21">
                  <c:v>1.4303869911595652</c:v>
                </c:pt>
                <c:pt idx="22">
                  <c:v>1.4316676258700973</c:v>
                </c:pt>
                <c:pt idx="23">
                  <c:v>1.3695071584587446</c:v>
                </c:pt>
                <c:pt idx="24">
                  <c:v>1.4434112482757044</c:v>
                </c:pt>
                <c:pt idx="25">
                  <c:v>1.3388539705568991</c:v>
                </c:pt>
                <c:pt idx="26">
                  <c:v>1.2756313918706743</c:v>
                </c:pt>
                <c:pt idx="27">
                  <c:v>1.1534225215324079</c:v>
                </c:pt>
                <c:pt idx="28">
                  <c:v>1.299363848838565</c:v>
                </c:pt>
                <c:pt idx="29">
                  <c:v>1.2853670927411898</c:v>
                </c:pt>
                <c:pt idx="30">
                  <c:v>1.2604878007349385</c:v>
                </c:pt>
                <c:pt idx="31">
                  <c:v>1.1850979760508726</c:v>
                </c:pt>
                <c:pt idx="32">
                  <c:v>1.2008891243414879</c:v>
                </c:pt>
                <c:pt idx="33">
                  <c:v>1.1086499451057954</c:v>
                </c:pt>
                <c:pt idx="34">
                  <c:v>1.1504111858657651</c:v>
                </c:pt>
                <c:pt idx="35">
                  <c:v>1.5000815060897472</c:v>
                </c:pt>
                <c:pt idx="36">
                  <c:v>1.4388189053001201</c:v>
                </c:pt>
                <c:pt idx="37">
                  <c:v>1.4167534841338341</c:v>
                </c:pt>
                <c:pt idx="38">
                  <c:v>1.4118886478861197</c:v>
                </c:pt>
                <c:pt idx="39">
                  <c:v>1.4852147454996594</c:v>
                </c:pt>
                <c:pt idx="40">
                  <c:v>1.5914262398568817</c:v>
                </c:pt>
                <c:pt idx="41">
                  <c:v>1.6665006775019333</c:v>
                </c:pt>
                <c:pt idx="42">
                  <c:v>1.6969346830858383</c:v>
                </c:pt>
                <c:pt idx="43">
                  <c:v>1.7827438923022019</c:v>
                </c:pt>
                <c:pt idx="44">
                  <c:v>1.5099511042075715</c:v>
                </c:pt>
                <c:pt idx="45">
                  <c:v>1.6119392869097402</c:v>
                </c:pt>
                <c:pt idx="46">
                  <c:v>1.7022360840350776</c:v>
                </c:pt>
                <c:pt idx="47">
                  <c:v>1.7571968428767084</c:v>
                </c:pt>
                <c:pt idx="48">
                  <c:v>1.7680856034974719</c:v>
                </c:pt>
                <c:pt idx="49">
                  <c:v>1.7095134959303528</c:v>
                </c:pt>
                <c:pt idx="50">
                  <c:v>1.4736238857695332</c:v>
                </c:pt>
                <c:pt idx="51">
                  <c:v>1.4311129420561315</c:v>
                </c:pt>
                <c:pt idx="52">
                  <c:v>1.4998177196791573</c:v>
                </c:pt>
                <c:pt idx="53">
                  <c:v>1.5893185848757603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5-4207-B531-136F327A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447552"/>
        <c:axId val="165449088"/>
      </c:lineChart>
      <c:catAx>
        <c:axId val="16544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49088"/>
        <c:crosses val="autoZero"/>
        <c:auto val="1"/>
        <c:lblAlgn val="ctr"/>
        <c:lblOffset val="100"/>
        <c:noMultiLvlLbl val="0"/>
      </c:catAx>
      <c:valAx>
        <c:axId val="165449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Francs per litre</a:t>
                </a:r>
              </a:p>
            </c:rich>
          </c:tx>
          <c:layout>
            <c:manualLayout>
              <c:xMode val="edge"/>
              <c:yMode val="edge"/>
              <c:x val="1.0187945256842893E-2"/>
              <c:y val="0.32193946043629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5447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912301954158561"/>
          <c:y val="7.5734047588313758E-2"/>
          <c:w val="0.1761584433240809"/>
          <c:h val="0.203862570457381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Turkey!$A$49:$A$89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Turkey!$AW$44:$AW$89</c:f>
              <c:numCache>
                <c:formatCode>0.00</c:formatCode>
                <c:ptCount val="46"/>
                <c:pt idx="0">
                  <c:v>0.38964950417415734</c:v>
                </c:pt>
                <c:pt idx="1">
                  <c:v>0.4226606608222272</c:v>
                </c:pt>
                <c:pt idx="2">
                  <c:v>0.4683457581361542</c:v>
                </c:pt>
                <c:pt idx="3">
                  <c:v>0.21285561205869907</c:v>
                </c:pt>
                <c:pt idx="4">
                  <c:v>0.22333704172202529</c:v>
                </c:pt>
                <c:pt idx="5">
                  <c:v>0.19282730613798638</c:v>
                </c:pt>
                <c:pt idx="6">
                  <c:v>0.38443921159680183</c:v>
                </c:pt>
                <c:pt idx="7">
                  <c:v>0.47757988443613764</c:v>
                </c:pt>
                <c:pt idx="8">
                  <c:v>0.41398259609669852</c:v>
                </c:pt>
                <c:pt idx="9">
                  <c:v>1.0448353451292784</c:v>
                </c:pt>
                <c:pt idx="10">
                  <c:v>0.84623715888643569</c:v>
                </c:pt>
                <c:pt idx="11">
                  <c:v>0.73656375035091293</c:v>
                </c:pt>
                <c:pt idx="12">
                  <c:v>1.2938088039600126</c:v>
                </c:pt>
                <c:pt idx="13">
                  <c:v>1.3646276979409397</c:v>
                </c:pt>
                <c:pt idx="14">
                  <c:v>1.2581202799684053</c:v>
                </c:pt>
                <c:pt idx="15">
                  <c:v>1.9188584417981955</c:v>
                </c:pt>
                <c:pt idx="16">
                  <c:v>2.4380536540659161</c:v>
                </c:pt>
                <c:pt idx="17">
                  <c:v>3.2421507560310596</c:v>
                </c:pt>
                <c:pt idx="18">
                  <c:v>3.1090497961535597</c:v>
                </c:pt>
                <c:pt idx="19">
                  <c:v>2.0160481003975428</c:v>
                </c:pt>
                <c:pt idx="20">
                  <c:v>2.2510835116050085</c:v>
                </c:pt>
                <c:pt idx="21">
                  <c:v>1.5028189887765935</c:v>
                </c:pt>
                <c:pt idx="22">
                  <c:v>1.297978994936668</c:v>
                </c:pt>
                <c:pt idx="23">
                  <c:v>1.1642162966183374</c:v>
                </c:pt>
                <c:pt idx="24">
                  <c:v>1.5098279712502534</c:v>
                </c:pt>
                <c:pt idx="25">
                  <c:v>1.3934521913337001</c:v>
                </c:pt>
                <c:pt idx="26">
                  <c:v>1.2787830295499973</c:v>
                </c:pt>
                <c:pt idx="27">
                  <c:v>1.0085925624511582</c:v>
                </c:pt>
                <c:pt idx="28">
                  <c:v>0.8225567454471916</c:v>
                </c:pt>
                <c:pt idx="29">
                  <c:v>1.2089192981492887</c:v>
                </c:pt>
                <c:pt idx="30">
                  <c:v>1.1387874371118514</c:v>
                </c:pt>
                <c:pt idx="31">
                  <c:v>0.77553114795138045</c:v>
                </c:pt>
                <c:pt idx="32">
                  <c:v>0.80097712661707465</c:v>
                </c:pt>
                <c:pt idx="33">
                  <c:v>0.65680782376148361</c:v>
                </c:pt>
                <c:pt idx="34">
                  <c:v>0.78566105218181925</c:v>
                </c:pt>
                <c:pt idx="35">
                  <c:v>1.0744960313706575</c:v>
                </c:pt>
                <c:pt idx="36">
                  <c:v>1.1531315752604381</c:v>
                </c:pt>
                <c:pt idx="37">
                  <c:v>0.95819947091932489</c:v>
                </c:pt>
                <c:pt idx="38">
                  <c:v>0.92733967639546355</c:v>
                </c:pt>
                <c:pt idx="39">
                  <c:v>1.0154906530248704</c:v>
                </c:pt>
                <c:pt idx="40">
                  <c:v>1.1925131242496629</c:v>
                </c:pt>
                <c:pt idx="41">
                  <c:v>1.3722438873267535</c:v>
                </c:pt>
                <c:pt idx="42">
                  <c:v>1.3718876140811194</c:v>
                </c:pt>
                <c:pt idx="43">
                  <c:v>1.4909265530456177</c:v>
                </c:pt>
                <c:pt idx="44">
                  <c:v>1.2525991484691525</c:v>
                </c:pt>
                <c:pt idx="45">
                  <c:v>1.6463389830508475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C-40CA-93DE-912322E6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5936"/>
        <c:axId val="165541760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Turkey!$AY$44:$AY$89</c:f>
              <c:numCache>
                <c:formatCode>0</c:formatCode>
                <c:ptCount val="4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38.168682498485389</c:v>
                </c:pt>
                <c:pt idx="6">
                  <c:v>46.475314094400616</c:v>
                </c:pt>
                <c:pt idx="7">
                  <c:v>37.582992773682847</c:v>
                </c:pt>
                <c:pt idx="8">
                  <c:v>35.85775435108097</c:v>
                </c:pt>
                <c:pt idx="9">
                  <c:v>91.834443305404577</c:v>
                </c:pt>
                <c:pt idx="10">
                  <c:v>80.020709780664561</c:v>
                </c:pt>
                <c:pt idx="11">
                  <c:v>79.535473155277131</c:v>
                </c:pt>
                <c:pt idx="12">
                  <c:v>76.968222241628808</c:v>
                </c:pt>
                <c:pt idx="13">
                  <c:v>61.981568472241989</c:v>
                </c:pt>
                <c:pt idx="14">
                  <c:v>73.106448180819115</c:v>
                </c:pt>
                <c:pt idx="15">
                  <c:v>145.41187316901562</c:v>
                </c:pt>
                <c:pt idx="16">
                  <c:v>167.46969333979646</c:v>
                </c:pt>
                <c:pt idx="17">
                  <c:v>173.04880927417935</c:v>
                </c:pt>
                <c:pt idx="18">
                  <c:v>159.64791082453766</c:v>
                </c:pt>
                <c:pt idx="19">
                  <c:v>171.548889798186</c:v>
                </c:pt>
                <c:pt idx="20">
                  <c:v>158.10668884487328</c:v>
                </c:pt>
                <c:pt idx="21">
                  <c:v>85.889807192112102</c:v>
                </c:pt>
                <c:pt idx="22">
                  <c:v>100.20363300563051</c:v>
                </c:pt>
                <c:pt idx="23">
                  <c:v>80.778112821601695</c:v>
                </c:pt>
                <c:pt idx="24">
                  <c:v>92.21425806589211</c:v>
                </c:pt>
                <c:pt idx="25">
                  <c:v>88.517349766721424</c:v>
                </c:pt>
                <c:pt idx="26">
                  <c:v>74.074368327769719</c:v>
                </c:pt>
                <c:pt idx="27">
                  <c:v>68.325441223477071</c:v>
                </c:pt>
                <c:pt idx="28">
                  <c:v>58.82413102578812</c:v>
                </c:pt>
                <c:pt idx="29">
                  <c:v>70.592758577787791</c:v>
                </c:pt>
                <c:pt idx="30">
                  <c:v>63.497420362644149</c:v>
                </c:pt>
                <c:pt idx="31">
                  <c:v>74.542497586165609</c:v>
                </c:pt>
                <c:pt idx="32">
                  <c:v>71.670554000911906</c:v>
                </c:pt>
                <c:pt idx="33">
                  <c:v>46.622071160116022</c:v>
                </c:pt>
                <c:pt idx="34">
                  <c:v>55.063930340598446</c:v>
                </c:pt>
                <c:pt idx="35">
                  <c:v>83.786817137960483</c:v>
                </c:pt>
                <c:pt idx="36">
                  <c:v>89.109647691899923</c:v>
                </c:pt>
                <c:pt idx="37">
                  <c:v>79.651452951882447</c:v>
                </c:pt>
                <c:pt idx="38">
                  <c:v>75.239256027512454</c:v>
                </c:pt>
                <c:pt idx="39">
                  <c:v>84.421593907895726</c:v>
                </c:pt>
                <c:pt idx="40">
                  <c:v>103.31949024081052</c:v>
                </c:pt>
                <c:pt idx="41">
                  <c:v>120.88995552571467</c:v>
                </c:pt>
                <c:pt idx="42">
                  <c:v>114.69913232496212</c:v>
                </c:pt>
                <c:pt idx="43">
                  <c:v>141.80185423805418</c:v>
                </c:pt>
                <c:pt idx="44">
                  <c:v>102.74788796809176</c:v>
                </c:pt>
                <c:pt idx="45">
                  <c:v>116.39528070833333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C-40CA-93DE-912322E6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10784"/>
        <c:axId val="165909248"/>
      </c:lineChart>
      <c:catAx>
        <c:axId val="1654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41760"/>
        <c:crosses val="autoZero"/>
        <c:auto val="1"/>
        <c:lblAlgn val="ctr"/>
        <c:lblOffset val="100"/>
        <c:noMultiLvlLbl val="0"/>
      </c:catAx>
      <c:valAx>
        <c:axId val="16554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95936"/>
        <c:crosses val="autoZero"/>
        <c:crossBetween val="between"/>
      </c:valAx>
      <c:valAx>
        <c:axId val="165909248"/>
        <c:scaling>
          <c:orientation val="minMax"/>
          <c:max val="200"/>
          <c:min val="10"/>
        </c:scaling>
        <c:delete val="0"/>
        <c:axPos val="r"/>
        <c:numFmt formatCode="0" sourceLinked="1"/>
        <c:majorTickMark val="out"/>
        <c:minorTickMark val="none"/>
        <c:tickLblPos val="nextTo"/>
        <c:crossAx val="165910784"/>
        <c:crosses val="max"/>
        <c:crossBetween val="between"/>
      </c:valAx>
      <c:catAx>
        <c:axId val="165910784"/>
        <c:scaling>
          <c:orientation val="minMax"/>
        </c:scaling>
        <c:delete val="1"/>
        <c:axPos val="b"/>
        <c:majorTickMark val="out"/>
        <c:minorTickMark val="none"/>
        <c:tickLblPos val="none"/>
        <c:crossAx val="16590924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85859645278043E-2"/>
          <c:y val="3.8956209421190782E-2"/>
          <c:w val="0.84347755983782347"/>
          <c:h val="0.81874264401160379"/>
        </c:manualLayout>
      </c:layout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Turkey!$A$44:$A$89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Turkey!$AW$44:$AW$89</c:f>
              <c:numCache>
                <c:formatCode>0.00</c:formatCode>
                <c:ptCount val="46"/>
                <c:pt idx="0">
                  <c:v>0.38964950417415734</c:v>
                </c:pt>
                <c:pt idx="1">
                  <c:v>0.4226606608222272</c:v>
                </c:pt>
                <c:pt idx="2">
                  <c:v>0.4683457581361542</c:v>
                </c:pt>
                <c:pt idx="3">
                  <c:v>0.21285561205869907</c:v>
                </c:pt>
                <c:pt idx="4">
                  <c:v>0.22333704172202529</c:v>
                </c:pt>
                <c:pt idx="5">
                  <c:v>0.19282730613798638</c:v>
                </c:pt>
                <c:pt idx="6">
                  <c:v>0.38443921159680183</c:v>
                </c:pt>
                <c:pt idx="7">
                  <c:v>0.47757988443613764</c:v>
                </c:pt>
                <c:pt idx="8">
                  <c:v>0.41398259609669852</c:v>
                </c:pt>
                <c:pt idx="9">
                  <c:v>1.0448353451292784</c:v>
                </c:pt>
                <c:pt idx="10">
                  <c:v>0.84623715888643569</c:v>
                </c:pt>
                <c:pt idx="11">
                  <c:v>0.73656375035091293</c:v>
                </c:pt>
                <c:pt idx="12">
                  <c:v>1.2938088039600126</c:v>
                </c:pt>
                <c:pt idx="13">
                  <c:v>1.3646276979409397</c:v>
                </c:pt>
                <c:pt idx="14">
                  <c:v>1.2581202799684053</c:v>
                </c:pt>
                <c:pt idx="15">
                  <c:v>1.9188584417981955</c:v>
                </c:pt>
                <c:pt idx="16">
                  <c:v>2.4380536540659161</c:v>
                </c:pt>
                <c:pt idx="17">
                  <c:v>3.2421507560310596</c:v>
                </c:pt>
                <c:pt idx="18">
                  <c:v>3.1090497961535597</c:v>
                </c:pt>
                <c:pt idx="19">
                  <c:v>2.0160481003975428</c:v>
                </c:pt>
                <c:pt idx="20">
                  <c:v>2.2510835116050085</c:v>
                </c:pt>
                <c:pt idx="21">
                  <c:v>1.5028189887765935</c:v>
                </c:pt>
                <c:pt idx="22">
                  <c:v>1.297978994936668</c:v>
                </c:pt>
                <c:pt idx="23">
                  <c:v>1.1642162966183374</c:v>
                </c:pt>
                <c:pt idx="24">
                  <c:v>1.5098279712502534</c:v>
                </c:pt>
                <c:pt idx="25">
                  <c:v>1.3934521913337001</c:v>
                </c:pt>
                <c:pt idx="26">
                  <c:v>1.2787830295499973</c:v>
                </c:pt>
                <c:pt idx="27">
                  <c:v>1.0085925624511582</c:v>
                </c:pt>
                <c:pt idx="28">
                  <c:v>0.8225567454471916</c:v>
                </c:pt>
                <c:pt idx="29">
                  <c:v>1.2089192981492887</c:v>
                </c:pt>
                <c:pt idx="30">
                  <c:v>1.1387874371118514</c:v>
                </c:pt>
                <c:pt idx="31">
                  <c:v>0.77553114795138045</c:v>
                </c:pt>
                <c:pt idx="32">
                  <c:v>0.80097712661707465</c:v>
                </c:pt>
                <c:pt idx="33">
                  <c:v>0.65680782376148361</c:v>
                </c:pt>
                <c:pt idx="34">
                  <c:v>0.78566105218181925</c:v>
                </c:pt>
                <c:pt idx="35">
                  <c:v>1.0744960313706575</c:v>
                </c:pt>
                <c:pt idx="36">
                  <c:v>1.1531315752604381</c:v>
                </c:pt>
                <c:pt idx="37">
                  <c:v>0.95819947091932489</c:v>
                </c:pt>
                <c:pt idx="38">
                  <c:v>0.92733967639546355</c:v>
                </c:pt>
                <c:pt idx="39">
                  <c:v>1.0154906530248704</c:v>
                </c:pt>
                <c:pt idx="40">
                  <c:v>1.1925131242496629</c:v>
                </c:pt>
                <c:pt idx="41">
                  <c:v>1.3722438873267535</c:v>
                </c:pt>
                <c:pt idx="42">
                  <c:v>1.3718876140811194</c:v>
                </c:pt>
                <c:pt idx="43">
                  <c:v>1.4909265530456177</c:v>
                </c:pt>
                <c:pt idx="44">
                  <c:v>1.2525991484691525</c:v>
                </c:pt>
                <c:pt idx="45">
                  <c:v>1.6463389830508475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2-4917-9C5B-3D23A0527C36}"/>
            </c:ext>
          </c:extLst>
        </c:ser>
        <c:ser>
          <c:idx val="1"/>
          <c:order val="1"/>
          <c:tx>
            <c:v>model</c:v>
          </c:tx>
          <c:marker>
            <c:symbol val="none"/>
          </c:marker>
          <c:cat>
            <c:numRef>
              <c:f>Turkey!$A$44:$A$89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Turkey!$AX$44:$AX$89</c:f>
              <c:numCache>
                <c:formatCode>0.00</c:formatCode>
                <c:ptCount val="46"/>
                <c:pt idx="0">
                  <c:v>0.56322048636456401</c:v>
                </c:pt>
                <c:pt idx="1">
                  <c:v>0.56322048636456401</c:v>
                </c:pt>
                <c:pt idx="2">
                  <c:v>0.56322048636456401</c:v>
                </c:pt>
                <c:pt idx="3">
                  <c:v>0.15822959009577664</c:v>
                </c:pt>
                <c:pt idx="4">
                  <c:v>0.15822959009577664</c:v>
                </c:pt>
                <c:pt idx="5">
                  <c:v>0.36781836893540232</c:v>
                </c:pt>
                <c:pt idx="6">
                  <c:v>0.46364131991732727</c:v>
                </c:pt>
                <c:pt idx="7">
                  <c:v>0.36106201804366789</c:v>
                </c:pt>
                <c:pt idx="8">
                  <c:v>0.3411601559119215</c:v>
                </c:pt>
                <c:pt idx="9">
                  <c:v>0.98689139605001541</c:v>
                </c:pt>
                <c:pt idx="10">
                  <c:v>0.85061150986710587</c:v>
                </c:pt>
                <c:pt idx="11">
                  <c:v>0.84501395749798425</c:v>
                </c:pt>
                <c:pt idx="12">
                  <c:v>1.2203897738614831</c:v>
                </c:pt>
                <c:pt idx="13">
                  <c:v>1.0475079777995009</c:v>
                </c:pt>
                <c:pt idx="14">
                  <c:v>1.1758414413323015</c:v>
                </c:pt>
                <c:pt idx="15">
                  <c:v>2.009936358672598</c:v>
                </c:pt>
                <c:pt idx="16">
                  <c:v>2.2643891289185101</c:v>
                </c:pt>
                <c:pt idx="17">
                  <c:v>3.2528947618550599</c:v>
                </c:pt>
                <c:pt idx="18">
                  <c:v>3.0983057903295586</c:v>
                </c:pt>
                <c:pt idx="19">
                  <c:v>2.3114455846869491</c:v>
                </c:pt>
                <c:pt idx="20">
                  <c:v>2.1563801591693568</c:v>
                </c:pt>
                <c:pt idx="21">
                  <c:v>1.3233066526853414</c:v>
                </c:pt>
                <c:pt idx="22">
                  <c:v>1.4884268958856133</c:v>
                </c:pt>
                <c:pt idx="23">
                  <c:v>1.2643395932408286</c:v>
                </c:pt>
                <c:pt idx="24">
                  <c:v>1.3962637278930377</c:v>
                </c:pt>
                <c:pt idx="25">
                  <c:v>1.3536172401265278</c:v>
                </c:pt>
                <c:pt idx="26">
                  <c:v>1.1870070941874582</c:v>
                </c:pt>
                <c:pt idx="27">
                  <c:v>1.1206890982883517</c:v>
                </c:pt>
                <c:pt idx="28">
                  <c:v>1.0110846730981313</c:v>
                </c:pt>
                <c:pt idx="29">
                  <c:v>1.1468442295463002</c:v>
                </c:pt>
                <c:pt idx="30">
                  <c:v>1.0649944161605438</c:v>
                </c:pt>
                <c:pt idx="31">
                  <c:v>1.1924073008130336</c:v>
                </c:pt>
                <c:pt idx="32">
                  <c:v>1.1592773724883023</c:v>
                </c:pt>
                <c:pt idx="33">
                  <c:v>0.87032516415809569</c:v>
                </c:pt>
                <c:pt idx="34">
                  <c:v>0.96770806228077977</c:v>
                </c:pt>
                <c:pt idx="35">
                  <c:v>0.99885040952363724</c:v>
                </c:pt>
                <c:pt idx="36">
                  <c:v>1.0602530762202136</c:v>
                </c:pt>
                <c:pt idx="37">
                  <c:v>0.95114601874629434</c:v>
                </c:pt>
                <c:pt idx="38">
                  <c:v>0.9002481638547386</c:v>
                </c:pt>
                <c:pt idx="39">
                  <c:v>1.0061730146744279</c:v>
                </c:pt>
                <c:pt idx="40">
                  <c:v>1.2241737979113876</c:v>
                </c:pt>
                <c:pt idx="41">
                  <c:v>1.4268617122945075</c:v>
                </c:pt>
                <c:pt idx="42">
                  <c:v>1.3554461281008865</c:v>
                </c:pt>
                <c:pt idx="43">
                  <c:v>1.6680954569373871</c:v>
                </c:pt>
                <c:pt idx="44">
                  <c:v>1.2175799558795801</c:v>
                </c:pt>
                <c:pt idx="45">
                  <c:v>1.6752091609009119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2-4917-9C5B-3D23A052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22912"/>
        <c:axId val="165624448"/>
      </c:lineChart>
      <c:catAx>
        <c:axId val="165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624448"/>
        <c:crosses val="autoZero"/>
        <c:auto val="1"/>
        <c:lblAlgn val="ctr"/>
        <c:lblOffset val="100"/>
        <c:noMultiLvlLbl val="0"/>
      </c:catAx>
      <c:valAx>
        <c:axId val="165624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Lira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65622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322067594433398"/>
          <c:y val="0.15935819864622369"/>
          <c:w val="0.11091451292246488"/>
          <c:h val="0.2321607956900123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88642945476933E-2"/>
          <c:y val="3.8956209421190782E-2"/>
          <c:w val="0.87727477653762465"/>
          <c:h val="0.818742644011603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Turkey!$A$49:$A$89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Turkey!$AW$44:$AW$89</c:f>
              <c:numCache>
                <c:formatCode>0.00</c:formatCode>
                <c:ptCount val="46"/>
                <c:pt idx="0">
                  <c:v>0.38964950417415734</c:v>
                </c:pt>
                <c:pt idx="1">
                  <c:v>0.4226606608222272</c:v>
                </c:pt>
                <c:pt idx="2">
                  <c:v>0.4683457581361542</c:v>
                </c:pt>
                <c:pt idx="3">
                  <c:v>0.21285561205869907</c:v>
                </c:pt>
                <c:pt idx="4">
                  <c:v>0.22333704172202529</c:v>
                </c:pt>
                <c:pt idx="5">
                  <c:v>0.19282730613798638</c:v>
                </c:pt>
                <c:pt idx="6">
                  <c:v>0.38443921159680183</c:v>
                </c:pt>
                <c:pt idx="7">
                  <c:v>0.47757988443613764</c:v>
                </c:pt>
                <c:pt idx="8">
                  <c:v>0.41398259609669852</c:v>
                </c:pt>
                <c:pt idx="9">
                  <c:v>1.0448353451292784</c:v>
                </c:pt>
                <c:pt idx="10">
                  <c:v>0.84623715888643569</c:v>
                </c:pt>
                <c:pt idx="11">
                  <c:v>0.73656375035091293</c:v>
                </c:pt>
                <c:pt idx="12">
                  <c:v>1.2938088039600126</c:v>
                </c:pt>
                <c:pt idx="13">
                  <c:v>1.3646276979409397</c:v>
                </c:pt>
                <c:pt idx="14">
                  <c:v>1.2581202799684053</c:v>
                </c:pt>
                <c:pt idx="15">
                  <c:v>1.9188584417981955</c:v>
                </c:pt>
                <c:pt idx="16">
                  <c:v>2.4380536540659161</c:v>
                </c:pt>
                <c:pt idx="17">
                  <c:v>3.2421507560310596</c:v>
                </c:pt>
                <c:pt idx="18">
                  <c:v>3.1090497961535597</c:v>
                </c:pt>
                <c:pt idx="19">
                  <c:v>2.0160481003975428</c:v>
                </c:pt>
                <c:pt idx="20">
                  <c:v>2.2510835116050085</c:v>
                </c:pt>
                <c:pt idx="21">
                  <c:v>1.5028189887765935</c:v>
                </c:pt>
                <c:pt idx="22">
                  <c:v>1.297978994936668</c:v>
                </c:pt>
                <c:pt idx="23">
                  <c:v>1.1642162966183374</c:v>
                </c:pt>
                <c:pt idx="24">
                  <c:v>1.5098279712502534</c:v>
                </c:pt>
                <c:pt idx="25">
                  <c:v>1.3934521913337001</c:v>
                </c:pt>
                <c:pt idx="26">
                  <c:v>1.2787830295499973</c:v>
                </c:pt>
                <c:pt idx="27">
                  <c:v>1.0085925624511582</c:v>
                </c:pt>
                <c:pt idx="28">
                  <c:v>0.8225567454471916</c:v>
                </c:pt>
                <c:pt idx="29">
                  <c:v>1.2089192981492887</c:v>
                </c:pt>
                <c:pt idx="30">
                  <c:v>1.1387874371118514</c:v>
                </c:pt>
                <c:pt idx="31">
                  <c:v>0.77553114795138045</c:v>
                </c:pt>
                <c:pt idx="32">
                  <c:v>0.80097712661707465</c:v>
                </c:pt>
                <c:pt idx="33">
                  <c:v>0.65680782376148361</c:v>
                </c:pt>
                <c:pt idx="34">
                  <c:v>0.78566105218181925</c:v>
                </c:pt>
                <c:pt idx="35">
                  <c:v>1.0744960313706575</c:v>
                </c:pt>
                <c:pt idx="36">
                  <c:v>1.1531315752604381</c:v>
                </c:pt>
                <c:pt idx="37">
                  <c:v>0.95819947091932489</c:v>
                </c:pt>
                <c:pt idx="38">
                  <c:v>0.92733967639546355</c:v>
                </c:pt>
                <c:pt idx="39">
                  <c:v>1.0154906530248704</c:v>
                </c:pt>
                <c:pt idx="40">
                  <c:v>1.1925131242496629</c:v>
                </c:pt>
                <c:pt idx="41">
                  <c:v>1.3722438873267535</c:v>
                </c:pt>
                <c:pt idx="42">
                  <c:v>1.3718876140811194</c:v>
                </c:pt>
                <c:pt idx="43">
                  <c:v>1.4909265530456177</c:v>
                </c:pt>
                <c:pt idx="44">
                  <c:v>1.2525991484691525</c:v>
                </c:pt>
                <c:pt idx="45">
                  <c:v>1.6463389830508475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9-40A0-B84A-590C8AB3214D}"/>
            </c:ext>
          </c:extLst>
        </c:ser>
        <c:ser>
          <c:idx val="1"/>
          <c:order val="1"/>
          <c:marker>
            <c:symbol val="none"/>
          </c:marker>
          <c:cat>
            <c:numRef>
              <c:f>Turkey!$A$49:$A$89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Turkey!$AX$44:$AX$89</c:f>
              <c:numCache>
                <c:formatCode>0.00</c:formatCode>
                <c:ptCount val="46"/>
                <c:pt idx="0">
                  <c:v>0.56322048636456401</c:v>
                </c:pt>
                <c:pt idx="1">
                  <c:v>0.56322048636456401</c:v>
                </c:pt>
                <c:pt idx="2">
                  <c:v>0.56322048636456401</c:v>
                </c:pt>
                <c:pt idx="3">
                  <c:v>0.15822959009577664</c:v>
                </c:pt>
                <c:pt idx="4">
                  <c:v>0.15822959009577664</c:v>
                </c:pt>
                <c:pt idx="5">
                  <c:v>0.36781836893540232</c:v>
                </c:pt>
                <c:pt idx="6">
                  <c:v>0.46364131991732727</c:v>
                </c:pt>
                <c:pt idx="7">
                  <c:v>0.36106201804366789</c:v>
                </c:pt>
                <c:pt idx="8">
                  <c:v>0.3411601559119215</c:v>
                </c:pt>
                <c:pt idx="9">
                  <c:v>0.98689139605001541</c:v>
                </c:pt>
                <c:pt idx="10">
                  <c:v>0.85061150986710587</c:v>
                </c:pt>
                <c:pt idx="11">
                  <c:v>0.84501395749798425</c:v>
                </c:pt>
                <c:pt idx="12">
                  <c:v>1.2203897738614831</c:v>
                </c:pt>
                <c:pt idx="13">
                  <c:v>1.0475079777995009</c:v>
                </c:pt>
                <c:pt idx="14">
                  <c:v>1.1758414413323015</c:v>
                </c:pt>
                <c:pt idx="15">
                  <c:v>2.009936358672598</c:v>
                </c:pt>
                <c:pt idx="16">
                  <c:v>2.2643891289185101</c:v>
                </c:pt>
                <c:pt idx="17">
                  <c:v>3.2528947618550599</c:v>
                </c:pt>
                <c:pt idx="18">
                  <c:v>3.0983057903295586</c:v>
                </c:pt>
                <c:pt idx="19">
                  <c:v>2.3114455846869491</c:v>
                </c:pt>
                <c:pt idx="20">
                  <c:v>2.1563801591693568</c:v>
                </c:pt>
                <c:pt idx="21">
                  <c:v>1.3233066526853414</c:v>
                </c:pt>
                <c:pt idx="22">
                  <c:v>1.4884268958856133</c:v>
                </c:pt>
                <c:pt idx="23">
                  <c:v>1.2643395932408286</c:v>
                </c:pt>
                <c:pt idx="24">
                  <c:v>1.3962637278930377</c:v>
                </c:pt>
                <c:pt idx="25">
                  <c:v>1.3536172401265278</c:v>
                </c:pt>
                <c:pt idx="26">
                  <c:v>1.1870070941874582</c:v>
                </c:pt>
                <c:pt idx="27">
                  <c:v>1.1206890982883517</c:v>
                </c:pt>
                <c:pt idx="28">
                  <c:v>1.0110846730981313</c:v>
                </c:pt>
                <c:pt idx="29">
                  <c:v>1.1468442295463002</c:v>
                </c:pt>
                <c:pt idx="30">
                  <c:v>1.0649944161605438</c:v>
                </c:pt>
                <c:pt idx="31">
                  <c:v>1.1924073008130336</c:v>
                </c:pt>
                <c:pt idx="32">
                  <c:v>1.1592773724883023</c:v>
                </c:pt>
                <c:pt idx="33">
                  <c:v>0.87032516415809569</c:v>
                </c:pt>
                <c:pt idx="34">
                  <c:v>0.96770806228077977</c:v>
                </c:pt>
                <c:pt idx="35">
                  <c:v>0.99885040952363724</c:v>
                </c:pt>
                <c:pt idx="36">
                  <c:v>1.0602530762202136</c:v>
                </c:pt>
                <c:pt idx="37">
                  <c:v>0.95114601874629434</c:v>
                </c:pt>
                <c:pt idx="38">
                  <c:v>0.9002481638547386</c:v>
                </c:pt>
                <c:pt idx="39">
                  <c:v>1.0061730146744279</c:v>
                </c:pt>
                <c:pt idx="40">
                  <c:v>1.2241737979113876</c:v>
                </c:pt>
                <c:pt idx="41">
                  <c:v>1.4268617122945075</c:v>
                </c:pt>
                <c:pt idx="42">
                  <c:v>1.3554461281008865</c:v>
                </c:pt>
                <c:pt idx="43">
                  <c:v>1.6680954569373871</c:v>
                </c:pt>
                <c:pt idx="44">
                  <c:v>1.2175799558795801</c:v>
                </c:pt>
                <c:pt idx="45">
                  <c:v>1.6752091609009119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9-40A0-B84A-590C8AB3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51200"/>
        <c:axId val="165652736"/>
      </c:lineChart>
      <c:catAx>
        <c:axId val="1656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652736"/>
        <c:crosses val="autoZero"/>
        <c:auto val="1"/>
        <c:lblAlgn val="ctr"/>
        <c:lblOffset val="100"/>
        <c:noMultiLvlLbl val="0"/>
      </c:catAx>
      <c:valAx>
        <c:axId val="165652736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6565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322067594433398"/>
          <c:y val="0.1593581986462238"/>
          <c:w val="0.11091451292246488"/>
          <c:h val="0.2321607956900123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5603425047166E-2"/>
          <c:y val="3.8417023131624116E-2"/>
          <c:w val="0.83493937307266253"/>
          <c:h val="0.8119423480369411"/>
        </c:manualLayout>
      </c:layout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Turkey!$A$44:$A$89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Turkey!$AT$44:$AT$89</c:f>
              <c:numCache>
                <c:formatCode>0.00</c:formatCode>
                <c:ptCount val="46"/>
                <c:pt idx="0">
                  <c:v>1.0823597338171036</c:v>
                </c:pt>
                <c:pt idx="1">
                  <c:v>1.1740573911728538</c:v>
                </c:pt>
                <c:pt idx="2">
                  <c:v>1.3381307375318694</c:v>
                </c:pt>
                <c:pt idx="3">
                  <c:v>1.4190374137246606</c:v>
                </c:pt>
                <c:pt idx="4">
                  <c:v>1.488913611480168</c:v>
                </c:pt>
                <c:pt idx="5">
                  <c:v>1.6068942178165531</c:v>
                </c:pt>
                <c:pt idx="6">
                  <c:v>2.1357733977600106</c:v>
                </c:pt>
                <c:pt idx="7">
                  <c:v>1.4472117710185994</c:v>
                </c:pt>
                <c:pt idx="8">
                  <c:v>1.2544927154445413</c:v>
                </c:pt>
                <c:pt idx="9">
                  <c:v>1.8014402502228941</c:v>
                </c:pt>
                <c:pt idx="10">
                  <c:v>1.4590295842869581</c:v>
                </c:pt>
                <c:pt idx="11">
                  <c:v>1.2699375006050222</c:v>
                </c:pt>
                <c:pt idx="12">
                  <c:v>2.1037541527805086</c:v>
                </c:pt>
                <c:pt idx="13">
                  <c:v>2.2189068259202269</c:v>
                </c:pt>
                <c:pt idx="14">
                  <c:v>2.0457240324689518</c:v>
                </c:pt>
                <c:pt idx="15">
                  <c:v>2.9520899104587621</c:v>
                </c:pt>
                <c:pt idx="16">
                  <c:v>3.3861856306471059</c:v>
                </c:pt>
                <c:pt idx="17">
                  <c:v>4.3812848054473781</c:v>
                </c:pt>
                <c:pt idx="18">
                  <c:v>4.1453997282047466</c:v>
                </c:pt>
                <c:pt idx="19">
                  <c:v>4.1143838783623323</c:v>
                </c:pt>
                <c:pt idx="20">
                  <c:v>4.2473273803868086</c:v>
                </c:pt>
                <c:pt idx="21">
                  <c:v>3.629997557431385</c:v>
                </c:pt>
                <c:pt idx="22">
                  <c:v>2.7675458314214669</c:v>
                </c:pt>
                <c:pt idx="23">
                  <c:v>2.9105407415458431</c:v>
                </c:pt>
                <c:pt idx="24">
                  <c:v>3.1586359231176844</c:v>
                </c:pt>
                <c:pt idx="25">
                  <c:v>2.9711134143575699</c:v>
                </c:pt>
                <c:pt idx="26">
                  <c:v>2.9129453976081949</c:v>
                </c:pt>
                <c:pt idx="27">
                  <c:v>2.7784919075789478</c:v>
                </c:pt>
                <c:pt idx="28">
                  <c:v>2.3434665112455599</c:v>
                </c:pt>
                <c:pt idx="29">
                  <c:v>3.597974101634787</c:v>
                </c:pt>
                <c:pt idx="30">
                  <c:v>3.5476244146786668</c:v>
                </c:pt>
                <c:pt idx="31">
                  <c:v>2.4235348373480643</c:v>
                </c:pt>
                <c:pt idx="32">
                  <c:v>2.6699237553902493</c:v>
                </c:pt>
                <c:pt idx="33">
                  <c:v>2.345742227719585</c:v>
                </c:pt>
                <c:pt idx="34">
                  <c:v>2.7091760420062734</c:v>
                </c:pt>
                <c:pt idx="35">
                  <c:v>2.8308079562714434</c:v>
                </c:pt>
                <c:pt idx="36">
                  <c:v>3.1196489246945966</c:v>
                </c:pt>
                <c:pt idx="37">
                  <c:v>3.2041587296363283</c:v>
                </c:pt>
                <c:pt idx="38">
                  <c:v>3.2183092307159518</c:v>
                </c:pt>
                <c:pt idx="39">
                  <c:v>3.2181241820373865</c:v>
                </c:pt>
                <c:pt idx="40">
                  <c:v>3.849485796913664</c:v>
                </c:pt>
                <c:pt idx="41">
                  <c:v>3.8476983079985159</c:v>
                </c:pt>
                <c:pt idx="42">
                  <c:v>3.6678608284739109</c:v>
                </c:pt>
                <c:pt idx="43">
                  <c:v>3.7016747998830257</c:v>
                </c:pt>
                <c:pt idx="44">
                  <c:v>3.3894443816799997</c:v>
                </c:pt>
                <c:pt idx="45">
                  <c:v>3.6819999999999999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7-49F6-A4F5-06B4F820D882}"/>
            </c:ext>
          </c:extLst>
        </c:ser>
        <c:ser>
          <c:idx val="1"/>
          <c:order val="1"/>
          <c:tx>
            <c:v>model</c:v>
          </c:tx>
          <c:marker>
            <c:symbol val="none"/>
          </c:marker>
          <c:cat>
            <c:numRef>
              <c:f>Turkey!$A$44:$A$89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Turkey!$AU$44:$AU$89</c:f>
              <c:numCache>
                <c:formatCode>0.00</c:formatCode>
                <c:ptCount val="46"/>
                <c:pt idx="0">
                  <c:v>1.2559307160075104</c:v>
                </c:pt>
                <c:pt idx="1">
                  <c:v>1.3146172167151906</c:v>
                </c:pt>
                <c:pt idx="2">
                  <c:v>1.4330054657602793</c:v>
                </c:pt>
                <c:pt idx="3">
                  <c:v>1.3644113917617382</c:v>
                </c:pt>
                <c:pt idx="4">
                  <c:v>1.4238061598539193</c:v>
                </c:pt>
                <c:pt idx="5">
                  <c:v>1.7818852806139689</c:v>
                </c:pt>
                <c:pt idx="6">
                  <c:v>2.2149755060805361</c:v>
                </c:pt>
                <c:pt idx="7">
                  <c:v>1.3306939046261297</c:v>
                </c:pt>
                <c:pt idx="8">
                  <c:v>1.1816702752597643</c:v>
                </c:pt>
                <c:pt idx="9">
                  <c:v>1.7434963011436309</c:v>
                </c:pt>
                <c:pt idx="10">
                  <c:v>1.4634039352676282</c:v>
                </c:pt>
                <c:pt idx="11">
                  <c:v>1.3783877077520934</c:v>
                </c:pt>
                <c:pt idx="12">
                  <c:v>2.0303351226819788</c:v>
                </c:pt>
                <c:pt idx="13">
                  <c:v>1.9017871057787881</c:v>
                </c:pt>
                <c:pt idx="14">
                  <c:v>1.9634451938328481</c:v>
                </c:pt>
                <c:pt idx="15">
                  <c:v>3.0431678273331646</c:v>
                </c:pt>
                <c:pt idx="16">
                  <c:v>3.2125211054996998</c:v>
                </c:pt>
                <c:pt idx="17">
                  <c:v>4.3920288112713788</c:v>
                </c:pt>
                <c:pt idx="18">
                  <c:v>4.134655722380745</c:v>
                </c:pt>
                <c:pt idx="19">
                  <c:v>4.4097813626517386</c:v>
                </c:pt>
                <c:pt idx="20">
                  <c:v>4.1526240279511573</c:v>
                </c:pt>
                <c:pt idx="21">
                  <c:v>3.4504852213401329</c:v>
                </c:pt>
                <c:pt idx="22">
                  <c:v>2.9579937323704124</c:v>
                </c:pt>
                <c:pt idx="23">
                  <c:v>3.0106640381683345</c:v>
                </c:pt>
                <c:pt idx="24">
                  <c:v>3.0450716797604684</c:v>
                </c:pt>
                <c:pt idx="25">
                  <c:v>2.9312784631503979</c:v>
                </c:pt>
                <c:pt idx="26">
                  <c:v>2.8211694622456558</c:v>
                </c:pt>
                <c:pt idx="27">
                  <c:v>2.8905884434161413</c:v>
                </c:pt>
                <c:pt idx="28">
                  <c:v>2.5319944388964997</c:v>
                </c:pt>
                <c:pt idx="29">
                  <c:v>3.5358990330317983</c:v>
                </c:pt>
                <c:pt idx="30">
                  <c:v>3.4738313937273593</c:v>
                </c:pt>
                <c:pt idx="31">
                  <c:v>2.8404109902097172</c:v>
                </c:pt>
                <c:pt idx="32">
                  <c:v>3.0282240012614769</c:v>
                </c:pt>
                <c:pt idx="33">
                  <c:v>2.5592595681161971</c:v>
                </c:pt>
                <c:pt idx="34">
                  <c:v>2.891223052105234</c:v>
                </c:pt>
                <c:pt idx="35">
                  <c:v>2.7551623344244232</c:v>
                </c:pt>
                <c:pt idx="36">
                  <c:v>3.0267704256543722</c:v>
                </c:pt>
                <c:pt idx="37">
                  <c:v>3.1971052774632978</c:v>
                </c:pt>
                <c:pt idx="38">
                  <c:v>3.1912177181752268</c:v>
                </c:pt>
                <c:pt idx="39">
                  <c:v>3.208806543686944</c:v>
                </c:pt>
                <c:pt idx="40">
                  <c:v>3.8811464705753886</c:v>
                </c:pt>
                <c:pt idx="41">
                  <c:v>3.9023161329662699</c:v>
                </c:pt>
                <c:pt idx="42">
                  <c:v>3.6514193424936781</c:v>
                </c:pt>
                <c:pt idx="43">
                  <c:v>3.8788437037747951</c:v>
                </c:pt>
                <c:pt idx="44">
                  <c:v>3.3544251890904273</c:v>
                </c:pt>
                <c:pt idx="45">
                  <c:v>3.7108701778500643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7-49F6-A4F5-06B4F820D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74016"/>
        <c:axId val="165975552"/>
      </c:lineChart>
      <c:catAx>
        <c:axId val="1659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975552"/>
        <c:crosses val="autoZero"/>
        <c:auto val="1"/>
        <c:lblAlgn val="ctr"/>
        <c:lblOffset val="100"/>
        <c:noMultiLvlLbl val="0"/>
      </c:catAx>
      <c:valAx>
        <c:axId val="16597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Lira per litre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6597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986692015209125"/>
          <c:y val="0.52739476337084168"/>
          <c:w val="0.10606463878327109"/>
          <c:h val="0.1597433452306365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2212950993066E-2"/>
          <c:y val="2.6561051878084618E-2"/>
          <c:w val="0.87955094605711603"/>
          <c:h val="0.87641543909882291"/>
        </c:manualLayout>
      </c:layout>
      <c:lineChart>
        <c:grouping val="standard"/>
        <c:varyColors val="0"/>
        <c:ser>
          <c:idx val="1"/>
          <c:order val="0"/>
          <c:tx>
            <c:strRef>
              <c:f>Turkey!$C$159</c:f>
              <c:strCache>
                <c:ptCount val="1"/>
                <c:pt idx="0">
                  <c:v>Unemployment unch'd</c:v>
                </c:pt>
              </c:strCache>
            </c:strRef>
          </c:tx>
          <c:marker>
            <c:symbol val="none"/>
          </c:marker>
          <c:cat>
            <c:numRef>
              <c:f>Turkey!$A$160:$A$180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Turkey!$C$160:$C$180</c:f>
              <c:numCache>
                <c:formatCode>0</c:formatCode>
                <c:ptCount val="21"/>
                <c:pt idx="0">
                  <c:v>92.024533855576294</c:v>
                </c:pt>
                <c:pt idx="1">
                  <c:v>96.509961075607947</c:v>
                </c:pt>
                <c:pt idx="2">
                  <c:v>101.87731514582839</c:v>
                </c:pt>
                <c:pt idx="3">
                  <c:v>107.4457166236358</c:v>
                </c:pt>
                <c:pt idx="4">
                  <c:v>113.21382403153548</c:v>
                </c:pt>
                <c:pt idx="5">
                  <c:v>119.18111742355146</c:v>
                </c:pt>
                <c:pt idx="6">
                  <c:v>125.34966380857568</c:v>
                </c:pt>
                <c:pt idx="7">
                  <c:v>131.7231406022224</c:v>
                </c:pt>
                <c:pt idx="8">
                  <c:v>138.30228525707864</c:v>
                </c:pt>
                <c:pt idx="9">
                  <c:v>145.08429340996352</c:v>
                </c:pt>
                <c:pt idx="10">
                  <c:v>152.06918225438801</c:v>
                </c:pt>
                <c:pt idx="11">
                  <c:v>159.25678480569275</c:v>
                </c:pt>
                <c:pt idx="12">
                  <c:v>166.64863690239446</c:v>
                </c:pt>
                <c:pt idx="13">
                  <c:v>174.24245499051239</c:v>
                </c:pt>
                <c:pt idx="14">
                  <c:v>182.03549683080112</c:v>
                </c:pt>
                <c:pt idx="15">
                  <c:v>190.02664593891885</c:v>
                </c:pt>
                <c:pt idx="16">
                  <c:v>198.21676623042984</c:v>
                </c:pt>
                <c:pt idx="17">
                  <c:v>206.60907968807919</c:v>
                </c:pt>
                <c:pt idx="18">
                  <c:v>215.20026149648689</c:v>
                </c:pt>
                <c:pt idx="19">
                  <c:v>223.98410167575173</c:v>
                </c:pt>
                <c:pt idx="20">
                  <c:v>232.96351469228975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B-47F9-91AE-2624A643904B}"/>
            </c:ext>
          </c:extLst>
        </c:ser>
        <c:ser>
          <c:idx val="2"/>
          <c:order val="1"/>
          <c:tx>
            <c:strRef>
              <c:f>Turkey!$D$159</c:f>
              <c:strCache>
                <c:ptCount val="1"/>
                <c:pt idx="0">
                  <c:v>High petrol</c:v>
                </c:pt>
              </c:strCache>
            </c:strRef>
          </c:tx>
          <c:marker>
            <c:symbol val="none"/>
          </c:marker>
          <c:cat>
            <c:numRef>
              <c:f>Turkey!$A$160:$A$180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Turkey!$D$160:$D$180</c:f>
              <c:numCache>
                <c:formatCode>0</c:formatCode>
                <c:ptCount val="21"/>
                <c:pt idx="0">
                  <c:v>92.024533855576294</c:v>
                </c:pt>
                <c:pt idx="1">
                  <c:v>95.796425337411847</c:v>
                </c:pt>
                <c:pt idx="2">
                  <c:v>101.51003770515153</c:v>
                </c:pt>
                <c:pt idx="3">
                  <c:v>107.16805202329877</c:v>
                </c:pt>
                <c:pt idx="4">
                  <c:v>113.01696738646451</c:v>
                </c:pt>
                <c:pt idx="5">
                  <c:v>117.87478702118756</c:v>
                </c:pt>
                <c:pt idx="6">
                  <c:v>124.12510521282475</c:v>
                </c:pt>
                <c:pt idx="7">
                  <c:v>130.5147442648873</c:v>
                </c:pt>
                <c:pt idx="8">
                  <c:v>137.10951577033626</c:v>
                </c:pt>
                <c:pt idx="9">
                  <c:v>143.91561911627036</c:v>
                </c:pt>
                <c:pt idx="10">
                  <c:v>149.0646194676182</c:v>
                </c:pt>
                <c:pt idx="11">
                  <c:v>154.3935194993571</c:v>
                </c:pt>
                <c:pt idx="12">
                  <c:v>161.77319516341794</c:v>
                </c:pt>
                <c:pt idx="13">
                  <c:v>169.35638221090809</c:v>
                </c:pt>
                <c:pt idx="14">
                  <c:v>177.14037034267545</c:v>
                </c:pt>
                <c:pt idx="15">
                  <c:v>185.12401958789172</c:v>
                </c:pt>
                <c:pt idx="16">
                  <c:v>192.67219192506622</c:v>
                </c:pt>
                <c:pt idx="17">
                  <c:v>200.41805563055365</c:v>
                </c:pt>
                <c:pt idx="18">
                  <c:v>208.35877612689774</c:v>
                </c:pt>
                <c:pt idx="19">
                  <c:v>216.48873591109313</c:v>
                </c:pt>
                <c:pt idx="20">
                  <c:v>224.81114142789775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B-47F9-91AE-2624A643904B}"/>
            </c:ext>
          </c:extLst>
        </c:ser>
        <c:ser>
          <c:idx val="3"/>
          <c:order val="2"/>
          <c:tx>
            <c:strRef>
              <c:f>Turkey!$E$159</c:f>
              <c:strCache>
                <c:ptCount val="1"/>
                <c:pt idx="0">
                  <c:v>Medium petrol</c:v>
                </c:pt>
              </c:strCache>
            </c:strRef>
          </c:tx>
          <c:marker>
            <c:symbol val="none"/>
          </c:marker>
          <c:cat>
            <c:numRef>
              <c:f>Turkey!$A$160:$A$180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Turkey!$E$160:$E$180</c:f>
              <c:numCache>
                <c:formatCode>0</c:formatCode>
                <c:ptCount val="21"/>
                <c:pt idx="0">
                  <c:v>92.024533855576294</c:v>
                </c:pt>
                <c:pt idx="1">
                  <c:v>95.796425337411847</c:v>
                </c:pt>
                <c:pt idx="2">
                  <c:v>101.22922986012412</c:v>
                </c:pt>
                <c:pt idx="3">
                  <c:v>106.84711493496533</c:v>
                </c:pt>
                <c:pt idx="4">
                  <c:v>112.655142449086</c:v>
                </c:pt>
                <c:pt idx="5">
                  <c:v>118.66617841820924</c:v>
                </c:pt>
                <c:pt idx="6">
                  <c:v>124.88111044055971</c:v>
                </c:pt>
                <c:pt idx="7">
                  <c:v>131.23552553777046</c:v>
                </c:pt>
                <c:pt idx="8">
                  <c:v>137.7944948764852</c:v>
                </c:pt>
                <c:pt idx="9">
                  <c:v>144.56342209611324</c:v>
                </c:pt>
                <c:pt idx="10">
                  <c:v>151.52099191703317</c:v>
                </c:pt>
                <c:pt idx="11">
                  <c:v>158.68116260004678</c:v>
                </c:pt>
                <c:pt idx="12">
                  <c:v>166.04548243957871</c:v>
                </c:pt>
                <c:pt idx="13">
                  <c:v>173.61169323079829</c:v>
                </c:pt>
                <c:pt idx="14">
                  <c:v>181.37707883855663</c:v>
                </c:pt>
                <c:pt idx="15">
                  <c:v>189.3405420384716</c:v>
                </c:pt>
                <c:pt idx="16">
                  <c:v>197.50295791090318</c:v>
                </c:pt>
                <c:pt idx="17">
                  <c:v>205.86755028626271</c:v>
                </c:pt>
                <c:pt idx="18">
                  <c:v>214.43101894960429</c:v>
                </c:pt>
                <c:pt idx="19">
                  <c:v>223.18718781508284</c:v>
                </c:pt>
                <c:pt idx="20">
                  <c:v>232.13897173578667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B-47F9-91AE-2624A643904B}"/>
            </c:ext>
          </c:extLst>
        </c:ser>
        <c:ser>
          <c:idx val="4"/>
          <c:order val="3"/>
          <c:tx>
            <c:strRef>
              <c:f>Turkey!$F$159</c:f>
              <c:strCache>
                <c:ptCount val="1"/>
                <c:pt idx="0">
                  <c:v>Low petrol</c:v>
                </c:pt>
              </c:strCache>
            </c:strRef>
          </c:tx>
          <c:marker>
            <c:symbol val="none"/>
          </c:marker>
          <c:cat>
            <c:numRef>
              <c:f>Turkey!$A$160:$A$180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Turkey!$F$160:$F$180</c:f>
              <c:numCache>
                <c:formatCode>0</c:formatCode>
                <c:ptCount val="21"/>
                <c:pt idx="0">
                  <c:v>92.024533855576294</c:v>
                </c:pt>
                <c:pt idx="1">
                  <c:v>95.796425337411847</c:v>
                </c:pt>
                <c:pt idx="2">
                  <c:v>102.69050500040673</c:v>
                </c:pt>
                <c:pt idx="3">
                  <c:v>110.12857046155438</c:v>
                </c:pt>
                <c:pt idx="4">
                  <c:v>115.9910341616192</c:v>
                </c:pt>
                <c:pt idx="5">
                  <c:v>122.05437068289206</c:v>
                </c:pt>
                <c:pt idx="6">
                  <c:v>128.32794554521539</c:v>
                </c:pt>
                <c:pt idx="7">
                  <c:v>134.74437723669766</c:v>
                </c:pt>
                <c:pt idx="8">
                  <c:v>140.14950511237484</c:v>
                </c:pt>
                <c:pt idx="9">
                  <c:v>146.97030541302601</c:v>
                </c:pt>
                <c:pt idx="10">
                  <c:v>153.98465652510706</c:v>
                </c:pt>
                <c:pt idx="11">
                  <c:v>161.20146342173985</c:v>
                </c:pt>
                <c:pt idx="12">
                  <c:v>168.62227541714671</c:v>
                </c:pt>
                <c:pt idx="13">
                  <c:v>176.24477805222165</c:v>
                </c:pt>
                <c:pt idx="14">
                  <c:v>184.06619769199014</c:v>
                </c:pt>
                <c:pt idx="15">
                  <c:v>192.0854087184768</c:v>
                </c:pt>
                <c:pt idx="16">
                  <c:v>200.30328884431745</c:v>
                </c:pt>
                <c:pt idx="17">
                  <c:v>208.72309744320086</c:v>
                </c:pt>
                <c:pt idx="18">
                  <c:v>217.34147875314693</c:v>
                </c:pt>
                <c:pt idx="19">
                  <c:v>224.86371045909715</c:v>
                </c:pt>
                <c:pt idx="20">
                  <c:v>233.86474576858561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6B-47F9-91AE-2624A643904B}"/>
            </c:ext>
          </c:extLst>
        </c:ser>
        <c:ser>
          <c:idx val="0"/>
          <c:order val="4"/>
          <c:tx>
            <c:strRef>
              <c:f>Turkey!$B$159</c:f>
              <c:strCache>
                <c:ptCount val="1"/>
                <c:pt idx="0">
                  <c:v>basecase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cat>
            <c:numRef>
              <c:f>Turkey!$A$160:$A$180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Turkey!$B$160:$B$180</c:f>
              <c:numCache>
                <c:formatCode>0</c:formatCode>
                <c:ptCount val="21"/>
                <c:pt idx="0" formatCode="0.0">
                  <c:v>92.024533855576294</c:v>
                </c:pt>
                <c:pt idx="1">
                  <c:v>96.509961075607947</c:v>
                </c:pt>
                <c:pt idx="2">
                  <c:v>101.91953937357745</c:v>
                </c:pt>
                <c:pt idx="3">
                  <c:v>107.53116576617008</c:v>
                </c:pt>
                <c:pt idx="4">
                  <c:v>113.34346700804868</c:v>
                </c:pt>
                <c:pt idx="5">
                  <c:v>119.35588926753874</c:v>
                </c:pt>
                <c:pt idx="6">
                  <c:v>125.58518918035404</c:v>
                </c:pt>
                <c:pt idx="7">
                  <c:v>131.96111139191484</c:v>
                </c:pt>
                <c:pt idx="8">
                  <c:v>138.5426506361373</c:v>
                </c:pt>
                <c:pt idx="9">
                  <c:v>145.3269969022241</c:v>
                </c:pt>
                <c:pt idx="10">
                  <c:v>152.3141673836862</c:v>
                </c:pt>
                <c:pt idx="11">
                  <c:v>159.50399509586424</c:v>
                </c:pt>
                <c:pt idx="12">
                  <c:v>166.89801870108323</c:v>
                </c:pt>
                <c:pt idx="13">
                  <c:v>174.49395182155408</c:v>
                </c:pt>
                <c:pt idx="14">
                  <c:v>182.28904939422327</c:v>
                </c:pt>
                <c:pt idx="15">
                  <c:v>190.28219493474887</c:v>
                </c:pt>
                <c:pt idx="16">
                  <c:v>198.4742551825035</c:v>
                </c:pt>
                <c:pt idx="17">
                  <c:v>206.86845776784858</c:v>
                </c:pt>
                <c:pt idx="18">
                  <c:v>215.46147505159598</c:v>
                </c:pt>
                <c:pt idx="19">
                  <c:v>224.24709140622795</c:v>
                </c:pt>
                <c:pt idx="20">
                  <c:v>233.22822694577704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6B-47F9-91AE-2624A6439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011264"/>
        <c:axId val="166012800"/>
      </c:lineChart>
      <c:catAx>
        <c:axId val="1660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012800"/>
        <c:crosses val="autoZero"/>
        <c:auto val="1"/>
        <c:lblAlgn val="ctr"/>
        <c:lblOffset val="100"/>
        <c:noMultiLvlLbl val="0"/>
      </c:catAx>
      <c:valAx>
        <c:axId val="16601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Billion vehicle kilometres per 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011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923128452227045"/>
          <c:y val="0.38457239196775295"/>
          <c:w val="0.2122612527911632"/>
          <c:h val="0.338510718456845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005192285746876E-2"/>
          <c:y val="3.3952659587276363E-2"/>
          <c:w val="0.80143672258359011"/>
          <c:h val="0.8647427099135544"/>
        </c:manualLayout>
      </c:layout>
      <c:lineChart>
        <c:grouping val="standard"/>
        <c:varyColors val="0"/>
        <c:ser>
          <c:idx val="0"/>
          <c:order val="1"/>
          <c:tx>
            <c:v> energy content (LHS)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USA!$A$52:$A$105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USA!$AZ$52:$AZ$105</c:f>
              <c:numCache>
                <c:formatCode>0.000</c:formatCode>
                <c:ptCount val="54"/>
                <c:pt idx="0">
                  <c:v>37.899440277388962</c:v>
                </c:pt>
                <c:pt idx="1">
                  <c:v>38.345785842585251</c:v>
                </c:pt>
                <c:pt idx="2">
                  <c:v>38.90727449589825</c:v>
                </c:pt>
                <c:pt idx="3">
                  <c:v>38.261079870051304</c:v>
                </c:pt>
                <c:pt idx="4">
                  <c:v>37.366697497093256</c:v>
                </c:pt>
                <c:pt idx="5">
                  <c:v>36.577283603122488</c:v>
                </c:pt>
                <c:pt idx="6">
                  <c:v>35.872078388192897</c:v>
                </c:pt>
                <c:pt idx="7">
                  <c:v>34.470221308414168</c:v>
                </c:pt>
                <c:pt idx="8">
                  <c:v>35.998082465970036</c:v>
                </c:pt>
                <c:pt idx="9">
                  <c:v>48.418380473176882</c:v>
                </c:pt>
                <c:pt idx="10">
                  <c:v>49.496348108621852</c:v>
                </c:pt>
                <c:pt idx="11">
                  <c:v>49.3542711200244</c:v>
                </c:pt>
                <c:pt idx="12">
                  <c:v>47.738489724663268</c:v>
                </c:pt>
                <c:pt idx="13">
                  <c:v>45.069686686396778</c:v>
                </c:pt>
                <c:pt idx="14">
                  <c:v>58.647028409230856</c:v>
                </c:pt>
                <c:pt idx="15">
                  <c:v>78.411099621622</c:v>
                </c:pt>
                <c:pt idx="16">
                  <c:v>79.473024206684087</c:v>
                </c:pt>
                <c:pt idx="17">
                  <c:v>67.554705593217435</c:v>
                </c:pt>
                <c:pt idx="18">
                  <c:v>59.073545197625961</c:v>
                </c:pt>
                <c:pt idx="19">
                  <c:v>54.367363360702846</c:v>
                </c:pt>
                <c:pt idx="20">
                  <c:v>52.035081845127046</c:v>
                </c:pt>
                <c:pt idx="21">
                  <c:v>36.82251470499839</c:v>
                </c:pt>
                <c:pt idx="22">
                  <c:v>36.165421968670181</c:v>
                </c:pt>
                <c:pt idx="23">
                  <c:v>34.321933623767457</c:v>
                </c:pt>
                <c:pt idx="24">
                  <c:v>35.196436035654663</c:v>
                </c:pt>
                <c:pt idx="25">
                  <c:v>35.038191118383409</c:v>
                </c:pt>
                <c:pt idx="26">
                  <c:v>33.518333529727897</c:v>
                </c:pt>
                <c:pt idx="27">
                  <c:v>29.243282988824937</c:v>
                </c:pt>
                <c:pt idx="28">
                  <c:v>27.416480662982551</c:v>
                </c:pt>
                <c:pt idx="29">
                  <c:v>27.65438802024255</c:v>
                </c:pt>
                <c:pt idx="30">
                  <c:v>27.725109423225955</c:v>
                </c:pt>
                <c:pt idx="31">
                  <c:v>30.883198470237708</c:v>
                </c:pt>
                <c:pt idx="32">
                  <c:v>29.269583853996458</c:v>
                </c:pt>
                <c:pt idx="33">
                  <c:v>23.006852145564025</c:v>
                </c:pt>
                <c:pt idx="34">
                  <c:v>26.31145576488904</c:v>
                </c:pt>
                <c:pt idx="35">
                  <c:v>36.979415885365455</c:v>
                </c:pt>
                <c:pt idx="36">
                  <c:v>33.937997771653777</c:v>
                </c:pt>
                <c:pt idx="37">
                  <c:v>30.682809735888014</c:v>
                </c:pt>
                <c:pt idx="38">
                  <c:v>37.057851380837526</c:v>
                </c:pt>
                <c:pt idx="39">
                  <c:v>45.011993133568346</c:v>
                </c:pt>
                <c:pt idx="40">
                  <c:v>55.89063287361801</c:v>
                </c:pt>
                <c:pt idx="41">
                  <c:v>62.565694971356109</c:v>
                </c:pt>
                <c:pt idx="42">
                  <c:v>67.50434042352525</c:v>
                </c:pt>
                <c:pt idx="43">
                  <c:v>76.755156014536311</c:v>
                </c:pt>
                <c:pt idx="44">
                  <c:v>52.565504632874337</c:v>
                </c:pt>
                <c:pt idx="45">
                  <c:v>62.808019619757133</c:v>
                </c:pt>
                <c:pt idx="46">
                  <c:v>80.025620683761275</c:v>
                </c:pt>
                <c:pt idx="47">
                  <c:v>80.988146102231653</c:v>
                </c:pt>
                <c:pt idx="48">
                  <c:v>76.833052011824961</c:v>
                </c:pt>
                <c:pt idx="49">
                  <c:v>71.943352325196528</c:v>
                </c:pt>
                <c:pt idx="50">
                  <c:v>48.307299211768893</c:v>
                </c:pt>
                <c:pt idx="51">
                  <c:v>41.856363982945716</c:v>
                </c:pt>
                <c:pt idx="52">
                  <c:v>46.403295764533674</c:v>
                </c:pt>
                <c:pt idx="53">
                  <c:v>52.24139563483223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F-4B9D-82B1-E8DD9122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22144"/>
        <c:axId val="166085376"/>
      </c:lineChart>
      <c:lineChart>
        <c:grouping val="standard"/>
        <c:varyColors val="0"/>
        <c:ser>
          <c:idx val="1"/>
          <c:order val="0"/>
          <c:tx>
            <c:v> landed oil price (RHS)</c:v>
          </c:tx>
          <c:marker>
            <c:symbol val="none"/>
          </c:marker>
          <c:cat>
            <c:numRef>
              <c:f>USA!$A$52:$A$105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USA!$BB$52:$BB$105</c:f>
              <c:numCache>
                <c:formatCode>0.00</c:formatCode>
                <c:ptCount val="54"/>
                <c:pt idx="0">
                  <c:v>22.846415079365116</c:v>
                </c:pt>
                <c:pt idx="1">
                  <c:v>22.211792438271637</c:v>
                </c:pt>
                <c:pt idx="2">
                  <c:v>21.546768712574885</c:v>
                </c:pt>
                <c:pt idx="3">
                  <c:v>20.679944683908076</c:v>
                </c:pt>
                <c:pt idx="4">
                  <c:v>19.579609752497756</c:v>
                </c:pt>
                <c:pt idx="5">
                  <c:v>18.829021799828212</c:v>
                </c:pt>
                <c:pt idx="6">
                  <c:v>19.169449958847764</c:v>
                </c:pt>
                <c:pt idx="7">
                  <c:v>18.573270893141974</c:v>
                </c:pt>
                <c:pt idx="8">
                  <c:v>19.008273479729759</c:v>
                </c:pt>
                <c:pt idx="9">
                  <c:v>54.320795875591699</c:v>
                </c:pt>
                <c:pt idx="10">
                  <c:v>51.334253769933504</c:v>
                </c:pt>
                <c:pt idx="11">
                  <c:v>51.021390456674567</c:v>
                </c:pt>
                <c:pt idx="12">
                  <c:v>51.66269601319776</c:v>
                </c:pt>
                <c:pt idx="13">
                  <c:v>47.933460237578281</c:v>
                </c:pt>
                <c:pt idx="14">
                  <c:v>64.387259230769317</c:v>
                </c:pt>
                <c:pt idx="15">
                  <c:v>89.446532338660873</c:v>
                </c:pt>
                <c:pt idx="16">
                  <c:v>87.319701915322696</c:v>
                </c:pt>
                <c:pt idx="17">
                  <c:v>75.00245131215479</c:v>
                </c:pt>
                <c:pt idx="18">
                  <c:v>63.398150083682111</c:v>
                </c:pt>
                <c:pt idx="19">
                  <c:v>59.842446728672314</c:v>
                </c:pt>
                <c:pt idx="20">
                  <c:v>54.053699279739831</c:v>
                </c:pt>
                <c:pt idx="21">
                  <c:v>29.921099027577348</c:v>
                </c:pt>
                <c:pt idx="22">
                  <c:v>36.8530861082588</c:v>
                </c:pt>
                <c:pt idx="23">
                  <c:v>29.446022271542361</c:v>
                </c:pt>
                <c:pt idx="24">
                  <c:v>34.557222429906595</c:v>
                </c:pt>
                <c:pt idx="25">
                  <c:v>40.942571012181958</c:v>
                </c:pt>
                <c:pt idx="26">
                  <c:v>34.497654602203234</c:v>
                </c:pt>
                <c:pt idx="27">
                  <c:v>31.987226192314584</c:v>
                </c:pt>
                <c:pt idx="28">
                  <c:v>27.81937116571499</c:v>
                </c:pt>
                <c:pt idx="29">
                  <c:v>25.30589284308769</c:v>
                </c:pt>
                <c:pt idx="30">
                  <c:v>26.375611828721457</c:v>
                </c:pt>
                <c:pt idx="31">
                  <c:v>30.753333878765382</c:v>
                </c:pt>
                <c:pt idx="32">
                  <c:v>27.999481560504623</c:v>
                </c:pt>
                <c:pt idx="33">
                  <c:v>19.291683584683835</c:v>
                </c:pt>
                <c:pt idx="34">
                  <c:v>25.318594807403745</c:v>
                </c:pt>
                <c:pt idx="35">
                  <c:v>38.476035493394058</c:v>
                </c:pt>
                <c:pt idx="36">
                  <c:v>32.002089404565844</c:v>
                </c:pt>
                <c:pt idx="37">
                  <c:v>31.741952159006718</c:v>
                </c:pt>
                <c:pt idx="38">
                  <c:v>36.83645798913048</c:v>
                </c:pt>
                <c:pt idx="39">
                  <c:v>47.919943107327256</c:v>
                </c:pt>
                <c:pt idx="40">
                  <c:v>63.257177330146874</c:v>
                </c:pt>
                <c:pt idx="41">
                  <c:v>71.463904432133035</c:v>
                </c:pt>
                <c:pt idx="42">
                  <c:v>76.088096591617187</c:v>
                </c:pt>
                <c:pt idx="43">
                  <c:v>100.97978966004393</c:v>
                </c:pt>
                <c:pt idx="44">
                  <c:v>62.969733381134233</c:v>
                </c:pt>
                <c:pt idx="45">
                  <c:v>79.48</c:v>
                </c:pt>
                <c:pt idx="46">
                  <c:v>91.997969509010503</c:v>
                </c:pt>
                <c:pt idx="47">
                  <c:v>89.392029265076943</c:v>
                </c:pt>
                <c:pt idx="48">
                  <c:v>91.82955471617052</c:v>
                </c:pt>
                <c:pt idx="49">
                  <c:v>85.904133364993911</c:v>
                </c:pt>
                <c:pt idx="50">
                  <c:v>44.76813938738384</c:v>
                </c:pt>
                <c:pt idx="51">
                  <c:v>39.325037453166594</c:v>
                </c:pt>
                <c:pt idx="52">
                  <c:v>45.18475579920986</c:v>
                </c:pt>
                <c:pt idx="53">
                  <c:v>56.635219008976691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F-4B9D-82B1-E8DD9122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660632"/>
        <c:axId val="1091653744"/>
      </c:lineChart>
      <c:catAx>
        <c:axId val="1660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085376"/>
        <c:crosses val="autoZero"/>
        <c:auto val="1"/>
        <c:lblAlgn val="ctr"/>
        <c:lblOffset val="100"/>
        <c:noMultiLvlLbl val="0"/>
      </c:catAx>
      <c:valAx>
        <c:axId val="16608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2010</a:t>
                </a:r>
                <a:r>
                  <a:rPr lang="en-AU" baseline="0"/>
                  <a:t> cents per litre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2.269927536231884E-2"/>
              <c:y val="0.3256206506296804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6022144"/>
        <c:crosses val="autoZero"/>
        <c:crossBetween val="between"/>
      </c:valAx>
      <c:valAx>
        <c:axId val="1091653744"/>
        <c:scaling>
          <c:orientation val="minMax"/>
          <c:max val="105"/>
          <c:min val="-1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dollars per barrel</a:t>
                </a:r>
              </a:p>
            </c:rich>
          </c:tx>
          <c:layout>
            <c:manualLayout>
              <c:xMode val="edge"/>
              <c:yMode val="edge"/>
              <c:x val="0.94751768800639047"/>
              <c:y val="0.3164080522044835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91660632"/>
        <c:crosses val="max"/>
        <c:crossBetween val="between"/>
      </c:valAx>
      <c:catAx>
        <c:axId val="1091660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1653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567600992810682"/>
          <c:y val="3.9703339834814229E-2"/>
          <c:w val="0.17705779984023737"/>
          <c:h val="0.181423715024551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9759405074363"/>
          <c:y val="5.0925925925925923E-2"/>
          <c:w val="0.84744685039370082"/>
          <c:h val="0.81329469233012541"/>
        </c:manualLayout>
      </c:layout>
      <c:lineChart>
        <c:grouping val="standard"/>
        <c:varyColors val="0"/>
        <c:ser>
          <c:idx val="0"/>
          <c:order val="0"/>
          <c:tx>
            <c:strRef>
              <c:f>USA!$Y$134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USA!$A$135:$A$155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USA!$Y$135:$Y$155</c:f>
              <c:numCache>
                <c:formatCode>0.00</c:formatCode>
                <c:ptCount val="21"/>
                <c:pt idx="0">
                  <c:v>84.765589342987539</c:v>
                </c:pt>
                <c:pt idx="1">
                  <c:v>104.13755836362554</c:v>
                </c:pt>
                <c:pt idx="2">
                  <c:v>105.08876457043472</c:v>
                </c:pt>
                <c:pt idx="3">
                  <c:v>100.20735701635449</c:v>
                </c:pt>
                <c:pt idx="4">
                  <c:v>94.563108701913009</c:v>
                </c:pt>
                <c:pt idx="5">
                  <c:v>67.950107096653113</c:v>
                </c:pt>
                <c:pt idx="6">
                  <c:v>60.355397215627676</c:v>
                </c:pt>
                <c:pt idx="7">
                  <c:v>65.573568818900469</c:v>
                </c:pt>
                <c:pt idx="8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6-400D-A905-3F5C95021AE5}"/>
            </c:ext>
          </c:extLst>
        </c:ser>
        <c:ser>
          <c:idx val="1"/>
          <c:order val="1"/>
          <c:tx>
            <c:strRef>
              <c:f>USA!$Z$134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USA!$A$135:$A$155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USA!$Z$135:$Z$155</c:f>
              <c:numCache>
                <c:formatCode>0.00</c:formatCode>
                <c:ptCount val="21"/>
                <c:pt idx="0">
                  <c:v>87.247965377270006</c:v>
                </c:pt>
                <c:pt idx="1">
                  <c:v>103.83499613837655</c:v>
                </c:pt>
                <c:pt idx="2">
                  <c:v>101.41815328177472</c:v>
                </c:pt>
                <c:pt idx="3">
                  <c:v>103.44417884382646</c:v>
                </c:pt>
                <c:pt idx="4">
                  <c:v>98.312244761820168</c:v>
                </c:pt>
                <c:pt idx="5">
                  <c:v>63.355226376880253</c:v>
                </c:pt>
                <c:pt idx="6">
                  <c:v>58.492730084325437</c:v>
                </c:pt>
                <c:pt idx="7">
                  <c:v>63.537346507497844</c:v>
                </c:pt>
                <c:pt idx="8">
                  <c:v>73.141905508869343</c:v>
                </c:pt>
                <c:pt idx="9">
                  <c:v>99.01271417490743</c:v>
                </c:pt>
                <c:pt idx="10">
                  <c:v>113.97442841028428</c:v>
                </c:pt>
                <c:pt idx="11">
                  <c:v>129.46629554541659</c:v>
                </c:pt>
                <c:pt idx="12">
                  <c:v>137.02989791441149</c:v>
                </c:pt>
                <c:pt idx="13">
                  <c:v>143.98173655069994</c:v>
                </c:pt>
                <c:pt idx="14">
                  <c:v>148.96442993816115</c:v>
                </c:pt>
                <c:pt idx="15">
                  <c:v>154.28495393045904</c:v>
                </c:pt>
                <c:pt idx="16">
                  <c:v>159.93727692550766</c:v>
                </c:pt>
                <c:pt idx="17">
                  <c:v>165.46302066536791</c:v>
                </c:pt>
                <c:pt idx="18">
                  <c:v>170.86096612833794</c:v>
                </c:pt>
                <c:pt idx="19">
                  <c:v>177.12439941274678</c:v>
                </c:pt>
                <c:pt idx="20">
                  <c:v>179.79130284011572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6-400D-A905-3F5C95021AE5}"/>
            </c:ext>
          </c:extLst>
        </c:ser>
        <c:ser>
          <c:idx val="3"/>
          <c:order val="2"/>
          <c:tx>
            <c:strRef>
              <c:f>USA!$AB$134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USA!$A$135:$A$155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USA!$AB$135:$AB$155</c:f>
              <c:numCache>
                <c:formatCode>0.00</c:formatCode>
                <c:ptCount val="21"/>
                <c:pt idx="0">
                  <c:v>87.247965377270006</c:v>
                </c:pt>
                <c:pt idx="1">
                  <c:v>103.83499613837655</c:v>
                </c:pt>
                <c:pt idx="2">
                  <c:v>101.41815328177472</c:v>
                </c:pt>
                <c:pt idx="3">
                  <c:v>103.44417884382646</c:v>
                </c:pt>
                <c:pt idx="4">
                  <c:v>98.312244761820168</c:v>
                </c:pt>
                <c:pt idx="5">
                  <c:v>63.355226376880253</c:v>
                </c:pt>
                <c:pt idx="6">
                  <c:v>58.492730084325437</c:v>
                </c:pt>
                <c:pt idx="7">
                  <c:v>63.537346507497844</c:v>
                </c:pt>
                <c:pt idx="8">
                  <c:v>73.141905508869343</c:v>
                </c:pt>
                <c:pt idx="9">
                  <c:v>45.496877644353305</c:v>
                </c:pt>
                <c:pt idx="10">
                  <c:v>46.929890956088485</c:v>
                </c:pt>
                <c:pt idx="11">
                  <c:v>48.929113267405967</c:v>
                </c:pt>
                <c:pt idx="12">
                  <c:v>50.036070505087835</c:v>
                </c:pt>
                <c:pt idx="13">
                  <c:v>50.560027315451926</c:v>
                </c:pt>
                <c:pt idx="14">
                  <c:v>50.79313520071657</c:v>
                </c:pt>
                <c:pt idx="15">
                  <c:v>51.875935601896657</c:v>
                </c:pt>
                <c:pt idx="16">
                  <c:v>53.028308831904042</c:v>
                </c:pt>
                <c:pt idx="17">
                  <c:v>54.152506666785349</c:v>
                </c:pt>
                <c:pt idx="18">
                  <c:v>54.599001765612748</c:v>
                </c:pt>
                <c:pt idx="19">
                  <c:v>55.031814540780623</c:v>
                </c:pt>
                <c:pt idx="20">
                  <c:v>55.900375681074657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6-400D-A905-3F5C95021AE5}"/>
            </c:ext>
          </c:extLst>
        </c:ser>
        <c:ser>
          <c:idx val="2"/>
          <c:order val="3"/>
          <c:tx>
            <c:strRef>
              <c:f>USA!$AA$134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USA!$A$135:$A$155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USA!$AA$135:$AA$155</c:f>
              <c:numCache>
                <c:formatCode>0.00</c:formatCode>
                <c:ptCount val="21"/>
                <c:pt idx="0">
                  <c:v>87.247965377270006</c:v>
                </c:pt>
                <c:pt idx="1">
                  <c:v>103.83499613837655</c:v>
                </c:pt>
                <c:pt idx="2">
                  <c:v>101.41815328177472</c:v>
                </c:pt>
                <c:pt idx="3">
                  <c:v>103.44417884382646</c:v>
                </c:pt>
                <c:pt idx="4">
                  <c:v>98.312244761820168</c:v>
                </c:pt>
                <c:pt idx="5">
                  <c:v>63.355226376880253</c:v>
                </c:pt>
                <c:pt idx="6">
                  <c:v>58.492730084325437</c:v>
                </c:pt>
                <c:pt idx="7">
                  <c:v>63.537346507497844</c:v>
                </c:pt>
                <c:pt idx="8">
                  <c:v>73.141905508869343</c:v>
                </c:pt>
                <c:pt idx="9">
                  <c:v>70.410402359659187</c:v>
                </c:pt>
                <c:pt idx="10">
                  <c:v>72.11493225831245</c:v>
                </c:pt>
                <c:pt idx="11">
                  <c:v>79.111080652213602</c:v>
                </c:pt>
                <c:pt idx="12">
                  <c:v>84.370099288773147</c:v>
                </c:pt>
                <c:pt idx="13">
                  <c:v>87.698731713498304</c:v>
                </c:pt>
                <c:pt idx="14">
                  <c:v>88.822029538929399</c:v>
                </c:pt>
                <c:pt idx="15">
                  <c:v>92.500821990198631</c:v>
                </c:pt>
                <c:pt idx="16">
                  <c:v>98.659481927806794</c:v>
                </c:pt>
                <c:pt idx="17">
                  <c:v>102.22389724159849</c:v>
                </c:pt>
                <c:pt idx="18">
                  <c:v>105.15822382779341</c:v>
                </c:pt>
                <c:pt idx="19">
                  <c:v>108.74674936442538</c:v>
                </c:pt>
                <c:pt idx="20">
                  <c:v>110.69922868254037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6-400D-A905-3F5C9502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461688"/>
        <c:axId val="1191454472"/>
      </c:lineChart>
      <c:catAx>
        <c:axId val="119146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454472"/>
        <c:crosses val="autoZero"/>
        <c:auto val="1"/>
        <c:lblAlgn val="ctr"/>
        <c:lblOffset val="100"/>
        <c:noMultiLvlLbl val="0"/>
      </c:catAx>
      <c:valAx>
        <c:axId val="119145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cents per litre</a:t>
                </a:r>
              </a:p>
            </c:rich>
          </c:tx>
          <c:layout>
            <c:manualLayout>
              <c:xMode val="edge"/>
              <c:yMode val="edge"/>
              <c:x val="6.0693350831146119E-3"/>
              <c:y val="0.24716790609507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46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127427134435418"/>
          <c:y val="5.6133712452610091E-2"/>
          <c:w val="0.22412992125984252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USA!$BB$134</c:f>
              <c:strCache>
                <c:ptCount val="1"/>
                <c:pt idx="0">
                  <c:v> HIGH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USA!$BB$135:$BB$155</c:f>
              <c:numCache>
                <c:formatCode>0.00</c:formatCode>
                <c:ptCount val="21"/>
                <c:pt idx="0">
                  <c:v>89.399844499414797</c:v>
                </c:pt>
                <c:pt idx="1">
                  <c:v>120.26114121421196</c:v>
                </c:pt>
                <c:pt idx="2">
                  <c:v>120.13042775374169</c:v>
                </c:pt>
                <c:pt idx="3">
                  <c:v>114.60537157110822</c:v>
                </c:pt>
                <c:pt idx="4">
                  <c:v>102.37147795417266</c:v>
                </c:pt>
                <c:pt idx="5">
                  <c:v>52.585226603352183</c:v>
                </c:pt>
                <c:pt idx="6">
                  <c:v>42.659934445349677</c:v>
                </c:pt>
                <c:pt idx="7">
                  <c:v>53.912016999999999</c:v>
                </c:pt>
                <c:pt idx="8">
                  <c:v>70.203982683982687</c:v>
                </c:pt>
                <c:pt idx="9">
                  <c:v>104.59234847181854</c:v>
                </c:pt>
                <c:pt idx="10">
                  <c:v>121.52634774820821</c:v>
                </c:pt>
                <c:pt idx="11">
                  <c:v>139.45646462909139</c:v>
                </c:pt>
                <c:pt idx="12">
                  <c:v>147.42540546503949</c:v>
                </c:pt>
                <c:pt idx="13">
                  <c:v>153.40211109200052</c:v>
                </c:pt>
                <c:pt idx="14">
                  <c:v>158.3826991144681</c:v>
                </c:pt>
                <c:pt idx="15">
                  <c:v>163.36328713693564</c:v>
                </c:pt>
                <c:pt idx="16">
                  <c:v>168.34387515940318</c:v>
                </c:pt>
                <c:pt idx="17">
                  <c:v>173.32446318187073</c:v>
                </c:pt>
                <c:pt idx="18">
                  <c:v>177.30893359984478</c:v>
                </c:pt>
                <c:pt idx="19">
                  <c:v>182.28952162231232</c:v>
                </c:pt>
                <c:pt idx="20">
                  <c:v>185.27787443579282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F-4B20-8459-6F0BD58EE0CD}"/>
            </c:ext>
          </c:extLst>
        </c:ser>
        <c:ser>
          <c:idx val="3"/>
          <c:order val="1"/>
          <c:tx>
            <c:strRef>
              <c:f>USA!$BC$134</c:f>
              <c:strCache>
                <c:ptCount val="1"/>
                <c:pt idx="0">
                  <c:v> LOW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USA!$BC$135:$BC$155</c:f>
              <c:numCache>
                <c:formatCode>0.00</c:formatCode>
                <c:ptCount val="21"/>
                <c:pt idx="0">
                  <c:v>89.399844499414797</c:v>
                </c:pt>
                <c:pt idx="1">
                  <c:v>120.26114121421196</c:v>
                </c:pt>
                <c:pt idx="2">
                  <c:v>120.13042775374169</c:v>
                </c:pt>
                <c:pt idx="3">
                  <c:v>114.60537157110822</c:v>
                </c:pt>
                <c:pt idx="4">
                  <c:v>102.37147795417266</c:v>
                </c:pt>
                <c:pt idx="5">
                  <c:v>52.585226603352183</c:v>
                </c:pt>
                <c:pt idx="6">
                  <c:v>42.659934445349677</c:v>
                </c:pt>
                <c:pt idx="7">
                  <c:v>53.912016999999999</c:v>
                </c:pt>
                <c:pt idx="8">
                  <c:v>70.203982683982687</c:v>
                </c:pt>
                <c:pt idx="9">
                  <c:v>29.883528134805296</c:v>
                </c:pt>
                <c:pt idx="10">
                  <c:v>30.879645739298809</c:v>
                </c:pt>
                <c:pt idx="11">
                  <c:v>32.871880948285835</c:v>
                </c:pt>
                <c:pt idx="12">
                  <c:v>33.867998552779333</c:v>
                </c:pt>
                <c:pt idx="13">
                  <c:v>33.867998552779333</c:v>
                </c:pt>
                <c:pt idx="14">
                  <c:v>33.867998552779333</c:v>
                </c:pt>
                <c:pt idx="15">
                  <c:v>34.864116157272846</c:v>
                </c:pt>
                <c:pt idx="16">
                  <c:v>35.860233761766352</c:v>
                </c:pt>
                <c:pt idx="17">
                  <c:v>36.856351366259872</c:v>
                </c:pt>
                <c:pt idx="18">
                  <c:v>36.856351366259872</c:v>
                </c:pt>
                <c:pt idx="19">
                  <c:v>36.856351366259872</c:v>
                </c:pt>
                <c:pt idx="20">
                  <c:v>37.852468970753385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EF-4B20-8459-6F0BD58EE0CD}"/>
            </c:ext>
          </c:extLst>
        </c:ser>
        <c:ser>
          <c:idx val="1"/>
          <c:order val="2"/>
          <c:tx>
            <c:strRef>
              <c:f>USA!$BA$134</c:f>
              <c:strCache>
                <c:ptCount val="1"/>
                <c:pt idx="0">
                  <c:v>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USA!$BA$135:$BA$155</c:f>
              <c:numCache>
                <c:formatCode>0.00</c:formatCode>
                <c:ptCount val="21"/>
                <c:pt idx="0">
                  <c:v>89.399844499414797</c:v>
                </c:pt>
                <c:pt idx="1">
                  <c:v>120.26114121421196</c:v>
                </c:pt>
                <c:pt idx="2">
                  <c:v>120.13042775374169</c:v>
                </c:pt>
                <c:pt idx="3">
                  <c:v>114.60537157110822</c:v>
                </c:pt>
                <c:pt idx="4">
                  <c:v>102.37147795417266</c:v>
                </c:pt>
                <c:pt idx="5">
                  <c:v>52.585226603352183</c:v>
                </c:pt>
                <c:pt idx="6">
                  <c:v>42.659934445349677</c:v>
                </c:pt>
                <c:pt idx="7">
                  <c:v>53.912016999999999</c:v>
                </c:pt>
                <c:pt idx="8">
                  <c:v>70.203982683982687</c:v>
                </c:pt>
                <c:pt idx="9">
                  <c:v>64.663140350244831</c:v>
                </c:pt>
                <c:pt idx="10">
                  <c:v>64.930755951886312</c:v>
                </c:pt>
                <c:pt idx="11">
                  <c:v>72.815324925164376</c:v>
                </c:pt>
                <c:pt idx="12">
                  <c:v>78.685928670753853</c:v>
                </c:pt>
                <c:pt idx="13">
                  <c:v>81.387382509864764</c:v>
                </c:pt>
                <c:pt idx="14">
                  <c:v>82.101613112704101</c:v>
                </c:pt>
                <c:pt idx="15">
                  <c:v>85.838769632530642</c:v>
                </c:pt>
                <c:pt idx="16">
                  <c:v>92.407257653139695</c:v>
                </c:pt>
                <c:pt idx="17">
                  <c:v>95.792490176822227</c:v>
                </c:pt>
                <c:pt idx="18">
                  <c:v>97.935426825535558</c:v>
                </c:pt>
                <c:pt idx="19">
                  <c:v>100.84003448421468</c:v>
                </c:pt>
                <c:pt idx="20">
                  <c:v>103.06098187815415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F-4B20-8459-6F0BD58EE0CD}"/>
            </c:ext>
          </c:extLst>
        </c:ser>
        <c:ser>
          <c:idx val="0"/>
          <c:order val="3"/>
          <c:tx>
            <c:strRef>
              <c:f>USA!$AZ$134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USA!$AZ$135:$AZ$155</c:f>
              <c:numCache>
                <c:formatCode>0.00</c:formatCode>
                <c:ptCount val="21"/>
                <c:pt idx="0">
                  <c:v>89.399844499414797</c:v>
                </c:pt>
                <c:pt idx="1">
                  <c:v>120.26114121421196</c:v>
                </c:pt>
                <c:pt idx="2">
                  <c:v>120.13042775374169</c:v>
                </c:pt>
                <c:pt idx="3">
                  <c:v>114.60537157110822</c:v>
                </c:pt>
                <c:pt idx="4">
                  <c:v>102.37147795417266</c:v>
                </c:pt>
                <c:pt idx="5">
                  <c:v>52.585226603352183</c:v>
                </c:pt>
                <c:pt idx="6">
                  <c:v>42.659934445349677</c:v>
                </c:pt>
                <c:pt idx="7">
                  <c:v>53.912016999999999</c:v>
                </c:pt>
                <c:pt idx="8">
                  <c:v>70.203982683982687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F-4B20-8459-6F0BD58E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737512"/>
        <c:axId val="714739808"/>
      </c:lineChart>
      <c:catAx>
        <c:axId val="71473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7398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1473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OPEC Oil price (2018 US$/barrel)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96681977252843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737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38792455188055"/>
          <c:y val="4.7542230298135771E-2"/>
          <c:w val="0.27621383312396514"/>
          <c:h val="0.29006460730870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USA!$Z$2</c:f>
              <c:strCache>
                <c:ptCount val="1"/>
                <c:pt idx="0">
                  <c:v>Composite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USA!$Z$84:$Z$104</c:f>
              <c:numCache>
                <c:formatCode>0.00</c:formatCode>
                <c:ptCount val="21"/>
                <c:pt idx="0">
                  <c:v>20.61</c:v>
                </c:pt>
                <c:pt idx="1">
                  <c:v>14.42</c:v>
                </c:pt>
                <c:pt idx="2">
                  <c:v>17.48</c:v>
                </c:pt>
                <c:pt idx="3">
                  <c:v>27.6</c:v>
                </c:pt>
                <c:pt idx="4">
                  <c:v>23.12</c:v>
                </c:pt>
                <c:pt idx="5">
                  <c:v>24.36</c:v>
                </c:pt>
                <c:pt idx="6">
                  <c:v>28.1</c:v>
                </c:pt>
                <c:pt idx="7">
                  <c:v>36.049999999999997</c:v>
                </c:pt>
                <c:pt idx="8">
                  <c:v>50.64</c:v>
                </c:pt>
                <c:pt idx="9">
                  <c:v>61.08</c:v>
                </c:pt>
                <c:pt idx="10">
                  <c:v>69.08</c:v>
                </c:pt>
                <c:pt idx="11">
                  <c:v>94.45</c:v>
                </c:pt>
                <c:pt idx="12">
                  <c:v>61.06</c:v>
                </c:pt>
                <c:pt idx="13">
                  <c:v>77.45</c:v>
                </c:pt>
                <c:pt idx="14">
                  <c:v>107.45</c:v>
                </c:pt>
                <c:pt idx="15">
                  <c:v>109.49585833333333</c:v>
                </c:pt>
                <c:pt idx="16">
                  <c:v>105.93624999999999</c:v>
                </c:pt>
                <c:pt idx="17">
                  <c:v>96.189058333333321</c:v>
                </c:pt>
                <c:pt idx="18">
                  <c:v>49.516674999999999</c:v>
                </c:pt>
                <c:pt idx="19">
                  <c:v>40.68396666666667</c:v>
                </c:pt>
                <c:pt idx="20">
                  <c:v>52.51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6-450F-B040-E49D1E296511}"/>
            </c:ext>
          </c:extLst>
        </c:ser>
        <c:ser>
          <c:idx val="1"/>
          <c:order val="1"/>
          <c:tx>
            <c:strRef>
              <c:f>USA!$AB$2</c:f>
              <c:strCache>
                <c:ptCount val="1"/>
                <c:pt idx="0">
                  <c:v>TAPIS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USA!$AB$84:$AB$104</c:f>
              <c:numCache>
                <c:formatCode>0.00</c:formatCode>
                <c:ptCount val="21"/>
                <c:pt idx="0">
                  <c:v>21.84</c:v>
                </c:pt>
                <c:pt idx="1">
                  <c:v>14.37</c:v>
                </c:pt>
                <c:pt idx="2">
                  <c:v>17.309999999999999</c:v>
                </c:pt>
                <c:pt idx="3">
                  <c:v>29.53</c:v>
                </c:pt>
                <c:pt idx="4">
                  <c:v>26.26</c:v>
                </c:pt>
                <c:pt idx="5">
                  <c:v>25.59</c:v>
                </c:pt>
                <c:pt idx="6">
                  <c:v>30.17</c:v>
                </c:pt>
                <c:pt idx="7">
                  <c:v>41.14</c:v>
                </c:pt>
                <c:pt idx="8">
                  <c:v>57.63</c:v>
                </c:pt>
                <c:pt idx="9">
                  <c:v>70.02</c:v>
                </c:pt>
                <c:pt idx="10">
                  <c:v>77.52</c:v>
                </c:pt>
                <c:pt idx="11">
                  <c:v>104.41</c:v>
                </c:pt>
                <c:pt idx="12">
                  <c:v>64.760000000000005</c:v>
                </c:pt>
                <c:pt idx="13">
                  <c:v>82.411666666666676</c:v>
                </c:pt>
                <c:pt idx="14">
                  <c:v>116.04166666666667</c:v>
                </c:pt>
                <c:pt idx="15">
                  <c:v>114.375</c:v>
                </c:pt>
                <c:pt idx="16">
                  <c:v>113.73995308663781</c:v>
                </c:pt>
                <c:pt idx="17">
                  <c:v>106.4385730593545</c:v>
                </c:pt>
                <c:pt idx="18">
                  <c:v>67.676211458872089</c:v>
                </c:pt>
                <c:pt idx="19">
                  <c:v>57.427116730602677</c:v>
                </c:pt>
                <c:pt idx="20">
                  <c:v>69.000808761812394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6-450F-B040-E49D1E296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476848"/>
        <c:axId val="687478160"/>
      </c:lineChart>
      <c:catAx>
        <c:axId val="687476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478160"/>
        <c:crosses val="autoZero"/>
        <c:auto val="1"/>
        <c:lblAlgn val="ctr"/>
        <c:lblOffset val="100"/>
        <c:noMultiLvlLbl val="0"/>
      </c:catAx>
      <c:valAx>
        <c:axId val="68747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47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0575081441229"/>
          <c:y val="3.5699420209129806E-2"/>
          <c:w val="0.84104801348896474"/>
          <c:h val="0.83389599210067067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Australia!$BP$44:$BP$97</c:f>
              <c:numCache>
                <c:formatCode>0.00</c:formatCode>
                <c:ptCount val="54"/>
                <c:pt idx="0">
                  <c:v>104.08281726920019</c:v>
                </c:pt>
                <c:pt idx="1">
                  <c:v>105.9721484148078</c:v>
                </c:pt>
                <c:pt idx="2">
                  <c:v>107.00803481188591</c:v>
                </c:pt>
                <c:pt idx="3">
                  <c:v>105.02843655849594</c:v>
                </c:pt>
                <c:pt idx="4">
                  <c:v>103.85989695952399</c:v>
                </c:pt>
                <c:pt idx="5">
                  <c:v>106.80824196942656</c:v>
                </c:pt>
                <c:pt idx="6">
                  <c:v>109.60476653502303</c:v>
                </c:pt>
                <c:pt idx="7">
                  <c:v>105.09452073051574</c:v>
                </c:pt>
                <c:pt idx="8">
                  <c:v>107.73791327627852</c:v>
                </c:pt>
                <c:pt idx="9">
                  <c:v>112.08382776828432</c:v>
                </c:pt>
                <c:pt idx="10">
                  <c:v>114.05936660968429</c:v>
                </c:pt>
                <c:pt idx="11">
                  <c:v>109.9201581887183</c:v>
                </c:pt>
                <c:pt idx="12">
                  <c:v>102.24323792367393</c:v>
                </c:pt>
                <c:pt idx="13">
                  <c:v>104.32206209998954</c:v>
                </c:pt>
                <c:pt idx="14">
                  <c:v>131.40912076384177</c:v>
                </c:pt>
                <c:pt idx="15">
                  <c:v>142.49342522794961</c:v>
                </c:pt>
                <c:pt idx="16">
                  <c:v>144.32116058780284</c:v>
                </c:pt>
                <c:pt idx="17">
                  <c:v>143.3123874797223</c:v>
                </c:pt>
                <c:pt idx="18">
                  <c:v>144.21636409098352</c:v>
                </c:pt>
                <c:pt idx="19">
                  <c:v>146.82228281411628</c:v>
                </c:pt>
                <c:pt idx="20">
                  <c:v>155.91842562132669</c:v>
                </c:pt>
                <c:pt idx="21">
                  <c:v>142.29640055133493</c:v>
                </c:pt>
                <c:pt idx="22">
                  <c:v>137.17209564665922</c:v>
                </c:pt>
                <c:pt idx="23">
                  <c:v>123.8862793063861</c:v>
                </c:pt>
                <c:pt idx="24">
                  <c:v>120.49885251666177</c:v>
                </c:pt>
                <c:pt idx="25">
                  <c:v>136.68591492868265</c:v>
                </c:pt>
                <c:pt idx="26">
                  <c:v>126.7884587935922</c:v>
                </c:pt>
                <c:pt idx="27">
                  <c:v>126.75395596449326</c:v>
                </c:pt>
                <c:pt idx="28">
                  <c:v>124.98778330084238</c:v>
                </c:pt>
                <c:pt idx="29">
                  <c:v>121.43536256695667</c:v>
                </c:pt>
                <c:pt idx="30">
                  <c:v>122.17607572814994</c:v>
                </c:pt>
                <c:pt idx="31">
                  <c:v>120.2222401996076</c:v>
                </c:pt>
                <c:pt idx="32">
                  <c:v>120.7805165894665</c:v>
                </c:pt>
                <c:pt idx="33">
                  <c:v>114.22196606672676</c:v>
                </c:pt>
                <c:pt idx="34">
                  <c:v>116.53078009602146</c:v>
                </c:pt>
                <c:pt idx="35">
                  <c:v>140.49523788137753</c:v>
                </c:pt>
                <c:pt idx="36">
                  <c:v>132.28304685666345</c:v>
                </c:pt>
                <c:pt idx="37">
                  <c:v>126.78060421726947</c:v>
                </c:pt>
                <c:pt idx="38">
                  <c:v>128.5414716935785</c:v>
                </c:pt>
                <c:pt idx="39">
                  <c:v>136.08358200755958</c:v>
                </c:pt>
                <c:pt idx="40">
                  <c:v>150.82560345749243</c:v>
                </c:pt>
                <c:pt idx="41">
                  <c:v>164.50453638214586</c:v>
                </c:pt>
                <c:pt idx="42">
                  <c:v>159.93197544575588</c:v>
                </c:pt>
                <c:pt idx="43">
                  <c:v>175.47594863028354</c:v>
                </c:pt>
                <c:pt idx="44">
                  <c:v>144.38304112149012</c:v>
                </c:pt>
                <c:pt idx="45">
                  <c:v>148.60684947698138</c:v>
                </c:pt>
                <c:pt idx="46">
                  <c:v>161.17797746821162</c:v>
                </c:pt>
                <c:pt idx="47">
                  <c:v>160.89401053212967</c:v>
                </c:pt>
                <c:pt idx="48">
                  <c:v>160.00882328836695</c:v>
                </c:pt>
                <c:pt idx="49">
                  <c:v>157.12894445675116</c:v>
                </c:pt>
                <c:pt idx="50">
                  <c:v>134.8301082952261</c:v>
                </c:pt>
                <c:pt idx="51">
                  <c:v>121.28073824829967</c:v>
                </c:pt>
                <c:pt idx="52">
                  <c:v>130.51852568282894</c:v>
                </c:pt>
                <c:pt idx="53">
                  <c:v>143.63340430825156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C7-4A91-B63A-1FD9A68E9DF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Australia!$A$44:$A$97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Australia!$BQ$44:$BQ$97</c:f>
              <c:numCache>
                <c:formatCode>0.00</c:formatCode>
                <c:ptCount val="54"/>
                <c:pt idx="0">
                  <c:v>107.77274075975556</c:v>
                </c:pt>
                <c:pt idx="1">
                  <c:v>107.18126187200296</c:v>
                </c:pt>
                <c:pt idx="2">
                  <c:v>105.28369185918605</c:v>
                </c:pt>
                <c:pt idx="3">
                  <c:v>103.88875221384353</c:v>
                </c:pt>
                <c:pt idx="4">
                  <c:v>102.51848902025014</c:v>
                </c:pt>
                <c:pt idx="5">
                  <c:v>104.71551074073386</c:v>
                </c:pt>
                <c:pt idx="6">
                  <c:v>109.34878906073564</c:v>
                </c:pt>
                <c:pt idx="7">
                  <c:v>106.76688558003357</c:v>
                </c:pt>
                <c:pt idx="8">
                  <c:v>107.72065541861646</c:v>
                </c:pt>
                <c:pt idx="9">
                  <c:v>121.58953391501278</c:v>
                </c:pt>
                <c:pt idx="10">
                  <c:v>114.4031341390148</c:v>
                </c:pt>
                <c:pt idx="11">
                  <c:v>110.04547997931047</c:v>
                </c:pt>
                <c:pt idx="12">
                  <c:v>108.52614338401315</c:v>
                </c:pt>
                <c:pt idx="13">
                  <c:v>101.89076200179571</c:v>
                </c:pt>
                <c:pt idx="14">
                  <c:v>131.40912076384177</c:v>
                </c:pt>
                <c:pt idx="15">
                  <c:v>149.20218816658257</c:v>
                </c:pt>
                <c:pt idx="16">
                  <c:v>146.86383348550783</c:v>
                </c:pt>
                <c:pt idx="17">
                  <c:v>142.97566015817628</c:v>
                </c:pt>
                <c:pt idx="18">
                  <c:v>142.17674453952375</c:v>
                </c:pt>
                <c:pt idx="19">
                  <c:v>143.47690936185822</c:v>
                </c:pt>
                <c:pt idx="20">
                  <c:v>151.23455495290614</c:v>
                </c:pt>
                <c:pt idx="21">
                  <c:v>143.45055570868152</c:v>
                </c:pt>
                <c:pt idx="22">
                  <c:v>134.62666442372236</c:v>
                </c:pt>
                <c:pt idx="23">
                  <c:v>122.22619156535529</c:v>
                </c:pt>
                <c:pt idx="24">
                  <c:v>125.92332569939059</c:v>
                </c:pt>
                <c:pt idx="25">
                  <c:v>131.39108982697496</c:v>
                </c:pt>
                <c:pt idx="26">
                  <c:v>126.28299319192469</c:v>
                </c:pt>
                <c:pt idx="27">
                  <c:v>126.10825619219899</c:v>
                </c:pt>
                <c:pt idx="28">
                  <c:v>124.19696066289031</c:v>
                </c:pt>
                <c:pt idx="29">
                  <c:v>119.78514067663623</c:v>
                </c:pt>
                <c:pt idx="30">
                  <c:v>122.61997068104037</c:v>
                </c:pt>
                <c:pt idx="31">
                  <c:v>121.63196322116181</c:v>
                </c:pt>
                <c:pt idx="32">
                  <c:v>122.57921369024213</c:v>
                </c:pt>
                <c:pt idx="33">
                  <c:v>112.28117271244957</c:v>
                </c:pt>
                <c:pt idx="34">
                  <c:v>115.64971704757005</c:v>
                </c:pt>
                <c:pt idx="35">
                  <c:v>140.16632649048822</c:v>
                </c:pt>
                <c:pt idx="36">
                  <c:v>133.56651988549942</c:v>
                </c:pt>
                <c:pt idx="37">
                  <c:v>130.59269510244704</c:v>
                </c:pt>
                <c:pt idx="38">
                  <c:v>126.77475476654593</c:v>
                </c:pt>
                <c:pt idx="39">
                  <c:v>138.92085455884461</c:v>
                </c:pt>
                <c:pt idx="40">
                  <c:v>150.71082561905479</c:v>
                </c:pt>
                <c:pt idx="41">
                  <c:v>159.24874524708355</c:v>
                </c:pt>
                <c:pt idx="42">
                  <c:v>156.92324183353483</c:v>
                </c:pt>
                <c:pt idx="43">
                  <c:v>174.97589644392156</c:v>
                </c:pt>
                <c:pt idx="44">
                  <c:v>147.66260861231009</c:v>
                </c:pt>
                <c:pt idx="45">
                  <c:v>150.97390077073979</c:v>
                </c:pt>
                <c:pt idx="46">
                  <c:v>160.72569221516926</c:v>
                </c:pt>
                <c:pt idx="47">
                  <c:v>160.04094145950478</c:v>
                </c:pt>
                <c:pt idx="48">
                  <c:v>160.3640705978375</c:v>
                </c:pt>
                <c:pt idx="49">
                  <c:v>155.66006803108183</c:v>
                </c:pt>
                <c:pt idx="50">
                  <c:v>129.63857750137015</c:v>
                </c:pt>
                <c:pt idx="51">
                  <c:v>121.35152091609366</c:v>
                </c:pt>
                <c:pt idx="52">
                  <c:v>128.95978230909313</c:v>
                </c:pt>
                <c:pt idx="53">
                  <c:v>143.74523045342735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C7-4A91-B63A-1FD9A68E9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626880"/>
        <c:axId val="107628416"/>
      </c:lineChart>
      <c:catAx>
        <c:axId val="1076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628416"/>
        <c:crosses val="autoZero"/>
        <c:auto val="1"/>
        <c:lblAlgn val="ctr"/>
        <c:lblOffset val="100"/>
        <c:noMultiLvlLbl val="0"/>
      </c:catAx>
      <c:valAx>
        <c:axId val="107628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cents per litre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0762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90331821827884"/>
          <c:y val="0.53838052695336158"/>
          <c:w val="0.19813937498976869"/>
          <c:h val="0.1678490308903694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USA!$W$112:$W$113</c:f>
              <c:strCache>
                <c:ptCount val="2"/>
                <c:pt idx="0">
                  <c:v>WTI</c:v>
                </c:pt>
                <c:pt idx="1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USA!$U$114:$U$125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USA!$W$114:$W$125</c:f>
              <c:numCache>
                <c:formatCode>General</c:formatCode>
                <c:ptCount val="12"/>
                <c:pt idx="0">
                  <c:v>63.7</c:v>
                </c:pt>
                <c:pt idx="1">
                  <c:v>62.23</c:v>
                </c:pt>
                <c:pt idx="2">
                  <c:v>62.73</c:v>
                </c:pt>
                <c:pt idx="3">
                  <c:v>66.25</c:v>
                </c:pt>
                <c:pt idx="4">
                  <c:v>69.98</c:v>
                </c:pt>
                <c:pt idx="5">
                  <c:v>67.87</c:v>
                </c:pt>
                <c:pt idx="6">
                  <c:v>70.98</c:v>
                </c:pt>
                <c:pt idx="7">
                  <c:v>68.06</c:v>
                </c:pt>
                <c:pt idx="8">
                  <c:v>70</c:v>
                </c:pt>
                <c:pt idx="9" formatCode="0.0">
                  <c:v>70.606499999999997</c:v>
                </c:pt>
                <c:pt idx="10" formatCode="0.0">
                  <c:v>62.095714285714287</c:v>
                </c:pt>
                <c:pt idx="11" formatCode="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B-4ED7-A604-C11D16D1D1F9}"/>
            </c:ext>
          </c:extLst>
        </c:ser>
        <c:ser>
          <c:idx val="0"/>
          <c:order val="1"/>
          <c:tx>
            <c:strRef>
              <c:f>USA!$V$112:$V$113</c:f>
              <c:strCache>
                <c:ptCount val="2"/>
                <c:pt idx="0">
                  <c:v>OPEC</c:v>
                </c:pt>
                <c:pt idx="1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USA!$U$114:$U$125</c:f>
              <c:numCache>
                <c:formatCode>mmm\-yy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USA!$V$114:$V$125</c:f>
              <c:numCache>
                <c:formatCode>General</c:formatCode>
                <c:ptCount val="12"/>
                <c:pt idx="0">
                  <c:v>66.849999999999994</c:v>
                </c:pt>
                <c:pt idx="1">
                  <c:v>63.48</c:v>
                </c:pt>
                <c:pt idx="2">
                  <c:v>63.76</c:v>
                </c:pt>
                <c:pt idx="3">
                  <c:v>68.430000000000007</c:v>
                </c:pt>
                <c:pt idx="4">
                  <c:v>74.11</c:v>
                </c:pt>
                <c:pt idx="5">
                  <c:v>73.22</c:v>
                </c:pt>
                <c:pt idx="6">
                  <c:v>73.27</c:v>
                </c:pt>
                <c:pt idx="7">
                  <c:v>74</c:v>
                </c:pt>
                <c:pt idx="8">
                  <c:v>75.2</c:v>
                </c:pt>
                <c:pt idx="9" formatCode="0.0">
                  <c:v>79.196363636363628</c:v>
                </c:pt>
                <c:pt idx="10" formatCode="0.0">
                  <c:v>70.931428571428569</c:v>
                </c:pt>
                <c:pt idx="1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B-4ED7-A604-C11D16D1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7241200"/>
        <c:axId val="687244808"/>
      </c:lineChart>
      <c:dateAx>
        <c:axId val="6872412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244808"/>
        <c:crosses val="autoZero"/>
        <c:auto val="1"/>
        <c:lblOffset val="100"/>
        <c:baseTimeUnit val="months"/>
      </c:dateAx>
      <c:valAx>
        <c:axId val="68724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24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USA!$W$2</c:f>
              <c:strCache>
                <c:ptCount val="1"/>
                <c:pt idx="0">
                  <c:v>WTI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USA!$A$86:$A$106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USA!$W$86:$W$106</c:f>
              <c:numCache>
                <c:formatCode>General</c:formatCode>
                <c:ptCount val="21"/>
                <c:pt idx="0">
                  <c:v>19.34</c:v>
                </c:pt>
                <c:pt idx="1">
                  <c:v>30.38</c:v>
                </c:pt>
                <c:pt idx="2">
                  <c:v>25.98</c:v>
                </c:pt>
                <c:pt idx="3">
                  <c:v>26.18</c:v>
                </c:pt>
                <c:pt idx="4">
                  <c:v>31.08</c:v>
                </c:pt>
                <c:pt idx="5">
                  <c:v>41.51</c:v>
                </c:pt>
                <c:pt idx="6">
                  <c:v>56.64</c:v>
                </c:pt>
                <c:pt idx="7">
                  <c:v>66.05</c:v>
                </c:pt>
                <c:pt idx="8">
                  <c:v>72.34</c:v>
                </c:pt>
                <c:pt idx="9">
                  <c:v>99.67</c:v>
                </c:pt>
                <c:pt idx="10">
                  <c:v>61.95</c:v>
                </c:pt>
                <c:pt idx="11">
                  <c:v>79.48</c:v>
                </c:pt>
                <c:pt idx="12">
                  <c:v>94.88</c:v>
                </c:pt>
                <c:pt idx="13">
                  <c:v>94.05</c:v>
                </c:pt>
                <c:pt idx="14">
                  <c:v>97.98</c:v>
                </c:pt>
                <c:pt idx="15">
                  <c:v>93.17</c:v>
                </c:pt>
                <c:pt idx="16">
                  <c:v>48.66</c:v>
                </c:pt>
                <c:pt idx="17">
                  <c:v>43.29</c:v>
                </c:pt>
                <c:pt idx="18">
                  <c:v>50.8</c:v>
                </c:pt>
                <c:pt idx="19" formatCode="0.00">
                  <c:v>65.375184523809523</c:v>
                </c:pt>
                <c:pt idx="20" formatCode="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D-481E-8D61-A7F6E7E7F5C9}"/>
            </c:ext>
          </c:extLst>
        </c:ser>
        <c:ser>
          <c:idx val="1"/>
          <c:order val="1"/>
          <c:tx>
            <c:strRef>
              <c:f>USA!$Y$2</c:f>
              <c:strCache>
                <c:ptCount val="1"/>
                <c:pt idx="0">
                  <c:v>OPEC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USA!$A$86:$A$106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USA!$Y$86:$Y$106</c:f>
              <c:numCache>
                <c:formatCode>0.00</c:formatCode>
                <c:ptCount val="21"/>
                <c:pt idx="0">
                  <c:v>17.48</c:v>
                </c:pt>
                <c:pt idx="1">
                  <c:v>27.6</c:v>
                </c:pt>
                <c:pt idx="2">
                  <c:v>23.12</c:v>
                </c:pt>
                <c:pt idx="3">
                  <c:v>24.36</c:v>
                </c:pt>
                <c:pt idx="4">
                  <c:v>28.1</c:v>
                </c:pt>
                <c:pt idx="5">
                  <c:v>36.049999999999997</c:v>
                </c:pt>
                <c:pt idx="6">
                  <c:v>50.64</c:v>
                </c:pt>
                <c:pt idx="7">
                  <c:v>61.08</c:v>
                </c:pt>
                <c:pt idx="8">
                  <c:v>69.08</c:v>
                </c:pt>
                <c:pt idx="9">
                  <c:v>94.45</c:v>
                </c:pt>
                <c:pt idx="10">
                  <c:v>61.06</c:v>
                </c:pt>
                <c:pt idx="11">
                  <c:v>77.45</c:v>
                </c:pt>
                <c:pt idx="12">
                  <c:v>107.45</c:v>
                </c:pt>
                <c:pt idx="13">
                  <c:v>109.49585833333333</c:v>
                </c:pt>
                <c:pt idx="14">
                  <c:v>105.93624999999999</c:v>
                </c:pt>
                <c:pt idx="15">
                  <c:v>96.189058333333321</c:v>
                </c:pt>
                <c:pt idx="16">
                  <c:v>49.516674999999999</c:v>
                </c:pt>
                <c:pt idx="17">
                  <c:v>40.68396666666667</c:v>
                </c:pt>
                <c:pt idx="18">
                  <c:v>52.51</c:v>
                </c:pt>
                <c:pt idx="19">
                  <c:v>70.203982683982687</c:v>
                </c:pt>
                <c:pt idx="2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D-481E-8D61-A7F6E7E7F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514752"/>
        <c:axId val="740513768"/>
      </c:lineChart>
      <c:catAx>
        <c:axId val="740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13768"/>
        <c:crosses val="autoZero"/>
        <c:auto val="1"/>
        <c:lblAlgn val="ctr"/>
        <c:lblOffset val="100"/>
        <c:noMultiLvlLbl val="0"/>
      </c:catAx>
      <c:valAx>
        <c:axId val="74051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1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005192285746876E-2"/>
          <c:y val="3.3952659587276363E-2"/>
          <c:w val="0.80143672258359011"/>
          <c:h val="0.83606891880450418"/>
        </c:manualLayout>
      </c:layout>
      <c:lineChart>
        <c:grouping val="standard"/>
        <c:varyColors val="0"/>
        <c:ser>
          <c:idx val="0"/>
          <c:order val="1"/>
          <c:tx>
            <c:v> energy content (LHS)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USA!$A$52:$A$105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USA!$BQ$52:$BQ$105</c:f>
              <c:numCache>
                <c:formatCode>0.000</c:formatCode>
                <c:ptCount val="54"/>
                <c:pt idx="0">
                  <c:v>143.46492022043094</c:v>
                </c:pt>
                <c:pt idx="1">
                  <c:v>145.15452118638063</c:v>
                </c:pt>
                <c:pt idx="2">
                  <c:v>147.27998594951825</c:v>
                </c:pt>
                <c:pt idx="3">
                  <c:v>144.83387435089094</c:v>
                </c:pt>
                <c:pt idx="4">
                  <c:v>141.44827037247177</c:v>
                </c:pt>
                <c:pt idx="5">
                  <c:v>138.46001512409592</c:v>
                </c:pt>
                <c:pt idx="6">
                  <c:v>135.79052425144926</c:v>
                </c:pt>
                <c:pt idx="7">
                  <c:v>130.48392044308409</c:v>
                </c:pt>
                <c:pt idx="8">
                  <c:v>136.26750134750762</c:v>
                </c:pt>
                <c:pt idx="9">
                  <c:v>183.28342162696853</c:v>
                </c:pt>
                <c:pt idx="10">
                  <c:v>187.36397109385825</c:v>
                </c:pt>
                <c:pt idx="11">
                  <c:v>186.82615144045158</c:v>
                </c:pt>
                <c:pt idx="12">
                  <c:v>180.70975638863757</c:v>
                </c:pt>
                <c:pt idx="13">
                  <c:v>170.60724267955325</c:v>
                </c:pt>
                <c:pt idx="14">
                  <c:v>222.00304781058662</c:v>
                </c:pt>
                <c:pt idx="15">
                  <c:v>296.81816061868415</c:v>
                </c:pt>
                <c:pt idx="16">
                  <c:v>300.83798056222406</c:v>
                </c:pt>
                <c:pt idx="17">
                  <c:v>255.72225809962117</c:v>
                </c:pt>
                <c:pt idx="18">
                  <c:v>223.61758872654534</c:v>
                </c:pt>
                <c:pt idx="19">
                  <c:v>205.80276093923814</c:v>
                </c:pt>
                <c:pt idx="20">
                  <c:v>196.97411916736237</c:v>
                </c:pt>
                <c:pt idx="21">
                  <c:v>139.38831538944794</c:v>
                </c:pt>
                <c:pt idx="22">
                  <c:v>136.90094997442378</c:v>
                </c:pt>
                <c:pt idx="23">
                  <c:v>129.92259075874557</c:v>
                </c:pt>
                <c:pt idx="24">
                  <c:v>133.23294093372752</c:v>
                </c:pt>
                <c:pt idx="25">
                  <c:v>132.63391904143975</c:v>
                </c:pt>
                <c:pt idx="26">
                  <c:v>126.8806349267673</c:v>
                </c:pt>
                <c:pt idx="27">
                  <c:v>110.69781585872781</c:v>
                </c:pt>
                <c:pt idx="28">
                  <c:v>103.78262006646079</c:v>
                </c:pt>
                <c:pt idx="29">
                  <c:v>104.68319695570636</c:v>
                </c:pt>
                <c:pt idx="30">
                  <c:v>104.9509064617738</c:v>
                </c:pt>
                <c:pt idx="31">
                  <c:v>116.90556832122252</c:v>
                </c:pt>
                <c:pt idx="32">
                  <c:v>110.79737541675675</c:v>
                </c:pt>
                <c:pt idx="33">
                  <c:v>87.090368180339524</c:v>
                </c:pt>
                <c:pt idx="34">
                  <c:v>99.59964776696863</c:v>
                </c:pt>
                <c:pt idx="35">
                  <c:v>139.98225068662126</c:v>
                </c:pt>
                <c:pt idx="36">
                  <c:v>128.46923614479596</c:v>
                </c:pt>
                <c:pt idx="37">
                  <c:v>116.14701480232785</c:v>
                </c:pt>
                <c:pt idx="38">
                  <c:v>140.27916119553618</c:v>
                </c:pt>
                <c:pt idx="39">
                  <c:v>170.38884892774095</c:v>
                </c:pt>
                <c:pt idx="40">
                  <c:v>211.56896058612233</c:v>
                </c:pt>
                <c:pt idx="41">
                  <c:v>236.83680740152113</c:v>
                </c:pt>
                <c:pt idx="42">
                  <c:v>255.53160528261671</c:v>
                </c:pt>
                <c:pt idx="43">
                  <c:v>290.5497351289859</c:v>
                </c:pt>
                <c:pt idx="44">
                  <c:v>198.98198689232882</c:v>
                </c:pt>
                <c:pt idx="45">
                  <c:v>237.75410554882484</c:v>
                </c:pt>
                <c:pt idx="46">
                  <c:v>302.92978479251684</c:v>
                </c:pt>
                <c:pt idx="47">
                  <c:v>306.57333813684875</c:v>
                </c:pt>
                <c:pt idx="48">
                  <c:v>290.84460341608229</c:v>
                </c:pt>
                <c:pt idx="49">
                  <c:v>272.33508532532221</c:v>
                </c:pt>
                <c:pt idx="50">
                  <c:v>182.86293350922213</c:v>
                </c:pt>
                <c:pt idx="51">
                  <c:v>158.4434987846825</c:v>
                </c:pt>
                <c:pt idx="52">
                  <c:v>175.65549982002344</c:v>
                </c:pt>
                <c:pt idx="53">
                  <c:v>197.75510145005032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1-4E24-970B-C7B8ABB90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22144"/>
        <c:axId val="166085376"/>
      </c:lineChart>
      <c:lineChart>
        <c:grouping val="standard"/>
        <c:varyColors val="0"/>
        <c:ser>
          <c:idx val="1"/>
          <c:order val="0"/>
          <c:tx>
            <c:v> landed oil price (RHS)</c:v>
          </c:tx>
          <c:marker>
            <c:symbol val="none"/>
          </c:marker>
          <c:cat>
            <c:numRef>
              <c:f>USA!$A$52:$A$105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USA!$BB$52:$BB$105</c:f>
              <c:numCache>
                <c:formatCode>0.00</c:formatCode>
                <c:ptCount val="54"/>
                <c:pt idx="0">
                  <c:v>22.846415079365116</c:v>
                </c:pt>
                <c:pt idx="1">
                  <c:v>22.211792438271637</c:v>
                </c:pt>
                <c:pt idx="2">
                  <c:v>21.546768712574885</c:v>
                </c:pt>
                <c:pt idx="3">
                  <c:v>20.679944683908076</c:v>
                </c:pt>
                <c:pt idx="4">
                  <c:v>19.579609752497756</c:v>
                </c:pt>
                <c:pt idx="5">
                  <c:v>18.829021799828212</c:v>
                </c:pt>
                <c:pt idx="6">
                  <c:v>19.169449958847764</c:v>
                </c:pt>
                <c:pt idx="7">
                  <c:v>18.573270893141974</c:v>
                </c:pt>
                <c:pt idx="8">
                  <c:v>19.008273479729759</c:v>
                </c:pt>
                <c:pt idx="9">
                  <c:v>54.320795875591699</c:v>
                </c:pt>
                <c:pt idx="10">
                  <c:v>51.334253769933504</c:v>
                </c:pt>
                <c:pt idx="11">
                  <c:v>51.021390456674567</c:v>
                </c:pt>
                <c:pt idx="12">
                  <c:v>51.66269601319776</c:v>
                </c:pt>
                <c:pt idx="13">
                  <c:v>47.933460237578281</c:v>
                </c:pt>
                <c:pt idx="14">
                  <c:v>64.387259230769317</c:v>
                </c:pt>
                <c:pt idx="15">
                  <c:v>89.446532338660873</c:v>
                </c:pt>
                <c:pt idx="16">
                  <c:v>87.319701915322696</c:v>
                </c:pt>
                <c:pt idx="17">
                  <c:v>75.00245131215479</c:v>
                </c:pt>
                <c:pt idx="18">
                  <c:v>63.398150083682111</c:v>
                </c:pt>
                <c:pt idx="19">
                  <c:v>59.842446728672314</c:v>
                </c:pt>
                <c:pt idx="20">
                  <c:v>54.053699279739831</c:v>
                </c:pt>
                <c:pt idx="21">
                  <c:v>29.921099027577348</c:v>
                </c:pt>
                <c:pt idx="22">
                  <c:v>36.8530861082588</c:v>
                </c:pt>
                <c:pt idx="23">
                  <c:v>29.446022271542361</c:v>
                </c:pt>
                <c:pt idx="24">
                  <c:v>34.557222429906595</c:v>
                </c:pt>
                <c:pt idx="25">
                  <c:v>40.942571012181958</c:v>
                </c:pt>
                <c:pt idx="26">
                  <c:v>34.497654602203234</c:v>
                </c:pt>
                <c:pt idx="27">
                  <c:v>31.987226192314584</c:v>
                </c:pt>
                <c:pt idx="28">
                  <c:v>27.81937116571499</c:v>
                </c:pt>
                <c:pt idx="29">
                  <c:v>25.30589284308769</c:v>
                </c:pt>
                <c:pt idx="30">
                  <c:v>26.375611828721457</c:v>
                </c:pt>
                <c:pt idx="31">
                  <c:v>30.753333878765382</c:v>
                </c:pt>
                <c:pt idx="32">
                  <c:v>27.999481560504623</c:v>
                </c:pt>
                <c:pt idx="33">
                  <c:v>19.291683584683835</c:v>
                </c:pt>
                <c:pt idx="34">
                  <c:v>25.318594807403745</c:v>
                </c:pt>
                <c:pt idx="35">
                  <c:v>38.476035493394058</c:v>
                </c:pt>
                <c:pt idx="36">
                  <c:v>32.002089404565844</c:v>
                </c:pt>
                <c:pt idx="37">
                  <c:v>31.741952159006718</c:v>
                </c:pt>
                <c:pt idx="38">
                  <c:v>36.83645798913048</c:v>
                </c:pt>
                <c:pt idx="39">
                  <c:v>47.919943107327256</c:v>
                </c:pt>
                <c:pt idx="40">
                  <c:v>63.257177330146874</c:v>
                </c:pt>
                <c:pt idx="41">
                  <c:v>71.463904432133035</c:v>
                </c:pt>
                <c:pt idx="42">
                  <c:v>76.088096591617187</c:v>
                </c:pt>
                <c:pt idx="43">
                  <c:v>100.97978966004393</c:v>
                </c:pt>
                <c:pt idx="44">
                  <c:v>62.969733381134233</c:v>
                </c:pt>
                <c:pt idx="45">
                  <c:v>79.48</c:v>
                </c:pt>
                <c:pt idx="46">
                  <c:v>91.997969509010503</c:v>
                </c:pt>
                <c:pt idx="47">
                  <c:v>89.392029265076943</c:v>
                </c:pt>
                <c:pt idx="48">
                  <c:v>91.82955471617052</c:v>
                </c:pt>
                <c:pt idx="49">
                  <c:v>85.904133364993911</c:v>
                </c:pt>
                <c:pt idx="50">
                  <c:v>44.76813938738384</c:v>
                </c:pt>
                <c:pt idx="51">
                  <c:v>39.325037453166594</c:v>
                </c:pt>
                <c:pt idx="52">
                  <c:v>45.18475579920986</c:v>
                </c:pt>
                <c:pt idx="53">
                  <c:v>56.635219008976691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1-4E24-970B-C7B8ABB90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660632"/>
        <c:axId val="1091653744"/>
      </c:lineChart>
      <c:catAx>
        <c:axId val="1660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085376"/>
        <c:crosses val="autoZero"/>
        <c:auto val="1"/>
        <c:lblAlgn val="ctr"/>
        <c:lblOffset val="100"/>
        <c:noMultiLvlLbl val="0"/>
      </c:catAx>
      <c:valAx>
        <c:axId val="166085376"/>
        <c:scaling>
          <c:orientation val="minMax"/>
          <c:max val="3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2010</a:t>
                </a:r>
                <a:r>
                  <a:rPr lang="en-AU" baseline="0"/>
                  <a:t> cents per gallon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5452898550724637E-2"/>
              <c:y val="0.3225625466541452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6022144"/>
        <c:crosses val="autoZero"/>
        <c:crossBetween val="between"/>
      </c:valAx>
      <c:valAx>
        <c:axId val="1091653744"/>
        <c:scaling>
          <c:orientation val="minMax"/>
          <c:max val="105"/>
          <c:min val="-1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dollars per barrel</a:t>
                </a:r>
              </a:p>
            </c:rich>
          </c:tx>
          <c:layout>
            <c:manualLayout>
              <c:xMode val="edge"/>
              <c:yMode val="edge"/>
              <c:x val="0.94751768800639047"/>
              <c:y val="0.3164080522044835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91660632"/>
        <c:crosses val="max"/>
        <c:crossBetween val="between"/>
      </c:valAx>
      <c:catAx>
        <c:axId val="1091660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1653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567600992810682"/>
          <c:y val="1.523850803053288E-2"/>
          <c:w val="0.17705779984023737"/>
          <c:h val="0.239527799850706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7628551500433"/>
          <c:y val="3.793103448275862E-2"/>
          <c:w val="0.77584164572811531"/>
          <c:h val="0.81809122997556349"/>
        </c:manualLayout>
      </c:layout>
      <c:lineChart>
        <c:grouping val="standard"/>
        <c:varyColors val="0"/>
        <c:ser>
          <c:idx val="0"/>
          <c:order val="0"/>
          <c:tx>
            <c:v> actual cents/gallon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USA!$BG$52:$BG$105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USA!$BN$52:$BN$105</c:f>
              <c:numCache>
                <c:formatCode>0.000</c:formatCode>
                <c:ptCount val="54"/>
                <c:pt idx="0">
                  <c:v>215.66269843993081</c:v>
                </c:pt>
                <c:pt idx="1">
                  <c:v>215.93194026070472</c:v>
                </c:pt>
                <c:pt idx="2">
                  <c:v>216.51879069640364</c:v>
                </c:pt>
                <c:pt idx="3">
                  <c:v>211.25502414984697</c:v>
                </c:pt>
                <c:pt idx="4">
                  <c:v>207.03302122531517</c:v>
                </c:pt>
                <c:pt idx="5">
                  <c:v>200.60528022092606</c:v>
                </c:pt>
                <c:pt idx="6">
                  <c:v>196.16959061589708</c:v>
                </c:pt>
                <c:pt idx="7">
                  <c:v>188.50341285875032</c:v>
                </c:pt>
                <c:pt idx="8">
                  <c:v>190.18660074994202</c:v>
                </c:pt>
                <c:pt idx="9">
                  <c:v>231.84342190015488</c:v>
                </c:pt>
                <c:pt idx="10">
                  <c:v>231.84159326697645</c:v>
                </c:pt>
                <c:pt idx="11">
                  <c:v>227.80269864090505</c:v>
                </c:pt>
                <c:pt idx="12">
                  <c:v>223.06281395547271</c:v>
                </c:pt>
                <c:pt idx="13">
                  <c:v>210.59256784919341</c:v>
                </c:pt>
                <c:pt idx="14">
                  <c:v>258.39795961120205</c:v>
                </c:pt>
                <c:pt idx="15">
                  <c:v>329.7729904627974</c:v>
                </c:pt>
                <c:pt idx="16">
                  <c:v>330.56891150872787</c:v>
                </c:pt>
                <c:pt idx="17">
                  <c:v>284.11433318512036</c:v>
                </c:pt>
                <c:pt idx="18">
                  <c:v>263.97883081210227</c:v>
                </c:pt>
                <c:pt idx="19">
                  <c:v>246.73243925705646</c:v>
                </c:pt>
                <c:pt idx="20">
                  <c:v>236.43123240114949</c:v>
                </c:pt>
                <c:pt idx="21">
                  <c:v>175.91947460350025</c:v>
                </c:pt>
                <c:pt idx="22">
                  <c:v>175.14379437976172</c:v>
                </c:pt>
                <c:pt idx="23">
                  <c:v>167.65212451811681</c:v>
                </c:pt>
                <c:pt idx="24">
                  <c:v>173.64800574595122</c:v>
                </c:pt>
                <c:pt idx="25">
                  <c:v>188.05294758213302</c:v>
                </c:pt>
                <c:pt idx="26">
                  <c:v>176.51932975523451</c:v>
                </c:pt>
                <c:pt idx="27">
                  <c:v>168.94366836255756</c:v>
                </c:pt>
                <c:pt idx="28">
                  <c:v>161.09246145125394</c:v>
                </c:pt>
                <c:pt idx="29">
                  <c:v>158.31562691350385</c:v>
                </c:pt>
                <c:pt idx="30">
                  <c:v>158.96072967017204</c:v>
                </c:pt>
                <c:pt idx="31">
                  <c:v>166.9592012060794</c:v>
                </c:pt>
                <c:pt idx="32">
                  <c:v>162.88508980299835</c:v>
                </c:pt>
                <c:pt idx="33">
                  <c:v>137.73317813755037</c:v>
                </c:pt>
                <c:pt idx="34">
                  <c:v>149.1556260347526</c:v>
                </c:pt>
                <c:pt idx="35">
                  <c:v>188.40359539110423</c:v>
                </c:pt>
                <c:pt idx="36">
                  <c:v>175.56409355259694</c:v>
                </c:pt>
                <c:pt idx="37">
                  <c:v>162.96115887592225</c:v>
                </c:pt>
                <c:pt idx="38">
                  <c:v>184.6904286012799</c:v>
                </c:pt>
                <c:pt idx="39">
                  <c:v>213.71546244168843</c:v>
                </c:pt>
                <c:pt idx="40">
                  <c:v>253.6187829062564</c:v>
                </c:pt>
                <c:pt idx="41">
                  <c:v>278.71013776950031</c:v>
                </c:pt>
                <c:pt idx="42">
                  <c:v>295.13348646490311</c:v>
                </c:pt>
                <c:pt idx="43">
                  <c:v>329.9418121173693</c:v>
                </c:pt>
                <c:pt idx="44">
                  <c:v>238.80807000515208</c:v>
                </c:pt>
                <c:pt idx="45">
                  <c:v>277.97527433333335</c:v>
                </c:pt>
                <c:pt idx="46">
                  <c:v>341.5025670074823</c:v>
                </c:pt>
                <c:pt idx="47">
                  <c:v>344.62189654125638</c:v>
                </c:pt>
                <c:pt idx="48">
                  <c:v>328.61409650712005</c:v>
                </c:pt>
                <c:pt idx="49">
                  <c:v>310.10468147475564</c:v>
                </c:pt>
                <c:pt idx="50">
                  <c:v>222.83157360875632</c:v>
                </c:pt>
                <c:pt idx="51">
                  <c:v>197.92592995048119</c:v>
                </c:pt>
                <c:pt idx="52">
                  <c:v>215.03809414565845</c:v>
                </c:pt>
                <c:pt idx="53">
                  <c:v>236.11255353886992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F-40D5-B4EF-AB9BE6F69C40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USA!$BG$52:$BG$105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USA!$BO$52:$BO$105</c:f>
              <c:numCache>
                <c:formatCode>0.000</c:formatCode>
                <c:ptCount val="54"/>
                <c:pt idx="0">
                  <c:v>219.86448379062509</c:v>
                </c:pt>
                <c:pt idx="1">
                  <c:v>216.64166049962051</c:v>
                </c:pt>
                <c:pt idx="2">
                  <c:v>213.21423643852887</c:v>
                </c:pt>
                <c:pt idx="3">
                  <c:v>207.9346156998381</c:v>
                </c:pt>
                <c:pt idx="4">
                  <c:v>203.9730300146378</c:v>
                </c:pt>
                <c:pt idx="5">
                  <c:v>198.40171380478697</c:v>
                </c:pt>
                <c:pt idx="6">
                  <c:v>197.60240391489219</c:v>
                </c:pt>
                <c:pt idx="7">
                  <c:v>193.54955380348133</c:v>
                </c:pt>
                <c:pt idx="8">
                  <c:v>190.68466125130504</c:v>
                </c:pt>
                <c:pt idx="9">
                  <c:v>243.48634218479495</c:v>
                </c:pt>
                <c:pt idx="10">
                  <c:v>230.92154521580392</c:v>
                </c:pt>
                <c:pt idx="11">
                  <c:v>226.53187146304717</c:v>
                </c:pt>
                <c:pt idx="12">
                  <c:v>229.72982688559978</c:v>
                </c:pt>
                <c:pt idx="13">
                  <c:v>216.77026661835862</c:v>
                </c:pt>
                <c:pt idx="14">
                  <c:v>259.91216443319007</c:v>
                </c:pt>
                <c:pt idx="15">
                  <c:v>327.6457822042612</c:v>
                </c:pt>
                <c:pt idx="16">
                  <c:v>318.38122964242115</c:v>
                </c:pt>
                <c:pt idx="17">
                  <c:v>282.05874548043971</c:v>
                </c:pt>
                <c:pt idx="18">
                  <c:v>261.0692130151275</c:v>
                </c:pt>
                <c:pt idx="19">
                  <c:v>251.5386905976228</c:v>
                </c:pt>
                <c:pt idx="20">
                  <c:v>233.6248436394047</c:v>
                </c:pt>
                <c:pt idx="21">
                  <c:v>162.1571391627474</c:v>
                </c:pt>
                <c:pt idx="22">
                  <c:v>183.55715150030076</c:v>
                </c:pt>
                <c:pt idx="23">
                  <c:v>162.00619402764289</c:v>
                </c:pt>
                <c:pt idx="24">
                  <c:v>171.72556886760091</c:v>
                </c:pt>
                <c:pt idx="25">
                  <c:v>182.41611314999483</c:v>
                </c:pt>
                <c:pt idx="26">
                  <c:v>173.29695475384159</c:v>
                </c:pt>
                <c:pt idx="27">
                  <c:v>174.7739583715146</c:v>
                </c:pt>
                <c:pt idx="28">
                  <c:v>162.0003468203314</c:v>
                </c:pt>
                <c:pt idx="29">
                  <c:v>158.66717767905712</c:v>
                </c:pt>
                <c:pt idx="30">
                  <c:v>162.08280182919685</c:v>
                </c:pt>
                <c:pt idx="31">
                  <c:v>170.56027920779172</c:v>
                </c:pt>
                <c:pt idx="32">
                  <c:v>164.77283064523183</c:v>
                </c:pt>
                <c:pt idx="33">
                  <c:v>138.59591600381128</c:v>
                </c:pt>
                <c:pt idx="34">
                  <c:v>154.62680228663964</c:v>
                </c:pt>
                <c:pt idx="35">
                  <c:v>190.86211670770874</c:v>
                </c:pt>
                <c:pt idx="36">
                  <c:v>171.14823672828956</c:v>
                </c:pt>
                <c:pt idx="37">
                  <c:v>170.12867793261776</c:v>
                </c:pt>
                <c:pt idx="38">
                  <c:v>182.19528833458213</c:v>
                </c:pt>
                <c:pt idx="39">
                  <c:v>212.59010467088049</c:v>
                </c:pt>
                <c:pt idx="40">
                  <c:v>254.874341705083</c:v>
                </c:pt>
                <c:pt idx="41">
                  <c:v>278.00671142613271</c:v>
                </c:pt>
                <c:pt idx="42">
                  <c:v>296.35201656036639</c:v>
                </c:pt>
                <c:pt idx="43">
                  <c:v>325.86154089344319</c:v>
                </c:pt>
                <c:pt idx="44">
                  <c:v>238.82805489330767</c:v>
                </c:pt>
                <c:pt idx="45">
                  <c:v>286.11583189302956</c:v>
                </c:pt>
                <c:pt idx="46">
                  <c:v>340.51036229070525</c:v>
                </c:pt>
                <c:pt idx="47">
                  <c:v>332.5847103688381</c:v>
                </c:pt>
                <c:pt idx="48">
                  <c:v>339.22873910482508</c:v>
                </c:pt>
                <c:pt idx="49">
                  <c:v>322.39937715071864</c:v>
                </c:pt>
                <c:pt idx="50">
                  <c:v>207.76339277608832</c:v>
                </c:pt>
                <c:pt idx="51">
                  <c:v>191.81760921763828</c:v>
                </c:pt>
                <c:pt idx="52">
                  <c:v>208.36062679124041</c:v>
                </c:pt>
                <c:pt idx="53">
                  <c:v>239.85725111663714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F-40D5-B4EF-AB9BE6F69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49096"/>
        <c:axId val="627348440"/>
      </c:lineChart>
      <c:lineChart>
        <c:grouping val="standard"/>
        <c:varyColors val="0"/>
        <c:ser>
          <c:idx val="2"/>
          <c:order val="2"/>
          <c:tx>
            <c:v> actual cents/litre (RHS)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USA!$AW$52:$AW$105</c:f>
              <c:numCache>
                <c:formatCode>0.000</c:formatCode>
                <c:ptCount val="54"/>
                <c:pt idx="0">
                  <c:v>56.972084513944544</c:v>
                </c:pt>
                <c:pt idx="1">
                  <c:v>57.043210711839599</c:v>
                </c:pt>
                <c:pt idx="2">
                  <c:v>57.198240268928224</c:v>
                </c:pt>
                <c:pt idx="3">
                  <c:v>55.8076996018521</c:v>
                </c:pt>
                <c:pt idx="4">
                  <c:v>54.692363898577746</c:v>
                </c:pt>
                <c:pt idx="5">
                  <c:v>52.994333565168908</c:v>
                </c:pt>
                <c:pt idx="6">
                  <c:v>51.822547786342056</c:v>
                </c:pt>
                <c:pt idx="7">
                  <c:v>49.797356920056295</c:v>
                </c:pt>
                <c:pt idx="8">
                  <c:v>50.242008329333423</c:v>
                </c:pt>
                <c:pt idx="9">
                  <c:v>61.246581453569057</c:v>
                </c:pt>
                <c:pt idx="10">
                  <c:v>61.246098379561644</c:v>
                </c:pt>
                <c:pt idx="11">
                  <c:v>60.179134794092327</c:v>
                </c:pt>
                <c:pt idx="12">
                  <c:v>58.926989138685826</c:v>
                </c:pt>
                <c:pt idx="13">
                  <c:v>55.632697078835157</c:v>
                </c:pt>
                <c:pt idx="14">
                  <c:v>68.261551486153948</c:v>
                </c:pt>
                <c:pt idx="15">
                  <c:v>87.116848759526022</c:v>
                </c:pt>
                <c:pt idx="16">
                  <c:v>87.327108954836547</c:v>
                </c:pt>
                <c:pt idx="17">
                  <c:v>75.055101874069223</c:v>
                </c:pt>
                <c:pt idx="18">
                  <c:v>69.735862380059814</c:v>
                </c:pt>
                <c:pt idx="19">
                  <c:v>65.179845580018139</c:v>
                </c:pt>
                <c:pt idx="20">
                  <c:v>62.458553340628754</c:v>
                </c:pt>
                <c:pt idx="21">
                  <c:v>46.473030557720371</c:v>
                </c:pt>
                <c:pt idx="22">
                  <c:v>46.268117424469665</c:v>
                </c:pt>
                <c:pt idx="23">
                  <c:v>44.289026688817536</c:v>
                </c:pt>
                <c:pt idx="24">
                  <c:v>45.872971684956511</c:v>
                </c:pt>
                <c:pt idx="25">
                  <c:v>49.678356527333371</c:v>
                </c:pt>
                <c:pt idx="26">
                  <c:v>46.631495598953478</c:v>
                </c:pt>
                <c:pt idx="27">
                  <c:v>44.630216637710987</c:v>
                </c:pt>
                <c:pt idx="28">
                  <c:v>42.556146216989418</c:v>
                </c:pt>
                <c:pt idx="29">
                  <c:v>41.822583792377536</c:v>
                </c:pt>
                <c:pt idx="30">
                  <c:v>41.993001991903654</c:v>
                </c:pt>
                <c:pt idx="31">
                  <c:v>44.105975629080973</c:v>
                </c:pt>
                <c:pt idx="32">
                  <c:v>43.029708750967089</c:v>
                </c:pt>
                <c:pt idx="33">
                  <c:v>36.385273494165851</c:v>
                </c:pt>
                <c:pt idx="34">
                  <c:v>39.402766420216722</c:v>
                </c:pt>
                <c:pt idx="35">
                  <c:v>49.770987922339778</c:v>
                </c:pt>
                <c:pt idx="36">
                  <c:v>46.379148771889149</c:v>
                </c:pt>
                <c:pt idx="37">
                  <c:v>43.049804083552971</c:v>
                </c:pt>
                <c:pt idx="38">
                  <c:v>48.7900725684351</c:v>
                </c:pt>
                <c:pt idx="39">
                  <c:v>56.457678941432611</c:v>
                </c:pt>
                <c:pt idx="40">
                  <c:v>66.999025972419474</c:v>
                </c:pt>
                <c:pt idx="41">
                  <c:v>73.6274638069589</c:v>
                </c:pt>
                <c:pt idx="42">
                  <c:v>77.966055583121275</c:v>
                </c:pt>
                <c:pt idx="43">
                  <c:v>87.161446743515043</c:v>
                </c:pt>
                <c:pt idx="44">
                  <c:v>63.086447704516047</c:v>
                </c:pt>
                <c:pt idx="45">
                  <c:v>73.433333333333337</c:v>
                </c:pt>
                <c:pt idx="46">
                  <c:v>90.215476528957822</c:v>
                </c:pt>
                <c:pt idx="47">
                  <c:v>91.039516602232354</c:v>
                </c:pt>
                <c:pt idx="48">
                  <c:v>86.810701220507184</c:v>
                </c:pt>
                <c:pt idx="49">
                  <c:v>81.921028759039473</c:v>
                </c:pt>
                <c:pt idx="50">
                  <c:v>58.865901872916346</c:v>
                </c:pt>
                <c:pt idx="51">
                  <c:v>52.286523771660455</c:v>
                </c:pt>
                <c:pt idx="52">
                  <c:v>56.807081437851757</c:v>
                </c:pt>
                <c:pt idx="53">
                  <c:v>62.37436725186172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C-4EB6-A8DC-D3728B7B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752232"/>
        <c:axId val="599751248"/>
      </c:lineChart>
      <c:catAx>
        <c:axId val="62734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8440"/>
        <c:crosses val="autoZero"/>
        <c:auto val="1"/>
        <c:lblAlgn val="ctr"/>
        <c:lblOffset val="100"/>
        <c:noMultiLvlLbl val="0"/>
      </c:catAx>
      <c:valAx>
        <c:axId val="62734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US cents per gallon</a:t>
                </a:r>
              </a:p>
            </c:rich>
          </c:tx>
          <c:layout>
            <c:manualLayout>
              <c:xMode val="edge"/>
              <c:yMode val="edge"/>
              <c:x val="1.6464262409187799E-2"/>
              <c:y val="0.235976649470540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9096"/>
        <c:crosses val="autoZero"/>
        <c:crossBetween val="between"/>
      </c:valAx>
      <c:valAx>
        <c:axId val="599751248"/>
        <c:scaling>
          <c:orientation val="minMax"/>
          <c:max val="105.6688699999999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US cents per litre</a:t>
                </a:r>
              </a:p>
            </c:rich>
          </c:tx>
          <c:layout>
            <c:manualLayout>
              <c:xMode val="edge"/>
              <c:yMode val="edge"/>
              <c:x val="0.95046949974369532"/>
              <c:y val="0.27083002986695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52232"/>
        <c:crosses val="max"/>
        <c:crossBetween val="between"/>
      </c:valAx>
      <c:catAx>
        <c:axId val="599752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99751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648601383390613"/>
          <c:y val="5.4952484387727395E-2"/>
          <c:w val="0.27390072649758557"/>
          <c:h val="0.26163833831115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9187742927657"/>
          <c:y val="2.8673835125448029E-2"/>
          <c:w val="0.77093967549249409"/>
          <c:h val="0.83036434961758809"/>
        </c:manualLayout>
      </c:layout>
      <c:lineChart>
        <c:grouping val="standard"/>
        <c:varyColors val="0"/>
        <c:ser>
          <c:idx val="0"/>
          <c:order val="0"/>
          <c:tx>
            <c:v> actual cents/gallon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USA!$BG$52:$BG$105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USA!$BQ$52:$BQ$105</c:f>
              <c:numCache>
                <c:formatCode>0.000</c:formatCode>
                <c:ptCount val="54"/>
                <c:pt idx="0">
                  <c:v>143.46492022043094</c:v>
                </c:pt>
                <c:pt idx="1">
                  <c:v>145.15452118638063</c:v>
                </c:pt>
                <c:pt idx="2">
                  <c:v>147.27998594951825</c:v>
                </c:pt>
                <c:pt idx="3">
                  <c:v>144.83387435089094</c:v>
                </c:pt>
                <c:pt idx="4">
                  <c:v>141.44827037247177</c:v>
                </c:pt>
                <c:pt idx="5">
                  <c:v>138.46001512409592</c:v>
                </c:pt>
                <c:pt idx="6">
                  <c:v>135.79052425144926</c:v>
                </c:pt>
                <c:pt idx="7">
                  <c:v>130.48392044308409</c:v>
                </c:pt>
                <c:pt idx="8">
                  <c:v>136.26750134750762</c:v>
                </c:pt>
                <c:pt idx="9">
                  <c:v>183.28342162696853</c:v>
                </c:pt>
                <c:pt idx="10">
                  <c:v>187.36397109385825</c:v>
                </c:pt>
                <c:pt idx="11">
                  <c:v>186.82615144045158</c:v>
                </c:pt>
                <c:pt idx="12">
                  <c:v>180.70975638863757</c:v>
                </c:pt>
                <c:pt idx="13">
                  <c:v>170.60724267955325</c:v>
                </c:pt>
                <c:pt idx="14">
                  <c:v>222.00304781058662</c:v>
                </c:pt>
                <c:pt idx="15">
                  <c:v>296.81816061868415</c:v>
                </c:pt>
                <c:pt idx="16">
                  <c:v>300.83798056222406</c:v>
                </c:pt>
                <c:pt idx="17">
                  <c:v>255.72225809962117</c:v>
                </c:pt>
                <c:pt idx="18">
                  <c:v>223.61758872654534</c:v>
                </c:pt>
                <c:pt idx="19">
                  <c:v>205.80276093923814</c:v>
                </c:pt>
                <c:pt idx="20">
                  <c:v>196.97411916736237</c:v>
                </c:pt>
                <c:pt idx="21">
                  <c:v>139.38831538944794</c:v>
                </c:pt>
                <c:pt idx="22">
                  <c:v>136.90094997442378</c:v>
                </c:pt>
                <c:pt idx="23">
                  <c:v>129.92259075874557</c:v>
                </c:pt>
                <c:pt idx="24">
                  <c:v>133.23294093372752</c:v>
                </c:pt>
                <c:pt idx="25">
                  <c:v>132.63391904143975</c:v>
                </c:pt>
                <c:pt idx="26">
                  <c:v>126.8806349267673</c:v>
                </c:pt>
                <c:pt idx="27">
                  <c:v>110.69781585872781</c:v>
                </c:pt>
                <c:pt idx="28">
                  <c:v>103.78262006646079</c:v>
                </c:pt>
                <c:pt idx="29">
                  <c:v>104.68319695570636</c:v>
                </c:pt>
                <c:pt idx="30">
                  <c:v>104.9509064617738</c:v>
                </c:pt>
                <c:pt idx="31">
                  <c:v>116.90556832122252</c:v>
                </c:pt>
                <c:pt idx="32">
                  <c:v>110.79737541675675</c:v>
                </c:pt>
                <c:pt idx="33">
                  <c:v>87.090368180339524</c:v>
                </c:pt>
                <c:pt idx="34">
                  <c:v>99.59964776696863</c:v>
                </c:pt>
                <c:pt idx="35">
                  <c:v>139.98225068662126</c:v>
                </c:pt>
                <c:pt idx="36">
                  <c:v>128.46923614479596</c:v>
                </c:pt>
                <c:pt idx="37">
                  <c:v>116.14701480232785</c:v>
                </c:pt>
                <c:pt idx="38">
                  <c:v>140.27916119553618</c:v>
                </c:pt>
                <c:pt idx="39">
                  <c:v>170.38884892774095</c:v>
                </c:pt>
                <c:pt idx="40">
                  <c:v>211.56896058612233</c:v>
                </c:pt>
                <c:pt idx="41">
                  <c:v>236.83680740152113</c:v>
                </c:pt>
                <c:pt idx="42">
                  <c:v>255.53160528261671</c:v>
                </c:pt>
                <c:pt idx="43">
                  <c:v>290.5497351289859</c:v>
                </c:pt>
                <c:pt idx="44">
                  <c:v>198.98198689232882</c:v>
                </c:pt>
                <c:pt idx="45">
                  <c:v>237.75410554882484</c:v>
                </c:pt>
                <c:pt idx="46">
                  <c:v>302.92978479251684</c:v>
                </c:pt>
                <c:pt idx="47">
                  <c:v>306.57333813684875</c:v>
                </c:pt>
                <c:pt idx="48">
                  <c:v>290.84460341608229</c:v>
                </c:pt>
                <c:pt idx="49">
                  <c:v>272.33508532532221</c:v>
                </c:pt>
                <c:pt idx="50">
                  <c:v>182.86293350922213</c:v>
                </c:pt>
                <c:pt idx="51">
                  <c:v>158.4434987846825</c:v>
                </c:pt>
                <c:pt idx="52">
                  <c:v>175.65549982002344</c:v>
                </c:pt>
                <c:pt idx="53">
                  <c:v>197.75510145005032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F-4AD9-9AAF-038ADE298963}"/>
            </c:ext>
          </c:extLst>
        </c:ser>
        <c:ser>
          <c:idx val="1"/>
          <c:order val="2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USA!$BG$52:$BG$105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USA!$BR$52:$BR$105</c:f>
              <c:numCache>
                <c:formatCode>0.000</c:formatCode>
                <c:ptCount val="54"/>
                <c:pt idx="0">
                  <c:v>147.66670557112522</c:v>
                </c:pt>
                <c:pt idx="1">
                  <c:v>145.8642414252964</c:v>
                </c:pt>
                <c:pt idx="2">
                  <c:v>143.97543169164348</c:v>
                </c:pt>
                <c:pt idx="3">
                  <c:v>141.51346590088204</c:v>
                </c:pt>
                <c:pt idx="4">
                  <c:v>138.3882791617944</c:v>
                </c:pt>
                <c:pt idx="5">
                  <c:v>136.25644870795682</c:v>
                </c:pt>
                <c:pt idx="6">
                  <c:v>137.22333755044437</c:v>
                </c:pt>
                <c:pt idx="7">
                  <c:v>135.5300613878151</c:v>
                </c:pt>
                <c:pt idx="8">
                  <c:v>136.76556184887065</c:v>
                </c:pt>
                <c:pt idx="9">
                  <c:v>194.9263419116086</c:v>
                </c:pt>
                <c:pt idx="10">
                  <c:v>186.44392304268573</c:v>
                </c:pt>
                <c:pt idx="11">
                  <c:v>185.5553242625937</c:v>
                </c:pt>
                <c:pt idx="12">
                  <c:v>187.37676931876464</c:v>
                </c:pt>
                <c:pt idx="13">
                  <c:v>176.78494144871846</c:v>
                </c:pt>
                <c:pt idx="14">
                  <c:v>223.51725263257461</c:v>
                </c:pt>
                <c:pt idx="15">
                  <c:v>294.69095236014789</c:v>
                </c:pt>
                <c:pt idx="16">
                  <c:v>288.65029869591734</c:v>
                </c:pt>
                <c:pt idx="17">
                  <c:v>253.6666703949405</c:v>
                </c:pt>
                <c:pt idx="18">
                  <c:v>220.70797092957056</c:v>
                </c:pt>
                <c:pt idx="19">
                  <c:v>210.60901227980449</c:v>
                </c:pt>
                <c:pt idx="20">
                  <c:v>194.16773040561759</c:v>
                </c:pt>
                <c:pt idx="21">
                  <c:v>125.62597994869509</c:v>
                </c:pt>
                <c:pt idx="22">
                  <c:v>145.31430709496283</c:v>
                </c:pt>
                <c:pt idx="23">
                  <c:v>124.27666026827166</c:v>
                </c:pt>
                <c:pt idx="24">
                  <c:v>131.31050405537721</c:v>
                </c:pt>
                <c:pt idx="25">
                  <c:v>126.99708460930158</c:v>
                </c:pt>
                <c:pt idx="26">
                  <c:v>123.6582599253744</c:v>
                </c:pt>
                <c:pt idx="27">
                  <c:v>116.52810586768486</c:v>
                </c:pt>
                <c:pt idx="28">
                  <c:v>104.69050543553826</c:v>
                </c:pt>
                <c:pt idx="29">
                  <c:v>105.03474772125963</c:v>
                </c:pt>
                <c:pt idx="30">
                  <c:v>108.07297862079859</c:v>
                </c:pt>
                <c:pt idx="31">
                  <c:v>120.50664632293486</c:v>
                </c:pt>
                <c:pt idx="32">
                  <c:v>112.68511625899023</c:v>
                </c:pt>
                <c:pt idx="33">
                  <c:v>87.953106046600425</c:v>
                </c:pt>
                <c:pt idx="34">
                  <c:v>105.07082401885569</c:v>
                </c:pt>
                <c:pt idx="35">
                  <c:v>142.44077200322576</c:v>
                </c:pt>
                <c:pt idx="36">
                  <c:v>124.05337932048859</c:v>
                </c:pt>
                <c:pt idx="37">
                  <c:v>123.31453385902337</c:v>
                </c:pt>
                <c:pt idx="38">
                  <c:v>137.7840209288384</c:v>
                </c:pt>
                <c:pt idx="39">
                  <c:v>169.26349115693301</c:v>
                </c:pt>
                <c:pt idx="40">
                  <c:v>212.82451938494893</c:v>
                </c:pt>
                <c:pt idx="41">
                  <c:v>236.13338105815356</c:v>
                </c:pt>
                <c:pt idx="42">
                  <c:v>256.75013537808002</c:v>
                </c:pt>
                <c:pt idx="43">
                  <c:v>286.4694639050598</c:v>
                </c:pt>
                <c:pt idx="44">
                  <c:v>199.00197178048441</c:v>
                </c:pt>
                <c:pt idx="45">
                  <c:v>245.89466310852109</c:v>
                </c:pt>
                <c:pt idx="46">
                  <c:v>301.93758007573979</c:v>
                </c:pt>
                <c:pt idx="47">
                  <c:v>294.53615196443047</c:v>
                </c:pt>
                <c:pt idx="48">
                  <c:v>301.45924601378732</c:v>
                </c:pt>
                <c:pt idx="49">
                  <c:v>284.62978100128521</c:v>
                </c:pt>
                <c:pt idx="50">
                  <c:v>167.79475267655414</c:v>
                </c:pt>
                <c:pt idx="51">
                  <c:v>152.33517805183959</c:v>
                </c:pt>
                <c:pt idx="52">
                  <c:v>168.97803246560539</c:v>
                </c:pt>
                <c:pt idx="53">
                  <c:v>201.49979902781755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F-4AD9-9AAF-038ADE29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61944"/>
        <c:axId val="795764568"/>
      </c:lineChart>
      <c:lineChart>
        <c:grouping val="standard"/>
        <c:varyColors val="0"/>
        <c:ser>
          <c:idx val="2"/>
          <c:order val="1"/>
          <c:tx>
            <c:v> actual cents/litre (RHS)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USA!$AZ$52:$AZ$105</c:f>
              <c:numCache>
                <c:formatCode>0.000</c:formatCode>
                <c:ptCount val="54"/>
                <c:pt idx="0">
                  <c:v>37.899440277388962</c:v>
                </c:pt>
                <c:pt idx="1">
                  <c:v>38.345785842585251</c:v>
                </c:pt>
                <c:pt idx="2">
                  <c:v>38.90727449589825</c:v>
                </c:pt>
                <c:pt idx="3">
                  <c:v>38.261079870051304</c:v>
                </c:pt>
                <c:pt idx="4">
                  <c:v>37.366697497093256</c:v>
                </c:pt>
                <c:pt idx="5">
                  <c:v>36.577283603122488</c:v>
                </c:pt>
                <c:pt idx="6">
                  <c:v>35.872078388192897</c:v>
                </c:pt>
                <c:pt idx="7">
                  <c:v>34.470221308414168</c:v>
                </c:pt>
                <c:pt idx="8">
                  <c:v>35.998082465970036</c:v>
                </c:pt>
                <c:pt idx="9">
                  <c:v>48.418380473176882</c:v>
                </c:pt>
                <c:pt idx="10">
                  <c:v>49.496348108621852</c:v>
                </c:pt>
                <c:pt idx="11">
                  <c:v>49.3542711200244</c:v>
                </c:pt>
                <c:pt idx="12">
                  <c:v>47.738489724663268</c:v>
                </c:pt>
                <c:pt idx="13">
                  <c:v>45.069686686396778</c:v>
                </c:pt>
                <c:pt idx="14">
                  <c:v>58.647028409230856</c:v>
                </c:pt>
                <c:pt idx="15">
                  <c:v>78.411099621622</c:v>
                </c:pt>
                <c:pt idx="16">
                  <c:v>79.473024206684087</c:v>
                </c:pt>
                <c:pt idx="17">
                  <c:v>67.554705593217435</c:v>
                </c:pt>
                <c:pt idx="18">
                  <c:v>59.073545197625961</c:v>
                </c:pt>
                <c:pt idx="19">
                  <c:v>54.367363360702846</c:v>
                </c:pt>
                <c:pt idx="20">
                  <c:v>52.035081845127046</c:v>
                </c:pt>
                <c:pt idx="21">
                  <c:v>36.82251470499839</c:v>
                </c:pt>
                <c:pt idx="22">
                  <c:v>36.165421968670181</c:v>
                </c:pt>
                <c:pt idx="23">
                  <c:v>34.321933623767457</c:v>
                </c:pt>
                <c:pt idx="24">
                  <c:v>35.196436035654663</c:v>
                </c:pt>
                <c:pt idx="25">
                  <c:v>35.038191118383409</c:v>
                </c:pt>
                <c:pt idx="26">
                  <c:v>33.518333529727897</c:v>
                </c:pt>
                <c:pt idx="27">
                  <c:v>29.243282988824937</c:v>
                </c:pt>
                <c:pt idx="28">
                  <c:v>27.416480662982551</c:v>
                </c:pt>
                <c:pt idx="29">
                  <c:v>27.65438802024255</c:v>
                </c:pt>
                <c:pt idx="30">
                  <c:v>27.725109423225955</c:v>
                </c:pt>
                <c:pt idx="31">
                  <c:v>30.883198470237708</c:v>
                </c:pt>
                <c:pt idx="32">
                  <c:v>29.269583853996458</c:v>
                </c:pt>
                <c:pt idx="33">
                  <c:v>23.006852145564025</c:v>
                </c:pt>
                <c:pt idx="34">
                  <c:v>26.31145576488904</c:v>
                </c:pt>
                <c:pt idx="35">
                  <c:v>36.979415885365455</c:v>
                </c:pt>
                <c:pt idx="36">
                  <c:v>33.937997771653777</c:v>
                </c:pt>
                <c:pt idx="37">
                  <c:v>30.682809735888014</c:v>
                </c:pt>
                <c:pt idx="38">
                  <c:v>37.057851380837526</c:v>
                </c:pt>
                <c:pt idx="39">
                  <c:v>45.011993133568346</c:v>
                </c:pt>
                <c:pt idx="40">
                  <c:v>55.89063287361801</c:v>
                </c:pt>
                <c:pt idx="41">
                  <c:v>62.565694971356109</c:v>
                </c:pt>
                <c:pt idx="42">
                  <c:v>67.50434042352525</c:v>
                </c:pt>
                <c:pt idx="43">
                  <c:v>76.755156014536311</c:v>
                </c:pt>
                <c:pt idx="44">
                  <c:v>52.565504632874337</c:v>
                </c:pt>
                <c:pt idx="45">
                  <c:v>62.808019619757133</c:v>
                </c:pt>
                <c:pt idx="46">
                  <c:v>80.025620683761275</c:v>
                </c:pt>
                <c:pt idx="47">
                  <c:v>80.988146102231653</c:v>
                </c:pt>
                <c:pt idx="48">
                  <c:v>76.833052011824961</c:v>
                </c:pt>
                <c:pt idx="49">
                  <c:v>71.943352325196528</c:v>
                </c:pt>
                <c:pt idx="50">
                  <c:v>48.307299211768893</c:v>
                </c:pt>
                <c:pt idx="51">
                  <c:v>41.856363982945716</c:v>
                </c:pt>
                <c:pt idx="52">
                  <c:v>46.403295764533674</c:v>
                </c:pt>
                <c:pt idx="53">
                  <c:v>52.24139563483223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F-4AD9-9AAF-038ADE29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041952"/>
        <c:axId val="664037032"/>
      </c:lineChart>
      <c:catAx>
        <c:axId val="79576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764568"/>
        <c:crosses val="autoZero"/>
        <c:auto val="1"/>
        <c:lblAlgn val="ctr"/>
        <c:lblOffset val="100"/>
        <c:noMultiLvlLbl val="0"/>
      </c:catAx>
      <c:valAx>
        <c:axId val="795764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US cents per gallon</a:t>
                </a:r>
              </a:p>
            </c:rich>
          </c:tx>
          <c:layout>
            <c:manualLayout>
              <c:xMode val="edge"/>
              <c:yMode val="edge"/>
              <c:x val="2.7676348427103641E-2"/>
              <c:y val="0.249626619253238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761944"/>
        <c:crosses val="autoZero"/>
        <c:crossBetween val="between"/>
      </c:valAx>
      <c:valAx>
        <c:axId val="664037032"/>
        <c:scaling>
          <c:orientation val="minMax"/>
          <c:max val="92.46000000000000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US cents per litre</a:t>
                </a:r>
              </a:p>
            </c:rich>
          </c:tx>
          <c:layout>
            <c:manualLayout>
              <c:xMode val="edge"/>
              <c:yMode val="edge"/>
              <c:x val="0.95573165762576329"/>
              <c:y val="0.260764541529083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041952"/>
        <c:crosses val="max"/>
        <c:crossBetween val="between"/>
      </c:valAx>
      <c:catAx>
        <c:axId val="66404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664037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703088555282468"/>
          <c:y val="4.7042587418508169E-2"/>
          <c:w val="0.32402400089047478"/>
          <c:h val="0.3364699573843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7628551500433"/>
          <c:y val="3.793103448275862E-2"/>
          <c:w val="0.77584164572811531"/>
          <c:h val="0.81809122997556349"/>
        </c:manualLayout>
      </c:layout>
      <c:lineChart>
        <c:grouping val="standard"/>
        <c:varyColors val="0"/>
        <c:ser>
          <c:idx val="0"/>
          <c:order val="0"/>
          <c:tx>
            <c:v> actual cents/gallon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USA!$BG$52:$BG$105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USA!$BX$52:$BX$105</c:f>
              <c:numCache>
                <c:formatCode>0.000</c:formatCode>
                <c:ptCount val="54"/>
                <c:pt idx="0">
                  <c:v>248.94383657593826</c:v>
                </c:pt>
                <c:pt idx="1">
                  <c:v>249.25462788252491</c:v>
                </c:pt>
                <c:pt idx="2">
                  <c:v>249.93204126933662</c:v>
                </c:pt>
                <c:pt idx="3">
                  <c:v>243.85596854828199</c:v>
                </c:pt>
                <c:pt idx="4">
                  <c:v>238.98242475201658</c:v>
                </c:pt>
                <c:pt idx="5">
                  <c:v>231.56275265422548</c:v>
                </c:pt>
                <c:pt idx="6">
                  <c:v>226.44254597906192</c:v>
                </c:pt>
                <c:pt idx="7">
                  <c:v>217.59332116391008</c:v>
                </c:pt>
                <c:pt idx="8">
                  <c:v>219.53625916080313</c:v>
                </c:pt>
                <c:pt idx="9">
                  <c:v>267.62157457096953</c:v>
                </c:pt>
                <c:pt idx="10">
                  <c:v>267.61946374252113</c:v>
                </c:pt>
                <c:pt idx="11">
                  <c:v>262.95728557720338</c:v>
                </c:pt>
                <c:pt idx="12">
                  <c:v>257.48594033736941</c:v>
                </c:pt>
                <c:pt idx="13">
                  <c:v>243.09128177471587</c:v>
                </c:pt>
                <c:pt idx="14">
                  <c:v>298.27401722381796</c:v>
                </c:pt>
                <c:pt idx="15">
                  <c:v>380.66366617310609</c:v>
                </c:pt>
                <c:pt idx="16">
                  <c:v>381.58241401507775</c:v>
                </c:pt>
                <c:pt idx="17">
                  <c:v>327.95894997585083</c:v>
                </c:pt>
                <c:pt idx="18">
                  <c:v>304.71613029315449</c:v>
                </c:pt>
                <c:pt idx="19">
                  <c:v>284.80826995447927</c:v>
                </c:pt>
                <c:pt idx="20">
                  <c:v>272.91737748850136</c:v>
                </c:pt>
                <c:pt idx="21">
                  <c:v>203.06742544268397</c:v>
                </c:pt>
                <c:pt idx="22">
                  <c:v>202.17204199320284</c:v>
                </c:pt>
                <c:pt idx="23">
                  <c:v>193.52425518904357</c:v>
                </c:pt>
                <c:pt idx="24">
                  <c:v>200.44542276836185</c:v>
                </c:pt>
                <c:pt idx="25">
                  <c:v>217.07333993852174</c:v>
                </c:pt>
                <c:pt idx="26">
                  <c:v>203.75985043756162</c:v>
                </c:pt>
                <c:pt idx="27">
                  <c:v>195.0151105018397</c:v>
                </c:pt>
                <c:pt idx="28">
                  <c:v>185.95230277296469</c:v>
                </c:pt>
                <c:pt idx="29">
                  <c:v>182.74694622143929</c:v>
                </c:pt>
                <c:pt idx="30">
                  <c:v>183.49160144643835</c:v>
                </c:pt>
                <c:pt idx="31">
                  <c:v>192.72439972493538</c:v>
                </c:pt>
                <c:pt idx="32">
                  <c:v>188.02157011806543</c:v>
                </c:pt>
                <c:pt idx="33">
                  <c:v>158.98820722077363</c:v>
                </c:pt>
                <c:pt idx="34">
                  <c:v>172.17337101213877</c:v>
                </c:pt>
                <c:pt idx="35">
                  <c:v>217.47809983202066</c:v>
                </c:pt>
                <c:pt idx="36">
                  <c:v>202.6572018718104</c:v>
                </c:pt>
                <c:pt idx="37">
                  <c:v>188.10937819519438</c:v>
                </c:pt>
                <c:pt idx="38">
                  <c:v>213.19191592913913</c:v>
                </c:pt>
                <c:pt idx="39">
                  <c:v>246.69610248178171</c:v>
                </c:pt>
                <c:pt idx="40">
                  <c:v>292.75731640717254</c:v>
                </c:pt>
                <c:pt idx="41">
                  <c:v>321.72077735674452</c:v>
                </c:pt>
                <c:pt idx="42">
                  <c:v>340.67858259257576</c:v>
                </c:pt>
                <c:pt idx="43">
                  <c:v>380.8585404406092</c:v>
                </c:pt>
                <c:pt idx="44">
                  <c:v>275.66100944868094</c:v>
                </c:pt>
                <c:pt idx="45">
                  <c:v>320.87250955483842</c:v>
                </c:pt>
                <c:pt idx="46">
                  <c:v>394.20335480525182</c:v>
                </c:pt>
                <c:pt idx="47">
                  <c:v>397.80406029256926</c:v>
                </c:pt>
                <c:pt idx="48">
                  <c:v>379.32593132327844</c:v>
                </c:pt>
                <c:pt idx="49">
                  <c:v>357.96013731130847</c:v>
                </c:pt>
                <c:pt idx="50">
                  <c:v>257.21901490474175</c:v>
                </c:pt>
                <c:pt idx="51">
                  <c:v>228.46992417400915</c:v>
                </c:pt>
                <c:pt idx="52">
                  <c:v>248.22284314275407</c:v>
                </c:pt>
                <c:pt idx="53">
                  <c:v>272.54952000000003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50B-9853-14ADF6804246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USA!$BG$52:$BG$105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USA!$BY$52:$BY$105</c:f>
              <c:numCache>
                <c:formatCode>0.000</c:formatCode>
                <c:ptCount val="54"/>
                <c:pt idx="0">
                  <c:v>253.7940428157612</c:v>
                </c:pt>
                <c:pt idx="1">
                  <c:v>250.07387238075924</c:v>
                </c:pt>
                <c:pt idx="2">
                  <c:v>246.11752711793443</c:v>
                </c:pt>
                <c:pt idx="3">
                  <c:v>240.02315358063191</c:v>
                </c:pt>
                <c:pt idx="4">
                  <c:v>235.45021469721732</c:v>
                </c:pt>
                <c:pt idx="5">
                  <c:v>229.01913114827298</c:v>
                </c:pt>
                <c:pt idx="6">
                  <c:v>228.09647149482845</c:v>
                </c:pt>
                <c:pt idx="7">
                  <c:v>223.41818422911078</c:v>
                </c:pt>
                <c:pt idx="8">
                  <c:v>220.11118052158162</c:v>
                </c:pt>
                <c:pt idx="9">
                  <c:v>281.06123412068729</c:v>
                </c:pt>
                <c:pt idx="10">
                  <c:v>266.5574335752741</c:v>
                </c:pt>
                <c:pt idx="11">
                  <c:v>261.49034393375064</c:v>
                </c:pt>
                <c:pt idx="12">
                  <c:v>265.18180888271041</c:v>
                </c:pt>
                <c:pt idx="13">
                  <c:v>250.22232503778989</c:v>
                </c:pt>
                <c:pt idx="14">
                  <c:v>300.02189462901731</c:v>
                </c:pt>
                <c:pt idx="15">
                  <c:v>378.20818644060375</c:v>
                </c:pt>
                <c:pt idx="16">
                  <c:v>367.51392509829611</c:v>
                </c:pt>
                <c:pt idx="17">
                  <c:v>325.58614330449194</c:v>
                </c:pt>
                <c:pt idx="18">
                  <c:v>301.35749932642625</c:v>
                </c:pt>
                <c:pt idx="19">
                  <c:v>290.35622357336666</c:v>
                </c:pt>
                <c:pt idx="20">
                  <c:v>269.67790589547144</c:v>
                </c:pt>
                <c:pt idx="21">
                  <c:v>187.18128189700127</c:v>
                </c:pt>
                <c:pt idx="22">
                  <c:v>211.88375113540226</c:v>
                </c:pt>
                <c:pt idx="23">
                  <c:v>187.00704285929464</c:v>
                </c:pt>
                <c:pt idx="24">
                  <c:v>198.22631480238744</c:v>
                </c:pt>
                <c:pt idx="25">
                  <c:v>210.56662737380492</c:v>
                </c:pt>
                <c:pt idx="26">
                  <c:v>200.04019747237078</c:v>
                </c:pt>
                <c:pt idx="27">
                  <c:v>201.745132771242</c:v>
                </c:pt>
                <c:pt idx="28">
                  <c:v>187.00029330903905</c:v>
                </c:pt>
                <c:pt idx="29">
                  <c:v>183.15274841607527</c:v>
                </c:pt>
                <c:pt idx="30">
                  <c:v>187.09547280183196</c:v>
                </c:pt>
                <c:pt idx="31">
                  <c:v>196.88119726127508</c:v>
                </c:pt>
                <c:pt idx="32">
                  <c:v>190.20062774428533</c:v>
                </c:pt>
                <c:pt idx="33">
                  <c:v>159.98408307663541</c:v>
                </c:pt>
                <c:pt idx="34">
                  <c:v>178.48886097206477</c:v>
                </c:pt>
                <c:pt idx="35">
                  <c:v>220.3160209620381</c:v>
                </c:pt>
                <c:pt idx="36">
                  <c:v>197.55988857857389</c:v>
                </c:pt>
                <c:pt idx="37">
                  <c:v>196.38299113620059</c:v>
                </c:pt>
                <c:pt idx="38">
                  <c:v>210.31172480067718</c:v>
                </c:pt>
                <c:pt idx="39">
                  <c:v>245.39707913183739</c:v>
                </c:pt>
                <c:pt idx="40">
                  <c:v>294.20663345034967</c:v>
                </c:pt>
                <c:pt idx="41">
                  <c:v>320.90879803007721</c:v>
                </c:pt>
                <c:pt idx="42">
                  <c:v>342.08515665077971</c:v>
                </c:pt>
                <c:pt idx="43">
                  <c:v>376.14860042732738</c:v>
                </c:pt>
                <c:pt idx="44">
                  <c:v>275.68407841131096</c:v>
                </c:pt>
                <c:pt idx="45">
                  <c:v>330.26932061877164</c:v>
                </c:pt>
                <c:pt idx="46">
                  <c:v>393.05803273217191</c:v>
                </c:pt>
                <c:pt idx="47">
                  <c:v>383.90929161436281</c:v>
                </c:pt>
                <c:pt idx="48">
                  <c:v>391.57862903720911</c:v>
                </c:pt>
                <c:pt idx="49">
                  <c:v>372.15215444384165</c:v>
                </c:pt>
                <c:pt idx="50">
                  <c:v>239.82550747930628</c:v>
                </c:pt>
                <c:pt idx="51">
                  <c:v>221.41896538850636</c:v>
                </c:pt>
                <c:pt idx="52">
                  <c:v>240.5149068429474</c:v>
                </c:pt>
                <c:pt idx="53">
                  <c:v>276.87210053232911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A-450B-9853-14ADF680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349096"/>
        <c:axId val="627348440"/>
      </c:lineChart>
      <c:lineChart>
        <c:grouping val="standard"/>
        <c:varyColors val="0"/>
        <c:ser>
          <c:idx val="2"/>
          <c:order val="2"/>
          <c:tx>
            <c:v> actual cents/litre (RHS)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USA!$BZ$52:$BZ$105</c:f>
              <c:numCache>
                <c:formatCode>0.00</c:formatCode>
                <c:ptCount val="54"/>
                <c:pt idx="0">
                  <c:v>65.764035223645067</c:v>
                </c:pt>
                <c:pt idx="1">
                  <c:v>65.8461376396546</c:v>
                </c:pt>
                <c:pt idx="2">
                  <c:v>66.025091408681376</c:v>
                </c:pt>
                <c:pt idx="3">
                  <c:v>64.419962051212948</c:v>
                </c:pt>
                <c:pt idx="4">
                  <c:v>63.132507377540776</c:v>
                </c:pt>
                <c:pt idx="5">
                  <c:v>61.172436447894796</c:v>
                </c:pt>
                <c:pt idx="6">
                  <c:v>59.819820304554042</c:v>
                </c:pt>
                <c:pt idx="7">
                  <c:v>57.482101321629642</c:v>
                </c:pt>
                <c:pt idx="8">
                  <c:v>57.995371481768991</c:v>
                </c:pt>
                <c:pt idx="9">
                  <c:v>70.698173928575628</c:v>
                </c:pt>
                <c:pt idx="10">
                  <c:v>70.697616306429452</c:v>
                </c:pt>
                <c:pt idx="11">
                  <c:v>69.465998551597679</c:v>
                </c:pt>
                <c:pt idx="12">
                  <c:v>68.020621369249142</c:v>
                </c:pt>
                <c:pt idx="13">
                  <c:v>64.217953081625453</c:v>
                </c:pt>
                <c:pt idx="14">
                  <c:v>78.79569643019326</c:v>
                </c:pt>
                <c:pt idx="15">
                  <c:v>100.56074934369227</c:v>
                </c:pt>
                <c:pt idx="16">
                  <c:v>100.80345696108947</c:v>
                </c:pt>
                <c:pt idx="17">
                  <c:v>86.637629735180838</c:v>
                </c:pt>
                <c:pt idx="18">
                  <c:v>80.497523463285191</c:v>
                </c:pt>
                <c:pt idx="19">
                  <c:v>75.238420661032563</c:v>
                </c:pt>
                <c:pt idx="20">
                  <c:v>72.097177713510916</c:v>
                </c:pt>
                <c:pt idx="21">
                  <c:v>53.644763828141201</c:v>
                </c:pt>
                <c:pt idx="22">
                  <c:v>53.40822843316915</c:v>
                </c:pt>
                <c:pt idx="23">
                  <c:v>51.123723768110601</c:v>
                </c:pt>
                <c:pt idx="24">
                  <c:v>52.952103673938062</c:v>
                </c:pt>
                <c:pt idx="25">
                  <c:v>57.344736749393526</c:v>
                </c:pt>
                <c:pt idx="26">
                  <c:v>53.827683246348897</c:v>
                </c:pt>
                <c:pt idx="27">
                  <c:v>51.517566261472254</c:v>
                </c:pt>
                <c:pt idx="28">
                  <c:v>49.123424615289935</c:v>
                </c:pt>
                <c:pt idx="29">
                  <c:v>48.27665859746746</c:v>
                </c:pt>
                <c:pt idx="30">
                  <c:v>48.473375789264125</c:v>
                </c:pt>
                <c:pt idx="31">
                  <c:v>50.912424208985385</c:v>
                </c:pt>
                <c:pt idx="32">
                  <c:v>49.67006747434634</c:v>
                </c:pt>
                <c:pt idx="33">
                  <c:v>42.000260796260797</c:v>
                </c:pt>
                <c:pt idx="34">
                  <c:v>45.483414217254868</c:v>
                </c:pt>
                <c:pt idx="35">
                  <c:v>57.451663051563948</c:v>
                </c:pt>
                <c:pt idx="36">
                  <c:v>53.536394174425055</c:v>
                </c:pt>
                <c:pt idx="37">
                  <c:v>49.693263925227221</c:v>
                </c:pt>
                <c:pt idx="38">
                  <c:v>56.319372519526063</c:v>
                </c:pt>
                <c:pt idx="39">
                  <c:v>65.170246414993798</c:v>
                </c:pt>
                <c:pt idx="40">
                  <c:v>77.338337566385803</c:v>
                </c:pt>
                <c:pt idx="41">
                  <c:v>84.989678094775613</c:v>
                </c:pt>
                <c:pt idx="42">
                  <c:v>89.997802772374911</c:v>
                </c:pt>
                <c:pt idx="43">
                  <c:v>100.61222970315217</c:v>
                </c:pt>
                <c:pt idx="44">
                  <c:v>72.821968940928713</c:v>
                </c:pt>
                <c:pt idx="45">
                  <c:v>84.765589342987539</c:v>
                </c:pt>
                <c:pt idx="46">
                  <c:v>104.13755836362554</c:v>
                </c:pt>
                <c:pt idx="47">
                  <c:v>105.08876457043472</c:v>
                </c:pt>
                <c:pt idx="48">
                  <c:v>100.20735701635449</c:v>
                </c:pt>
                <c:pt idx="49">
                  <c:v>94.563108701913009</c:v>
                </c:pt>
                <c:pt idx="50">
                  <c:v>67.950107096653113</c:v>
                </c:pt>
                <c:pt idx="51">
                  <c:v>60.355397215627676</c:v>
                </c:pt>
                <c:pt idx="52">
                  <c:v>65.573568818900469</c:v>
                </c:pt>
                <c:pt idx="5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A-450B-9853-14ADF680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752232"/>
        <c:axId val="599751248"/>
      </c:lineChart>
      <c:catAx>
        <c:axId val="62734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8440"/>
        <c:crosses val="autoZero"/>
        <c:auto val="1"/>
        <c:lblAlgn val="ctr"/>
        <c:lblOffset val="100"/>
        <c:noMultiLvlLbl val="0"/>
      </c:catAx>
      <c:valAx>
        <c:axId val="62734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 cents per gallon</a:t>
                </a:r>
              </a:p>
            </c:rich>
          </c:tx>
          <c:layout>
            <c:manualLayout>
              <c:xMode val="edge"/>
              <c:yMode val="edge"/>
              <c:x val="1.6464262409187799E-2"/>
              <c:y val="0.235976649470540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49096"/>
        <c:crosses val="autoZero"/>
        <c:crossBetween val="between"/>
      </c:valAx>
      <c:valAx>
        <c:axId val="599751248"/>
        <c:scaling>
          <c:orientation val="minMax"/>
          <c:max val="118.8877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 cents per litre</a:t>
                </a:r>
              </a:p>
            </c:rich>
          </c:tx>
          <c:layout>
            <c:manualLayout>
              <c:xMode val="edge"/>
              <c:yMode val="edge"/>
              <c:x val="0.95046949974369532"/>
              <c:y val="0.27083002986695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52232"/>
        <c:crosses val="max"/>
        <c:crossBetween val="between"/>
      </c:valAx>
      <c:catAx>
        <c:axId val="599752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99751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75000601988971"/>
          <c:y val="5.1504208525658429E-2"/>
          <c:w val="0.27390072649758557"/>
          <c:h val="0.26163833831115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2700152503373"/>
          <c:y val="4.7008547008547008E-2"/>
          <c:w val="0.85989815186836616"/>
          <c:h val="0.82338313480045766"/>
        </c:manualLayout>
      </c:layout>
      <c:lineChart>
        <c:grouping val="standard"/>
        <c:varyColors val="0"/>
        <c:ser>
          <c:idx val="2"/>
          <c:order val="0"/>
          <c:tx>
            <c:strRef>
              <c:f>USA!$BB$134</c:f>
              <c:strCache>
                <c:ptCount val="1"/>
                <c:pt idx="0">
                  <c:v> HIGH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USA!$BI$135:$BI$155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  <c:pt idx="9">
                  <c:v>99.855549694593606</c:v>
                </c:pt>
                <c:pt idx="10">
                  <c:v>119.79637864494414</c:v>
                </c:pt>
                <c:pt idx="11">
                  <c:v>140.44379028530216</c:v>
                </c:pt>
                <c:pt idx="12">
                  <c:v>150.52448683623416</c:v>
                </c:pt>
                <c:pt idx="13">
                  <c:v>159.78983056328434</c:v>
                </c:pt>
                <c:pt idx="14">
                  <c:v>166.43071642624736</c:v>
                </c:pt>
                <c:pt idx="15">
                  <c:v>173.52185967277364</c:v>
                </c:pt>
                <c:pt idx="16">
                  <c:v>181.05522144156683</c:v>
                </c:pt>
                <c:pt idx="17">
                  <c:v>188.41987959547581</c:v>
                </c:pt>
                <c:pt idx="18">
                  <c:v>195.61420943409107</c:v>
                </c:pt>
                <c:pt idx="19">
                  <c:v>203.96205312375386</c:v>
                </c:pt>
                <c:pt idx="20">
                  <c:v>207.51647638272266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5-44FE-98B2-86C19622A565}"/>
            </c:ext>
          </c:extLst>
        </c:ser>
        <c:ser>
          <c:idx val="3"/>
          <c:order val="1"/>
          <c:tx>
            <c:strRef>
              <c:f>USA!$BC$134</c:f>
              <c:strCache>
                <c:ptCount val="1"/>
                <c:pt idx="0">
                  <c:v> LOW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USA!$BJ$135:$BJ$155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  <c:pt idx="9">
                  <c:v>28.530157055598174</c:v>
                </c:pt>
                <c:pt idx="10">
                  <c:v>30.44006342617433</c:v>
                </c:pt>
                <c:pt idx="11">
                  <c:v>33.104607710106947</c:v>
                </c:pt>
                <c:pt idx="12">
                  <c:v>34.579949678594332</c:v>
                </c:pt>
                <c:pt idx="13">
                  <c:v>35.278274280205629</c:v>
                </c:pt>
                <c:pt idx="14">
                  <c:v>35.588958229512002</c:v>
                </c:pt>
                <c:pt idx="15">
                  <c:v>37.032104198457787</c:v>
                </c:pt>
                <c:pt idx="16">
                  <c:v>38.567976165067478</c:v>
                </c:pt>
                <c:pt idx="17">
                  <c:v>40.066296235819564</c:v>
                </c:pt>
                <c:pt idx="18">
                  <c:v>40.66138061270432</c:v>
                </c:pt>
                <c:pt idx="19">
                  <c:v>41.238229320103244</c:v>
                </c:pt>
                <c:pt idx="20">
                  <c:v>42.395839260986357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5-44FE-98B2-86C19622A565}"/>
            </c:ext>
          </c:extLst>
        </c:ser>
        <c:ser>
          <c:idx val="1"/>
          <c:order val="2"/>
          <c:tx>
            <c:strRef>
              <c:f>USA!$BA$134</c:f>
              <c:strCache>
                <c:ptCount val="1"/>
                <c:pt idx="0">
                  <c:v>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USA!$BH$135:$BH$155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  <c:pt idx="9">
                  <c:v>61.73466337637619</c:v>
                </c:pt>
                <c:pt idx="10">
                  <c:v>64.006444444713594</c:v>
                </c:pt>
                <c:pt idx="11">
                  <c:v>73.330843790891748</c:v>
                </c:pt>
                <c:pt idx="12">
                  <c:v>80.340013290358399</c:v>
                </c:pt>
                <c:pt idx="13">
                  <c:v>84.7763825977664</c:v>
                </c:pt>
                <c:pt idx="14">
                  <c:v>86.273503144572402</c:v>
                </c:pt>
                <c:pt idx="15">
                  <c:v>91.176562370309099</c:v>
                </c:pt>
                <c:pt idx="16">
                  <c:v>99.384765150231217</c:v>
                </c:pt>
                <c:pt idx="17">
                  <c:v>104.1353836263059</c:v>
                </c:pt>
                <c:pt idx="18">
                  <c:v>108.04622590141267</c:v>
                </c:pt>
                <c:pt idx="19">
                  <c:v>112.82897825078881</c:v>
                </c:pt>
                <c:pt idx="20">
                  <c:v>115.43122392258282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65-44FE-98B2-86C19622A565}"/>
            </c:ext>
          </c:extLst>
        </c:ser>
        <c:ser>
          <c:idx val="0"/>
          <c:order val="3"/>
          <c:tx>
            <c:strRef>
              <c:f>USA!$AZ$134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USA!$BG$135:$BG$155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65-44FE-98B2-86C19622A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737512"/>
        <c:axId val="714739808"/>
      </c:lineChart>
      <c:catAx>
        <c:axId val="71473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7398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14739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WTI Oil price (2018 US$/barrel)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96681977252843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737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692194573669877"/>
          <c:y val="5.1815734571640085E-2"/>
          <c:w val="0.25083898651736497"/>
          <c:h val="0.3285261457702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USA!$BB$134</c:f>
              <c:strCache>
                <c:ptCount val="1"/>
                <c:pt idx="0">
                  <c:v> HIGH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USA!$BI$135:$BI$155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  <c:pt idx="9">
                  <c:v>99.855549694593606</c:v>
                </c:pt>
                <c:pt idx="10">
                  <c:v>119.79637864494414</c:v>
                </c:pt>
                <c:pt idx="11">
                  <c:v>140.44379028530216</c:v>
                </c:pt>
                <c:pt idx="12">
                  <c:v>150.52448683623416</c:v>
                </c:pt>
                <c:pt idx="13">
                  <c:v>159.78983056328434</c:v>
                </c:pt>
                <c:pt idx="14">
                  <c:v>166.43071642624736</c:v>
                </c:pt>
                <c:pt idx="15">
                  <c:v>173.52185967277364</c:v>
                </c:pt>
                <c:pt idx="16">
                  <c:v>181.05522144156683</c:v>
                </c:pt>
                <c:pt idx="17">
                  <c:v>188.41987959547581</c:v>
                </c:pt>
                <c:pt idx="18">
                  <c:v>195.61420943409107</c:v>
                </c:pt>
                <c:pt idx="19">
                  <c:v>203.96205312375386</c:v>
                </c:pt>
                <c:pt idx="20">
                  <c:v>207.51647638272266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D-4044-ADAE-7F43D64627A5}"/>
            </c:ext>
          </c:extLst>
        </c:ser>
        <c:ser>
          <c:idx val="3"/>
          <c:order val="1"/>
          <c:tx>
            <c:strRef>
              <c:f>USA!$BC$134</c:f>
              <c:strCache>
                <c:ptCount val="1"/>
                <c:pt idx="0">
                  <c:v> LOW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USA!$BJ$135:$BJ$155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  <c:pt idx="9">
                  <c:v>28.530157055598174</c:v>
                </c:pt>
                <c:pt idx="10">
                  <c:v>30.44006342617433</c:v>
                </c:pt>
                <c:pt idx="11">
                  <c:v>33.104607710106947</c:v>
                </c:pt>
                <c:pt idx="12">
                  <c:v>34.579949678594332</c:v>
                </c:pt>
                <c:pt idx="13">
                  <c:v>35.278274280205629</c:v>
                </c:pt>
                <c:pt idx="14">
                  <c:v>35.588958229512002</c:v>
                </c:pt>
                <c:pt idx="15">
                  <c:v>37.032104198457787</c:v>
                </c:pt>
                <c:pt idx="16">
                  <c:v>38.567976165067478</c:v>
                </c:pt>
                <c:pt idx="17">
                  <c:v>40.066296235819564</c:v>
                </c:pt>
                <c:pt idx="18">
                  <c:v>40.66138061270432</c:v>
                </c:pt>
                <c:pt idx="19">
                  <c:v>41.238229320103244</c:v>
                </c:pt>
                <c:pt idx="20">
                  <c:v>42.395839260986357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D-4044-ADAE-7F43D64627A5}"/>
            </c:ext>
          </c:extLst>
        </c:ser>
        <c:ser>
          <c:idx val="1"/>
          <c:order val="2"/>
          <c:tx>
            <c:strRef>
              <c:f>USA!$BA$134</c:f>
              <c:strCache>
                <c:ptCount val="1"/>
                <c:pt idx="0">
                  <c:v>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USA!$BH$135:$BH$155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  <c:pt idx="9">
                  <c:v>61.73466337637619</c:v>
                </c:pt>
                <c:pt idx="10">
                  <c:v>64.006444444713594</c:v>
                </c:pt>
                <c:pt idx="11">
                  <c:v>73.330843790891748</c:v>
                </c:pt>
                <c:pt idx="12">
                  <c:v>80.340013290358399</c:v>
                </c:pt>
                <c:pt idx="13">
                  <c:v>84.7763825977664</c:v>
                </c:pt>
                <c:pt idx="14">
                  <c:v>86.273503144572402</c:v>
                </c:pt>
                <c:pt idx="15">
                  <c:v>91.176562370309099</c:v>
                </c:pt>
                <c:pt idx="16">
                  <c:v>99.384765150231217</c:v>
                </c:pt>
                <c:pt idx="17">
                  <c:v>104.1353836263059</c:v>
                </c:pt>
                <c:pt idx="18">
                  <c:v>108.04622590141267</c:v>
                </c:pt>
                <c:pt idx="19">
                  <c:v>112.82897825078881</c:v>
                </c:pt>
                <c:pt idx="20">
                  <c:v>115.43122392258282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D-4044-ADAE-7F43D64627A5}"/>
            </c:ext>
          </c:extLst>
        </c:ser>
        <c:ser>
          <c:idx val="0"/>
          <c:order val="3"/>
          <c:tx>
            <c:strRef>
              <c:f>USA!$AZ$134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USA!$AY$135:$AY$155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USA!$BG$135:$BG$155</c:f>
              <c:numCache>
                <c:formatCode>0.00</c:formatCode>
                <c:ptCount val="21"/>
                <c:pt idx="0">
                  <c:v>91.745379586663404</c:v>
                </c:pt>
                <c:pt idx="1">
                  <c:v>106.19512624316121</c:v>
                </c:pt>
                <c:pt idx="2">
                  <c:v>103.18703644874945</c:v>
                </c:pt>
                <c:pt idx="3">
                  <c:v>106.00072162442551</c:v>
                </c:pt>
                <c:pt idx="4">
                  <c:v>99.160887312968313</c:v>
                </c:pt>
                <c:pt idx="5">
                  <c:v>51.676773294969642</c:v>
                </c:pt>
                <c:pt idx="6">
                  <c:v>45.39369009059542</c:v>
                </c:pt>
                <c:pt idx="7">
                  <c:v>52.157682087684933</c:v>
                </c:pt>
                <c:pt idx="8">
                  <c:v>65.375184523809523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4D-4044-ADAE-7F43D6462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737512"/>
        <c:axId val="714739808"/>
      </c:lineChart>
      <c:catAx>
        <c:axId val="71473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7398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14739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WTI Oil price (2018 US$/barrel)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96681977252843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737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2367812020967"/>
          <c:y val="5.0925925925925923E-2"/>
          <c:w val="0.85612081276337448"/>
          <c:h val="0.82373432487605736"/>
        </c:manualLayout>
      </c:layout>
      <c:lineChart>
        <c:grouping val="standard"/>
        <c:varyColors val="0"/>
        <c:ser>
          <c:idx val="0"/>
          <c:order val="0"/>
          <c:tx>
            <c:strRef>
              <c:f>USA!$Y$188</c:f>
              <c:strCache>
                <c:ptCount val="1"/>
                <c:pt idx="0">
                  <c:v>  actual</c:v>
                </c:pt>
              </c:strCache>
            </c:strRef>
          </c:tx>
          <c:spPr>
            <a:ln w="412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USA!$A$189:$A$209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USA!$Y$189:$Y$209</c:f>
              <c:numCache>
                <c:formatCode>0.00</c:formatCode>
                <c:ptCount val="21"/>
                <c:pt idx="0">
                  <c:v>320.87250955483842</c:v>
                </c:pt>
                <c:pt idx="1">
                  <c:v>394.20335480525171</c:v>
                </c:pt>
                <c:pt idx="2">
                  <c:v>397.80406029256926</c:v>
                </c:pt>
                <c:pt idx="3">
                  <c:v>379.3259313232785</c:v>
                </c:pt>
                <c:pt idx="4">
                  <c:v>357.96013731130847</c:v>
                </c:pt>
                <c:pt idx="5">
                  <c:v>257.2190149047417</c:v>
                </c:pt>
                <c:pt idx="6">
                  <c:v>228.46992417400918</c:v>
                </c:pt>
                <c:pt idx="7">
                  <c:v>248.22284314275407</c:v>
                </c:pt>
                <c:pt idx="8">
                  <c:v>272.54952000000003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D-4DB3-9784-E88A1C21B240}"/>
            </c:ext>
          </c:extLst>
        </c:ser>
        <c:ser>
          <c:idx val="1"/>
          <c:order val="1"/>
          <c:tx>
            <c:strRef>
              <c:f>USA!$Z$188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USA!$A$189:$A$209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USA!$Z$189:$Z$209</c:f>
              <c:numCache>
                <c:formatCode>0.00</c:formatCode>
                <c:ptCount val="21"/>
                <c:pt idx="0">
                  <c:v>330.26932061877176</c:v>
                </c:pt>
                <c:pt idx="1">
                  <c:v>393.05803273217202</c:v>
                </c:pt>
                <c:pt idx="2">
                  <c:v>383.90929161436287</c:v>
                </c:pt>
                <c:pt idx="3">
                  <c:v>391.57862903720917</c:v>
                </c:pt>
                <c:pt idx="4">
                  <c:v>372.15215444384171</c:v>
                </c:pt>
                <c:pt idx="5">
                  <c:v>239.82550747930628</c:v>
                </c:pt>
                <c:pt idx="6">
                  <c:v>221.41896538850636</c:v>
                </c:pt>
                <c:pt idx="7">
                  <c:v>240.51490684294743</c:v>
                </c:pt>
                <c:pt idx="8">
                  <c:v>276.87210053232911</c:v>
                </c:pt>
                <c:pt idx="9">
                  <c:v>374.8037183648363</c:v>
                </c:pt>
                <c:pt idx="10">
                  <c:v>431.43994104857427</c:v>
                </c:pt>
                <c:pt idx="11">
                  <c:v>490.0830098205754</c:v>
                </c:pt>
                <c:pt idx="12">
                  <c:v>518.71434586419241</c:v>
                </c:pt>
                <c:pt idx="13">
                  <c:v>545.02990535638503</c:v>
                </c:pt>
                <c:pt idx="14">
                  <c:v>563.89144273221461</c:v>
                </c:pt>
                <c:pt idx="15">
                  <c:v>584.03180745789894</c:v>
                </c:pt>
                <c:pt idx="16">
                  <c:v>605.42816744658603</c:v>
                </c:pt>
                <c:pt idx="17">
                  <c:v>626.34537305689037</c:v>
                </c:pt>
                <c:pt idx="18">
                  <c:v>646.77880979187182</c:v>
                </c:pt>
                <c:pt idx="19">
                  <c:v>670.48847278100595</c:v>
                </c:pt>
                <c:pt idx="20">
                  <c:v>680.58379568400255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D-4DB3-9784-E88A1C21B240}"/>
            </c:ext>
          </c:extLst>
        </c:ser>
        <c:ser>
          <c:idx val="3"/>
          <c:order val="2"/>
          <c:tx>
            <c:strRef>
              <c:f>USA!$AB$188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USA!$A$189:$A$209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USA!$AB$189:$AB$209</c:f>
              <c:numCache>
                <c:formatCode>0.00</c:formatCode>
                <c:ptCount val="21"/>
                <c:pt idx="0">
                  <c:v>330.26932061877176</c:v>
                </c:pt>
                <c:pt idx="1">
                  <c:v>393.05803273217202</c:v>
                </c:pt>
                <c:pt idx="2">
                  <c:v>383.90929161436287</c:v>
                </c:pt>
                <c:pt idx="3">
                  <c:v>391.57862903720917</c:v>
                </c:pt>
                <c:pt idx="4">
                  <c:v>372.15215444384171</c:v>
                </c:pt>
                <c:pt idx="5">
                  <c:v>239.82550747930628</c:v>
                </c:pt>
                <c:pt idx="6">
                  <c:v>221.41896538850636</c:v>
                </c:pt>
                <c:pt idx="7">
                  <c:v>240.51490684294743</c:v>
                </c:pt>
                <c:pt idx="8">
                  <c:v>276.87210053232911</c:v>
                </c:pt>
                <c:pt idx="9">
                  <c:v>172.22433560371147</c:v>
                </c:pt>
                <c:pt idx="10">
                  <c:v>177.64887852408691</c:v>
                </c:pt>
                <c:pt idx="11">
                  <c:v>185.21675465357123</c:v>
                </c:pt>
                <c:pt idx="12">
                  <c:v>189.40704165066455</c:v>
                </c:pt>
                <c:pt idx="13">
                  <c:v>191.39043300018488</c:v>
                </c:pt>
                <c:pt idx="14">
                  <c:v>192.27284192014451</c:v>
                </c:pt>
                <c:pt idx="15">
                  <c:v>196.3716853867756</c:v>
                </c:pt>
                <c:pt idx="16">
                  <c:v>200.73389053537795</c:v>
                </c:pt>
                <c:pt idx="17">
                  <c:v>204.98944026151591</c:v>
                </c:pt>
                <c:pt idx="18">
                  <c:v>206.67960727356814</c:v>
                </c:pt>
                <c:pt idx="19">
                  <c:v>208.31798108081639</c:v>
                </c:pt>
                <c:pt idx="20">
                  <c:v>211.6058411068968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D-4DB3-9784-E88A1C21B240}"/>
            </c:ext>
          </c:extLst>
        </c:ser>
        <c:ser>
          <c:idx val="2"/>
          <c:order val="3"/>
          <c:tx>
            <c:strRef>
              <c:f>USA!$AA$188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USA!$A$189:$A$209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USA!$AA$189:$AA$209</c:f>
              <c:numCache>
                <c:formatCode>0.00</c:formatCode>
                <c:ptCount val="21"/>
                <c:pt idx="0">
                  <c:v>330.26932061877176</c:v>
                </c:pt>
                <c:pt idx="1">
                  <c:v>393.05803273217202</c:v>
                </c:pt>
                <c:pt idx="2">
                  <c:v>383.90929161436287</c:v>
                </c:pt>
                <c:pt idx="3">
                  <c:v>391.57862903720917</c:v>
                </c:pt>
                <c:pt idx="4">
                  <c:v>372.15215444384171</c:v>
                </c:pt>
                <c:pt idx="5">
                  <c:v>239.82550747930628</c:v>
                </c:pt>
                <c:pt idx="6">
                  <c:v>221.41896538850636</c:v>
                </c:pt>
                <c:pt idx="7">
                  <c:v>240.51490684294743</c:v>
                </c:pt>
                <c:pt idx="8">
                  <c:v>276.87210053232911</c:v>
                </c:pt>
                <c:pt idx="9">
                  <c:v>266.53224119627748</c:v>
                </c:pt>
                <c:pt idx="10">
                  <c:v>272.98458571993859</c:v>
                </c:pt>
                <c:pt idx="11">
                  <c:v>299.46787581169593</c:v>
                </c:pt>
                <c:pt idx="12">
                  <c:v>319.37541754871472</c:v>
                </c:pt>
                <c:pt idx="13">
                  <c:v>331.97565601559364</c:v>
                </c:pt>
                <c:pt idx="14">
                  <c:v>336.22779883695875</c:v>
                </c:pt>
                <c:pt idx="15">
                  <c:v>350.15353656991783</c:v>
                </c:pt>
                <c:pt idx="16">
                  <c:v>373.46658948433912</c:v>
                </c:pt>
                <c:pt idx="17">
                  <c:v>386.95936285731938</c:v>
                </c:pt>
                <c:pt idx="18">
                  <c:v>398.06699205996745</c:v>
                </c:pt>
                <c:pt idx="19">
                  <c:v>411.65103251158945</c:v>
                </c:pt>
                <c:pt idx="20">
                  <c:v>419.04196724717514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D-4DB3-9784-E88A1C21B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5530248"/>
        <c:axId val="675531560"/>
      </c:lineChart>
      <c:catAx>
        <c:axId val="67553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5531560"/>
        <c:crosses val="autoZero"/>
        <c:auto val="1"/>
        <c:lblAlgn val="ctr"/>
        <c:lblOffset val="100"/>
        <c:noMultiLvlLbl val="0"/>
      </c:catAx>
      <c:valAx>
        <c:axId val="675531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cents per gallon</a:t>
                </a:r>
              </a:p>
            </c:rich>
          </c:tx>
          <c:layout>
            <c:manualLayout>
              <c:xMode val="edge"/>
              <c:yMode val="edge"/>
              <c:x val="1.3075197763656149E-3"/>
              <c:y val="0.233371609798775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5530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15419383614331"/>
          <c:y val="6.076334208223972E-2"/>
          <c:w val="0.22421002379541516"/>
          <c:h val="0.38831073199183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'24 country oil price scenarios'!$B$5</c:f>
              <c:strCache>
                <c:ptCount val="1"/>
                <c:pt idx="0">
                  <c:v> Australia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scenarios'!$B$6:$B$26</c:f>
              <c:numCache>
                <c:formatCode>0.00</c:formatCode>
                <c:ptCount val="21"/>
                <c:pt idx="0">
                  <c:v>1.3908390131730575</c:v>
                </c:pt>
                <c:pt idx="1">
                  <c:v>1.6738387544215201</c:v>
                </c:pt>
                <c:pt idx="2">
                  <c:v>1.6640110230886334</c:v>
                </c:pt>
                <c:pt idx="3">
                  <c:v>1.5414390996949636</c:v>
                </c:pt>
                <c:pt idx="4">
                  <c:v>1.3994760809034159</c:v>
                </c:pt>
                <c:pt idx="5">
                  <c:v>0.96486146769278369</c:v>
                </c:pt>
                <c:pt idx="6">
                  <c:v>0.90309155065694291</c:v>
                </c:pt>
                <c:pt idx="7">
                  <c:v>0.99169914140477056</c:v>
                </c:pt>
                <c:pt idx="8">
                  <c:v>1.0680261449170629</c:v>
                </c:pt>
                <c:pt idx="9">
                  <c:v>1.0113868836435869</c:v>
                </c:pt>
                <c:pt idx="10">
                  <c:v>1.0129897770125098</c:v>
                </c:pt>
                <c:pt idx="11">
                  <c:v>1.0602146893366187</c:v>
                </c:pt>
                <c:pt idx="12">
                  <c:v>1.0953768837589959</c:v>
                </c:pt>
                <c:pt idx="13">
                  <c:v>1.1115573396763723</c:v>
                </c:pt>
                <c:pt idx="14">
                  <c:v>1.1158352498211876</c:v>
                </c:pt>
                <c:pt idx="15">
                  <c:v>1.1382190845734002</c:v>
                </c:pt>
                <c:pt idx="16">
                  <c:v>1.1775612822162291</c:v>
                </c:pt>
                <c:pt idx="17">
                  <c:v>1.1978372554075909</c:v>
                </c:pt>
                <c:pt idx="18">
                  <c:v>1.2106724523212824</c:v>
                </c:pt>
                <c:pt idx="19">
                  <c:v>1.2280697054218568</c:v>
                </c:pt>
                <c:pt idx="20">
                  <c:v>1.2413721505283324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0-4009-ADCC-28343BD57067}"/>
            </c:ext>
          </c:extLst>
        </c:ser>
        <c:ser>
          <c:idx val="1"/>
          <c:order val="1"/>
          <c:tx>
            <c:strRef>
              <c:f>'24 country oil price scenarios'!$C$5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scenarios'!$C$6:$C$26</c:f>
              <c:numCache>
                <c:formatCode>0.00</c:formatCode>
                <c:ptCount val="21"/>
                <c:pt idx="0">
                  <c:v>1.8707930826715251</c:v>
                </c:pt>
                <c:pt idx="1">
                  <c:v>2.2015184550151008</c:v>
                </c:pt>
                <c:pt idx="2">
                  <c:v>2.0703064743017996</c:v>
                </c:pt>
                <c:pt idx="3">
                  <c:v>1.991547878783257</c:v>
                </c:pt>
                <c:pt idx="4">
                  <c:v>1.8876630863879096</c:v>
                </c:pt>
                <c:pt idx="5">
                  <c:v>1.3486039746997904</c:v>
                </c:pt>
                <c:pt idx="6">
                  <c:v>1.2768000920990565</c:v>
                </c:pt>
                <c:pt idx="7">
                  <c:v>1.3604224075854836</c:v>
                </c:pt>
                <c:pt idx="8">
                  <c:v>1.5082478725263737</c:v>
                </c:pt>
                <c:pt idx="9">
                  <c:v>1.4517205924925944</c:v>
                </c:pt>
                <c:pt idx="10">
                  <c:v>1.4535231386524066</c:v>
                </c:pt>
                <c:pt idx="11">
                  <c:v>1.5066302797808893</c:v>
                </c:pt>
                <c:pt idx="12">
                  <c:v>1.546172198011684</c:v>
                </c:pt>
                <c:pt idx="13">
                  <c:v>1.564368055105708</c:v>
                </c:pt>
                <c:pt idx="14">
                  <c:v>1.5691788121111729</c:v>
                </c:pt>
                <c:pt idx="15">
                  <c:v>1.5943507269476467</c:v>
                </c:pt>
                <c:pt idx="16">
                  <c:v>1.6385933001933726</c:v>
                </c:pt>
                <c:pt idx="17">
                  <c:v>1.6613948029764973</c:v>
                </c:pt>
                <c:pt idx="18">
                  <c:v>1.6758287231334923</c:v>
                </c:pt>
                <c:pt idx="19">
                  <c:v>1.6953929389295792</c:v>
                </c:pt>
                <c:pt idx="20">
                  <c:v>1.7103523066627584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0-4009-ADCC-28343BD57067}"/>
            </c:ext>
          </c:extLst>
        </c:ser>
        <c:ser>
          <c:idx val="2"/>
          <c:order val="2"/>
          <c:tx>
            <c:strRef>
              <c:f>'24 country oil price scenarios'!$D$5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scenarios'!$D$6:$D$26</c:f>
              <c:numCache>
                <c:formatCode>0.00</c:formatCode>
                <c:ptCount val="21"/>
                <c:pt idx="0">
                  <c:v>2.2153738295867189</c:v>
                </c:pt>
                <c:pt idx="1">
                  <c:v>2.5084899204100859</c:v>
                </c:pt>
                <c:pt idx="2">
                  <c:v>2.3536061032996445</c:v>
                </c:pt>
                <c:pt idx="3">
                  <c:v>2.3413100783772207</c:v>
                </c:pt>
                <c:pt idx="4">
                  <c:v>2.2401918654663113</c:v>
                </c:pt>
                <c:pt idx="5">
                  <c:v>1.6023948367473415</c:v>
                </c:pt>
                <c:pt idx="6">
                  <c:v>1.5058319793914923</c:v>
                </c:pt>
                <c:pt idx="7">
                  <c:v>1.5968202246410124</c:v>
                </c:pt>
                <c:pt idx="8">
                  <c:v>1.7866683533036822</c:v>
                </c:pt>
                <c:pt idx="9">
                  <c:v>1.7193905192256522</c:v>
                </c:pt>
                <c:pt idx="10">
                  <c:v>1.721545757456165</c:v>
                </c:pt>
                <c:pt idx="11">
                  <c:v>1.7850440153234015</c:v>
                </c:pt>
                <c:pt idx="12">
                  <c:v>1.8323228344620492</c:v>
                </c:pt>
                <c:pt idx="13">
                  <c:v>1.8540789524025052</c:v>
                </c:pt>
                <c:pt idx="14">
                  <c:v>1.8598309978408123</c:v>
                </c:pt>
                <c:pt idx="15">
                  <c:v>1.8899281317729812</c:v>
                </c:pt>
                <c:pt idx="16">
                  <c:v>1.9428273514442223</c:v>
                </c:pt>
                <c:pt idx="17">
                  <c:v>1.9700902707563452</c:v>
                </c:pt>
                <c:pt idx="18">
                  <c:v>1.9873483788881052</c:v>
                </c:pt>
                <c:pt idx="19">
                  <c:v>2.0107405930648143</c:v>
                </c:pt>
                <c:pt idx="20">
                  <c:v>2.028626959562196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0-4009-ADCC-28343BD57067}"/>
            </c:ext>
          </c:extLst>
        </c:ser>
        <c:ser>
          <c:idx val="3"/>
          <c:order val="3"/>
          <c:tx>
            <c:strRef>
              <c:f>'24 country oil price scenarios'!$E$5</c:f>
              <c:strCache>
                <c:ptCount val="1"/>
                <c:pt idx="0">
                  <c:v>Britain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scenarios'!$E$6:$E$26</c:f>
              <c:numCache>
                <c:formatCode>0.00</c:formatCode>
                <c:ptCount val="21"/>
                <c:pt idx="0">
                  <c:v>2.1427069775087957</c:v>
                </c:pt>
                <c:pt idx="1">
                  <c:v>2.4248919009848193</c:v>
                </c:pt>
                <c:pt idx="2">
                  <c:v>2.3658485220685757</c:v>
                </c:pt>
                <c:pt idx="3">
                  <c:v>2.2607692605976508</c:v>
                </c:pt>
                <c:pt idx="4">
                  <c:v>2.238215711091105</c:v>
                </c:pt>
                <c:pt idx="5">
                  <c:v>1.7843892713878355</c:v>
                </c:pt>
                <c:pt idx="6">
                  <c:v>1.5381563499381654</c:v>
                </c:pt>
                <c:pt idx="7">
                  <c:v>1.5438288769690125</c:v>
                </c:pt>
                <c:pt idx="8">
                  <c:v>1.6747512456919096</c:v>
                </c:pt>
                <c:pt idx="9">
                  <c:v>1.6025754028141115</c:v>
                </c:pt>
                <c:pt idx="10">
                  <c:v>1.6044278545700328</c:v>
                </c:pt>
                <c:pt idx="11">
                  <c:v>1.6590053289386402</c:v>
                </c:pt>
                <c:pt idx="12">
                  <c:v>1.6996420113671984</c:v>
                </c:pt>
                <c:pt idx="13">
                  <c:v>1.7183416420206612</c:v>
                </c:pt>
                <c:pt idx="14">
                  <c:v>1.7232855904535875</c:v>
                </c:pt>
                <c:pt idx="15">
                  <c:v>1.749154419157297</c:v>
                </c:pt>
                <c:pt idx="16">
                  <c:v>1.7946218997260228</c:v>
                </c:pt>
                <c:pt idx="17">
                  <c:v>1.8180546887496492</c:v>
                </c:pt>
                <c:pt idx="18">
                  <c:v>1.8328882288474131</c:v>
                </c:pt>
                <c:pt idx="19">
                  <c:v>1.8529941028120764</c:v>
                </c:pt>
                <c:pt idx="20">
                  <c:v>1.8683676381159806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0-4009-ADCC-28343BD57067}"/>
            </c:ext>
          </c:extLst>
        </c:ser>
        <c:ser>
          <c:idx val="4"/>
          <c:order val="4"/>
          <c:tx>
            <c:strRef>
              <c:f>'24 country oil price scenarios'!$F$5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scenarios'!$F$6:$F$26</c:f>
              <c:numCache>
                <c:formatCode>0.00</c:formatCode>
                <c:ptCount val="21"/>
                <c:pt idx="0">
                  <c:v>1.1432739847114597</c:v>
                </c:pt>
                <c:pt idx="1">
                  <c:v>1.3920006577288802</c:v>
                </c:pt>
                <c:pt idx="2">
                  <c:v>1.3909668873084264</c:v>
                </c:pt>
                <c:pt idx="3">
                  <c:v>1.3453190957089272</c:v>
                </c:pt>
                <c:pt idx="4">
                  <c:v>1.2329695098973878</c:v>
                </c:pt>
                <c:pt idx="5">
                  <c:v>0.8734022282330669</c:v>
                </c:pt>
                <c:pt idx="6">
                  <c:v>0.80815440987623133</c:v>
                </c:pt>
                <c:pt idx="7">
                  <c:v>0.87960777039051019</c:v>
                </c:pt>
                <c:pt idx="8">
                  <c:v>0.9584569538070109</c:v>
                </c:pt>
                <c:pt idx="9">
                  <c:v>0.92206762259893249</c:v>
                </c:pt>
                <c:pt idx="10">
                  <c:v>0.92348075436522992</c:v>
                </c:pt>
                <c:pt idx="11">
                  <c:v>0.96511485496085925</c:v>
                </c:pt>
                <c:pt idx="12">
                  <c:v>0.99611430562573622</c:v>
                </c:pt>
                <c:pt idx="13">
                  <c:v>1.0103792072675606</c:v>
                </c:pt>
                <c:pt idx="14">
                  <c:v>1.0141506688234008</c:v>
                </c:pt>
                <c:pt idx="15">
                  <c:v>1.0338845504110183</c:v>
                </c:pt>
                <c:pt idx="16">
                  <c:v>1.0685691466062017</c:v>
                </c:pt>
                <c:pt idx="17">
                  <c:v>1.086444709862515</c:v>
                </c:pt>
                <c:pt idx="18">
                  <c:v>1.0977603873973258</c:v>
                </c:pt>
                <c:pt idx="19">
                  <c:v>1.1130980333564311</c:v>
                </c:pt>
                <c:pt idx="20">
                  <c:v>1.1248256430114754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90-4009-ADCC-28343BD57067}"/>
            </c:ext>
          </c:extLst>
        </c:ser>
        <c:ser>
          <c:idx val="5"/>
          <c:order val="5"/>
          <c:tx>
            <c:strRef>
              <c:f>'24 country oil price scenarios'!$G$5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scenarios'!$G$6:$G$26</c:f>
              <c:numCache>
                <c:formatCode>0.00</c:formatCode>
                <c:ptCount val="21"/>
                <c:pt idx="0">
                  <c:v>1.23327478505953</c:v>
                </c:pt>
                <c:pt idx="1">
                  <c:v>1.3602991562221276</c:v>
                </c:pt>
                <c:pt idx="2">
                  <c:v>1.366181466338348</c:v>
                </c:pt>
                <c:pt idx="3">
                  <c:v>1.3221308587000267</c:v>
                </c:pt>
                <c:pt idx="4">
                  <c:v>1.2654327970311181</c:v>
                </c:pt>
                <c:pt idx="5">
                  <c:v>0.87994703043334022</c:v>
                </c:pt>
                <c:pt idx="6">
                  <c:v>0.76520910830949473</c:v>
                </c:pt>
                <c:pt idx="7">
                  <c:v>0.73559480675450084</c:v>
                </c:pt>
                <c:pt idx="8">
                  <c:v>0.86045609790939814</c:v>
                </c:pt>
                <c:pt idx="9">
                  <c:v>0.80659277995880152</c:v>
                </c:pt>
                <c:pt idx="10">
                  <c:v>0.80867726765145942</c:v>
                </c:pt>
                <c:pt idx="11">
                  <c:v>0.87009105252013164</c:v>
                </c:pt>
                <c:pt idx="12">
                  <c:v>0.91581783818244999</c:v>
                </c:pt>
                <c:pt idx="13">
                  <c:v>0.93685976266431936</c:v>
                </c:pt>
                <c:pt idx="14">
                  <c:v>0.94242298428595228</c:v>
                </c:pt>
                <c:pt idx="15">
                  <c:v>0.97153211216688473</c:v>
                </c:pt>
                <c:pt idx="16">
                  <c:v>1.0226947960849657</c:v>
                </c:pt>
                <c:pt idx="17">
                  <c:v>1.0490627488093915</c:v>
                </c:pt>
                <c:pt idx="18">
                  <c:v>1.0657543207618096</c:v>
                </c:pt>
                <c:pt idx="19">
                  <c:v>1.088378632944579</c:v>
                </c:pt>
                <c:pt idx="20">
                  <c:v>1.1056778392700359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0-4009-ADCC-28343BD57067}"/>
            </c:ext>
          </c:extLst>
        </c:ser>
        <c:ser>
          <c:idx val="6"/>
          <c:order val="6"/>
          <c:tx>
            <c:strRef>
              <c:f>'24 country oil price scenarios'!$H$5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scenarios'!$H$6:$H$26</c:f>
              <c:numCache>
                <c:formatCode>0.00</c:formatCode>
                <c:ptCount val="21"/>
                <c:pt idx="0">
                  <c:v>2.1556972216159211</c:v>
                </c:pt>
                <c:pt idx="1">
                  <c:v>2.4208160958803786</c:v>
                </c:pt>
                <c:pt idx="2">
                  <c:v>2.2937389861943815</c:v>
                </c:pt>
                <c:pt idx="3">
                  <c:v>2.2978514275422408</c:v>
                </c:pt>
                <c:pt idx="4">
                  <c:v>2.2483751777072056</c:v>
                </c:pt>
                <c:pt idx="5">
                  <c:v>1.6507304233395825</c:v>
                </c:pt>
                <c:pt idx="6">
                  <c:v>1.5859145949344846</c:v>
                </c:pt>
                <c:pt idx="7">
                  <c:v>1.6858367043558278</c:v>
                </c:pt>
                <c:pt idx="8">
                  <c:v>1.871198157870779</c:v>
                </c:pt>
                <c:pt idx="9">
                  <c:v>1.8031865844578614</c:v>
                </c:pt>
                <c:pt idx="10">
                  <c:v>1.8051892042534314</c:v>
                </c:pt>
                <c:pt idx="11">
                  <c:v>1.8641909732406274</c:v>
                </c:pt>
                <c:pt idx="12">
                  <c:v>1.9081218472283568</c:v>
                </c:pt>
                <c:pt idx="13">
                  <c:v>1.9283373537303599</c:v>
                </c:pt>
                <c:pt idx="14">
                  <c:v>1.9336820807756983</c:v>
                </c:pt>
                <c:pt idx="15">
                  <c:v>1.9616479526450545</c:v>
                </c:pt>
                <c:pt idx="16">
                  <c:v>2.0108012309156376</c:v>
                </c:pt>
                <c:pt idx="17">
                  <c:v>2.036133586813238</c:v>
                </c:pt>
                <c:pt idx="18">
                  <c:v>2.0521696001362355</c:v>
                </c:pt>
                <c:pt idx="19">
                  <c:v>2.0739053463332251</c:v>
                </c:pt>
                <c:pt idx="20">
                  <c:v>2.0905251292933391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0-4009-ADCC-28343BD57067}"/>
            </c:ext>
          </c:extLst>
        </c:ser>
        <c:ser>
          <c:idx val="7"/>
          <c:order val="7"/>
          <c:tx>
            <c:strRef>
              <c:f>'24 country oil price scenarios'!$I$5</c:f>
              <c:strCache>
                <c:ptCount val="1"/>
                <c:pt idx="0">
                  <c:v>Finland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scenarios'!$I$6:$I$26</c:f>
              <c:numCache>
                <c:formatCode>0.00</c:formatCode>
                <c:ptCount val="21"/>
                <c:pt idx="0">
                  <c:v>2.0441088035613761</c:v>
                </c:pt>
                <c:pt idx="1">
                  <c:v>2.3203989194910122</c:v>
                </c:pt>
                <c:pt idx="2">
                  <c:v>2.2082197760202957</c:v>
                </c:pt>
                <c:pt idx="3">
                  <c:v>2.2156090647278557</c:v>
                </c:pt>
                <c:pt idx="4">
                  <c:v>2.1544755485369795</c:v>
                </c:pt>
                <c:pt idx="5">
                  <c:v>1.5979121585685041</c:v>
                </c:pt>
                <c:pt idx="6">
                  <c:v>1.5300562666356354</c:v>
                </c:pt>
                <c:pt idx="7">
                  <c:v>1.6609629385559455</c:v>
                </c:pt>
                <c:pt idx="8">
                  <c:v>1.8332317369986706</c:v>
                </c:pt>
                <c:pt idx="9">
                  <c:v>1.7698998674568334</c:v>
                </c:pt>
                <c:pt idx="10">
                  <c:v>1.7717512114633824</c:v>
                </c:pt>
                <c:pt idx="11">
                  <c:v>1.8262960489966407</c:v>
                </c:pt>
                <c:pt idx="12">
                  <c:v>1.8669084310571649</c:v>
                </c:pt>
                <c:pt idx="13">
                  <c:v>1.8855968795008642</c:v>
                </c:pt>
                <c:pt idx="14">
                  <c:v>1.890537871497407</c:v>
                </c:pt>
                <c:pt idx="15">
                  <c:v>1.9163912308758519</c:v>
                </c:pt>
                <c:pt idx="16">
                  <c:v>1.9618315223030101</c:v>
                </c:pt>
                <c:pt idx="17">
                  <c:v>1.9852502987310381</c:v>
                </c:pt>
                <c:pt idx="18">
                  <c:v>2.0000749685061745</c:v>
                </c:pt>
                <c:pt idx="19">
                  <c:v>2.020168819340312</c:v>
                </c:pt>
                <c:pt idx="20">
                  <c:v>2.0355331614093464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90-4009-ADCC-28343BD57067}"/>
            </c:ext>
          </c:extLst>
        </c:ser>
        <c:ser>
          <c:idx val="8"/>
          <c:order val="8"/>
          <c:tx>
            <c:strRef>
              <c:f>'24 country oil price scenarios'!$J$5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scenarios'!$J$6:$J$26</c:f>
              <c:numCache>
                <c:formatCode>0.00</c:formatCode>
                <c:ptCount val="21"/>
                <c:pt idx="0">
                  <c:v>1.9765607645483878</c:v>
                </c:pt>
                <c:pt idx="1">
                  <c:v>2.2558661813150254</c:v>
                </c:pt>
                <c:pt idx="2">
                  <c:v>2.1159076220993764</c:v>
                </c:pt>
                <c:pt idx="3">
                  <c:v>2.1273545137483207</c:v>
                </c:pt>
                <c:pt idx="4">
                  <c:v>2.0454280743622251</c:v>
                </c:pt>
                <c:pt idx="5">
                  <c:v>1.5130564592228852</c:v>
                </c:pt>
                <c:pt idx="6">
                  <c:v>1.4698574174746835</c:v>
                </c:pt>
                <c:pt idx="7">
                  <c:v>1.584060143700724</c:v>
                </c:pt>
                <c:pt idx="8">
                  <c:v>1.7424053608904768</c:v>
                </c:pt>
                <c:pt idx="9">
                  <c:v>1.6806537999434801</c:v>
                </c:pt>
                <c:pt idx="10">
                  <c:v>1.6825118130905639</c:v>
                </c:pt>
                <c:pt idx="11">
                  <c:v>1.7372531387890138</c:v>
                </c:pt>
                <c:pt idx="12">
                  <c:v>1.7780118197990988</c:v>
                </c:pt>
                <c:pt idx="13">
                  <c:v>1.7967675900849935</c:v>
                </c:pt>
                <c:pt idx="14">
                  <c:v>1.8017263811344901</c:v>
                </c:pt>
                <c:pt idx="15">
                  <c:v>1.8276728726841553</c:v>
                </c:pt>
                <c:pt idx="16">
                  <c:v>1.8732768547535816</c:v>
                </c:pt>
                <c:pt idx="17">
                  <c:v>1.896779993196779</c:v>
                </c:pt>
                <c:pt idx="18">
                  <c:v>1.911658066232341</c:v>
                </c:pt>
                <c:pt idx="19">
                  <c:v>1.9318243016231214</c:v>
                </c:pt>
                <c:pt idx="20">
                  <c:v>1.9472439910269186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90-4009-ADCC-28343BD57067}"/>
            </c:ext>
          </c:extLst>
        </c:ser>
        <c:ser>
          <c:idx val="9"/>
          <c:order val="9"/>
          <c:tx>
            <c:strRef>
              <c:f>'24 country oil price scenarios'!$K$5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scenarios'!$K$6:$K$26</c:f>
              <c:numCache>
                <c:formatCode>0.00</c:formatCode>
                <c:ptCount val="21"/>
                <c:pt idx="0">
                  <c:v>2.0340818784046286</c:v>
                </c:pt>
                <c:pt idx="1">
                  <c:v>2.307112573984079</c:v>
                </c:pt>
                <c:pt idx="2">
                  <c:v>2.2311309052927264</c:v>
                </c:pt>
                <c:pt idx="3">
                  <c:v>2.2200028732663157</c:v>
                </c:pt>
                <c:pt idx="4">
                  <c:v>2.1233951673300639</c:v>
                </c:pt>
                <c:pt idx="5">
                  <c:v>1.5534787603110531</c:v>
                </c:pt>
                <c:pt idx="6">
                  <c:v>1.4842980401095898</c:v>
                </c:pt>
                <c:pt idx="7">
                  <c:v>1.5722603564102866</c:v>
                </c:pt>
                <c:pt idx="8">
                  <c:v>1.7445776941790199</c:v>
                </c:pt>
                <c:pt idx="9">
                  <c:v>1.6834366428595471</c:v>
                </c:pt>
                <c:pt idx="10">
                  <c:v>1.6852535388323682</c:v>
                </c:pt>
                <c:pt idx="11">
                  <c:v>1.7387834583404702</c:v>
                </c:pt>
                <c:pt idx="12">
                  <c:v>1.7786401641452403</c:v>
                </c:pt>
                <c:pt idx="13">
                  <c:v>1.7969808758636052</c:v>
                </c:pt>
                <c:pt idx="14">
                  <c:v>1.801829930619774</c:v>
                </c:pt>
                <c:pt idx="15">
                  <c:v>1.8272022354817754</c:v>
                </c:pt>
                <c:pt idx="16">
                  <c:v>1.8717970175459302</c:v>
                </c:pt>
                <c:pt idx="17">
                  <c:v>1.8947800398421502</c:v>
                </c:pt>
                <c:pt idx="18">
                  <c:v>1.9093288663798287</c:v>
                </c:pt>
                <c:pt idx="19">
                  <c:v>1.9290488301088116</c:v>
                </c:pt>
                <c:pt idx="20">
                  <c:v>1.9441272872359208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90-4009-ADCC-28343BD57067}"/>
            </c:ext>
          </c:extLst>
        </c:ser>
        <c:ser>
          <c:idx val="10"/>
          <c:order val="10"/>
          <c:tx>
            <c:strRef>
              <c:f>'24 country oil price scenarios'!$L$5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scenarios'!$L$6:$L$26</c:f>
              <c:numCache>
                <c:formatCode>0.00</c:formatCode>
                <c:ptCount val="21"/>
                <c:pt idx="0">
                  <c:v>1.9519919186178909</c:v>
                </c:pt>
                <c:pt idx="1">
                  <c:v>2.3000686584798373</c:v>
                </c:pt>
                <c:pt idx="2">
                  <c:v>2.1664431545133014</c:v>
                </c:pt>
                <c:pt idx="3">
                  <c:v>2.2033181783343831</c:v>
                </c:pt>
                <c:pt idx="4">
                  <c:v>2.1520059991869456</c:v>
                </c:pt>
                <c:pt idx="5">
                  <c:v>1.6209661675058051</c:v>
                </c:pt>
                <c:pt idx="6">
                  <c:v>1.5778392160801751</c:v>
                </c:pt>
                <c:pt idx="7">
                  <c:v>1.7191426630177877</c:v>
                </c:pt>
                <c:pt idx="8">
                  <c:v>1.9283357929067255</c:v>
                </c:pt>
                <c:pt idx="9">
                  <c:v>1.8652154039897035</c:v>
                </c:pt>
                <c:pt idx="10">
                  <c:v>1.8669418638745072</c:v>
                </c:pt>
                <c:pt idx="11">
                  <c:v>1.9178073289588891</c:v>
                </c:pt>
                <c:pt idx="12">
                  <c:v>1.955680165236632</c:v>
                </c:pt>
                <c:pt idx="13">
                  <c:v>1.9731079671109091</c:v>
                </c:pt>
                <c:pt idx="14">
                  <c:v>1.9777156599238015</c:v>
                </c:pt>
                <c:pt idx="15">
                  <c:v>2.0018250570409246</c:v>
                </c:pt>
                <c:pt idx="16">
                  <c:v>2.0442001315950087</c:v>
                </c:pt>
                <c:pt idx="17">
                  <c:v>2.0660391728056906</c:v>
                </c:pt>
                <c:pt idx="18">
                  <c:v>2.0798638307740083</c:v>
                </c:pt>
                <c:pt idx="19">
                  <c:v>2.0986022323210167</c:v>
                </c:pt>
                <c:pt idx="20">
                  <c:v>2.1129301584896574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90-4009-ADCC-28343BD57067}"/>
            </c:ext>
          </c:extLst>
        </c:ser>
        <c:ser>
          <c:idx val="11"/>
          <c:order val="11"/>
          <c:tx>
            <c:strRef>
              <c:f>'24 country oil price scenarios'!$M$5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scenarios'!$M$6:$M$26</c:f>
              <c:numCache>
                <c:formatCode>0.00</c:formatCode>
                <c:ptCount val="21"/>
                <c:pt idx="0">
                  <c:v>1.9556018875804566</c:v>
                </c:pt>
                <c:pt idx="1">
                  <c:v>2.1694589927122108</c:v>
                </c:pt>
                <c:pt idx="2">
                  <c:v>2.086426553048875</c:v>
                </c:pt>
                <c:pt idx="3">
                  <c:v>1.9948430684941614</c:v>
                </c:pt>
                <c:pt idx="4">
                  <c:v>1.873337847139052</c:v>
                </c:pt>
                <c:pt idx="5">
                  <c:v>1.3365409117939311</c:v>
                </c:pt>
                <c:pt idx="6">
                  <c:v>1.2442746322962344</c:v>
                </c:pt>
                <c:pt idx="7">
                  <c:v>1.3311828581232261</c:v>
                </c:pt>
                <c:pt idx="8">
                  <c:v>1.4424101093491213</c:v>
                </c:pt>
                <c:pt idx="9">
                  <c:v>1.3642009802721888</c:v>
                </c:pt>
                <c:pt idx="10">
                  <c:v>1.3660145337158529</c:v>
                </c:pt>
                <c:pt idx="11">
                  <c:v>1.4194459746542223</c:v>
                </c:pt>
                <c:pt idx="12">
                  <c:v>1.4592293563924155</c:v>
                </c:pt>
                <c:pt idx="13">
                  <c:v>1.477536326848427</c:v>
                </c:pt>
                <c:pt idx="14">
                  <c:v>1.4823764608368952</c:v>
                </c:pt>
                <c:pt idx="15">
                  <c:v>1.5077020884702261</c:v>
                </c:pt>
                <c:pt idx="16">
                  <c:v>1.5522148298663665</c:v>
                </c:pt>
                <c:pt idx="17">
                  <c:v>1.5751555704781632</c:v>
                </c:pt>
                <c:pt idx="18">
                  <c:v>1.5896776316546777</c:v>
                </c:pt>
                <c:pt idx="19">
                  <c:v>1.6093613167222875</c:v>
                </c:pt>
                <c:pt idx="20">
                  <c:v>1.624412034131024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90-4009-ADCC-28343BD57067}"/>
            </c:ext>
          </c:extLst>
        </c:ser>
        <c:ser>
          <c:idx val="12"/>
          <c:order val="12"/>
          <c:tx>
            <c:strRef>
              <c:f>'24 country oil price scenarios'!$N$5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scenarios'!$N$6:$N$26</c:f>
              <c:numCache>
                <c:formatCode>0.00</c:formatCode>
                <c:ptCount val="21"/>
                <c:pt idx="0">
                  <c:v>1.834387664013289</c:v>
                </c:pt>
                <c:pt idx="1">
                  <c:v>2.0193850361030927</c:v>
                </c:pt>
                <c:pt idx="2">
                  <c:v>1.7993658690722196</c:v>
                </c:pt>
                <c:pt idx="3">
                  <c:v>1.4724062061201761</c:v>
                </c:pt>
                <c:pt idx="4">
                  <c:v>1.2989241481192659</c:v>
                </c:pt>
                <c:pt idx="5">
                  <c:v>1.043718710368694</c:v>
                </c:pt>
                <c:pt idx="6">
                  <c:v>1.0132067867531689</c:v>
                </c:pt>
                <c:pt idx="7">
                  <c:v>1.0968313900575586</c:v>
                </c:pt>
                <c:pt idx="8">
                  <c:v>1.1295988676734776</c:v>
                </c:pt>
                <c:pt idx="9">
                  <c:v>1.0604338041539294</c:v>
                </c:pt>
                <c:pt idx="10">
                  <c:v>1.0625141494592221</c:v>
                </c:pt>
                <c:pt idx="11">
                  <c:v>1.123805890102161</c:v>
                </c:pt>
                <c:pt idx="12">
                  <c:v>1.1694418054466289</c:v>
                </c:pt>
                <c:pt idx="13">
                  <c:v>1.1904419144731109</c:v>
                </c:pt>
                <c:pt idx="14">
                  <c:v>1.1959940806114047</c:v>
                </c:pt>
                <c:pt idx="15">
                  <c:v>1.2250453615287997</c:v>
                </c:pt>
                <c:pt idx="16">
                  <c:v>1.2761063726683906</c:v>
                </c:pt>
                <c:pt idx="17">
                  <c:v>1.3024219258154033</c:v>
                </c:pt>
                <c:pt idx="18">
                  <c:v>1.3190803275279552</c:v>
                </c:pt>
                <c:pt idx="19">
                  <c:v>1.3416596796635782</c:v>
                </c:pt>
                <c:pt idx="20">
                  <c:v>1.3589245082309103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90-4009-ADCC-28343BD57067}"/>
            </c:ext>
          </c:extLst>
        </c:ser>
        <c:ser>
          <c:idx val="13"/>
          <c:order val="13"/>
          <c:tx>
            <c:strRef>
              <c:f>'24 country oil price scenarios'!$O$5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scenarios'!$O$6:$O$26</c:f>
              <c:numCache>
                <c:formatCode>0.00</c:formatCode>
                <c:ptCount val="21"/>
                <c:pt idx="0">
                  <c:v>1.8586131721145673</c:v>
                </c:pt>
                <c:pt idx="1">
                  <c:v>2.1048406193918656</c:v>
                </c:pt>
                <c:pt idx="2">
                  <c:v>2.094631264991786</c:v>
                </c:pt>
                <c:pt idx="3">
                  <c:v>2.1017225588713426</c:v>
                </c:pt>
                <c:pt idx="4">
                  <c:v>2.0219480770200779</c:v>
                </c:pt>
                <c:pt idx="5">
                  <c:v>1.4844352527038502</c:v>
                </c:pt>
                <c:pt idx="6">
                  <c:v>1.4233783482701454</c:v>
                </c:pt>
                <c:pt idx="7">
                  <c:v>1.5252773607264891</c:v>
                </c:pt>
                <c:pt idx="8">
                  <c:v>1.6971345599851664</c:v>
                </c:pt>
                <c:pt idx="9">
                  <c:v>1.637047092700513</c:v>
                </c:pt>
                <c:pt idx="10">
                  <c:v>1.6388530611157857</c:v>
                </c:pt>
                <c:pt idx="11">
                  <c:v>1.6920610297336054</c:v>
                </c:pt>
                <c:pt idx="12">
                  <c:v>1.7316780209631348</c:v>
                </c:pt>
                <c:pt idx="13">
                  <c:v>1.7499084241191036</c:v>
                </c:pt>
                <c:pt idx="14">
                  <c:v>1.7547283146712136</c:v>
                </c:pt>
                <c:pt idx="15">
                  <c:v>1.7799480200857682</c:v>
                </c:pt>
                <c:pt idx="16">
                  <c:v>1.8242745908408198</c:v>
                </c:pt>
                <c:pt idx="17">
                  <c:v>1.8471193838148656</c:v>
                </c:pt>
                <c:pt idx="18">
                  <c:v>1.8615807077427995</c:v>
                </c:pt>
                <c:pt idx="19">
                  <c:v>1.8811820675221187</c:v>
                </c:pt>
                <c:pt idx="20">
                  <c:v>1.8961698366238997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90-4009-ADCC-28343BD57067}"/>
            </c:ext>
          </c:extLst>
        </c:ser>
        <c:ser>
          <c:idx val="14"/>
          <c:order val="14"/>
          <c:tx>
            <c:strRef>
              <c:f>'24 country oil price scenarios'!$P$5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scenarios'!$P$6:$P$26</c:f>
              <c:numCache>
                <c:formatCode>0.00</c:formatCode>
                <c:ptCount val="21"/>
                <c:pt idx="0">
                  <c:v>1.9798062311903135</c:v>
                </c:pt>
                <c:pt idx="1">
                  <c:v>2.2954564907777675</c:v>
                </c:pt>
                <c:pt idx="2">
                  <c:v>2.3751806147808829</c:v>
                </c:pt>
                <c:pt idx="3">
                  <c:v>2.3882913903359282</c:v>
                </c:pt>
                <c:pt idx="4">
                  <c:v>2.321107899390678</c:v>
                </c:pt>
                <c:pt idx="5">
                  <c:v>1.6981269837614541</c:v>
                </c:pt>
                <c:pt idx="6">
                  <c:v>1.6306252953470313</c:v>
                </c:pt>
                <c:pt idx="7">
                  <c:v>1.7336626942903497</c:v>
                </c:pt>
                <c:pt idx="8">
                  <c:v>1.9169732604062935</c:v>
                </c:pt>
                <c:pt idx="9">
                  <c:v>1.8494909550414871</c:v>
                </c:pt>
                <c:pt idx="10">
                  <c:v>1.8515063092969606</c:v>
                </c:pt>
                <c:pt idx="11">
                  <c:v>1.9108832646590734</c:v>
                </c:pt>
                <c:pt idx="12">
                  <c:v>1.955093490700839</c:v>
                </c:pt>
                <c:pt idx="13">
                  <c:v>1.975437545596082</c:v>
                </c:pt>
                <c:pt idx="14">
                  <c:v>1.9808162592285932</c:v>
                </c:pt>
                <c:pt idx="15">
                  <c:v>2.0089599632929525</c:v>
                </c:pt>
                <c:pt idx="16">
                  <c:v>2.0584258023664774</c:v>
                </c:pt>
                <c:pt idx="17">
                  <c:v>2.0839192441932028</c:v>
                </c:pt>
                <c:pt idx="18">
                  <c:v>2.1000572289284145</c:v>
                </c:pt>
                <c:pt idx="19">
                  <c:v>2.1219311905715124</c:v>
                </c:pt>
                <c:pt idx="20">
                  <c:v>2.1386566570768446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90-4009-ADCC-28343BD57067}"/>
            </c:ext>
          </c:extLst>
        </c:ser>
        <c:ser>
          <c:idx val="15"/>
          <c:order val="15"/>
          <c:tx>
            <c:strRef>
              <c:f>'24 country oil price scenarios'!$Q$5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scenarios'!$Q$6:$Q$26</c:f>
              <c:numCache>
                <c:formatCode>0.00</c:formatCode>
                <c:ptCount val="21"/>
                <c:pt idx="0">
                  <c:v>1.6110041178917016</c:v>
                </c:pt>
                <c:pt idx="1">
                  <c:v>1.9400093480719312</c:v>
                </c:pt>
                <c:pt idx="2">
                  <c:v>1.9628453149173279</c:v>
                </c:pt>
                <c:pt idx="3">
                  <c:v>1.726142509263253</c:v>
                </c:pt>
                <c:pt idx="4">
                  <c:v>1.5727940431899223</c:v>
                </c:pt>
                <c:pt idx="5">
                  <c:v>1.1197949153490454</c:v>
                </c:pt>
                <c:pt idx="6">
                  <c:v>1.1359621877055293</c:v>
                </c:pt>
                <c:pt idx="7">
                  <c:v>1.1975851895461544</c:v>
                </c:pt>
                <c:pt idx="8">
                  <c:v>1.3368947327269944</c:v>
                </c:pt>
                <c:pt idx="9">
                  <c:v>1.2855198101880052</c:v>
                </c:pt>
                <c:pt idx="10">
                  <c:v>1.2875190527004103</c:v>
                </c:pt>
                <c:pt idx="11">
                  <c:v>1.3464213191851711</c:v>
                </c:pt>
                <c:pt idx="12">
                  <c:v>1.3902781067180201</c:v>
                </c:pt>
                <c:pt idx="13">
                  <c:v>1.4104595211322866</c:v>
                </c:pt>
                <c:pt idx="14">
                  <c:v>1.4157952346560818</c:v>
                </c:pt>
                <c:pt idx="15">
                  <c:v>1.4437139439694415</c:v>
                </c:pt>
                <c:pt idx="16">
                  <c:v>1.4927843285526865</c:v>
                </c:pt>
                <c:pt idx="17">
                  <c:v>1.5180739631412881</c:v>
                </c:pt>
                <c:pt idx="18">
                  <c:v>1.5340829328097967</c:v>
                </c:pt>
                <c:pt idx="19">
                  <c:v>1.5557820231373769</c:v>
                </c:pt>
                <c:pt idx="20">
                  <c:v>1.5723737779548974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90-4009-ADCC-28343BD57067}"/>
            </c:ext>
          </c:extLst>
        </c:ser>
        <c:ser>
          <c:idx val="16"/>
          <c:order val="16"/>
          <c:tx>
            <c:strRef>
              <c:f>'24 country oil price scenarios'!$R$5</c:f>
              <c:strCache>
                <c:ptCount val="1"/>
                <c:pt idx="0">
                  <c:v>Korea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scenarios'!$R$6:$R$26</c:f>
              <c:numCache>
                <c:formatCode>0.00</c:formatCode>
                <c:ptCount val="21"/>
                <c:pt idx="0">
                  <c:v>1.6233820265195906</c:v>
                </c:pt>
                <c:pt idx="1">
                  <c:v>1.851872247448346</c:v>
                </c:pt>
                <c:pt idx="2">
                  <c:v>1.8226478580057168</c:v>
                </c:pt>
                <c:pt idx="3">
                  <c:v>1.8024550235309198</c:v>
                </c:pt>
                <c:pt idx="4">
                  <c:v>1.7570452242907797</c:v>
                </c:pt>
                <c:pt idx="5">
                  <c:v>1.3390268168369295</c:v>
                </c:pt>
                <c:pt idx="6">
                  <c:v>1.2451512048444004</c:v>
                </c:pt>
                <c:pt idx="7">
                  <c:v>1.336507811737994</c:v>
                </c:pt>
                <c:pt idx="8">
                  <c:v>1.4691303672796336</c:v>
                </c:pt>
                <c:pt idx="9">
                  <c:v>1.4125124734616865</c:v>
                </c:pt>
                <c:pt idx="10">
                  <c:v>1.414345159617542</c:v>
                </c:pt>
                <c:pt idx="11">
                  <c:v>1.4683402941073873</c:v>
                </c:pt>
                <c:pt idx="12">
                  <c:v>1.5085433844543668</c:v>
                </c:pt>
                <c:pt idx="13">
                  <c:v>1.5270434906561463</c:v>
                </c:pt>
                <c:pt idx="14">
                  <c:v>1.53193468731988</c:v>
                </c:pt>
                <c:pt idx="15">
                  <c:v>1.5575274964615748</c:v>
                </c:pt>
                <c:pt idx="16">
                  <c:v>1.6025098404894778</c:v>
                </c:pt>
                <c:pt idx="17">
                  <c:v>1.6256926024153513</c:v>
                </c:pt>
                <c:pt idx="18">
                  <c:v>1.6403678691220853</c:v>
                </c:pt>
                <c:pt idx="19">
                  <c:v>1.6602592140646115</c:v>
                </c:pt>
                <c:pt idx="20">
                  <c:v>1.6754687142461764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90-4009-ADCC-28343BD57067}"/>
            </c:ext>
          </c:extLst>
        </c:ser>
        <c:ser>
          <c:idx val="17"/>
          <c:order val="17"/>
          <c:tx>
            <c:strRef>
              <c:f>'24 country oil price scenarios'!$S$5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scenarios'!$S$6:$S$26</c:f>
              <c:numCache>
                <c:formatCode>0.00</c:formatCode>
                <c:ptCount val="21"/>
                <c:pt idx="0">
                  <c:v>2.245479259351169</c:v>
                </c:pt>
                <c:pt idx="1">
                  <c:v>2.52498554062405</c:v>
                </c:pt>
                <c:pt idx="2">
                  <c:v>2.3825904287891309</c:v>
                </c:pt>
                <c:pt idx="3">
                  <c:v>2.4196681600451613</c:v>
                </c:pt>
                <c:pt idx="4">
                  <c:v>2.3376453860376762</c:v>
                </c:pt>
                <c:pt idx="5">
                  <c:v>1.7300722485727424</c:v>
                </c:pt>
                <c:pt idx="6">
                  <c:v>1.6658221010973107</c:v>
                </c:pt>
                <c:pt idx="7">
                  <c:v>1.7649650686599154</c:v>
                </c:pt>
                <c:pt idx="8">
                  <c:v>1.9530852123099547</c:v>
                </c:pt>
                <c:pt idx="9">
                  <c:v>1.8871188418378246</c:v>
                </c:pt>
                <c:pt idx="10">
                  <c:v>1.8889960782102553</c:v>
                </c:pt>
                <c:pt idx="11">
                  <c:v>1.9443037641851695</c:v>
                </c:pt>
                <c:pt idx="12">
                  <c:v>1.98548413936416</c:v>
                </c:pt>
                <c:pt idx="13">
                  <c:v>2.0044339590836207</c:v>
                </c:pt>
                <c:pt idx="14">
                  <c:v>2.0094440543760062</c:v>
                </c:pt>
                <c:pt idx="15">
                  <c:v>2.0356589914179906</c:v>
                </c:pt>
                <c:pt idx="16">
                  <c:v>2.081734797718255</c:v>
                </c:pt>
                <c:pt idx="17">
                  <c:v>2.1054811024314799</c:v>
                </c:pt>
                <c:pt idx="18">
                  <c:v>2.1205131057829441</c:v>
                </c:pt>
                <c:pt idx="19">
                  <c:v>2.1408879834472807</c:v>
                </c:pt>
                <c:pt idx="20">
                  <c:v>2.156467206794443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90-4009-ADCC-28343BD57067}"/>
            </c:ext>
          </c:extLst>
        </c:ser>
        <c:ser>
          <c:idx val="18"/>
          <c:order val="18"/>
          <c:tx>
            <c:strRef>
              <c:f>'24 country oil price scenarios'!$T$5</c:f>
              <c:strCache>
                <c:ptCount val="1"/>
                <c:pt idx="0">
                  <c:v>New Zealand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scenarios'!$T$6:$T$26</c:f>
              <c:numCache>
                <c:formatCode>0.00</c:formatCode>
                <c:ptCount val="21"/>
                <c:pt idx="0">
                  <c:v>1.432275294870655</c:v>
                </c:pt>
                <c:pt idx="1">
                  <c:v>1.8053745596543518</c:v>
                </c:pt>
                <c:pt idx="2">
                  <c:v>1.8879976182643767</c:v>
                </c:pt>
                <c:pt idx="3">
                  <c:v>1.8702414441854376</c:v>
                </c:pt>
                <c:pt idx="4">
                  <c:v>1.8774659643743044</c:v>
                </c:pt>
                <c:pt idx="5">
                  <c:v>1.4288839489067857</c:v>
                </c:pt>
                <c:pt idx="6">
                  <c:v>1.3549483341264945</c:v>
                </c:pt>
                <c:pt idx="7">
                  <c:v>1.4535922265782579</c:v>
                </c:pt>
                <c:pt idx="8">
                  <c:v>1.5369348884991769</c:v>
                </c:pt>
                <c:pt idx="9">
                  <c:v>1.4519510619557834</c:v>
                </c:pt>
                <c:pt idx="10">
                  <c:v>1.4540679347364214</c:v>
                </c:pt>
                <c:pt idx="11">
                  <c:v>1.5164358585204598</c:v>
                </c:pt>
                <c:pt idx="12">
                  <c:v>1.5628730662121049</c:v>
                </c:pt>
                <c:pt idx="13">
                  <c:v>1.5842419029506485</c:v>
                </c:pt>
                <c:pt idx="14">
                  <c:v>1.5898915560836326</c:v>
                </c:pt>
                <c:pt idx="15">
                  <c:v>1.6194529301787166</c:v>
                </c:pt>
                <c:pt idx="16">
                  <c:v>1.6714104895119057</c:v>
                </c:pt>
                <c:pt idx="17">
                  <c:v>1.6981881009125832</c:v>
                </c:pt>
                <c:pt idx="18">
                  <c:v>1.7151389970280124</c:v>
                </c:pt>
                <c:pt idx="19">
                  <c:v>1.738114805812613</c:v>
                </c:pt>
                <c:pt idx="20">
                  <c:v>1.7556827766507181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90-4009-ADCC-28343BD57067}"/>
            </c:ext>
          </c:extLst>
        </c:ser>
        <c:ser>
          <c:idx val="19"/>
          <c:order val="19"/>
          <c:tx>
            <c:strRef>
              <c:f>'24 country oil price scenarios'!$U$5</c:f>
              <c:strCache>
                <c:ptCount val="1"/>
                <c:pt idx="0">
                  <c:v>Norway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scenarios'!$U$6:$U$26</c:f>
              <c:numCache>
                <c:formatCode>0.00</c:formatCode>
                <c:ptCount val="21"/>
                <c:pt idx="0">
                  <c:v>2.4822925095084196</c:v>
                </c:pt>
                <c:pt idx="1">
                  <c:v>2.9311038976940229</c:v>
                </c:pt>
                <c:pt idx="2">
                  <c:v>2.887678603301286</c:v>
                </c:pt>
                <c:pt idx="3">
                  <c:v>2.9176071674867088</c:v>
                </c:pt>
                <c:pt idx="4">
                  <c:v>2.70294768502723</c:v>
                </c:pt>
                <c:pt idx="5">
                  <c:v>2.0152380905024669</c:v>
                </c:pt>
                <c:pt idx="6">
                  <c:v>1.847947152659577</c:v>
                </c:pt>
                <c:pt idx="7">
                  <c:v>1.9925811179910973</c:v>
                </c:pt>
                <c:pt idx="8">
                  <c:v>2.1463085574803884</c:v>
                </c:pt>
                <c:pt idx="9">
                  <c:v>2.0544488917196455</c:v>
                </c:pt>
                <c:pt idx="10">
                  <c:v>2.0567474544553086</c:v>
                </c:pt>
                <c:pt idx="11">
                  <c:v>2.124468380730093</c:v>
                </c:pt>
                <c:pt idx="12">
                  <c:v>2.1748912668499223</c:v>
                </c:pt>
                <c:pt idx="13">
                  <c:v>2.1980941783715529</c:v>
                </c:pt>
                <c:pt idx="14">
                  <c:v>2.2042287379349235</c:v>
                </c:pt>
                <c:pt idx="15">
                  <c:v>2.2363273475119643</c:v>
                </c:pt>
                <c:pt idx="16">
                  <c:v>2.2927443938321934</c:v>
                </c:pt>
                <c:pt idx="17">
                  <c:v>2.3218203119878047</c:v>
                </c:pt>
                <c:pt idx="18">
                  <c:v>2.340226093621637</c:v>
                </c:pt>
                <c:pt idx="19">
                  <c:v>2.3651739026619589</c:v>
                </c:pt>
                <c:pt idx="20">
                  <c:v>2.3842497221816941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90-4009-ADCC-28343BD57067}"/>
            </c:ext>
          </c:extLst>
        </c:ser>
        <c:ser>
          <c:idx val="20"/>
          <c:order val="20"/>
          <c:tx>
            <c:strRef>
              <c:f>'24 country oil price scenarios'!$V$5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scenarios'!$V$6:$V$26</c:f>
              <c:numCache>
                <c:formatCode>0.00</c:formatCode>
                <c:ptCount val="21"/>
                <c:pt idx="0">
                  <c:v>1.6986238394949558</c:v>
                </c:pt>
                <c:pt idx="1">
                  <c:v>1.9432698393386507</c:v>
                </c:pt>
                <c:pt idx="2">
                  <c:v>1.8462668661620001</c:v>
                </c:pt>
                <c:pt idx="3">
                  <c:v>1.9065028628303946</c:v>
                </c:pt>
                <c:pt idx="4">
                  <c:v>1.8362271915955801</c:v>
                </c:pt>
                <c:pt idx="5">
                  <c:v>1.3397385668227098</c:v>
                </c:pt>
                <c:pt idx="6">
                  <c:v>1.308165450552736</c:v>
                </c:pt>
                <c:pt idx="7">
                  <c:v>1.3922741862408414</c:v>
                </c:pt>
                <c:pt idx="8">
                  <c:v>1.5425723394158981</c:v>
                </c:pt>
                <c:pt idx="9">
                  <c:v>1.4864982305239807</c:v>
                </c:pt>
                <c:pt idx="10">
                  <c:v>1.4882318964654473</c:v>
                </c:pt>
                <c:pt idx="11">
                  <c:v>1.5393096684947074</c:v>
                </c:pt>
                <c:pt idx="12">
                  <c:v>1.5773405818911905</c:v>
                </c:pt>
                <c:pt idx="13">
                  <c:v>1.5948411255238637</c:v>
                </c:pt>
                <c:pt idx="14">
                  <c:v>1.5994680503477556</c:v>
                </c:pt>
                <c:pt idx="15">
                  <c:v>1.62367807747851</c:v>
                </c:pt>
                <c:pt idx="16">
                  <c:v>1.6662300210065153</c:v>
                </c:pt>
                <c:pt idx="17">
                  <c:v>1.6881602160110496</c:v>
                </c:pt>
                <c:pt idx="18">
                  <c:v>1.7020425766051537</c:v>
                </c:pt>
                <c:pt idx="19">
                  <c:v>1.7208591902117147</c:v>
                </c:pt>
                <c:pt idx="20">
                  <c:v>1.735246919593129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90-4009-ADCC-28343BD57067}"/>
            </c:ext>
          </c:extLst>
        </c:ser>
        <c:ser>
          <c:idx val="21"/>
          <c:order val="21"/>
          <c:tx>
            <c:strRef>
              <c:f>'24 country oil price scenarios'!$W$5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scenarios'!$W$6:$W$26</c:f>
              <c:numCache>
                <c:formatCode>0.00</c:formatCode>
                <c:ptCount val="21"/>
                <c:pt idx="0">
                  <c:v>1.9164749242717403</c:v>
                </c:pt>
                <c:pt idx="1">
                  <c:v>2.2593219159087203</c:v>
                </c:pt>
                <c:pt idx="2">
                  <c:v>2.3090759097721847</c:v>
                </c:pt>
                <c:pt idx="3">
                  <c:v>2.3408675462045867</c:v>
                </c:pt>
                <c:pt idx="4">
                  <c:v>2.1959005872867774</c:v>
                </c:pt>
                <c:pt idx="5">
                  <c:v>1.6142685224273725</c:v>
                </c:pt>
                <c:pt idx="6">
                  <c:v>1.5906203810930455</c:v>
                </c:pt>
                <c:pt idx="7">
                  <c:v>1.6815828411221256</c:v>
                </c:pt>
                <c:pt idx="8">
                  <c:v>1.744766395198448</c:v>
                </c:pt>
                <c:pt idx="9">
                  <c:v>1.664445528486318</c:v>
                </c:pt>
                <c:pt idx="10">
                  <c:v>1.6662719172948952</c:v>
                </c:pt>
                <c:pt idx="11">
                  <c:v>1.7200815175010231</c:v>
                </c:pt>
                <c:pt idx="12">
                  <c:v>1.7601464648163905</c:v>
                </c:pt>
                <c:pt idx="13">
                  <c:v>1.7785830022543312</c:v>
                </c:pt>
                <c:pt idx="14">
                  <c:v>1.7834573921320809</c:v>
                </c:pt>
                <c:pt idx="15">
                  <c:v>1.808962261062917</c:v>
                </c:pt>
                <c:pt idx="16">
                  <c:v>1.8537900399238285</c:v>
                </c:pt>
                <c:pt idx="17">
                  <c:v>1.8768931428735902</c:v>
                </c:pt>
                <c:pt idx="18">
                  <c:v>1.891517983460961</c:v>
                </c:pt>
                <c:pt idx="19">
                  <c:v>1.9113409791629319</c:v>
                </c:pt>
                <c:pt idx="20">
                  <c:v>1.9264982175296395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90-4009-ADCC-28343BD57067}"/>
            </c:ext>
          </c:extLst>
        </c:ser>
        <c:ser>
          <c:idx val="22"/>
          <c:order val="22"/>
          <c:tx>
            <c:strRef>
              <c:f>'24 country oil price scenarios'!$X$5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scenarios'!$X$6:$X$26</c:f>
              <c:numCache>
                <c:formatCode>0.00</c:formatCode>
                <c:ptCount val="21"/>
                <c:pt idx="0">
                  <c:v>1.5519314456824014</c:v>
                </c:pt>
                <c:pt idx="1">
                  <c:v>1.9313207428188917</c:v>
                </c:pt>
                <c:pt idx="2">
                  <c:v>1.8857396267137239</c:v>
                </c:pt>
                <c:pt idx="3">
                  <c:v>1.9143732849501434</c:v>
                </c:pt>
                <c:pt idx="4">
                  <c:v>1.8616613088621699</c:v>
                </c:pt>
                <c:pt idx="5">
                  <c:v>1.5309885843921636</c:v>
                </c:pt>
                <c:pt idx="6">
                  <c:v>1.4487913094198808</c:v>
                </c:pt>
                <c:pt idx="7">
                  <c:v>1.521497601272578</c:v>
                </c:pt>
                <c:pt idx="8">
                  <c:v>1.6309929248830362</c:v>
                </c:pt>
                <c:pt idx="9">
                  <c:v>1.597804323509622</c:v>
                </c:pt>
                <c:pt idx="10">
                  <c:v>1.5994671929924946</c:v>
                </c:pt>
                <c:pt idx="11">
                  <c:v>1.6484591390929801</c:v>
                </c:pt>
                <c:pt idx="12">
                  <c:v>1.6849370116635658</c:v>
                </c:pt>
                <c:pt idx="13">
                  <c:v>1.7017228982893562</c:v>
                </c:pt>
                <c:pt idx="14">
                  <c:v>1.7061608767402032</c:v>
                </c:pt>
                <c:pt idx="15">
                  <c:v>1.7293822565529666</c:v>
                </c:pt>
                <c:pt idx="16">
                  <c:v>1.7701965372267741</c:v>
                </c:pt>
                <c:pt idx="17">
                  <c:v>1.791231184764255</c:v>
                </c:pt>
                <c:pt idx="18">
                  <c:v>1.8045466414678919</c:v>
                </c:pt>
                <c:pt idx="19">
                  <c:v>1.8225948546726147</c:v>
                </c:pt>
                <c:pt idx="20">
                  <c:v>1.8363950427849471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90-4009-ADCC-28343BD57067}"/>
            </c:ext>
          </c:extLst>
        </c:ser>
        <c:ser>
          <c:idx val="23"/>
          <c:order val="23"/>
          <c:tx>
            <c:strRef>
              <c:f>'24 country oil price scenarios'!$Y$5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scenarios'!$A$6:$A$26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scenarios'!$Y$6:$Y$26</c:f>
              <c:numCache>
                <c:formatCode>0.00</c:formatCode>
                <c:ptCount val="21"/>
                <c:pt idx="0">
                  <c:v>0.87247965377270009</c:v>
                </c:pt>
                <c:pt idx="1">
                  <c:v>1.0383499613837655</c:v>
                </c:pt>
                <c:pt idx="2">
                  <c:v>1.0141815328177473</c:v>
                </c:pt>
                <c:pt idx="3">
                  <c:v>1.0344417884382646</c:v>
                </c:pt>
                <c:pt idx="4">
                  <c:v>0.98312244761820167</c:v>
                </c:pt>
                <c:pt idx="5">
                  <c:v>0.63355226376880258</c:v>
                </c:pt>
                <c:pt idx="6">
                  <c:v>0.58492730084325439</c:v>
                </c:pt>
                <c:pt idx="7">
                  <c:v>0.63537346507497849</c:v>
                </c:pt>
                <c:pt idx="8">
                  <c:v>0.73141905508869343</c:v>
                </c:pt>
                <c:pt idx="9">
                  <c:v>0.70410402359659185</c:v>
                </c:pt>
                <c:pt idx="10">
                  <c:v>0.72114932258312447</c:v>
                </c:pt>
                <c:pt idx="11">
                  <c:v>0.79111080652213606</c:v>
                </c:pt>
                <c:pt idx="12">
                  <c:v>0.84370099288773148</c:v>
                </c:pt>
                <c:pt idx="13">
                  <c:v>0.87698731713498301</c:v>
                </c:pt>
                <c:pt idx="14">
                  <c:v>0.88822029538929403</c:v>
                </c:pt>
                <c:pt idx="15">
                  <c:v>0.92500821990198634</c:v>
                </c:pt>
                <c:pt idx="16">
                  <c:v>0.98659481927806791</c:v>
                </c:pt>
                <c:pt idx="17">
                  <c:v>1.0222389724159848</c:v>
                </c:pt>
                <c:pt idx="18">
                  <c:v>1.0515822382779341</c:v>
                </c:pt>
                <c:pt idx="19">
                  <c:v>1.0874674936442539</c:v>
                </c:pt>
                <c:pt idx="20">
                  <c:v>1.1069922868254036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90-4009-ADCC-28343BD57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996240"/>
        <c:axId val="729994928"/>
      </c:lineChart>
      <c:catAx>
        <c:axId val="72999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994928"/>
        <c:crosses val="autoZero"/>
        <c:auto val="1"/>
        <c:lblAlgn val="ctr"/>
        <c:lblOffset val="100"/>
        <c:noMultiLvlLbl val="0"/>
      </c:catAx>
      <c:valAx>
        <c:axId val="729994928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 dollars per litre</a:t>
                </a:r>
              </a:p>
            </c:rich>
          </c:tx>
          <c:layout>
            <c:manualLayout>
              <c:xMode val="edge"/>
              <c:yMode val="edge"/>
              <c:x val="1.3043496122555457E-2"/>
              <c:y val="0.328554155949245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99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03883861764145"/>
          <c:y val="3.2416115868728362E-2"/>
          <c:w val="0.84313338274989169"/>
          <c:h val="0.8201944939364336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Austria!$AZ$44:$AZ$97</c:f>
              <c:numCache>
                <c:formatCode>0.00</c:formatCode>
                <c:ptCount val="54"/>
                <c:pt idx="0">
                  <c:v>0.42640523196880487</c:v>
                </c:pt>
                <c:pt idx="1">
                  <c:v>0.41855000646471063</c:v>
                </c:pt>
                <c:pt idx="2">
                  <c:v>0.40248629981181849</c:v>
                </c:pt>
                <c:pt idx="3">
                  <c:v>0.39165729005490124</c:v>
                </c:pt>
                <c:pt idx="4">
                  <c:v>0.37995309330505445</c:v>
                </c:pt>
                <c:pt idx="5">
                  <c:v>0.35851924927575918</c:v>
                </c:pt>
                <c:pt idx="6">
                  <c:v>0.32871902541780795</c:v>
                </c:pt>
                <c:pt idx="7">
                  <c:v>0.35643813651036527</c:v>
                </c:pt>
                <c:pt idx="8">
                  <c:v>0.56706994061794747</c:v>
                </c:pt>
                <c:pt idx="9">
                  <c:v>0.68885900306144354</c:v>
                </c:pt>
                <c:pt idx="10">
                  <c:v>0.54658098821525702</c:v>
                </c:pt>
                <c:pt idx="11">
                  <c:v>0.4411261071363457</c:v>
                </c:pt>
                <c:pt idx="12">
                  <c:v>0.48219016830746553</c:v>
                </c:pt>
                <c:pt idx="13">
                  <c:v>0.45263919249761131</c:v>
                </c:pt>
                <c:pt idx="14">
                  <c:v>0.46565427220932776</c:v>
                </c:pt>
                <c:pt idx="15">
                  <c:v>0.56548129448024131</c:v>
                </c:pt>
                <c:pt idx="16">
                  <c:v>0.58595787393180732</c:v>
                </c:pt>
                <c:pt idx="17">
                  <c:v>0.58131892312158373</c:v>
                </c:pt>
                <c:pt idx="18">
                  <c:v>0.5224672992138818</c:v>
                </c:pt>
                <c:pt idx="19">
                  <c:v>0.47477607288708834</c:v>
                </c:pt>
                <c:pt idx="20">
                  <c:v>0.4530214579877424</c:v>
                </c:pt>
                <c:pt idx="21">
                  <c:v>0.28758597269292996</c:v>
                </c:pt>
                <c:pt idx="22">
                  <c:v>0.25698069694472792</c:v>
                </c:pt>
                <c:pt idx="23">
                  <c:v>0.25135927790743795</c:v>
                </c:pt>
                <c:pt idx="24">
                  <c:v>0.27681486804928934</c:v>
                </c:pt>
                <c:pt idx="25">
                  <c:v>0.30069094100487914</c:v>
                </c:pt>
                <c:pt idx="26">
                  <c:v>0.28335222570415575</c:v>
                </c:pt>
                <c:pt idx="27">
                  <c:v>0.25759425951355952</c:v>
                </c:pt>
                <c:pt idx="28">
                  <c:v>0.2196755620955072</c:v>
                </c:pt>
                <c:pt idx="29">
                  <c:v>0.31491030862852054</c:v>
                </c:pt>
                <c:pt idx="30">
                  <c:v>0.30817463216346441</c:v>
                </c:pt>
                <c:pt idx="31">
                  <c:v>0.32225481322630312</c:v>
                </c:pt>
                <c:pt idx="32">
                  <c:v>0.33323258399989619</c:v>
                </c:pt>
                <c:pt idx="33">
                  <c:v>0.28400520963671927</c:v>
                </c:pt>
                <c:pt idx="34">
                  <c:v>0.30156679757419025</c:v>
                </c:pt>
                <c:pt idx="35">
                  <c:v>0.44875476193111918</c:v>
                </c:pt>
                <c:pt idx="36">
                  <c:v>0.40348688731005211</c:v>
                </c:pt>
                <c:pt idx="37">
                  <c:v>0.36341361982507103</c:v>
                </c:pt>
                <c:pt idx="38">
                  <c:v>0.36239340944985332</c:v>
                </c:pt>
                <c:pt idx="39">
                  <c:v>0.40878146623141198</c:v>
                </c:pt>
                <c:pt idx="40">
                  <c:v>0.47775288044239117</c:v>
                </c:pt>
                <c:pt idx="41">
                  <c:v>0.52263116916283503</c:v>
                </c:pt>
                <c:pt idx="42">
                  <c:v>0.47778206536020018</c:v>
                </c:pt>
                <c:pt idx="43">
                  <c:v>0.55057107794786841</c:v>
                </c:pt>
                <c:pt idx="44">
                  <c:v>0.40839443955839982</c:v>
                </c:pt>
                <c:pt idx="45">
                  <c:v>0.52207999999999999</c:v>
                </c:pt>
                <c:pt idx="46">
                  <c:v>0.60544335637853863</c:v>
                </c:pt>
                <c:pt idx="47">
                  <c:v>0.66407075888013678</c:v>
                </c:pt>
                <c:pt idx="48">
                  <c:v>0.6374234790647979</c:v>
                </c:pt>
                <c:pt idx="49">
                  <c:v>0.59419970738000971</c:v>
                </c:pt>
                <c:pt idx="50">
                  <c:v>0.47687750232782522</c:v>
                </c:pt>
                <c:pt idx="51">
                  <c:v>0.40445648712133275</c:v>
                </c:pt>
                <c:pt idx="52">
                  <c:v>0.44487149511376156</c:v>
                </c:pt>
                <c:pt idx="53">
                  <c:v>0.49917919957622436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A-4DCC-8CE2-FBFA3021C01C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Austria!$BA$44:$BA$97</c:f>
              <c:numCache>
                <c:formatCode>0.00</c:formatCode>
                <c:ptCount val="54"/>
                <c:pt idx="0">
                  <c:v>0.39909774485608857</c:v>
                </c:pt>
                <c:pt idx="1">
                  <c:v>0.39583009217275578</c:v>
                </c:pt>
                <c:pt idx="2">
                  <c:v>0.38975104777752023</c:v>
                </c:pt>
                <c:pt idx="3">
                  <c:v>0.38563610523838876</c:v>
                </c:pt>
                <c:pt idx="4">
                  <c:v>0.38118855379331978</c:v>
                </c:pt>
                <c:pt idx="5">
                  <c:v>0.37723544380320628</c:v>
                </c:pt>
                <c:pt idx="6">
                  <c:v>0.37363416108482317</c:v>
                </c:pt>
                <c:pt idx="7">
                  <c:v>0.35594855625602034</c:v>
                </c:pt>
                <c:pt idx="8">
                  <c:v>0.5378800422845107</c:v>
                </c:pt>
                <c:pt idx="9">
                  <c:v>0.71804890139488009</c:v>
                </c:pt>
                <c:pt idx="10">
                  <c:v>0.48696523337279313</c:v>
                </c:pt>
                <c:pt idx="11">
                  <c:v>0.48922125247849463</c:v>
                </c:pt>
                <c:pt idx="12">
                  <c:v>0.47444176373640085</c:v>
                </c:pt>
                <c:pt idx="13">
                  <c:v>0.43812306945026364</c:v>
                </c:pt>
                <c:pt idx="14">
                  <c:v>0.50384603715515364</c:v>
                </c:pt>
                <c:pt idx="15">
                  <c:v>0.5009731600979872</c:v>
                </c:pt>
                <c:pt idx="16">
                  <c:v>0.59371311482171751</c:v>
                </c:pt>
                <c:pt idx="17">
                  <c:v>0.5586403939370953</c:v>
                </c:pt>
                <c:pt idx="18">
                  <c:v>0.5094871417039698</c:v>
                </c:pt>
                <c:pt idx="19">
                  <c:v>0.52458239564302012</c:v>
                </c:pt>
                <c:pt idx="20">
                  <c:v>0.49896697843791255</c:v>
                </c:pt>
                <c:pt idx="21">
                  <c:v>0.27380003802759806</c:v>
                </c:pt>
                <c:pt idx="22">
                  <c:v>0.28032898761688113</c:v>
                </c:pt>
                <c:pt idx="23">
                  <c:v>0.24733215554274701</c:v>
                </c:pt>
                <c:pt idx="24">
                  <c:v>0.28424577377881127</c:v>
                </c:pt>
                <c:pt idx="25">
                  <c:v>0.29080906546138302</c:v>
                </c:pt>
                <c:pt idx="26">
                  <c:v>0.26875928175626151</c:v>
                </c:pt>
                <c:pt idx="27">
                  <c:v>0.24828876399498884</c:v>
                </c:pt>
                <c:pt idx="28">
                  <c:v>0.23714947471445874</c:v>
                </c:pt>
                <c:pt idx="29">
                  <c:v>0.31979270246974029</c:v>
                </c:pt>
                <c:pt idx="30">
                  <c:v>0.31182094759040341</c:v>
                </c:pt>
                <c:pt idx="31">
                  <c:v>0.33516182369409847</c:v>
                </c:pt>
                <c:pt idx="32">
                  <c:v>0.34249440802791542</c:v>
                </c:pt>
                <c:pt idx="33">
                  <c:v>0.3042001889745316</c:v>
                </c:pt>
                <c:pt idx="34">
                  <c:v>0.32757252350590715</c:v>
                </c:pt>
                <c:pt idx="35">
                  <c:v>0.4170301189366093</c:v>
                </c:pt>
                <c:pt idx="36">
                  <c:v>0.38450079400129428</c:v>
                </c:pt>
                <c:pt idx="37">
                  <c:v>0.38176444350547362</c:v>
                </c:pt>
                <c:pt idx="38">
                  <c:v>0.37318744304722362</c:v>
                </c:pt>
                <c:pt idx="39">
                  <c:v>0.39595735537442112</c:v>
                </c:pt>
                <c:pt idx="40">
                  <c:v>0.46366405860656079</c:v>
                </c:pt>
                <c:pt idx="41">
                  <c:v>0.50837395683213982</c:v>
                </c:pt>
                <c:pt idx="42">
                  <c:v>0.47122018842060487</c:v>
                </c:pt>
                <c:pt idx="43">
                  <c:v>0.54234281655833494</c:v>
                </c:pt>
                <c:pt idx="44">
                  <c:v>0.4231845778875285</c:v>
                </c:pt>
                <c:pt idx="45">
                  <c:v>0.54327596711493131</c:v>
                </c:pt>
                <c:pt idx="46">
                  <c:v>0.63130254206466807</c:v>
                </c:pt>
                <c:pt idx="47">
                  <c:v>0.66287822405715657</c:v>
                </c:pt>
                <c:pt idx="48">
                  <c:v>0.62749740066098536</c:v>
                </c:pt>
                <c:pt idx="49">
                  <c:v>0.58627652661677554</c:v>
                </c:pt>
                <c:pt idx="50">
                  <c:v>0.44098367987576848</c:v>
                </c:pt>
                <c:pt idx="51">
                  <c:v>0.3989163308346913</c:v>
                </c:pt>
                <c:pt idx="52">
                  <c:v>0.44283836731555493</c:v>
                </c:pt>
                <c:pt idx="53">
                  <c:v>0.50047072231760292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A-4DCC-8CE2-FBFA3021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697664"/>
        <c:axId val="107699200"/>
      </c:lineChart>
      <c:catAx>
        <c:axId val="1076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699200"/>
        <c:crosses val="autoZero"/>
        <c:auto val="1"/>
        <c:lblAlgn val="ctr"/>
        <c:lblOffset val="100"/>
        <c:noMultiLvlLbl val="0"/>
      </c:catAx>
      <c:valAx>
        <c:axId val="107699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2.2007104795737142E-2"/>
              <c:y val="0.2856446922236913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07697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7772910177399297"/>
          <c:y val="3.2604614379534443E-2"/>
          <c:w val="0.15287568680400518"/>
          <c:h val="0.213580442182718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'24 country oil price scenarios'!$AC$5</c:f>
              <c:strCache>
                <c:ptCount val="1"/>
                <c:pt idx="0">
                  <c:v>Australia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scenarios'!$AC$6:$AC$26</c:f>
              <c:numCache>
                <c:formatCode>0.00</c:formatCode>
                <c:ptCount val="21"/>
                <c:pt idx="0">
                  <c:v>0.54027598593950321</c:v>
                </c:pt>
                <c:pt idx="1">
                  <c:v>0.6057425955182405</c:v>
                </c:pt>
                <c:pt idx="2">
                  <c:v>0.59604326879126024</c:v>
                </c:pt>
                <c:pt idx="3">
                  <c:v>0.54114893623324756</c:v>
                </c:pt>
                <c:pt idx="4">
                  <c:v>0.49437505922097458</c:v>
                </c:pt>
                <c:pt idx="5">
                  <c:v>0.39432806365687922</c:v>
                </c:pt>
                <c:pt idx="6">
                  <c:v>0.38744423961766389</c:v>
                </c:pt>
                <c:pt idx="7">
                  <c:v>0.40492784360099959</c:v>
                </c:pt>
                <c:pt idx="8">
                  <c:v>0.40083741879638324</c:v>
                </c:pt>
                <c:pt idx="9">
                  <c:v>0.38468271718414548</c:v>
                </c:pt>
                <c:pt idx="10">
                  <c:v>0.38482843476313838</c:v>
                </c:pt>
                <c:pt idx="11">
                  <c:v>0.38912160861078465</c:v>
                </c:pt>
                <c:pt idx="12">
                  <c:v>0.3923181717400917</c:v>
                </c:pt>
                <c:pt idx="13">
                  <c:v>0.39378912227803492</c:v>
                </c:pt>
                <c:pt idx="14">
                  <c:v>0.39417802320029094</c:v>
                </c:pt>
                <c:pt idx="15">
                  <c:v>0.39621291726867391</c:v>
                </c:pt>
                <c:pt idx="16">
                  <c:v>0.39978948069074927</c:v>
                </c:pt>
                <c:pt idx="17">
                  <c:v>0.40163275098087309</c:v>
                </c:pt>
                <c:pt idx="18">
                  <c:v>0.40279958706393593</c:v>
                </c:pt>
                <c:pt idx="19">
                  <c:v>0.40438115552762449</c:v>
                </c:pt>
                <c:pt idx="20">
                  <c:v>0.4055904687191223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8-48E1-86CE-99915E397AA1}"/>
            </c:ext>
          </c:extLst>
        </c:ser>
        <c:ser>
          <c:idx val="1"/>
          <c:order val="1"/>
          <c:tx>
            <c:strRef>
              <c:f>'24 country oil price scenarios'!$AD$5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scenarios'!$AD$6:$AD$26</c:f>
              <c:numCache>
                <c:formatCode>0.00</c:formatCode>
                <c:ptCount val="21"/>
                <c:pt idx="0">
                  <c:v>1.0390302517663237</c:v>
                </c:pt>
                <c:pt idx="1">
                  <c:v>1.1765834660025227</c:v>
                </c:pt>
                <c:pt idx="2">
                  <c:v>1.0754008572502345</c:v>
                </c:pt>
                <c:pt idx="3">
                  <c:v>1.0218909743167772</c:v>
                </c:pt>
                <c:pt idx="4">
                  <c:v>0.98854476877976483</c:v>
                </c:pt>
                <c:pt idx="5">
                  <c:v>0.78319503656641709</c:v>
                </c:pt>
                <c:pt idx="6">
                  <c:v>0.76579136390754621</c:v>
                </c:pt>
                <c:pt idx="7">
                  <c:v>0.78052083343260492</c:v>
                </c:pt>
                <c:pt idx="8">
                  <c:v>0.82111459813973853</c:v>
                </c:pt>
                <c:pt idx="9">
                  <c:v>0.80111816526075341</c:v>
                </c:pt>
                <c:pt idx="10">
                  <c:v>0.80141858962072221</c:v>
                </c:pt>
                <c:pt idx="11">
                  <c:v>0.81026977980880266</c:v>
                </c:pt>
                <c:pt idx="12">
                  <c:v>0.81686009951393512</c:v>
                </c:pt>
                <c:pt idx="13">
                  <c:v>0.81989274236293896</c:v>
                </c:pt>
                <c:pt idx="14">
                  <c:v>0.82069453519718327</c:v>
                </c:pt>
                <c:pt idx="15">
                  <c:v>0.82488985433659534</c:v>
                </c:pt>
                <c:pt idx="16">
                  <c:v>0.83226361654421643</c:v>
                </c:pt>
                <c:pt idx="17">
                  <c:v>0.83606386700807056</c:v>
                </c:pt>
                <c:pt idx="18">
                  <c:v>0.83846952036756983</c:v>
                </c:pt>
                <c:pt idx="19">
                  <c:v>0.84173022300025113</c:v>
                </c:pt>
                <c:pt idx="20">
                  <c:v>0.84422345095578077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8-48E1-86CE-99915E397AA1}"/>
            </c:ext>
          </c:extLst>
        </c:ser>
        <c:ser>
          <c:idx val="2"/>
          <c:order val="2"/>
          <c:tx>
            <c:strRef>
              <c:f>'24 country oil price scenarios'!$AE$5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scenarios'!$AE$6:$AE$26</c:f>
              <c:numCache>
                <c:formatCode>0.00</c:formatCode>
                <c:ptCount val="21"/>
                <c:pt idx="0">
                  <c:v>1.3104457560182641</c:v>
                </c:pt>
                <c:pt idx="1">
                  <c:v>1.3838873757457075</c:v>
                </c:pt>
                <c:pt idx="2">
                  <c:v>1.2612980161207372</c:v>
                </c:pt>
                <c:pt idx="3">
                  <c:v>1.2741587950484778</c:v>
                </c:pt>
                <c:pt idx="4">
                  <c:v>1.2468755826667082</c:v>
                </c:pt>
                <c:pt idx="5">
                  <c:v>0.99155079598297924</c:v>
                </c:pt>
                <c:pt idx="6">
                  <c:v>0.96213889370171846</c:v>
                </c:pt>
                <c:pt idx="7">
                  <c:v>0.97148583603741956</c:v>
                </c:pt>
                <c:pt idx="8">
                  <c:v>1.0367968853407696</c:v>
                </c:pt>
                <c:pt idx="9">
                  <c:v>1.0116316770438032</c:v>
                </c:pt>
                <c:pt idx="10">
                  <c:v>1.0120057266540574</c:v>
                </c:pt>
                <c:pt idx="11">
                  <c:v>1.023026085457462</c:v>
                </c:pt>
                <c:pt idx="12">
                  <c:v>1.0312315003492933</c:v>
                </c:pt>
                <c:pt idx="13">
                  <c:v>1.035007355529042</c:v>
                </c:pt>
                <c:pt idx="14">
                  <c:v>1.0360056444067649</c:v>
                </c:pt>
                <c:pt idx="15">
                  <c:v>1.0412291139321825</c:v>
                </c:pt>
                <c:pt idx="16">
                  <c:v>1.0504099702387617</c:v>
                </c:pt>
                <c:pt idx="17">
                  <c:v>1.0551415512764026</c:v>
                </c:pt>
                <c:pt idx="18">
                  <c:v>1.0581367601257166</c:v>
                </c:pt>
                <c:pt idx="19">
                  <c:v>1.0621965658919221</c:v>
                </c:pt>
                <c:pt idx="20">
                  <c:v>1.0653008113170876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8-48E1-86CE-99915E397AA1}"/>
            </c:ext>
          </c:extLst>
        </c:ser>
        <c:ser>
          <c:idx val="3"/>
          <c:order val="3"/>
          <c:tx>
            <c:strRef>
              <c:f>'24 country oil price scenarios'!$AF$5</c:f>
              <c:strCache>
                <c:ptCount val="1"/>
                <c:pt idx="0">
                  <c:v>Britain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scenarios'!$AF$6:$AF$26</c:f>
              <c:numCache>
                <c:formatCode>0.00</c:formatCode>
                <c:ptCount val="21"/>
                <c:pt idx="0">
                  <c:v>1.3609954586570985</c:v>
                </c:pt>
                <c:pt idx="1">
                  <c:v>1.4598382588906116</c:v>
                </c:pt>
                <c:pt idx="2">
                  <c:v>1.4091938204717607</c:v>
                </c:pt>
                <c:pt idx="3">
                  <c:v>1.3482480070224823</c:v>
                </c:pt>
                <c:pt idx="4">
                  <c:v>1.3810066978463269</c:v>
                </c:pt>
                <c:pt idx="5">
                  <c:v>1.2316175110341849</c:v>
                </c:pt>
                <c:pt idx="6">
                  <c:v>1.0714093821164123</c:v>
                </c:pt>
                <c:pt idx="7">
                  <c:v>1.0217818102508494</c:v>
                </c:pt>
                <c:pt idx="8">
                  <c:v>1.0507630238603252</c:v>
                </c:pt>
                <c:pt idx="9">
                  <c:v>1.0167724852038182</c:v>
                </c:pt>
                <c:pt idx="10">
                  <c:v>1.0170812271631382</c:v>
                </c:pt>
                <c:pt idx="11">
                  <c:v>1.0261774728912392</c:v>
                </c:pt>
                <c:pt idx="12">
                  <c:v>1.0329502532959991</c:v>
                </c:pt>
                <c:pt idx="13">
                  <c:v>1.0360668584049098</c:v>
                </c:pt>
                <c:pt idx="14">
                  <c:v>1.0368908498103975</c:v>
                </c:pt>
                <c:pt idx="15">
                  <c:v>1.0412023212610155</c:v>
                </c:pt>
                <c:pt idx="16">
                  <c:v>1.0487802346891366</c:v>
                </c:pt>
                <c:pt idx="17">
                  <c:v>1.0526856995264078</c:v>
                </c:pt>
                <c:pt idx="18">
                  <c:v>1.0551579562093685</c:v>
                </c:pt>
                <c:pt idx="19">
                  <c:v>1.0585089352034789</c:v>
                </c:pt>
                <c:pt idx="20">
                  <c:v>1.0610711910874626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8-48E1-86CE-99915E397AA1}"/>
            </c:ext>
          </c:extLst>
        </c:ser>
        <c:ser>
          <c:idx val="4"/>
          <c:order val="4"/>
          <c:tx>
            <c:strRef>
              <c:f>'24 country oil price scenarios'!$AG$5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scenarios'!$AG$6:$AG$26</c:f>
              <c:numCache>
                <c:formatCode>0.00</c:formatCode>
                <c:ptCount val="21"/>
                <c:pt idx="0">
                  <c:v>0.47218756936730788</c:v>
                </c:pt>
                <c:pt idx="1">
                  <c:v>0.52499080513119034</c:v>
                </c:pt>
                <c:pt idx="2">
                  <c:v>0.52539757267058274</c:v>
                </c:pt>
                <c:pt idx="3">
                  <c:v>0.51328694057256319</c:v>
                </c:pt>
                <c:pt idx="4">
                  <c:v>0.47823152372864058</c:v>
                </c:pt>
                <c:pt idx="5">
                  <c:v>0.3876758442496106</c:v>
                </c:pt>
                <c:pt idx="6">
                  <c:v>0.37400618370405841</c:v>
                </c:pt>
                <c:pt idx="7">
                  <c:v>0.39019433392134617</c:v>
                </c:pt>
                <c:pt idx="8">
                  <c:v>0.39518538420919475</c:v>
                </c:pt>
                <c:pt idx="9">
                  <c:v>0.38678888942876416</c:v>
                </c:pt>
                <c:pt idx="10">
                  <c:v>0.38699421626660219</c:v>
                </c:pt>
                <c:pt idx="11">
                  <c:v>0.3930436154984458</c:v>
                </c:pt>
                <c:pt idx="12">
                  <c:v>0.39754780918479543</c:v>
                </c:pt>
                <c:pt idx="13">
                  <c:v>0.39962048720112897</c:v>
                </c:pt>
                <c:pt idx="14">
                  <c:v>0.40016847734172106</c:v>
                </c:pt>
                <c:pt idx="15">
                  <c:v>0.40303579346983642</c:v>
                </c:pt>
                <c:pt idx="16">
                  <c:v>0.40807543565204268</c:v>
                </c:pt>
                <c:pt idx="17">
                  <c:v>0.41067273971492568</c:v>
                </c:pt>
                <c:pt idx="18">
                  <c:v>0.41231689798921456</c:v>
                </c:pt>
                <c:pt idx="19">
                  <c:v>0.41454544483797334</c:v>
                </c:pt>
                <c:pt idx="20">
                  <c:v>0.41624945649725326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8-48E1-86CE-99915E397AA1}"/>
            </c:ext>
          </c:extLst>
        </c:ser>
        <c:ser>
          <c:idx val="5"/>
          <c:order val="5"/>
          <c:tx>
            <c:strRef>
              <c:f>'24 country oil price scenarios'!$AH$5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scenarios'!$AH$6:$AH$26</c:f>
              <c:numCache>
                <c:formatCode>0.00</c:formatCode>
                <c:ptCount val="21"/>
                <c:pt idx="0">
                  <c:v>0.36696529583965826</c:v>
                </c:pt>
                <c:pt idx="1">
                  <c:v>0.39237956498651572</c:v>
                </c:pt>
                <c:pt idx="2">
                  <c:v>0.40090083249551872</c:v>
                </c:pt>
                <c:pt idx="3">
                  <c:v>0.40132118407700279</c:v>
                </c:pt>
                <c:pt idx="4">
                  <c:v>0.42823498799933163</c:v>
                </c:pt>
                <c:pt idx="5">
                  <c:v>0.38581232815736233</c:v>
                </c:pt>
                <c:pt idx="6">
                  <c:v>0.34832097274032131</c:v>
                </c:pt>
                <c:pt idx="7">
                  <c:v>0.33629828398226047</c:v>
                </c:pt>
                <c:pt idx="8">
                  <c:v>0.34853389458537465</c:v>
                </c:pt>
                <c:pt idx="9">
                  <c:v>0.33324921086764231</c:v>
                </c:pt>
                <c:pt idx="10">
                  <c:v>0.33353672641145715</c:v>
                </c:pt>
                <c:pt idx="11">
                  <c:v>0.34200759328989472</c:v>
                </c:pt>
                <c:pt idx="12">
                  <c:v>0.34831473613986969</c:v>
                </c:pt>
                <c:pt idx="13">
                  <c:v>0.35121707055116197</c:v>
                </c:pt>
                <c:pt idx="14">
                  <c:v>0.35198441146449067</c:v>
                </c:pt>
                <c:pt idx="15">
                  <c:v>0.35599946358599854</c:v>
                </c:pt>
                <c:pt idx="16">
                  <c:v>0.36305638550573394</c:v>
                </c:pt>
                <c:pt idx="17">
                  <c:v>0.36669334450220642</c:v>
                </c:pt>
                <c:pt idx="18">
                  <c:v>0.36899563028874688</c:v>
                </c:pt>
                <c:pt idx="19">
                  <c:v>0.37211622507257708</c:v>
                </c:pt>
                <c:pt idx="20">
                  <c:v>0.37450232249677806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58-48E1-86CE-99915E397AA1}"/>
            </c:ext>
          </c:extLst>
        </c:ser>
        <c:ser>
          <c:idx val="6"/>
          <c:order val="6"/>
          <c:tx>
            <c:strRef>
              <c:f>'24 country oil price scenarios'!$AI$5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scenarios'!$AI$6:$AI$26</c:f>
              <c:numCache>
                <c:formatCode>0.00</c:formatCode>
                <c:ptCount val="21"/>
                <c:pt idx="0">
                  <c:v>1.2613964865236329</c:v>
                </c:pt>
                <c:pt idx="1">
                  <c:v>1.3298047877721677</c:v>
                </c:pt>
                <c:pt idx="2">
                  <c:v>1.2364429420092449</c:v>
                </c:pt>
                <c:pt idx="3">
                  <c:v>1.2559025194415852</c:v>
                </c:pt>
                <c:pt idx="4">
                  <c:v>1.270168565024357</c:v>
                </c:pt>
                <c:pt idx="5">
                  <c:v>1.0245935730935691</c:v>
                </c:pt>
                <c:pt idx="6">
                  <c:v>1.0147525791115661</c:v>
                </c:pt>
                <c:pt idx="7">
                  <c:v>1.0394636876954797</c:v>
                </c:pt>
                <c:pt idx="8">
                  <c:v>1.1064844001220313</c:v>
                </c:pt>
                <c:pt idx="9">
                  <c:v>1.07843063468489</c:v>
                </c:pt>
                <c:pt idx="10">
                  <c:v>1.078831158644004</c:v>
                </c:pt>
                <c:pt idx="11">
                  <c:v>1.0906315124414432</c:v>
                </c:pt>
                <c:pt idx="12">
                  <c:v>1.0994176872389891</c:v>
                </c:pt>
                <c:pt idx="13">
                  <c:v>1.1034607885393897</c:v>
                </c:pt>
                <c:pt idx="14">
                  <c:v>1.1045297339484574</c:v>
                </c:pt>
                <c:pt idx="15">
                  <c:v>1.1101229083223285</c:v>
                </c:pt>
                <c:pt idx="16">
                  <c:v>1.1199535639764451</c:v>
                </c:pt>
                <c:pt idx="17">
                  <c:v>1.1250200351559654</c:v>
                </c:pt>
                <c:pt idx="18">
                  <c:v>1.1282272378205649</c:v>
                </c:pt>
                <c:pt idx="19">
                  <c:v>1.1325743870599627</c:v>
                </c:pt>
                <c:pt idx="20">
                  <c:v>1.1358983436519856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58-48E1-86CE-99915E397AA1}"/>
            </c:ext>
          </c:extLst>
        </c:ser>
        <c:ser>
          <c:idx val="7"/>
          <c:order val="7"/>
          <c:tx>
            <c:strRef>
              <c:f>'24 country oil price scenarios'!$AJ$5</c:f>
              <c:strCache>
                <c:ptCount val="1"/>
                <c:pt idx="0">
                  <c:v>Finland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scenarios'!$AJ$6:$AJ$26</c:f>
              <c:numCache>
                <c:formatCode>0.00</c:formatCode>
                <c:ptCount val="21"/>
                <c:pt idx="0">
                  <c:v>1.2695584069702115</c:v>
                </c:pt>
                <c:pt idx="1">
                  <c:v>1.3642106641424558</c:v>
                </c:pt>
                <c:pt idx="2">
                  <c:v>1.2813102488340726</c:v>
                </c:pt>
                <c:pt idx="3">
                  <c:v>1.3098769784627964</c:v>
                </c:pt>
                <c:pt idx="4">
                  <c:v>1.3126349717126826</c:v>
                </c:pt>
                <c:pt idx="5">
                  <c:v>1.0690786204148688</c:v>
                </c:pt>
                <c:pt idx="6">
                  <c:v>1.0525566386639873</c:v>
                </c:pt>
                <c:pt idx="7">
                  <c:v>1.1131001588898695</c:v>
                </c:pt>
                <c:pt idx="8">
                  <c:v>1.1771594714026252</c:v>
                </c:pt>
                <c:pt idx="9">
                  <c:v>1.1496378307943544</c:v>
                </c:pt>
                <c:pt idx="10">
                  <c:v>1.1499961554407834</c:v>
                </c:pt>
                <c:pt idx="11">
                  <c:v>1.1605532207698011</c:v>
                </c:pt>
                <c:pt idx="12">
                  <c:v>1.1684136818137736</c:v>
                </c:pt>
                <c:pt idx="13">
                  <c:v>1.172030800867393</c:v>
                </c:pt>
                <c:pt idx="14">
                  <c:v>1.1729871218989816</c:v>
                </c:pt>
                <c:pt idx="15">
                  <c:v>1.1779909979077132</c:v>
                </c:pt>
                <c:pt idx="16">
                  <c:v>1.1867858930226469</c:v>
                </c:pt>
                <c:pt idx="17">
                  <c:v>1.1913185594280715</c:v>
                </c:pt>
                <c:pt idx="18">
                  <c:v>1.1941878503522916</c:v>
                </c:pt>
                <c:pt idx="19">
                  <c:v>1.1980769827718019</c:v>
                </c:pt>
                <c:pt idx="20">
                  <c:v>1.2010507263980668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58-48E1-86CE-99915E397AA1}"/>
            </c:ext>
          </c:extLst>
        </c:ser>
        <c:ser>
          <c:idx val="8"/>
          <c:order val="8"/>
          <c:tx>
            <c:strRef>
              <c:f>'24 country oil price scenarios'!$AK$5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scenarios'!$AK$6:$AK$26</c:f>
              <c:numCache>
                <c:formatCode>0.00</c:formatCode>
                <c:ptCount val="21"/>
                <c:pt idx="0">
                  <c:v>1.192837338185418</c:v>
                </c:pt>
                <c:pt idx="1">
                  <c:v>1.2794522744186283</c:v>
                </c:pt>
                <c:pt idx="2">
                  <c:v>1.1635616725270859</c:v>
                </c:pt>
                <c:pt idx="3">
                  <c:v>1.1934193014605137</c:v>
                </c:pt>
                <c:pt idx="4">
                  <c:v>1.1750798618128335</c:v>
                </c:pt>
                <c:pt idx="5">
                  <c:v>0.9697849143451418</c:v>
                </c:pt>
                <c:pt idx="6">
                  <c:v>0.97990341560834515</c:v>
                </c:pt>
                <c:pt idx="7">
                  <c:v>1.0214102494292641</c:v>
                </c:pt>
                <c:pt idx="8">
                  <c:v>1.0705427374533774</c:v>
                </c:pt>
                <c:pt idx="9">
                  <c:v>1.0457702195574787</c:v>
                </c:pt>
                <c:pt idx="10">
                  <c:v>1.0460798884153262</c:v>
                </c:pt>
                <c:pt idx="11">
                  <c:v>1.0552034426984009</c:v>
                </c:pt>
                <c:pt idx="12">
                  <c:v>1.0619965562000819</c:v>
                </c:pt>
                <c:pt idx="13">
                  <c:v>1.0651225179143979</c:v>
                </c:pt>
                <c:pt idx="14">
                  <c:v>1.0659489830893139</c:v>
                </c:pt>
                <c:pt idx="15">
                  <c:v>1.0702733983475914</c:v>
                </c:pt>
                <c:pt idx="16">
                  <c:v>1.0778740620258291</c:v>
                </c:pt>
                <c:pt idx="17">
                  <c:v>1.0817912517663619</c:v>
                </c:pt>
                <c:pt idx="18">
                  <c:v>1.0842709306056224</c:v>
                </c:pt>
                <c:pt idx="19">
                  <c:v>1.0876319698374191</c:v>
                </c:pt>
                <c:pt idx="20">
                  <c:v>1.0902019180713851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58-48E1-86CE-99915E397AA1}"/>
            </c:ext>
          </c:extLst>
        </c:ser>
        <c:ser>
          <c:idx val="9"/>
          <c:order val="9"/>
          <c:tx>
            <c:strRef>
              <c:f>'24 country oil price scenarios'!$AL$5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scenarios'!$AL$6:$AL$26</c:f>
              <c:numCache>
                <c:formatCode>0.00</c:formatCode>
                <c:ptCount val="21"/>
                <c:pt idx="0">
                  <c:v>1.2845449000634563</c:v>
                </c:pt>
                <c:pt idx="1">
                  <c:v>1.3654410001181039</c:v>
                </c:pt>
                <c:pt idx="2">
                  <c:v>1.2598436457904978</c:v>
                </c:pt>
                <c:pt idx="3">
                  <c:v>1.2710000235177707</c:v>
                </c:pt>
                <c:pt idx="4">
                  <c:v>1.2404799319833448</c:v>
                </c:pt>
                <c:pt idx="5">
                  <c:v>0.99991840725707415</c:v>
                </c:pt>
                <c:pt idx="6">
                  <c:v>0.98457792679465095</c:v>
                </c:pt>
                <c:pt idx="7">
                  <c:v>1.0021955111326306</c:v>
                </c:pt>
                <c:pt idx="8">
                  <c:v>1.0661122122517588</c:v>
                </c:pt>
                <c:pt idx="9">
                  <c:v>1.04173179762477</c:v>
                </c:pt>
                <c:pt idx="10">
                  <c:v>1.0420218902590861</c:v>
                </c:pt>
                <c:pt idx="11">
                  <c:v>1.0505686841301276</c:v>
                </c:pt>
                <c:pt idx="12">
                  <c:v>1.0569323598468556</c:v>
                </c:pt>
                <c:pt idx="13">
                  <c:v>1.0598607087766785</c:v>
                </c:pt>
                <c:pt idx="14">
                  <c:v>1.0606349276032936</c:v>
                </c:pt>
                <c:pt idx="15">
                  <c:v>1.0646859678753777</c:v>
                </c:pt>
                <c:pt idx="16">
                  <c:v>1.071806143162932</c:v>
                </c:pt>
                <c:pt idx="17">
                  <c:v>1.0754757013446814</c:v>
                </c:pt>
                <c:pt idx="18">
                  <c:v>1.0777986232288488</c:v>
                </c:pt>
                <c:pt idx="19">
                  <c:v>1.0809471888662492</c:v>
                </c:pt>
                <c:pt idx="20">
                  <c:v>1.0833546736176365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58-48E1-86CE-99915E397AA1}"/>
            </c:ext>
          </c:extLst>
        </c:ser>
        <c:ser>
          <c:idx val="10"/>
          <c:order val="10"/>
          <c:tx>
            <c:strRef>
              <c:f>'24 country oil price scenarios'!$AM$5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scenarios'!$AM$6:$AM$26</c:f>
              <c:numCache>
                <c:formatCode>0.00</c:formatCode>
                <c:ptCount val="21"/>
                <c:pt idx="0">
                  <c:v>1.1874721259425205</c:v>
                </c:pt>
                <c:pt idx="1">
                  <c:v>1.3732865534265648</c:v>
                </c:pt>
                <c:pt idx="2">
                  <c:v>1.2657671913027657</c:v>
                </c:pt>
                <c:pt idx="3">
                  <c:v>1.3054355328493858</c:v>
                </c:pt>
                <c:pt idx="4">
                  <c:v>1.3000887147447311</c:v>
                </c:pt>
                <c:pt idx="5">
                  <c:v>1.0642082525925494</c:v>
                </c:pt>
                <c:pt idx="6">
                  <c:v>1.066108546212003</c:v>
                </c:pt>
                <c:pt idx="7">
                  <c:v>1.1410860310790512</c:v>
                </c:pt>
                <c:pt idx="8">
                  <c:v>1.2463152060811662</c:v>
                </c:pt>
                <c:pt idx="9">
                  <c:v>1.2178925297255021</c:v>
                </c:pt>
                <c:pt idx="10">
                  <c:v>1.2182266832515933</c:v>
                </c:pt>
                <c:pt idx="11">
                  <c:v>1.2280716119776025</c:v>
                </c:pt>
                <c:pt idx="12">
                  <c:v>1.2354018383539402</c:v>
                </c:pt>
                <c:pt idx="13">
                  <c:v>1.2387749612973487</c:v>
                </c:pt>
                <c:pt idx="14">
                  <c:v>1.2396667728095212</c:v>
                </c:pt>
                <c:pt idx="15">
                  <c:v>1.2443331077354161</c:v>
                </c:pt>
                <c:pt idx="16">
                  <c:v>1.2525347350684646</c:v>
                </c:pt>
                <c:pt idx="17">
                  <c:v>1.256761646270532</c:v>
                </c:pt>
                <c:pt idx="18">
                  <c:v>1.2594373865224644</c:v>
                </c:pt>
                <c:pt idx="19">
                  <c:v>1.2630641739186599</c:v>
                </c:pt>
                <c:pt idx="20">
                  <c:v>1.2658373209190419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58-48E1-86CE-99915E397AA1}"/>
            </c:ext>
          </c:extLst>
        </c:ser>
        <c:ser>
          <c:idx val="11"/>
          <c:order val="11"/>
          <c:tx>
            <c:strRef>
              <c:f>'24 country oil price scenarios'!$AN$5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scenarios'!$AN$6:$AN$26</c:f>
              <c:numCache>
                <c:formatCode>0.00</c:formatCode>
                <c:ptCount val="21"/>
                <c:pt idx="0">
                  <c:v>1.0617731218444375</c:v>
                </c:pt>
                <c:pt idx="1">
                  <c:v>1.0579828815662269</c:v>
                </c:pt>
                <c:pt idx="2">
                  <c:v>1.0350685339919903</c:v>
                </c:pt>
                <c:pt idx="3">
                  <c:v>0.98097174464920278</c:v>
                </c:pt>
                <c:pt idx="4">
                  <c:v>0.93769214756016728</c:v>
                </c:pt>
                <c:pt idx="5">
                  <c:v>0.87860616273691472</c:v>
                </c:pt>
                <c:pt idx="6">
                  <c:v>0.85179235887246119</c:v>
                </c:pt>
                <c:pt idx="7">
                  <c:v>0.85995428656583295</c:v>
                </c:pt>
                <c:pt idx="8">
                  <c:v>0.86298599045570679</c:v>
                </c:pt>
                <c:pt idx="9">
                  <c:v>0.82667598634553208</c:v>
                </c:pt>
                <c:pt idx="10">
                  <c:v>0.82667598634553208</c:v>
                </c:pt>
                <c:pt idx="11">
                  <c:v>0.82667598634553208</c:v>
                </c:pt>
                <c:pt idx="12">
                  <c:v>0.82667598634553208</c:v>
                </c:pt>
                <c:pt idx="13">
                  <c:v>0.82667598634553208</c:v>
                </c:pt>
                <c:pt idx="14">
                  <c:v>0.82667598634553208</c:v>
                </c:pt>
                <c:pt idx="15">
                  <c:v>0.82667598634553208</c:v>
                </c:pt>
                <c:pt idx="16">
                  <c:v>0.82667598634553208</c:v>
                </c:pt>
                <c:pt idx="17">
                  <c:v>0.82667598634553208</c:v>
                </c:pt>
                <c:pt idx="18">
                  <c:v>0.82667598634553208</c:v>
                </c:pt>
                <c:pt idx="19">
                  <c:v>0.82667598634553208</c:v>
                </c:pt>
                <c:pt idx="20">
                  <c:v>0.82667598634553208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58-48E1-86CE-99915E397AA1}"/>
            </c:ext>
          </c:extLst>
        </c:ser>
        <c:ser>
          <c:idx val="12"/>
          <c:order val="12"/>
          <c:tx>
            <c:strRef>
              <c:f>'24 country oil price scenarios'!$AO$5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scenarios'!$AO$6:$AO$26</c:f>
              <c:numCache>
                <c:formatCode>0.00</c:formatCode>
                <c:ptCount val="21"/>
                <c:pt idx="0">
                  <c:v>0.82524309907940274</c:v>
                </c:pt>
                <c:pt idx="1">
                  <c:v>0.79867709910473805</c:v>
                </c:pt>
                <c:pt idx="2">
                  <c:v>0.67435778715284966</c:v>
                </c:pt>
                <c:pt idx="3">
                  <c:v>0.48345242720715698</c:v>
                </c:pt>
                <c:pt idx="4">
                  <c:v>0.43823814161642793</c:v>
                </c:pt>
                <c:pt idx="5">
                  <c:v>0.54475784940460148</c:v>
                </c:pt>
                <c:pt idx="6">
                  <c:v>0.59539568804953358</c:v>
                </c:pt>
                <c:pt idx="7">
                  <c:v>0.62988809728170347</c:v>
                </c:pt>
                <c:pt idx="8">
                  <c:v>0.57596912483176188</c:v>
                </c:pt>
                <c:pt idx="9">
                  <c:v>0.54624946636413241</c:v>
                </c:pt>
                <c:pt idx="10">
                  <c:v>0.54669174449990332</c:v>
                </c:pt>
                <c:pt idx="11">
                  <c:v>0.55972227203816594</c:v>
                </c:pt>
                <c:pt idx="12">
                  <c:v>0.56942439577281667</c:v>
                </c:pt>
                <c:pt idx="13">
                  <c:v>0.57388898588080883</c:v>
                </c:pt>
                <c:pt idx="14">
                  <c:v>0.57506936765824146</c:v>
                </c:pt>
                <c:pt idx="15">
                  <c:v>0.58124562423123083</c:v>
                </c:pt>
                <c:pt idx="16">
                  <c:v>0.59210111478846672</c:v>
                </c:pt>
                <c:pt idx="17">
                  <c:v>0.59769575994570567</c:v>
                </c:pt>
                <c:pt idx="18">
                  <c:v>0.60123730991609059</c:v>
                </c:pt>
                <c:pt idx="19">
                  <c:v>0.60603764462208931</c:v>
                </c:pt>
                <c:pt idx="20">
                  <c:v>0.60970811998679753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58-48E1-86CE-99915E397AA1}"/>
            </c:ext>
          </c:extLst>
        </c:ser>
        <c:ser>
          <c:idx val="13"/>
          <c:order val="13"/>
          <c:tx>
            <c:strRef>
              <c:f>'24 country oil price scenarios'!$AP$5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scenarios'!$AP$6:$AP$26</c:f>
              <c:numCache>
                <c:formatCode>0.00</c:formatCode>
                <c:ptCount val="21"/>
                <c:pt idx="0">
                  <c:v>1.0764233699854859</c:v>
                </c:pt>
                <c:pt idx="1">
                  <c:v>1.1445169358293901</c:v>
                </c:pt>
                <c:pt idx="2">
                  <c:v>1.1598083592715753</c:v>
                </c:pt>
                <c:pt idx="3">
                  <c:v>1.1798963636024471</c:v>
                </c:pt>
                <c:pt idx="4">
                  <c:v>1.1575035717052291</c:v>
                </c:pt>
                <c:pt idx="5">
                  <c:v>0.93112351111433544</c:v>
                </c:pt>
                <c:pt idx="6">
                  <c:v>0.91911425198246532</c:v>
                </c:pt>
                <c:pt idx="7">
                  <c:v>0.95044332715723134</c:v>
                </c:pt>
                <c:pt idx="8">
                  <c:v>1.0123858258681828</c:v>
                </c:pt>
                <c:pt idx="9">
                  <c:v>1.038635330158129</c:v>
                </c:pt>
                <c:pt idx="10">
                  <c:v>1.0600041719378877</c:v>
                </c:pt>
                <c:pt idx="11">
                  <c:v>1.082630004410573</c:v>
                </c:pt>
                <c:pt idx="12">
                  <c:v>1.0926859299539886</c:v>
                </c:pt>
                <c:pt idx="13">
                  <c:v>1.1002278741115505</c:v>
                </c:pt>
                <c:pt idx="14">
                  <c:v>1.1065128275761855</c:v>
                </c:pt>
                <c:pt idx="15">
                  <c:v>1.1127977810408205</c:v>
                </c:pt>
                <c:pt idx="16">
                  <c:v>1.1190827345054553</c:v>
                </c:pt>
                <c:pt idx="17">
                  <c:v>1.1253676879700902</c:v>
                </c:pt>
                <c:pt idx="18">
                  <c:v>1.130395650741798</c:v>
                </c:pt>
                <c:pt idx="19">
                  <c:v>1.1366806042064328</c:v>
                </c:pt>
                <c:pt idx="20">
                  <c:v>1.1404515762852137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58-48E1-86CE-99915E397AA1}"/>
            </c:ext>
          </c:extLst>
        </c:ser>
        <c:ser>
          <c:idx val="14"/>
          <c:order val="14"/>
          <c:tx>
            <c:strRef>
              <c:f>'24 country oil price scenarios'!$AQ$5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scenarios'!$AQ$6:$AQ$26</c:f>
              <c:numCache>
                <c:formatCode>0.00</c:formatCode>
                <c:ptCount val="21"/>
                <c:pt idx="0">
                  <c:v>1.1457996124775958</c:v>
                </c:pt>
                <c:pt idx="1">
                  <c:v>1.2589587938617228</c:v>
                </c:pt>
                <c:pt idx="2">
                  <c:v>1.3712829693091046</c:v>
                </c:pt>
                <c:pt idx="3">
                  <c:v>1.4063710056022285</c:v>
                </c:pt>
                <c:pt idx="4">
                  <c:v>1.4046244805012809</c:v>
                </c:pt>
                <c:pt idx="5">
                  <c:v>1.12690465951539</c:v>
                </c:pt>
                <c:pt idx="6">
                  <c:v>1.1150011838728198</c:v>
                </c:pt>
                <c:pt idx="7">
                  <c:v>1.1416612953627245</c:v>
                </c:pt>
                <c:pt idx="8">
                  <c:v>1.2062037972588646</c:v>
                </c:pt>
                <c:pt idx="9">
                  <c:v>1.178062326189635</c:v>
                </c:pt>
                <c:pt idx="10">
                  <c:v>1.1784257507275071</c:v>
                </c:pt>
                <c:pt idx="11">
                  <c:v>1.1891330705469043</c:v>
                </c:pt>
                <c:pt idx="12">
                  <c:v>1.1971054063905016</c:v>
                </c:pt>
                <c:pt idx="13">
                  <c:v>1.2007740064535783</c:v>
                </c:pt>
                <c:pt idx="14">
                  <c:v>1.2017439384200967</c:v>
                </c:pt>
                <c:pt idx="15">
                  <c:v>1.2068190325956369</c:v>
                </c:pt>
                <c:pt idx="16">
                  <c:v>1.2157391019367643</c:v>
                </c:pt>
                <c:pt idx="17">
                  <c:v>1.2203362799710917</c:v>
                </c:pt>
                <c:pt idx="18">
                  <c:v>1.223246408365966</c:v>
                </c:pt>
                <c:pt idx="19">
                  <c:v>1.2271908932524263</c:v>
                </c:pt>
                <c:pt idx="20">
                  <c:v>1.2302069609828961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58-48E1-86CE-99915E397AA1}"/>
            </c:ext>
          </c:extLst>
        </c:ser>
        <c:ser>
          <c:idx val="15"/>
          <c:order val="15"/>
          <c:tx>
            <c:strRef>
              <c:f>'24 country oil price scenarios'!$AR$5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scenarios'!$AR$6:$AR$26</c:f>
              <c:numCache>
                <c:formatCode>0.00</c:formatCode>
                <c:ptCount val="21"/>
                <c:pt idx="0">
                  <c:v>0.74921479709559147</c:v>
                </c:pt>
                <c:pt idx="1">
                  <c:v>0.83013619411783046</c:v>
                </c:pt>
                <c:pt idx="2">
                  <c:v>0.83904189258913098</c:v>
                </c:pt>
                <c:pt idx="3">
                  <c:v>0.6902078982914952</c:v>
                </c:pt>
                <c:pt idx="4">
                  <c:v>0.64757710206873964</c:v>
                </c:pt>
                <c:pt idx="5">
                  <c:v>0.5571152824379918</c:v>
                </c:pt>
                <c:pt idx="6">
                  <c:v>0.61111401734584436</c:v>
                </c:pt>
                <c:pt idx="7">
                  <c:v>0.59829525352430146</c:v>
                </c:pt>
                <c:pt idx="8">
                  <c:v>0.61399134516496456</c:v>
                </c:pt>
                <c:pt idx="9">
                  <c:v>0.60385057677511589</c:v>
                </c:pt>
                <c:pt idx="10">
                  <c:v>0.60399866881307185</c:v>
                </c:pt>
                <c:pt idx="11">
                  <c:v>0.60836179966379489</c:v>
                </c:pt>
                <c:pt idx="12">
                  <c:v>0.61161045059215413</c:v>
                </c:pt>
                <c:pt idx="13">
                  <c:v>0.61310537017839606</c:v>
                </c:pt>
                <c:pt idx="14">
                  <c:v>0.61350060821719565</c:v>
                </c:pt>
                <c:pt idx="15">
                  <c:v>0.61556866075892613</c:v>
                </c:pt>
                <c:pt idx="16">
                  <c:v>0.61920350406138858</c:v>
                </c:pt>
                <c:pt idx="17">
                  <c:v>0.62107681032721096</c:v>
                </c:pt>
                <c:pt idx="18">
                  <c:v>0.62226265993228569</c:v>
                </c:pt>
                <c:pt idx="19">
                  <c:v>0.62386999995655101</c:v>
                </c:pt>
                <c:pt idx="20">
                  <c:v>0.62509901883192276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58-48E1-86CE-99915E397AA1}"/>
            </c:ext>
          </c:extLst>
        </c:ser>
        <c:ser>
          <c:idx val="16"/>
          <c:order val="16"/>
          <c:tx>
            <c:strRef>
              <c:f>'24 country oil price scenarios'!$AS$5</c:f>
              <c:strCache>
                <c:ptCount val="1"/>
                <c:pt idx="0">
                  <c:v>Korea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scenarios'!$AS$6:$AS$26</c:f>
              <c:numCache>
                <c:formatCode>0.00</c:formatCode>
                <c:ptCount val="21"/>
                <c:pt idx="0">
                  <c:v>0.67143847740427043</c:v>
                </c:pt>
                <c:pt idx="1">
                  <c:v>0.69622848045667818</c:v>
                </c:pt>
                <c:pt idx="2">
                  <c:v>0.67496575367213352</c:v>
                </c:pt>
                <c:pt idx="3">
                  <c:v>0.67824624403904266</c:v>
                </c:pt>
                <c:pt idx="4">
                  <c:v>0.68830217698506535</c:v>
                </c:pt>
                <c:pt idx="5">
                  <c:v>0.60925942267729383</c:v>
                </c:pt>
                <c:pt idx="6">
                  <c:v>0.58481236367945255</c:v>
                </c:pt>
                <c:pt idx="7">
                  <c:v>0.59614145081354053</c:v>
                </c:pt>
                <c:pt idx="8">
                  <c:v>0.61313882817572041</c:v>
                </c:pt>
                <c:pt idx="9">
                  <c:v>0.59892521196323978</c:v>
                </c:pt>
                <c:pt idx="10">
                  <c:v>0.59909181979559012</c:v>
                </c:pt>
                <c:pt idx="11">
                  <c:v>0.60400046838557608</c:v>
                </c:pt>
                <c:pt idx="12">
                  <c:v>0.60765529478075608</c:v>
                </c:pt>
                <c:pt idx="13">
                  <c:v>0.60933712261728146</c:v>
                </c:pt>
                <c:pt idx="14">
                  <c:v>0.60978177685943902</c:v>
                </c:pt>
                <c:pt idx="15">
                  <c:v>0.61210839587232047</c:v>
                </c:pt>
                <c:pt idx="16">
                  <c:v>0.61619769987485706</c:v>
                </c:pt>
                <c:pt idx="17">
                  <c:v>0.61830522368630014</c:v>
                </c:pt>
                <c:pt idx="18">
                  <c:v>0.61963933884145772</c:v>
                </c:pt>
                <c:pt idx="19">
                  <c:v>0.62144764292714205</c:v>
                </c:pt>
                <c:pt idx="20">
                  <c:v>0.62283032476182965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58-48E1-86CE-99915E397AA1}"/>
            </c:ext>
          </c:extLst>
        </c:ser>
        <c:ser>
          <c:idx val="17"/>
          <c:order val="17"/>
          <c:tx>
            <c:strRef>
              <c:f>'24 country oil price scenarios'!$AT$5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scenarios'!$AT$6:$AT$26</c:f>
              <c:numCache>
                <c:formatCode>0.00</c:formatCode>
                <c:ptCount val="21"/>
                <c:pt idx="0">
                  <c:v>1.4289769102044154</c:v>
                </c:pt>
                <c:pt idx="1">
                  <c:v>1.5096542222055158</c:v>
                </c:pt>
                <c:pt idx="2">
                  <c:v>1.3957919657270572</c:v>
                </c:pt>
                <c:pt idx="3">
                  <c:v>1.462234222205665</c:v>
                </c:pt>
                <c:pt idx="4">
                  <c:v>1.4475291577312777</c:v>
                </c:pt>
                <c:pt idx="5">
                  <c:v>1.1738545450145399</c:v>
                </c:pt>
                <c:pt idx="6">
                  <c:v>1.1635067656680895</c:v>
                </c:pt>
                <c:pt idx="7">
                  <c:v>1.1905707014164955</c:v>
                </c:pt>
                <c:pt idx="8">
                  <c:v>1.2680432163208357</c:v>
                </c:pt>
                <c:pt idx="9">
                  <c:v>1.2393494398472542</c:v>
                </c:pt>
                <c:pt idx="10">
                  <c:v>1.2396752412011474</c:v>
                </c:pt>
                <c:pt idx="11">
                  <c:v>1.2492740957918345</c:v>
                </c:pt>
                <c:pt idx="12">
                  <c:v>1.256421103054304</c:v>
                </c:pt>
                <c:pt idx="13">
                  <c:v>1.2597099147411526</c:v>
                </c:pt>
                <c:pt idx="14">
                  <c:v>1.2605794354117321</c:v>
                </c:pt>
                <c:pt idx="15">
                  <c:v>1.265129135228936</c:v>
                </c:pt>
                <c:pt idx="16">
                  <c:v>1.273125762768651</c:v>
                </c:pt>
                <c:pt idx="17">
                  <c:v>1.2772470222643346</c:v>
                </c:pt>
                <c:pt idx="18">
                  <c:v>1.2798558823501263</c:v>
                </c:pt>
                <c:pt idx="19">
                  <c:v>1.2833920181431102</c:v>
                </c:pt>
                <c:pt idx="20">
                  <c:v>1.2860958502942708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58-48E1-86CE-99915E397AA1}"/>
            </c:ext>
          </c:extLst>
        </c:ser>
        <c:ser>
          <c:idx val="18"/>
          <c:order val="18"/>
          <c:tx>
            <c:strRef>
              <c:f>'24 country oil price scenarios'!$AU$5</c:f>
              <c:strCache>
                <c:ptCount val="1"/>
                <c:pt idx="0">
                  <c:v>New Zealand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scenarios'!$AU$6:$AU$26</c:f>
              <c:numCache>
                <c:formatCode>0.00</c:formatCode>
                <c:ptCount val="21"/>
                <c:pt idx="0">
                  <c:v>0.6255247646116362</c:v>
                </c:pt>
                <c:pt idx="1">
                  <c:v>0.74359821096506118</c:v>
                </c:pt>
                <c:pt idx="2">
                  <c:v>0.7687493869971076</c:v>
                </c:pt>
                <c:pt idx="3">
                  <c:v>0.78447130994183967</c:v>
                </c:pt>
                <c:pt idx="4">
                  <c:v>0.81032720656465707</c:v>
                </c:pt>
                <c:pt idx="5">
                  <c:v>0.67021430604476351</c:v>
                </c:pt>
                <c:pt idx="6">
                  <c:v>0.6597737683088265</c:v>
                </c:pt>
                <c:pt idx="7">
                  <c:v>0.67203651272787701</c:v>
                </c:pt>
                <c:pt idx="8">
                  <c:v>0.65505253140300346</c:v>
                </c:pt>
                <c:pt idx="9">
                  <c:v>0.62490261444052586</c:v>
                </c:pt>
                <c:pt idx="10">
                  <c:v>0.62517872828147869</c:v>
                </c:pt>
                <c:pt idx="11">
                  <c:v>0.6333136748620054</c:v>
                </c:pt>
                <c:pt idx="12">
                  <c:v>0.63937070195222001</c:v>
                </c:pt>
                <c:pt idx="13">
                  <c:v>0.6421579415268126</c:v>
                </c:pt>
                <c:pt idx="14">
                  <c:v>0.64289485280502801</c:v>
                </c:pt>
                <c:pt idx="15">
                  <c:v>0.64675068420873449</c:v>
                </c:pt>
                <c:pt idx="16">
                  <c:v>0.65352775716523748</c:v>
                </c:pt>
                <c:pt idx="17">
                  <c:v>0.65702048908706501</c:v>
                </c:pt>
                <c:pt idx="18">
                  <c:v>0.65923147553690364</c:v>
                </c:pt>
                <c:pt idx="19">
                  <c:v>0.66222832016098188</c:v>
                </c:pt>
                <c:pt idx="20">
                  <c:v>0.66451979461812605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58-48E1-86CE-99915E397AA1}"/>
            </c:ext>
          </c:extLst>
        </c:ser>
        <c:ser>
          <c:idx val="19"/>
          <c:order val="19"/>
          <c:tx>
            <c:strRef>
              <c:f>'24 country oil price scenarios'!$AV$5</c:f>
              <c:strCache>
                <c:ptCount val="1"/>
                <c:pt idx="0">
                  <c:v>Norway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scenarios'!$AV$6:$AV$26</c:f>
              <c:numCache>
                <c:formatCode>0.00</c:formatCode>
                <c:ptCount val="21"/>
                <c:pt idx="0">
                  <c:v>1.529457956211431</c:v>
                </c:pt>
                <c:pt idx="1">
                  <c:v>1.7217697297800605</c:v>
                </c:pt>
                <c:pt idx="2">
                  <c:v>1.6810162185018218</c:v>
                </c:pt>
                <c:pt idx="3">
                  <c:v>1.675722148824252</c:v>
                </c:pt>
                <c:pt idx="4">
                  <c:v>1.5795689992313846</c:v>
                </c:pt>
                <c:pt idx="5">
                  <c:v>1.1833047475107834</c:v>
                </c:pt>
                <c:pt idx="6">
                  <c:v>1.1104718452784474</c:v>
                </c:pt>
                <c:pt idx="7">
                  <c:v>1.1703732973588001</c:v>
                </c:pt>
                <c:pt idx="8">
                  <c:v>1.2051871834254722</c:v>
                </c:pt>
                <c:pt idx="9">
                  <c:v>1.1645509284808502</c:v>
                </c:pt>
                <c:pt idx="10">
                  <c:v>1.1650106410279828</c:v>
                </c:pt>
                <c:pt idx="11">
                  <c:v>1.1785548262829397</c:v>
                </c:pt>
                <c:pt idx="12">
                  <c:v>1.1886394035069054</c:v>
                </c:pt>
                <c:pt idx="13">
                  <c:v>1.1932799858112317</c:v>
                </c:pt>
                <c:pt idx="14">
                  <c:v>1.1945068977239057</c:v>
                </c:pt>
                <c:pt idx="15">
                  <c:v>1.200926619639314</c:v>
                </c:pt>
                <c:pt idx="16">
                  <c:v>1.2122100289033597</c:v>
                </c:pt>
                <c:pt idx="17">
                  <c:v>1.2180252125344821</c:v>
                </c:pt>
                <c:pt idx="18">
                  <c:v>1.2217063688612484</c:v>
                </c:pt>
                <c:pt idx="19">
                  <c:v>1.2266959306693128</c:v>
                </c:pt>
                <c:pt idx="20">
                  <c:v>1.2305110945732596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58-48E1-86CE-99915E397AA1}"/>
            </c:ext>
          </c:extLst>
        </c:ser>
        <c:ser>
          <c:idx val="20"/>
          <c:order val="20"/>
          <c:tx>
            <c:strRef>
              <c:f>'24 country oil price scenarios'!$AW$5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scenarios'!$AW$6:$AW$26</c:f>
              <c:numCache>
                <c:formatCode>0.00</c:formatCode>
                <c:ptCount val="21"/>
                <c:pt idx="0">
                  <c:v>0.81179111167051476</c:v>
                </c:pt>
                <c:pt idx="1">
                  <c:v>0.87699604410886411</c:v>
                </c:pt>
                <c:pt idx="2">
                  <c:v>0.8186787515706665</c:v>
                </c:pt>
                <c:pt idx="3">
                  <c:v>0.8932869980410495</c:v>
                </c:pt>
                <c:pt idx="4">
                  <c:v>0.87766550943298693</c:v>
                </c:pt>
                <c:pt idx="5">
                  <c:v>0.70220014847182344</c:v>
                </c:pt>
                <c:pt idx="6">
                  <c:v>0.71138828983042857</c:v>
                </c:pt>
                <c:pt idx="7">
                  <c:v>0.72725059739961206</c:v>
                </c:pt>
                <c:pt idx="8">
                  <c:v>0.76890119944183477</c:v>
                </c:pt>
                <c:pt idx="9">
                  <c:v>0.74986664655466917</c:v>
                </c:pt>
                <c:pt idx="10">
                  <c:v>0.75016753072632869</c:v>
                </c:pt>
                <c:pt idx="11">
                  <c:v>0.75903226802066304</c:v>
                </c:pt>
                <c:pt idx="12">
                  <c:v>0.76563267447790406</c:v>
                </c:pt>
                <c:pt idx="13">
                  <c:v>0.76866995891002077</c:v>
                </c:pt>
                <c:pt idx="14">
                  <c:v>0.76947297892077893</c:v>
                </c:pt>
                <c:pt idx="15">
                  <c:v>0.77367471916661235</c:v>
                </c:pt>
                <c:pt idx="16">
                  <c:v>0.78105976721692716</c:v>
                </c:pt>
                <c:pt idx="17">
                  <c:v>0.78486583411854061</c:v>
                </c:pt>
                <c:pt idx="18">
                  <c:v>0.78727516942826103</c:v>
                </c:pt>
                <c:pt idx="19">
                  <c:v>0.79054086269882129</c:v>
                </c:pt>
                <c:pt idx="20">
                  <c:v>0.79303790664105012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58-48E1-86CE-99915E397AA1}"/>
            </c:ext>
          </c:extLst>
        </c:ser>
        <c:ser>
          <c:idx val="21"/>
          <c:order val="21"/>
          <c:tx>
            <c:strRef>
              <c:f>'24 country oil price scenarios'!$AX$5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scenarios'!$AX$6:$AX$26</c:f>
              <c:numCache>
                <c:formatCode>0.00</c:formatCode>
                <c:ptCount val="21"/>
                <c:pt idx="0">
                  <c:v>1.2120515527574132</c:v>
                </c:pt>
                <c:pt idx="1">
                  <c:v>1.3432857555703259</c:v>
                </c:pt>
                <c:pt idx="2">
                  <c:v>1.3329334751478858</c:v>
                </c:pt>
                <c:pt idx="3">
                  <c:v>1.3708536689434427</c:v>
                </c:pt>
                <c:pt idx="4">
                  <c:v>1.2986299387182476</c:v>
                </c:pt>
                <c:pt idx="5">
                  <c:v>1.0487085414239972</c:v>
                </c:pt>
                <c:pt idx="6">
                  <c:v>1.0819756393522637</c:v>
                </c:pt>
                <c:pt idx="7">
                  <c:v>1.1107344926423495</c:v>
                </c:pt>
                <c:pt idx="8">
                  <c:v>1.0897784443006882</c:v>
                </c:pt>
                <c:pt idx="9">
                  <c:v>1.0488269843182569</c:v>
                </c:pt>
                <c:pt idx="10">
                  <c:v>1.0491922620799725</c:v>
                </c:pt>
                <c:pt idx="11">
                  <c:v>1.059954182121198</c:v>
                </c:pt>
                <c:pt idx="12">
                  <c:v>1.0679671715842716</c:v>
                </c:pt>
                <c:pt idx="13">
                  <c:v>1.0716544790718598</c:v>
                </c:pt>
                <c:pt idx="14">
                  <c:v>1.0726293570474095</c:v>
                </c:pt>
                <c:pt idx="15">
                  <c:v>1.0777303308335768</c:v>
                </c:pt>
                <c:pt idx="16">
                  <c:v>1.0866958866057592</c:v>
                </c:pt>
                <c:pt idx="17">
                  <c:v>1.0913165071957116</c:v>
                </c:pt>
                <c:pt idx="18">
                  <c:v>1.0942414753131857</c:v>
                </c:pt>
                <c:pt idx="19">
                  <c:v>1.0982060744535798</c:v>
                </c:pt>
                <c:pt idx="20">
                  <c:v>1.1012375221269213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58-48E1-86CE-99915E397AA1}"/>
            </c:ext>
          </c:extLst>
        </c:ser>
        <c:ser>
          <c:idx val="22"/>
          <c:order val="22"/>
          <c:tx>
            <c:strRef>
              <c:f>'24 country oil price scenarios'!$AY$5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scenarios'!$AY$6:$AY$26</c:f>
              <c:numCache>
                <c:formatCode>0.00</c:formatCode>
                <c:ptCount val="21"/>
                <c:pt idx="0">
                  <c:v>0.8223989961999002</c:v>
                </c:pt>
                <c:pt idx="1">
                  <c:v>0.98062999475495483</c:v>
                </c:pt>
                <c:pt idx="2">
                  <c:v>0.93731477559825849</c:v>
                </c:pt>
                <c:pt idx="3">
                  <c:v>0.94769213004522956</c:v>
                </c:pt>
                <c:pt idx="4">
                  <c:v>0.94886664223666028</c:v>
                </c:pt>
                <c:pt idx="5">
                  <c:v>0.90029000649274793</c:v>
                </c:pt>
                <c:pt idx="6">
                  <c:v>0.87733117286290385</c:v>
                </c:pt>
                <c:pt idx="7">
                  <c:v>0.88128220622323661</c:v>
                </c:pt>
                <c:pt idx="8">
                  <c:v>0.88741958690126632</c:v>
                </c:pt>
                <c:pt idx="9">
                  <c:v>0.88583978777043582</c:v>
                </c:pt>
                <c:pt idx="10">
                  <c:v>0.88595867444655585</c:v>
                </c:pt>
                <c:pt idx="11">
                  <c:v>0.88946134840174373</c:v>
                </c:pt>
                <c:pt idx="12">
                  <c:v>0.8920693300061403</c:v>
                </c:pt>
                <c:pt idx="13">
                  <c:v>0.89326943517808632</c:v>
                </c:pt>
                <c:pt idx="14">
                  <c:v>0.89358672797355077</c:v>
                </c:pt>
                <c:pt idx="15">
                  <c:v>0.89524693804372979</c:v>
                </c:pt>
                <c:pt idx="16">
                  <c:v>0.89816495068243274</c:v>
                </c:pt>
                <c:pt idx="17">
                  <c:v>0.89966882056208552</c:v>
                </c:pt>
                <c:pt idx="18">
                  <c:v>0.90062080771731312</c:v>
                </c:pt>
                <c:pt idx="19">
                  <c:v>0.90191116279323114</c:v>
                </c:pt>
                <c:pt idx="20">
                  <c:v>0.90289780576876455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58-48E1-86CE-99915E397AA1}"/>
            </c:ext>
          </c:extLst>
        </c:ser>
        <c:ser>
          <c:idx val="23"/>
          <c:order val="23"/>
          <c:tx>
            <c:strRef>
              <c:f>'24 country oil price scenarios'!$AZ$5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scenarios'!$AB$6:$AB$26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scenarios'!$AZ$6:$AZ$26</c:f>
              <c:numCache>
                <c:formatCode>0.00</c:formatCode>
                <c:ptCount val="21"/>
                <c:pt idx="0">
                  <c:v>0.1226501559989216</c:v>
                </c:pt>
                <c:pt idx="1">
                  <c:v>0.11762357730887496</c:v>
                </c:pt>
                <c:pt idx="2">
                  <c:v>0.11602501281942054</c:v>
                </c:pt>
                <c:pt idx="3">
                  <c:v>0.11517403296843509</c:v>
                </c:pt>
                <c:pt idx="4">
                  <c:v>0.11517434723399939</c:v>
                </c:pt>
                <c:pt idx="5">
                  <c:v>0.12188009676040858</c:v>
                </c:pt>
                <c:pt idx="6">
                  <c:v>0.12039745457538836</c:v>
                </c:pt>
                <c:pt idx="7">
                  <c:v>0.12009301280030928</c:v>
                </c:pt>
                <c:pt idx="8">
                  <c:v>0.11696695110030909</c:v>
                </c:pt>
                <c:pt idx="9">
                  <c:v>0.11696695110030909</c:v>
                </c:pt>
                <c:pt idx="10">
                  <c:v>0.11696695110030909</c:v>
                </c:pt>
                <c:pt idx="11">
                  <c:v>0.11696695110030909</c:v>
                </c:pt>
                <c:pt idx="12">
                  <c:v>0.11696695110030909</c:v>
                </c:pt>
                <c:pt idx="13">
                  <c:v>0.11696695110030909</c:v>
                </c:pt>
                <c:pt idx="14">
                  <c:v>0.11696695110030909</c:v>
                </c:pt>
                <c:pt idx="15">
                  <c:v>0.11696695110030909</c:v>
                </c:pt>
                <c:pt idx="16">
                  <c:v>0.11696695110030909</c:v>
                </c:pt>
                <c:pt idx="17">
                  <c:v>0.11696695110030909</c:v>
                </c:pt>
                <c:pt idx="18">
                  <c:v>0.11696695110030909</c:v>
                </c:pt>
                <c:pt idx="19">
                  <c:v>0.11696695110030909</c:v>
                </c:pt>
                <c:pt idx="20">
                  <c:v>0.11696695110030909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58-48E1-86CE-99915E397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3905064"/>
        <c:axId val="773905392"/>
      </c:lineChart>
      <c:catAx>
        <c:axId val="7739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3905392"/>
        <c:crosses val="autoZero"/>
        <c:auto val="1"/>
        <c:lblAlgn val="ctr"/>
        <c:lblOffset val="100"/>
        <c:noMultiLvlLbl val="0"/>
      </c:catAx>
      <c:valAx>
        <c:axId val="77390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 dollars per litre</a:t>
                </a:r>
              </a:p>
            </c:rich>
          </c:tx>
          <c:layout>
            <c:manualLayout>
              <c:xMode val="edge"/>
              <c:yMode val="edge"/>
              <c:x val="1.1086489985844212E-2"/>
              <c:y val="0.326164838001807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390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'24 country oil price scenarios'!$B$80</c:f>
              <c:strCache>
                <c:ptCount val="1"/>
                <c:pt idx="0">
                  <c:v> Australia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scenarios'!$B$81:$B$101</c:f>
              <c:numCache>
                <c:formatCode>0.00</c:formatCode>
                <c:ptCount val="21"/>
                <c:pt idx="0">
                  <c:v>1.3908390131730575</c:v>
                </c:pt>
                <c:pt idx="1">
                  <c:v>1.6738387544215201</c:v>
                </c:pt>
                <c:pt idx="2">
                  <c:v>1.6640110230886334</c:v>
                </c:pt>
                <c:pt idx="3">
                  <c:v>1.5414390996949636</c:v>
                </c:pt>
                <c:pt idx="4">
                  <c:v>1.3994760809034159</c:v>
                </c:pt>
                <c:pt idx="5">
                  <c:v>0.96486146769278369</c:v>
                </c:pt>
                <c:pt idx="6">
                  <c:v>0.90309155065694291</c:v>
                </c:pt>
                <c:pt idx="7">
                  <c:v>0.99169914140477056</c:v>
                </c:pt>
                <c:pt idx="8">
                  <c:v>1.0680261449170629</c:v>
                </c:pt>
                <c:pt idx="9">
                  <c:v>1.2505443263780163</c:v>
                </c:pt>
                <c:pt idx="10">
                  <c:v>1.3519711302824966</c:v>
                </c:pt>
                <c:pt idx="11">
                  <c:v>1.4593642167695928</c:v>
                </c:pt>
                <c:pt idx="12">
                  <c:v>1.507094477430525</c:v>
                </c:pt>
                <c:pt idx="13">
                  <c:v>1.5428921729262239</c:v>
                </c:pt>
                <c:pt idx="14">
                  <c:v>1.572723585839306</c:v>
                </c:pt>
                <c:pt idx="15">
                  <c:v>1.6025549987523884</c:v>
                </c:pt>
                <c:pt idx="16">
                  <c:v>1.6323864116654714</c:v>
                </c:pt>
                <c:pt idx="17">
                  <c:v>1.6622178245785535</c:v>
                </c:pt>
                <c:pt idx="18">
                  <c:v>1.6860829549090195</c:v>
                </c:pt>
                <c:pt idx="19">
                  <c:v>1.7159143678221016</c:v>
                </c:pt>
                <c:pt idx="20">
                  <c:v>1.7338132155699508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E-4B38-9E80-A3563F3D33C7}"/>
            </c:ext>
          </c:extLst>
        </c:ser>
        <c:ser>
          <c:idx val="1"/>
          <c:order val="1"/>
          <c:tx>
            <c:strRef>
              <c:f>'24 country oil price scenarios'!$C$80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scenarios'!$C$81:$C$101</c:f>
              <c:numCache>
                <c:formatCode>0.00</c:formatCode>
                <c:ptCount val="21"/>
                <c:pt idx="0">
                  <c:v>1.8707930826715251</c:v>
                </c:pt>
                <c:pt idx="1">
                  <c:v>2.2015184550151008</c:v>
                </c:pt>
                <c:pt idx="2">
                  <c:v>2.0703064743017996</c:v>
                </c:pt>
                <c:pt idx="3">
                  <c:v>1.991547878783257</c:v>
                </c:pt>
                <c:pt idx="4">
                  <c:v>1.8876630863879096</c:v>
                </c:pt>
                <c:pt idx="5">
                  <c:v>1.3486039746997904</c:v>
                </c:pt>
                <c:pt idx="6">
                  <c:v>1.2768000920990565</c:v>
                </c:pt>
                <c:pt idx="7">
                  <c:v>1.3604224075854836</c:v>
                </c:pt>
                <c:pt idx="8">
                  <c:v>1.5082478725263737</c:v>
                </c:pt>
                <c:pt idx="9">
                  <c:v>1.7206669480952588</c:v>
                </c:pt>
                <c:pt idx="10">
                  <c:v>1.8347272464436861</c:v>
                </c:pt>
                <c:pt idx="11">
                  <c:v>1.9554969741067267</c:v>
                </c:pt>
                <c:pt idx="12">
                  <c:v>2.0091724086236344</c:v>
                </c:pt>
                <c:pt idx="13">
                  <c:v>2.0494289845113145</c:v>
                </c:pt>
                <c:pt idx="14">
                  <c:v>2.0829761310843815</c:v>
                </c:pt>
                <c:pt idx="15">
                  <c:v>2.1165232776574485</c:v>
                </c:pt>
                <c:pt idx="16">
                  <c:v>2.1500704242305151</c:v>
                </c:pt>
                <c:pt idx="17">
                  <c:v>2.1836175708035821</c:v>
                </c:pt>
                <c:pt idx="18">
                  <c:v>2.2104552880620361</c:v>
                </c:pt>
                <c:pt idx="19">
                  <c:v>2.2440024346351022</c:v>
                </c:pt>
                <c:pt idx="20">
                  <c:v>2.2641307225789427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E-4B38-9E80-A3563F3D33C7}"/>
            </c:ext>
          </c:extLst>
        </c:ser>
        <c:ser>
          <c:idx val="2"/>
          <c:order val="2"/>
          <c:tx>
            <c:strRef>
              <c:f>'24 country oil price scenarios'!$D$80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scenarios'!$D$81:$D$101</c:f>
              <c:numCache>
                <c:formatCode>0.00</c:formatCode>
                <c:ptCount val="21"/>
                <c:pt idx="0">
                  <c:v>2.2153738295867189</c:v>
                </c:pt>
                <c:pt idx="1">
                  <c:v>2.5084899204100859</c:v>
                </c:pt>
                <c:pt idx="2">
                  <c:v>2.3536061032996445</c:v>
                </c:pt>
                <c:pt idx="3">
                  <c:v>2.3413100783772207</c:v>
                </c:pt>
                <c:pt idx="4">
                  <c:v>2.2401918654663113</c:v>
                </c:pt>
                <c:pt idx="5">
                  <c:v>1.6023948367473415</c:v>
                </c:pt>
                <c:pt idx="6">
                  <c:v>1.5058319793914923</c:v>
                </c:pt>
                <c:pt idx="7">
                  <c:v>1.5968202246410124</c:v>
                </c:pt>
                <c:pt idx="8">
                  <c:v>1.7866683533036822</c:v>
                </c:pt>
                <c:pt idx="9">
                  <c:v>2.0409597974361913</c:v>
                </c:pt>
                <c:pt idx="10">
                  <c:v>2.1773375064041853</c:v>
                </c:pt>
                <c:pt idx="11">
                  <c:v>2.3217374335467658</c:v>
                </c:pt>
                <c:pt idx="12">
                  <c:v>2.3859151789434696</c:v>
                </c:pt>
                <c:pt idx="13">
                  <c:v>2.4340484879909958</c:v>
                </c:pt>
                <c:pt idx="14">
                  <c:v>2.4741595788639357</c:v>
                </c:pt>
                <c:pt idx="15">
                  <c:v>2.5142706697368742</c:v>
                </c:pt>
                <c:pt idx="16">
                  <c:v>2.554381760609814</c:v>
                </c:pt>
                <c:pt idx="17">
                  <c:v>2.5944928514827534</c:v>
                </c:pt>
                <c:pt idx="18">
                  <c:v>2.6265817241811047</c:v>
                </c:pt>
                <c:pt idx="19">
                  <c:v>2.6666928150540432</c:v>
                </c:pt>
                <c:pt idx="20">
                  <c:v>2.6907594695778068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E-4B38-9E80-A3563F3D33C7}"/>
            </c:ext>
          </c:extLst>
        </c:ser>
        <c:ser>
          <c:idx val="3"/>
          <c:order val="3"/>
          <c:tx>
            <c:strRef>
              <c:f>'24 country oil price scenarios'!$E$80</c:f>
              <c:strCache>
                <c:ptCount val="1"/>
                <c:pt idx="0">
                  <c:v>Britain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scenarios'!$E$81:$E$101</c:f>
              <c:numCache>
                <c:formatCode>0.00</c:formatCode>
                <c:ptCount val="21"/>
                <c:pt idx="0">
                  <c:v>2.1427069775087957</c:v>
                </c:pt>
                <c:pt idx="1">
                  <c:v>2.4248919009848193</c:v>
                </c:pt>
                <c:pt idx="2">
                  <c:v>2.3658485220685757</c:v>
                </c:pt>
                <c:pt idx="3">
                  <c:v>2.2607692605976508</c:v>
                </c:pt>
                <c:pt idx="4">
                  <c:v>2.238215711091105</c:v>
                </c:pt>
                <c:pt idx="5">
                  <c:v>1.7843892713878355</c:v>
                </c:pt>
                <c:pt idx="6">
                  <c:v>1.5381563499381654</c:v>
                </c:pt>
                <c:pt idx="7">
                  <c:v>1.5438288769690125</c:v>
                </c:pt>
                <c:pt idx="8">
                  <c:v>1.6747512456919096</c:v>
                </c:pt>
                <c:pt idx="9">
                  <c:v>1.878967852445758</c:v>
                </c:pt>
                <c:pt idx="10">
                  <c:v>1.9961860433953811</c:v>
                </c:pt>
                <c:pt idx="11">
                  <c:v>2.1202994220479225</c:v>
                </c:pt>
                <c:pt idx="12">
                  <c:v>2.1754609236712752</c:v>
                </c:pt>
                <c:pt idx="13">
                  <c:v>2.2168320498887888</c:v>
                </c:pt>
                <c:pt idx="14">
                  <c:v>2.2513079884033838</c:v>
                </c:pt>
                <c:pt idx="15">
                  <c:v>2.2857839269179787</c:v>
                </c:pt>
                <c:pt idx="16">
                  <c:v>2.3202598654325741</c:v>
                </c:pt>
                <c:pt idx="17">
                  <c:v>2.3547358039471686</c:v>
                </c:pt>
                <c:pt idx="18">
                  <c:v>2.3823165547588445</c:v>
                </c:pt>
                <c:pt idx="19">
                  <c:v>2.4167924932734399</c:v>
                </c:pt>
                <c:pt idx="20">
                  <c:v>2.4374780563821972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E-4B38-9E80-A3563F3D33C7}"/>
            </c:ext>
          </c:extLst>
        </c:ser>
        <c:ser>
          <c:idx val="4"/>
          <c:order val="4"/>
          <c:tx>
            <c:strRef>
              <c:f>'24 country oil price scenarios'!$F$80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scenarios'!$F$81:$F$101</c:f>
              <c:numCache>
                <c:formatCode>0.00</c:formatCode>
                <c:ptCount val="21"/>
                <c:pt idx="0">
                  <c:v>1.1432739847114597</c:v>
                </c:pt>
                <c:pt idx="1">
                  <c:v>1.3920006577288802</c:v>
                </c:pt>
                <c:pt idx="2">
                  <c:v>1.3909668873084264</c:v>
                </c:pt>
                <c:pt idx="3">
                  <c:v>1.3453190957089272</c:v>
                </c:pt>
                <c:pt idx="4">
                  <c:v>1.2329695098973878</c:v>
                </c:pt>
                <c:pt idx="5">
                  <c:v>0.8734022282330669</c:v>
                </c:pt>
                <c:pt idx="6">
                  <c:v>0.80815440987623133</c:v>
                </c:pt>
                <c:pt idx="7">
                  <c:v>0.87960777039051019</c:v>
                </c:pt>
                <c:pt idx="8">
                  <c:v>0.9584569538070109</c:v>
                </c:pt>
                <c:pt idx="9">
                  <c:v>1.1329119532492944</c:v>
                </c:pt>
                <c:pt idx="10">
                  <c:v>1.2223311506396624</c:v>
                </c:pt>
                <c:pt idx="11">
                  <c:v>1.3170103008176988</c:v>
                </c:pt>
                <c:pt idx="12">
                  <c:v>1.3590899231190487</c:v>
                </c:pt>
                <c:pt idx="13">
                  <c:v>1.390649639845061</c:v>
                </c:pt>
                <c:pt idx="14">
                  <c:v>1.4169494037834047</c:v>
                </c:pt>
                <c:pt idx="15">
                  <c:v>1.4432491677217483</c:v>
                </c:pt>
                <c:pt idx="16">
                  <c:v>1.4695489316600918</c:v>
                </c:pt>
                <c:pt idx="17">
                  <c:v>1.4958486955984351</c:v>
                </c:pt>
                <c:pt idx="18">
                  <c:v>1.51688850674911</c:v>
                </c:pt>
                <c:pt idx="19">
                  <c:v>1.5431882706874536</c:v>
                </c:pt>
                <c:pt idx="20">
                  <c:v>1.5589681290504596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E-4B38-9E80-A3563F3D33C7}"/>
            </c:ext>
          </c:extLst>
        </c:ser>
        <c:ser>
          <c:idx val="5"/>
          <c:order val="5"/>
          <c:tx>
            <c:strRef>
              <c:f>'24 country oil price scenarios'!$G$80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scenarios'!$G$81:$G$101</c:f>
              <c:numCache>
                <c:formatCode>0.00</c:formatCode>
                <c:ptCount val="21"/>
                <c:pt idx="0">
                  <c:v>1.23327478505953</c:v>
                </c:pt>
                <c:pt idx="1">
                  <c:v>1.3602991562221276</c:v>
                </c:pt>
                <c:pt idx="2">
                  <c:v>1.366181466338348</c:v>
                </c:pt>
                <c:pt idx="3">
                  <c:v>1.3221308587000267</c:v>
                </c:pt>
                <c:pt idx="4">
                  <c:v>1.2654327970311181</c:v>
                </c:pt>
                <c:pt idx="5">
                  <c:v>0.87994703043334022</c:v>
                </c:pt>
                <c:pt idx="6">
                  <c:v>0.76520910830949473</c:v>
                </c:pt>
                <c:pt idx="7">
                  <c:v>0.73559480675450084</c:v>
                </c:pt>
                <c:pt idx="8">
                  <c:v>0.86045609790939814</c:v>
                </c:pt>
                <c:pt idx="9">
                  <c:v>1.1176058240282538</c:v>
                </c:pt>
                <c:pt idx="10">
                  <c:v>1.249506628251172</c:v>
                </c:pt>
                <c:pt idx="11">
                  <c:v>1.3891663033107322</c:v>
                </c:pt>
                <c:pt idx="12">
                  <c:v>1.4512372700038703</c:v>
                </c:pt>
                <c:pt idx="13">
                  <c:v>1.497790495023724</c:v>
                </c:pt>
                <c:pt idx="14">
                  <c:v>1.5365848492069352</c:v>
                </c:pt>
                <c:pt idx="15">
                  <c:v>1.5753792033901461</c:v>
                </c:pt>
                <c:pt idx="16">
                  <c:v>1.614173557573358</c:v>
                </c:pt>
                <c:pt idx="17">
                  <c:v>1.652967911756569</c:v>
                </c:pt>
                <c:pt idx="18">
                  <c:v>1.6840033951031383</c:v>
                </c:pt>
                <c:pt idx="19">
                  <c:v>1.7227977492863493</c:v>
                </c:pt>
                <c:pt idx="20">
                  <c:v>1.7460743617962753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E-4B38-9E80-A3563F3D33C7}"/>
            </c:ext>
          </c:extLst>
        </c:ser>
        <c:ser>
          <c:idx val="6"/>
          <c:order val="6"/>
          <c:tx>
            <c:strRef>
              <c:f>'24 country oil price scenarios'!$H$80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scenarios'!$H$81:$H$101</c:f>
              <c:numCache>
                <c:formatCode>0.00</c:formatCode>
                <c:ptCount val="21"/>
                <c:pt idx="0">
                  <c:v>2.1556972216159211</c:v>
                </c:pt>
                <c:pt idx="1">
                  <c:v>2.4208160958803786</c:v>
                </c:pt>
                <c:pt idx="2">
                  <c:v>2.2937389861943815</c:v>
                </c:pt>
                <c:pt idx="3">
                  <c:v>2.2978514275422408</c:v>
                </c:pt>
                <c:pt idx="4">
                  <c:v>2.2483751777072056</c:v>
                </c:pt>
                <c:pt idx="5">
                  <c:v>1.6507304233395825</c:v>
                </c:pt>
                <c:pt idx="6">
                  <c:v>1.5859145949344846</c:v>
                </c:pt>
                <c:pt idx="7">
                  <c:v>1.6858367043558278</c:v>
                </c:pt>
                <c:pt idx="8">
                  <c:v>1.871198157870779</c:v>
                </c:pt>
                <c:pt idx="9">
                  <c:v>2.1019846444932586</c:v>
                </c:pt>
                <c:pt idx="10">
                  <c:v>2.2287050672229101</c:v>
                </c:pt>
                <c:pt idx="11">
                  <c:v>2.3628796324660697</c:v>
                </c:pt>
                <c:pt idx="12">
                  <c:v>2.4225127725741418</c:v>
                </c:pt>
                <c:pt idx="13">
                  <c:v>2.4672376276551948</c:v>
                </c:pt>
                <c:pt idx="14">
                  <c:v>2.5045083402227397</c:v>
                </c:pt>
                <c:pt idx="15">
                  <c:v>2.5417790527902842</c:v>
                </c:pt>
                <c:pt idx="16">
                  <c:v>2.5790497653578286</c:v>
                </c:pt>
                <c:pt idx="17">
                  <c:v>2.616320477925373</c:v>
                </c:pt>
                <c:pt idx="18">
                  <c:v>2.6461370479794084</c:v>
                </c:pt>
                <c:pt idx="19">
                  <c:v>2.6834077605469533</c:v>
                </c:pt>
                <c:pt idx="20">
                  <c:v>2.70577018808748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1E-4B38-9E80-A3563F3D33C7}"/>
            </c:ext>
          </c:extLst>
        </c:ser>
        <c:ser>
          <c:idx val="7"/>
          <c:order val="7"/>
          <c:tx>
            <c:strRef>
              <c:f>'24 country oil price scenarios'!$I$80</c:f>
              <c:strCache>
                <c:ptCount val="1"/>
                <c:pt idx="0">
                  <c:v>Finland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scenarios'!$I$81:$I$101</c:f>
              <c:numCache>
                <c:formatCode>0.00</c:formatCode>
                <c:ptCount val="21"/>
                <c:pt idx="0">
                  <c:v>2.0441088035613761</c:v>
                </c:pt>
                <c:pt idx="1">
                  <c:v>2.3203989194910122</c:v>
                </c:pt>
                <c:pt idx="2">
                  <c:v>2.2082197760202957</c:v>
                </c:pt>
                <c:pt idx="3">
                  <c:v>2.2156090647278557</c:v>
                </c:pt>
                <c:pt idx="4">
                  <c:v>2.1544755485369795</c:v>
                </c:pt>
                <c:pt idx="5">
                  <c:v>1.5979121585685041</c:v>
                </c:pt>
                <c:pt idx="6">
                  <c:v>1.5300562666356354</c:v>
                </c:pt>
                <c:pt idx="7">
                  <c:v>1.6609629385559455</c:v>
                </c:pt>
                <c:pt idx="8">
                  <c:v>1.8332317369986706</c:v>
                </c:pt>
                <c:pt idx="9">
                  <c:v>2.046127036906964</c:v>
                </c:pt>
                <c:pt idx="10">
                  <c:v>2.1632751324400772</c:v>
                </c:pt>
                <c:pt idx="11">
                  <c:v>2.2873142924163141</c:v>
                </c:pt>
                <c:pt idx="12">
                  <c:v>2.3424428079613091</c:v>
                </c:pt>
                <c:pt idx="13">
                  <c:v>2.3837891946200549</c:v>
                </c:pt>
                <c:pt idx="14">
                  <c:v>2.4182445168356765</c:v>
                </c:pt>
                <c:pt idx="15">
                  <c:v>2.4526998390512977</c:v>
                </c:pt>
                <c:pt idx="16">
                  <c:v>2.4871551612669194</c:v>
                </c:pt>
                <c:pt idx="17">
                  <c:v>2.521610483482541</c:v>
                </c:pt>
                <c:pt idx="18">
                  <c:v>2.549174741255039</c:v>
                </c:pt>
                <c:pt idx="19">
                  <c:v>2.5836300634706602</c:v>
                </c:pt>
                <c:pt idx="20">
                  <c:v>2.6043032568000326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1E-4B38-9E80-A3563F3D33C7}"/>
            </c:ext>
          </c:extLst>
        </c:ser>
        <c:ser>
          <c:idx val="8"/>
          <c:order val="8"/>
          <c:tx>
            <c:strRef>
              <c:f>'24 country oil price scenarios'!$J$80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scenarios'!$J$81:$J$101</c:f>
              <c:numCache>
                <c:formatCode>0.00</c:formatCode>
                <c:ptCount val="21"/>
                <c:pt idx="0">
                  <c:v>1.9765607645483878</c:v>
                </c:pt>
                <c:pt idx="1">
                  <c:v>2.2558661813150254</c:v>
                </c:pt>
                <c:pt idx="2">
                  <c:v>2.1159076220993764</c:v>
                </c:pt>
                <c:pt idx="3">
                  <c:v>2.1273545137483207</c:v>
                </c:pt>
                <c:pt idx="4">
                  <c:v>2.0454280743622251</c:v>
                </c:pt>
                <c:pt idx="5">
                  <c:v>1.5130564592228852</c:v>
                </c:pt>
                <c:pt idx="6">
                  <c:v>1.4698574174746835</c:v>
                </c:pt>
                <c:pt idx="7">
                  <c:v>1.584060143700724</c:v>
                </c:pt>
                <c:pt idx="8">
                  <c:v>1.7424053608904768</c:v>
                </c:pt>
                <c:pt idx="9">
                  <c:v>1.9578760290941373</c:v>
                </c:pt>
                <c:pt idx="10">
                  <c:v>2.0754461299972893</c:v>
                </c:pt>
                <c:pt idx="11">
                  <c:v>2.1999321191888619</c:v>
                </c:pt>
                <c:pt idx="12">
                  <c:v>2.2552592254962276</c:v>
                </c:pt>
                <c:pt idx="13">
                  <c:v>2.2967545552267521</c:v>
                </c:pt>
                <c:pt idx="14">
                  <c:v>2.3313339966688558</c:v>
                </c:pt>
                <c:pt idx="15">
                  <c:v>2.3659134381109586</c:v>
                </c:pt>
                <c:pt idx="16">
                  <c:v>2.4004928795530622</c:v>
                </c:pt>
                <c:pt idx="17">
                  <c:v>2.4350723209951659</c:v>
                </c:pt>
                <c:pt idx="18">
                  <c:v>2.4627358741488488</c:v>
                </c:pt>
                <c:pt idx="19">
                  <c:v>2.497315315590952</c:v>
                </c:pt>
                <c:pt idx="20">
                  <c:v>2.5180629804562136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E-4B38-9E80-A3563F3D33C7}"/>
            </c:ext>
          </c:extLst>
        </c:ser>
        <c:ser>
          <c:idx val="9"/>
          <c:order val="9"/>
          <c:tx>
            <c:strRef>
              <c:f>'24 country oil price scenarios'!$K$80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scenarios'!$K$81:$K$101</c:f>
              <c:numCache>
                <c:formatCode>0.00</c:formatCode>
                <c:ptCount val="21"/>
                <c:pt idx="0">
                  <c:v>2.0340818784046286</c:v>
                </c:pt>
                <c:pt idx="1">
                  <c:v>2.307112573984079</c:v>
                </c:pt>
                <c:pt idx="2">
                  <c:v>2.2311309052927264</c:v>
                </c:pt>
                <c:pt idx="3">
                  <c:v>2.2200028732663157</c:v>
                </c:pt>
                <c:pt idx="4">
                  <c:v>2.1233951673300639</c:v>
                </c:pt>
                <c:pt idx="5">
                  <c:v>1.5534787603110531</c:v>
                </c:pt>
                <c:pt idx="6">
                  <c:v>1.4842980401095898</c:v>
                </c:pt>
                <c:pt idx="7">
                  <c:v>1.5722603564102866</c:v>
                </c:pt>
                <c:pt idx="8">
                  <c:v>1.7445776941790199</c:v>
                </c:pt>
                <c:pt idx="9">
                  <c:v>1.9545240420584189</c:v>
                </c:pt>
                <c:pt idx="10">
                  <c:v>2.0694923581816673</c:v>
                </c:pt>
                <c:pt idx="11">
                  <c:v>2.1912235164298122</c:v>
                </c:pt>
                <c:pt idx="12">
                  <c:v>2.245326253428988</c:v>
                </c:pt>
                <c:pt idx="13">
                  <c:v>2.2859033061783691</c:v>
                </c:pt>
                <c:pt idx="14">
                  <c:v>2.3197175168028541</c:v>
                </c:pt>
                <c:pt idx="15">
                  <c:v>2.3535317274273391</c:v>
                </c:pt>
                <c:pt idx="16">
                  <c:v>2.387345938051824</c:v>
                </c:pt>
                <c:pt idx="17">
                  <c:v>2.4211601486763077</c:v>
                </c:pt>
                <c:pt idx="18">
                  <c:v>2.4482115171758965</c:v>
                </c:pt>
                <c:pt idx="19">
                  <c:v>2.482025727800381</c:v>
                </c:pt>
                <c:pt idx="20">
                  <c:v>2.5023142541750723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E-4B38-9E80-A3563F3D33C7}"/>
            </c:ext>
          </c:extLst>
        </c:ser>
        <c:ser>
          <c:idx val="10"/>
          <c:order val="10"/>
          <c:tx>
            <c:strRef>
              <c:f>'24 country oil price scenarios'!$L$80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scenarios'!$L$81:$L$101</c:f>
              <c:numCache>
                <c:formatCode>0.00</c:formatCode>
                <c:ptCount val="21"/>
                <c:pt idx="0">
                  <c:v>1.9519919186178909</c:v>
                </c:pt>
                <c:pt idx="1">
                  <c:v>2.3000686584798373</c:v>
                </c:pt>
                <c:pt idx="2">
                  <c:v>2.1664431545133014</c:v>
                </c:pt>
                <c:pt idx="3">
                  <c:v>2.2033181783343831</c:v>
                </c:pt>
                <c:pt idx="4">
                  <c:v>2.1520059991869456</c:v>
                </c:pt>
                <c:pt idx="5">
                  <c:v>1.6209661675058051</c:v>
                </c:pt>
                <c:pt idx="6">
                  <c:v>1.5778392160801751</c:v>
                </c:pt>
                <c:pt idx="7">
                  <c:v>1.7191426630177877</c:v>
                </c:pt>
                <c:pt idx="8">
                  <c:v>1.9283357929067255</c:v>
                </c:pt>
                <c:pt idx="9">
                  <c:v>2.1228094143203076</c:v>
                </c:pt>
                <c:pt idx="10">
                  <c:v>2.2320551767521439</c:v>
                </c:pt>
                <c:pt idx="11">
                  <c:v>2.3477271605034988</c:v>
                </c:pt>
                <c:pt idx="12">
                  <c:v>2.3991369310596578</c:v>
                </c:pt>
                <c:pt idx="13">
                  <c:v>2.4376942589767756</c:v>
                </c:pt>
                <c:pt idx="14">
                  <c:v>2.4698253655743745</c:v>
                </c:pt>
                <c:pt idx="15">
                  <c:v>2.5019564721719734</c:v>
                </c:pt>
                <c:pt idx="16">
                  <c:v>2.5340875787695722</c:v>
                </c:pt>
                <c:pt idx="17">
                  <c:v>2.5662186853671707</c:v>
                </c:pt>
                <c:pt idx="18">
                  <c:v>2.5919235706452501</c:v>
                </c:pt>
                <c:pt idx="19">
                  <c:v>2.6240546772428486</c:v>
                </c:pt>
                <c:pt idx="20">
                  <c:v>2.6433333412014073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1E-4B38-9E80-A3563F3D33C7}"/>
            </c:ext>
          </c:extLst>
        </c:ser>
        <c:ser>
          <c:idx val="11"/>
          <c:order val="11"/>
          <c:tx>
            <c:strRef>
              <c:f>'24 country oil price scenarios'!$M$80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scenarios'!$M$81:$M$101</c:f>
              <c:numCache>
                <c:formatCode>0.00</c:formatCode>
                <c:ptCount val="21"/>
                <c:pt idx="0">
                  <c:v>1.9556018875804566</c:v>
                </c:pt>
                <c:pt idx="1">
                  <c:v>2.1694589927122108</c:v>
                </c:pt>
                <c:pt idx="2">
                  <c:v>2.086426553048875</c:v>
                </c:pt>
                <c:pt idx="3">
                  <c:v>1.9948430684941614</c:v>
                </c:pt>
                <c:pt idx="4">
                  <c:v>1.873337847139052</c:v>
                </c:pt>
                <c:pt idx="5">
                  <c:v>1.3365409117939311</c:v>
                </c:pt>
                <c:pt idx="6">
                  <c:v>1.2442746322962344</c:v>
                </c:pt>
                <c:pt idx="7">
                  <c:v>1.3311828581232261</c:v>
                </c:pt>
                <c:pt idx="8">
                  <c:v>1.4424101093491213</c:v>
                </c:pt>
                <c:pt idx="9">
                  <c:v>1.6347896621258684</c:v>
                </c:pt>
                <c:pt idx="10">
                  <c:v>1.7495464719468401</c:v>
                </c:pt>
                <c:pt idx="11">
                  <c:v>1.8710536823455159</c:v>
                </c:pt>
                <c:pt idx="12">
                  <c:v>1.9250568869671505</c:v>
                </c:pt>
                <c:pt idx="13">
                  <c:v>1.9655592904333754</c:v>
                </c:pt>
                <c:pt idx="14">
                  <c:v>1.9993112933218968</c:v>
                </c:pt>
                <c:pt idx="15">
                  <c:v>2.0330632962104178</c:v>
                </c:pt>
                <c:pt idx="16">
                  <c:v>2.066815299098939</c:v>
                </c:pt>
                <c:pt idx="17">
                  <c:v>2.1005673019874602</c:v>
                </c:pt>
                <c:pt idx="18">
                  <c:v>2.1275689042982773</c:v>
                </c:pt>
                <c:pt idx="19">
                  <c:v>2.1613209071867985</c:v>
                </c:pt>
                <c:pt idx="20">
                  <c:v>2.1815721089199109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1E-4B38-9E80-A3563F3D33C7}"/>
            </c:ext>
          </c:extLst>
        </c:ser>
        <c:ser>
          <c:idx val="12"/>
          <c:order val="12"/>
          <c:tx>
            <c:strRef>
              <c:f>'24 country oil price scenarios'!$N$80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scenarios'!$N$81:$N$101</c:f>
              <c:numCache>
                <c:formatCode>0.00</c:formatCode>
                <c:ptCount val="21"/>
                <c:pt idx="0">
                  <c:v>1.834387664013289</c:v>
                </c:pt>
                <c:pt idx="1">
                  <c:v>2.0193850361030927</c:v>
                </c:pt>
                <c:pt idx="2">
                  <c:v>1.7993658690722196</c:v>
                </c:pt>
                <c:pt idx="3">
                  <c:v>1.4724062061201761</c:v>
                </c:pt>
                <c:pt idx="4">
                  <c:v>1.2989241481192659</c:v>
                </c:pt>
                <c:pt idx="5">
                  <c:v>1.043718710368694</c:v>
                </c:pt>
                <c:pt idx="6">
                  <c:v>1.0132067867531689</c:v>
                </c:pt>
                <c:pt idx="7">
                  <c:v>1.0968313900575586</c:v>
                </c:pt>
                <c:pt idx="8">
                  <c:v>1.1295988676734776</c:v>
                </c:pt>
                <c:pt idx="9">
                  <c:v>1.3708287891632278</c:v>
                </c:pt>
                <c:pt idx="10">
                  <c:v>1.5024674741964659</c:v>
                </c:pt>
                <c:pt idx="11">
                  <c:v>1.6418496112904817</c:v>
                </c:pt>
                <c:pt idx="12">
                  <c:v>1.7037972277767119</c:v>
                </c:pt>
                <c:pt idx="13">
                  <c:v>1.7502579401413834</c:v>
                </c:pt>
                <c:pt idx="14">
                  <c:v>1.7889752004452772</c:v>
                </c:pt>
                <c:pt idx="15">
                  <c:v>1.8276924607491705</c:v>
                </c:pt>
                <c:pt idx="16">
                  <c:v>1.8664097210530641</c:v>
                </c:pt>
                <c:pt idx="17">
                  <c:v>1.9051269813569578</c:v>
                </c:pt>
                <c:pt idx="18">
                  <c:v>1.9361007896000721</c:v>
                </c:pt>
                <c:pt idx="19">
                  <c:v>1.9748180499039658</c:v>
                </c:pt>
                <c:pt idx="20">
                  <c:v>1.9980484060863013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1E-4B38-9E80-A3563F3D33C7}"/>
            </c:ext>
          </c:extLst>
        </c:ser>
        <c:ser>
          <c:idx val="13"/>
          <c:order val="13"/>
          <c:tx>
            <c:strRef>
              <c:f>'24 country oil price scenarios'!$O$80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scenarios'!$O$81:$O$101</c:f>
              <c:numCache>
                <c:formatCode>0.00</c:formatCode>
                <c:ptCount val="21"/>
                <c:pt idx="0">
                  <c:v>1.8586131721145673</c:v>
                </c:pt>
                <c:pt idx="1">
                  <c:v>2.1048406193918656</c:v>
                </c:pt>
                <c:pt idx="2">
                  <c:v>2.094631264991786</c:v>
                </c:pt>
                <c:pt idx="3">
                  <c:v>2.1017225588713426</c:v>
                </c:pt>
                <c:pt idx="4">
                  <c:v>2.0219480770200779</c:v>
                </c:pt>
                <c:pt idx="5">
                  <c:v>1.4844352527038502</c:v>
                </c:pt>
                <c:pt idx="6">
                  <c:v>1.4233783482701454</c:v>
                </c:pt>
                <c:pt idx="7">
                  <c:v>1.5252773607264891</c:v>
                </c:pt>
                <c:pt idx="8">
                  <c:v>1.6971345599851664</c:v>
                </c:pt>
                <c:pt idx="9">
                  <c:v>1.9065040610988484</c:v>
                </c:pt>
                <c:pt idx="10">
                  <c:v>2.0207809106166876</c:v>
                </c:pt>
                <c:pt idx="11">
                  <c:v>2.1417799277532237</c:v>
                </c:pt>
                <c:pt idx="12">
                  <c:v>2.1955572687027947</c:v>
                </c:pt>
                <c:pt idx="13">
                  <c:v>2.2358902744149738</c:v>
                </c:pt>
                <c:pt idx="14">
                  <c:v>2.2695011125084559</c:v>
                </c:pt>
                <c:pt idx="15">
                  <c:v>2.303111950601938</c:v>
                </c:pt>
                <c:pt idx="16">
                  <c:v>2.33672278869542</c:v>
                </c:pt>
                <c:pt idx="17">
                  <c:v>2.3703336267889026</c:v>
                </c:pt>
                <c:pt idx="18">
                  <c:v>2.3972222972636881</c:v>
                </c:pt>
                <c:pt idx="19">
                  <c:v>2.4308331353571702</c:v>
                </c:pt>
                <c:pt idx="20">
                  <c:v>2.4509996382132591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1E-4B38-9E80-A3563F3D33C7}"/>
            </c:ext>
          </c:extLst>
        </c:ser>
        <c:ser>
          <c:idx val="14"/>
          <c:order val="14"/>
          <c:tx>
            <c:strRef>
              <c:f>'24 country oil price scenarios'!$P$80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scenarios'!$P$81:$P$101</c:f>
              <c:numCache>
                <c:formatCode>0.00</c:formatCode>
                <c:ptCount val="21"/>
                <c:pt idx="0">
                  <c:v>1.9798062311903135</c:v>
                </c:pt>
                <c:pt idx="1">
                  <c:v>2.2954564907777675</c:v>
                </c:pt>
                <c:pt idx="2">
                  <c:v>2.3751806147808829</c:v>
                </c:pt>
                <c:pt idx="3">
                  <c:v>2.3882913903359282</c:v>
                </c:pt>
                <c:pt idx="4">
                  <c:v>2.321107899390678</c:v>
                </c:pt>
                <c:pt idx="5">
                  <c:v>1.6981269837614541</c:v>
                </c:pt>
                <c:pt idx="6">
                  <c:v>1.6306252953470313</c:v>
                </c:pt>
                <c:pt idx="7">
                  <c:v>1.7336626942903497</c:v>
                </c:pt>
                <c:pt idx="8">
                  <c:v>1.9169732604062935</c:v>
                </c:pt>
                <c:pt idx="9">
                  <c:v>2.1501890421930385</c:v>
                </c:pt>
                <c:pt idx="10">
                  <c:v>2.2777152674748504</c:v>
                </c:pt>
                <c:pt idx="11">
                  <c:v>2.4127430354202972</c:v>
                </c:pt>
                <c:pt idx="12">
                  <c:v>2.4727553767293853</c:v>
                </c:pt>
                <c:pt idx="13">
                  <c:v>2.5177646327112013</c:v>
                </c:pt>
                <c:pt idx="14">
                  <c:v>2.5552723460293811</c:v>
                </c:pt>
                <c:pt idx="15">
                  <c:v>2.592780059347561</c:v>
                </c:pt>
                <c:pt idx="16">
                  <c:v>2.6302877726657408</c:v>
                </c:pt>
                <c:pt idx="17">
                  <c:v>2.6677954859839201</c:v>
                </c:pt>
                <c:pt idx="18">
                  <c:v>2.6978016566384637</c:v>
                </c:pt>
                <c:pt idx="19">
                  <c:v>2.735309369956644</c:v>
                </c:pt>
                <c:pt idx="20">
                  <c:v>2.7578139979475522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1E-4B38-9E80-A3563F3D33C7}"/>
            </c:ext>
          </c:extLst>
        </c:ser>
        <c:ser>
          <c:idx val="15"/>
          <c:order val="15"/>
          <c:tx>
            <c:strRef>
              <c:f>'24 country oil price scenarios'!$Q$80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scenarios'!$Q$81:$Q$101</c:f>
              <c:numCache>
                <c:formatCode>0.00</c:formatCode>
                <c:ptCount val="21"/>
                <c:pt idx="0">
                  <c:v>1.6110041178917016</c:v>
                </c:pt>
                <c:pt idx="1">
                  <c:v>1.9400093480719312</c:v>
                </c:pt>
                <c:pt idx="2">
                  <c:v>1.9628453149173279</c:v>
                </c:pt>
                <c:pt idx="3">
                  <c:v>1.726142509263253</c:v>
                </c:pt>
                <c:pt idx="4">
                  <c:v>1.5727940431899223</c:v>
                </c:pt>
                <c:pt idx="5">
                  <c:v>1.1197949153490454</c:v>
                </c:pt>
                <c:pt idx="6">
                  <c:v>1.1359621877055293</c:v>
                </c:pt>
                <c:pt idx="7">
                  <c:v>1.1975851895461544</c:v>
                </c:pt>
                <c:pt idx="8">
                  <c:v>1.3368947327269944</c:v>
                </c:pt>
                <c:pt idx="9">
                  <c:v>1.583813967455628</c:v>
                </c:pt>
                <c:pt idx="10">
                  <c:v>1.7103206847424146</c:v>
                </c:pt>
                <c:pt idx="11">
                  <c:v>1.8442689736343054</c:v>
                </c:pt>
                <c:pt idx="12">
                  <c:v>1.9038015464751468</c:v>
                </c:pt>
                <c:pt idx="13">
                  <c:v>1.9484509761057776</c:v>
                </c:pt>
                <c:pt idx="14">
                  <c:v>1.9856588341313026</c:v>
                </c:pt>
                <c:pt idx="15">
                  <c:v>2.0228666921568279</c:v>
                </c:pt>
                <c:pt idx="16">
                  <c:v>2.0600745501823536</c:v>
                </c:pt>
                <c:pt idx="17">
                  <c:v>2.0972824082078789</c:v>
                </c:pt>
                <c:pt idx="18">
                  <c:v>2.1270486946282996</c:v>
                </c:pt>
                <c:pt idx="19">
                  <c:v>2.1642565526538249</c:v>
                </c:pt>
                <c:pt idx="20">
                  <c:v>2.1865812674691396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1E-4B38-9E80-A3563F3D33C7}"/>
            </c:ext>
          </c:extLst>
        </c:ser>
        <c:ser>
          <c:idx val="16"/>
          <c:order val="16"/>
          <c:tx>
            <c:strRef>
              <c:f>'24 country oil price scenarios'!$R$80</c:f>
              <c:strCache>
                <c:ptCount val="1"/>
                <c:pt idx="0">
                  <c:v>Korea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scenarios'!$R$81:$R$101</c:f>
              <c:numCache>
                <c:formatCode>0.00</c:formatCode>
                <c:ptCount val="21"/>
                <c:pt idx="0">
                  <c:v>1.6233820265195906</c:v>
                </c:pt>
                <c:pt idx="1">
                  <c:v>1.851872247448346</c:v>
                </c:pt>
                <c:pt idx="2">
                  <c:v>1.8226478580057168</c:v>
                </c:pt>
                <c:pt idx="3">
                  <c:v>1.8024550235309198</c:v>
                </c:pt>
                <c:pt idx="4">
                  <c:v>1.7570452242907797</c:v>
                </c:pt>
                <c:pt idx="5">
                  <c:v>1.3390268168369295</c:v>
                </c:pt>
                <c:pt idx="6">
                  <c:v>1.2451512048444004</c:v>
                </c:pt>
                <c:pt idx="7">
                  <c:v>1.336507811737994</c:v>
                </c:pt>
                <c:pt idx="8">
                  <c:v>1.4691303672796336</c:v>
                </c:pt>
                <c:pt idx="9">
                  <c:v>1.6859558246333641</c:v>
                </c:pt>
                <c:pt idx="10">
                  <c:v>1.8019233012929605</c:v>
                </c:pt>
                <c:pt idx="11">
                  <c:v>1.92471239422665</c:v>
                </c:pt>
                <c:pt idx="12">
                  <c:v>1.9792853244194011</c:v>
                </c:pt>
                <c:pt idx="13">
                  <c:v>2.0202150220639643</c:v>
                </c:pt>
                <c:pt idx="14">
                  <c:v>2.054323103434434</c:v>
                </c:pt>
                <c:pt idx="15">
                  <c:v>2.0884311848049033</c:v>
                </c:pt>
                <c:pt idx="16">
                  <c:v>2.1225392661753726</c:v>
                </c:pt>
                <c:pt idx="17">
                  <c:v>2.1566473475458423</c:v>
                </c:pt>
                <c:pt idx="18">
                  <c:v>2.1839338126422176</c:v>
                </c:pt>
                <c:pt idx="19">
                  <c:v>2.2180418940126874</c:v>
                </c:pt>
                <c:pt idx="20">
                  <c:v>2.2385067428349683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1E-4B38-9E80-A3563F3D33C7}"/>
            </c:ext>
          </c:extLst>
        </c:ser>
        <c:ser>
          <c:idx val="17"/>
          <c:order val="17"/>
          <c:tx>
            <c:strRef>
              <c:f>'24 country oil price scenarios'!$S$80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scenarios'!$S$81:$S$101</c:f>
              <c:numCache>
                <c:formatCode>0.00</c:formatCode>
                <c:ptCount val="21"/>
                <c:pt idx="0">
                  <c:v>2.245479259351169</c:v>
                </c:pt>
                <c:pt idx="1">
                  <c:v>2.52498554062405</c:v>
                </c:pt>
                <c:pt idx="2">
                  <c:v>2.3825904287891309</c:v>
                </c:pt>
                <c:pt idx="3">
                  <c:v>2.4196681600451613</c:v>
                </c:pt>
                <c:pt idx="4">
                  <c:v>2.3376453860376762</c:v>
                </c:pt>
                <c:pt idx="5">
                  <c:v>1.7300722485727424</c:v>
                </c:pt>
                <c:pt idx="6">
                  <c:v>1.6658221010973107</c:v>
                </c:pt>
                <c:pt idx="7">
                  <c:v>1.7649650686599154</c:v>
                </c:pt>
                <c:pt idx="8">
                  <c:v>1.9530852123099547</c:v>
                </c:pt>
                <c:pt idx="9">
                  <c:v>2.1672092451939942</c:v>
                </c:pt>
                <c:pt idx="10">
                  <c:v>2.2859957403660438</c:v>
                </c:pt>
                <c:pt idx="11">
                  <c:v>2.4117696764305667</c:v>
                </c:pt>
                <c:pt idx="12">
                  <c:v>2.4676692035703547</c:v>
                </c:pt>
                <c:pt idx="13">
                  <c:v>2.5095938489251948</c:v>
                </c:pt>
                <c:pt idx="14">
                  <c:v>2.5445310533875629</c:v>
                </c:pt>
                <c:pt idx="15">
                  <c:v>2.5794682578499302</c:v>
                </c:pt>
                <c:pt idx="16">
                  <c:v>2.6144054623122974</c:v>
                </c:pt>
                <c:pt idx="17">
                  <c:v>2.6493426667746656</c:v>
                </c:pt>
                <c:pt idx="18">
                  <c:v>2.67729243034456</c:v>
                </c:pt>
                <c:pt idx="19">
                  <c:v>2.7122296348069268</c:v>
                </c:pt>
                <c:pt idx="20">
                  <c:v>2.7331919574843466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1E-4B38-9E80-A3563F3D33C7}"/>
            </c:ext>
          </c:extLst>
        </c:ser>
        <c:ser>
          <c:idx val="18"/>
          <c:order val="18"/>
          <c:tx>
            <c:strRef>
              <c:f>'24 country oil price scenarios'!$T$80</c:f>
              <c:strCache>
                <c:ptCount val="1"/>
                <c:pt idx="0">
                  <c:v>New Zealand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scenarios'!$T$81:$T$101</c:f>
              <c:numCache>
                <c:formatCode>0.00</c:formatCode>
                <c:ptCount val="21"/>
                <c:pt idx="0">
                  <c:v>1.432275294870655</c:v>
                </c:pt>
                <c:pt idx="1">
                  <c:v>1.8053745596543518</c:v>
                </c:pt>
                <c:pt idx="2">
                  <c:v>1.8879976182643767</c:v>
                </c:pt>
                <c:pt idx="3">
                  <c:v>1.8702414441854376</c:v>
                </c:pt>
                <c:pt idx="4">
                  <c:v>1.8774659643743044</c:v>
                </c:pt>
                <c:pt idx="5">
                  <c:v>1.4288839489067857</c:v>
                </c:pt>
                <c:pt idx="6">
                  <c:v>1.3549483341264945</c:v>
                </c:pt>
                <c:pt idx="7">
                  <c:v>1.4535922265782579</c:v>
                </c:pt>
                <c:pt idx="8">
                  <c:v>1.5369348884991769</c:v>
                </c:pt>
                <c:pt idx="9">
                  <c:v>1.7677960773679513</c:v>
                </c:pt>
                <c:pt idx="10">
                  <c:v>1.9017461233131683</c:v>
                </c:pt>
                <c:pt idx="11">
                  <c:v>2.043575583725751</c:v>
                </c:pt>
                <c:pt idx="12">
                  <c:v>2.1066108994646773</c:v>
                </c:pt>
                <c:pt idx="13">
                  <c:v>2.1538873862688708</c:v>
                </c:pt>
                <c:pt idx="14">
                  <c:v>2.1932844586056999</c:v>
                </c:pt>
                <c:pt idx="15">
                  <c:v>2.2326815309425272</c:v>
                </c:pt>
                <c:pt idx="16">
                  <c:v>2.2720786032793572</c:v>
                </c:pt>
                <c:pt idx="17">
                  <c:v>2.3114756756161854</c:v>
                </c:pt>
                <c:pt idx="18">
                  <c:v>2.3429933334856483</c:v>
                </c:pt>
                <c:pt idx="19">
                  <c:v>2.3823904058224765</c:v>
                </c:pt>
                <c:pt idx="20">
                  <c:v>2.4060286492245728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1E-4B38-9E80-A3563F3D33C7}"/>
            </c:ext>
          </c:extLst>
        </c:ser>
        <c:ser>
          <c:idx val="19"/>
          <c:order val="19"/>
          <c:tx>
            <c:strRef>
              <c:f>'24 country oil price scenarios'!$U$80</c:f>
              <c:strCache>
                <c:ptCount val="1"/>
                <c:pt idx="0">
                  <c:v>Norway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scenarios'!$U$81:$U$101</c:f>
              <c:numCache>
                <c:formatCode>0.00</c:formatCode>
                <c:ptCount val="21"/>
                <c:pt idx="0">
                  <c:v>2.4822925095084196</c:v>
                </c:pt>
                <c:pt idx="1">
                  <c:v>2.9311038976940229</c:v>
                </c:pt>
                <c:pt idx="2">
                  <c:v>2.887678603301286</c:v>
                </c:pt>
                <c:pt idx="3">
                  <c:v>2.9176071674867088</c:v>
                </c:pt>
                <c:pt idx="4">
                  <c:v>2.70294768502723</c:v>
                </c:pt>
                <c:pt idx="5">
                  <c:v>2.0152380905024669</c:v>
                </c:pt>
                <c:pt idx="6">
                  <c:v>1.847947152659577</c:v>
                </c:pt>
                <c:pt idx="7">
                  <c:v>1.9925811179910973</c:v>
                </c:pt>
                <c:pt idx="8">
                  <c:v>2.1463085574803884</c:v>
                </c:pt>
                <c:pt idx="9">
                  <c:v>2.3974027004282767</c:v>
                </c:pt>
                <c:pt idx="10">
                  <c:v>2.5428496006228549</c:v>
                </c:pt>
                <c:pt idx="11">
                  <c:v>2.6968522008288773</c:v>
                </c:pt>
                <c:pt idx="12">
                  <c:v>2.7652978009204441</c:v>
                </c:pt>
                <c:pt idx="13">
                  <c:v>2.8166320009891179</c:v>
                </c:pt>
                <c:pt idx="14">
                  <c:v>2.8594105010463475</c:v>
                </c:pt>
                <c:pt idx="15">
                  <c:v>2.9021890011035762</c:v>
                </c:pt>
                <c:pt idx="16">
                  <c:v>2.944967501160805</c:v>
                </c:pt>
                <c:pt idx="17">
                  <c:v>2.9877460012180328</c:v>
                </c:pt>
                <c:pt idx="18">
                  <c:v>3.021968801263816</c:v>
                </c:pt>
                <c:pt idx="19">
                  <c:v>3.0647473013210451</c:v>
                </c:pt>
                <c:pt idx="20">
                  <c:v>3.0904144013553823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1E-4B38-9E80-A3563F3D33C7}"/>
            </c:ext>
          </c:extLst>
        </c:ser>
        <c:ser>
          <c:idx val="20"/>
          <c:order val="20"/>
          <c:tx>
            <c:strRef>
              <c:f>'24 country oil price scenarios'!$V$80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scenarios'!$V$81:$V$101</c:f>
              <c:numCache>
                <c:formatCode>0.00</c:formatCode>
                <c:ptCount val="21"/>
                <c:pt idx="0">
                  <c:v>1.6986238394949558</c:v>
                </c:pt>
                <c:pt idx="1">
                  <c:v>1.9432698393386507</c:v>
                </c:pt>
                <c:pt idx="2">
                  <c:v>1.8462668661620001</c:v>
                </c:pt>
                <c:pt idx="3">
                  <c:v>1.9065028628303946</c:v>
                </c:pt>
                <c:pt idx="4">
                  <c:v>1.8362271915955801</c:v>
                </c:pt>
                <c:pt idx="5">
                  <c:v>1.3397385668227098</c:v>
                </c:pt>
                <c:pt idx="6">
                  <c:v>1.308165450552736</c:v>
                </c:pt>
                <c:pt idx="7">
                  <c:v>1.3922741862408414</c:v>
                </c:pt>
                <c:pt idx="8">
                  <c:v>1.5425723394158981</c:v>
                </c:pt>
                <c:pt idx="9">
                  <c:v>1.7451674103681487</c:v>
                </c:pt>
                <c:pt idx="10">
                  <c:v>1.854869152786095</c:v>
                </c:pt>
                <c:pt idx="11">
                  <c:v>1.9710239388756849</c:v>
                </c:pt>
                <c:pt idx="12">
                  <c:v>2.0226482882488366</c:v>
                </c:pt>
                <c:pt idx="13">
                  <c:v>2.0613665502787</c:v>
                </c:pt>
                <c:pt idx="14">
                  <c:v>2.0936317686369192</c:v>
                </c:pt>
                <c:pt idx="15">
                  <c:v>2.1258969869951385</c:v>
                </c:pt>
                <c:pt idx="16">
                  <c:v>2.1581622053533587</c:v>
                </c:pt>
                <c:pt idx="17">
                  <c:v>2.1904274237115779</c:v>
                </c:pt>
                <c:pt idx="18">
                  <c:v>2.2162395983981535</c:v>
                </c:pt>
                <c:pt idx="19">
                  <c:v>2.2485048167563733</c:v>
                </c:pt>
                <c:pt idx="20">
                  <c:v>2.2678639477713047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1E-4B38-9E80-A3563F3D33C7}"/>
            </c:ext>
          </c:extLst>
        </c:ser>
        <c:ser>
          <c:idx val="21"/>
          <c:order val="21"/>
          <c:tx>
            <c:strRef>
              <c:f>'24 country oil price scenarios'!$W$80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scenarios'!$W$81:$W$101</c:f>
              <c:numCache>
                <c:formatCode>0.00</c:formatCode>
                <c:ptCount val="21"/>
                <c:pt idx="0">
                  <c:v>1.9164749242717403</c:v>
                </c:pt>
                <c:pt idx="1">
                  <c:v>2.2593219159087203</c:v>
                </c:pt>
                <c:pt idx="2">
                  <c:v>2.3090759097721847</c:v>
                </c:pt>
                <c:pt idx="3">
                  <c:v>2.3408675462045867</c:v>
                </c:pt>
                <c:pt idx="4">
                  <c:v>2.1959005872867774</c:v>
                </c:pt>
                <c:pt idx="5">
                  <c:v>1.6142685224273725</c:v>
                </c:pt>
                <c:pt idx="6">
                  <c:v>1.5906203810930455</c:v>
                </c:pt>
                <c:pt idx="7">
                  <c:v>1.6815828411221256</c:v>
                </c:pt>
                <c:pt idx="8">
                  <c:v>1.744766395198448</c:v>
                </c:pt>
                <c:pt idx="9">
                  <c:v>1.9369492928456615</c:v>
                </c:pt>
                <c:pt idx="10">
                  <c:v>2.0525182902178218</c:v>
                </c:pt>
                <c:pt idx="11">
                  <c:v>2.1748854639059907</c:v>
                </c:pt>
                <c:pt idx="12">
                  <c:v>2.2292708744340661</c:v>
                </c:pt>
                <c:pt idx="13">
                  <c:v>2.2700599323301227</c:v>
                </c:pt>
                <c:pt idx="14">
                  <c:v>2.3040508139101701</c:v>
                </c:pt>
                <c:pt idx="15">
                  <c:v>2.3380416954902175</c:v>
                </c:pt>
                <c:pt idx="16">
                  <c:v>2.3720325770702644</c:v>
                </c:pt>
                <c:pt idx="17">
                  <c:v>2.4060234586503109</c:v>
                </c:pt>
                <c:pt idx="18">
                  <c:v>2.4332161639143495</c:v>
                </c:pt>
                <c:pt idx="19">
                  <c:v>2.4672070454943964</c:v>
                </c:pt>
                <c:pt idx="20">
                  <c:v>2.487601574442424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1E-4B38-9E80-A3563F3D33C7}"/>
            </c:ext>
          </c:extLst>
        </c:ser>
        <c:ser>
          <c:idx val="22"/>
          <c:order val="22"/>
          <c:tx>
            <c:strRef>
              <c:f>'24 country oil price scenarios'!$X$80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scenarios'!$X$81:$X$101</c:f>
              <c:numCache>
                <c:formatCode>0.00</c:formatCode>
                <c:ptCount val="21"/>
                <c:pt idx="0">
                  <c:v>1.5519314456824014</c:v>
                </c:pt>
                <c:pt idx="1">
                  <c:v>1.9313207428188917</c:v>
                </c:pt>
                <c:pt idx="2">
                  <c:v>1.8857396267137239</c:v>
                </c:pt>
                <c:pt idx="3">
                  <c:v>1.9143732849501434</c:v>
                </c:pt>
                <c:pt idx="4">
                  <c:v>1.8616613088621699</c:v>
                </c:pt>
                <c:pt idx="5">
                  <c:v>1.5309885843921636</c:v>
                </c:pt>
                <c:pt idx="6">
                  <c:v>1.4487913094198808</c:v>
                </c:pt>
                <c:pt idx="7">
                  <c:v>1.521497601272578</c:v>
                </c:pt>
                <c:pt idx="8">
                  <c:v>1.6309929248830362</c:v>
                </c:pt>
                <c:pt idx="9">
                  <c:v>1.8459104176736896</c:v>
                </c:pt>
                <c:pt idx="10">
                  <c:v>1.9511323496050712</c:v>
                </c:pt>
                <c:pt idx="11">
                  <c:v>2.062543806944181</c:v>
                </c:pt>
                <c:pt idx="12">
                  <c:v>2.1120600102060072</c:v>
                </c:pt>
                <c:pt idx="13">
                  <c:v>2.1491971626523769</c:v>
                </c:pt>
                <c:pt idx="14">
                  <c:v>2.1801447896910191</c:v>
                </c:pt>
                <c:pt idx="15">
                  <c:v>2.2110924167296599</c:v>
                </c:pt>
                <c:pt idx="16">
                  <c:v>2.2420400437683021</c:v>
                </c:pt>
                <c:pt idx="17">
                  <c:v>2.2729876708069443</c:v>
                </c:pt>
                <c:pt idx="18">
                  <c:v>2.2977457724378576</c:v>
                </c:pt>
                <c:pt idx="19">
                  <c:v>2.3286933994764984</c:v>
                </c:pt>
                <c:pt idx="20">
                  <c:v>2.3472619756996833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1E-4B38-9E80-A3563F3D33C7}"/>
            </c:ext>
          </c:extLst>
        </c:ser>
        <c:ser>
          <c:idx val="23"/>
          <c:order val="23"/>
          <c:tx>
            <c:strRef>
              <c:f>'24 country oil price scenarios'!$Y$80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 country oil price scenarios'!$A$81:$A$101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'24 country oil price scenarios'!$Y$81:$Y$101</c:f>
              <c:numCache>
                <c:formatCode>0.00</c:formatCode>
                <c:ptCount val="21"/>
                <c:pt idx="0">
                  <c:v>0.87247965377270009</c:v>
                </c:pt>
                <c:pt idx="1">
                  <c:v>1.0383499613837655</c:v>
                </c:pt>
                <c:pt idx="2">
                  <c:v>1.0141815328177473</c:v>
                </c:pt>
                <c:pt idx="3">
                  <c:v>1.0344417884382646</c:v>
                </c:pt>
                <c:pt idx="4">
                  <c:v>0.98312244761820167</c:v>
                </c:pt>
                <c:pt idx="5">
                  <c:v>0.63355226376880258</c:v>
                </c:pt>
                <c:pt idx="6">
                  <c:v>0.58492730084325439</c:v>
                </c:pt>
                <c:pt idx="7">
                  <c:v>0.63537346507497849</c:v>
                </c:pt>
                <c:pt idx="8">
                  <c:v>0.73141905508869343</c:v>
                </c:pt>
                <c:pt idx="9">
                  <c:v>0.99012714174907435</c:v>
                </c:pt>
                <c:pt idx="10">
                  <c:v>1.1397442841028427</c:v>
                </c:pt>
                <c:pt idx="11">
                  <c:v>1.2946629554541658</c:v>
                </c:pt>
                <c:pt idx="12">
                  <c:v>1.3702989791441149</c:v>
                </c:pt>
                <c:pt idx="13">
                  <c:v>1.4398173655069995</c:v>
                </c:pt>
                <c:pt idx="14">
                  <c:v>1.4896442993816115</c:v>
                </c:pt>
                <c:pt idx="15">
                  <c:v>1.5428495393045905</c:v>
                </c:pt>
                <c:pt idx="16">
                  <c:v>1.5993727692550765</c:v>
                </c:pt>
                <c:pt idx="17">
                  <c:v>1.6546302066536791</c:v>
                </c:pt>
                <c:pt idx="18">
                  <c:v>1.7086096612833794</c:v>
                </c:pt>
                <c:pt idx="19">
                  <c:v>1.7712439941274678</c:v>
                </c:pt>
                <c:pt idx="20">
                  <c:v>1.7979130284011573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1E-4B38-9E80-A3563F3D3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796744"/>
        <c:axId val="682798056"/>
      </c:lineChart>
      <c:catAx>
        <c:axId val="68279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798056"/>
        <c:crosses val="autoZero"/>
        <c:auto val="1"/>
        <c:lblAlgn val="ctr"/>
        <c:lblOffset val="100"/>
        <c:noMultiLvlLbl val="0"/>
      </c:catAx>
      <c:valAx>
        <c:axId val="682798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 dollars per litre</a:t>
                </a:r>
              </a:p>
            </c:rich>
          </c:tx>
          <c:layout>
            <c:manualLayout>
              <c:xMode val="edge"/>
              <c:yMode val="edge"/>
              <c:x val="1.2145764475455992E-2"/>
              <c:y val="0.261733637717889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796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'WTI from OPEC '!$B$2</c:f>
              <c:strCache>
                <c:ptCount val="1"/>
                <c:pt idx="0">
                  <c:v> WTI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'!$B$12:$B$31</c:f>
              <c:numCache>
                <c:formatCode>General</c:formatCode>
                <c:ptCount val="20"/>
                <c:pt idx="0">
                  <c:v>19.34</c:v>
                </c:pt>
                <c:pt idx="1">
                  <c:v>30.38</c:v>
                </c:pt>
                <c:pt idx="2">
                  <c:v>25.98</c:v>
                </c:pt>
                <c:pt idx="3">
                  <c:v>26.18</c:v>
                </c:pt>
                <c:pt idx="4">
                  <c:v>31.08</c:v>
                </c:pt>
                <c:pt idx="5">
                  <c:v>41.51</c:v>
                </c:pt>
                <c:pt idx="6">
                  <c:v>56.64</c:v>
                </c:pt>
                <c:pt idx="7">
                  <c:v>66.05</c:v>
                </c:pt>
                <c:pt idx="8">
                  <c:v>72.34</c:v>
                </c:pt>
                <c:pt idx="9">
                  <c:v>99.67</c:v>
                </c:pt>
                <c:pt idx="10">
                  <c:v>61.95</c:v>
                </c:pt>
                <c:pt idx="11">
                  <c:v>79.48</c:v>
                </c:pt>
                <c:pt idx="12">
                  <c:v>94.88</c:v>
                </c:pt>
                <c:pt idx="13">
                  <c:v>94.05</c:v>
                </c:pt>
                <c:pt idx="14">
                  <c:v>97.98</c:v>
                </c:pt>
                <c:pt idx="15">
                  <c:v>93.17</c:v>
                </c:pt>
                <c:pt idx="16">
                  <c:v>48.66</c:v>
                </c:pt>
                <c:pt idx="17">
                  <c:v>43.29</c:v>
                </c:pt>
                <c:pt idx="18" formatCode="0.00">
                  <c:v>50.8</c:v>
                </c:pt>
                <c:pt idx="19" formatCode="0.00">
                  <c:v>65.375184523809523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8-4162-A9EE-ED70995A102A}"/>
            </c:ext>
          </c:extLst>
        </c:ser>
        <c:ser>
          <c:idx val="1"/>
          <c:order val="1"/>
          <c:tx>
            <c:strRef>
              <c:f>'WTI from OPEC '!$F$2</c:f>
              <c:strCache>
                <c:ptCount val="1"/>
                <c:pt idx="0">
                  <c:v>OPEC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'!$F$12:$F$31</c:f>
              <c:numCache>
                <c:formatCode>0.00</c:formatCode>
                <c:ptCount val="20"/>
                <c:pt idx="0">
                  <c:v>17.48</c:v>
                </c:pt>
                <c:pt idx="1">
                  <c:v>27.6</c:v>
                </c:pt>
                <c:pt idx="2">
                  <c:v>23.12</c:v>
                </c:pt>
                <c:pt idx="3">
                  <c:v>24.36</c:v>
                </c:pt>
                <c:pt idx="4">
                  <c:v>28.1</c:v>
                </c:pt>
                <c:pt idx="5">
                  <c:v>36.049999999999997</c:v>
                </c:pt>
                <c:pt idx="6">
                  <c:v>50.64</c:v>
                </c:pt>
                <c:pt idx="7">
                  <c:v>61.08</c:v>
                </c:pt>
                <c:pt idx="8">
                  <c:v>69.08</c:v>
                </c:pt>
                <c:pt idx="9">
                  <c:v>94.45</c:v>
                </c:pt>
                <c:pt idx="10">
                  <c:v>61.06</c:v>
                </c:pt>
                <c:pt idx="11">
                  <c:v>77.45</c:v>
                </c:pt>
                <c:pt idx="12">
                  <c:v>107.45</c:v>
                </c:pt>
                <c:pt idx="13">
                  <c:v>109.49585833333333</c:v>
                </c:pt>
                <c:pt idx="14">
                  <c:v>105.93624999999999</c:v>
                </c:pt>
                <c:pt idx="15">
                  <c:v>96.189058333333321</c:v>
                </c:pt>
                <c:pt idx="16">
                  <c:v>49.516674999999999</c:v>
                </c:pt>
                <c:pt idx="17">
                  <c:v>40.68396666666667</c:v>
                </c:pt>
                <c:pt idx="18">
                  <c:v>52.51</c:v>
                </c:pt>
                <c:pt idx="19">
                  <c:v>70.203982683982687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8-4162-A9EE-ED70995A1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087496"/>
        <c:axId val="612089464"/>
      </c:lineChart>
      <c:catAx>
        <c:axId val="61208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89464"/>
        <c:crosses val="autoZero"/>
        <c:auto val="1"/>
        <c:lblAlgn val="ctr"/>
        <c:lblOffset val="100"/>
        <c:noMultiLvlLbl val="0"/>
      </c:catAx>
      <c:valAx>
        <c:axId val="61208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87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478040244969378"/>
          <c:y val="0.53761519393409163"/>
          <c:w val="0.19155030621172356"/>
          <c:h val="0.17534776902887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'WTI from OPEC '!$N$2</c:f>
              <c:strCache>
                <c:ptCount val="1"/>
                <c:pt idx="0">
                  <c:v> WTI/OPEC ratio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'!$N$12:$N$31</c:f>
              <c:numCache>
                <c:formatCode>0.000</c:formatCode>
                <c:ptCount val="20"/>
                <c:pt idx="0">
                  <c:v>1.1029281277728482</c:v>
                </c:pt>
                <c:pt idx="1">
                  <c:v>1.1099706744868034</c:v>
                </c:pt>
                <c:pt idx="2">
                  <c:v>1.0993606819392647</c:v>
                </c:pt>
                <c:pt idx="3">
                  <c:v>1.1013495633765544</c:v>
                </c:pt>
                <c:pt idx="4">
                  <c:v>1.1159191051858548</c:v>
                </c:pt>
                <c:pt idx="5">
                  <c:v>1.1257949298719403</c:v>
                </c:pt>
                <c:pt idx="6">
                  <c:v>1.1111863030385059</c:v>
                </c:pt>
                <c:pt idx="7">
                  <c:v>1.0787057522123893</c:v>
                </c:pt>
                <c:pt idx="8">
                  <c:v>1.0598815725034505</c:v>
                </c:pt>
                <c:pt idx="9">
                  <c:v>1.041720468409101</c:v>
                </c:pt>
                <c:pt idx="10">
                  <c:v>1.0349416208791211</c:v>
                </c:pt>
                <c:pt idx="11">
                  <c:v>0.9607659782078386</c:v>
                </c:pt>
                <c:pt idx="12">
                  <c:v>0.91173157638681701</c:v>
                </c:pt>
                <c:pt idx="13">
                  <c:v>0.88859058026158333</c:v>
                </c:pt>
                <c:pt idx="14">
                  <c:v>0.91521382533385898</c:v>
                </c:pt>
                <c:pt idx="15">
                  <c:v>0.95298088507886125</c:v>
                </c:pt>
                <c:pt idx="16">
                  <c:v>0.99318792830290514</c:v>
                </c:pt>
                <c:pt idx="17">
                  <c:v>1.0002757911594655</c:v>
                </c:pt>
                <c:pt idx="18">
                  <c:v>0.97593136974809769</c:v>
                </c:pt>
                <c:pt idx="19">
                  <c:v>0.9135329956610635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9-45E0-8C10-BFCD562A3211}"/>
            </c:ext>
          </c:extLst>
        </c:ser>
        <c:ser>
          <c:idx val="1"/>
          <c:order val="1"/>
          <c:tx>
            <c:strRef>
              <c:f>'WTI from OPEC '!$O$2</c:f>
              <c:strCache>
                <c:ptCount val="1"/>
                <c:pt idx="0">
                  <c:v>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'!$O$12:$O$31</c:f>
              <c:numCache>
                <c:formatCode>0.000</c:formatCode>
                <c:ptCount val="20"/>
                <c:pt idx="0">
                  <c:v>1.099065591877078</c:v>
                </c:pt>
                <c:pt idx="1">
                  <c:v>1.0996141886128639</c:v>
                </c:pt>
                <c:pt idx="2">
                  <c:v>1.1046172277840485</c:v>
                </c:pt>
                <c:pt idx="3">
                  <c:v>1.1152243754272866</c:v>
                </c:pt>
                <c:pt idx="4">
                  <c:v>1.1200000000000001</c:v>
                </c:pt>
                <c:pt idx="5">
                  <c:v>1.1188498859211833</c:v>
                </c:pt>
                <c:pt idx="6">
                  <c:v>1.1173826940702338</c:v>
                </c:pt>
                <c:pt idx="7">
                  <c:v>1.0706355891638288</c:v>
                </c:pt>
                <c:pt idx="8">
                  <c:v>1.0639247881692309</c:v>
                </c:pt>
                <c:pt idx="9">
                  <c:v>1.0490052743914904</c:v>
                </c:pt>
                <c:pt idx="10">
                  <c:v>1.0037608150004971</c:v>
                </c:pt>
                <c:pt idx="11">
                  <c:v>0.95802940204370501</c:v>
                </c:pt>
                <c:pt idx="12">
                  <c:v>0.91601016739685615</c:v>
                </c:pt>
                <c:pt idx="13">
                  <c:v>0.88891831062252769</c:v>
                </c:pt>
                <c:pt idx="14">
                  <c:v>0.93675810086080458</c:v>
                </c:pt>
                <c:pt idx="15">
                  <c:v>0.96241078123723134</c:v>
                </c:pt>
                <c:pt idx="16">
                  <c:v>0.97130843707828585</c:v>
                </c:pt>
                <c:pt idx="17">
                  <c:v>1.0055428680515817</c:v>
                </c:pt>
                <c:pt idx="18">
                  <c:v>0.97991887070836059</c:v>
                </c:pt>
                <c:pt idx="19">
                  <c:v>0.90748883034249672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9-45E0-8C10-BFCD562A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657008"/>
        <c:axId val="1190657336"/>
      </c:lineChart>
      <c:catAx>
        <c:axId val="119065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657336"/>
        <c:crosses val="autoZero"/>
        <c:auto val="1"/>
        <c:lblAlgn val="ctr"/>
        <c:lblOffset val="100"/>
        <c:noMultiLvlLbl val="0"/>
      </c:catAx>
      <c:valAx>
        <c:axId val="1190657336"/>
        <c:scaling>
          <c:orientation val="minMax"/>
          <c:min val="0.85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WTI/OPEC ratio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23163568095654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65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26565429321335"/>
          <c:y val="5.0925925925925923E-2"/>
          <c:w val="0.72234795650543693"/>
          <c:h val="0.78551691455234762"/>
        </c:manualLayout>
      </c:layout>
      <c:lineChart>
        <c:grouping val="standard"/>
        <c:varyColors val="0"/>
        <c:ser>
          <c:idx val="0"/>
          <c:order val="0"/>
          <c:tx>
            <c:strRef>
              <c:f>'WTI from OPEC '!$N$2</c:f>
              <c:strCache>
                <c:ptCount val="1"/>
                <c:pt idx="0">
                  <c:v> WTI/OPEC ratio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'!$N$12:$N$31</c:f>
              <c:numCache>
                <c:formatCode>0.000</c:formatCode>
                <c:ptCount val="20"/>
                <c:pt idx="0">
                  <c:v>1.1029281277728482</c:v>
                </c:pt>
                <c:pt idx="1">
                  <c:v>1.1099706744868034</c:v>
                </c:pt>
                <c:pt idx="2">
                  <c:v>1.0993606819392647</c:v>
                </c:pt>
                <c:pt idx="3">
                  <c:v>1.1013495633765544</c:v>
                </c:pt>
                <c:pt idx="4">
                  <c:v>1.1159191051858548</c:v>
                </c:pt>
                <c:pt idx="5">
                  <c:v>1.1257949298719403</c:v>
                </c:pt>
                <c:pt idx="6">
                  <c:v>1.1111863030385059</c:v>
                </c:pt>
                <c:pt idx="7">
                  <c:v>1.0787057522123893</c:v>
                </c:pt>
                <c:pt idx="8">
                  <c:v>1.0598815725034505</c:v>
                </c:pt>
                <c:pt idx="9">
                  <c:v>1.041720468409101</c:v>
                </c:pt>
                <c:pt idx="10">
                  <c:v>1.0349416208791211</c:v>
                </c:pt>
                <c:pt idx="11">
                  <c:v>0.9607659782078386</c:v>
                </c:pt>
                <c:pt idx="12">
                  <c:v>0.91173157638681701</c:v>
                </c:pt>
                <c:pt idx="13">
                  <c:v>0.88859058026158333</c:v>
                </c:pt>
                <c:pt idx="14">
                  <c:v>0.91521382533385898</c:v>
                </c:pt>
                <c:pt idx="15">
                  <c:v>0.95298088507886125</c:v>
                </c:pt>
                <c:pt idx="16">
                  <c:v>0.99318792830290514</c:v>
                </c:pt>
                <c:pt idx="17">
                  <c:v>1.0002757911594655</c:v>
                </c:pt>
                <c:pt idx="18">
                  <c:v>0.97593136974809769</c:v>
                </c:pt>
                <c:pt idx="19">
                  <c:v>0.9135329956610635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1-4F00-9C25-08EB7F97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59480"/>
        <c:axId val="1192263088"/>
      </c:lineChart>
      <c:lineChart>
        <c:grouping val="standard"/>
        <c:varyColors val="0"/>
        <c:ser>
          <c:idx val="1"/>
          <c:order val="1"/>
          <c:tx>
            <c:strRef>
              <c:f>'WTI from OPEC '!$Q$2</c:f>
              <c:strCache>
                <c:ptCount val="1"/>
                <c:pt idx="0">
                  <c:v>lead production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'!$Q$12:$Q$31</c:f>
              <c:numCache>
                <c:formatCode>0.0</c:formatCode>
                <c:ptCount val="20"/>
                <c:pt idx="0">
                  <c:v>-1.4234556848702098</c:v>
                </c:pt>
                <c:pt idx="1">
                  <c:v>-1.4580569657615103</c:v>
                </c:pt>
                <c:pt idx="2">
                  <c:v>-1.7736103629655429</c:v>
                </c:pt>
                <c:pt idx="3">
                  <c:v>-2.4426280058308225</c:v>
                </c:pt>
                <c:pt idx="4">
                  <c:v>-2.8354892746829807</c:v>
                </c:pt>
                <c:pt idx="5">
                  <c:v>-2.6712974433073873</c:v>
                </c:pt>
                <c:pt idx="6">
                  <c:v>-2.5787582172338159</c:v>
                </c:pt>
                <c:pt idx="7">
                  <c:v>0.36969116681866104</c:v>
                </c:pt>
                <c:pt idx="8">
                  <c:v>0.79295710165326505</c:v>
                </c:pt>
                <c:pt idx="9">
                  <c:v>1.733965775803568</c:v>
                </c:pt>
                <c:pt idx="10">
                  <c:v>4.5876397881354771</c:v>
                </c:pt>
                <c:pt idx="11">
                  <c:v>7.4720271022647031</c:v>
                </c:pt>
                <c:pt idx="12">
                  <c:v>10.122278636790924</c:v>
                </c:pt>
                <c:pt idx="13">
                  <c:v>11.831025490292047</c:v>
                </c:pt>
                <c:pt idx="14">
                  <c:v>8.8136578833855292</c:v>
                </c:pt>
                <c:pt idx="15">
                  <c:v>7.1956832557245329</c:v>
                </c:pt>
                <c:pt idx="16">
                  <c:v>6.6344872643023214</c:v>
                </c:pt>
                <c:pt idx="17">
                  <c:v>4.4752415287921687</c:v>
                </c:pt>
                <c:pt idx="18">
                  <c:v>3.0605958789066601</c:v>
                </c:pt>
                <c:pt idx="19">
                  <c:v>4.5981169780926363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1-4F00-9C25-08EB7F97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61776"/>
        <c:axId val="1192259808"/>
      </c:lineChart>
      <c:catAx>
        <c:axId val="119225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263088"/>
        <c:crosses val="autoZero"/>
        <c:auto val="1"/>
        <c:lblAlgn val="ctr"/>
        <c:lblOffset val="100"/>
        <c:noMultiLvlLbl val="0"/>
      </c:catAx>
      <c:valAx>
        <c:axId val="1192263088"/>
        <c:scaling>
          <c:orientation val="minMax"/>
          <c:min val="0.85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WTI/OPEC price ratio</a:t>
                </a:r>
              </a:p>
            </c:rich>
          </c:tx>
          <c:layout>
            <c:manualLayout>
              <c:xMode val="edge"/>
              <c:yMode val="edge"/>
              <c:x val="7.1428571428571426E-3"/>
              <c:y val="0.16566345873432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259480"/>
        <c:crosses val="autoZero"/>
        <c:crossBetween val="between"/>
      </c:valAx>
      <c:valAx>
        <c:axId val="11922598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% change in US oil production (t=1)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0997222222222207"/>
              <c:y val="4.78623505395158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261776"/>
        <c:crosses val="max"/>
        <c:crossBetween val="between"/>
      </c:valAx>
      <c:catAx>
        <c:axId val="119226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225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918788276465441"/>
          <c:y val="0.29224482356372117"/>
          <c:w val="0.35384623797025372"/>
          <c:h val="0.2309033245844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'WTI from OPEC '!$D$2</c:f>
              <c:strCache>
                <c:ptCount val="1"/>
                <c:pt idx="0">
                  <c:v>3yr WTI av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'!$D$12:$D$31</c:f>
              <c:numCache>
                <c:formatCode>0.00</c:formatCode>
                <c:ptCount val="20"/>
                <c:pt idx="0">
                  <c:v>24.86</c:v>
                </c:pt>
                <c:pt idx="1">
                  <c:v>25.233333333333334</c:v>
                </c:pt>
                <c:pt idx="2">
                  <c:v>27.513333333333332</c:v>
                </c:pt>
                <c:pt idx="3">
                  <c:v>27.746666666666666</c:v>
                </c:pt>
                <c:pt idx="4">
                  <c:v>32.923333333333332</c:v>
                </c:pt>
                <c:pt idx="5">
                  <c:v>43.076666666666675</c:v>
                </c:pt>
                <c:pt idx="6">
                  <c:v>54.733333333333327</c:v>
                </c:pt>
                <c:pt idx="7">
                  <c:v>65.010000000000005</c:v>
                </c:pt>
                <c:pt idx="8">
                  <c:v>79.353333333333339</c:v>
                </c:pt>
                <c:pt idx="9">
                  <c:v>77.986666666666665</c:v>
                </c:pt>
                <c:pt idx="10">
                  <c:v>80.366666666666674</c:v>
                </c:pt>
                <c:pt idx="11">
                  <c:v>78.77</c:v>
                </c:pt>
                <c:pt idx="12">
                  <c:v>89.470000000000013</c:v>
                </c:pt>
                <c:pt idx="13">
                  <c:v>95.63666666666667</c:v>
                </c:pt>
                <c:pt idx="14">
                  <c:v>95.066666666666663</c:v>
                </c:pt>
                <c:pt idx="15">
                  <c:v>79.936666666666667</c:v>
                </c:pt>
                <c:pt idx="16">
                  <c:v>61.706666666666656</c:v>
                </c:pt>
                <c:pt idx="17">
                  <c:v>47.583333333333336</c:v>
                </c:pt>
                <c:pt idx="18">
                  <c:v>53.155061507936502</c:v>
                </c:pt>
                <c:pt idx="19">
                  <c:v>57.058394841269838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9-475B-A24E-0634E4BAB363}"/>
            </c:ext>
          </c:extLst>
        </c:ser>
        <c:ser>
          <c:idx val="1"/>
          <c:order val="1"/>
          <c:tx>
            <c:strRef>
              <c:f>'WTI from OPEC '!$G$2</c:f>
              <c:strCache>
                <c:ptCount val="1"/>
                <c:pt idx="0">
                  <c:v>3yr OPEC av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'!$G$12:$G$31</c:f>
              <c:numCache>
                <c:formatCode>0.00</c:formatCode>
                <c:ptCount val="20"/>
                <c:pt idx="0">
                  <c:v>22.54</c:v>
                </c:pt>
                <c:pt idx="1">
                  <c:v>22.733333333333334</c:v>
                </c:pt>
                <c:pt idx="2">
                  <c:v>25.026666666666667</c:v>
                </c:pt>
                <c:pt idx="3">
                  <c:v>25.193333333333339</c:v>
                </c:pt>
                <c:pt idx="4">
                  <c:v>29.50333333333333</c:v>
                </c:pt>
                <c:pt idx="5">
                  <c:v>38.263333333333335</c:v>
                </c:pt>
                <c:pt idx="6">
                  <c:v>49.256666666666661</c:v>
                </c:pt>
                <c:pt idx="7">
                  <c:v>60.266666666666673</c:v>
                </c:pt>
                <c:pt idx="8">
                  <c:v>74.87</c:v>
                </c:pt>
                <c:pt idx="9">
                  <c:v>74.86333333333333</c:v>
                </c:pt>
                <c:pt idx="10">
                  <c:v>77.653333333333322</c:v>
                </c:pt>
                <c:pt idx="11">
                  <c:v>81.986666666666665</c:v>
                </c:pt>
                <c:pt idx="12">
                  <c:v>98.131952777777769</c:v>
                </c:pt>
                <c:pt idx="13">
                  <c:v>107.62736944444443</c:v>
                </c:pt>
                <c:pt idx="14">
                  <c:v>103.87372222222221</c:v>
                </c:pt>
                <c:pt idx="15">
                  <c:v>83.880661111111095</c:v>
                </c:pt>
                <c:pt idx="16">
                  <c:v>62.129899999999992</c:v>
                </c:pt>
                <c:pt idx="17">
                  <c:v>47.570213888888894</c:v>
                </c:pt>
                <c:pt idx="18">
                  <c:v>54.465983116883116</c:v>
                </c:pt>
                <c:pt idx="19">
                  <c:v>62.45904101140917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9-475B-A24E-0634E4BAB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087496"/>
        <c:axId val="612089464"/>
      </c:lineChart>
      <c:catAx>
        <c:axId val="61208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89464"/>
        <c:crosses val="autoZero"/>
        <c:auto val="1"/>
        <c:lblAlgn val="ctr"/>
        <c:lblOffset val="100"/>
        <c:noMultiLvlLbl val="0"/>
      </c:catAx>
      <c:valAx>
        <c:axId val="61208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87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7021592514209"/>
          <c:y val="5.0925925925925923E-2"/>
          <c:w val="0.83407433564894051"/>
          <c:h val="0.84358323221332854"/>
        </c:manualLayout>
      </c:layout>
      <c:lineChart>
        <c:grouping val="standard"/>
        <c:varyColors val="0"/>
        <c:ser>
          <c:idx val="0"/>
          <c:order val="0"/>
          <c:tx>
            <c:strRef>
              <c:f>'WTI from OPEC '!$B$2</c:f>
              <c:strCache>
                <c:ptCount val="1"/>
                <c:pt idx="0">
                  <c:v> WTI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'!$B$12:$B$31</c:f>
              <c:numCache>
                <c:formatCode>General</c:formatCode>
                <c:ptCount val="20"/>
                <c:pt idx="0">
                  <c:v>19.34</c:v>
                </c:pt>
                <c:pt idx="1">
                  <c:v>30.38</c:v>
                </c:pt>
                <c:pt idx="2">
                  <c:v>25.98</c:v>
                </c:pt>
                <c:pt idx="3">
                  <c:v>26.18</c:v>
                </c:pt>
                <c:pt idx="4">
                  <c:v>31.08</c:v>
                </c:pt>
                <c:pt idx="5">
                  <c:v>41.51</c:v>
                </c:pt>
                <c:pt idx="6">
                  <c:v>56.64</c:v>
                </c:pt>
                <c:pt idx="7">
                  <c:v>66.05</c:v>
                </c:pt>
                <c:pt idx="8">
                  <c:v>72.34</c:v>
                </c:pt>
                <c:pt idx="9">
                  <c:v>99.67</c:v>
                </c:pt>
                <c:pt idx="10">
                  <c:v>61.95</c:v>
                </c:pt>
                <c:pt idx="11">
                  <c:v>79.48</c:v>
                </c:pt>
                <c:pt idx="12">
                  <c:v>94.88</c:v>
                </c:pt>
                <c:pt idx="13">
                  <c:v>94.05</c:v>
                </c:pt>
                <c:pt idx="14">
                  <c:v>97.98</c:v>
                </c:pt>
                <c:pt idx="15">
                  <c:v>93.17</c:v>
                </c:pt>
                <c:pt idx="16">
                  <c:v>48.66</c:v>
                </c:pt>
                <c:pt idx="17">
                  <c:v>43.29</c:v>
                </c:pt>
                <c:pt idx="18" formatCode="0.00">
                  <c:v>50.8</c:v>
                </c:pt>
                <c:pt idx="19" formatCode="0.00">
                  <c:v>65.375184523809523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9-41F2-AAA7-AC32FED2008C}"/>
            </c:ext>
          </c:extLst>
        </c:ser>
        <c:ser>
          <c:idx val="1"/>
          <c:order val="1"/>
          <c:tx>
            <c:strRef>
              <c:f>'WTI from OPEC '!$C$2</c:f>
              <c:strCache>
                <c:ptCount val="1"/>
                <c:pt idx="0">
                  <c:v>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'WTI from OPEC '!$A$12:$A$31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'WTI from OPEC '!$C$12:$C$31</c:f>
              <c:numCache>
                <c:formatCode>0.00</c:formatCode>
                <c:ptCount val="20"/>
                <c:pt idx="0">
                  <c:v>19.211666546011323</c:v>
                </c:pt>
                <c:pt idx="1">
                  <c:v>30.349351605715043</c:v>
                </c:pt>
                <c:pt idx="2">
                  <c:v>25.538750306367202</c:v>
                </c:pt>
                <c:pt idx="3">
                  <c:v>27.166865785408699</c:v>
                </c:pt>
                <c:pt idx="4">
                  <c:v>31.472000000000005</c:v>
                </c:pt>
                <c:pt idx="5">
                  <c:v>40.334538387458657</c:v>
                </c:pt>
                <c:pt idx="6">
                  <c:v>56.584259627716641</c:v>
                </c:pt>
                <c:pt idx="7">
                  <c:v>65.394421786126657</c:v>
                </c:pt>
                <c:pt idx="8">
                  <c:v>73.495924366730463</c:v>
                </c:pt>
                <c:pt idx="9">
                  <c:v>99.078548166276263</c:v>
                </c:pt>
                <c:pt idx="10">
                  <c:v>61.289635363930351</c:v>
                </c:pt>
                <c:pt idx="11">
                  <c:v>74.199377188284956</c:v>
                </c:pt>
                <c:pt idx="12">
                  <c:v>98.425292486792202</c:v>
                </c:pt>
                <c:pt idx="13">
                  <c:v>97.332873409830285</c:v>
                </c:pt>
                <c:pt idx="14">
                  <c:v>99.236640362315399</c:v>
                </c:pt>
                <c:pt idx="15">
                  <c:v>92.573386777056939</c:v>
                </c:pt>
                <c:pt idx="16">
                  <c:v>48.095964203563426</c:v>
                </c:pt>
                <c:pt idx="17">
                  <c:v>40.909472525714953</c:v>
                </c:pt>
                <c:pt idx="18">
                  <c:v>51.455539900896014</c:v>
                </c:pt>
                <c:pt idx="19">
                  <c:v>63.709330131272345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9-41F2-AAA7-AC32FED2008C}"/>
            </c:ext>
          </c:extLst>
        </c:ser>
        <c:ser>
          <c:idx val="2"/>
          <c:order val="2"/>
          <c:tx>
            <c:strRef>
              <c:f>'WTI from OPEC '!$F$2</c:f>
              <c:strCache>
                <c:ptCount val="1"/>
                <c:pt idx="0">
                  <c:v>OPEC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'WTI from OPEC '!$F$12:$F$31</c:f>
              <c:numCache>
                <c:formatCode>0.00</c:formatCode>
                <c:ptCount val="20"/>
                <c:pt idx="0">
                  <c:v>17.48</c:v>
                </c:pt>
                <c:pt idx="1">
                  <c:v>27.6</c:v>
                </c:pt>
                <c:pt idx="2">
                  <c:v>23.12</c:v>
                </c:pt>
                <c:pt idx="3">
                  <c:v>24.36</c:v>
                </c:pt>
                <c:pt idx="4">
                  <c:v>28.1</c:v>
                </c:pt>
                <c:pt idx="5">
                  <c:v>36.049999999999997</c:v>
                </c:pt>
                <c:pt idx="6">
                  <c:v>50.64</c:v>
                </c:pt>
                <c:pt idx="7">
                  <c:v>61.08</c:v>
                </c:pt>
                <c:pt idx="8">
                  <c:v>69.08</c:v>
                </c:pt>
                <c:pt idx="9">
                  <c:v>94.45</c:v>
                </c:pt>
                <c:pt idx="10">
                  <c:v>61.06</c:v>
                </c:pt>
                <c:pt idx="11">
                  <c:v>77.45</c:v>
                </c:pt>
                <c:pt idx="12">
                  <c:v>107.45</c:v>
                </c:pt>
                <c:pt idx="13">
                  <c:v>109.49585833333333</c:v>
                </c:pt>
                <c:pt idx="14">
                  <c:v>105.93624999999999</c:v>
                </c:pt>
                <c:pt idx="15">
                  <c:v>96.189058333333321</c:v>
                </c:pt>
                <c:pt idx="16">
                  <c:v>49.516674999999999</c:v>
                </c:pt>
                <c:pt idx="17">
                  <c:v>40.68396666666667</c:v>
                </c:pt>
                <c:pt idx="18">
                  <c:v>52.51</c:v>
                </c:pt>
                <c:pt idx="19">
                  <c:v>70.203982683982687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9-41F2-AAA7-AC32FED20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7008"/>
        <c:axId val="724253896"/>
      </c:lineChart>
      <c:catAx>
        <c:axId val="72424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253896"/>
        <c:crosses val="autoZero"/>
        <c:auto val="1"/>
        <c:lblAlgn val="ctr"/>
        <c:lblOffset val="100"/>
        <c:noMultiLvlLbl val="0"/>
      </c:catAx>
      <c:valAx>
        <c:axId val="724253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Oil price (2018 US$ per barrel)</a:t>
                </a:r>
              </a:p>
            </c:rich>
          </c:tx>
          <c:layout>
            <c:manualLayout>
              <c:xMode val="edge"/>
              <c:yMode val="edge"/>
              <c:x val="1.6150194681334853E-2"/>
              <c:y val="0.123846237970253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24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3206284143405"/>
          <c:y val="0.54359448788189046"/>
          <c:w val="0.19774697448943407"/>
          <c:h val="0.21026600896701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USA!$W$2</c:f>
              <c:strCache>
                <c:ptCount val="1"/>
                <c:pt idx="0">
                  <c:v>WTI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USA!$A$86:$A$106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USA!$W$86:$W$106</c:f>
              <c:numCache>
                <c:formatCode>General</c:formatCode>
                <c:ptCount val="21"/>
                <c:pt idx="0">
                  <c:v>19.34</c:v>
                </c:pt>
                <c:pt idx="1">
                  <c:v>30.38</c:v>
                </c:pt>
                <c:pt idx="2">
                  <c:v>25.98</c:v>
                </c:pt>
                <c:pt idx="3">
                  <c:v>26.18</c:v>
                </c:pt>
                <c:pt idx="4">
                  <c:v>31.08</c:v>
                </c:pt>
                <c:pt idx="5">
                  <c:v>41.51</c:v>
                </c:pt>
                <c:pt idx="6">
                  <c:v>56.64</c:v>
                </c:pt>
                <c:pt idx="7">
                  <c:v>66.05</c:v>
                </c:pt>
                <c:pt idx="8">
                  <c:v>72.34</c:v>
                </c:pt>
                <c:pt idx="9">
                  <c:v>99.67</c:v>
                </c:pt>
                <c:pt idx="10">
                  <c:v>61.95</c:v>
                </c:pt>
                <c:pt idx="11">
                  <c:v>79.48</c:v>
                </c:pt>
                <c:pt idx="12">
                  <c:v>94.88</c:v>
                </c:pt>
                <c:pt idx="13">
                  <c:v>94.05</c:v>
                </c:pt>
                <c:pt idx="14">
                  <c:v>97.98</c:v>
                </c:pt>
                <c:pt idx="15">
                  <c:v>93.17</c:v>
                </c:pt>
                <c:pt idx="16">
                  <c:v>48.66</c:v>
                </c:pt>
                <c:pt idx="17">
                  <c:v>43.29</c:v>
                </c:pt>
                <c:pt idx="18">
                  <c:v>50.8</c:v>
                </c:pt>
                <c:pt idx="19" formatCode="0.00">
                  <c:v>65.375184523809523</c:v>
                </c:pt>
                <c:pt idx="20" formatCode="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E-4858-8D3B-8F28100CE9BF}"/>
            </c:ext>
          </c:extLst>
        </c:ser>
        <c:ser>
          <c:idx val="1"/>
          <c:order val="1"/>
          <c:tx>
            <c:strRef>
              <c:f>USA!$Y$2</c:f>
              <c:strCache>
                <c:ptCount val="1"/>
                <c:pt idx="0">
                  <c:v>OPEC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USA!$A$86:$A$106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USA!$Y$86:$Y$106</c:f>
              <c:numCache>
                <c:formatCode>0.00</c:formatCode>
                <c:ptCount val="21"/>
                <c:pt idx="0">
                  <c:v>17.48</c:v>
                </c:pt>
                <c:pt idx="1">
                  <c:v>27.6</c:v>
                </c:pt>
                <c:pt idx="2">
                  <c:v>23.12</c:v>
                </c:pt>
                <c:pt idx="3">
                  <c:v>24.36</c:v>
                </c:pt>
                <c:pt idx="4">
                  <c:v>28.1</c:v>
                </c:pt>
                <c:pt idx="5">
                  <c:v>36.049999999999997</c:v>
                </c:pt>
                <c:pt idx="6">
                  <c:v>50.64</c:v>
                </c:pt>
                <c:pt idx="7">
                  <c:v>61.08</c:v>
                </c:pt>
                <c:pt idx="8">
                  <c:v>69.08</c:v>
                </c:pt>
                <c:pt idx="9">
                  <c:v>94.45</c:v>
                </c:pt>
                <c:pt idx="10">
                  <c:v>61.06</c:v>
                </c:pt>
                <c:pt idx="11">
                  <c:v>77.45</c:v>
                </c:pt>
                <c:pt idx="12">
                  <c:v>107.45</c:v>
                </c:pt>
                <c:pt idx="13">
                  <c:v>109.49585833333333</c:v>
                </c:pt>
                <c:pt idx="14">
                  <c:v>105.93624999999999</c:v>
                </c:pt>
                <c:pt idx="15">
                  <c:v>96.189058333333321</c:v>
                </c:pt>
                <c:pt idx="16">
                  <c:v>49.516674999999999</c:v>
                </c:pt>
                <c:pt idx="17">
                  <c:v>40.68396666666667</c:v>
                </c:pt>
                <c:pt idx="18">
                  <c:v>52.51</c:v>
                </c:pt>
                <c:pt idx="19">
                  <c:v>70.203982683982687</c:v>
                </c:pt>
                <c:pt idx="2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E-4858-8D3B-8F28100CE9BF}"/>
            </c:ext>
          </c:extLst>
        </c:ser>
        <c:ser>
          <c:idx val="2"/>
          <c:order val="2"/>
          <c:tx>
            <c:strRef>
              <c:f>USA!$AB$2</c:f>
              <c:strCache>
                <c:ptCount val="1"/>
                <c:pt idx="0">
                  <c:v>TAPIS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USA!$A$86:$A$106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USA!$AB$86:$AB$106</c:f>
              <c:numCache>
                <c:formatCode>0.00</c:formatCode>
                <c:ptCount val="21"/>
                <c:pt idx="0">
                  <c:v>17.309999999999999</c:v>
                </c:pt>
                <c:pt idx="1">
                  <c:v>29.53</c:v>
                </c:pt>
                <c:pt idx="2">
                  <c:v>26.26</c:v>
                </c:pt>
                <c:pt idx="3">
                  <c:v>25.59</c:v>
                </c:pt>
                <c:pt idx="4">
                  <c:v>30.17</c:v>
                </c:pt>
                <c:pt idx="5">
                  <c:v>41.14</c:v>
                </c:pt>
                <c:pt idx="6">
                  <c:v>57.63</c:v>
                </c:pt>
                <c:pt idx="7">
                  <c:v>70.02</c:v>
                </c:pt>
                <c:pt idx="8">
                  <c:v>77.52</c:v>
                </c:pt>
                <c:pt idx="9">
                  <c:v>104.41</c:v>
                </c:pt>
                <c:pt idx="10">
                  <c:v>64.760000000000005</c:v>
                </c:pt>
                <c:pt idx="11">
                  <c:v>82.411666666666676</c:v>
                </c:pt>
                <c:pt idx="12">
                  <c:v>116.04166666666667</c:v>
                </c:pt>
                <c:pt idx="13">
                  <c:v>114.375</c:v>
                </c:pt>
                <c:pt idx="14">
                  <c:v>113.73995308663781</c:v>
                </c:pt>
                <c:pt idx="15">
                  <c:v>106.4385730593545</c:v>
                </c:pt>
                <c:pt idx="16">
                  <c:v>67.676211458872089</c:v>
                </c:pt>
                <c:pt idx="17">
                  <c:v>57.427116730602677</c:v>
                </c:pt>
                <c:pt idx="18">
                  <c:v>69.000808761812394</c:v>
                </c:pt>
                <c:pt idx="19" formatCode="General">
                  <c:v>72.254053325073102</c:v>
                </c:pt>
                <c:pt idx="20">
                  <c:v>61.185497043734323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E-4858-8D3B-8F28100CE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514752"/>
        <c:axId val="740513768"/>
      </c:lineChart>
      <c:catAx>
        <c:axId val="740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13768"/>
        <c:crosses val="autoZero"/>
        <c:auto val="1"/>
        <c:lblAlgn val="ctr"/>
        <c:lblOffset val="100"/>
        <c:noMultiLvlLbl val="0"/>
      </c:catAx>
      <c:valAx>
        <c:axId val="74051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51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'Tapis from OPEC'!$D$11</c:f>
              <c:strCache>
                <c:ptCount val="1"/>
                <c:pt idx="0">
                  <c:v>TAPIS/OPEC ratio</c:v>
                </c:pt>
              </c:strCache>
            </c:strRef>
          </c:tx>
          <c:spPr>
            <a:ln w="476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'Tapis from OPEC'!$A$12:$A$32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'Tapis from OPEC'!$D$12:$D$32</c:f>
              <c:numCache>
                <c:formatCode>0.00</c:formatCode>
                <c:ptCount val="21"/>
                <c:pt idx="0">
                  <c:v>0.99027459954233399</c:v>
                </c:pt>
                <c:pt idx="1">
                  <c:v>1.0699275362318841</c:v>
                </c:pt>
                <c:pt idx="2">
                  <c:v>1.1358131487889274</c:v>
                </c:pt>
                <c:pt idx="3">
                  <c:v>1.0504926108374384</c:v>
                </c:pt>
                <c:pt idx="4">
                  <c:v>1.0736654804270462</c:v>
                </c:pt>
                <c:pt idx="5">
                  <c:v>1.1411927877947297</c:v>
                </c:pt>
                <c:pt idx="6">
                  <c:v>1.1380331753554502</c:v>
                </c:pt>
                <c:pt idx="7">
                  <c:v>1.1463654223968565</c:v>
                </c:pt>
                <c:pt idx="8">
                  <c:v>1.1221771858714533</c:v>
                </c:pt>
                <c:pt idx="9">
                  <c:v>1.105452620434092</c:v>
                </c:pt>
                <c:pt idx="10">
                  <c:v>1.0605961349492303</c:v>
                </c:pt>
                <c:pt idx="11">
                  <c:v>1.0640628362384335</c:v>
                </c:pt>
                <c:pt idx="12">
                  <c:v>1.0799596711648829</c:v>
                </c:pt>
                <c:pt idx="13">
                  <c:v>1.0445600567997131</c:v>
                </c:pt>
                <c:pt idx="14">
                  <c:v>1.0736641431675922</c:v>
                </c:pt>
                <c:pt idx="15">
                  <c:v>1.1065559316580742</c:v>
                </c:pt>
                <c:pt idx="16">
                  <c:v>1.3667357806006177</c:v>
                </c:pt>
                <c:pt idx="17">
                  <c:v>1.4115417309505875</c:v>
                </c:pt>
                <c:pt idx="18">
                  <c:v>1.3140508238775928</c:v>
                </c:pt>
                <c:pt idx="19">
                  <c:v>1.0292016287782224</c:v>
                </c:pt>
                <c:pt idx="20">
                  <c:v>1.0197582840622388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5-4597-8FC4-51C45ADB0C00}"/>
            </c:ext>
          </c:extLst>
        </c:ser>
        <c:ser>
          <c:idx val="1"/>
          <c:order val="1"/>
          <c:tx>
            <c:strRef>
              <c:f>'Tapis from OPEC'!$E$11</c:f>
              <c:strCache>
                <c:ptCount val="1"/>
                <c:pt idx="0">
                  <c:v>pred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'Tapis from OPEC'!$A$12:$A$32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'Tapis from OPEC'!$E$12:$E$32</c:f>
              <c:numCache>
                <c:formatCode>0.00</c:formatCode>
                <c:ptCount val="21"/>
                <c:pt idx="0">
                  <c:v>0.99027459954233399</c:v>
                </c:pt>
                <c:pt idx="1">
                  <c:v>1.0619250634342081</c:v>
                </c:pt>
                <c:pt idx="2">
                  <c:v>1.1358131487889276</c:v>
                </c:pt>
                <c:pt idx="3">
                  <c:v>1.0619250634342081</c:v>
                </c:pt>
                <c:pt idx="4">
                  <c:v>1.0619250634342081</c:v>
                </c:pt>
                <c:pt idx="5">
                  <c:v>1.1367381028565906</c:v>
                </c:pt>
                <c:pt idx="6">
                  <c:v>1.1367381028565906</c:v>
                </c:pt>
                <c:pt idx="7">
                  <c:v>1.1367381028565906</c:v>
                </c:pt>
                <c:pt idx="8">
                  <c:v>1.1367381028565906</c:v>
                </c:pt>
                <c:pt idx="9">
                  <c:v>1.1068128870876377</c:v>
                </c:pt>
                <c:pt idx="10">
                  <c:v>1.0619250634342081</c:v>
                </c:pt>
                <c:pt idx="11">
                  <c:v>1.0619250634342081</c:v>
                </c:pt>
                <c:pt idx="12">
                  <c:v>1.0619250634342081</c:v>
                </c:pt>
                <c:pt idx="13">
                  <c:v>1.0619250634342081</c:v>
                </c:pt>
                <c:pt idx="14">
                  <c:v>1.0619250634342081</c:v>
                </c:pt>
                <c:pt idx="15">
                  <c:v>1.1150719385786227</c:v>
                </c:pt>
                <c:pt idx="16">
                  <c:v>1.3630906892525574</c:v>
                </c:pt>
                <c:pt idx="17">
                  <c:v>1.4162375643969718</c:v>
                </c:pt>
                <c:pt idx="18">
                  <c:v>1.3099438141081428</c:v>
                </c:pt>
                <c:pt idx="19">
                  <c:v>1.0619250634342081</c:v>
                </c:pt>
                <c:pt idx="20">
                  <c:v>1.0619250634342081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5-4597-8FC4-51C45ADB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615104"/>
        <c:axId val="688612808"/>
      </c:lineChart>
      <c:catAx>
        <c:axId val="6886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612808"/>
        <c:crosses val="autoZero"/>
        <c:auto val="1"/>
        <c:lblAlgn val="ctr"/>
        <c:lblOffset val="100"/>
        <c:noMultiLvlLbl val="0"/>
      </c:catAx>
      <c:valAx>
        <c:axId val="68861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61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'Tapis from OPEC'!$B$11</c:f>
              <c:strCache>
                <c:ptCount val="1"/>
                <c:pt idx="0">
                  <c:v>TAPIS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'Tapis from OPEC'!$A$12:$A$32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'Tapis from OPEC'!$B$12:$B$32</c:f>
              <c:numCache>
                <c:formatCode>0.00</c:formatCode>
                <c:ptCount val="21"/>
                <c:pt idx="0">
                  <c:v>17.309999999999999</c:v>
                </c:pt>
                <c:pt idx="1">
                  <c:v>29.53</c:v>
                </c:pt>
                <c:pt idx="2">
                  <c:v>26.26</c:v>
                </c:pt>
                <c:pt idx="3">
                  <c:v>25.59</c:v>
                </c:pt>
                <c:pt idx="4">
                  <c:v>30.17</c:v>
                </c:pt>
                <c:pt idx="5">
                  <c:v>41.14</c:v>
                </c:pt>
                <c:pt idx="6">
                  <c:v>57.63</c:v>
                </c:pt>
                <c:pt idx="7">
                  <c:v>70.02</c:v>
                </c:pt>
                <c:pt idx="8">
                  <c:v>77.52</c:v>
                </c:pt>
                <c:pt idx="9">
                  <c:v>104.41</c:v>
                </c:pt>
                <c:pt idx="10">
                  <c:v>64.760000000000005</c:v>
                </c:pt>
                <c:pt idx="11">
                  <c:v>82.411666666666676</c:v>
                </c:pt>
                <c:pt idx="12">
                  <c:v>116.04166666666667</c:v>
                </c:pt>
                <c:pt idx="13">
                  <c:v>114.375</c:v>
                </c:pt>
                <c:pt idx="14">
                  <c:v>113.73995308663781</c:v>
                </c:pt>
                <c:pt idx="15">
                  <c:v>106.4385730593545</c:v>
                </c:pt>
                <c:pt idx="16">
                  <c:v>67.676211458872089</c:v>
                </c:pt>
                <c:pt idx="17">
                  <c:v>57.427116730602677</c:v>
                </c:pt>
                <c:pt idx="18">
                  <c:v>69.000808761812394</c:v>
                </c:pt>
                <c:pt idx="19">
                  <c:v>72.254053325073102</c:v>
                </c:pt>
                <c:pt idx="20">
                  <c:v>61.185497043734323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4-4399-A7E0-DA13B2E03BDE}"/>
            </c:ext>
          </c:extLst>
        </c:ser>
        <c:ser>
          <c:idx val="1"/>
          <c:order val="1"/>
          <c:tx>
            <c:strRef>
              <c:f>'Tapis from OPEC'!$C$11</c:f>
              <c:strCache>
                <c:ptCount val="1"/>
                <c:pt idx="0">
                  <c:v>OPEC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'Tapis from OPEC'!$A$12:$A$32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'Tapis from OPEC'!$C$12:$C$32</c:f>
              <c:numCache>
                <c:formatCode>0.00</c:formatCode>
                <c:ptCount val="21"/>
                <c:pt idx="0">
                  <c:v>17.48</c:v>
                </c:pt>
                <c:pt idx="1">
                  <c:v>27.6</c:v>
                </c:pt>
                <c:pt idx="2">
                  <c:v>23.12</c:v>
                </c:pt>
                <c:pt idx="3">
                  <c:v>24.36</c:v>
                </c:pt>
                <c:pt idx="4">
                  <c:v>28.1</c:v>
                </c:pt>
                <c:pt idx="5">
                  <c:v>36.049999999999997</c:v>
                </c:pt>
                <c:pt idx="6">
                  <c:v>50.64</c:v>
                </c:pt>
                <c:pt idx="7">
                  <c:v>61.08</c:v>
                </c:pt>
                <c:pt idx="8">
                  <c:v>69.08</c:v>
                </c:pt>
                <c:pt idx="9">
                  <c:v>94.45</c:v>
                </c:pt>
                <c:pt idx="10">
                  <c:v>61.06</c:v>
                </c:pt>
                <c:pt idx="11">
                  <c:v>77.45</c:v>
                </c:pt>
                <c:pt idx="12">
                  <c:v>107.45</c:v>
                </c:pt>
                <c:pt idx="13">
                  <c:v>109.49585833333333</c:v>
                </c:pt>
                <c:pt idx="14">
                  <c:v>105.93624999999999</c:v>
                </c:pt>
                <c:pt idx="15">
                  <c:v>96.189058333333321</c:v>
                </c:pt>
                <c:pt idx="16">
                  <c:v>49.516674999999999</c:v>
                </c:pt>
                <c:pt idx="17">
                  <c:v>40.68396666666667</c:v>
                </c:pt>
                <c:pt idx="18">
                  <c:v>52.51</c:v>
                </c:pt>
                <c:pt idx="19">
                  <c:v>70.203982683982687</c:v>
                </c:pt>
                <c:pt idx="2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4-4399-A7E0-DA13B2E0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708256"/>
        <c:axId val="688716456"/>
      </c:lineChart>
      <c:catAx>
        <c:axId val="6887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716456"/>
        <c:crosses val="autoZero"/>
        <c:auto val="1"/>
        <c:lblAlgn val="ctr"/>
        <c:lblOffset val="100"/>
        <c:noMultiLvlLbl val="0"/>
      </c:catAx>
      <c:valAx>
        <c:axId val="68871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70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5454797603142E-2"/>
          <c:y val="3.251103860919289E-2"/>
          <c:w val="0.83616422947131608"/>
          <c:h val="0.83430926551458373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Austria!$AW$44:$AW$97</c:f>
              <c:numCache>
                <c:formatCode>0.00</c:formatCode>
                <c:ptCount val="54"/>
                <c:pt idx="0">
                  <c:v>1.0502591920413913</c:v>
                </c:pt>
                <c:pt idx="1">
                  <c:v>1.0623096610779459</c:v>
                </c:pt>
                <c:pt idx="2">
                  <c:v>1.053629057099001</c:v>
                </c:pt>
                <c:pt idx="3">
                  <c:v>1.025280864018066</c:v>
                </c:pt>
                <c:pt idx="4">
                  <c:v>0.99464160551061365</c:v>
                </c:pt>
                <c:pt idx="5">
                  <c:v>0.93853206616690854</c:v>
                </c:pt>
                <c:pt idx="6">
                  <c:v>0.86052100894714145</c:v>
                </c:pt>
                <c:pt idx="7">
                  <c:v>0.87148688633341131</c:v>
                </c:pt>
                <c:pt idx="8">
                  <c:v>1.0896809004956713</c:v>
                </c:pt>
                <c:pt idx="9">
                  <c:v>1.3036695743025046</c:v>
                </c:pt>
                <c:pt idx="10">
                  <c:v>1.0344076234202442</c:v>
                </c:pt>
                <c:pt idx="11">
                  <c:v>1.1357520781059358</c:v>
                </c:pt>
                <c:pt idx="12">
                  <c:v>1.2414782912138655</c:v>
                </c:pt>
                <c:pt idx="13">
                  <c:v>1.165394419406826</c:v>
                </c:pt>
                <c:pt idx="14">
                  <c:v>1.208236305680664</c:v>
                </c:pt>
                <c:pt idx="15">
                  <c:v>1.3108050405197995</c:v>
                </c:pt>
                <c:pt idx="16">
                  <c:v>1.483813304461401</c:v>
                </c:pt>
                <c:pt idx="17">
                  <c:v>1.5142456971127478</c:v>
                </c:pt>
                <c:pt idx="18">
                  <c:v>1.4357441583233903</c:v>
                </c:pt>
                <c:pt idx="19">
                  <c:v>1.4005193890474574</c:v>
                </c:pt>
                <c:pt idx="20">
                  <c:v>1.4156920562116952</c:v>
                </c:pt>
                <c:pt idx="21">
                  <c:v>1.1146743127632941</c:v>
                </c:pt>
                <c:pt idx="22">
                  <c:v>1.0707529039363657</c:v>
                </c:pt>
                <c:pt idx="23">
                  <c:v>1.0135454754332176</c:v>
                </c:pt>
                <c:pt idx="24">
                  <c:v>1.0646725694203434</c:v>
                </c:pt>
                <c:pt idx="25">
                  <c:v>1.0124274107908384</c:v>
                </c:pt>
                <c:pt idx="26">
                  <c:v>0.9445074190138526</c:v>
                </c:pt>
                <c:pt idx="27">
                  <c:v>0.9540528130131829</c:v>
                </c:pt>
                <c:pt idx="28">
                  <c:v>0.91531484206461311</c:v>
                </c:pt>
                <c:pt idx="29">
                  <c:v>0.92620679008388396</c:v>
                </c:pt>
                <c:pt idx="30">
                  <c:v>0.99718095749285574</c:v>
                </c:pt>
                <c:pt idx="31">
                  <c:v>1.0024275408164798</c:v>
                </c:pt>
                <c:pt idx="32">
                  <c:v>1.0075191920079429</c:v>
                </c:pt>
                <c:pt idx="33">
                  <c:v>0.94333212219741069</c:v>
                </c:pt>
                <c:pt idx="34">
                  <c:v>0.96081457685099003</c:v>
                </c:pt>
                <c:pt idx="35">
                  <c:v>1.1222500925600176</c:v>
                </c:pt>
                <c:pt idx="36">
                  <c:v>1.0531795579559113</c:v>
                </c:pt>
                <c:pt idx="37">
                  <c:v>0.99390821691288744</c:v>
                </c:pt>
                <c:pt idx="38">
                  <c:v>0.98518707879958911</c:v>
                </c:pt>
                <c:pt idx="39">
                  <c:v>1.0425584732123729</c:v>
                </c:pt>
                <c:pt idx="40">
                  <c:v>1.1121733262979323</c:v>
                </c:pt>
                <c:pt idx="41">
                  <c:v>1.1578775283112863</c:v>
                </c:pt>
                <c:pt idx="42">
                  <c:v>1.1660434170962528</c:v>
                </c:pt>
                <c:pt idx="43">
                  <c:v>1.2340880232048352</c:v>
                </c:pt>
                <c:pt idx="44">
                  <c:v>1.0619151387599999</c:v>
                </c:pt>
                <c:pt idx="45">
                  <c:v>1.1870000000000001</c:v>
                </c:pt>
                <c:pt idx="46">
                  <c:v>1.3144653061767282</c:v>
                </c:pt>
                <c:pt idx="47">
                  <c:v>1.3698603695503437</c:v>
                </c:pt>
                <c:pt idx="48">
                  <c:v>1.2903854249082023</c:v>
                </c:pt>
                <c:pt idx="49">
                  <c:v>1.230527804492098</c:v>
                </c:pt>
                <c:pt idx="50">
                  <c:v>1.0862098309845118</c:v>
                </c:pt>
                <c:pt idx="51">
                  <c:v>0.99541230266822578</c:v>
                </c:pt>
                <c:pt idx="52">
                  <c:v>1.0330537549122361</c:v>
                </c:pt>
                <c:pt idx="53">
                  <c:v>1.0882702072564576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5-4E69-BB5E-67741DCFD4F2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Austria!$AX$44:$AX$97</c:f>
              <c:numCache>
                <c:formatCode>0.00</c:formatCode>
                <c:ptCount val="54"/>
                <c:pt idx="0">
                  <c:v>1.0229517049286749</c:v>
                </c:pt>
                <c:pt idx="1">
                  <c:v>1.0395897467859911</c:v>
                </c:pt>
                <c:pt idx="2">
                  <c:v>1.0408938050647027</c:v>
                </c:pt>
                <c:pt idx="3">
                  <c:v>1.0192596792015536</c:v>
                </c:pt>
                <c:pt idx="4">
                  <c:v>0.99587706599887893</c:v>
                </c:pt>
                <c:pt idx="5">
                  <c:v>0.95724826069435565</c:v>
                </c:pt>
                <c:pt idx="6">
                  <c:v>0.90543614461415667</c:v>
                </c:pt>
                <c:pt idx="7">
                  <c:v>0.87099730607906634</c:v>
                </c:pt>
                <c:pt idx="8">
                  <c:v>1.0604910021622347</c:v>
                </c:pt>
                <c:pt idx="9">
                  <c:v>1.3328594726359411</c:v>
                </c:pt>
                <c:pt idx="10">
                  <c:v>0.97479186857778033</c:v>
                </c:pt>
                <c:pt idx="11">
                  <c:v>1.1838472234480848</c:v>
                </c:pt>
                <c:pt idx="12">
                  <c:v>1.2337298866428008</c:v>
                </c:pt>
                <c:pt idx="13">
                  <c:v>1.1508782963594784</c:v>
                </c:pt>
                <c:pt idx="14">
                  <c:v>1.2464280706264899</c:v>
                </c:pt>
                <c:pt idx="15">
                  <c:v>1.2462969061375455</c:v>
                </c:pt>
                <c:pt idx="16">
                  <c:v>1.4915685453513112</c:v>
                </c:pt>
                <c:pt idx="17">
                  <c:v>1.4915671679282594</c:v>
                </c:pt>
                <c:pt idx="18">
                  <c:v>1.4227640008134783</c:v>
                </c:pt>
                <c:pt idx="19">
                  <c:v>1.4503257118033892</c:v>
                </c:pt>
                <c:pt idx="20">
                  <c:v>1.4616375766618654</c:v>
                </c:pt>
                <c:pt idx="21">
                  <c:v>1.1008883780979621</c:v>
                </c:pt>
                <c:pt idx="22">
                  <c:v>1.0941011946085188</c:v>
                </c:pt>
                <c:pt idx="23">
                  <c:v>1.0095183530685268</c:v>
                </c:pt>
                <c:pt idx="24">
                  <c:v>1.0721034751498653</c:v>
                </c:pt>
                <c:pt idx="25">
                  <c:v>1.0025455352473422</c:v>
                </c:pt>
                <c:pt idx="26">
                  <c:v>0.92991447506595837</c:v>
                </c:pt>
                <c:pt idx="27">
                  <c:v>0.94474731749461216</c:v>
                </c:pt>
                <c:pt idx="28">
                  <c:v>0.9327887546835647</c:v>
                </c:pt>
                <c:pt idx="29">
                  <c:v>0.93108918392510365</c:v>
                </c:pt>
                <c:pt idx="30">
                  <c:v>1.0008272729197947</c:v>
                </c:pt>
                <c:pt idx="31">
                  <c:v>1.0153345512842751</c:v>
                </c:pt>
                <c:pt idx="32">
                  <c:v>1.0167810160359623</c:v>
                </c:pt>
                <c:pt idx="33">
                  <c:v>0.96352710153522303</c:v>
                </c:pt>
                <c:pt idx="34">
                  <c:v>0.98682030278270694</c:v>
                </c:pt>
                <c:pt idx="35">
                  <c:v>1.0905254495655077</c:v>
                </c:pt>
                <c:pt idx="36">
                  <c:v>1.0341934646471536</c:v>
                </c:pt>
                <c:pt idx="37">
                  <c:v>1.0122590405932901</c:v>
                </c:pt>
                <c:pt idx="38">
                  <c:v>0.99598111239695941</c:v>
                </c:pt>
                <c:pt idx="39">
                  <c:v>1.0297343623553821</c:v>
                </c:pt>
                <c:pt idx="40">
                  <c:v>1.0980845044621019</c:v>
                </c:pt>
                <c:pt idx="41">
                  <c:v>1.1436203159805911</c:v>
                </c:pt>
                <c:pt idx="42">
                  <c:v>1.1594815401566576</c:v>
                </c:pt>
                <c:pt idx="43">
                  <c:v>1.2258597618153018</c:v>
                </c:pt>
                <c:pt idx="44">
                  <c:v>1.0767052770891286</c:v>
                </c:pt>
                <c:pt idx="45">
                  <c:v>1.2081959671149314</c:v>
                </c:pt>
                <c:pt idx="46">
                  <c:v>1.3403244918628576</c:v>
                </c:pt>
                <c:pt idx="47">
                  <c:v>1.3686678347273635</c:v>
                </c:pt>
                <c:pt idx="48">
                  <c:v>1.2804593465043896</c:v>
                </c:pt>
                <c:pt idx="49">
                  <c:v>1.2226046237288637</c:v>
                </c:pt>
                <c:pt idx="50">
                  <c:v>1.0503160085324552</c:v>
                </c:pt>
                <c:pt idx="51">
                  <c:v>0.98987214638158427</c:v>
                </c:pt>
                <c:pt idx="52">
                  <c:v>1.0310206271140294</c:v>
                </c:pt>
                <c:pt idx="53">
                  <c:v>1.0895617299978362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5-4E69-BB5E-67741DCF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70304"/>
        <c:axId val="107571840"/>
      </c:lineChart>
      <c:catAx>
        <c:axId val="1075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571840"/>
        <c:crosses val="autoZero"/>
        <c:auto val="1"/>
        <c:lblAlgn val="ctr"/>
        <c:lblOffset val="100"/>
        <c:noMultiLvlLbl val="0"/>
      </c:catAx>
      <c:valAx>
        <c:axId val="107571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2010 Euros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7570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991186033253118"/>
          <c:y val="0.45290508525380324"/>
          <c:w val="0.11605682851287415"/>
          <c:h val="0.202535363899426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'Country forecasts'!$B$3</c:f>
              <c:strCache>
                <c:ptCount val="1"/>
                <c:pt idx="0">
                  <c:v>Australia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'Country forecasts'!$A$4:$A$24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'Country forecasts'!$B$4:$B$24</c:f>
              <c:numCache>
                <c:formatCode>0.00</c:formatCode>
                <c:ptCount val="21"/>
                <c:pt idx="0">
                  <c:v>1.4576299374953985</c:v>
                </c:pt>
                <c:pt idx="1">
                  <c:v>1.580935509025881</c:v>
                </c:pt>
                <c:pt idx="2">
                  <c:v>1.5781501817765069</c:v>
                </c:pt>
                <c:pt idx="3">
                  <c:v>1.5694677056232293</c:v>
                </c:pt>
                <c:pt idx="4">
                  <c:v>1.5412200332171693</c:v>
                </c:pt>
                <c:pt idx="5">
                  <c:v>1.3224989495340207</c:v>
                </c:pt>
                <c:pt idx="6">
                  <c:v>1.1895981614201958</c:v>
                </c:pt>
                <c:pt idx="7">
                  <c:v>1.2802082212403147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C-456F-8763-D21269408573}"/>
            </c:ext>
          </c:extLst>
        </c:ser>
        <c:ser>
          <c:idx val="1"/>
          <c:order val="1"/>
          <c:tx>
            <c:strRef>
              <c:f>'Country forecasts'!$C$3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'Country forecasts'!$A$4:$A$24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'Country forecasts'!$C$4:$C$24</c:f>
              <c:numCache>
                <c:formatCode>0.00</c:formatCode>
                <c:ptCount val="21"/>
                <c:pt idx="7">
                  <c:v>1.2802082212403147</c:v>
                </c:pt>
                <c:pt idx="8">
                  <c:v>1.4390004647225316</c:v>
                </c:pt>
                <c:pt idx="9">
                  <c:v>1.7482609682764667</c:v>
                </c:pt>
                <c:pt idx="10">
                  <c:v>1.8900556401349302</c:v>
                </c:pt>
                <c:pt idx="11">
                  <c:v>2.0401911750438906</c:v>
                </c:pt>
                <c:pt idx="12">
                  <c:v>2.1069180794478739</c:v>
                </c:pt>
                <c:pt idx="13">
                  <c:v>2.1569632577508608</c:v>
                </c:pt>
                <c:pt idx="14">
                  <c:v>2.1986675730033496</c:v>
                </c:pt>
                <c:pt idx="15">
                  <c:v>2.2403718882558388</c:v>
                </c:pt>
                <c:pt idx="16">
                  <c:v>2.2820762035083288</c:v>
                </c:pt>
                <c:pt idx="17">
                  <c:v>2.3237805187608176</c:v>
                </c:pt>
                <c:pt idx="18">
                  <c:v>2.357143970962809</c:v>
                </c:pt>
                <c:pt idx="19">
                  <c:v>2.3988482862152978</c:v>
                </c:pt>
                <c:pt idx="20">
                  <c:v>2.423870875366791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C-456F-8763-D21269408573}"/>
            </c:ext>
          </c:extLst>
        </c:ser>
        <c:ser>
          <c:idx val="2"/>
          <c:order val="2"/>
          <c:tx>
            <c:strRef>
              <c:f>'Country forecasts'!$D$3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'Country forecasts'!$A$4:$A$24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'Country forecasts'!$D$4:$D$24</c:f>
              <c:numCache>
                <c:formatCode>0.00</c:formatCode>
                <c:ptCount val="21"/>
                <c:pt idx="7">
                  <c:v>1.2802082212403147</c:v>
                </c:pt>
                <c:pt idx="8">
                  <c:v>1.4390004647225316</c:v>
                </c:pt>
                <c:pt idx="9">
                  <c:v>1.4139188633337343</c:v>
                </c:pt>
                <c:pt idx="10">
                  <c:v>1.4161597082634885</c:v>
                </c:pt>
                <c:pt idx="11">
                  <c:v>1.4821801356925928</c:v>
                </c:pt>
                <c:pt idx="12">
                  <c:v>1.531336883495076</c:v>
                </c:pt>
                <c:pt idx="13">
                  <c:v>1.5539571608675684</c:v>
                </c:pt>
                <c:pt idx="14">
                  <c:v>1.5599376792500201</c:v>
                </c:pt>
                <c:pt idx="15">
                  <c:v>1.5912302802336133</c:v>
                </c:pt>
                <c:pt idx="16">
                  <c:v>1.6462306725382883</c:v>
                </c:pt>
                <c:pt idx="17">
                  <c:v>1.674576483059812</c:v>
                </c:pt>
                <c:pt idx="18">
                  <c:v>1.6925200883451526</c:v>
                </c:pt>
                <c:pt idx="19">
                  <c:v>1.7168414481797558</c:v>
                </c:pt>
                <c:pt idx="20">
                  <c:v>1.7354382664386085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C-456F-8763-D21269408573}"/>
            </c:ext>
          </c:extLst>
        </c:ser>
        <c:ser>
          <c:idx val="3"/>
          <c:order val="3"/>
          <c:tx>
            <c:strRef>
              <c:f>'Country forecasts'!$E$3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'Country forecasts'!$A$4:$A$24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'Country forecasts'!$E$4:$E$24</c:f>
              <c:numCache>
                <c:formatCode>0.00</c:formatCode>
                <c:ptCount val="21"/>
                <c:pt idx="7">
                  <c:v>1.2802082212403147</c:v>
                </c:pt>
                <c:pt idx="8">
                  <c:v>1.4390004647225316</c:v>
                </c:pt>
                <c:pt idx="9">
                  <c:v>1.1226962394891289</c:v>
                </c:pt>
                <c:pt idx="10">
                  <c:v>1.1310371025396266</c:v>
                </c:pt>
                <c:pt idx="11">
                  <c:v>1.1477188286406226</c:v>
                </c:pt>
                <c:pt idx="12">
                  <c:v>1.1560596916911201</c:v>
                </c:pt>
                <c:pt idx="13">
                  <c:v>1.1560596916911201</c:v>
                </c:pt>
                <c:pt idx="14">
                  <c:v>1.1560596916911201</c:v>
                </c:pt>
                <c:pt idx="15">
                  <c:v>1.1644005547416183</c:v>
                </c:pt>
                <c:pt idx="16">
                  <c:v>1.172741417792116</c:v>
                </c:pt>
                <c:pt idx="17">
                  <c:v>1.1810822808426138</c:v>
                </c:pt>
                <c:pt idx="18">
                  <c:v>1.1810822808426138</c:v>
                </c:pt>
                <c:pt idx="19">
                  <c:v>1.1810822808426138</c:v>
                </c:pt>
                <c:pt idx="20">
                  <c:v>1.1894231438931115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8C-456F-8763-D2126940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268008"/>
        <c:axId val="790271288"/>
      </c:lineChart>
      <c:catAx>
        <c:axId val="79026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71288"/>
        <c:crosses val="autoZero"/>
        <c:auto val="1"/>
        <c:lblAlgn val="ctr"/>
        <c:lblOffset val="100"/>
        <c:noMultiLvlLbl val="0"/>
      </c:catAx>
      <c:valAx>
        <c:axId val="79027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68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9625430977195"/>
          <c:y val="1.9366218660550806E-2"/>
          <c:w val="0.72872630468681332"/>
          <c:h val="0.90184141271089358"/>
        </c:manualLayout>
      </c:layout>
      <c:lineChart>
        <c:grouping val="standard"/>
        <c:varyColors val="0"/>
        <c:ser>
          <c:idx val="0"/>
          <c:order val="0"/>
          <c:tx>
            <c:strRef>
              <c:f>'Country Petrol Prices 2010 US$'!$B$3</c:f>
              <c:strCache>
                <c:ptCount val="1"/>
                <c:pt idx="0">
                  <c:v>Australia</c:v>
                </c:pt>
              </c:strCache>
            </c:strRef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US$'!$B$4:$B$56</c:f>
              <c:numCache>
                <c:formatCode>0.00</c:formatCode>
                <c:ptCount val="53"/>
                <c:pt idx="0">
                  <c:v>59.083812134136977</c:v>
                </c:pt>
                <c:pt idx="1">
                  <c:v>60.322097268050783</c:v>
                </c:pt>
                <c:pt idx="2">
                  <c:v>60.795890454136526</c:v>
                </c:pt>
                <c:pt idx="3">
                  <c:v>59.444406777716871</c:v>
                </c:pt>
                <c:pt idx="4">
                  <c:v>57.055869418094197</c:v>
                </c:pt>
                <c:pt idx="5">
                  <c:v>57.530935276684552</c:v>
                </c:pt>
                <c:pt idx="6">
                  <c:v>59.944973328454871</c:v>
                </c:pt>
                <c:pt idx="7">
                  <c:v>62.785200051748973</c:v>
                </c:pt>
                <c:pt idx="8">
                  <c:v>76.358119525365197</c:v>
                </c:pt>
                <c:pt idx="9">
                  <c:v>81.806584401905653</c:v>
                </c:pt>
                <c:pt idx="10">
                  <c:v>81.015681615978892</c:v>
                </c:pt>
                <c:pt idx="11">
                  <c:v>77.897896794671794</c:v>
                </c:pt>
                <c:pt idx="12">
                  <c:v>70.27048293562062</c:v>
                </c:pt>
                <c:pt idx="13">
                  <c:v>75.310251010481096</c:v>
                </c:pt>
                <c:pt idx="14">
                  <c:v>90.07063624834646</c:v>
                </c:pt>
                <c:pt idx="15">
                  <c:v>96.628283351573714</c:v>
                </c:pt>
                <c:pt idx="16">
                  <c:v>97.854398869217405</c:v>
                </c:pt>
                <c:pt idx="17">
                  <c:v>89.29890759230544</c:v>
                </c:pt>
                <c:pt idx="18">
                  <c:v>86.24963201365064</c:v>
                </c:pt>
                <c:pt idx="19">
                  <c:v>87.514850474677829</c:v>
                </c:pt>
                <c:pt idx="20">
                  <c:v>74.493311526258111</c:v>
                </c:pt>
                <c:pt idx="21">
                  <c:v>69.256444642563352</c:v>
                </c:pt>
                <c:pt idx="22">
                  <c:v>73.738112380014101</c:v>
                </c:pt>
                <c:pt idx="23">
                  <c:v>76.689690944708573</c:v>
                </c:pt>
                <c:pt idx="24">
                  <c:v>77.277056693575432</c:v>
                </c:pt>
                <c:pt idx="25">
                  <c:v>88.660857435183615</c:v>
                </c:pt>
                <c:pt idx="26">
                  <c:v>82.906534617372444</c:v>
                </c:pt>
                <c:pt idx="27">
                  <c:v>77.285968612805632</c:v>
                </c:pt>
                <c:pt idx="28">
                  <c:v>69.244472231673043</c:v>
                </c:pt>
                <c:pt idx="29">
                  <c:v>71.795858705678526</c:v>
                </c:pt>
                <c:pt idx="30">
                  <c:v>73.495986553232896</c:v>
                </c:pt>
                <c:pt idx="31">
                  <c:v>77.300131248054839</c:v>
                </c:pt>
                <c:pt idx="32">
                  <c:v>72.940033716516027</c:v>
                </c:pt>
                <c:pt idx="33">
                  <c:v>57.494066009816621</c:v>
                </c:pt>
                <c:pt idx="34">
                  <c:v>60.073948461377874</c:v>
                </c:pt>
                <c:pt idx="35">
                  <c:v>64.044690320762911</c:v>
                </c:pt>
                <c:pt idx="36">
                  <c:v>55.467878366777121</c:v>
                </c:pt>
                <c:pt idx="37">
                  <c:v>56.546161615584431</c:v>
                </c:pt>
                <c:pt idx="38">
                  <c:v>68.964552118553968</c:v>
                </c:pt>
                <c:pt idx="39">
                  <c:v>82.539020577846856</c:v>
                </c:pt>
                <c:pt idx="40">
                  <c:v>94.141322548866043</c:v>
                </c:pt>
                <c:pt idx="41">
                  <c:v>101.22457726857232</c:v>
                </c:pt>
                <c:pt idx="42">
                  <c:v>109.39063684354984</c:v>
                </c:pt>
                <c:pt idx="43">
                  <c:v>119.82512519818303</c:v>
                </c:pt>
                <c:pt idx="44">
                  <c:v>94.821331996246656</c:v>
                </c:pt>
                <c:pt idx="45">
                  <c:v>115.90755761640831</c:v>
                </c:pt>
                <c:pt idx="46">
                  <c:v>142.32155271184399</c:v>
                </c:pt>
                <c:pt idx="47">
                  <c:v>141.63337112306453</c:v>
                </c:pt>
                <c:pt idx="48">
                  <c:v>131.45764357048287</c:v>
                </c:pt>
                <c:pt idx="49">
                  <c:v>121.81618522919376</c:v>
                </c:pt>
                <c:pt idx="50">
                  <c:v>87.921998816497918</c:v>
                </c:pt>
                <c:pt idx="51">
                  <c:v>78.798458356068792</c:v>
                </c:pt>
                <c:pt idx="52">
                  <c:v>87.583013370412331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9-472D-82AF-238A1F535AF4}"/>
            </c:ext>
          </c:extLst>
        </c:ser>
        <c:ser>
          <c:idx val="1"/>
          <c:order val="1"/>
          <c:tx>
            <c:strRef>
              <c:f>'Country Petrol Prices 2010 US$'!$C$3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US$'!$C$4:$C$56</c:f>
              <c:numCache>
                <c:formatCode>0.00</c:formatCode>
                <c:ptCount val="53"/>
                <c:pt idx="0">
                  <c:v>82.900800859407525</c:v>
                </c:pt>
                <c:pt idx="1">
                  <c:v>83.089776143262938</c:v>
                </c:pt>
                <c:pt idx="2">
                  <c:v>83.372270674472901</c:v>
                </c:pt>
                <c:pt idx="3">
                  <c:v>79.998107297288357</c:v>
                </c:pt>
                <c:pt idx="4">
                  <c:v>75.888932439046769</c:v>
                </c:pt>
                <c:pt idx="5">
                  <c:v>70.578394941712517</c:v>
                </c:pt>
                <c:pt idx="6">
                  <c:v>67.69728274436747</c:v>
                </c:pt>
                <c:pt idx="7">
                  <c:v>76.217633225606463</c:v>
                </c:pt>
                <c:pt idx="8">
                  <c:v>113.89592927958238</c:v>
                </c:pt>
                <c:pt idx="9">
                  <c:v>140.78658647229972</c:v>
                </c:pt>
                <c:pt idx="10">
                  <c:v>119.13605065723698</c:v>
                </c:pt>
                <c:pt idx="11">
                  <c:v>128.8951161396777</c:v>
                </c:pt>
                <c:pt idx="12">
                  <c:v>151.51363150169246</c:v>
                </c:pt>
                <c:pt idx="13">
                  <c:v>155.74274894492873</c:v>
                </c:pt>
                <c:pt idx="14">
                  <c:v>163.49543921378569</c:v>
                </c:pt>
                <c:pt idx="15">
                  <c:v>171.66730599075538</c:v>
                </c:pt>
                <c:pt idx="16">
                  <c:v>152.83203154206018</c:v>
                </c:pt>
                <c:pt idx="17">
                  <c:v>144.61866214052486</c:v>
                </c:pt>
                <c:pt idx="18">
                  <c:v>130.38063341496292</c:v>
                </c:pt>
                <c:pt idx="19">
                  <c:v>115.6514902987079</c:v>
                </c:pt>
                <c:pt idx="20">
                  <c:v>112.65417075257915</c:v>
                </c:pt>
                <c:pt idx="21">
                  <c:v>120.02337677044981</c:v>
                </c:pt>
                <c:pt idx="22">
                  <c:v>136.09028781853655</c:v>
                </c:pt>
                <c:pt idx="23">
                  <c:v>129.24027963398169</c:v>
                </c:pt>
                <c:pt idx="24">
                  <c:v>123.96930797206664</c:v>
                </c:pt>
                <c:pt idx="25">
                  <c:v>134.40016260414279</c:v>
                </c:pt>
                <c:pt idx="26">
                  <c:v>121.04530972933715</c:v>
                </c:pt>
                <c:pt idx="27">
                  <c:v>131.15866928348635</c:v>
                </c:pt>
                <c:pt idx="28">
                  <c:v>119.66382569962973</c:v>
                </c:pt>
                <c:pt idx="29">
                  <c:v>123.73412643286152</c:v>
                </c:pt>
                <c:pt idx="30">
                  <c:v>150.10115884564269</c:v>
                </c:pt>
                <c:pt idx="31">
                  <c:v>142.19767570753069</c:v>
                </c:pt>
                <c:pt idx="32">
                  <c:v>122.72684214680909</c:v>
                </c:pt>
                <c:pt idx="33">
                  <c:v>112.58211594063778</c:v>
                </c:pt>
                <c:pt idx="34">
                  <c:v>108.86505472825974</c:v>
                </c:pt>
                <c:pt idx="35">
                  <c:v>108.16642199960209</c:v>
                </c:pt>
                <c:pt idx="36">
                  <c:v>98.432661538724759</c:v>
                </c:pt>
                <c:pt idx="37">
                  <c:v>97.904330687058902</c:v>
                </c:pt>
                <c:pt idx="38">
                  <c:v>115.3064846850677</c:v>
                </c:pt>
                <c:pt idx="39">
                  <c:v>133.45058732913114</c:v>
                </c:pt>
                <c:pt idx="40">
                  <c:v>141.11052516209321</c:v>
                </c:pt>
                <c:pt idx="41">
                  <c:v>145.63926989202307</c:v>
                </c:pt>
                <c:pt idx="42">
                  <c:v>158.9296888456642</c:v>
                </c:pt>
                <c:pt idx="43">
                  <c:v>178.97950897538212</c:v>
                </c:pt>
                <c:pt idx="44">
                  <c:v>147.277486101996</c:v>
                </c:pt>
                <c:pt idx="45">
                  <c:v>156.45774781807708</c:v>
                </c:pt>
                <c:pt idx="46">
                  <c:v>183.96708940636427</c:v>
                </c:pt>
                <c:pt idx="47">
                  <c:v>178.05583873730089</c:v>
                </c:pt>
                <c:pt idx="48">
                  <c:v>173.68539214783894</c:v>
                </c:pt>
                <c:pt idx="49">
                  <c:v>164.30656486563299</c:v>
                </c:pt>
                <c:pt idx="50">
                  <c:v>122.07827603824651</c:v>
                </c:pt>
                <c:pt idx="51">
                  <c:v>111.34573910964231</c:v>
                </c:pt>
                <c:pt idx="52">
                  <c:v>118.0710411726284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9-472D-82AF-238A1F535AF4}"/>
            </c:ext>
          </c:extLst>
        </c:ser>
        <c:ser>
          <c:idx val="2"/>
          <c:order val="2"/>
          <c:tx>
            <c:strRef>
              <c:f>'Country Petrol Prices 2010 US$'!$D$3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US$'!$D$4:$D$56</c:f>
              <c:numCache>
                <c:formatCode>0.00</c:formatCode>
                <c:ptCount val="53"/>
                <c:pt idx="0">
                  <c:v>94.224975837185241</c:v>
                </c:pt>
                <c:pt idx="1">
                  <c:v>103.68707974919997</c:v>
                </c:pt>
                <c:pt idx="2">
                  <c:v>100.88682004954705</c:v>
                </c:pt>
                <c:pt idx="3">
                  <c:v>96.803871647476939</c:v>
                </c:pt>
                <c:pt idx="4">
                  <c:v>91.831438163258326</c:v>
                </c:pt>
                <c:pt idx="5">
                  <c:v>89.779890150464297</c:v>
                </c:pt>
                <c:pt idx="6">
                  <c:v>100.79349105802541</c:v>
                </c:pt>
                <c:pt idx="7">
                  <c:v>92.074119538148125</c:v>
                </c:pt>
                <c:pt idx="8">
                  <c:v>117.71684488972517</c:v>
                </c:pt>
                <c:pt idx="9">
                  <c:v>122.48234278271477</c:v>
                </c:pt>
                <c:pt idx="10">
                  <c:v>133.4656572626651</c:v>
                </c:pt>
                <c:pt idx="11">
                  <c:v>141.29333396104033</c:v>
                </c:pt>
                <c:pt idx="12">
                  <c:v>150.2687752765967</c:v>
                </c:pt>
                <c:pt idx="13">
                  <c:v>153.01275161506734</c:v>
                </c:pt>
                <c:pt idx="14">
                  <c:v>166.44276749809833</c:v>
                </c:pt>
                <c:pt idx="15">
                  <c:v>190.14287198854589</c:v>
                </c:pt>
                <c:pt idx="16">
                  <c:v>160.5960571378705</c:v>
                </c:pt>
                <c:pt idx="17">
                  <c:v>134.03369026120205</c:v>
                </c:pt>
                <c:pt idx="18">
                  <c:v>122.50418020691477</c:v>
                </c:pt>
                <c:pt idx="19">
                  <c:v>105.04268985028523</c:v>
                </c:pt>
                <c:pt idx="20">
                  <c:v>104.74411506821669</c:v>
                </c:pt>
                <c:pt idx="21">
                  <c:v>103.37485657700637</c:v>
                </c:pt>
                <c:pt idx="22">
                  <c:v>116.0227547135391</c:v>
                </c:pt>
                <c:pt idx="23">
                  <c:v>112.72309391997794</c:v>
                </c:pt>
                <c:pt idx="24">
                  <c:v>119.30837716297169</c:v>
                </c:pt>
                <c:pt idx="25">
                  <c:v>134.86169259545397</c:v>
                </c:pt>
                <c:pt idx="26">
                  <c:v>134.93838354948988</c:v>
                </c:pt>
                <c:pt idx="27">
                  <c:v>136.36301550920746</c:v>
                </c:pt>
                <c:pt idx="28">
                  <c:v>126.00921677569072</c:v>
                </c:pt>
                <c:pt idx="29">
                  <c:v>127.05425898319183</c:v>
                </c:pt>
                <c:pt idx="30">
                  <c:v>134.76337279421134</c:v>
                </c:pt>
                <c:pt idx="31">
                  <c:v>136.26750284460525</c:v>
                </c:pt>
                <c:pt idx="32">
                  <c:v>127.81049883406389</c:v>
                </c:pt>
                <c:pt idx="33">
                  <c:v>113.956814925979</c:v>
                </c:pt>
                <c:pt idx="34">
                  <c:v>113.45902622533275</c:v>
                </c:pt>
                <c:pt idx="35">
                  <c:v>121.93517906104013</c:v>
                </c:pt>
                <c:pt idx="36">
                  <c:v>111.10876016913164</c:v>
                </c:pt>
                <c:pt idx="37">
                  <c:v>111.71135168138773</c:v>
                </c:pt>
                <c:pt idx="38">
                  <c:v>136.17401555614722</c:v>
                </c:pt>
                <c:pt idx="39">
                  <c:v>163.5522235687848</c:v>
                </c:pt>
                <c:pt idx="40">
                  <c:v>177.77703957429065</c:v>
                </c:pt>
                <c:pt idx="41">
                  <c:v>183.64392559544009</c:v>
                </c:pt>
                <c:pt idx="42">
                  <c:v>199.23794326304281</c:v>
                </c:pt>
                <c:pt idx="43">
                  <c:v>216.08139723727726</c:v>
                </c:pt>
                <c:pt idx="44">
                  <c:v>185.82662675956544</c:v>
                </c:pt>
                <c:pt idx="45">
                  <c:v>191.91447415595636</c:v>
                </c:pt>
                <c:pt idx="46">
                  <c:v>217.5864012932208</c:v>
                </c:pt>
                <c:pt idx="47">
                  <c:v>210.13605126655773</c:v>
                </c:pt>
                <c:pt idx="48">
                  <c:v>205.0421950026163</c:v>
                </c:pt>
                <c:pt idx="49">
                  <c:v>194.14288897246334</c:v>
                </c:pt>
                <c:pt idx="50">
                  <c:v>144.18029117759932</c:v>
                </c:pt>
                <c:pt idx="51">
                  <c:v>131.55692682923598</c:v>
                </c:pt>
                <c:pt idx="52">
                  <c:v>140.76075408860871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9-472D-82AF-238A1F535AF4}"/>
            </c:ext>
          </c:extLst>
        </c:ser>
        <c:ser>
          <c:idx val="3"/>
          <c:order val="3"/>
          <c:tx>
            <c:strRef>
              <c:f>'Country Petrol Prices 2010 US$'!$E$3</c:f>
              <c:strCache>
                <c:ptCount val="1"/>
                <c:pt idx="0">
                  <c:v>Britain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US$'!$E$4:$E$56</c:f>
              <c:numCache>
                <c:formatCode>0.00</c:formatCode>
                <c:ptCount val="53"/>
                <c:pt idx="0">
                  <c:v>100.2833581441718</c:v>
                </c:pt>
                <c:pt idx="1">
                  <c:v>107.44385868130522</c:v>
                </c:pt>
                <c:pt idx="2">
                  <c:v>89.514271025037758</c:v>
                </c:pt>
                <c:pt idx="3">
                  <c:v>98.430478093520918</c:v>
                </c:pt>
                <c:pt idx="4">
                  <c:v>96.942964750934578</c:v>
                </c:pt>
                <c:pt idx="5">
                  <c:v>96.600782299315966</c:v>
                </c:pt>
                <c:pt idx="6">
                  <c:v>101.27656024129985</c:v>
                </c:pt>
                <c:pt idx="7">
                  <c:v>92.362356750534275</c:v>
                </c:pt>
                <c:pt idx="8">
                  <c:v>94.258886172888921</c:v>
                </c:pt>
                <c:pt idx="9">
                  <c:v>161.82324773870221</c:v>
                </c:pt>
                <c:pt idx="10">
                  <c:v>132.72471609595556</c:v>
                </c:pt>
                <c:pt idx="11">
                  <c:v>111.11655975026741</c:v>
                </c:pt>
                <c:pt idx="12">
                  <c:v>108.84579063281336</c:v>
                </c:pt>
                <c:pt idx="13">
                  <c:v>106.96285691639925</c:v>
                </c:pt>
                <c:pt idx="14">
                  <c:v>140.59376758163094</c:v>
                </c:pt>
                <c:pt idx="15">
                  <c:v>174.1466818285723</c:v>
                </c:pt>
                <c:pt idx="16">
                  <c:v>162.42002767314372</c:v>
                </c:pt>
                <c:pt idx="17">
                  <c:v>144.18174593567957</c:v>
                </c:pt>
                <c:pt idx="18">
                  <c:v>130.05967150622661</c:v>
                </c:pt>
                <c:pt idx="19">
                  <c:v>113.34282081985305</c:v>
                </c:pt>
                <c:pt idx="20">
                  <c:v>112.08013751971455</c:v>
                </c:pt>
                <c:pt idx="21">
                  <c:v>109.03999455872153</c:v>
                </c:pt>
                <c:pt idx="22">
                  <c:v>118.72600480882599</c:v>
                </c:pt>
                <c:pt idx="23">
                  <c:v>122.63240890727091</c:v>
                </c:pt>
                <c:pt idx="24">
                  <c:v>116.2819262188039</c:v>
                </c:pt>
                <c:pt idx="25">
                  <c:v>124.33942474798418</c:v>
                </c:pt>
                <c:pt idx="26">
                  <c:v>126.52981955087859</c:v>
                </c:pt>
                <c:pt idx="27">
                  <c:v>124.64517138304649</c:v>
                </c:pt>
                <c:pt idx="28">
                  <c:v>111.52825589060697</c:v>
                </c:pt>
                <c:pt idx="29">
                  <c:v>115.7250095462561</c:v>
                </c:pt>
                <c:pt idx="30">
                  <c:v>121.70995234777985</c:v>
                </c:pt>
                <c:pt idx="31">
                  <c:v>123.08221907620988</c:v>
                </c:pt>
                <c:pt idx="32">
                  <c:v>137.8905532575975</c:v>
                </c:pt>
                <c:pt idx="33">
                  <c:v>143.28033821854083</c:v>
                </c:pt>
                <c:pt idx="34">
                  <c:v>149.45776370068239</c:v>
                </c:pt>
                <c:pt idx="35">
                  <c:v>153.10635034972597</c:v>
                </c:pt>
                <c:pt idx="36">
                  <c:v>134.41236636632854</c:v>
                </c:pt>
                <c:pt idx="37">
                  <c:v>133.19777082551664</c:v>
                </c:pt>
                <c:pt idx="38">
                  <c:v>147.07003878887758</c:v>
                </c:pt>
                <c:pt idx="39">
                  <c:v>169.51265869667267</c:v>
                </c:pt>
                <c:pt idx="40">
                  <c:v>176.05345460513172</c:v>
                </c:pt>
                <c:pt idx="41">
                  <c:v>181.75883709629275</c:v>
                </c:pt>
                <c:pt idx="42">
                  <c:v>198.67274346465138</c:v>
                </c:pt>
                <c:pt idx="43">
                  <c:v>199.47465327319497</c:v>
                </c:pt>
                <c:pt idx="44">
                  <c:v>157.2387424511854</c:v>
                </c:pt>
                <c:pt idx="45">
                  <c:v>180.6300911215379</c:v>
                </c:pt>
                <c:pt idx="46">
                  <c:v>208.3841824046624</c:v>
                </c:pt>
                <c:pt idx="47">
                  <c:v>205.98488170288772</c:v>
                </c:pt>
                <c:pt idx="48">
                  <c:v>197.29094081641267</c:v>
                </c:pt>
                <c:pt idx="49">
                  <c:v>193.12022468066797</c:v>
                </c:pt>
                <c:pt idx="50">
                  <c:v>155.94025133255434</c:v>
                </c:pt>
                <c:pt idx="51">
                  <c:v>133.33052661243954</c:v>
                </c:pt>
                <c:pt idx="52">
                  <c:v>134.47457679742431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39-472D-82AF-238A1F535AF4}"/>
            </c:ext>
          </c:extLst>
        </c:ser>
        <c:ser>
          <c:idx val="4"/>
          <c:order val="4"/>
          <c:tx>
            <c:strRef>
              <c:f>'Country Petrol Prices 2010 US$'!$F$3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US$'!$F$4:$F$56</c:f>
              <c:numCache>
                <c:formatCode>0.00</c:formatCode>
                <c:ptCount val="53"/>
                <c:pt idx="0">
                  <c:v>59.405261701587762</c:v>
                </c:pt>
                <c:pt idx="1">
                  <c:v>59.973954695155605</c:v>
                </c:pt>
                <c:pt idx="2">
                  <c:v>59.730509149707522</c:v>
                </c:pt>
                <c:pt idx="3">
                  <c:v>59.039398921551168</c:v>
                </c:pt>
                <c:pt idx="4">
                  <c:v>58.024318747757803</c:v>
                </c:pt>
                <c:pt idx="5">
                  <c:v>58.03321289425628</c:v>
                </c:pt>
                <c:pt idx="6">
                  <c:v>59.634716867733275</c:v>
                </c:pt>
                <c:pt idx="7">
                  <c:v>59.573135114235619</c:v>
                </c:pt>
                <c:pt idx="8">
                  <c:v>59.240090417377523</c:v>
                </c:pt>
                <c:pt idx="9">
                  <c:v>63.420174840331633</c:v>
                </c:pt>
                <c:pt idx="10">
                  <c:v>63.174903158793946</c:v>
                </c:pt>
                <c:pt idx="11">
                  <c:v>68.940922500739561</c:v>
                </c:pt>
                <c:pt idx="12">
                  <c:v>65.632155557485277</c:v>
                </c:pt>
                <c:pt idx="13">
                  <c:v>59.351294906992585</c:v>
                </c:pt>
                <c:pt idx="14">
                  <c:v>60.536649919109017</c:v>
                </c:pt>
                <c:pt idx="15">
                  <c:v>64.238056600798416</c:v>
                </c:pt>
                <c:pt idx="16">
                  <c:v>77.18415111184315</c:v>
                </c:pt>
                <c:pt idx="17">
                  <c:v>85.246984033279958</c:v>
                </c:pt>
                <c:pt idx="18">
                  <c:v>87.251952630378085</c:v>
                </c:pt>
                <c:pt idx="19">
                  <c:v>83.146459617176845</c:v>
                </c:pt>
                <c:pt idx="20">
                  <c:v>80.46155374359266</c:v>
                </c:pt>
                <c:pt idx="21">
                  <c:v>69.27592090565895</c:v>
                </c:pt>
                <c:pt idx="22">
                  <c:v>73.112337792492255</c:v>
                </c:pt>
                <c:pt idx="23">
                  <c:v>74.669063552245646</c:v>
                </c:pt>
                <c:pt idx="24">
                  <c:v>77.432732750234379</c:v>
                </c:pt>
                <c:pt idx="25">
                  <c:v>81.689238158352055</c:v>
                </c:pt>
                <c:pt idx="26">
                  <c:v>79.516955844198932</c:v>
                </c:pt>
                <c:pt idx="27">
                  <c:v>70.54341408937087</c:v>
                </c:pt>
                <c:pt idx="28">
                  <c:v>63.462202519622885</c:v>
                </c:pt>
                <c:pt idx="29">
                  <c:v>57.747836700480036</c:v>
                </c:pt>
                <c:pt idx="30">
                  <c:v>58.085467215173409</c:v>
                </c:pt>
                <c:pt idx="31">
                  <c:v>59.517803989187279</c:v>
                </c:pt>
                <c:pt idx="32">
                  <c:v>58.576232372945469</c:v>
                </c:pt>
                <c:pt idx="33">
                  <c:v>49.161451544413261</c:v>
                </c:pt>
                <c:pt idx="34">
                  <c:v>52.324547821671018</c:v>
                </c:pt>
                <c:pt idx="35">
                  <c:v>62.083372981587942</c:v>
                </c:pt>
                <c:pt idx="36">
                  <c:v>55.992194531667081</c:v>
                </c:pt>
                <c:pt idx="37">
                  <c:v>54.313559686608443</c:v>
                </c:pt>
                <c:pt idx="38">
                  <c:v>62.346229027076973</c:v>
                </c:pt>
                <c:pt idx="39">
                  <c:v>72.139048760878254</c:v>
                </c:pt>
                <c:pt idx="40">
                  <c:v>85.160995264732946</c:v>
                </c:pt>
                <c:pt idx="41">
                  <c:v>93.187208408744013</c:v>
                </c:pt>
                <c:pt idx="42">
                  <c:v>99.7856337523382</c:v>
                </c:pt>
                <c:pt idx="43">
                  <c:v>109.38097303833419</c:v>
                </c:pt>
                <c:pt idx="44">
                  <c:v>84.386372812624387</c:v>
                </c:pt>
                <c:pt idx="45">
                  <c:v>100.08127185559322</c:v>
                </c:pt>
                <c:pt idx="46">
                  <c:v>120.4221513347095</c:v>
                </c:pt>
                <c:pt idx="47">
                  <c:v>120.28673578303153</c:v>
                </c:pt>
                <c:pt idx="48">
                  <c:v>114.92288364547403</c:v>
                </c:pt>
                <c:pt idx="49">
                  <c:v>106.10132641463333</c:v>
                </c:pt>
                <c:pt idx="50">
                  <c:v>75.825554760305607</c:v>
                </c:pt>
                <c:pt idx="51">
                  <c:v>69.055402161430166</c:v>
                </c:pt>
                <c:pt idx="52">
                  <c:v>76.396999959511788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39-472D-82AF-238A1F535AF4}"/>
            </c:ext>
          </c:extLst>
        </c:ser>
        <c:ser>
          <c:idx val="5"/>
          <c:order val="5"/>
          <c:tx>
            <c:strRef>
              <c:f>'Country Petrol Prices 2010 US$'!$G$3</c:f>
              <c:strCache>
                <c:ptCount val="1"/>
                <c:pt idx="0">
                  <c:v>Czech Rep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US$'!$G$4:$G$56</c:f>
              <c:numCache>
                <c:formatCode>0.00</c:formatCode>
                <c:ptCount val="53"/>
                <c:pt idx="0">
                  <c:v>74.231850610786594</c:v>
                </c:pt>
                <c:pt idx="1">
                  <c:v>79.513858329668224</c:v>
                </c:pt>
                <c:pt idx="2">
                  <c:v>84.539953775451011</c:v>
                </c:pt>
                <c:pt idx="3">
                  <c:v>86.794209020539569</c:v>
                </c:pt>
                <c:pt idx="4">
                  <c:v>87.875517588215757</c:v>
                </c:pt>
                <c:pt idx="5">
                  <c:v>88.578853006569673</c:v>
                </c:pt>
                <c:pt idx="6">
                  <c:v>86.808062942873008</c:v>
                </c:pt>
                <c:pt idx="7">
                  <c:v>83.078208696668909</c:v>
                </c:pt>
                <c:pt idx="8">
                  <c:v>80.382078594591675</c:v>
                </c:pt>
                <c:pt idx="9">
                  <c:v>109.38081569026473</c:v>
                </c:pt>
                <c:pt idx="10">
                  <c:v>104.44492518506495</c:v>
                </c:pt>
                <c:pt idx="11">
                  <c:v>110.83619717142061</c:v>
                </c:pt>
                <c:pt idx="12">
                  <c:v>113.91093435376231</c:v>
                </c:pt>
                <c:pt idx="13">
                  <c:v>116.75753403825837</c:v>
                </c:pt>
                <c:pt idx="14">
                  <c:v>132.51036038821655</c:v>
                </c:pt>
                <c:pt idx="15">
                  <c:v>140.50707646712689</c:v>
                </c:pt>
                <c:pt idx="16">
                  <c:v>132.64356147003568</c:v>
                </c:pt>
                <c:pt idx="17">
                  <c:v>118.77890649562839</c:v>
                </c:pt>
                <c:pt idx="18">
                  <c:v>109.6147983969082</c:v>
                </c:pt>
                <c:pt idx="19">
                  <c:v>102.69127022264529</c:v>
                </c:pt>
                <c:pt idx="20">
                  <c:v>97.718708619187154</c:v>
                </c:pt>
                <c:pt idx="21">
                  <c:v>84.431297503172374</c:v>
                </c:pt>
                <c:pt idx="22">
                  <c:v>80.816120565443555</c:v>
                </c:pt>
                <c:pt idx="23">
                  <c:v>76.449198331818764</c:v>
                </c:pt>
                <c:pt idx="24">
                  <c:v>73.851441721842718</c:v>
                </c:pt>
                <c:pt idx="25">
                  <c:v>66.079158998436398</c:v>
                </c:pt>
                <c:pt idx="26">
                  <c:v>89.842526764324532</c:v>
                </c:pt>
                <c:pt idx="27">
                  <c:v>96.727259664844411</c:v>
                </c:pt>
                <c:pt idx="28">
                  <c:v>94.956031427963381</c:v>
                </c:pt>
                <c:pt idx="29">
                  <c:v>97.233774298084199</c:v>
                </c:pt>
                <c:pt idx="30">
                  <c:v>101.28004366027137</c:v>
                </c:pt>
                <c:pt idx="31">
                  <c:v>105.58160857810654</c:v>
                </c:pt>
                <c:pt idx="32">
                  <c:v>92.031153258244387</c:v>
                </c:pt>
                <c:pt idx="33">
                  <c:v>90.067696622953903</c:v>
                </c:pt>
                <c:pt idx="34">
                  <c:v>90.649728343432926</c:v>
                </c:pt>
                <c:pt idx="35">
                  <c:v>91.248650702743433</c:v>
                </c:pt>
                <c:pt idx="36">
                  <c:v>87.77853269384596</c:v>
                </c:pt>
                <c:pt idx="37">
                  <c:v>93.129536938772546</c:v>
                </c:pt>
                <c:pt idx="38">
                  <c:v>107.66079932973076</c:v>
                </c:pt>
                <c:pt idx="39">
                  <c:v>122.52299387154959</c:v>
                </c:pt>
                <c:pt idx="40">
                  <c:v>132.44350674278945</c:v>
                </c:pt>
                <c:pt idx="41">
                  <c:v>142.17461570683662</c:v>
                </c:pt>
                <c:pt idx="42">
                  <c:v>153.15757523803774</c:v>
                </c:pt>
                <c:pt idx="43">
                  <c:v>182.7811764218977</c:v>
                </c:pt>
                <c:pt idx="44">
                  <c:v>145.75271932306356</c:v>
                </c:pt>
                <c:pt idx="45">
                  <c:v>165.23480751646255</c:v>
                </c:pt>
                <c:pt idx="46">
                  <c:v>190.69022868595809</c:v>
                </c:pt>
                <c:pt idx="47">
                  <c:v>179.66751239355276</c:v>
                </c:pt>
                <c:pt idx="48">
                  <c:v>174.00840585621981</c:v>
                </c:pt>
                <c:pt idx="49">
                  <c:v>160.40824969218002</c:v>
                </c:pt>
                <c:pt idx="50">
                  <c:v>117.21439913383247</c:v>
                </c:pt>
                <c:pt idx="51">
                  <c:v>106.03652437163554</c:v>
                </c:pt>
                <c:pt idx="52">
                  <c:v>115.41167508017519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39-472D-82AF-238A1F535AF4}"/>
            </c:ext>
          </c:extLst>
        </c:ser>
        <c:ser>
          <c:idx val="6"/>
          <c:order val="6"/>
          <c:tx>
            <c:strRef>
              <c:f>'Country Petrol Prices 2010 US$'!$H$3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US$'!$H$4:$H$56</c:f>
              <c:numCache>
                <c:formatCode>0.00</c:formatCode>
                <c:ptCount val="53"/>
                <c:pt idx="0">
                  <c:v>99.591837606229035</c:v>
                </c:pt>
                <c:pt idx="1">
                  <c:v>96.699530058252321</c:v>
                </c:pt>
                <c:pt idx="2">
                  <c:v>107.80908227667562</c:v>
                </c:pt>
                <c:pt idx="3">
                  <c:v>104.69995899712126</c:v>
                </c:pt>
                <c:pt idx="4">
                  <c:v>101.82339384549672</c:v>
                </c:pt>
                <c:pt idx="5">
                  <c:v>102.77867107868548</c:v>
                </c:pt>
                <c:pt idx="6">
                  <c:v>104.5089035504835</c:v>
                </c:pt>
                <c:pt idx="7">
                  <c:v>107.005218273856</c:v>
                </c:pt>
                <c:pt idx="8">
                  <c:v>135.49709520626752</c:v>
                </c:pt>
                <c:pt idx="9">
                  <c:v>167.21716517973351</c:v>
                </c:pt>
                <c:pt idx="10">
                  <c:v>142.20507340462296</c:v>
                </c:pt>
                <c:pt idx="11">
                  <c:v>173.34238848767035</c:v>
                </c:pt>
                <c:pt idx="12">
                  <c:v>169.79891818149002</c:v>
                </c:pt>
                <c:pt idx="13">
                  <c:v>167.12986643632598</c:v>
                </c:pt>
                <c:pt idx="14">
                  <c:v>193.16635887588066</c:v>
                </c:pt>
                <c:pt idx="15">
                  <c:v>213.05186772255874</c:v>
                </c:pt>
                <c:pt idx="16">
                  <c:v>178.73487480176044</c:v>
                </c:pt>
                <c:pt idx="17">
                  <c:v>160.90446424251166</c:v>
                </c:pt>
                <c:pt idx="18">
                  <c:v>145.16779239810214</c:v>
                </c:pt>
                <c:pt idx="19">
                  <c:v>121.31877748802904</c:v>
                </c:pt>
                <c:pt idx="20">
                  <c:v>117.34969002956363</c:v>
                </c:pt>
                <c:pt idx="21">
                  <c:v>157.9878275365362</c:v>
                </c:pt>
                <c:pt idx="22">
                  <c:v>186.04936459775695</c:v>
                </c:pt>
                <c:pt idx="23">
                  <c:v>178.87798749587114</c:v>
                </c:pt>
                <c:pt idx="24">
                  <c:v>164.83576994973191</c:v>
                </c:pt>
                <c:pt idx="25">
                  <c:v>148.38210350782782</c:v>
                </c:pt>
                <c:pt idx="26">
                  <c:v>131.14417950219729</c:v>
                </c:pt>
                <c:pt idx="27">
                  <c:v>129.77559280841692</c:v>
                </c:pt>
                <c:pt idx="28">
                  <c:v>121.37502077681452</c:v>
                </c:pt>
                <c:pt idx="29">
                  <c:v>124.46997589965196</c:v>
                </c:pt>
                <c:pt idx="30">
                  <c:v>149.1234272633211</c:v>
                </c:pt>
                <c:pt idx="31">
                  <c:v>152.94167394219386</c:v>
                </c:pt>
                <c:pt idx="32">
                  <c:v>135.45358894725788</c:v>
                </c:pt>
                <c:pt idx="33">
                  <c:v>127.09537827311223</c:v>
                </c:pt>
                <c:pt idx="34">
                  <c:v>137.19942070271395</c:v>
                </c:pt>
                <c:pt idx="35">
                  <c:v>130.04706007040488</c:v>
                </c:pt>
                <c:pt idx="36">
                  <c:v>120.62193582463414</c:v>
                </c:pt>
                <c:pt idx="37">
                  <c:v>124.70499183734781</c:v>
                </c:pt>
                <c:pt idx="38">
                  <c:v>146.98975792182068</c:v>
                </c:pt>
                <c:pt idx="39">
                  <c:v>160.70372443276975</c:v>
                </c:pt>
                <c:pt idx="40">
                  <c:v>167.05192176189917</c:v>
                </c:pt>
                <c:pt idx="41">
                  <c:v>173.20841776064299</c:v>
                </c:pt>
                <c:pt idx="42">
                  <c:v>187.03349503943298</c:v>
                </c:pt>
                <c:pt idx="43">
                  <c:v>202.90130484818732</c:v>
                </c:pt>
                <c:pt idx="44">
                  <c:v>179.55820158686646</c:v>
                </c:pt>
                <c:pt idx="45">
                  <c:v>190.07553518608225</c:v>
                </c:pt>
                <c:pt idx="46">
                  <c:v>218.23503602645266</c:v>
                </c:pt>
                <c:pt idx="47">
                  <c:v>208.82401499886458</c:v>
                </c:pt>
                <c:pt idx="48">
                  <c:v>208.99488221834167</c:v>
                </c:pt>
                <c:pt idx="49">
                  <c:v>200.42504089616392</c:v>
                </c:pt>
                <c:pt idx="50">
                  <c:v>152.55597921683508</c:v>
                </c:pt>
                <c:pt idx="51">
                  <c:v>141.60332407888905</c:v>
                </c:pt>
                <c:pt idx="52">
                  <c:v>150.009727109723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39-472D-82AF-238A1F535AF4}"/>
            </c:ext>
          </c:extLst>
        </c:ser>
        <c:ser>
          <c:idx val="7"/>
          <c:order val="7"/>
          <c:tx>
            <c:strRef>
              <c:f>'Country Petrol Prices 2010 US$'!$I$3</c:f>
              <c:strCache>
                <c:ptCount val="1"/>
                <c:pt idx="0">
                  <c:v>Finland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US$'!$I$4:$I$56</c:f>
              <c:numCache>
                <c:formatCode>0.00</c:formatCode>
                <c:ptCount val="53"/>
                <c:pt idx="0">
                  <c:v>120.34002977300614</c:v>
                </c:pt>
                <c:pt idx="1">
                  <c:v>128.26117427933775</c:v>
                </c:pt>
                <c:pt idx="2">
                  <c:v>103.88879624690195</c:v>
                </c:pt>
                <c:pt idx="3">
                  <c:v>99.684431519318636</c:v>
                </c:pt>
                <c:pt idx="4">
                  <c:v>94.564002436732864</c:v>
                </c:pt>
                <c:pt idx="5">
                  <c:v>90.422750407252323</c:v>
                </c:pt>
                <c:pt idx="6">
                  <c:v>99.121855518769564</c:v>
                </c:pt>
                <c:pt idx="7">
                  <c:v>90.109619832538186</c:v>
                </c:pt>
                <c:pt idx="8">
                  <c:v>117.8235361597641</c:v>
                </c:pt>
                <c:pt idx="9">
                  <c:v>145.64149541560846</c:v>
                </c:pt>
                <c:pt idx="10">
                  <c:v>127.98453744162184</c:v>
                </c:pt>
                <c:pt idx="11">
                  <c:v>164.45222792951535</c:v>
                </c:pt>
                <c:pt idx="12">
                  <c:v>156.73845371695009</c:v>
                </c:pt>
                <c:pt idx="13">
                  <c:v>161.78174505741015</c:v>
                </c:pt>
                <c:pt idx="14">
                  <c:v>165.52843538922758</c:v>
                </c:pt>
                <c:pt idx="15">
                  <c:v>204.84721696919382</c:v>
                </c:pt>
                <c:pt idx="16">
                  <c:v>184.97172601110356</c:v>
                </c:pt>
                <c:pt idx="17">
                  <c:v>163.16421368251923</c:v>
                </c:pt>
                <c:pt idx="18">
                  <c:v>144.94882997611279</c:v>
                </c:pt>
                <c:pt idx="19">
                  <c:v>132.65301663620613</c:v>
                </c:pt>
                <c:pt idx="20">
                  <c:v>126.26747133768201</c:v>
                </c:pt>
                <c:pt idx="21">
                  <c:v>123.56536056017839</c:v>
                </c:pt>
                <c:pt idx="22">
                  <c:v>141.55047594176077</c:v>
                </c:pt>
                <c:pt idx="23">
                  <c:v>147.5277207239871</c:v>
                </c:pt>
                <c:pt idx="24">
                  <c:v>144.60535951024718</c:v>
                </c:pt>
                <c:pt idx="25">
                  <c:v>162.40142302290931</c:v>
                </c:pt>
                <c:pt idx="26">
                  <c:v>151.12843610781161</c:v>
                </c:pt>
                <c:pt idx="27">
                  <c:v>111.52929676008259</c:v>
                </c:pt>
                <c:pt idx="28">
                  <c:v>113.75126444884486</c:v>
                </c:pt>
                <c:pt idx="29">
                  <c:v>133.17995757592163</c:v>
                </c:pt>
                <c:pt idx="30">
                  <c:v>157.79605652642789</c:v>
                </c:pt>
                <c:pt idx="31">
                  <c:v>157.79605652642792</c:v>
                </c:pt>
                <c:pt idx="32">
                  <c:v>133.89122766565166</c:v>
                </c:pt>
                <c:pt idx="33">
                  <c:v>126.38625487379383</c:v>
                </c:pt>
                <c:pt idx="34">
                  <c:v>126.36779333625358</c:v>
                </c:pt>
                <c:pt idx="35">
                  <c:v>132.43677342993351</c:v>
                </c:pt>
                <c:pt idx="36">
                  <c:v>122.24168157496726</c:v>
                </c:pt>
                <c:pt idx="37">
                  <c:v>122.66568238763207</c:v>
                </c:pt>
                <c:pt idx="38">
                  <c:v>146.60778099168698</c:v>
                </c:pt>
                <c:pt idx="39">
                  <c:v>163.5522235687848</c:v>
                </c:pt>
                <c:pt idx="40">
                  <c:v>169.0222856782014</c:v>
                </c:pt>
                <c:pt idx="41">
                  <c:v>174.74061479206892</c:v>
                </c:pt>
                <c:pt idx="42">
                  <c:v>186.91187296488999</c:v>
                </c:pt>
                <c:pt idx="43">
                  <c:v>214.541411432735</c:v>
                </c:pt>
                <c:pt idx="44">
                  <c:v>180.35411732488228</c:v>
                </c:pt>
                <c:pt idx="45">
                  <c:v>188.86385282995855</c:v>
                </c:pt>
                <c:pt idx="46">
                  <c:v>211.39680840938803</c:v>
                </c:pt>
                <c:pt idx="47">
                  <c:v>205.19319379591317</c:v>
                </c:pt>
                <c:pt idx="48">
                  <c:v>204.80097136701048</c:v>
                </c:pt>
                <c:pt idx="49">
                  <c:v>195.66977761022736</c:v>
                </c:pt>
                <c:pt idx="50">
                  <c:v>149.09209984529048</c:v>
                </c:pt>
                <c:pt idx="51">
                  <c:v>138.33712763146107</c:v>
                </c:pt>
                <c:pt idx="52">
                  <c:v>146.83872384996533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39-472D-82AF-238A1F535AF4}"/>
            </c:ext>
          </c:extLst>
        </c:ser>
        <c:ser>
          <c:idx val="8"/>
          <c:order val="8"/>
          <c:tx>
            <c:strRef>
              <c:f>'Country Petrol Prices 2010 US$'!$J$3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US$'!$J$4:$J$56</c:f>
              <c:numCache>
                <c:formatCode>0.00</c:formatCode>
                <c:ptCount val="53"/>
                <c:pt idx="0">
                  <c:v>131.40578950703161</c:v>
                </c:pt>
                <c:pt idx="1">
                  <c:v>127.58954640587639</c:v>
                </c:pt>
                <c:pt idx="2">
                  <c:v>126.75734608962281</c:v>
                </c:pt>
                <c:pt idx="3">
                  <c:v>127.89695247282611</c:v>
                </c:pt>
                <c:pt idx="4">
                  <c:v>113.59570095034661</c:v>
                </c:pt>
                <c:pt idx="5">
                  <c:v>108.39498564636476</c:v>
                </c:pt>
                <c:pt idx="6">
                  <c:v>116.89902815580912</c:v>
                </c:pt>
                <c:pt idx="7">
                  <c:v>113.76342902784427</c:v>
                </c:pt>
                <c:pt idx="8">
                  <c:v>129.60586115320169</c:v>
                </c:pt>
                <c:pt idx="9">
                  <c:v>161.82324773870221</c:v>
                </c:pt>
                <c:pt idx="10">
                  <c:v>156.4250369168476</c:v>
                </c:pt>
                <c:pt idx="11">
                  <c:v>160.00857877737891</c:v>
                </c:pt>
                <c:pt idx="12">
                  <c:v>165.44543002664335</c:v>
                </c:pt>
                <c:pt idx="13">
                  <c:v>204.2318323845179</c:v>
                </c:pt>
                <c:pt idx="14">
                  <c:v>214.13523081697653</c:v>
                </c:pt>
                <c:pt idx="15">
                  <c:v>203.25866606456535</c:v>
                </c:pt>
                <c:pt idx="16">
                  <c:v>161.41251430660455</c:v>
                </c:pt>
                <c:pt idx="17">
                  <c:v>149.15348092908437</c:v>
                </c:pt>
                <c:pt idx="18">
                  <c:v>121.84886690701502</c:v>
                </c:pt>
                <c:pt idx="19">
                  <c:v>115.18983325004537</c:v>
                </c:pt>
                <c:pt idx="20">
                  <c:v>136.79426866568662</c:v>
                </c:pt>
                <c:pt idx="21">
                  <c:v>138.36922386437459</c:v>
                </c:pt>
                <c:pt idx="22">
                  <c:v>163.41609202415404</c:v>
                </c:pt>
                <c:pt idx="23">
                  <c:v>143.32306977101555</c:v>
                </c:pt>
                <c:pt idx="24">
                  <c:v>152.09874017388199</c:v>
                </c:pt>
                <c:pt idx="25">
                  <c:v>149.59891755033743</c:v>
                </c:pt>
                <c:pt idx="26">
                  <c:v>140.10379510957233</c:v>
                </c:pt>
                <c:pt idx="27">
                  <c:v>140.49028066205312</c:v>
                </c:pt>
                <c:pt idx="28">
                  <c:v>131.44458320925671</c:v>
                </c:pt>
                <c:pt idx="29">
                  <c:v>133.7881199314586</c:v>
                </c:pt>
                <c:pt idx="30">
                  <c:v>149.4111351127556</c:v>
                </c:pt>
                <c:pt idx="31">
                  <c:v>152.60200881682383</c:v>
                </c:pt>
                <c:pt idx="32">
                  <c:v>136.03931554459351</c:v>
                </c:pt>
                <c:pt idx="33">
                  <c:v>127.06926813774042</c:v>
                </c:pt>
                <c:pt idx="34">
                  <c:v>125.55887134288824</c:v>
                </c:pt>
                <c:pt idx="35">
                  <c:v>127.18597624548681</c:v>
                </c:pt>
                <c:pt idx="36">
                  <c:v>114.19511461827419</c:v>
                </c:pt>
                <c:pt idx="37">
                  <c:v>115.70511808470599</c:v>
                </c:pt>
                <c:pt idx="38">
                  <c:v>136.04024933261465</c:v>
                </c:pt>
                <c:pt idx="39">
                  <c:v>152.08493357272627</c:v>
                </c:pt>
                <c:pt idx="40">
                  <c:v>161.24933042636832</c:v>
                </c:pt>
                <c:pt idx="41">
                  <c:v>167.89913966116734</c:v>
                </c:pt>
                <c:pt idx="42">
                  <c:v>183.25859954758198</c:v>
                </c:pt>
                <c:pt idx="43">
                  <c:v>201.24064193251917</c:v>
                </c:pt>
                <c:pt idx="44">
                  <c:v>170.43521162522458</c:v>
                </c:pt>
                <c:pt idx="45">
                  <c:v>177.15182229780589</c:v>
                </c:pt>
                <c:pt idx="46">
                  <c:v>203.03756712873343</c:v>
                </c:pt>
                <c:pt idx="47">
                  <c:v>192.38116397558397</c:v>
                </c:pt>
                <c:pt idx="48">
                  <c:v>191.66642072458342</c:v>
                </c:pt>
                <c:pt idx="49">
                  <c:v>181.61963468415331</c:v>
                </c:pt>
                <c:pt idx="50">
                  <c:v>137.74720577532352</c:v>
                </c:pt>
                <c:pt idx="51">
                  <c:v>130.35526250955675</c:v>
                </c:pt>
                <c:pt idx="52">
                  <c:v>137.91961910912224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39-472D-82AF-238A1F535AF4}"/>
            </c:ext>
          </c:extLst>
        </c:ser>
        <c:ser>
          <c:idx val="9"/>
          <c:order val="9"/>
          <c:tx>
            <c:strRef>
              <c:f>'Country Petrol Prices 2010 US$'!$K$3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US$'!$K$4:$K$56</c:f>
              <c:numCache>
                <c:formatCode>0.00</c:formatCode>
                <c:ptCount val="53"/>
                <c:pt idx="0">
                  <c:v>93.287937117792339</c:v>
                </c:pt>
                <c:pt idx="1">
                  <c:v>90.578787264946442</c:v>
                </c:pt>
                <c:pt idx="2">
                  <c:v>88.132444803159416</c:v>
                </c:pt>
                <c:pt idx="3">
                  <c:v>84.565792765111553</c:v>
                </c:pt>
                <c:pt idx="4">
                  <c:v>80.222025062841382</c:v>
                </c:pt>
                <c:pt idx="5">
                  <c:v>75.755954025907428</c:v>
                </c:pt>
                <c:pt idx="6">
                  <c:v>93.424442530776702</c:v>
                </c:pt>
                <c:pt idx="7">
                  <c:v>97.669760874591489</c:v>
                </c:pt>
                <c:pt idx="8">
                  <c:v>124.87087738620446</c:v>
                </c:pt>
                <c:pt idx="9">
                  <c:v>145.51752792647778</c:v>
                </c:pt>
                <c:pt idx="10">
                  <c:v>123.30878665519414</c:v>
                </c:pt>
                <c:pt idx="11">
                  <c:v>132.75082470604821</c:v>
                </c:pt>
                <c:pt idx="12">
                  <c:v>167.79135056637631</c:v>
                </c:pt>
                <c:pt idx="13">
                  <c:v>148.78538478277099</c:v>
                </c:pt>
                <c:pt idx="14">
                  <c:v>157.16461099192429</c:v>
                </c:pt>
                <c:pt idx="15">
                  <c:v>163.44937535942813</c:v>
                </c:pt>
                <c:pt idx="16">
                  <c:v>145.16040770462973</c:v>
                </c:pt>
                <c:pt idx="17">
                  <c:v>124.76098363453927</c:v>
                </c:pt>
                <c:pt idx="18">
                  <c:v>113.49459899863817</c:v>
                </c:pt>
                <c:pt idx="19">
                  <c:v>99.495072649427286</c:v>
                </c:pt>
                <c:pt idx="20">
                  <c:v>95.683262405029652</c:v>
                </c:pt>
                <c:pt idx="21">
                  <c:v>95.087464536842177</c:v>
                </c:pt>
                <c:pt idx="22">
                  <c:v>107.55109816359536</c:v>
                </c:pt>
                <c:pt idx="23">
                  <c:v>103.22773733114508</c:v>
                </c:pt>
                <c:pt idx="24">
                  <c:v>111.18627867664645</c:v>
                </c:pt>
                <c:pt idx="25">
                  <c:v>112.56746526438859</c:v>
                </c:pt>
                <c:pt idx="26">
                  <c:v>118.33061349318537</c:v>
                </c:pt>
                <c:pt idx="27">
                  <c:v>129.37693485724495</c:v>
                </c:pt>
                <c:pt idx="28">
                  <c:v>118.10420754558906</c:v>
                </c:pt>
                <c:pt idx="29">
                  <c:v>131.68801286434748</c:v>
                </c:pt>
                <c:pt idx="30">
                  <c:v>144.36481555016516</c:v>
                </c:pt>
                <c:pt idx="31">
                  <c:v>139.45062068272688</c:v>
                </c:pt>
                <c:pt idx="32">
                  <c:v>121.42790867351168</c:v>
                </c:pt>
                <c:pt idx="33">
                  <c:v>110.38771337366902</c:v>
                </c:pt>
                <c:pt idx="34">
                  <c:v>113.81624411758979</c:v>
                </c:pt>
                <c:pt idx="35">
                  <c:v>115.40085367595087</c:v>
                </c:pt>
                <c:pt idx="36">
                  <c:v>110.55762544607046</c:v>
                </c:pt>
                <c:pt idx="37">
                  <c:v>117.30262464603327</c:v>
                </c:pt>
                <c:pt idx="38">
                  <c:v>143.39739162690552</c:v>
                </c:pt>
                <c:pt idx="39">
                  <c:v>159.82535432006577</c:v>
                </c:pt>
                <c:pt idx="40">
                  <c:v>169.67744168788258</c:v>
                </c:pt>
                <c:pt idx="41">
                  <c:v>174.18940878343759</c:v>
                </c:pt>
                <c:pt idx="42">
                  <c:v>192.24833917525953</c:v>
                </c:pt>
                <c:pt idx="43">
                  <c:v>206.78396691140355</c:v>
                </c:pt>
                <c:pt idx="44">
                  <c:v>178.20434612698085</c:v>
                </c:pt>
                <c:pt idx="45">
                  <c:v>183.35358867152422</c:v>
                </c:pt>
                <c:pt idx="46">
                  <c:v>206.94326867505862</c:v>
                </c:pt>
                <c:pt idx="47">
                  <c:v>202.80203865359158</c:v>
                </c:pt>
                <c:pt idx="48">
                  <c:v>199.63539843481237</c:v>
                </c:pt>
                <c:pt idx="49">
                  <c:v>187.85878736395003</c:v>
                </c:pt>
                <c:pt idx="50">
                  <c:v>141.87749798305941</c:v>
                </c:pt>
                <c:pt idx="51">
                  <c:v>130.7813020716824</c:v>
                </c:pt>
                <c:pt idx="52">
                  <c:v>137.76960358595829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39-472D-82AF-238A1F535AF4}"/>
            </c:ext>
          </c:extLst>
        </c:ser>
        <c:ser>
          <c:idx val="10"/>
          <c:order val="10"/>
          <c:tx>
            <c:strRef>
              <c:f>'Country Petrol Prices 2010 US$'!$L$3</c:f>
              <c:strCache>
                <c:ptCount val="1"/>
                <c:pt idx="0">
                  <c:v>Greece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US$'!$L$4:$L$56</c:f>
              <c:numCache>
                <c:formatCode>0.00</c:formatCode>
                <c:ptCount val="53"/>
                <c:pt idx="0">
                  <c:v>116.88199774521</c:v>
                </c:pt>
                <c:pt idx="1">
                  <c:v>113.48765086629302</c:v>
                </c:pt>
                <c:pt idx="2">
                  <c:v>110.42260629652473</c:v>
                </c:pt>
                <c:pt idx="3">
                  <c:v>105.95136501696381</c:v>
                </c:pt>
                <c:pt idx="4">
                  <c:v>100.51147977858422</c:v>
                </c:pt>
                <c:pt idx="5">
                  <c:v>94.915916551551035</c:v>
                </c:pt>
                <c:pt idx="6">
                  <c:v>91.041283471198625</c:v>
                </c:pt>
                <c:pt idx="7">
                  <c:v>101.37330442251866</c:v>
                </c:pt>
                <c:pt idx="8">
                  <c:v>111.93230210669822</c:v>
                </c:pt>
                <c:pt idx="9">
                  <c:v>194.18818351183089</c:v>
                </c:pt>
                <c:pt idx="10">
                  <c:v>175.38603775957071</c:v>
                </c:pt>
                <c:pt idx="11">
                  <c:v>177.78603763980666</c:v>
                </c:pt>
                <c:pt idx="12">
                  <c:v>161.09194187179671</c:v>
                </c:pt>
                <c:pt idx="13">
                  <c:v>186.51591198055777</c:v>
                </c:pt>
                <c:pt idx="14">
                  <c:v>202.77923853929457</c:v>
                </c:pt>
                <c:pt idx="15">
                  <c:v>210.40428288151128</c:v>
                </c:pt>
                <c:pt idx="16">
                  <c:v>169.37816686080464</c:v>
                </c:pt>
                <c:pt idx="17">
                  <c:v>147.79677258891519</c:v>
                </c:pt>
                <c:pt idx="18">
                  <c:v>124.58575406918749</c:v>
                </c:pt>
                <c:pt idx="19">
                  <c:v>102.84808073532916</c:v>
                </c:pt>
                <c:pt idx="20">
                  <c:v>100.52750840032458</c:v>
                </c:pt>
                <c:pt idx="21">
                  <c:v>110.83076370012839</c:v>
                </c:pt>
                <c:pt idx="22">
                  <c:v>109.32765107388398</c:v>
                </c:pt>
                <c:pt idx="23">
                  <c:v>100.31885009231125</c:v>
                </c:pt>
                <c:pt idx="24">
                  <c:v>83.561069175422006</c:v>
                </c:pt>
                <c:pt idx="25">
                  <c:v>125.28156798795355</c:v>
                </c:pt>
                <c:pt idx="26">
                  <c:v>123.65022638778602</c:v>
                </c:pt>
                <c:pt idx="27">
                  <c:v>141.5563435622193</c:v>
                </c:pt>
                <c:pt idx="28">
                  <c:v>119.95591530201308</c:v>
                </c:pt>
                <c:pt idx="29">
                  <c:v>122.43963610830386</c:v>
                </c:pt>
                <c:pt idx="30">
                  <c:v>128.77280216078344</c:v>
                </c:pt>
                <c:pt idx="31">
                  <c:v>134.50460867261006</c:v>
                </c:pt>
                <c:pt idx="32">
                  <c:v>110.72701782033923</c:v>
                </c:pt>
                <c:pt idx="33">
                  <c:v>94.846895950862788</c:v>
                </c:pt>
                <c:pt idx="34">
                  <c:v>88.841929024101987</c:v>
                </c:pt>
                <c:pt idx="35">
                  <c:v>90.70847028269921</c:v>
                </c:pt>
                <c:pt idx="36">
                  <c:v>83.101811995800233</c:v>
                </c:pt>
                <c:pt idx="37">
                  <c:v>83.967405379730295</c:v>
                </c:pt>
                <c:pt idx="38">
                  <c:v>99.064469603523392</c:v>
                </c:pt>
                <c:pt idx="39">
                  <c:v>116.46894392096799</c:v>
                </c:pt>
                <c:pt idx="40">
                  <c:v>122.40257875336246</c:v>
                </c:pt>
                <c:pt idx="41">
                  <c:v>131.42699024952677</c:v>
                </c:pt>
                <c:pt idx="42">
                  <c:v>145.82960595608887</c:v>
                </c:pt>
                <c:pt idx="43">
                  <c:v>164.732584969941</c:v>
                </c:pt>
                <c:pt idx="44">
                  <c:v>141.77046600805753</c:v>
                </c:pt>
                <c:pt idx="45">
                  <c:v>187.03752666710309</c:v>
                </c:pt>
                <c:pt idx="46">
                  <c:v>225.86743125558203</c:v>
                </c:pt>
                <c:pt idx="47">
                  <c:v>214.90068212527541</c:v>
                </c:pt>
                <c:pt idx="48">
                  <c:v>211.05309584701578</c:v>
                </c:pt>
                <c:pt idx="49">
                  <c:v>201.23734413119033</c:v>
                </c:pt>
                <c:pt idx="50">
                  <c:v>150.36051016981941</c:v>
                </c:pt>
                <c:pt idx="51">
                  <c:v>139.62949238512243</c:v>
                </c:pt>
                <c:pt idx="52">
                  <c:v>151.51166728542233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39-472D-82AF-238A1F535AF4}"/>
            </c:ext>
          </c:extLst>
        </c:ser>
        <c:ser>
          <c:idx val="11"/>
          <c:order val="11"/>
          <c:tx>
            <c:strRef>
              <c:f>'Country Petrol Prices 2010 US$'!$M$3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US$'!$M$4:$M$56</c:f>
              <c:numCache>
                <c:formatCode>0.00</c:formatCode>
                <c:ptCount val="53"/>
                <c:pt idx="0">
                  <c:v>69.160926781312</c:v>
                </c:pt>
                <c:pt idx="1">
                  <c:v>67.152483232162822</c:v>
                </c:pt>
                <c:pt idx="2">
                  <c:v>65.33881605969826</c:v>
                </c:pt>
                <c:pt idx="3">
                  <c:v>62.708834080026421</c:v>
                </c:pt>
                <c:pt idx="4">
                  <c:v>59.474200967736991</c:v>
                </c:pt>
                <c:pt idx="5">
                  <c:v>56.163288789486579</c:v>
                </c:pt>
                <c:pt idx="6">
                  <c:v>64.644719493261476</c:v>
                </c:pt>
                <c:pt idx="7">
                  <c:v>56.318566062596645</c:v>
                </c:pt>
                <c:pt idx="8">
                  <c:v>58.911768079882052</c:v>
                </c:pt>
                <c:pt idx="9">
                  <c:v>64.729299095480883</c:v>
                </c:pt>
                <c:pt idx="10">
                  <c:v>56.882000739310357</c:v>
                </c:pt>
                <c:pt idx="11">
                  <c:v>53.335954404636119</c:v>
                </c:pt>
                <c:pt idx="12">
                  <c:v>64.048082671514095</c:v>
                </c:pt>
                <c:pt idx="13">
                  <c:v>72.467259353350869</c:v>
                </c:pt>
                <c:pt idx="14">
                  <c:v>76.785828010834535</c:v>
                </c:pt>
                <c:pt idx="15">
                  <c:v>77.915845843532409</c:v>
                </c:pt>
                <c:pt idx="16">
                  <c:v>91.838278064700958</c:v>
                </c:pt>
                <c:pt idx="17">
                  <c:v>84.520067338657626</c:v>
                </c:pt>
                <c:pt idx="18">
                  <c:v>82.787115725671498</c:v>
                </c:pt>
                <c:pt idx="19">
                  <c:v>80.221534458349439</c:v>
                </c:pt>
                <c:pt idx="20">
                  <c:v>80.259888660371118</c:v>
                </c:pt>
                <c:pt idx="21">
                  <c:v>83.192697100781103</c:v>
                </c:pt>
                <c:pt idx="22">
                  <c:v>84.431623693697219</c:v>
                </c:pt>
                <c:pt idx="23">
                  <c:v>74.409298612432679</c:v>
                </c:pt>
                <c:pt idx="24">
                  <c:v>64.526794633314282</c:v>
                </c:pt>
                <c:pt idx="25">
                  <c:v>74.240854971464415</c:v>
                </c:pt>
                <c:pt idx="26">
                  <c:v>112.20106774623805</c:v>
                </c:pt>
                <c:pt idx="27">
                  <c:v>96.515773359014219</c:v>
                </c:pt>
                <c:pt idx="28">
                  <c:v>107.54661359567666</c:v>
                </c:pt>
                <c:pt idx="29">
                  <c:v>107.40321467617781</c:v>
                </c:pt>
                <c:pt idx="30">
                  <c:v>100.2218196857042</c:v>
                </c:pt>
                <c:pt idx="31">
                  <c:v>102.10890367024754</c:v>
                </c:pt>
                <c:pt idx="32">
                  <c:v>93.540460448453345</c:v>
                </c:pt>
                <c:pt idx="33">
                  <c:v>103.74997693361459</c:v>
                </c:pt>
                <c:pt idx="34">
                  <c:v>115.53630908248731</c:v>
                </c:pt>
                <c:pt idx="35">
                  <c:v>102.58587475197214</c:v>
                </c:pt>
                <c:pt idx="36">
                  <c:v>107.78224876441517</c:v>
                </c:pt>
                <c:pt idx="37">
                  <c:v>113.97034006671605</c:v>
                </c:pt>
                <c:pt idx="38">
                  <c:v>132.74399275362319</c:v>
                </c:pt>
                <c:pt idx="39">
                  <c:v>149.72984074056345</c:v>
                </c:pt>
                <c:pt idx="40">
                  <c:v>145.93838800141324</c:v>
                </c:pt>
                <c:pt idx="41">
                  <c:v>142.38123144019025</c:v>
                </c:pt>
                <c:pt idx="42">
                  <c:v>158.44092748090114</c:v>
                </c:pt>
                <c:pt idx="43">
                  <c:v>175.0435303205563</c:v>
                </c:pt>
                <c:pt idx="44">
                  <c:v>141.04944175155316</c:v>
                </c:pt>
                <c:pt idx="45">
                  <c:v>161.17423754757567</c:v>
                </c:pt>
                <c:pt idx="46">
                  <c:v>185.95810934696487</c:v>
                </c:pt>
                <c:pt idx="47">
                  <c:v>181.68387777860872</c:v>
                </c:pt>
                <c:pt idx="48">
                  <c:v>175.49255384277379</c:v>
                </c:pt>
                <c:pt idx="49">
                  <c:v>161.43162854149503</c:v>
                </c:pt>
                <c:pt idx="50">
                  <c:v>117.60462183955522</c:v>
                </c:pt>
                <c:pt idx="51">
                  <c:v>107.10173347859526</c:v>
                </c:pt>
                <c:pt idx="52">
                  <c:v>115.05406454627978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39-472D-82AF-238A1F535AF4}"/>
            </c:ext>
          </c:extLst>
        </c:ser>
        <c:ser>
          <c:idx val="12"/>
          <c:order val="12"/>
          <c:tx>
            <c:strRef>
              <c:f>'Country Petrol Prices 2010 US$'!$N$3</c:f>
              <c:strCache>
                <c:ptCount val="1"/>
                <c:pt idx="0">
                  <c:v>Ireland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US$'!$N$4:$N$56</c:f>
              <c:numCache>
                <c:formatCode>0.00</c:formatCode>
                <c:ptCount val="53"/>
                <c:pt idx="0">
                  <c:v>110.65759734025444</c:v>
                </c:pt>
                <c:pt idx="1">
                  <c:v>112.14453823206436</c:v>
                </c:pt>
                <c:pt idx="2">
                  <c:v>93.434557054811435</c:v>
                </c:pt>
                <c:pt idx="3">
                  <c:v>102.75634549840427</c:v>
                </c:pt>
                <c:pt idx="4">
                  <c:v>101.22518278411414</c:v>
                </c:pt>
                <c:pt idx="5">
                  <c:v>100.86911840116679</c:v>
                </c:pt>
                <c:pt idx="6">
                  <c:v>105.7478301433996</c:v>
                </c:pt>
                <c:pt idx="7">
                  <c:v>96.471551536534022</c:v>
                </c:pt>
                <c:pt idx="8">
                  <c:v>98.431766107767899</c:v>
                </c:pt>
                <c:pt idx="9">
                  <c:v>168.98603807894139</c:v>
                </c:pt>
                <c:pt idx="10">
                  <c:v>138.59934907650455</c:v>
                </c:pt>
                <c:pt idx="11">
                  <c:v>133.33995756793732</c:v>
                </c:pt>
                <c:pt idx="12">
                  <c:v>139.3226406325399</c:v>
                </c:pt>
                <c:pt idx="13">
                  <c:v>128.35534243206263</c:v>
                </c:pt>
                <c:pt idx="14">
                  <c:v>139.69244383412189</c:v>
                </c:pt>
                <c:pt idx="15">
                  <c:v>174.14668182857227</c:v>
                </c:pt>
                <c:pt idx="16">
                  <c:v>163.38031385062638</c:v>
                </c:pt>
                <c:pt idx="17">
                  <c:v>164.74704007938323</c:v>
                </c:pt>
                <c:pt idx="18">
                  <c:v>160.71412435934451</c:v>
                </c:pt>
                <c:pt idx="19">
                  <c:v>141.67970670454272</c:v>
                </c:pt>
                <c:pt idx="20">
                  <c:v>142.2789195547841</c:v>
                </c:pt>
                <c:pt idx="21">
                  <c:v>158.18818530829114</c:v>
                </c:pt>
                <c:pt idx="22">
                  <c:v>168.02002739369436</c:v>
                </c:pt>
                <c:pt idx="23">
                  <c:v>163.01823873452634</c:v>
                </c:pt>
                <c:pt idx="24">
                  <c:v>153.92772040461642</c:v>
                </c:pt>
                <c:pt idx="25">
                  <c:v>146.27134559084899</c:v>
                </c:pt>
                <c:pt idx="26">
                  <c:v>135.77123632943608</c:v>
                </c:pt>
                <c:pt idx="27">
                  <c:v>132.07501416883349</c:v>
                </c:pt>
                <c:pt idx="28">
                  <c:v>111.78111149084297</c:v>
                </c:pt>
                <c:pt idx="29">
                  <c:v>110.56809801273921</c:v>
                </c:pt>
                <c:pt idx="30">
                  <c:v>116.22191044640829</c:v>
                </c:pt>
                <c:pt idx="31">
                  <c:v>121.0164765727995</c:v>
                </c:pt>
                <c:pt idx="32">
                  <c:v>117.99341863788248</c:v>
                </c:pt>
                <c:pt idx="33">
                  <c:v>106.14573211581136</c:v>
                </c:pt>
                <c:pt idx="34">
                  <c:v>101.84898753374681</c:v>
                </c:pt>
                <c:pt idx="35">
                  <c:v>104.31583739767451</c:v>
                </c:pt>
                <c:pt idx="36">
                  <c:v>97.991753760275842</c:v>
                </c:pt>
                <c:pt idx="37">
                  <c:v>97.562007852488762</c:v>
                </c:pt>
                <c:pt idx="38">
                  <c:v>116.51038069686072</c:v>
                </c:pt>
                <c:pt idx="39">
                  <c:v>136.60409207804724</c:v>
                </c:pt>
                <c:pt idx="40">
                  <c:v>145.65699154406332</c:v>
                </c:pt>
                <c:pt idx="41">
                  <c:v>151.84965167679434</c:v>
                </c:pt>
                <c:pt idx="42">
                  <c:v>161.31527941322341</c:v>
                </c:pt>
                <c:pt idx="43">
                  <c:v>183.53774096184358</c:v>
                </c:pt>
                <c:pt idx="44">
                  <c:v>156.13390405819649</c:v>
                </c:pt>
                <c:pt idx="45">
                  <c:v>171.41676876982174</c:v>
                </c:pt>
                <c:pt idx="46">
                  <c:v>200.783096956359</c:v>
                </c:pt>
                <c:pt idx="47">
                  <c:v>198.46134013469845</c:v>
                </c:pt>
                <c:pt idx="48">
                  <c:v>198.01109293244298</c:v>
                </c:pt>
                <c:pt idx="49">
                  <c:v>186.23865283487797</c:v>
                </c:pt>
                <c:pt idx="50">
                  <c:v>139.02979245053842</c:v>
                </c:pt>
                <c:pt idx="51">
                  <c:v>128.53699546613794</c:v>
                </c:pt>
                <c:pt idx="52">
                  <c:v>136.75880380421137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39-472D-82AF-238A1F535AF4}"/>
            </c:ext>
          </c:extLst>
        </c:ser>
        <c:ser>
          <c:idx val="14"/>
          <c:order val="13"/>
          <c:tx>
            <c:strRef>
              <c:f>'Country Petrol Prices 2010 US$'!$P$3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US$'!$P$4:$P$56</c:f>
              <c:numCache>
                <c:formatCode>0.00</c:formatCode>
                <c:ptCount val="53"/>
                <c:pt idx="0">
                  <c:v>121.7233570742799</c:v>
                </c:pt>
                <c:pt idx="1">
                  <c:v>128.93265904010508</c:v>
                </c:pt>
                <c:pt idx="2">
                  <c:v>125.45058407969829</c:v>
                </c:pt>
                <c:pt idx="3">
                  <c:v>120.37351814342807</c:v>
                </c:pt>
                <c:pt idx="4">
                  <c:v>123.70632656387738</c:v>
                </c:pt>
                <c:pt idx="5">
                  <c:v>137.03827580914535</c:v>
                </c:pt>
                <c:pt idx="6">
                  <c:v>139.5247157566242</c:v>
                </c:pt>
                <c:pt idx="7">
                  <c:v>146.99104812107208</c:v>
                </c:pt>
                <c:pt idx="8">
                  <c:v>159.06117274236627</c:v>
                </c:pt>
                <c:pt idx="9">
                  <c:v>199.58210095286216</c:v>
                </c:pt>
                <c:pt idx="10">
                  <c:v>184.86725374440277</c:v>
                </c:pt>
                <c:pt idx="11">
                  <c:v>217.78889789762198</c:v>
                </c:pt>
                <c:pt idx="12">
                  <c:v>204.62968567414558</c:v>
                </c:pt>
                <c:pt idx="13">
                  <c:v>196.87870216111153</c:v>
                </c:pt>
                <c:pt idx="14">
                  <c:v>195.56922100999893</c:v>
                </c:pt>
                <c:pt idx="15">
                  <c:v>216.22753840487454</c:v>
                </c:pt>
                <c:pt idx="16">
                  <c:v>187.13129656523361</c:v>
                </c:pt>
                <c:pt idx="17">
                  <c:v>171.97852451279553</c:v>
                </c:pt>
                <c:pt idx="18">
                  <c:v>169.03326526799788</c:v>
                </c:pt>
                <c:pt idx="19">
                  <c:v>154.06224633708044</c:v>
                </c:pt>
                <c:pt idx="20">
                  <c:v>140.25215758078878</c:v>
                </c:pt>
                <c:pt idx="21">
                  <c:v>170.72342618544496</c:v>
                </c:pt>
                <c:pt idx="22">
                  <c:v>192.18603692122252</c:v>
                </c:pt>
                <c:pt idx="23">
                  <c:v>192.70839825472652</c:v>
                </c:pt>
                <c:pt idx="24">
                  <c:v>176.4465028229308</c:v>
                </c:pt>
                <c:pt idx="25">
                  <c:v>175.30446352392764</c:v>
                </c:pt>
                <c:pt idx="26">
                  <c:v>175.73952611402405</c:v>
                </c:pt>
                <c:pt idx="27">
                  <c:v>177.90911455674186</c:v>
                </c:pt>
                <c:pt idx="28">
                  <c:v>179.93415917840787</c:v>
                </c:pt>
                <c:pt idx="29">
                  <c:v>189.02897088914116</c:v>
                </c:pt>
                <c:pt idx="30">
                  <c:v>153.53129824192985</c:v>
                </c:pt>
                <c:pt idx="31">
                  <c:v>162.54589291593206</c:v>
                </c:pt>
                <c:pt idx="32">
                  <c:v>146.03165044249323</c:v>
                </c:pt>
                <c:pt idx="33">
                  <c:v>137.08521205893584</c:v>
                </c:pt>
                <c:pt idx="34">
                  <c:v>134.41929188864296</c:v>
                </c:pt>
                <c:pt idx="35">
                  <c:v>126.15741452050754</c:v>
                </c:pt>
                <c:pt idx="36">
                  <c:v>116.04892349129348</c:v>
                </c:pt>
                <c:pt idx="37">
                  <c:v>119.72326054623895</c:v>
                </c:pt>
                <c:pt idx="38">
                  <c:v>141.90355453920458</c:v>
                </c:pt>
                <c:pt idx="39">
                  <c:v>161.5070578929089</c:v>
                </c:pt>
                <c:pt idx="40">
                  <c:v>169.30815014573196</c:v>
                </c:pt>
                <c:pt idx="41">
                  <c:v>174.70603201306852</c:v>
                </c:pt>
                <c:pt idx="42">
                  <c:v>187.07496737666816</c:v>
                </c:pt>
                <c:pt idx="43">
                  <c:v>205.9211829251114</c:v>
                </c:pt>
                <c:pt idx="44">
                  <c:v>174.26725037674507</c:v>
                </c:pt>
                <c:pt idx="45">
                  <c:v>179.67349735818968</c:v>
                </c:pt>
                <c:pt idx="46">
                  <c:v>210.23895501279938</c:v>
                </c:pt>
                <c:pt idx="47">
                  <c:v>219.62128356337365</c:v>
                </c:pt>
                <c:pt idx="48">
                  <c:v>218.04519501110144</c:v>
                </c:pt>
                <c:pt idx="49">
                  <c:v>208.92366660057249</c:v>
                </c:pt>
                <c:pt idx="50">
                  <c:v>156.16066871492959</c:v>
                </c:pt>
                <c:pt idx="51">
                  <c:v>144.58820577993859</c:v>
                </c:pt>
                <c:pt idx="52">
                  <c:v>153.18819103453646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39-472D-82AF-238A1F535AF4}"/>
            </c:ext>
          </c:extLst>
        </c:ser>
        <c:ser>
          <c:idx val="15"/>
          <c:order val="14"/>
          <c:tx>
            <c:strRef>
              <c:f>'Country Petrol Prices 2010 US$'!$Q$3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US$'!$Q$4:$Q$56</c:f>
              <c:numCache>
                <c:formatCode>0.00</c:formatCode>
                <c:ptCount val="53"/>
                <c:pt idx="0">
                  <c:v>94.750478277159075</c:v>
                </c:pt>
                <c:pt idx="1">
                  <c:v>89.9842531124972</c:v>
                </c:pt>
                <c:pt idx="2">
                  <c:v>87.554056453803895</c:v>
                </c:pt>
                <c:pt idx="3">
                  <c:v>83.383752547418894</c:v>
                </c:pt>
                <c:pt idx="4">
                  <c:v>79.100675838074665</c:v>
                </c:pt>
                <c:pt idx="5">
                  <c:v>78.066972848513274</c:v>
                </c:pt>
                <c:pt idx="6">
                  <c:v>91.579959651831203</c:v>
                </c:pt>
                <c:pt idx="7">
                  <c:v>90.109619832538186</c:v>
                </c:pt>
                <c:pt idx="8">
                  <c:v>88.367652119823063</c:v>
                </c:pt>
                <c:pt idx="9">
                  <c:v>161.82324773870221</c:v>
                </c:pt>
                <c:pt idx="10">
                  <c:v>132.72471609595556</c:v>
                </c:pt>
                <c:pt idx="11">
                  <c:v>155.56349849830141</c:v>
                </c:pt>
                <c:pt idx="12">
                  <c:v>165.44543002664335</c:v>
                </c:pt>
                <c:pt idx="13">
                  <c:v>174.81788036395133</c:v>
                </c:pt>
                <c:pt idx="14">
                  <c:v>165.82897204686</c:v>
                </c:pt>
                <c:pt idx="15">
                  <c:v>179.7037477408897</c:v>
                </c:pt>
                <c:pt idx="16">
                  <c:v>166.49873945529791</c:v>
                </c:pt>
                <c:pt idx="17">
                  <c:v>148.70124481569468</c:v>
                </c:pt>
                <c:pt idx="18">
                  <c:v>139.25580700439025</c:v>
                </c:pt>
                <c:pt idx="19">
                  <c:v>128.03534244803114</c:v>
                </c:pt>
                <c:pt idx="20">
                  <c:v>118.97115685383758</c:v>
                </c:pt>
                <c:pt idx="21">
                  <c:v>145.25366001456851</c:v>
                </c:pt>
                <c:pt idx="22">
                  <c:v>160.53952687252948</c:v>
                </c:pt>
                <c:pt idx="23">
                  <c:v>166.89086823716116</c:v>
                </c:pt>
                <c:pt idx="24">
                  <c:v>151.81680816648398</c:v>
                </c:pt>
                <c:pt idx="25">
                  <c:v>139.53559232137661</c:v>
                </c:pt>
                <c:pt idx="26">
                  <c:v>146.35562775922071</c:v>
                </c:pt>
                <c:pt idx="27">
                  <c:v>147.18281913118037</c:v>
                </c:pt>
                <c:pt idx="28">
                  <c:v>160.17315837560616</c:v>
                </c:pt>
                <c:pt idx="29">
                  <c:v>170.52020615980783</c:v>
                </c:pt>
                <c:pt idx="30">
                  <c:v>167.44185210948723</c:v>
                </c:pt>
                <c:pt idx="31">
                  <c:v>133.89280190528689</c:v>
                </c:pt>
                <c:pt idx="32">
                  <c:v>117.24822312943918</c:v>
                </c:pt>
                <c:pt idx="33">
                  <c:v>101.27521304632772</c:v>
                </c:pt>
                <c:pt idx="34">
                  <c:v>113.66330253883174</c:v>
                </c:pt>
                <c:pt idx="35">
                  <c:v>122.10694379837594</c:v>
                </c:pt>
                <c:pt idx="36">
                  <c:v>106.32484329207401</c:v>
                </c:pt>
                <c:pt idx="37">
                  <c:v>100.75711743897422</c:v>
                </c:pt>
                <c:pt idx="38">
                  <c:v>108.67334727285633</c:v>
                </c:pt>
                <c:pt idx="39">
                  <c:v>119.82409387182844</c:v>
                </c:pt>
                <c:pt idx="40">
                  <c:v>126.15468673644637</c:v>
                </c:pt>
                <c:pt idx="41">
                  <c:v>127.92064365375523</c:v>
                </c:pt>
                <c:pt idx="42">
                  <c:v>124.87333721943483</c:v>
                </c:pt>
                <c:pt idx="43">
                  <c:v>153.79586115213172</c:v>
                </c:pt>
                <c:pt idx="44">
                  <c:v>130.57436359412216</c:v>
                </c:pt>
                <c:pt idx="45">
                  <c:v>152.59641702673451</c:v>
                </c:pt>
                <c:pt idx="46">
                  <c:v>177.33125374920508</c:v>
                </c:pt>
                <c:pt idx="47">
                  <c:v>174.81213946353958</c:v>
                </c:pt>
                <c:pt idx="48">
                  <c:v>149.46161328656768</c:v>
                </c:pt>
                <c:pt idx="49">
                  <c:v>141.58798773586281</c:v>
                </c:pt>
                <c:pt idx="50">
                  <c:v>104.59031565630721</c:v>
                </c:pt>
                <c:pt idx="51">
                  <c:v>101.5712719658417</c:v>
                </c:pt>
                <c:pt idx="52">
                  <c:v>105.89136817237051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39-472D-82AF-238A1F535AF4}"/>
            </c:ext>
          </c:extLst>
        </c:ser>
        <c:ser>
          <c:idx val="16"/>
          <c:order val="15"/>
          <c:tx>
            <c:strRef>
              <c:f>'Country Petrol Prices 2010 US$'!$R$3</c:f>
              <c:strCache>
                <c:ptCount val="1"/>
                <c:pt idx="0">
                  <c:v>Korea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US$'!$R$4:$R$56</c:f>
              <c:numCache>
                <c:formatCode>0.00</c:formatCode>
                <c:ptCount val="53"/>
                <c:pt idx="0">
                  <c:v>74.231850610786594</c:v>
                </c:pt>
                <c:pt idx="1">
                  <c:v>79.513858329668224</c:v>
                </c:pt>
                <c:pt idx="2">
                  <c:v>84.539953775451011</c:v>
                </c:pt>
                <c:pt idx="3">
                  <c:v>86.794209020539569</c:v>
                </c:pt>
                <c:pt idx="4">
                  <c:v>87.875517588215757</c:v>
                </c:pt>
                <c:pt idx="5">
                  <c:v>88.578853006569673</c:v>
                </c:pt>
                <c:pt idx="6">
                  <c:v>86.808062942873008</c:v>
                </c:pt>
                <c:pt idx="7">
                  <c:v>83.078208696668909</c:v>
                </c:pt>
                <c:pt idx="8">
                  <c:v>80.382078594591675</c:v>
                </c:pt>
                <c:pt idx="9">
                  <c:v>109.38081569026473</c:v>
                </c:pt>
                <c:pt idx="10">
                  <c:v>104.44492518506495</c:v>
                </c:pt>
                <c:pt idx="11">
                  <c:v>110.83619717142061</c:v>
                </c:pt>
                <c:pt idx="12">
                  <c:v>113.91093435376231</c:v>
                </c:pt>
                <c:pt idx="13">
                  <c:v>116.75753403825837</c:v>
                </c:pt>
                <c:pt idx="14">
                  <c:v>132.51036038821655</c:v>
                </c:pt>
                <c:pt idx="15">
                  <c:v>139.17649951117482</c:v>
                </c:pt>
                <c:pt idx="16">
                  <c:v>136.31030883058008</c:v>
                </c:pt>
                <c:pt idx="17">
                  <c:v>123.77011313442048</c:v>
                </c:pt>
                <c:pt idx="18">
                  <c:v>112.23219460976526</c:v>
                </c:pt>
                <c:pt idx="19">
                  <c:v>105.93582092484665</c:v>
                </c:pt>
                <c:pt idx="20">
                  <c:v>96.588601544939195</c:v>
                </c:pt>
                <c:pt idx="21">
                  <c:v>81.307863719003819</c:v>
                </c:pt>
                <c:pt idx="22">
                  <c:v>89.629148602815803</c:v>
                </c:pt>
                <c:pt idx="23">
                  <c:v>95.607123396045679</c:v>
                </c:pt>
                <c:pt idx="24">
                  <c:v>106.38942121289617</c:v>
                </c:pt>
                <c:pt idx="25">
                  <c:v>102.53371633943435</c:v>
                </c:pt>
                <c:pt idx="26">
                  <c:v>107.241965402844</c:v>
                </c:pt>
                <c:pt idx="27">
                  <c:v>105.47711577359318</c:v>
                </c:pt>
                <c:pt idx="28">
                  <c:v>106.00256680519414</c:v>
                </c:pt>
                <c:pt idx="29">
                  <c:v>105.27337774394034</c:v>
                </c:pt>
                <c:pt idx="30">
                  <c:v>109.3613839232505</c:v>
                </c:pt>
                <c:pt idx="31">
                  <c:v>117.17242672602109</c:v>
                </c:pt>
                <c:pt idx="32">
                  <c:v>119.13125871298622</c:v>
                </c:pt>
                <c:pt idx="33">
                  <c:v>106.07022165884304</c:v>
                </c:pt>
                <c:pt idx="34">
                  <c:v>124.58625842788511</c:v>
                </c:pt>
                <c:pt idx="35">
                  <c:v>139.75581510830659</c:v>
                </c:pt>
                <c:pt idx="36">
                  <c:v>122.13110285767527</c:v>
                </c:pt>
                <c:pt idx="37">
                  <c:v>125.59733931285453</c:v>
                </c:pt>
                <c:pt idx="38">
                  <c:v>128.70546588168557</c:v>
                </c:pt>
                <c:pt idx="39">
                  <c:v>137.58445478640579</c:v>
                </c:pt>
                <c:pt idx="40">
                  <c:v>155.72700246096912</c:v>
                </c:pt>
                <c:pt idx="41">
                  <c:v>168.73310537647757</c:v>
                </c:pt>
                <c:pt idx="42">
                  <c:v>172.6124902025494</c:v>
                </c:pt>
                <c:pt idx="43">
                  <c:v>155.82545623075467</c:v>
                </c:pt>
                <c:pt idx="44">
                  <c:v>125.93021144894006</c:v>
                </c:pt>
                <c:pt idx="45">
                  <c:v>147.61217113918229</c:v>
                </c:pt>
                <c:pt idx="46">
                  <c:v>160.91845961546318</c:v>
                </c:pt>
                <c:pt idx="47">
                  <c:v>166.02881605030842</c:v>
                </c:pt>
                <c:pt idx="48">
                  <c:v>157.32573018053554</c:v>
                </c:pt>
                <c:pt idx="49">
                  <c:v>150.63902326929866</c:v>
                </c:pt>
                <c:pt idx="50">
                  <c:v>123.94508217367006</c:v>
                </c:pt>
                <c:pt idx="51">
                  <c:v>109.11846738227948</c:v>
                </c:pt>
                <c:pt idx="52">
                  <c:v>117.17945754865565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39-472D-82AF-238A1F535AF4}"/>
            </c:ext>
          </c:extLst>
        </c:ser>
        <c:ser>
          <c:idx val="17"/>
          <c:order val="16"/>
          <c:tx>
            <c:strRef>
              <c:f>'Country Petrol Prices 2010 US$'!$S$3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US$'!$S$4:$S$56</c:f>
              <c:numCache>
                <c:formatCode>0.00</c:formatCode>
                <c:ptCount val="53"/>
                <c:pt idx="0">
                  <c:v>96.133662465738723</c:v>
                </c:pt>
                <c:pt idx="1">
                  <c:v>98.714127453248253</c:v>
                </c:pt>
                <c:pt idx="2">
                  <c:v>98.661748207203743</c:v>
                </c:pt>
                <c:pt idx="3">
                  <c:v>97.803501380622052</c:v>
                </c:pt>
                <c:pt idx="4">
                  <c:v>93.374449723284968</c:v>
                </c:pt>
                <c:pt idx="5">
                  <c:v>98.285648047080912</c:v>
                </c:pt>
                <c:pt idx="6">
                  <c:v>116.89902815580912</c:v>
                </c:pt>
                <c:pt idx="7">
                  <c:v>121.08478823315814</c:v>
                </c:pt>
                <c:pt idx="8">
                  <c:v>164.95312235890265</c:v>
                </c:pt>
                <c:pt idx="9">
                  <c:v>194.18818351183094</c:v>
                </c:pt>
                <c:pt idx="10">
                  <c:v>156.42503691684766</c:v>
                </c:pt>
                <c:pt idx="11">
                  <c:v>168.89730820859282</c:v>
                </c:pt>
                <c:pt idx="12">
                  <c:v>165.44543002664335</c:v>
                </c:pt>
                <c:pt idx="13">
                  <c:v>166.46153015482915</c:v>
                </c:pt>
                <c:pt idx="14">
                  <c:v>178.14525050202445</c:v>
                </c:pt>
                <c:pt idx="15">
                  <c:v>191.08406917657044</c:v>
                </c:pt>
                <c:pt idx="16">
                  <c:v>162.42002767314372</c:v>
                </c:pt>
                <c:pt idx="17">
                  <c:v>147.34453647552544</c:v>
                </c:pt>
                <c:pt idx="18">
                  <c:v>133.12500230138312</c:v>
                </c:pt>
                <c:pt idx="19">
                  <c:v>118.17058444298247</c:v>
                </c:pt>
                <c:pt idx="20">
                  <c:v>112.28278509457526</c:v>
                </c:pt>
                <c:pt idx="21">
                  <c:v>120.97859861412796</c:v>
                </c:pt>
                <c:pt idx="22">
                  <c:v>150.75777423006497</c:v>
                </c:pt>
                <c:pt idx="23">
                  <c:v>147.15848997318159</c:v>
                </c:pt>
                <c:pt idx="24">
                  <c:v>145.18496592139536</c:v>
                </c:pt>
                <c:pt idx="25">
                  <c:v>146.1624256221713</c:v>
                </c:pt>
                <c:pt idx="26">
                  <c:v>157.99784542512393</c:v>
                </c:pt>
                <c:pt idx="27">
                  <c:v>154.42575258012155</c:v>
                </c:pt>
                <c:pt idx="28">
                  <c:v>142.70611094670443</c:v>
                </c:pt>
                <c:pt idx="29">
                  <c:v>156.80857893706425</c:v>
                </c:pt>
                <c:pt idx="30">
                  <c:v>166.32557309542401</c:v>
                </c:pt>
                <c:pt idx="31">
                  <c:v>164.55787058885915</c:v>
                </c:pt>
                <c:pt idx="32">
                  <c:v>147.31268082642529</c:v>
                </c:pt>
                <c:pt idx="33">
                  <c:v>140.26889320878897</c:v>
                </c:pt>
                <c:pt idx="34">
                  <c:v>139.51421524725401</c:v>
                </c:pt>
                <c:pt idx="35">
                  <c:v>135.35388297684835</c:v>
                </c:pt>
                <c:pt idx="36">
                  <c:v>126.54053241484438</c:v>
                </c:pt>
                <c:pt idx="37">
                  <c:v>130.53910758274517</c:v>
                </c:pt>
                <c:pt idx="38">
                  <c:v>155.03505307423833</c:v>
                </c:pt>
                <c:pt idx="39">
                  <c:v>179.46308843831602</c:v>
                </c:pt>
                <c:pt idx="40">
                  <c:v>187.7769980503445</c:v>
                </c:pt>
                <c:pt idx="41">
                  <c:v>192.05924221548244</c:v>
                </c:pt>
                <c:pt idx="42">
                  <c:v>210.03479712484062</c:v>
                </c:pt>
                <c:pt idx="43">
                  <c:v>228.10240903413126</c:v>
                </c:pt>
                <c:pt idx="44">
                  <c:v>189.6391791322921</c:v>
                </c:pt>
                <c:pt idx="45">
                  <c:v>198.10951556071595</c:v>
                </c:pt>
                <c:pt idx="46">
                  <c:v>222.12430823548931</c:v>
                </c:pt>
                <c:pt idx="47">
                  <c:v>216.20654358140706</c:v>
                </c:pt>
                <c:pt idx="48">
                  <c:v>216.66143217340226</c:v>
                </c:pt>
                <c:pt idx="49">
                  <c:v>207.18318717088664</c:v>
                </c:pt>
                <c:pt idx="50">
                  <c:v>158.76683741865872</c:v>
                </c:pt>
                <c:pt idx="51">
                  <c:v>147.97075512852174</c:v>
                </c:pt>
                <c:pt idx="52">
                  <c:v>155.64210806023937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39-472D-82AF-238A1F535AF4}"/>
            </c:ext>
          </c:extLst>
        </c:ser>
        <c:ser>
          <c:idx val="18"/>
          <c:order val="17"/>
          <c:tx>
            <c:strRef>
              <c:f>'Country Petrol Prices 2010 US$'!$T$3</c:f>
              <c:strCache>
                <c:ptCount val="1"/>
                <c:pt idx="0">
                  <c:v>New Zealand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US$'!$T$4:$T$56</c:f>
              <c:numCache>
                <c:formatCode>0.00</c:formatCode>
                <c:ptCount val="53"/>
                <c:pt idx="0">
                  <c:v>67.777742592732324</c:v>
                </c:pt>
                <c:pt idx="1">
                  <c:v>65.809370597934134</c:v>
                </c:pt>
                <c:pt idx="2">
                  <c:v>69.912554650781246</c:v>
                </c:pt>
                <c:pt idx="3">
                  <c:v>55.798208306810245</c:v>
                </c:pt>
                <c:pt idx="4">
                  <c:v>52.932090381855787</c:v>
                </c:pt>
                <c:pt idx="5">
                  <c:v>49.985256897422929</c:v>
                </c:pt>
                <c:pt idx="6">
                  <c:v>51.176956301282509</c:v>
                </c:pt>
                <c:pt idx="7">
                  <c:v>67.582250652577159</c:v>
                </c:pt>
                <c:pt idx="8">
                  <c:v>82.476418066757233</c:v>
                </c:pt>
                <c:pt idx="9">
                  <c:v>86.305684423076485</c:v>
                </c:pt>
                <c:pt idx="10">
                  <c:v>80.582894010978876</c:v>
                </c:pt>
                <c:pt idx="11">
                  <c:v>97.782606927281918</c:v>
                </c:pt>
                <c:pt idx="12">
                  <c:v>108.84579063281336</c:v>
                </c:pt>
                <c:pt idx="13">
                  <c:v>105.96006626876576</c:v>
                </c:pt>
                <c:pt idx="14">
                  <c:v>106.04607699792625</c:v>
                </c:pt>
                <c:pt idx="15">
                  <c:v>126.77208669711624</c:v>
                </c:pt>
                <c:pt idx="16">
                  <c:v>123.7944839834496</c:v>
                </c:pt>
                <c:pt idx="17">
                  <c:v>116.15856307648052</c:v>
                </c:pt>
                <c:pt idx="18">
                  <c:v>104.00400196566106</c:v>
                </c:pt>
                <c:pt idx="19">
                  <c:v>94.872124067153152</c:v>
                </c:pt>
                <c:pt idx="20">
                  <c:v>93.231193916480166</c:v>
                </c:pt>
                <c:pt idx="21">
                  <c:v>85.958493027163996</c:v>
                </c:pt>
                <c:pt idx="22">
                  <c:v>101.65552265530495</c:v>
                </c:pt>
                <c:pt idx="23">
                  <c:v>108.24858136028952</c:v>
                </c:pt>
                <c:pt idx="24">
                  <c:v>94.995773434864745</c:v>
                </c:pt>
                <c:pt idx="25">
                  <c:v>94.303251108063236</c:v>
                </c:pt>
                <c:pt idx="26">
                  <c:v>87.749691506653193</c:v>
                </c:pt>
                <c:pt idx="27">
                  <c:v>80.818314392790953</c:v>
                </c:pt>
                <c:pt idx="28">
                  <c:v>77.746400413705345</c:v>
                </c:pt>
                <c:pt idx="29">
                  <c:v>78.419030076025535</c:v>
                </c:pt>
                <c:pt idx="30">
                  <c:v>84.436489525296992</c:v>
                </c:pt>
                <c:pt idx="31">
                  <c:v>86.481140586056171</c:v>
                </c:pt>
                <c:pt idx="32">
                  <c:v>81.245076446628985</c:v>
                </c:pt>
                <c:pt idx="33">
                  <c:v>60.838052179155099</c:v>
                </c:pt>
                <c:pt idx="34">
                  <c:v>59.841697988398622</c:v>
                </c:pt>
                <c:pt idx="35">
                  <c:v>61.565397203768171</c:v>
                </c:pt>
                <c:pt idx="36">
                  <c:v>54.217197847053022</c:v>
                </c:pt>
                <c:pt idx="37">
                  <c:v>57.701288443784705</c:v>
                </c:pt>
                <c:pt idx="38">
                  <c:v>72.333787020860086</c:v>
                </c:pt>
                <c:pt idx="39">
                  <c:v>89.067529768858293</c:v>
                </c:pt>
                <c:pt idx="40">
                  <c:v>103.7981424980328</c:v>
                </c:pt>
                <c:pt idx="41">
                  <c:v>109.03443079324435</c:v>
                </c:pt>
                <c:pt idx="42">
                  <c:v>120.12495242825345</c:v>
                </c:pt>
                <c:pt idx="43">
                  <c:v>129.03445967504993</c:v>
                </c:pt>
                <c:pt idx="44">
                  <c:v>101.83664508672112</c:v>
                </c:pt>
                <c:pt idx="45">
                  <c:v>127.21870078046472</c:v>
                </c:pt>
                <c:pt idx="46">
                  <c:v>160.71465229084964</c:v>
                </c:pt>
                <c:pt idx="47">
                  <c:v>166.03505152260226</c:v>
                </c:pt>
                <c:pt idx="48">
                  <c:v>165.29667977464302</c:v>
                </c:pt>
                <c:pt idx="49">
                  <c:v>165.1064327474175</c:v>
                </c:pt>
                <c:pt idx="50">
                  <c:v>125.74221361210745</c:v>
                </c:pt>
                <c:pt idx="51">
                  <c:v>119.11160281234314</c:v>
                </c:pt>
                <c:pt idx="52">
                  <c:v>127.75109362855284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39-472D-82AF-238A1F535AF4}"/>
            </c:ext>
          </c:extLst>
        </c:ser>
        <c:ser>
          <c:idx val="19"/>
          <c:order val="18"/>
          <c:tx>
            <c:strRef>
              <c:f>'Country Petrol Prices 2010 US$'!$U$3</c:f>
              <c:strCache>
                <c:ptCount val="1"/>
                <c:pt idx="0">
                  <c:v>Norway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US$'!$U$4:$U$56</c:f>
              <c:numCache>
                <c:formatCode>0.00</c:formatCode>
                <c:ptCount val="53"/>
                <c:pt idx="0">
                  <c:v>103.74139017196799</c:v>
                </c:pt>
                <c:pt idx="1">
                  <c:v>114.15913562706032</c:v>
                </c:pt>
                <c:pt idx="2">
                  <c:v>111.07605885783407</c:v>
                </c:pt>
                <c:pt idx="3">
                  <c:v>106.58074602312375</c:v>
                </c:pt>
                <c:pt idx="4">
                  <c:v>101.10611302261407</c:v>
                </c:pt>
                <c:pt idx="5">
                  <c:v>112.32643446627901</c:v>
                </c:pt>
                <c:pt idx="6">
                  <c:v>118.51519981040096</c:v>
                </c:pt>
                <c:pt idx="7">
                  <c:v>112.63698901249919</c:v>
                </c:pt>
                <c:pt idx="8">
                  <c:v>141.38818614663927</c:v>
                </c:pt>
                <c:pt idx="9">
                  <c:v>167.21716517973348</c:v>
                </c:pt>
                <c:pt idx="10">
                  <c:v>151.68514448790216</c:v>
                </c:pt>
                <c:pt idx="11">
                  <c:v>164.45222792951532</c:v>
                </c:pt>
                <c:pt idx="12">
                  <c:v>187.21430192781781</c:v>
                </c:pt>
                <c:pt idx="13">
                  <c:v>166.79498273210703</c:v>
                </c:pt>
                <c:pt idx="14">
                  <c:v>167.93129752334573</c:v>
                </c:pt>
                <c:pt idx="15">
                  <c:v>198.75920296172583</c:v>
                </c:pt>
                <c:pt idx="16">
                  <c:v>181.85330040643197</c:v>
                </c:pt>
                <c:pt idx="17">
                  <c:v>161.35670035590144</c:v>
                </c:pt>
                <c:pt idx="18">
                  <c:v>147.79534146197412</c:v>
                </c:pt>
                <c:pt idx="19">
                  <c:v>133.91240834438003</c:v>
                </c:pt>
                <c:pt idx="20">
                  <c:v>120.99791882783293</c:v>
                </c:pt>
                <c:pt idx="21">
                  <c:v>128.14181829244947</c:v>
                </c:pt>
                <c:pt idx="22">
                  <c:v>145.19498380998314</c:v>
                </c:pt>
                <c:pt idx="23">
                  <c:v>151.58496560202468</c:v>
                </c:pt>
                <c:pt idx="24">
                  <c:v>147.24292646270683</c:v>
                </c:pt>
                <c:pt idx="25">
                  <c:v>192.56242330673365</c:v>
                </c:pt>
                <c:pt idx="26">
                  <c:v>176.31627027129008</c:v>
                </c:pt>
                <c:pt idx="27">
                  <c:v>169.43827419233111</c:v>
                </c:pt>
                <c:pt idx="28">
                  <c:v>148.91018934909621</c:v>
                </c:pt>
                <c:pt idx="29">
                  <c:v>171.84542970727267</c:v>
                </c:pt>
                <c:pt idx="30">
                  <c:v>185.51698537566517</c:v>
                </c:pt>
                <c:pt idx="31">
                  <c:v>184.19605520902371</c:v>
                </c:pt>
                <c:pt idx="32">
                  <c:v>163.62833216701458</c:v>
                </c:pt>
                <c:pt idx="33">
                  <c:v>150.60217281534833</c:v>
                </c:pt>
                <c:pt idx="34">
                  <c:v>153.54778554662224</c:v>
                </c:pt>
                <c:pt idx="35">
                  <c:v>152.03363660176018</c:v>
                </c:pt>
                <c:pt idx="36">
                  <c:v>131.30821905808418</c:v>
                </c:pt>
                <c:pt idx="37">
                  <c:v>136.07033033381774</c:v>
                </c:pt>
                <c:pt idx="38">
                  <c:v>156.88534649132123</c:v>
                </c:pt>
                <c:pt idx="39">
                  <c:v>170.98371864561557</c:v>
                </c:pt>
                <c:pt idx="40">
                  <c:v>187.39492745990904</c:v>
                </c:pt>
                <c:pt idx="41">
                  <c:v>193.30324690377282</c:v>
                </c:pt>
                <c:pt idx="42">
                  <c:v>209.63858870674562</c:v>
                </c:pt>
                <c:pt idx="43">
                  <c:v>225.04669751688164</c:v>
                </c:pt>
                <c:pt idx="44">
                  <c:v>192.03113985304711</c:v>
                </c:pt>
                <c:pt idx="45">
                  <c:v>209.86166140729225</c:v>
                </c:pt>
                <c:pt idx="46">
                  <c:v>236.96263903458848</c:v>
                </c:pt>
                <c:pt idx="47">
                  <c:v>240.46978632710756</c:v>
                </c:pt>
                <c:pt idx="48">
                  <c:v>244.59900452080609</c:v>
                </c:pt>
                <c:pt idx="49">
                  <c:v>229.52340600559756</c:v>
                </c:pt>
                <c:pt idx="50">
                  <c:v>171.67149621738324</c:v>
                </c:pt>
                <c:pt idx="51">
                  <c:v>159.72559733236736</c:v>
                </c:pt>
                <c:pt idx="52">
                  <c:v>174.62169889212979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B39-472D-82AF-238A1F535AF4}"/>
            </c:ext>
          </c:extLst>
        </c:ser>
        <c:ser>
          <c:idx val="20"/>
          <c:order val="19"/>
          <c:tx>
            <c:strRef>
              <c:f>'Country Petrol Prices 2010 US$'!$V$3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US$'!$V$4:$V$56</c:f>
              <c:numCache>
                <c:formatCode>0.00</c:formatCode>
                <c:ptCount val="53"/>
                <c:pt idx="0">
                  <c:v>96.133662465738738</c:v>
                </c:pt>
                <c:pt idx="1">
                  <c:v>93.341820029027716</c:v>
                </c:pt>
                <c:pt idx="2">
                  <c:v>90.821033034962312</c:v>
                </c:pt>
                <c:pt idx="3">
                  <c:v>87.145469712117915</c:v>
                </c:pt>
                <c:pt idx="4">
                  <c:v>82.669190865724275</c:v>
                </c:pt>
                <c:pt idx="5">
                  <c:v>78.066972848513274</c:v>
                </c:pt>
                <c:pt idx="6">
                  <c:v>86.73158780074985</c:v>
                </c:pt>
                <c:pt idx="7">
                  <c:v>78.845935242557672</c:v>
                </c:pt>
                <c:pt idx="8">
                  <c:v>94.258886172888921</c:v>
                </c:pt>
                <c:pt idx="9">
                  <c:v>134.85265874468715</c:v>
                </c:pt>
                <c:pt idx="10">
                  <c:v>142.20507340462296</c:v>
                </c:pt>
                <c:pt idx="11">
                  <c:v>146.67333794014641</c:v>
                </c:pt>
                <c:pt idx="12">
                  <c:v>126.30410818737433</c:v>
                </c:pt>
                <c:pt idx="13">
                  <c:v>147.74238976515318</c:v>
                </c:pt>
                <c:pt idx="14">
                  <c:v>182.4114399134636</c:v>
                </c:pt>
                <c:pt idx="15">
                  <c:v>172.76993771122764</c:v>
                </c:pt>
                <c:pt idx="16">
                  <c:v>158.63040353309316</c:v>
                </c:pt>
                <c:pt idx="17">
                  <c:v>141.69544910089485</c:v>
                </c:pt>
                <c:pt idx="18">
                  <c:v>121.84886690701498</c:v>
                </c:pt>
                <c:pt idx="19">
                  <c:v>104.90503948778186</c:v>
                </c:pt>
                <c:pt idx="20">
                  <c:v>100.3248608254639</c:v>
                </c:pt>
                <c:pt idx="21">
                  <c:v>109.23892120353536</c:v>
                </c:pt>
                <c:pt idx="22">
                  <c:v>125.2855751433887</c:v>
                </c:pt>
                <c:pt idx="23">
                  <c:v>116.14124644049309</c:v>
                </c:pt>
                <c:pt idx="24">
                  <c:v>126.7490455533644</c:v>
                </c:pt>
                <c:pt idx="25">
                  <c:v>134.5617106375602</c:v>
                </c:pt>
                <c:pt idx="26">
                  <c:v>135.09938502933394</c:v>
                </c:pt>
                <c:pt idx="27">
                  <c:v>130.83233694173015</c:v>
                </c:pt>
                <c:pt idx="28">
                  <c:v>109.61487825096413</c:v>
                </c:pt>
                <c:pt idx="29">
                  <c:v>120.29151456970266</c:v>
                </c:pt>
                <c:pt idx="30">
                  <c:v>132.2075068194396</c:v>
                </c:pt>
                <c:pt idx="31">
                  <c:v>118.86390510425278</c:v>
                </c:pt>
                <c:pt idx="32">
                  <c:v>103.70421322034306</c:v>
                </c:pt>
                <c:pt idx="33">
                  <c:v>96.367369405000318</c:v>
                </c:pt>
                <c:pt idx="34">
                  <c:v>96.226362388700252</c:v>
                </c:pt>
                <c:pt idx="35">
                  <c:v>95.580887980410097</c:v>
                </c:pt>
                <c:pt idx="36">
                  <c:v>88.937767381480143</c:v>
                </c:pt>
                <c:pt idx="37">
                  <c:v>92.991087030694075</c:v>
                </c:pt>
                <c:pt idx="38">
                  <c:v>109.3729307965712</c:v>
                </c:pt>
                <c:pt idx="39">
                  <c:v>124.64424855017577</c:v>
                </c:pt>
                <c:pt idx="40">
                  <c:v>132.53612163228919</c:v>
                </c:pt>
                <c:pt idx="41">
                  <c:v>138.48689343827058</c:v>
                </c:pt>
                <c:pt idx="42">
                  <c:v>148.9966852562211</c:v>
                </c:pt>
                <c:pt idx="43">
                  <c:v>164.43576950152672</c:v>
                </c:pt>
                <c:pt idx="44">
                  <c:v>141.48805472118892</c:v>
                </c:pt>
                <c:pt idx="45">
                  <c:v>153.55794120308323</c:v>
                </c:pt>
                <c:pt idx="46">
                  <c:v>178.55572483987555</c:v>
                </c:pt>
                <c:pt idx="47">
                  <c:v>175.09213478034559</c:v>
                </c:pt>
                <c:pt idx="48">
                  <c:v>178.52863841830228</c:v>
                </c:pt>
                <c:pt idx="49">
                  <c:v>169.53543154554148</c:v>
                </c:pt>
                <c:pt idx="50">
                  <c:v>125.09193192156</c:v>
                </c:pt>
                <c:pt idx="51">
                  <c:v>115.15701293317274</c:v>
                </c:pt>
                <c:pt idx="52">
                  <c:v>122.0259758186742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39-472D-82AF-238A1F535AF4}"/>
            </c:ext>
          </c:extLst>
        </c:ser>
        <c:ser>
          <c:idx val="21"/>
          <c:order val="20"/>
          <c:tx>
            <c:strRef>
              <c:f>'Country Petrol Prices 2010 US$'!$W$3</c:f>
              <c:strCache>
                <c:ptCount val="1"/>
                <c:pt idx="0">
                  <c:v>Sweden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US$'!$W$4:$W$56</c:f>
              <c:numCache>
                <c:formatCode>0.00</c:formatCode>
                <c:ptCount val="53"/>
                <c:pt idx="0">
                  <c:v>97.590029209386984</c:v>
                </c:pt>
                <c:pt idx="1">
                  <c:v>101.07295930483009</c:v>
                </c:pt>
                <c:pt idx="2">
                  <c:v>104.48978763857623</c:v>
                </c:pt>
                <c:pt idx="3">
                  <c:v>100.26102503844625</c:v>
                </c:pt>
                <c:pt idx="4">
                  <c:v>89.516325032748284</c:v>
                </c:pt>
                <c:pt idx="5">
                  <c:v>100.38272767097997</c:v>
                </c:pt>
                <c:pt idx="6">
                  <c:v>101.35257918068473</c:v>
                </c:pt>
                <c:pt idx="7">
                  <c:v>95.36235945215698</c:v>
                </c:pt>
                <c:pt idx="8">
                  <c:v>99.753481980202622</c:v>
                </c:pt>
                <c:pt idx="9">
                  <c:v>131.93090411201243</c:v>
                </c:pt>
                <c:pt idx="10">
                  <c:v>115.93656643704352</c:v>
                </c:pt>
                <c:pt idx="11">
                  <c:v>133.79575462734147</c:v>
                </c:pt>
                <c:pt idx="12">
                  <c:v>126.96586751041437</c:v>
                </c:pt>
                <c:pt idx="13">
                  <c:v>129.54881740841492</c:v>
                </c:pt>
                <c:pt idx="14">
                  <c:v>144.69150590925938</c:v>
                </c:pt>
                <c:pt idx="15">
                  <c:v>173.52991400113336</c:v>
                </c:pt>
                <c:pt idx="16">
                  <c:v>157.30334508598668</c:v>
                </c:pt>
                <c:pt idx="17">
                  <c:v>134.14389954739929</c:v>
                </c:pt>
                <c:pt idx="18">
                  <c:v>112.46104081592492</c:v>
                </c:pt>
                <c:pt idx="19">
                  <c:v>100.69869678442764</c:v>
                </c:pt>
                <c:pt idx="20">
                  <c:v>103.33697829965314</c:v>
                </c:pt>
                <c:pt idx="21">
                  <c:v>108.93853043954714</c:v>
                </c:pt>
                <c:pt idx="22">
                  <c:v>119.26413719847788</c:v>
                </c:pt>
                <c:pt idx="23">
                  <c:v>126.46344027079496</c:v>
                </c:pt>
                <c:pt idx="24">
                  <c:v>123.45331951767319</c:v>
                </c:pt>
                <c:pt idx="25">
                  <c:v>155.111620685932</c:v>
                </c:pt>
                <c:pt idx="26">
                  <c:v>185.24783118668353</c:v>
                </c:pt>
                <c:pt idx="27">
                  <c:v>157.00851238106532</c:v>
                </c:pt>
                <c:pt idx="28">
                  <c:v>130.35321257366837</c:v>
                </c:pt>
                <c:pt idx="29">
                  <c:v>139.42759779856303</c:v>
                </c:pt>
                <c:pt idx="30">
                  <c:v>152.45139500134476</c:v>
                </c:pt>
                <c:pt idx="31">
                  <c:v>150.6729748954036</c:v>
                </c:pt>
                <c:pt idx="32">
                  <c:v>133.71856624876838</c:v>
                </c:pt>
                <c:pt idx="33">
                  <c:v>117.97373096812281</c:v>
                </c:pt>
                <c:pt idx="34">
                  <c:v>116.04954024967856</c:v>
                </c:pt>
                <c:pt idx="35">
                  <c:v>131.48394471015646</c:v>
                </c:pt>
                <c:pt idx="36">
                  <c:v>112.69600320024821</c:v>
                </c:pt>
                <c:pt idx="37">
                  <c:v>115.88925798419996</c:v>
                </c:pt>
                <c:pt idx="38">
                  <c:v>137.83503622695534</c:v>
                </c:pt>
                <c:pt idx="39">
                  <c:v>156.52205185490678</c:v>
                </c:pt>
                <c:pt idx="40">
                  <c:v>164.32264915578489</c:v>
                </c:pt>
                <c:pt idx="41">
                  <c:v>167.48984902600444</c:v>
                </c:pt>
                <c:pt idx="42">
                  <c:v>179.11158444812133</c:v>
                </c:pt>
                <c:pt idx="43">
                  <c:v>194.52283290485536</c:v>
                </c:pt>
                <c:pt idx="44">
                  <c:v>158.78532242496277</c:v>
                </c:pt>
                <c:pt idx="45">
                  <c:v>176.67940667839466</c:v>
                </c:pt>
                <c:pt idx="46">
                  <c:v>209.135091626964</c:v>
                </c:pt>
                <c:pt idx="47">
                  <c:v>210.06480896286348</c:v>
                </c:pt>
                <c:pt idx="48">
                  <c:v>208.17877258739856</c:v>
                </c:pt>
                <c:pt idx="49">
                  <c:v>191.44995472437913</c:v>
                </c:pt>
                <c:pt idx="50">
                  <c:v>143.13954553030686</c:v>
                </c:pt>
                <c:pt idx="51">
                  <c:v>138.69748701277268</c:v>
                </c:pt>
                <c:pt idx="52">
                  <c:v>145.95631970716178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39-472D-82AF-238A1F535AF4}"/>
            </c:ext>
          </c:extLst>
        </c:ser>
        <c:ser>
          <c:idx val="22"/>
          <c:order val="21"/>
          <c:tx>
            <c:strRef>
              <c:f>'Country Petrol Prices 2010 US$'!$X$3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US$'!$X$4:$X$56</c:f>
              <c:numCache>
                <c:formatCode>0.00</c:formatCode>
                <c:ptCount val="53"/>
                <c:pt idx="0">
                  <c:v>103.74139017196799</c:v>
                </c:pt>
                <c:pt idx="1">
                  <c:v>107.44385868130522</c:v>
                </c:pt>
                <c:pt idx="2">
                  <c:v>111.07605885783407</c:v>
                </c:pt>
                <c:pt idx="3">
                  <c:v>87.772446425016796</c:v>
                </c:pt>
                <c:pt idx="4">
                  <c:v>77.316489880596919</c:v>
                </c:pt>
                <c:pt idx="5">
                  <c:v>78.628547060203545</c:v>
                </c:pt>
                <c:pt idx="6">
                  <c:v>91.579959651831203</c:v>
                </c:pt>
                <c:pt idx="7">
                  <c:v>95.741533683875488</c:v>
                </c:pt>
                <c:pt idx="8">
                  <c:v>111.93230210669822</c:v>
                </c:pt>
                <c:pt idx="9">
                  <c:v>167.21716517973348</c:v>
                </c:pt>
                <c:pt idx="10">
                  <c:v>146.94525205895667</c:v>
                </c:pt>
                <c:pt idx="11">
                  <c:v>146.67333794014644</c:v>
                </c:pt>
                <c:pt idx="12">
                  <c:v>165.44543002664335</c:v>
                </c:pt>
                <c:pt idx="13">
                  <c:v>171.47476782952603</c:v>
                </c:pt>
                <c:pt idx="14">
                  <c:v>191.96421224535104</c:v>
                </c:pt>
                <c:pt idx="15">
                  <c:v>182.35133258193713</c:v>
                </c:pt>
                <c:pt idx="16">
                  <c:v>153.30374905829385</c:v>
                </c:pt>
                <c:pt idx="17">
                  <c:v>140.33945632419622</c:v>
                </c:pt>
                <c:pt idx="18">
                  <c:v>126.77537828908076</c:v>
                </c:pt>
                <c:pt idx="19">
                  <c:v>108.09545077759108</c:v>
                </c:pt>
                <c:pt idx="20">
                  <c:v>103.97308962373315</c:v>
                </c:pt>
                <c:pt idx="21">
                  <c:v>112.02460979439959</c:v>
                </c:pt>
                <c:pt idx="22">
                  <c:v>126.97344625772998</c:v>
                </c:pt>
                <c:pt idx="23">
                  <c:v>120.41960043093167</c:v>
                </c:pt>
                <c:pt idx="24">
                  <c:v>113.99498536691534</c:v>
                </c:pt>
                <c:pt idx="25">
                  <c:v>125.28156798795355</c:v>
                </c:pt>
                <c:pt idx="26">
                  <c:v>114.49101396470294</c:v>
                </c:pt>
                <c:pt idx="27">
                  <c:v>100.80529013959341</c:v>
                </c:pt>
                <c:pt idx="28">
                  <c:v>115.81952910413231</c:v>
                </c:pt>
                <c:pt idx="29">
                  <c:v>122.43963610830386</c:v>
                </c:pt>
                <c:pt idx="30">
                  <c:v>136.47226510393764</c:v>
                </c:pt>
                <c:pt idx="31">
                  <c:v>117.04322687703824</c:v>
                </c:pt>
                <c:pt idx="32">
                  <c:v>103.93139242277702</c:v>
                </c:pt>
                <c:pt idx="33">
                  <c:v>93.706858304269986</c:v>
                </c:pt>
                <c:pt idx="34">
                  <c:v>91.885813371020149</c:v>
                </c:pt>
                <c:pt idx="35">
                  <c:v>104.76928536783883</c:v>
                </c:pt>
                <c:pt idx="36">
                  <c:v>98.432053682328714</c:v>
                </c:pt>
                <c:pt idx="37">
                  <c:v>102.246921874962</c:v>
                </c:pt>
                <c:pt idx="38">
                  <c:v>116.44168369600484</c:v>
                </c:pt>
                <c:pt idx="39">
                  <c:v>130.8042744737842</c:v>
                </c:pt>
                <c:pt idx="40">
                  <c:v>136.90823413378857</c:v>
                </c:pt>
                <c:pt idx="41">
                  <c:v>141.77609525596731</c:v>
                </c:pt>
                <c:pt idx="42">
                  <c:v>147.5602529000324</c:v>
                </c:pt>
                <c:pt idx="43">
                  <c:v>166.97175407191881</c:v>
                </c:pt>
                <c:pt idx="44">
                  <c:v>140.77267252364445</c:v>
                </c:pt>
                <c:pt idx="45">
                  <c:v>157.69327884678498</c:v>
                </c:pt>
                <c:pt idx="46">
                  <c:v>189.21839741463796</c:v>
                </c:pt>
                <c:pt idx="47">
                  <c:v>179.49275157035552</c:v>
                </c:pt>
                <c:pt idx="48">
                  <c:v>177.42091410227189</c:v>
                </c:pt>
                <c:pt idx="49">
                  <c:v>170.60025495346537</c:v>
                </c:pt>
                <c:pt idx="50">
                  <c:v>138.53094005009169</c:v>
                </c:pt>
                <c:pt idx="51">
                  <c:v>128.67304364332841</c:v>
                </c:pt>
                <c:pt idx="52">
                  <c:v>135.45132439109236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39-472D-82AF-238A1F535AF4}"/>
            </c:ext>
          </c:extLst>
        </c:ser>
        <c:ser>
          <c:idx val="24"/>
          <c:order val="22"/>
          <c:tx>
            <c:strRef>
              <c:f>'Country Petrol Prices 2010 US$'!$Z$3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'Country Petrol Prices 2010 US$'!$A$4:$A$56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'Country Petrol Prices 2010 US$'!$Z$4:$Z$56</c:f>
              <c:numCache>
                <c:formatCode>0.00</c:formatCode>
                <c:ptCount val="53"/>
                <c:pt idx="0">
                  <c:v>56.913983393390332</c:v>
                </c:pt>
                <c:pt idx="1">
                  <c:v>56.910970160290695</c:v>
                </c:pt>
                <c:pt idx="2">
                  <c:v>57.238209222875447</c:v>
                </c:pt>
                <c:pt idx="3">
                  <c:v>55.832693243194839</c:v>
                </c:pt>
                <c:pt idx="4">
                  <c:v>54.740256681038247</c:v>
                </c:pt>
                <c:pt idx="5">
                  <c:v>52.953982664771047</c:v>
                </c:pt>
                <c:pt idx="6">
                  <c:v>51.845425401890523</c:v>
                </c:pt>
                <c:pt idx="7">
                  <c:v>49.773172249614497</c:v>
                </c:pt>
                <c:pt idx="8">
                  <c:v>50.217618258960364</c:v>
                </c:pt>
                <c:pt idx="9">
                  <c:v>61.217272002798971</c:v>
                </c:pt>
                <c:pt idx="10">
                  <c:v>61.242910907524561</c:v>
                </c:pt>
                <c:pt idx="11">
                  <c:v>60.197547472460812</c:v>
                </c:pt>
                <c:pt idx="12">
                  <c:v>58.935660728925413</c:v>
                </c:pt>
                <c:pt idx="13">
                  <c:v>55.631824461272785</c:v>
                </c:pt>
                <c:pt idx="14">
                  <c:v>68.253201049446886</c:v>
                </c:pt>
                <c:pt idx="15">
                  <c:v>87.099410658093532</c:v>
                </c:pt>
                <c:pt idx="16">
                  <c:v>87.359327490123832</c:v>
                </c:pt>
                <c:pt idx="17">
                  <c:v>75.081186561600717</c:v>
                </c:pt>
                <c:pt idx="18">
                  <c:v>69.724344220583859</c:v>
                </c:pt>
                <c:pt idx="19">
                  <c:v>65.20089893943269</c:v>
                </c:pt>
                <c:pt idx="20">
                  <c:v>62.458687045173811</c:v>
                </c:pt>
                <c:pt idx="21">
                  <c:v>46.511998703701096</c:v>
                </c:pt>
                <c:pt idx="22">
                  <c:v>46.234307070529368</c:v>
                </c:pt>
                <c:pt idx="23">
                  <c:v>44.295364665238637</c:v>
                </c:pt>
                <c:pt idx="24">
                  <c:v>45.863823126549562</c:v>
                </c:pt>
                <c:pt idx="25">
                  <c:v>49.678466073677185</c:v>
                </c:pt>
                <c:pt idx="26">
                  <c:v>46.62304017379067</c:v>
                </c:pt>
                <c:pt idx="27">
                  <c:v>44.627665501063838</c:v>
                </c:pt>
                <c:pt idx="28">
                  <c:v>42.561149175421178</c:v>
                </c:pt>
                <c:pt idx="29">
                  <c:v>41.82267372524791</c:v>
                </c:pt>
                <c:pt idx="30">
                  <c:v>41.993093850361106</c:v>
                </c:pt>
                <c:pt idx="31">
                  <c:v>44.108417234851807</c:v>
                </c:pt>
                <c:pt idx="32">
                  <c:v>43.032043581590557</c:v>
                </c:pt>
                <c:pt idx="33">
                  <c:v>36.385369175726304</c:v>
                </c:pt>
                <c:pt idx="34">
                  <c:v>39.66080510814691</c:v>
                </c:pt>
                <c:pt idx="35">
                  <c:v>49.770987922339692</c:v>
                </c:pt>
                <c:pt idx="36">
                  <c:v>46.379148771889078</c:v>
                </c:pt>
                <c:pt idx="37">
                  <c:v>43.049804083552893</c:v>
                </c:pt>
                <c:pt idx="38">
                  <c:v>48.790072568435029</c:v>
                </c:pt>
                <c:pt idx="39">
                  <c:v>56.457678941432512</c:v>
                </c:pt>
                <c:pt idx="40">
                  <c:v>66.999025972419361</c:v>
                </c:pt>
                <c:pt idx="41">
                  <c:v>73.627463806958787</c:v>
                </c:pt>
                <c:pt idx="42">
                  <c:v>77.966055583121147</c:v>
                </c:pt>
                <c:pt idx="43">
                  <c:v>87.161446743514887</c:v>
                </c:pt>
                <c:pt idx="44">
                  <c:v>63.086447704515933</c:v>
                </c:pt>
                <c:pt idx="45">
                  <c:v>73.433334427575289</c:v>
                </c:pt>
                <c:pt idx="46">
                  <c:v>90.215476528957822</c:v>
                </c:pt>
                <c:pt idx="47">
                  <c:v>91.039516602232354</c:v>
                </c:pt>
                <c:pt idx="48">
                  <c:v>86.810701220507184</c:v>
                </c:pt>
                <c:pt idx="49">
                  <c:v>81.921028759039473</c:v>
                </c:pt>
                <c:pt idx="50">
                  <c:v>58.865901872916346</c:v>
                </c:pt>
                <c:pt idx="51">
                  <c:v>52.286523771660455</c:v>
                </c:pt>
                <c:pt idx="52">
                  <c:v>56.807081437851757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39-472D-82AF-238A1F535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9361200"/>
        <c:axId val="1179361528"/>
      </c:lineChart>
      <c:catAx>
        <c:axId val="117936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361528"/>
        <c:crosses val="autoZero"/>
        <c:auto val="1"/>
        <c:lblAlgn val="ctr"/>
        <c:lblOffset val="100"/>
        <c:noMultiLvlLbl val="0"/>
      </c:catAx>
      <c:valAx>
        <c:axId val="117936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Real petrol prices (US2010 c/l)</a:t>
                </a:r>
              </a:p>
            </c:rich>
          </c:tx>
          <c:layout>
            <c:manualLayout>
              <c:xMode val="edge"/>
              <c:yMode val="edge"/>
              <c:x val="2.1980255743849604E-2"/>
              <c:y val="0.350524398940222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36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387117041744121"/>
          <c:y val="5.655601259400312E-2"/>
          <c:w val="0.14421444522935989"/>
          <c:h val="0.816683283446027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CPIs!$Z$68:$AK$68</c:f>
              <c:numCache>
                <c:formatCode>General</c:formatCode>
                <c:ptCount val="12"/>
                <c:pt idx="0">
                  <c:v>247.86699999999999</c:v>
                </c:pt>
                <c:pt idx="1">
                  <c:v>248.99100000000001</c:v>
                </c:pt>
                <c:pt idx="2">
                  <c:v>249.554</c:v>
                </c:pt>
                <c:pt idx="3">
                  <c:v>250.54599999999999</c:v>
                </c:pt>
                <c:pt idx="4">
                  <c:v>251.58799999999999</c:v>
                </c:pt>
                <c:pt idx="5">
                  <c:v>251.989</c:v>
                </c:pt>
                <c:pt idx="6">
                  <c:v>252.006</c:v>
                </c:pt>
                <c:pt idx="7" formatCode="0.00">
                  <c:v>252.50479999999999</c:v>
                </c:pt>
                <c:pt idx="8" formatCode="0.00">
                  <c:v>253.00359999999998</c:v>
                </c:pt>
                <c:pt idx="9" formatCode="0.00">
                  <c:v>253.50239999999997</c:v>
                </c:pt>
                <c:pt idx="10" formatCode="0.00">
                  <c:v>254.00119999999995</c:v>
                </c:pt>
                <c:pt idx="11">
                  <c:v>254.5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9-4F66-BE9E-19AFD59F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6275200"/>
        <c:axId val="816271264"/>
      </c:lineChart>
      <c:catAx>
        <c:axId val="816275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271264"/>
        <c:crosses val="autoZero"/>
        <c:auto val="1"/>
        <c:lblAlgn val="ctr"/>
        <c:lblOffset val="100"/>
        <c:noMultiLvlLbl val="0"/>
      </c:catAx>
      <c:valAx>
        <c:axId val="8162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27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2128148357777"/>
          <c:y val="2.9527977885743007E-2"/>
          <c:w val="0.75573587920960195"/>
          <c:h val="0.83334980186300245"/>
        </c:manualLayout>
      </c:layout>
      <c:lineChart>
        <c:grouping val="standard"/>
        <c:varyColors val="0"/>
        <c:ser>
          <c:idx val="0"/>
          <c:order val="0"/>
          <c:tx>
            <c:v> real energy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Austria!$AZ$44:$AZ$97</c:f>
              <c:numCache>
                <c:formatCode>0.00</c:formatCode>
                <c:ptCount val="54"/>
                <c:pt idx="0">
                  <c:v>0.42640523196880487</c:v>
                </c:pt>
                <c:pt idx="1">
                  <c:v>0.41855000646471063</c:v>
                </c:pt>
                <c:pt idx="2">
                  <c:v>0.40248629981181849</c:v>
                </c:pt>
                <c:pt idx="3">
                  <c:v>0.39165729005490124</c:v>
                </c:pt>
                <c:pt idx="4">
                  <c:v>0.37995309330505445</c:v>
                </c:pt>
                <c:pt idx="5">
                  <c:v>0.35851924927575918</c:v>
                </c:pt>
                <c:pt idx="6">
                  <c:v>0.32871902541780795</c:v>
                </c:pt>
                <c:pt idx="7">
                  <c:v>0.35643813651036527</c:v>
                </c:pt>
                <c:pt idx="8">
                  <c:v>0.56706994061794747</c:v>
                </c:pt>
                <c:pt idx="9">
                  <c:v>0.68885900306144354</c:v>
                </c:pt>
                <c:pt idx="10">
                  <c:v>0.54658098821525702</c:v>
                </c:pt>
                <c:pt idx="11">
                  <c:v>0.4411261071363457</c:v>
                </c:pt>
                <c:pt idx="12">
                  <c:v>0.48219016830746553</c:v>
                </c:pt>
                <c:pt idx="13">
                  <c:v>0.45263919249761131</c:v>
                </c:pt>
                <c:pt idx="14">
                  <c:v>0.46565427220932776</c:v>
                </c:pt>
                <c:pt idx="15">
                  <c:v>0.56548129448024131</c:v>
                </c:pt>
                <c:pt idx="16">
                  <c:v>0.58595787393180732</c:v>
                </c:pt>
                <c:pt idx="17">
                  <c:v>0.58131892312158373</c:v>
                </c:pt>
                <c:pt idx="18">
                  <c:v>0.5224672992138818</c:v>
                </c:pt>
                <c:pt idx="19">
                  <c:v>0.47477607288708834</c:v>
                </c:pt>
                <c:pt idx="20">
                  <c:v>0.4530214579877424</c:v>
                </c:pt>
                <c:pt idx="21">
                  <c:v>0.28758597269292996</c:v>
                </c:pt>
                <c:pt idx="22">
                  <c:v>0.25698069694472792</c:v>
                </c:pt>
                <c:pt idx="23">
                  <c:v>0.25135927790743795</c:v>
                </c:pt>
                <c:pt idx="24">
                  <c:v>0.27681486804928934</c:v>
                </c:pt>
                <c:pt idx="25">
                  <c:v>0.30069094100487914</c:v>
                </c:pt>
                <c:pt idx="26">
                  <c:v>0.28335222570415575</c:v>
                </c:pt>
                <c:pt idx="27">
                  <c:v>0.25759425951355952</c:v>
                </c:pt>
                <c:pt idx="28">
                  <c:v>0.2196755620955072</c:v>
                </c:pt>
                <c:pt idx="29">
                  <c:v>0.31491030862852054</c:v>
                </c:pt>
                <c:pt idx="30">
                  <c:v>0.30817463216346441</c:v>
                </c:pt>
                <c:pt idx="31">
                  <c:v>0.32225481322630312</c:v>
                </c:pt>
                <c:pt idx="32">
                  <c:v>0.33323258399989619</c:v>
                </c:pt>
                <c:pt idx="33">
                  <c:v>0.28400520963671927</c:v>
                </c:pt>
                <c:pt idx="34">
                  <c:v>0.30156679757419025</c:v>
                </c:pt>
                <c:pt idx="35">
                  <c:v>0.44875476193111918</c:v>
                </c:pt>
                <c:pt idx="36">
                  <c:v>0.40348688731005211</c:v>
                </c:pt>
                <c:pt idx="37">
                  <c:v>0.36341361982507103</c:v>
                </c:pt>
                <c:pt idx="38">
                  <c:v>0.36239340944985332</c:v>
                </c:pt>
                <c:pt idx="39">
                  <c:v>0.40878146623141198</c:v>
                </c:pt>
                <c:pt idx="40">
                  <c:v>0.47775288044239117</c:v>
                </c:pt>
                <c:pt idx="41">
                  <c:v>0.52263116916283503</c:v>
                </c:pt>
                <c:pt idx="42">
                  <c:v>0.47778206536020018</c:v>
                </c:pt>
                <c:pt idx="43">
                  <c:v>0.55057107794786841</c:v>
                </c:pt>
                <c:pt idx="44">
                  <c:v>0.40839443955839982</c:v>
                </c:pt>
                <c:pt idx="45">
                  <c:v>0.52207999999999999</c:v>
                </c:pt>
                <c:pt idx="46">
                  <c:v>0.60544335637853863</c:v>
                </c:pt>
                <c:pt idx="47">
                  <c:v>0.66407075888013678</c:v>
                </c:pt>
                <c:pt idx="48">
                  <c:v>0.6374234790647979</c:v>
                </c:pt>
                <c:pt idx="49">
                  <c:v>0.59419970738000971</c:v>
                </c:pt>
                <c:pt idx="50">
                  <c:v>0.47687750232782522</c:v>
                </c:pt>
                <c:pt idx="51">
                  <c:v>0.40445648712133275</c:v>
                </c:pt>
                <c:pt idx="52">
                  <c:v>0.44487149511376156</c:v>
                </c:pt>
                <c:pt idx="53">
                  <c:v>0.49917919957622436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6-46AE-993D-C5D6FE6B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98592"/>
        <c:axId val="107600128"/>
      </c:lineChart>
      <c:lineChart>
        <c:grouping val="standard"/>
        <c:varyColors val="0"/>
        <c:ser>
          <c:idx val="1"/>
          <c:order val="1"/>
          <c:tx>
            <c:v> real landed oil price (RHS)</c:v>
          </c:tx>
          <c:marker>
            <c:symbol val="none"/>
          </c:marker>
          <c:cat>
            <c:numRef>
              <c:f>Austria!$A$44:$A$89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Austria!$BB$44:$BB$97</c:f>
              <c:numCache>
                <c:formatCode>0.00</c:formatCode>
                <c:ptCount val="54"/>
                <c:pt idx="0">
                  <c:v>28.914301219904704</c:v>
                </c:pt>
                <c:pt idx="1">
                  <c:v>28.332126730107838</c:v>
                </c:pt>
                <c:pt idx="2">
                  <c:v>27.249066529952437</c:v>
                </c:pt>
                <c:pt idx="3">
                  <c:v>26.515936419313224</c:v>
                </c:pt>
                <c:pt idx="4">
                  <c:v>25.723547740251568</c:v>
                </c:pt>
                <c:pt idx="5">
                  <c:v>25.019250186431393</c:v>
                </c:pt>
                <c:pt idx="6">
                  <c:v>24.377635200884459</c:v>
                </c:pt>
                <c:pt idx="7">
                  <c:v>21.226716493864494</c:v>
                </c:pt>
                <c:pt idx="8">
                  <c:v>18.17703016635015</c:v>
                </c:pt>
                <c:pt idx="9">
                  <c:v>50.276437231510506</c:v>
                </c:pt>
                <c:pt idx="10">
                  <c:v>44.569028100109911</c:v>
                </c:pt>
                <c:pt idx="11">
                  <c:v>44.970967014405467</c:v>
                </c:pt>
                <c:pt idx="12">
                  <c:v>42.337810387394789</c:v>
                </c:pt>
                <c:pt idx="13">
                  <c:v>35.867166360883694</c:v>
                </c:pt>
                <c:pt idx="14">
                  <c:v>47.576561115930097</c:v>
                </c:pt>
                <c:pt idx="15">
                  <c:v>68.285277473275812</c:v>
                </c:pt>
                <c:pt idx="16">
                  <c:v>84.808097080286515</c:v>
                </c:pt>
                <c:pt idx="17">
                  <c:v>78.559439292713023</c:v>
                </c:pt>
                <c:pt idx="18">
                  <c:v>69.802153156816132</c:v>
                </c:pt>
                <c:pt idx="19">
                  <c:v>72.491567428150958</c:v>
                </c:pt>
                <c:pt idx="20">
                  <c:v>67.927850323704135</c:v>
                </c:pt>
                <c:pt idx="21">
                  <c:v>27.811454440774281</c:v>
                </c:pt>
                <c:pt idx="22">
                  <c:v>28.974671056615353</c:v>
                </c:pt>
                <c:pt idx="23">
                  <c:v>23.095859646928115</c:v>
                </c:pt>
                <c:pt idx="24">
                  <c:v>29.672497051738983</c:v>
                </c:pt>
                <c:pt idx="25">
                  <c:v>30.841832154633721</c:v>
                </c:pt>
                <c:pt idx="26">
                  <c:v>26.913378667475573</c:v>
                </c:pt>
                <c:pt idx="27">
                  <c:v>23.266291786322814</c:v>
                </c:pt>
                <c:pt idx="28">
                  <c:v>21.281683664820136</c:v>
                </c:pt>
                <c:pt idx="29">
                  <c:v>18.942664289060509</c:v>
                </c:pt>
                <c:pt idx="30">
                  <c:v>17.52239329351206</c:v>
                </c:pt>
                <c:pt idx="31">
                  <c:v>21.680871551128227</c:v>
                </c:pt>
                <c:pt idx="32">
                  <c:v>22.987266066434678</c:v>
                </c:pt>
                <c:pt idx="33">
                  <c:v>16.164656811391449</c:v>
                </c:pt>
                <c:pt idx="34">
                  <c:v>20.328739793823729</c:v>
                </c:pt>
                <c:pt idx="35">
                  <c:v>36.266764738753125</c:v>
                </c:pt>
                <c:pt idx="36">
                  <c:v>30.471245758339865</c:v>
                </c:pt>
                <c:pt idx="37">
                  <c:v>29.983729608923092</c:v>
                </c:pt>
                <c:pt idx="38">
                  <c:v>28.455626303685545</c:v>
                </c:pt>
                <c:pt idx="39">
                  <c:v>32.512379997069289</c:v>
                </c:pt>
                <c:pt idx="40">
                  <c:v>44.57520283349016</c:v>
                </c:pt>
                <c:pt idx="41">
                  <c:v>52.540848117981795</c:v>
                </c:pt>
                <c:pt idx="42">
                  <c:v>53.308962801503704</c:v>
                </c:pt>
                <c:pt idx="43">
                  <c:v>65.980376737352032</c:v>
                </c:pt>
                <c:pt idx="44">
                  <c:v>44.750798955996068</c:v>
                </c:pt>
                <c:pt idx="45">
                  <c:v>58.759091609069415</c:v>
                </c:pt>
                <c:pt idx="46">
                  <c:v>74.442161790096193</c:v>
                </c:pt>
                <c:pt idx="47">
                  <c:v>80.067776974882648</c:v>
                </c:pt>
                <c:pt idx="48">
                  <c:v>73.764226749266072</c:v>
                </c:pt>
                <c:pt idx="49">
                  <c:v>66.420196143420696</c:v>
                </c:pt>
                <c:pt idx="50">
                  <c:v>40.534400705605641</c:v>
                </c:pt>
                <c:pt idx="51">
                  <c:v>33.039559656551106</c:v>
                </c:pt>
                <c:pt idx="52">
                  <c:v>40.864837205022425</c:v>
                </c:pt>
                <c:pt idx="53">
                  <c:v>51.132784909577197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6-46AE-993D-C5D6FE6B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03456"/>
        <c:axId val="107601920"/>
      </c:lineChart>
      <c:catAx>
        <c:axId val="1075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600128"/>
        <c:crosses val="autoZero"/>
        <c:auto val="1"/>
        <c:lblAlgn val="ctr"/>
        <c:lblOffset val="100"/>
        <c:noMultiLvlLbl val="0"/>
      </c:catAx>
      <c:valAx>
        <c:axId val="10760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2010 Euro</a:t>
                </a:r>
                <a:r>
                  <a:rPr lang="en-AU" baseline="0"/>
                  <a:t>s per litre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8741988646767991E-2"/>
              <c:y val="0.31361304101693177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07598592"/>
        <c:crosses val="autoZero"/>
        <c:crossBetween val="between"/>
      </c:valAx>
      <c:valAx>
        <c:axId val="107601920"/>
        <c:scaling>
          <c:orientation val="minMax"/>
          <c:max val="105"/>
          <c:min val="-42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7603456"/>
        <c:crosses val="max"/>
        <c:crossBetween val="between"/>
      </c:valAx>
      <c:catAx>
        <c:axId val="10760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7601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37779028150022476"/>
          <c:y val="5.2970975037694761E-2"/>
          <c:w val="0.32834079672387673"/>
          <c:h val="0.165334645669291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64592193355511"/>
          <c:y val="5.0925925925925923E-2"/>
          <c:w val="0.82379868626047426"/>
          <c:h val="0.79940580344123646"/>
        </c:manualLayout>
      </c:layout>
      <c:lineChart>
        <c:grouping val="standard"/>
        <c:varyColors val="0"/>
        <c:ser>
          <c:idx val="0"/>
          <c:order val="0"/>
          <c:tx>
            <c:strRef>
              <c:f>Austria!$Y$121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Austria!$A$122:$A$142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Austria!$Y$122:$Y$142</c:f>
              <c:numCache>
                <c:formatCode>0.00</c:formatCode>
                <c:ptCount val="21"/>
                <c:pt idx="0">
                  <c:v>1.3787432064162084</c:v>
                </c:pt>
                <c:pt idx="1">
                  <c:v>1.5267987455442</c:v>
                </c:pt>
                <c:pt idx="2">
                  <c:v>1.5911421046809884</c:v>
                </c:pt>
                <c:pt idx="3">
                  <c:v>1.498829097094083</c:v>
                </c:pt>
                <c:pt idx="4">
                  <c:v>1.4293023173965733</c:v>
                </c:pt>
                <c:pt idx="5">
                  <c:v>1.2616717988309971</c:v>
                </c:pt>
                <c:pt idx="6">
                  <c:v>1.1562072029375998</c:v>
                </c:pt>
                <c:pt idx="7">
                  <c:v>1.1999291040000002</c:v>
                </c:pt>
                <c:pt idx="8">
                  <c:v>1.264065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4-4F56-9598-64DF597E9871}"/>
            </c:ext>
          </c:extLst>
        </c:ser>
        <c:ser>
          <c:idx val="1"/>
          <c:order val="1"/>
          <c:tx>
            <c:strRef>
              <c:f>Austria!$Z$121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Austria!$A$122:$A$142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Austria!$Z$122:$Z$142</c:f>
              <c:numCache>
                <c:formatCode>0.00</c:formatCode>
                <c:ptCount val="21"/>
                <c:pt idx="0">
                  <c:v>1.4193170061498968</c:v>
                </c:pt>
                <c:pt idx="1">
                  <c:v>1.5750567849658808</c:v>
                </c:pt>
                <c:pt idx="2">
                  <c:v>1.6022090349955063</c:v>
                </c:pt>
                <c:pt idx="3">
                  <c:v>1.4969843332417423</c:v>
                </c:pt>
                <c:pt idx="4">
                  <c:v>1.4296930645114656</c:v>
                </c:pt>
                <c:pt idx="5">
                  <c:v>1.221734813803196</c:v>
                </c:pt>
                <c:pt idx="6">
                  <c:v>1.1577347515373189</c:v>
                </c:pt>
                <c:pt idx="7">
                  <c:v>1.2066946755283239</c:v>
                </c:pt>
                <c:pt idx="8">
                  <c:v>1.275977700157312</c:v>
                </c:pt>
                <c:pt idx="9">
                  <c:v>1.4832149092581131</c:v>
                </c:pt>
                <c:pt idx="10">
                  <c:v>1.5815348864344574</c:v>
                </c:pt>
                <c:pt idx="11">
                  <c:v>1.6856383916799984</c:v>
                </c:pt>
                <c:pt idx="12">
                  <c:v>1.7319066162335728</c:v>
                </c:pt>
                <c:pt idx="13">
                  <c:v>1.7666077846487531</c:v>
                </c:pt>
                <c:pt idx="14">
                  <c:v>1.7955254249947368</c:v>
                </c:pt>
                <c:pt idx="15">
                  <c:v>1.8244430653407204</c:v>
                </c:pt>
                <c:pt idx="16">
                  <c:v>1.8533607056867041</c:v>
                </c:pt>
                <c:pt idx="17">
                  <c:v>1.8822783460326877</c:v>
                </c:pt>
                <c:pt idx="18">
                  <c:v>1.9054124583094749</c:v>
                </c:pt>
                <c:pt idx="19">
                  <c:v>1.9343300986554581</c:v>
                </c:pt>
                <c:pt idx="20">
                  <c:v>1.9516806828630484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4-4F56-9598-64DF597E9871}"/>
            </c:ext>
          </c:extLst>
        </c:ser>
        <c:ser>
          <c:idx val="3"/>
          <c:order val="2"/>
          <c:tx>
            <c:strRef>
              <c:f>Austria!$AB$121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Austria!$A$122:$A$142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Austria!$AB$122:$AB$142</c:f>
              <c:numCache>
                <c:formatCode>0.00</c:formatCode>
                <c:ptCount val="21"/>
                <c:pt idx="0">
                  <c:v>1.4193170061498968</c:v>
                </c:pt>
                <c:pt idx="1">
                  <c:v>1.5750567849658808</c:v>
                </c:pt>
                <c:pt idx="2">
                  <c:v>1.6022090349955063</c:v>
                </c:pt>
                <c:pt idx="3">
                  <c:v>1.4969843332417423</c:v>
                </c:pt>
                <c:pt idx="4">
                  <c:v>1.4296930645114656</c:v>
                </c:pt>
                <c:pt idx="5">
                  <c:v>1.221734813803196</c:v>
                </c:pt>
                <c:pt idx="6">
                  <c:v>1.1577347515373189</c:v>
                </c:pt>
                <c:pt idx="7">
                  <c:v>1.2066946755283239</c:v>
                </c:pt>
                <c:pt idx="8">
                  <c:v>1.275977700157312</c:v>
                </c:pt>
                <c:pt idx="9">
                  <c:v>1.0494503040683574</c:v>
                </c:pt>
                <c:pt idx="10">
                  <c:v>1.0552338321375541</c:v>
                </c:pt>
                <c:pt idx="11">
                  <c:v>1.0668008882759477</c:v>
                </c:pt>
                <c:pt idx="12">
                  <c:v>1.0725844163451443</c:v>
                </c:pt>
                <c:pt idx="13">
                  <c:v>1.0725844163451443</c:v>
                </c:pt>
                <c:pt idx="14">
                  <c:v>1.0725844163451443</c:v>
                </c:pt>
                <c:pt idx="15">
                  <c:v>1.078367944414341</c:v>
                </c:pt>
                <c:pt idx="16">
                  <c:v>1.0841514724835377</c:v>
                </c:pt>
                <c:pt idx="17">
                  <c:v>1.0899350005527346</c:v>
                </c:pt>
                <c:pt idx="18">
                  <c:v>1.0899350005527346</c:v>
                </c:pt>
                <c:pt idx="19">
                  <c:v>1.0899350005527346</c:v>
                </c:pt>
                <c:pt idx="20">
                  <c:v>1.0957185286219313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4-4F56-9598-64DF597E9871}"/>
            </c:ext>
          </c:extLst>
        </c:ser>
        <c:ser>
          <c:idx val="2"/>
          <c:order val="3"/>
          <c:tx>
            <c:strRef>
              <c:f>Austria!$AA$121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Austria!$A$122:$A$142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Austria!$AA$122:$AA$142</c:f>
              <c:numCache>
                <c:formatCode>0.00</c:formatCode>
                <c:ptCount val="21"/>
                <c:pt idx="0">
                  <c:v>1.4193170061498968</c:v>
                </c:pt>
                <c:pt idx="1">
                  <c:v>1.5750567849658808</c:v>
                </c:pt>
                <c:pt idx="2">
                  <c:v>1.6022090349955063</c:v>
                </c:pt>
                <c:pt idx="3">
                  <c:v>1.4969843332417423</c:v>
                </c:pt>
                <c:pt idx="4">
                  <c:v>1.4296930645114656</c:v>
                </c:pt>
                <c:pt idx="5">
                  <c:v>1.221734813803196</c:v>
                </c:pt>
                <c:pt idx="6">
                  <c:v>1.1577347515373189</c:v>
                </c:pt>
                <c:pt idx="7">
                  <c:v>1.2066946755283239</c:v>
                </c:pt>
                <c:pt idx="8">
                  <c:v>1.275977700157312</c:v>
                </c:pt>
                <c:pt idx="9">
                  <c:v>1.2513831507286164</c:v>
                </c:pt>
                <c:pt idx="10">
                  <c:v>1.2529369455183745</c:v>
                </c:pt>
                <c:pt idx="11">
                  <c:v>1.2987153011711265</c:v>
                </c:pt>
                <c:pt idx="12">
                  <c:v>1.3328004346860716</c:v>
                </c:pt>
                <c:pt idx="13">
                  <c:v>1.3484852635011202</c:v>
                </c:pt>
                <c:pt idx="14">
                  <c:v>1.352632136039831</c:v>
                </c:pt>
                <c:pt idx="15">
                  <c:v>1.3743303266288713</c:v>
                </c:pt>
                <c:pt idx="16">
                  <c:v>1.4124674247666871</c:v>
                </c:pt>
                <c:pt idx="17">
                  <c:v>1.4321223201657407</c:v>
                </c:pt>
                <c:pt idx="18">
                  <c:v>1.4445643593410704</c:v>
                </c:pt>
                <c:pt idx="19">
                  <c:v>1.4614287133572972</c:v>
                </c:pt>
                <c:pt idx="20">
                  <c:v>1.4743236883432977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4-4F56-9598-64DF597E9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635408"/>
        <c:axId val="602630816"/>
      </c:lineChart>
      <c:catAx>
        <c:axId val="60263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630816"/>
        <c:crosses val="autoZero"/>
        <c:auto val="1"/>
        <c:lblAlgn val="ctr"/>
        <c:lblOffset val="100"/>
        <c:noMultiLvlLbl val="0"/>
      </c:catAx>
      <c:valAx>
        <c:axId val="60263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2.2640111162575267E-2"/>
              <c:y val="0.24434471799594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63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85974146279846"/>
          <c:y val="0.52925270476495478"/>
          <c:w val="0.23097331583552061"/>
          <c:h val="0.314236779366173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'World Oil Price analysis'!$B$4</c:f>
              <c:strCache>
                <c:ptCount val="1"/>
                <c:pt idx="0">
                  <c:v> real oil price</c:v>
                </c:pt>
              </c:strCache>
            </c:strRef>
          </c:tx>
          <c:spPr>
            <a:ln w="412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analysis'!$A$10:$A$58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analysis'!$B$10:$B$58</c:f>
              <c:numCache>
                <c:formatCode>0.00</c:formatCode>
                <c:ptCount val="49"/>
                <c:pt idx="0">
                  <c:v>19.491740993610982</c:v>
                </c:pt>
                <c:pt idx="1">
                  <c:v>18.793578391027218</c:v>
                </c:pt>
                <c:pt idx="2">
                  <c:v>17.439690979476033</c:v>
                </c:pt>
                <c:pt idx="3">
                  <c:v>15.893205250610167</c:v>
                </c:pt>
                <c:pt idx="4">
                  <c:v>45.154443786859268</c:v>
                </c:pt>
                <c:pt idx="5">
                  <c:v>42.354994859681113</c:v>
                </c:pt>
                <c:pt idx="6">
                  <c:v>44.212643376667735</c:v>
                </c:pt>
                <c:pt idx="7">
                  <c:v>44.193923022410409</c:v>
                </c:pt>
                <c:pt idx="8">
                  <c:v>38.102909568822163</c:v>
                </c:pt>
                <c:pt idx="9">
                  <c:v>49.758314706931465</c:v>
                </c:pt>
                <c:pt idx="10">
                  <c:v>68.85799256247951</c:v>
                </c:pt>
                <c:pt idx="11">
                  <c:v>74.251447206907059</c:v>
                </c:pt>
                <c:pt idx="12">
                  <c:v>68.060300646238474</c:v>
                </c:pt>
                <c:pt idx="13">
                  <c:v>59.41719782913038</c:v>
                </c:pt>
                <c:pt idx="14">
                  <c:v>58.49701537504626</c:v>
                </c:pt>
                <c:pt idx="15">
                  <c:v>52.786815702870925</c:v>
                </c:pt>
                <c:pt idx="16">
                  <c:v>25.378370676486295</c:v>
                </c:pt>
                <c:pt idx="17">
                  <c:v>28.326737977139747</c:v>
                </c:pt>
                <c:pt idx="18">
                  <c:v>21.925556419614566</c:v>
                </c:pt>
                <c:pt idx="19">
                  <c:v>26.913724633883639</c:v>
                </c:pt>
                <c:pt idx="20">
                  <c:v>30.126983820590109</c:v>
                </c:pt>
                <c:pt idx="21">
                  <c:v>25.217583773540373</c:v>
                </c:pt>
                <c:pt idx="22">
                  <c:v>22.718200420677974</c:v>
                </c:pt>
                <c:pt idx="23">
                  <c:v>19.927916307818762</c:v>
                </c:pt>
                <c:pt idx="24">
                  <c:v>17.610224664640008</c:v>
                </c:pt>
                <c:pt idx="25">
                  <c:v>17.329574131880065</c:v>
                </c:pt>
                <c:pt idx="26">
                  <c:v>21.194578827543335</c:v>
                </c:pt>
                <c:pt idx="27">
                  <c:v>20.392921748364621</c:v>
                </c:pt>
                <c:pt idx="28">
                  <c:v>14.205952566041114</c:v>
                </c:pt>
                <c:pt idx="29">
                  <c:v>16.764550201840873</c:v>
                </c:pt>
                <c:pt idx="30">
                  <c:v>26.54152388194677</c:v>
                </c:pt>
                <c:pt idx="31">
                  <c:v>22.406884041211946</c:v>
                </c:pt>
                <c:pt idx="32">
                  <c:v>22.736945637603462</c:v>
                </c:pt>
                <c:pt idx="33">
                  <c:v>23.721167813751634</c:v>
                </c:pt>
                <c:pt idx="34">
                  <c:v>28.100482104718832</c:v>
                </c:pt>
                <c:pt idx="35">
                  <c:v>38.395251293511997</c:v>
                </c:pt>
                <c:pt idx="36">
                  <c:v>44.865261126876618</c:v>
                </c:pt>
                <c:pt idx="37">
                  <c:v>47.36583359030093</c:v>
                </c:pt>
                <c:pt idx="38">
                  <c:v>60.41110623004873</c:v>
                </c:pt>
                <c:pt idx="39">
                  <c:v>40.250770631115643</c:v>
                </c:pt>
                <c:pt idx="40">
                  <c:v>50.822862087170627</c:v>
                </c:pt>
                <c:pt idx="41">
                  <c:v>65.864539914281522</c:v>
                </c:pt>
                <c:pt idx="42">
                  <c:v>67.886985516243257</c:v>
                </c:pt>
                <c:pt idx="43">
                  <c:v>65.311137437317441</c:v>
                </c:pt>
                <c:pt idx="44">
                  <c:v>58.509475805917226</c:v>
                </c:pt>
                <c:pt idx="45">
                  <c:v>32.623358804674254</c:v>
                </c:pt>
                <c:pt idx="46">
                  <c:v>26.650767151737266</c:v>
                </c:pt>
                <c:pt idx="47">
                  <c:v>33.58932103739815</c:v>
                </c:pt>
                <c:pt idx="48">
                  <c:v>42.978527578386846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1-4094-AB93-0F2094DBFD3E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analysis'!$A$10:$A$58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analysis'!$C$10:$C$58</c:f>
              <c:numCache>
                <c:formatCode>0.00</c:formatCode>
                <c:ptCount val="49"/>
                <c:pt idx="0">
                  <c:v>12.260693879740561</c:v>
                </c:pt>
                <c:pt idx="1">
                  <c:v>18.029374434570254</c:v>
                </c:pt>
                <c:pt idx="2">
                  <c:v>24.55015062517721</c:v>
                </c:pt>
                <c:pt idx="3">
                  <c:v>27.71638255092995</c:v>
                </c:pt>
                <c:pt idx="4">
                  <c:v>38.477198860350967</c:v>
                </c:pt>
                <c:pt idx="5">
                  <c:v>45.84862326475205</c:v>
                </c:pt>
                <c:pt idx="6">
                  <c:v>41.197149657628529</c:v>
                </c:pt>
                <c:pt idx="7">
                  <c:v>38.255588615369284</c:v>
                </c:pt>
                <c:pt idx="8">
                  <c:v>42.667796893112936</c:v>
                </c:pt>
                <c:pt idx="9">
                  <c:v>53.655498669404771</c:v>
                </c:pt>
                <c:pt idx="10">
                  <c:v>63.422004960192268</c:v>
                </c:pt>
                <c:pt idx="11">
                  <c:v>68.368793706212855</c:v>
                </c:pt>
                <c:pt idx="12">
                  <c:v>70.535911553390378</c:v>
                </c:pt>
                <c:pt idx="13">
                  <c:v>61.872209559110324</c:v>
                </c:pt>
                <c:pt idx="14">
                  <c:v>57.785600080135978</c:v>
                </c:pt>
                <c:pt idx="15">
                  <c:v>53.806678651742764</c:v>
                </c:pt>
                <c:pt idx="16">
                  <c:v>28.145633171317254</c:v>
                </c:pt>
                <c:pt idx="17">
                  <c:v>24.283646525530646</c:v>
                </c:pt>
                <c:pt idx="18">
                  <c:v>21.231498862958098</c:v>
                </c:pt>
                <c:pt idx="19">
                  <c:v>19.186844867913152</c:v>
                </c:pt>
                <c:pt idx="20">
                  <c:v>18.72253625150238</c:v>
                </c:pt>
                <c:pt idx="21">
                  <c:v>20.555601692184446</c:v>
                </c:pt>
                <c:pt idx="22">
                  <c:v>23.160886031272629</c:v>
                </c:pt>
                <c:pt idx="23">
                  <c:v>20.403702155137939</c:v>
                </c:pt>
                <c:pt idx="24">
                  <c:v>18.286763078403187</c:v>
                </c:pt>
                <c:pt idx="25">
                  <c:v>18.929233178439969</c:v>
                </c:pt>
                <c:pt idx="26">
                  <c:v>21.847307662162404</c:v>
                </c:pt>
                <c:pt idx="27">
                  <c:v>19.993054031070066</c:v>
                </c:pt>
                <c:pt idx="28">
                  <c:v>19.505559761203244</c:v>
                </c:pt>
                <c:pt idx="29">
                  <c:v>22.782242978086114</c:v>
                </c:pt>
                <c:pt idx="30">
                  <c:v>27.531962904405063</c:v>
                </c:pt>
                <c:pt idx="31">
                  <c:v>26.138396256185313</c:v>
                </c:pt>
                <c:pt idx="32">
                  <c:v>25.07708245442711</c:v>
                </c:pt>
                <c:pt idx="33">
                  <c:v>26.197500091749191</c:v>
                </c:pt>
                <c:pt idx="34">
                  <c:v>30.316776569465926</c:v>
                </c:pt>
                <c:pt idx="35">
                  <c:v>38.380986207414814</c:v>
                </c:pt>
                <c:pt idx="36">
                  <c:v>43.926446662255721</c:v>
                </c:pt>
                <c:pt idx="37">
                  <c:v>48.303927165660909</c:v>
                </c:pt>
                <c:pt idx="38">
                  <c:v>59.790035848707703</c:v>
                </c:pt>
                <c:pt idx="39">
                  <c:v>39.608091059044462</c:v>
                </c:pt>
                <c:pt idx="40">
                  <c:v>51.15469972800966</c:v>
                </c:pt>
                <c:pt idx="41">
                  <c:v>67.506112808216926</c:v>
                </c:pt>
                <c:pt idx="42">
                  <c:v>66.91123703715563</c:v>
                </c:pt>
                <c:pt idx="43">
                  <c:v>63.964251627604632</c:v>
                </c:pt>
                <c:pt idx="44">
                  <c:v>58.513148015549085</c:v>
                </c:pt>
                <c:pt idx="45">
                  <c:v>32.117836403605786</c:v>
                </c:pt>
                <c:pt idx="46">
                  <c:v>25.862528088760239</c:v>
                </c:pt>
                <c:pt idx="47">
                  <c:v>34.074315793034117</c:v>
                </c:pt>
                <c:pt idx="48">
                  <c:v>43.184163951661525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1-4094-AB93-0F2094DB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6252120"/>
        <c:axId val="1246254744"/>
      </c:lineChart>
      <c:catAx>
        <c:axId val="124625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254744"/>
        <c:crosses val="autoZero"/>
        <c:auto val="1"/>
        <c:lblAlgn val="ctr"/>
        <c:lblOffset val="100"/>
        <c:noMultiLvlLbl val="0"/>
      </c:catAx>
      <c:valAx>
        <c:axId val="124625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SDRs per barrel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91033829104695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25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6034341041841"/>
          <c:y val="3.2416115868728362E-2"/>
          <c:w val="0.83461185161824947"/>
          <c:h val="0.8201944939364336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Austria!$BH$44:$BH$97</c:f>
              <c:numCache>
                <c:formatCode>0.00</c:formatCode>
                <c:ptCount val="54"/>
                <c:pt idx="0">
                  <c:v>1.2199138382504164</c:v>
                </c:pt>
                <c:pt idx="1">
                  <c:v>1.2339108915935322</c:v>
                </c:pt>
                <c:pt idx="2">
                  <c:v>1.2238280577573404</c:v>
                </c:pt>
                <c:pt idx="3">
                  <c:v>1.190900611569881</c:v>
                </c:pt>
                <c:pt idx="4">
                  <c:v>1.1553120104605468</c:v>
                </c:pt>
                <c:pt idx="5">
                  <c:v>1.0901387617787639</c:v>
                </c:pt>
                <c:pt idx="6">
                  <c:v>0.99952611210134179</c:v>
                </c:pt>
                <c:pt idx="7">
                  <c:v>1.0122633732207289</c:v>
                </c:pt>
                <c:pt idx="8">
                  <c:v>1.2657035709518984</c:v>
                </c:pt>
                <c:pt idx="9">
                  <c:v>1.5142591145586257</c:v>
                </c:pt>
                <c:pt idx="10">
                  <c:v>1.2015016709821376</c:v>
                </c:pt>
                <c:pt idx="11">
                  <c:v>1.3192169013156276</c:v>
                </c:pt>
                <c:pt idx="12">
                  <c:v>1.4420217017054089</c:v>
                </c:pt>
                <c:pt idx="13">
                  <c:v>1.3536475472220075</c:v>
                </c:pt>
                <c:pt idx="14">
                  <c:v>1.4034099395135913</c:v>
                </c:pt>
                <c:pt idx="15">
                  <c:v>1.5225472152930046</c:v>
                </c:pt>
                <c:pt idx="16">
                  <c:v>1.723502538429774</c:v>
                </c:pt>
                <c:pt idx="17">
                  <c:v>1.7588508574045298</c:v>
                </c:pt>
                <c:pt idx="18">
                  <c:v>1.6676684957372634</c:v>
                </c:pt>
                <c:pt idx="19">
                  <c:v>1.6267536588907843</c:v>
                </c:pt>
                <c:pt idx="20">
                  <c:v>1.6443772576910431</c:v>
                </c:pt>
                <c:pt idx="21">
                  <c:v>1.2947343185248927</c:v>
                </c:pt>
                <c:pt idx="22">
                  <c:v>1.2437180219483499</c:v>
                </c:pt>
                <c:pt idx="23">
                  <c:v>1.1772695355075273</c:v>
                </c:pt>
                <c:pt idx="24">
                  <c:v>1.2366554946469988</c:v>
                </c:pt>
                <c:pt idx="25">
                  <c:v>1.1759708631991748</c:v>
                </c:pt>
                <c:pt idx="26">
                  <c:v>1.0970793490944031</c:v>
                </c:pt>
                <c:pt idx="27">
                  <c:v>1.1081666676530744</c:v>
                </c:pt>
                <c:pt idx="28">
                  <c:v>1.0631711206642882</c:v>
                </c:pt>
                <c:pt idx="29">
                  <c:v>1.0758225101640424</c:v>
                </c:pt>
                <c:pt idx="30">
                  <c:v>1.1582615591498608</c:v>
                </c:pt>
                <c:pt idx="31">
                  <c:v>1.1643556544441684</c:v>
                </c:pt>
                <c:pt idx="32">
                  <c:v>1.1702697904927539</c:v>
                </c:pt>
                <c:pt idx="33">
                  <c:v>1.0957141995567519</c:v>
                </c:pt>
                <c:pt idx="34">
                  <c:v>1.116020699628447</c:v>
                </c:pt>
                <c:pt idx="35">
                  <c:v>1.3035338593235766</c:v>
                </c:pt>
                <c:pt idx="36">
                  <c:v>1.2233059483303608</c:v>
                </c:pt>
                <c:pt idx="37">
                  <c:v>1.1544601532181051</c:v>
                </c:pt>
                <c:pt idx="38">
                  <c:v>1.1443302375265065</c:v>
                </c:pt>
                <c:pt idx="39">
                  <c:v>1.2109691762706098</c:v>
                </c:pt>
                <c:pt idx="40">
                  <c:v>1.2918293327637667</c:v>
                </c:pt>
                <c:pt idx="41">
                  <c:v>1.3449164077684728</c:v>
                </c:pt>
                <c:pt idx="42">
                  <c:v>1.3544013813882054</c:v>
                </c:pt>
                <c:pt idx="43">
                  <c:v>1.4334376395225568</c:v>
                </c:pt>
                <c:pt idx="44">
                  <c:v>1.2334526397269379</c:v>
                </c:pt>
                <c:pt idx="45">
                  <c:v>1.3787432064162084</c:v>
                </c:pt>
                <c:pt idx="46">
                  <c:v>1.5267987455442</c:v>
                </c:pt>
                <c:pt idx="47">
                  <c:v>1.5911421046809884</c:v>
                </c:pt>
                <c:pt idx="48">
                  <c:v>1.498829097094083</c:v>
                </c:pt>
                <c:pt idx="49">
                  <c:v>1.4293023173965733</c:v>
                </c:pt>
                <c:pt idx="50">
                  <c:v>1.2616717988309971</c:v>
                </c:pt>
                <c:pt idx="51">
                  <c:v>1.1562072029375998</c:v>
                </c:pt>
                <c:pt idx="52">
                  <c:v>1.1999291040000002</c:v>
                </c:pt>
                <c:pt idx="53">
                  <c:v>1.264065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3-424C-BC57-C2C91519A5E1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Austria!$A$44:$A$97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Austria!$BI$44:$BI$97</c:f>
              <c:numCache>
                <c:formatCode>0.00</c:formatCode>
                <c:ptCount val="54"/>
                <c:pt idx="0">
                  <c:v>1.1881952094880273</c:v>
                </c:pt>
                <c:pt idx="1">
                  <c:v>1.2075208937162019</c:v>
                </c:pt>
                <c:pt idx="2">
                  <c:v>1.2090356043249166</c:v>
                </c:pt>
                <c:pt idx="3">
                  <c:v>1.1839067887726251</c:v>
                </c:pt>
                <c:pt idx="4">
                  <c:v>1.1567470422676163</c:v>
                </c:pt>
                <c:pt idx="5">
                  <c:v>1.1118782951020005</c:v>
                </c:pt>
                <c:pt idx="6">
                  <c:v>1.0516966581553937</c:v>
                </c:pt>
                <c:pt idx="7">
                  <c:v>1.0116947081409702</c:v>
                </c:pt>
                <c:pt idx="8">
                  <c:v>1.2317984538304108</c:v>
                </c:pt>
                <c:pt idx="9">
                  <c:v>1.5481642316801127</c:v>
                </c:pt>
                <c:pt idx="10">
                  <c:v>1.1322558268503591</c:v>
                </c:pt>
                <c:pt idx="11">
                  <c:v>1.3750811430191558</c:v>
                </c:pt>
                <c:pt idx="12">
                  <c:v>1.4330216510205565</c:v>
                </c:pt>
                <c:pt idx="13">
                  <c:v>1.3367865480349541</c:v>
                </c:pt>
                <c:pt idx="14">
                  <c:v>1.4477710485785469</c:v>
                </c:pt>
                <c:pt idx="15">
                  <c:v>1.4476186963055435</c:v>
                </c:pt>
                <c:pt idx="16">
                  <c:v>1.7325105297449255</c:v>
                </c:pt>
                <c:pt idx="17">
                  <c:v>1.7325089298184935</c:v>
                </c:pt>
                <c:pt idx="18">
                  <c:v>1.6525915757835958</c:v>
                </c:pt>
                <c:pt idx="19">
                  <c:v>1.6846054947259264</c:v>
                </c:pt>
                <c:pt idx="20">
                  <c:v>1.6977446327423733</c:v>
                </c:pt>
                <c:pt idx="21">
                  <c:v>1.2787214594145944</c:v>
                </c:pt>
                <c:pt idx="22">
                  <c:v>1.2708379015992868</c:v>
                </c:pt>
                <c:pt idx="23">
                  <c:v>1.1725918879913315</c:v>
                </c:pt>
                <c:pt idx="24">
                  <c:v>1.245286759004284</c:v>
                </c:pt>
                <c:pt idx="25">
                  <c:v>1.1644927092208717</c:v>
                </c:pt>
                <c:pt idx="26">
                  <c:v>1.0801291196674683</c:v>
                </c:pt>
                <c:pt idx="27">
                  <c:v>1.0973579998109799</c:v>
                </c:pt>
                <c:pt idx="28">
                  <c:v>1.0834676988554339</c:v>
                </c:pt>
                <c:pt idx="29">
                  <c:v>1.0814935862715656</c:v>
                </c:pt>
                <c:pt idx="30">
                  <c:v>1.1624968857070155</c:v>
                </c:pt>
                <c:pt idx="31">
                  <c:v>1.1793476114767005</c:v>
                </c:pt>
                <c:pt idx="32">
                  <c:v>1.1810277323273402</c:v>
                </c:pt>
                <c:pt idx="33">
                  <c:v>1.1191713946416082</c:v>
                </c:pt>
                <c:pt idx="34">
                  <c:v>1.1462272859437599</c:v>
                </c:pt>
                <c:pt idx="35">
                  <c:v>1.266684545082077</c:v>
                </c:pt>
                <c:pt idx="36">
                  <c:v>1.201252917862093</c:v>
                </c:pt>
                <c:pt idx="37">
                  <c:v>1.1757752951570242</c:v>
                </c:pt>
                <c:pt idx="38">
                  <c:v>1.1568678959024146</c:v>
                </c:pt>
                <c:pt idx="39">
                  <c:v>1.1960735101186262</c:v>
                </c:pt>
                <c:pt idx="40">
                  <c:v>1.2754646593075245</c:v>
                </c:pt>
                <c:pt idx="41">
                  <c:v>1.3283561426940165</c:v>
                </c:pt>
                <c:pt idx="42">
                  <c:v>1.3467795252367261</c:v>
                </c:pt>
                <c:pt idx="43">
                  <c:v>1.4238802178785499</c:v>
                </c:pt>
                <c:pt idx="44">
                  <c:v>1.2506319175224241</c:v>
                </c:pt>
                <c:pt idx="45">
                  <c:v>1.4033630848181737</c:v>
                </c:pt>
                <c:pt idx="46">
                  <c:v>1.5568351200919728</c:v>
                </c:pt>
                <c:pt idx="47">
                  <c:v>1.5897569325785463</c:v>
                </c:pt>
                <c:pt idx="48">
                  <c:v>1.4872995999031717</c:v>
                </c:pt>
                <c:pt idx="49">
                  <c:v>1.4200992578763398</c:v>
                </c:pt>
                <c:pt idx="50">
                  <c:v>1.2199798326489562</c:v>
                </c:pt>
                <c:pt idx="51">
                  <c:v>1.1497721120844482</c:v>
                </c:pt>
                <c:pt idx="52">
                  <c:v>1.1975675529136032</c:v>
                </c:pt>
                <c:pt idx="53">
                  <c:v>1.2655651501310934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3-424C-BC57-C2C91519A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697664"/>
        <c:axId val="107699200"/>
      </c:lineChart>
      <c:catAx>
        <c:axId val="10769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7699200"/>
        <c:crosses val="autoZero"/>
        <c:auto val="1"/>
        <c:lblAlgn val="ctr"/>
        <c:lblOffset val="100"/>
        <c:noMultiLvlLbl val="0"/>
      </c:catAx>
      <c:valAx>
        <c:axId val="107699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2.2007104795737142E-2"/>
              <c:y val="0.2856446922236913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07697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643877919334784"/>
          <c:y val="0.52168758381184888"/>
          <c:w val="0.15287568680400518"/>
          <c:h val="0.164089903609210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1021240492387"/>
          <c:y val="3.1631110213787644E-2"/>
          <c:w val="0.83752035485167364"/>
          <c:h val="0.85137431530297869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Belgium!$AW$44:$AW$97</c:f>
              <c:numCache>
                <c:formatCode>0.00</c:formatCode>
                <c:ptCount val="54"/>
                <c:pt idx="0">
                  <c:v>0.95474991245858809</c:v>
                </c:pt>
                <c:pt idx="1">
                  <c:v>1.0386918750682985</c:v>
                </c:pt>
                <c:pt idx="2">
                  <c:v>1.0110859745122087</c:v>
                </c:pt>
                <c:pt idx="3">
                  <c:v>0.98449037411770335</c:v>
                </c:pt>
                <c:pt idx="4">
                  <c:v>0.9488694394700683</c:v>
                </c:pt>
                <c:pt idx="5">
                  <c:v>0.94540913726268694</c:v>
                </c:pt>
                <c:pt idx="6">
                  <c:v>1.0365201731195886</c:v>
                </c:pt>
                <c:pt idx="7">
                  <c:v>0.83545626035892839</c:v>
                </c:pt>
                <c:pt idx="8">
                  <c:v>0.93936680936898642</c:v>
                </c:pt>
                <c:pt idx="9">
                  <c:v>0.96252867200545644</c:v>
                </c:pt>
                <c:pt idx="10">
                  <c:v>0.95840586424476271</c:v>
                </c:pt>
                <c:pt idx="11">
                  <c:v>1.0324666347598204</c:v>
                </c:pt>
                <c:pt idx="12">
                  <c:v>1.0136788283165563</c:v>
                </c:pt>
                <c:pt idx="13">
                  <c:v>0.93447694831421702</c:v>
                </c:pt>
                <c:pt idx="14">
                  <c:v>1.0079044839513991</c:v>
                </c:pt>
                <c:pt idx="15">
                  <c:v>1.2222868581618245</c:v>
                </c:pt>
                <c:pt idx="16">
                  <c:v>1.3435552382105682</c:v>
                </c:pt>
                <c:pt idx="17">
                  <c:v>1.3473257221052148</c:v>
                </c:pt>
                <c:pt idx="18">
                  <c:v>1.3211253873395141</c:v>
                </c:pt>
                <c:pt idx="19">
                  <c:v>1.255821390420055</c:v>
                </c:pt>
                <c:pt idx="20">
                  <c:v>1.2707529369649579</c:v>
                </c:pt>
                <c:pt idx="21">
                  <c:v>0.94878594536375016</c:v>
                </c:pt>
                <c:pt idx="22">
                  <c:v>0.90912430221587792</c:v>
                </c:pt>
                <c:pt idx="23">
                  <c:v>0.89437430148258856</c:v>
                </c:pt>
                <c:pt idx="24">
                  <c:v>1.0314041564800527</c:v>
                </c:pt>
                <c:pt idx="25">
                  <c:v>1.0073820145604588</c:v>
                </c:pt>
                <c:pt idx="26">
                  <c:v>1.0401603690438224</c:v>
                </c:pt>
                <c:pt idx="27">
                  <c:v>0.99542089935759726</c:v>
                </c:pt>
                <c:pt idx="28">
                  <c:v>0.99175233836594801</c:v>
                </c:pt>
                <c:pt idx="29">
                  <c:v>0.96919832233875669</c:v>
                </c:pt>
                <c:pt idx="30">
                  <c:v>0.91776043683605701</c:v>
                </c:pt>
                <c:pt idx="31">
                  <c:v>0.98282847501899462</c:v>
                </c:pt>
                <c:pt idx="32">
                  <c:v>1.0725517688052284</c:v>
                </c:pt>
                <c:pt idx="33">
                  <c:v>0.97612969694467822</c:v>
                </c:pt>
                <c:pt idx="34">
                  <c:v>1.0178657547496184</c:v>
                </c:pt>
                <c:pt idx="35">
                  <c:v>1.2834467225146793</c:v>
                </c:pt>
                <c:pt idx="36">
                  <c:v>1.2081494929227872</c:v>
                </c:pt>
                <c:pt idx="37">
                  <c:v>1.1544261380218162</c:v>
                </c:pt>
                <c:pt idx="38">
                  <c:v>1.1816227647063333</c:v>
                </c:pt>
                <c:pt idx="39">
                  <c:v>1.2973936057132318</c:v>
                </c:pt>
                <c:pt idx="40">
                  <c:v>1.4158215801735008</c:v>
                </c:pt>
                <c:pt idx="41">
                  <c:v>1.4702365848722936</c:v>
                </c:pt>
                <c:pt idx="42">
                  <c:v>1.4769948973493703</c:v>
                </c:pt>
                <c:pt idx="43">
                  <c:v>1.4870754377535724</c:v>
                </c:pt>
                <c:pt idx="44">
                  <c:v>1.3448021997199997</c:v>
                </c:pt>
                <c:pt idx="45">
                  <c:v>1.456</c:v>
                </c:pt>
                <c:pt idx="46">
                  <c:v>1.5508909479001227</c:v>
                </c:pt>
                <c:pt idx="47">
                  <c:v>1.6074663838837087</c:v>
                </c:pt>
                <c:pt idx="48">
                  <c:v>1.5269792307994852</c:v>
                </c:pt>
                <c:pt idx="49">
                  <c:v>1.4753781739226095</c:v>
                </c:pt>
                <c:pt idx="50">
                  <c:v>1.3062053506819236</c:v>
                </c:pt>
                <c:pt idx="51">
                  <c:v>1.186853437371195</c:v>
                </c:pt>
                <c:pt idx="52">
                  <c:v>1.2489571421746819</c:v>
                </c:pt>
                <c:pt idx="53">
                  <c:v>1.2819828636979387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E-4104-80FE-FA33EA1AF5F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Belgium!$AX$44:$AX$97</c:f>
              <c:numCache>
                <c:formatCode>0.00</c:formatCode>
                <c:ptCount val="54"/>
                <c:pt idx="0">
                  <c:v>0.95368961984369727</c:v>
                </c:pt>
                <c:pt idx="1">
                  <c:v>1.0390159107257202</c:v>
                </c:pt>
                <c:pt idx="2">
                  <c:v>1.0190915881671798</c:v>
                </c:pt>
                <c:pt idx="3">
                  <c:v>0.9968781904830567</c:v>
                </c:pt>
                <c:pt idx="4">
                  <c:v>0.96007921435244203</c:v>
                </c:pt>
                <c:pt idx="5">
                  <c:v>0.95257086263502477</c:v>
                </c:pt>
                <c:pt idx="6">
                  <c:v>1.0354618239215361</c:v>
                </c:pt>
                <c:pt idx="7">
                  <c:v>0.87755122193680635</c:v>
                </c:pt>
                <c:pt idx="8">
                  <c:v>0.9153655955977078</c:v>
                </c:pt>
                <c:pt idx="9">
                  <c:v>1.001559972663661</c:v>
                </c:pt>
                <c:pt idx="10">
                  <c:v>0.94604982843974084</c:v>
                </c:pt>
                <c:pt idx="11">
                  <c:v>0.98628637305275757</c:v>
                </c:pt>
                <c:pt idx="12">
                  <c:v>1.0006833908804524</c:v>
                </c:pt>
                <c:pt idx="13">
                  <c:v>0.88802222844316603</c:v>
                </c:pt>
                <c:pt idx="14">
                  <c:v>0.94091575558720375</c:v>
                </c:pt>
                <c:pt idx="15">
                  <c:v>1.1798220164031732</c:v>
                </c:pt>
                <c:pt idx="16">
                  <c:v>1.3450509972323292</c:v>
                </c:pt>
                <c:pt idx="17">
                  <c:v>1.3680434890243043</c:v>
                </c:pt>
                <c:pt idx="18">
                  <c:v>1.3161259250801045</c:v>
                </c:pt>
                <c:pt idx="19">
                  <c:v>1.3054543055748784</c:v>
                </c:pt>
                <c:pt idx="20">
                  <c:v>1.301778697331047</c:v>
                </c:pt>
                <c:pt idx="21">
                  <c:v>0.95863824042872603</c:v>
                </c:pt>
                <c:pt idx="22">
                  <c:v>0.94107130913888726</c:v>
                </c:pt>
                <c:pt idx="23">
                  <c:v>0.87403840263673882</c:v>
                </c:pt>
                <c:pt idx="24">
                  <c:v>1.0323191208945359</c:v>
                </c:pt>
                <c:pt idx="25">
                  <c:v>1.0161978294299236</c:v>
                </c:pt>
                <c:pt idx="26">
                  <c:v>1.0273638854607587</c:v>
                </c:pt>
                <c:pt idx="27">
                  <c:v>1.0093369313829867</c:v>
                </c:pt>
                <c:pt idx="28">
                  <c:v>0.97890715665117034</c:v>
                </c:pt>
                <c:pt idx="29">
                  <c:v>0.98520168634053917</c:v>
                </c:pt>
                <c:pt idx="30">
                  <c:v>0.89785153710359744</c:v>
                </c:pt>
                <c:pt idx="31">
                  <c:v>0.99480688635007308</c:v>
                </c:pt>
                <c:pt idx="32">
                  <c:v>1.0614055641629876</c:v>
                </c:pt>
                <c:pt idx="33">
                  <c:v>0.992879819590756</c:v>
                </c:pt>
                <c:pt idx="34">
                  <c:v>1.0201923251471623</c:v>
                </c:pt>
                <c:pt idx="35">
                  <c:v>1.2894643353755164</c:v>
                </c:pt>
                <c:pt idx="36">
                  <c:v>1.2231836117091546</c:v>
                </c:pt>
                <c:pt idx="37">
                  <c:v>1.2014861480727612</c:v>
                </c:pt>
                <c:pt idx="38">
                  <c:v>1.2195017672416577</c:v>
                </c:pt>
                <c:pt idx="39">
                  <c:v>1.2852414545360231</c:v>
                </c:pt>
                <c:pt idx="40">
                  <c:v>1.3962456078432264</c:v>
                </c:pt>
                <c:pt idx="41">
                  <c:v>1.4485395015936762</c:v>
                </c:pt>
                <c:pt idx="42">
                  <c:v>1.4763009115071846</c:v>
                </c:pt>
                <c:pt idx="43">
                  <c:v>1.5108775964637067</c:v>
                </c:pt>
                <c:pt idx="44">
                  <c:v>1.3400646776934217</c:v>
                </c:pt>
                <c:pt idx="45">
                  <c:v>1.4556046181781279</c:v>
                </c:pt>
                <c:pt idx="46">
                  <c:v>1.5536469389293943</c:v>
                </c:pt>
                <c:pt idx="47">
                  <c:v>1.5823751988080037</c:v>
                </c:pt>
                <c:pt idx="48">
                  <c:v>1.5245520927353147</c:v>
                </c:pt>
                <c:pt idx="49">
                  <c:v>1.4703432299408381</c:v>
                </c:pt>
                <c:pt idx="50">
                  <c:v>1.2652743760146863</c:v>
                </c:pt>
                <c:pt idx="51">
                  <c:v>1.1831786763008851</c:v>
                </c:pt>
                <c:pt idx="52">
                  <c:v>1.2302995631004072</c:v>
                </c:pt>
                <c:pt idx="53">
                  <c:v>1.3045026481352644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E-4104-80FE-FA33EA1AF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275200"/>
        <c:axId val="110281088"/>
      </c:lineChart>
      <c:catAx>
        <c:axId val="1102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281088"/>
        <c:crosses val="autoZero"/>
        <c:auto val="1"/>
        <c:lblAlgn val="ctr"/>
        <c:lblOffset val="100"/>
        <c:noMultiLvlLbl val="0"/>
      </c:catAx>
      <c:valAx>
        <c:axId val="1102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9.6660061532043602E-3"/>
              <c:y val="0.3090051853274438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027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010577036079674"/>
          <c:y val="0.59986961995604204"/>
          <c:w val="0.16937920425509725"/>
          <c:h val="0.187351642020357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5260070339309"/>
          <c:y val="2.9178763955425409E-2"/>
          <c:w val="0.84072631743816817"/>
          <c:h val="0.8571651473920555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Belgium!$AZ$44:$AZ$97</c:f>
              <c:numCache>
                <c:formatCode>0.00</c:formatCode>
                <c:ptCount val="54"/>
                <c:pt idx="0">
                  <c:v>0.29215347321232799</c:v>
                </c:pt>
                <c:pt idx="1">
                  <c:v>0.28460157376871398</c:v>
                </c:pt>
                <c:pt idx="2">
                  <c:v>0.27299321311829627</c:v>
                </c:pt>
                <c:pt idx="3">
                  <c:v>0.2648279106376622</c:v>
                </c:pt>
                <c:pt idx="4">
                  <c:v>0.26093909585426878</c:v>
                </c:pt>
                <c:pt idx="5">
                  <c:v>0.26187833102176428</c:v>
                </c:pt>
                <c:pt idx="6">
                  <c:v>0.26949524501109301</c:v>
                </c:pt>
                <c:pt idx="7">
                  <c:v>0.20719315256901416</c:v>
                </c:pt>
                <c:pt idx="8">
                  <c:v>0.26208333981394716</c:v>
                </c:pt>
                <c:pt idx="9">
                  <c:v>0.38212388278616627</c:v>
                </c:pt>
                <c:pt idx="10">
                  <c:v>0.39486321606884223</c:v>
                </c:pt>
                <c:pt idx="11">
                  <c:v>0.43157105332960488</c:v>
                </c:pt>
                <c:pt idx="12">
                  <c:v>0.38215691827534182</c:v>
                </c:pt>
                <c:pt idx="13">
                  <c:v>0.37846316406725777</c:v>
                </c:pt>
                <c:pt idx="14">
                  <c:v>0.46363606261764356</c:v>
                </c:pt>
                <c:pt idx="15">
                  <c:v>0.56225195475443923</c:v>
                </c:pt>
                <c:pt idx="16">
                  <c:v>0.62206607529149305</c:v>
                </c:pt>
                <c:pt idx="17">
                  <c:v>0.6184225064462936</c:v>
                </c:pt>
                <c:pt idx="18">
                  <c:v>0.59714867507746061</c:v>
                </c:pt>
                <c:pt idx="19">
                  <c:v>0.56386380429860483</c:v>
                </c:pt>
                <c:pt idx="20">
                  <c:v>0.54261150408403713</c:v>
                </c:pt>
                <c:pt idx="21">
                  <c:v>0.31025300413394641</c:v>
                </c:pt>
                <c:pt idx="22">
                  <c:v>0.2972836468245923</c:v>
                </c:pt>
                <c:pt idx="23">
                  <c:v>0.31303100551890595</c:v>
                </c:pt>
                <c:pt idx="24">
                  <c:v>0.40634512381650656</c:v>
                </c:pt>
                <c:pt idx="25">
                  <c:v>0.40320193396070769</c:v>
                </c:pt>
                <c:pt idx="26">
                  <c:v>0.44574845087977744</c:v>
                </c:pt>
                <c:pt idx="27">
                  <c:v>0.33807001306155071</c:v>
                </c:pt>
                <c:pt idx="28">
                  <c:v>0.29576425237132942</c:v>
                </c:pt>
                <c:pt idx="29">
                  <c:v>0.24965242410870614</c:v>
                </c:pt>
                <c:pt idx="30">
                  <c:v>0.21472229500056284</c:v>
                </c:pt>
                <c:pt idx="31">
                  <c:v>0.21092024175108326</c:v>
                </c:pt>
                <c:pt idx="32">
                  <c:v>0.24280128013310676</c:v>
                </c:pt>
                <c:pt idx="33">
                  <c:v>0.16849669327343764</c:v>
                </c:pt>
                <c:pt idx="34">
                  <c:v>0.21046741225488708</c:v>
                </c:pt>
                <c:pt idx="35">
                  <c:v>0.44783631956055381</c:v>
                </c:pt>
                <c:pt idx="36">
                  <c:v>0.4000470625708521</c:v>
                </c:pt>
                <c:pt idx="37">
                  <c:v>0.36505796330003293</c:v>
                </c:pt>
                <c:pt idx="38">
                  <c:v>0.36344046564214727</c:v>
                </c:pt>
                <c:pt idx="39">
                  <c:v>0.44085014007294154</c:v>
                </c:pt>
                <c:pt idx="40">
                  <c:v>0.528331520411494</c:v>
                </c:pt>
                <c:pt idx="41">
                  <c:v>0.58281058410319819</c:v>
                </c:pt>
                <c:pt idx="42">
                  <c:v>0.56816749434781755</c:v>
                </c:pt>
                <c:pt idx="43">
                  <c:v>0.62347843828742666</c:v>
                </c:pt>
                <c:pt idx="44">
                  <c:v>0.51265535746645174</c:v>
                </c:pt>
                <c:pt idx="45">
                  <c:v>0.60044960000000014</c:v>
                </c:pt>
                <c:pt idx="46">
                  <c:v>0.70047131802124518</c:v>
                </c:pt>
                <c:pt idx="47">
                  <c:v>0.76393469992641372</c:v>
                </c:pt>
                <c:pt idx="48">
                  <c:v>0.70351956330856691</c:v>
                </c:pt>
                <c:pt idx="49">
                  <c:v>0.66258476258269527</c:v>
                </c:pt>
                <c:pt idx="50">
                  <c:v>0.52459706022242492</c:v>
                </c:pt>
                <c:pt idx="51">
                  <c:v>0.43456112930791235</c:v>
                </c:pt>
                <c:pt idx="52">
                  <c:v>0.50345322702590611</c:v>
                </c:pt>
                <c:pt idx="53">
                  <c:v>0.53195266624110693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7-4C1E-8165-97EA8D4A8E81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Belgium!$BA$44:$BA$97</c:f>
              <c:numCache>
                <c:formatCode>0.00</c:formatCode>
                <c:ptCount val="54"/>
                <c:pt idx="0">
                  <c:v>0.29109318059743722</c:v>
                </c:pt>
                <c:pt idx="1">
                  <c:v>0.28492560942613576</c:v>
                </c:pt>
                <c:pt idx="2">
                  <c:v>0.28099882677326748</c:v>
                </c:pt>
                <c:pt idx="3">
                  <c:v>0.27721572700301556</c:v>
                </c:pt>
                <c:pt idx="4">
                  <c:v>0.27214887073664251</c:v>
                </c:pt>
                <c:pt idx="5">
                  <c:v>0.26904005639410211</c:v>
                </c:pt>
                <c:pt idx="6">
                  <c:v>0.26843689581304053</c:v>
                </c:pt>
                <c:pt idx="7">
                  <c:v>0.24928811414689211</c:v>
                </c:pt>
                <c:pt idx="8">
                  <c:v>0.23808212604266854</c:v>
                </c:pt>
                <c:pt idx="9">
                  <c:v>0.42115518344437075</c:v>
                </c:pt>
                <c:pt idx="10">
                  <c:v>0.38250718026382036</c:v>
                </c:pt>
                <c:pt idx="11">
                  <c:v>0.38539079162254203</c:v>
                </c:pt>
                <c:pt idx="12">
                  <c:v>0.36916148083923805</c:v>
                </c:pt>
                <c:pt idx="13">
                  <c:v>0.33200844419620673</c:v>
                </c:pt>
                <c:pt idx="14">
                  <c:v>0.39664733425344822</c:v>
                </c:pt>
                <c:pt idx="15">
                  <c:v>0.51978711299578795</c:v>
                </c:pt>
                <c:pt idx="16">
                  <c:v>0.62356183431325407</c:v>
                </c:pt>
                <c:pt idx="17">
                  <c:v>0.63914027336538293</c:v>
                </c:pt>
                <c:pt idx="18">
                  <c:v>0.592149212818051</c:v>
                </c:pt>
                <c:pt idx="19">
                  <c:v>0.61349671945342832</c:v>
                </c:pt>
                <c:pt idx="20">
                  <c:v>0.57363726445012619</c:v>
                </c:pt>
                <c:pt idx="21">
                  <c:v>0.32010529919892228</c:v>
                </c:pt>
                <c:pt idx="22">
                  <c:v>0.32923065374760163</c:v>
                </c:pt>
                <c:pt idx="23">
                  <c:v>0.2926951066730562</c:v>
                </c:pt>
                <c:pt idx="24">
                  <c:v>0.40726008823098969</c:v>
                </c:pt>
                <c:pt idx="25">
                  <c:v>0.41201774883017245</c:v>
                </c:pt>
                <c:pt idx="26">
                  <c:v>0.43295196729671381</c:v>
                </c:pt>
                <c:pt idx="27">
                  <c:v>0.3519860450869402</c:v>
                </c:pt>
                <c:pt idx="28">
                  <c:v>0.28291907065655175</c:v>
                </c:pt>
                <c:pt idx="29">
                  <c:v>0.26565578811048862</c:v>
                </c:pt>
                <c:pt idx="30">
                  <c:v>0.19481339526810326</c:v>
                </c:pt>
                <c:pt idx="31">
                  <c:v>0.22289865308216172</c:v>
                </c:pt>
                <c:pt idx="32">
                  <c:v>0.231655075490866</c:v>
                </c:pt>
                <c:pt idx="33">
                  <c:v>0.18524681591951542</c:v>
                </c:pt>
                <c:pt idx="34">
                  <c:v>0.2127939826524311</c:v>
                </c:pt>
                <c:pt idx="35">
                  <c:v>0.45385393242139105</c:v>
                </c:pt>
                <c:pt idx="36">
                  <c:v>0.41508118135721939</c:v>
                </c:pt>
                <c:pt idx="37">
                  <c:v>0.41211797335097788</c:v>
                </c:pt>
                <c:pt idx="38">
                  <c:v>0.40131946817747166</c:v>
                </c:pt>
                <c:pt idx="39">
                  <c:v>0.42869798889573296</c:v>
                </c:pt>
                <c:pt idx="40">
                  <c:v>0.50875554808121948</c:v>
                </c:pt>
                <c:pt idx="41">
                  <c:v>0.56111350082458089</c:v>
                </c:pt>
                <c:pt idx="42">
                  <c:v>0.56747350850563172</c:v>
                </c:pt>
                <c:pt idx="43">
                  <c:v>0.64728059699756102</c:v>
                </c:pt>
                <c:pt idx="44">
                  <c:v>0.50791783543987379</c:v>
                </c:pt>
                <c:pt idx="45">
                  <c:v>0.60005421817812821</c:v>
                </c:pt>
                <c:pt idx="46">
                  <c:v>0.70322730905051678</c:v>
                </c:pt>
                <c:pt idx="47">
                  <c:v>0.73884351485070887</c:v>
                </c:pt>
                <c:pt idx="48">
                  <c:v>0.70109242524439641</c:v>
                </c:pt>
                <c:pt idx="49">
                  <c:v>0.65754981860092376</c:v>
                </c:pt>
                <c:pt idx="50">
                  <c:v>0.48366608555518764</c:v>
                </c:pt>
                <c:pt idx="51">
                  <c:v>0.43088636823760251</c:v>
                </c:pt>
                <c:pt idx="52">
                  <c:v>0.48479564795163155</c:v>
                </c:pt>
                <c:pt idx="53">
                  <c:v>0.55447245067843254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7-4C1E-8165-97EA8D4A8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426752"/>
        <c:axId val="110436736"/>
      </c:lineChart>
      <c:catAx>
        <c:axId val="1104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436736"/>
        <c:crosses val="autoZero"/>
        <c:auto val="1"/>
        <c:lblAlgn val="ctr"/>
        <c:lblOffset val="100"/>
        <c:noMultiLvlLbl val="0"/>
      </c:catAx>
      <c:valAx>
        <c:axId val="11043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9805648221931094E-2"/>
              <c:y val="0.3143077986811281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042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383287637930341"/>
          <c:y val="0.12636856172794914"/>
          <c:w val="0.1877688037708837"/>
          <c:h val="0.187128925398086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07580515361431"/>
          <c:y val="3.3643999045573851E-2"/>
          <c:w val="0.79918466854969783"/>
          <c:h val="0.86597232164161297"/>
        </c:manualLayout>
      </c:layout>
      <c:lineChart>
        <c:grouping val="standard"/>
        <c:varyColors val="0"/>
        <c:ser>
          <c:idx val="0"/>
          <c:order val="0"/>
          <c:tx>
            <c:v> energy content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Belgium!$AZ$44:$AZ$97</c:f>
              <c:numCache>
                <c:formatCode>0.00</c:formatCode>
                <c:ptCount val="54"/>
                <c:pt idx="0">
                  <c:v>0.29215347321232799</c:v>
                </c:pt>
                <c:pt idx="1">
                  <c:v>0.28460157376871398</c:v>
                </c:pt>
                <c:pt idx="2">
                  <c:v>0.27299321311829627</c:v>
                </c:pt>
                <c:pt idx="3">
                  <c:v>0.2648279106376622</c:v>
                </c:pt>
                <c:pt idx="4">
                  <c:v>0.26093909585426878</c:v>
                </c:pt>
                <c:pt idx="5">
                  <c:v>0.26187833102176428</c:v>
                </c:pt>
                <c:pt idx="6">
                  <c:v>0.26949524501109301</c:v>
                </c:pt>
                <c:pt idx="7">
                  <c:v>0.20719315256901416</c:v>
                </c:pt>
                <c:pt idx="8">
                  <c:v>0.26208333981394716</c:v>
                </c:pt>
                <c:pt idx="9">
                  <c:v>0.38212388278616627</c:v>
                </c:pt>
                <c:pt idx="10">
                  <c:v>0.39486321606884223</c:v>
                </c:pt>
                <c:pt idx="11">
                  <c:v>0.43157105332960488</c:v>
                </c:pt>
                <c:pt idx="12">
                  <c:v>0.38215691827534182</c:v>
                </c:pt>
                <c:pt idx="13">
                  <c:v>0.37846316406725777</c:v>
                </c:pt>
                <c:pt idx="14">
                  <c:v>0.46363606261764356</c:v>
                </c:pt>
                <c:pt idx="15">
                  <c:v>0.56225195475443923</c:v>
                </c:pt>
                <c:pt idx="16">
                  <c:v>0.62206607529149305</c:v>
                </c:pt>
                <c:pt idx="17">
                  <c:v>0.6184225064462936</c:v>
                </c:pt>
                <c:pt idx="18">
                  <c:v>0.59714867507746061</c:v>
                </c:pt>
                <c:pt idx="19">
                  <c:v>0.56386380429860483</c:v>
                </c:pt>
                <c:pt idx="20">
                  <c:v>0.54261150408403713</c:v>
                </c:pt>
                <c:pt idx="21">
                  <c:v>0.31025300413394641</c:v>
                </c:pt>
                <c:pt idx="22">
                  <c:v>0.2972836468245923</c:v>
                </c:pt>
                <c:pt idx="23">
                  <c:v>0.31303100551890595</c:v>
                </c:pt>
                <c:pt idx="24">
                  <c:v>0.40634512381650656</c:v>
                </c:pt>
                <c:pt idx="25">
                  <c:v>0.40320193396070769</c:v>
                </c:pt>
                <c:pt idx="26">
                  <c:v>0.44574845087977744</c:v>
                </c:pt>
                <c:pt idx="27">
                  <c:v>0.33807001306155071</c:v>
                </c:pt>
                <c:pt idx="28">
                  <c:v>0.29576425237132942</c:v>
                </c:pt>
                <c:pt idx="29">
                  <c:v>0.24965242410870614</c:v>
                </c:pt>
                <c:pt idx="30">
                  <c:v>0.21472229500056284</c:v>
                </c:pt>
                <c:pt idx="31">
                  <c:v>0.21092024175108326</c:v>
                </c:pt>
                <c:pt idx="32">
                  <c:v>0.24280128013310676</c:v>
                </c:pt>
                <c:pt idx="33">
                  <c:v>0.16849669327343764</c:v>
                </c:pt>
                <c:pt idx="34">
                  <c:v>0.21046741225488708</c:v>
                </c:pt>
                <c:pt idx="35">
                  <c:v>0.44783631956055381</c:v>
                </c:pt>
                <c:pt idx="36">
                  <c:v>0.4000470625708521</c:v>
                </c:pt>
                <c:pt idx="37">
                  <c:v>0.36505796330003293</c:v>
                </c:pt>
                <c:pt idx="38">
                  <c:v>0.36344046564214727</c:v>
                </c:pt>
                <c:pt idx="39">
                  <c:v>0.44085014007294154</c:v>
                </c:pt>
                <c:pt idx="40">
                  <c:v>0.528331520411494</c:v>
                </c:pt>
                <c:pt idx="41">
                  <c:v>0.58281058410319819</c:v>
                </c:pt>
                <c:pt idx="42">
                  <c:v>0.56816749434781755</c:v>
                </c:pt>
                <c:pt idx="43">
                  <c:v>0.62347843828742666</c:v>
                </c:pt>
                <c:pt idx="44">
                  <c:v>0.51265535746645174</c:v>
                </c:pt>
                <c:pt idx="45">
                  <c:v>0.60044960000000014</c:v>
                </c:pt>
                <c:pt idx="46">
                  <c:v>0.70047131802124518</c:v>
                </c:pt>
                <c:pt idx="47">
                  <c:v>0.76393469992641372</c:v>
                </c:pt>
                <c:pt idx="48">
                  <c:v>0.70351956330856691</c:v>
                </c:pt>
                <c:pt idx="49">
                  <c:v>0.66258476258269527</c:v>
                </c:pt>
                <c:pt idx="50">
                  <c:v>0.52459706022242492</c:v>
                </c:pt>
                <c:pt idx="51">
                  <c:v>0.43456112930791235</c:v>
                </c:pt>
                <c:pt idx="52">
                  <c:v>0.50345322702590611</c:v>
                </c:pt>
                <c:pt idx="53">
                  <c:v>0.53195266624110693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9-4A50-8D16-12B9DF983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58752"/>
        <c:axId val="110460288"/>
      </c:lineChart>
      <c:lineChart>
        <c:grouping val="standard"/>
        <c:varyColors val="0"/>
        <c:ser>
          <c:idx val="1"/>
          <c:order val="1"/>
          <c:tx>
            <c:v>  landed oil price (RHS)</c:v>
          </c:tx>
          <c:marker>
            <c:symbol val="none"/>
          </c:marker>
          <c:cat>
            <c:numRef>
              <c:f>Belgium!$A$44:$A$89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Belgium!$BB$44:$BB$97</c:f>
              <c:numCache>
                <c:formatCode>0.00</c:formatCode>
                <c:ptCount val="54"/>
                <c:pt idx="0">
                  <c:v>23.12589387507429</c:v>
                </c:pt>
                <c:pt idx="1">
                  <c:v>22.199220492455279</c:v>
                </c:pt>
                <c:pt idx="2">
                  <c:v>21.609224063930039</c:v>
                </c:pt>
                <c:pt idx="3">
                  <c:v>21.040815891001774</c:v>
                </c:pt>
                <c:pt idx="4">
                  <c:v>20.279524175804024</c:v>
                </c:pt>
                <c:pt idx="5">
                  <c:v>19.812426930758615</c:v>
                </c:pt>
                <c:pt idx="6">
                  <c:v>19.721802462813187</c:v>
                </c:pt>
                <c:pt idx="7">
                  <c:v>16.844711013561504</c:v>
                </c:pt>
                <c:pt idx="8">
                  <c:v>15.161018906294272</c:v>
                </c:pt>
                <c:pt idx="9">
                  <c:v>42.667621531041995</c:v>
                </c:pt>
                <c:pt idx="10">
                  <c:v>36.860785283178579</c:v>
                </c:pt>
                <c:pt idx="11">
                  <c:v>37.29404593274824</c:v>
                </c:pt>
                <c:pt idx="12">
                  <c:v>34.855603002228172</c:v>
                </c:pt>
                <c:pt idx="13">
                  <c:v>29.273384462008107</c:v>
                </c:pt>
                <c:pt idx="14">
                  <c:v>38.985333823338692</c:v>
                </c:pt>
                <c:pt idx="15">
                  <c:v>57.487002005635645</c:v>
                </c:pt>
                <c:pt idx="16">
                  <c:v>73.079083452716645</c:v>
                </c:pt>
                <c:pt idx="17">
                  <c:v>75.419733347367796</c:v>
                </c:pt>
                <c:pt idx="18">
                  <c:v>68.359358392495281</c:v>
                </c:pt>
                <c:pt idx="19">
                  <c:v>71.566806776120885</c:v>
                </c:pt>
                <c:pt idx="20">
                  <c:v>65.577950714089283</c:v>
                </c:pt>
                <c:pt idx="21">
                  <c:v>27.484945004711896</c:v>
                </c:pt>
                <c:pt idx="22">
                  <c:v>28.856023332363861</c:v>
                </c:pt>
                <c:pt idx="23">
                  <c:v>23.366582180724794</c:v>
                </c:pt>
                <c:pt idx="24">
                  <c:v>29.868275333933585</c:v>
                </c:pt>
                <c:pt idx="25">
                  <c:v>30.583110609984004</c:v>
                </c:pt>
                <c:pt idx="26">
                  <c:v>26.587384345562953</c:v>
                </c:pt>
                <c:pt idx="27">
                  <c:v>23.348657460775321</c:v>
                </c:pt>
                <c:pt idx="28">
                  <c:v>21.897739404143135</c:v>
                </c:pt>
                <c:pt idx="29">
                  <c:v>19.303942918014819</c:v>
                </c:pt>
                <c:pt idx="30">
                  <c:v>17.962258945315888</c:v>
                </c:pt>
                <c:pt idx="31">
                  <c:v>22.182049870693817</c:v>
                </c:pt>
                <c:pt idx="32">
                  <c:v>23.497696394705091</c:v>
                </c:pt>
                <c:pt idx="33">
                  <c:v>16.524886890932542</c:v>
                </c:pt>
                <c:pt idx="34">
                  <c:v>20.663829996565831</c:v>
                </c:pt>
                <c:pt idx="35">
                  <c:v>36.792597898795357</c:v>
                </c:pt>
                <c:pt idx="36">
                  <c:v>30.967018366082982</c:v>
                </c:pt>
                <c:pt idx="37">
                  <c:v>30.521798374244913</c:v>
                </c:pt>
                <c:pt idx="38">
                  <c:v>28.89933030076336</c:v>
                </c:pt>
                <c:pt idx="39">
                  <c:v>33.012934457153186</c:v>
                </c:pt>
                <c:pt idx="40">
                  <c:v>45.041528390505633</c:v>
                </c:pt>
                <c:pt idx="41">
                  <c:v>52.908275255375393</c:v>
                </c:pt>
                <c:pt idx="42">
                  <c:v>53.863862092979517</c:v>
                </c:pt>
                <c:pt idx="43">
                  <c:v>65.854822974616951</c:v>
                </c:pt>
                <c:pt idx="44">
                  <c:v>44.915662634690655</c:v>
                </c:pt>
                <c:pt idx="45">
                  <c:v>58.759091609069415</c:v>
                </c:pt>
                <c:pt idx="46">
                  <c:v>74.260778490098119</c:v>
                </c:pt>
                <c:pt idx="47">
                  <c:v>79.612089239213347</c:v>
                </c:pt>
                <c:pt idx="48">
                  <c:v>73.940013647152867</c:v>
                </c:pt>
                <c:pt idx="49">
                  <c:v>67.397766550903924</c:v>
                </c:pt>
                <c:pt idx="50">
                  <c:v>41.271853673937322</c:v>
                </c:pt>
                <c:pt idx="51">
                  <c:v>33.341736968037857</c:v>
                </c:pt>
                <c:pt idx="52">
                  <c:v>41.441569657380278</c:v>
                </c:pt>
                <c:pt idx="53">
                  <c:v>51.910461978131096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9-4A50-8D16-12B9DF983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67712"/>
        <c:axId val="110466176"/>
      </c:lineChart>
      <c:catAx>
        <c:axId val="1104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460288"/>
        <c:crosses val="autoZero"/>
        <c:auto val="1"/>
        <c:lblAlgn val="ctr"/>
        <c:lblOffset val="100"/>
        <c:noMultiLvlLbl val="0"/>
      </c:catAx>
      <c:valAx>
        <c:axId val="11046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9629179619080679E-2"/>
              <c:y val="0.3007890718205679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0458752"/>
        <c:crosses val="autoZero"/>
        <c:crossBetween val="between"/>
      </c:valAx>
      <c:valAx>
        <c:axId val="110466176"/>
        <c:scaling>
          <c:orientation val="minMax"/>
          <c:max val="100"/>
          <c:min val="-3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layout>
            <c:manualLayout>
              <c:xMode val="edge"/>
              <c:yMode val="edge"/>
              <c:x val="0.95950893913811874"/>
              <c:y val="0.3225695538057743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0467712"/>
        <c:crosses val="max"/>
        <c:crossBetween val="between"/>
      </c:valAx>
      <c:catAx>
        <c:axId val="110467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4661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4027014659239733"/>
          <c:y val="3.9142686709615841E-2"/>
          <c:w val="0.20301642655389518"/>
          <c:h val="0.188381293247434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7696582529072"/>
          <c:y val="9.5603171046537913E-2"/>
          <c:w val="0.83716763593575216"/>
          <c:h val="0.76861754636428681"/>
        </c:manualLayout>
      </c:layout>
      <c:lineChart>
        <c:grouping val="standard"/>
        <c:varyColors val="0"/>
        <c:ser>
          <c:idx val="0"/>
          <c:order val="0"/>
          <c:tx>
            <c:strRef>
              <c:f>Belgium!$Y$121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Belgium!$A$122:$A$142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Belgium!$Y$122:$Y$142</c:f>
              <c:numCache>
                <c:formatCode>0.00</c:formatCode>
                <c:ptCount val="21"/>
                <c:pt idx="0">
                  <c:v>1.6658603618472128</c:v>
                </c:pt>
                <c:pt idx="1">
                  <c:v>1.7744284036088362</c:v>
                </c:pt>
                <c:pt idx="2">
                  <c:v>1.8391583323583418</c:v>
                </c:pt>
                <c:pt idx="3">
                  <c:v>1.7470701744181383</c:v>
                </c:pt>
                <c:pt idx="4">
                  <c:v>1.6880316062309055</c:v>
                </c:pt>
                <c:pt idx="5">
                  <c:v>1.4944750811358207</c:v>
                </c:pt>
                <c:pt idx="6">
                  <c:v>1.3579203960431232</c:v>
                </c:pt>
                <c:pt idx="7">
                  <c:v>1.4289754098865222</c:v>
                </c:pt>
                <c:pt idx="8">
                  <c:v>1.4667612892869328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9-4EA6-80E1-D9C1A9B3721F}"/>
            </c:ext>
          </c:extLst>
        </c:ser>
        <c:ser>
          <c:idx val="1"/>
          <c:order val="1"/>
          <c:tx>
            <c:strRef>
              <c:f>Belgium!$Z$121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Belgium!$A$122:$A$142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Belgium!$Z$122:$Z$142</c:f>
              <c:numCache>
                <c:formatCode>0.00</c:formatCode>
                <c:ptCount val="21"/>
                <c:pt idx="0">
                  <c:v>1.6807405268046605</c:v>
                </c:pt>
                <c:pt idx="1">
                  <c:v>1.7946767878143119</c:v>
                </c:pt>
                <c:pt idx="2">
                  <c:v>1.8214544611318946</c:v>
                </c:pt>
                <c:pt idx="3">
                  <c:v>1.7598896536361601</c:v>
                </c:pt>
                <c:pt idx="4">
                  <c:v>1.6966940744499062</c:v>
                </c:pt>
                <c:pt idx="5">
                  <c:v>1.4516504431543851</c:v>
                </c:pt>
                <c:pt idx="6">
                  <c:v>1.3654087458998285</c:v>
                </c:pt>
                <c:pt idx="7">
                  <c:v>1.4163795392565779</c:v>
                </c:pt>
                <c:pt idx="8">
                  <c:v>1.5115214268949151</c:v>
                </c:pt>
                <c:pt idx="9">
                  <c:v>1.759307345389997</c:v>
                </c:pt>
                <c:pt idx="10">
                  <c:v>1.8768649305204077</c:v>
                </c:pt>
                <c:pt idx="11">
                  <c:v>2.001337667717312</c:v>
                </c:pt>
                <c:pt idx="12">
                  <c:v>2.0566588842492708</c:v>
                </c:pt>
                <c:pt idx="13">
                  <c:v>2.0981497966482383</c:v>
                </c:pt>
                <c:pt idx="14">
                  <c:v>2.1327255569807124</c:v>
                </c:pt>
                <c:pt idx="15">
                  <c:v>2.1673013173131856</c:v>
                </c:pt>
                <c:pt idx="16">
                  <c:v>2.2018770776456598</c:v>
                </c:pt>
                <c:pt idx="17">
                  <c:v>2.2364528379781334</c:v>
                </c:pt>
                <c:pt idx="18">
                  <c:v>2.2641134462441124</c:v>
                </c:pt>
                <c:pt idx="19">
                  <c:v>2.2986892065765852</c:v>
                </c:pt>
                <c:pt idx="20">
                  <c:v>2.3194346627760694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9-4EA6-80E1-D9C1A9B3721F}"/>
            </c:ext>
          </c:extLst>
        </c:ser>
        <c:ser>
          <c:idx val="3"/>
          <c:order val="2"/>
          <c:tx>
            <c:strRef>
              <c:f>Belgium!$AB$121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Belgium!$A$122:$A$142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Belgium!$AB$122:$AB$142</c:f>
              <c:numCache>
                <c:formatCode>0.00</c:formatCode>
                <c:ptCount val="21"/>
                <c:pt idx="0">
                  <c:v>1.6807405268046605</c:v>
                </c:pt>
                <c:pt idx="1">
                  <c:v>1.7946767878143119</c:v>
                </c:pt>
                <c:pt idx="2">
                  <c:v>1.8214544611318946</c:v>
                </c:pt>
                <c:pt idx="3">
                  <c:v>1.7598896536361601</c:v>
                </c:pt>
                <c:pt idx="4">
                  <c:v>1.6966940744499062</c:v>
                </c:pt>
                <c:pt idx="5">
                  <c:v>1.4516504431543851</c:v>
                </c:pt>
                <c:pt idx="6">
                  <c:v>1.3654087458998285</c:v>
                </c:pt>
                <c:pt idx="7">
                  <c:v>1.4163795392565779</c:v>
                </c:pt>
                <c:pt idx="8">
                  <c:v>1.5115214268949151</c:v>
                </c:pt>
                <c:pt idx="9">
                  <c:v>1.2406709404028924</c:v>
                </c:pt>
                <c:pt idx="10">
                  <c:v>1.2475860924693871</c:v>
                </c:pt>
                <c:pt idx="11">
                  <c:v>1.2614163966023768</c:v>
                </c:pt>
                <c:pt idx="12">
                  <c:v>1.2683315486688713</c:v>
                </c:pt>
                <c:pt idx="13">
                  <c:v>1.2683315486688713</c:v>
                </c:pt>
                <c:pt idx="14">
                  <c:v>1.2683315486688713</c:v>
                </c:pt>
                <c:pt idx="15">
                  <c:v>1.2752467007353661</c:v>
                </c:pt>
                <c:pt idx="16">
                  <c:v>1.282161852801861</c:v>
                </c:pt>
                <c:pt idx="17">
                  <c:v>1.2890770048683557</c:v>
                </c:pt>
                <c:pt idx="18">
                  <c:v>1.2890770048683557</c:v>
                </c:pt>
                <c:pt idx="19">
                  <c:v>1.2890770048683557</c:v>
                </c:pt>
                <c:pt idx="20">
                  <c:v>1.2959921569348503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69-4EA6-80E1-D9C1A9B3721F}"/>
            </c:ext>
          </c:extLst>
        </c:ser>
        <c:ser>
          <c:idx val="2"/>
          <c:order val="3"/>
          <c:tx>
            <c:strRef>
              <c:f>Belgium!$AA$121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Belgium!$A$122:$A$142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Belgium!$AA$122:$AA$142</c:f>
              <c:numCache>
                <c:formatCode>0.00</c:formatCode>
                <c:ptCount val="21"/>
                <c:pt idx="0">
                  <c:v>1.6807405268046605</c:v>
                </c:pt>
                <c:pt idx="1">
                  <c:v>1.7946767878143119</c:v>
                </c:pt>
                <c:pt idx="2">
                  <c:v>1.8214544611318946</c:v>
                </c:pt>
                <c:pt idx="3">
                  <c:v>1.7598896536361601</c:v>
                </c:pt>
                <c:pt idx="4">
                  <c:v>1.6966940744499062</c:v>
                </c:pt>
                <c:pt idx="5">
                  <c:v>1.4516504431543851</c:v>
                </c:pt>
                <c:pt idx="6">
                  <c:v>1.3654087458998285</c:v>
                </c:pt>
                <c:pt idx="7">
                  <c:v>1.4163795392565779</c:v>
                </c:pt>
                <c:pt idx="8">
                  <c:v>1.5115214268949151</c:v>
                </c:pt>
                <c:pt idx="9">
                  <c:v>1.4821146275725121</c:v>
                </c:pt>
                <c:pt idx="10">
                  <c:v>1.4839724429272143</c:v>
                </c:pt>
                <c:pt idx="11">
                  <c:v>1.5387079412087721</c:v>
                </c:pt>
                <c:pt idx="12">
                  <c:v>1.5794622833062864</c:v>
                </c:pt>
                <c:pt idx="13">
                  <c:v>1.5982160569709594</c:v>
                </c:pt>
                <c:pt idx="14">
                  <c:v>1.6031743201387803</c:v>
                </c:pt>
                <c:pt idx="15">
                  <c:v>1.6291180495883097</c:v>
                </c:pt>
                <c:pt idx="16">
                  <c:v>1.6747171769449196</c:v>
                </c:pt>
                <c:pt idx="17">
                  <c:v>1.6982178133919696</c:v>
                </c:pt>
                <c:pt idx="18">
                  <c:v>1.7130943026015466</c:v>
                </c:pt>
                <c:pt idx="19">
                  <c:v>1.73325839122187</c:v>
                </c:pt>
                <c:pt idx="20">
                  <c:v>1.7486764391426128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9-4EA6-80E1-D9C1A9B37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904928"/>
        <c:axId val="647906896"/>
      </c:lineChart>
      <c:catAx>
        <c:axId val="647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06896"/>
        <c:crosses val="autoZero"/>
        <c:auto val="1"/>
        <c:lblAlgn val="ctr"/>
        <c:lblOffset val="100"/>
        <c:noMultiLvlLbl val="0"/>
      </c:catAx>
      <c:valAx>
        <c:axId val="64790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Euros/l</a:t>
                </a:r>
              </a:p>
            </c:rich>
          </c:tx>
          <c:layout>
            <c:manualLayout>
              <c:xMode val="edge"/>
              <c:yMode val="edge"/>
              <c:x val="1.1944926511627124E-2"/>
              <c:y val="0.301410912378977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0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18500530232966"/>
          <c:y val="0.48383260646626824"/>
          <c:w val="0.21163540048567167"/>
          <c:h val="0.30283271398010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198532366819"/>
          <c:y val="3.1631110213787644E-2"/>
          <c:w val="0.83941071401991574"/>
          <c:h val="0.85137431530297869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Belgium!$BG$44:$BG$97</c:f>
              <c:numCache>
                <c:formatCode>0.00</c:formatCode>
                <c:ptCount val="54"/>
                <c:pt idx="0">
                  <c:v>1.0923626611551225</c:v>
                </c:pt>
                <c:pt idx="1">
                  <c:v>1.1884035871215906</c:v>
                </c:pt>
                <c:pt idx="2">
                  <c:v>1.1568187138458448</c:v>
                </c:pt>
                <c:pt idx="3">
                  <c:v>1.1263897602079775</c:v>
                </c:pt>
                <c:pt idx="4">
                  <c:v>1.0856346069926992</c:v>
                </c:pt>
                <c:pt idx="5">
                  <c:v>1.0816755545975831</c:v>
                </c:pt>
                <c:pt idx="6">
                  <c:v>1.1859188672080587</c:v>
                </c:pt>
                <c:pt idx="7">
                  <c:v>0.95587463474522238</c:v>
                </c:pt>
                <c:pt idx="8">
                  <c:v>1.0747623165952485</c:v>
                </c:pt>
                <c:pt idx="9">
                  <c:v>1.1012626111506367</c:v>
                </c:pt>
                <c:pt idx="10">
                  <c:v>1.0965455630544445</c:v>
                </c:pt>
                <c:pt idx="11">
                  <c:v>1.1812810726484675</c:v>
                </c:pt>
                <c:pt idx="12">
                  <c:v>1.1597852882804103</c:v>
                </c:pt>
                <c:pt idx="13">
                  <c:v>1.0691676560828303</c:v>
                </c:pt>
                <c:pt idx="14">
                  <c:v>1.1531786595760345</c:v>
                </c:pt>
                <c:pt idx="15">
                  <c:v>1.398461008117136</c:v>
                </c:pt>
                <c:pt idx="16">
                  <c:v>1.5372083896203128</c:v>
                </c:pt>
                <c:pt idx="17">
                  <c:v>1.5415223316979743</c:v>
                </c:pt>
                <c:pt idx="18">
                  <c:v>1.5115456152465265</c:v>
                </c:pt>
                <c:pt idx="19">
                  <c:v>1.4368290356185596</c:v>
                </c:pt>
                <c:pt idx="20">
                  <c:v>1.4539127385926189</c:v>
                </c:pt>
                <c:pt idx="21">
                  <c:v>1.0855390784747301</c:v>
                </c:pt>
                <c:pt idx="22">
                  <c:v>1.0401608097894488</c:v>
                </c:pt>
                <c:pt idx="23">
                  <c:v>1.0232848197078526</c:v>
                </c:pt>
                <c:pt idx="24">
                  <c:v>1.1800654542064424</c:v>
                </c:pt>
                <c:pt idx="25">
                  <c:v>1.1525808841305361</c:v>
                </c:pt>
                <c:pt idx="26">
                  <c:v>1.1900837422764234</c:v>
                </c:pt>
                <c:pt idx="27">
                  <c:v>1.1388957552157453</c:v>
                </c:pt>
                <c:pt idx="28">
                  <c:v>1.1346984266848337</c:v>
                </c:pt>
                <c:pt idx="29">
                  <c:v>1.1088935906270281</c:v>
                </c:pt>
                <c:pt idx="30">
                  <c:v>1.0500417124977817</c:v>
                </c:pt>
                <c:pt idx="31">
                  <c:v>1.1244883235088508</c:v>
                </c:pt>
                <c:pt idx="32">
                  <c:v>1.2271438720341663</c:v>
                </c:pt>
                <c:pt idx="33">
                  <c:v>1.1168240179684559</c:v>
                </c:pt>
                <c:pt idx="34">
                  <c:v>1.1645756967850864</c:v>
                </c:pt>
                <c:pt idx="35">
                  <c:v>1.4684361411950022</c:v>
                </c:pt>
                <c:pt idx="36">
                  <c:v>1.38228595566338</c:v>
                </c:pt>
                <c:pt idx="37">
                  <c:v>1.3208191923151806</c:v>
                </c:pt>
                <c:pt idx="38">
                  <c:v>1.3519358010855747</c:v>
                </c:pt>
                <c:pt idx="39">
                  <c:v>1.4843932565052915</c:v>
                </c:pt>
                <c:pt idx="40">
                  <c:v>1.619890830947061</c:v>
                </c:pt>
                <c:pt idx="41">
                  <c:v>1.6821489349425616</c:v>
                </c:pt>
                <c:pt idx="42">
                  <c:v>1.6898813558687562</c:v>
                </c:pt>
                <c:pt idx="43">
                  <c:v>1.7014148535922176</c:v>
                </c:pt>
                <c:pt idx="44">
                  <c:v>1.5386350817572023</c:v>
                </c:pt>
                <c:pt idx="45">
                  <c:v>1.6658603618472128</c:v>
                </c:pt>
                <c:pt idx="46">
                  <c:v>1.7744284036088362</c:v>
                </c:pt>
                <c:pt idx="47">
                  <c:v>1.8391583323583418</c:v>
                </c:pt>
                <c:pt idx="48">
                  <c:v>1.7470701744181383</c:v>
                </c:pt>
                <c:pt idx="49">
                  <c:v>1.6880316062309055</c:v>
                </c:pt>
                <c:pt idx="50">
                  <c:v>1.4944750811358207</c:v>
                </c:pt>
                <c:pt idx="51">
                  <c:v>1.3579203960431232</c:v>
                </c:pt>
                <c:pt idx="52">
                  <c:v>1.4289754098865222</c:v>
                </c:pt>
                <c:pt idx="53">
                  <c:v>1.4667612892869328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8-43E7-93DA-64AB6B32E499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Belgium!$A$44:$A$97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Belgium!$BH$44:$BH$97</c:f>
              <c:numCache>
                <c:formatCode>0.00</c:formatCode>
                <c:ptCount val="54"/>
                <c:pt idx="0">
                  <c:v>1.0911495434084839</c:v>
                </c:pt>
                <c:pt idx="1">
                  <c:v>1.1887743276143956</c:v>
                </c:pt>
                <c:pt idx="2">
                  <c:v>1.1659782155354597</c:v>
                </c:pt>
                <c:pt idx="3">
                  <c:v>1.1405630927992443</c:v>
                </c:pt>
                <c:pt idx="4">
                  <c:v>1.0984601012521613</c:v>
                </c:pt>
                <c:pt idx="5">
                  <c:v>1.0898695342817954</c:v>
                </c:pt>
                <c:pt idx="6">
                  <c:v>1.18470797299238</c:v>
                </c:pt>
                <c:pt idx="7">
                  <c:v>1.0040369478812583</c:v>
                </c:pt>
                <c:pt idx="8">
                  <c:v>1.0473016911434663</c:v>
                </c:pt>
                <c:pt idx="9">
                  <c:v>1.1459196830172877</c:v>
                </c:pt>
                <c:pt idx="10">
                  <c:v>1.0824085917102475</c:v>
                </c:pt>
                <c:pt idx="11">
                  <c:v>1.1284446252051112</c:v>
                </c:pt>
                <c:pt idx="12">
                  <c:v>1.1449167552380539</c:v>
                </c:pt>
                <c:pt idx="13">
                  <c:v>1.0160171914853715</c:v>
                </c:pt>
                <c:pt idx="14">
                  <c:v>1.0765345199658263</c:v>
                </c:pt>
                <c:pt idx="15">
                  <c:v>1.3498755021708095</c:v>
                </c:pt>
                <c:pt idx="16">
                  <c:v>1.5389197396651115</c:v>
                </c:pt>
                <c:pt idx="17">
                  <c:v>1.565226251132384</c:v>
                </c:pt>
                <c:pt idx="18">
                  <c:v>1.5058255561747531</c:v>
                </c:pt>
                <c:pt idx="19">
                  <c:v>1.4936157842444842</c:v>
                </c:pt>
                <c:pt idx="20">
                  <c:v>1.4894103927066562</c:v>
                </c:pt>
                <c:pt idx="21">
                  <c:v>1.0968114327480585</c:v>
                </c:pt>
                <c:pt idx="22">
                  <c:v>1.0767124942075119</c:v>
                </c:pt>
                <c:pt idx="23">
                  <c:v>1.0000178088494491</c:v>
                </c:pt>
                <c:pt idx="24">
                  <c:v>1.181112296892286</c:v>
                </c:pt>
                <c:pt idx="25">
                  <c:v>1.1626673652764321</c:v>
                </c:pt>
                <c:pt idx="26">
                  <c:v>1.1754428392736389</c:v>
                </c:pt>
                <c:pt idx="27">
                  <c:v>1.1548175726232266</c:v>
                </c:pt>
                <c:pt idx="28">
                  <c:v>1.1200018064517478</c:v>
                </c:pt>
                <c:pt idx="29">
                  <c:v>1.1272035973212464</c:v>
                </c:pt>
                <c:pt idx="30">
                  <c:v>1.0272632462118647</c:v>
                </c:pt>
                <c:pt idx="31">
                  <c:v>1.1381932415269451</c:v>
                </c:pt>
                <c:pt idx="32">
                  <c:v>1.214391110702747</c:v>
                </c:pt>
                <c:pt idx="33">
                  <c:v>1.1359884172625359</c:v>
                </c:pt>
                <c:pt idx="34">
                  <c:v>1.1672376070902482</c:v>
                </c:pt>
                <c:pt idx="35">
                  <c:v>1.4753211018665755</c:v>
                </c:pt>
                <c:pt idx="36">
                  <c:v>1.3994870151149679</c:v>
                </c:pt>
                <c:pt idx="37">
                  <c:v>1.3746621905102365</c:v>
                </c:pt>
                <c:pt idx="38">
                  <c:v>1.3952744884962249</c:v>
                </c:pt>
                <c:pt idx="39">
                  <c:v>1.47048955667199</c:v>
                </c:pt>
                <c:pt idx="40">
                  <c:v>1.5974932785091338</c:v>
                </c:pt>
                <c:pt idx="41">
                  <c:v>1.6573245455184225</c:v>
                </c:pt>
                <c:pt idx="42">
                  <c:v>1.6890873424716544</c:v>
                </c:pt>
                <c:pt idx="43">
                  <c:v>1.7286477332087073</c:v>
                </c:pt>
                <c:pt idx="44">
                  <c:v>1.5332147176380715</c:v>
                </c:pt>
                <c:pt idx="45">
                  <c:v>1.6654079917202542</c:v>
                </c:pt>
                <c:pt idx="46">
                  <c:v>1.7775816290300381</c:v>
                </c:pt>
                <c:pt idx="47">
                  <c:v>1.8104506327365086</c:v>
                </c:pt>
                <c:pt idx="48">
                  <c:v>1.7442932011394072</c:v>
                </c:pt>
                <c:pt idx="49">
                  <c:v>1.682270951283547</c:v>
                </c:pt>
                <c:pt idx="50">
                  <c:v>1.4476445260053792</c:v>
                </c:pt>
                <c:pt idx="51">
                  <c:v>1.3537159737860569</c:v>
                </c:pt>
                <c:pt idx="52">
                  <c:v>1.4076286231915609</c:v>
                </c:pt>
                <c:pt idx="53">
                  <c:v>1.4925269597893263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8-43E7-93DA-64AB6B32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275200"/>
        <c:axId val="110281088"/>
      </c:lineChart>
      <c:catAx>
        <c:axId val="1102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281088"/>
        <c:crosses val="autoZero"/>
        <c:auto val="1"/>
        <c:lblAlgn val="ctr"/>
        <c:lblOffset val="100"/>
        <c:noMultiLvlLbl val="0"/>
      </c:catAx>
      <c:valAx>
        <c:axId val="1102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9.6660061532043602E-3"/>
              <c:y val="0.30900518532744381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1027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010577036079674"/>
          <c:y val="0.63094310245117669"/>
          <c:w val="0.16937920425509725"/>
          <c:h val="0.159103162952088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300610788137464E-2"/>
          <c:y val="2.8541181709612777E-2"/>
          <c:w val="0.82019280300242847"/>
          <c:h val="0.85278097919324325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Britain!$BC$44:$BC$97</c:f>
              <c:numCache>
                <c:formatCode>0.00</c:formatCode>
                <c:ptCount val="54"/>
                <c:pt idx="0">
                  <c:v>22.152497306007092</c:v>
                </c:pt>
                <c:pt idx="1">
                  <c:v>22.281660093407311</c:v>
                </c:pt>
                <c:pt idx="2">
                  <c:v>21.587770398070433</c:v>
                </c:pt>
                <c:pt idx="3">
                  <c:v>20.807725121564999</c:v>
                </c:pt>
                <c:pt idx="4">
                  <c:v>20.048383945845956</c:v>
                </c:pt>
                <c:pt idx="5">
                  <c:v>22.759124670523292</c:v>
                </c:pt>
                <c:pt idx="6">
                  <c:v>23.871553024035812</c:v>
                </c:pt>
                <c:pt idx="7">
                  <c:v>22.463272263561294</c:v>
                </c:pt>
                <c:pt idx="8">
                  <c:v>27.78491738122014</c:v>
                </c:pt>
                <c:pt idx="9">
                  <c:v>53.267631172553479</c:v>
                </c:pt>
                <c:pt idx="10">
                  <c:v>42.22161528415441</c:v>
                </c:pt>
                <c:pt idx="11">
                  <c:v>39.476290232040206</c:v>
                </c:pt>
                <c:pt idx="12">
                  <c:v>35.181769371696916</c:v>
                </c:pt>
                <c:pt idx="13">
                  <c:v>31.91051421714916</c:v>
                </c:pt>
                <c:pt idx="14">
                  <c:v>41.725209809189451</c:v>
                </c:pt>
                <c:pt idx="15">
                  <c:v>45.076718203617695</c:v>
                </c:pt>
                <c:pt idx="16">
                  <c:v>44.585984309894656</c:v>
                </c:pt>
                <c:pt idx="17">
                  <c:v>41.069980941068906</c:v>
                </c:pt>
                <c:pt idx="18">
                  <c:v>40.891808130768666</c:v>
                </c:pt>
                <c:pt idx="19">
                  <c:v>40.36087163746754</c:v>
                </c:pt>
                <c:pt idx="20">
                  <c:v>40.911154397447653</c:v>
                </c:pt>
                <c:pt idx="21">
                  <c:v>27.553618577107635</c:v>
                </c:pt>
                <c:pt idx="22">
                  <c:v>27.261302256395446</c:v>
                </c:pt>
                <c:pt idx="23">
                  <c:v>25.440088178195651</c:v>
                </c:pt>
                <c:pt idx="24">
                  <c:v>29.693242405464126</c:v>
                </c:pt>
                <c:pt idx="25">
                  <c:v>27.201528462729826</c:v>
                </c:pt>
                <c:pt idx="26">
                  <c:v>23.433560811845666</c:v>
                </c:pt>
                <c:pt idx="27">
                  <c:v>22.130117106498794</c:v>
                </c:pt>
                <c:pt idx="28">
                  <c:v>22.470311849265997</c:v>
                </c:pt>
                <c:pt idx="29">
                  <c:v>21.104165192430884</c:v>
                </c:pt>
                <c:pt idx="30">
                  <c:v>19.389954102254094</c:v>
                </c:pt>
                <c:pt idx="31">
                  <c:v>18.174639683559406</c:v>
                </c:pt>
                <c:pt idx="32">
                  <c:v>18.843434076605696</c:v>
                </c:pt>
                <c:pt idx="33">
                  <c:v>13.867408316593654</c:v>
                </c:pt>
                <c:pt idx="34">
                  <c:v>15.450674968514846</c:v>
                </c:pt>
                <c:pt idx="35">
                  <c:v>23.62084899641556</c:v>
                </c:pt>
                <c:pt idx="36">
                  <c:v>22.737795239102184</c:v>
                </c:pt>
                <c:pt idx="37">
                  <c:v>19.90218233734835</c:v>
                </c:pt>
                <c:pt idx="38">
                  <c:v>22.35530514148391</c:v>
                </c:pt>
                <c:pt idx="39">
                  <c:v>24.715990606282972</c:v>
                </c:pt>
                <c:pt idx="40">
                  <c:v>30.552757158167168</c:v>
                </c:pt>
                <c:pt idx="41">
                  <c:v>33.54218469072228</c:v>
                </c:pt>
                <c:pt idx="42">
                  <c:v>33.227735857826701</c:v>
                </c:pt>
                <c:pt idx="43">
                  <c:v>42.999549284364733</c:v>
                </c:pt>
                <c:pt idx="44">
                  <c:v>32.945897424391291</c:v>
                </c:pt>
                <c:pt idx="45">
                  <c:v>42.339361702127661</c:v>
                </c:pt>
                <c:pt idx="46">
                  <c:v>51.133942922593747</c:v>
                </c:pt>
                <c:pt idx="47">
                  <c:v>51.646251376179833</c:v>
                </c:pt>
                <c:pt idx="48">
                  <c:v>49.276700819849395</c:v>
                </c:pt>
                <c:pt idx="49">
                  <c:v>43.061289146918412</c:v>
                </c:pt>
                <c:pt idx="50">
                  <c:v>30.962627356646834</c:v>
                </c:pt>
                <c:pt idx="51">
                  <c:v>29.631827590506546</c:v>
                </c:pt>
                <c:pt idx="52">
                  <c:v>34.49132636008612</c:v>
                </c:pt>
                <c:pt idx="53">
                  <c:v>39.578694350148638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2-4147-8840-E29642A5C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7264"/>
        <c:axId val="110668800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Britain!$A$44:$A$89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Britain!$BE$44:$BE$97</c:f>
              <c:numCache>
                <c:formatCode>0.00</c:formatCode>
                <c:ptCount val="54"/>
                <c:pt idx="0">
                  <c:v>15.139952973993712</c:v>
                </c:pt>
                <c:pt idx="1">
                  <c:v>14.635647240851535</c:v>
                </c:pt>
                <c:pt idx="2">
                  <c:v>16.560421371278938</c:v>
                </c:pt>
                <c:pt idx="3">
                  <c:v>15.96203555685598</c:v>
                </c:pt>
                <c:pt idx="4">
                  <c:v>15.032873279837347</c:v>
                </c:pt>
                <c:pt idx="5">
                  <c:v>14.391999890007142</c:v>
                </c:pt>
                <c:pt idx="6">
                  <c:v>13.781586680754801</c:v>
                </c:pt>
                <c:pt idx="7">
                  <c:v>12.541599723538678</c:v>
                </c:pt>
                <c:pt idx="8">
                  <c:v>12.72816865287524</c:v>
                </c:pt>
                <c:pt idx="9">
                  <c:v>36.474104210541789</c:v>
                </c:pt>
                <c:pt idx="10">
                  <c:v>32.018244258269618</c:v>
                </c:pt>
                <c:pt idx="11">
                  <c:v>35.552694309320934</c:v>
                </c:pt>
                <c:pt idx="12">
                  <c:v>34.08402932691682</c:v>
                </c:pt>
                <c:pt idx="13">
                  <c:v>28.599785317735016</c:v>
                </c:pt>
                <c:pt idx="14">
                  <c:v>34.118603069077189</c:v>
                </c:pt>
                <c:pt idx="15">
                  <c:v>41.558365495644736</c:v>
                </c:pt>
                <c:pt idx="16">
                  <c:v>46.291522303736485</c:v>
                </c:pt>
                <c:pt idx="17">
                  <c:v>44.710825761913426</c:v>
                </c:pt>
                <c:pt idx="18">
                  <c:v>42.951716955758151</c:v>
                </c:pt>
                <c:pt idx="19">
                  <c:v>45.94075596788084</c:v>
                </c:pt>
                <c:pt idx="20">
                  <c:v>41.97991665472415</c:v>
                </c:pt>
                <c:pt idx="21">
                  <c:v>20.05181872102548</c:v>
                </c:pt>
                <c:pt idx="22">
                  <c:v>22.031980917678684</c:v>
                </c:pt>
                <c:pt idx="23">
                  <c:v>16.189130044905802</c:v>
                </c:pt>
                <c:pt idx="24">
                  <c:v>20.567696659481392</c:v>
                </c:pt>
                <c:pt idx="25">
                  <c:v>22.128378165056933</c:v>
                </c:pt>
                <c:pt idx="26">
                  <c:v>18.193113502374391</c:v>
                </c:pt>
                <c:pt idx="27">
                  <c:v>16.752923567936797</c:v>
                </c:pt>
                <c:pt idx="28">
                  <c:v>17.127111420731396</c:v>
                </c:pt>
                <c:pt idx="29">
                  <c:v>15.360598926272873</c:v>
                </c:pt>
                <c:pt idx="30">
                  <c:v>15.548320632809917</c:v>
                </c:pt>
                <c:pt idx="31">
                  <c:v>18.419052649226774</c:v>
                </c:pt>
                <c:pt idx="32">
                  <c:v>16.069469085138021</c:v>
                </c:pt>
                <c:pt idx="33">
                  <c:v>10.940273592027999</c:v>
                </c:pt>
                <c:pt idx="34">
                  <c:v>13.395572937582372</c:v>
                </c:pt>
                <c:pt idx="35">
                  <c:v>22.44189256282176</c:v>
                </c:pt>
                <c:pt idx="36">
                  <c:v>19.517165446545476</c:v>
                </c:pt>
                <c:pt idx="37">
                  <c:v>19.506818799064213</c:v>
                </c:pt>
                <c:pt idx="38">
                  <c:v>20.377532514905507</c:v>
                </c:pt>
                <c:pt idx="39">
                  <c:v>23.003795713862615</c:v>
                </c:pt>
                <c:pt idx="40">
                  <c:v>31.886118157811751</c:v>
                </c:pt>
                <c:pt idx="41">
                  <c:v>37.137878043231751</c:v>
                </c:pt>
                <c:pt idx="42">
                  <c:v>37.747502104246919</c:v>
                </c:pt>
                <c:pt idx="43">
                  <c:v>54.21523517054154</c:v>
                </c:pt>
                <c:pt idx="44">
                  <c:v>40.483428606898357</c:v>
                </c:pt>
                <c:pt idx="45">
                  <c:v>50.124013550000001</c:v>
                </c:pt>
                <c:pt idx="46">
                  <c:v>64.069308240915163</c:v>
                </c:pt>
                <c:pt idx="47">
                  <c:v>64.01687695779232</c:v>
                </c:pt>
                <c:pt idx="48">
                  <c:v>61.521487044174336</c:v>
                </c:pt>
                <c:pt idx="49">
                  <c:v>52.298647660189125</c:v>
                </c:pt>
                <c:pt idx="50">
                  <c:v>29.018902887836212</c:v>
                </c:pt>
                <c:pt idx="51">
                  <c:v>26.981259242383626</c:v>
                </c:pt>
                <c:pt idx="52">
                  <c:v>35.29756472278396</c:v>
                </c:pt>
                <c:pt idx="53">
                  <c:v>44.613879284578026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2-4147-8840-E29642A5C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6224"/>
        <c:axId val="110674688"/>
      </c:lineChart>
      <c:catAx>
        <c:axId val="1106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668800"/>
        <c:crosses val="autoZero"/>
        <c:auto val="1"/>
        <c:lblAlgn val="ctr"/>
        <c:lblOffset val="100"/>
        <c:noMultiLvlLbl val="0"/>
      </c:catAx>
      <c:valAx>
        <c:axId val="11066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pence per litre</a:t>
                </a:r>
              </a:p>
            </c:rich>
          </c:tx>
          <c:layout>
            <c:manualLayout>
              <c:xMode val="edge"/>
              <c:yMode val="edge"/>
              <c:x val="1.2700860990507028E-2"/>
              <c:y val="0.301860530906690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0667264"/>
        <c:crosses val="autoZero"/>
        <c:crossBetween val="between"/>
      </c:valAx>
      <c:valAx>
        <c:axId val="110674688"/>
        <c:scaling>
          <c:orientation val="minMax"/>
          <c:max val="80"/>
          <c:min val="-2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0676224"/>
        <c:crosses val="max"/>
        <c:crossBetween val="between"/>
      </c:valAx>
      <c:catAx>
        <c:axId val="11067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674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3120523953197437"/>
          <c:y val="4.4895966216513442E-2"/>
          <c:w val="0.21365457355213777"/>
          <c:h val="0.2522322174811947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76546681664798E-2"/>
          <c:y val="3.0585453677794409E-2"/>
          <c:w val="0.85836445444319875"/>
          <c:h val="0.8576905056289491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Britain!$BC$44:$BC$97</c:f>
              <c:numCache>
                <c:formatCode>0.00</c:formatCode>
                <c:ptCount val="54"/>
                <c:pt idx="0">
                  <c:v>22.152497306007092</c:v>
                </c:pt>
                <c:pt idx="1">
                  <c:v>22.281660093407311</c:v>
                </c:pt>
                <c:pt idx="2">
                  <c:v>21.587770398070433</c:v>
                </c:pt>
                <c:pt idx="3">
                  <c:v>20.807725121564999</c:v>
                </c:pt>
                <c:pt idx="4">
                  <c:v>20.048383945845956</c:v>
                </c:pt>
                <c:pt idx="5">
                  <c:v>22.759124670523292</c:v>
                </c:pt>
                <c:pt idx="6">
                  <c:v>23.871553024035812</c:v>
                </c:pt>
                <c:pt idx="7">
                  <c:v>22.463272263561294</c:v>
                </c:pt>
                <c:pt idx="8">
                  <c:v>27.78491738122014</c:v>
                </c:pt>
                <c:pt idx="9">
                  <c:v>53.267631172553479</c:v>
                </c:pt>
                <c:pt idx="10">
                  <c:v>42.22161528415441</c:v>
                </c:pt>
                <c:pt idx="11">
                  <c:v>39.476290232040206</c:v>
                </c:pt>
                <c:pt idx="12">
                  <c:v>35.181769371696916</c:v>
                </c:pt>
                <c:pt idx="13">
                  <c:v>31.91051421714916</c:v>
                </c:pt>
                <c:pt idx="14">
                  <c:v>41.725209809189451</c:v>
                </c:pt>
                <c:pt idx="15">
                  <c:v>45.076718203617695</c:v>
                </c:pt>
                <c:pt idx="16">
                  <c:v>44.585984309894656</c:v>
                </c:pt>
                <c:pt idx="17">
                  <c:v>41.069980941068906</c:v>
                </c:pt>
                <c:pt idx="18">
                  <c:v>40.891808130768666</c:v>
                </c:pt>
                <c:pt idx="19">
                  <c:v>40.36087163746754</c:v>
                </c:pt>
                <c:pt idx="20">
                  <c:v>40.911154397447653</c:v>
                </c:pt>
                <c:pt idx="21">
                  <c:v>27.553618577107635</c:v>
                </c:pt>
                <c:pt idx="22">
                  <c:v>27.261302256395446</c:v>
                </c:pt>
                <c:pt idx="23">
                  <c:v>25.440088178195651</c:v>
                </c:pt>
                <c:pt idx="24">
                  <c:v>29.693242405464126</c:v>
                </c:pt>
                <c:pt idx="25">
                  <c:v>27.201528462729826</c:v>
                </c:pt>
                <c:pt idx="26">
                  <c:v>23.433560811845666</c:v>
                </c:pt>
                <c:pt idx="27">
                  <c:v>22.130117106498794</c:v>
                </c:pt>
                <c:pt idx="28">
                  <c:v>22.470311849265997</c:v>
                </c:pt>
                <c:pt idx="29">
                  <c:v>21.104165192430884</c:v>
                </c:pt>
                <c:pt idx="30">
                  <c:v>19.389954102254094</c:v>
                </c:pt>
                <c:pt idx="31">
                  <c:v>18.174639683559406</c:v>
                </c:pt>
                <c:pt idx="32">
                  <c:v>18.843434076605696</c:v>
                </c:pt>
                <c:pt idx="33">
                  <c:v>13.867408316593654</c:v>
                </c:pt>
                <c:pt idx="34">
                  <c:v>15.450674968514846</c:v>
                </c:pt>
                <c:pt idx="35">
                  <c:v>23.62084899641556</c:v>
                </c:pt>
                <c:pt idx="36">
                  <c:v>22.737795239102184</c:v>
                </c:pt>
                <c:pt idx="37">
                  <c:v>19.90218233734835</c:v>
                </c:pt>
                <c:pt idx="38">
                  <c:v>22.35530514148391</c:v>
                </c:pt>
                <c:pt idx="39">
                  <c:v>24.715990606282972</c:v>
                </c:pt>
                <c:pt idx="40">
                  <c:v>30.552757158167168</c:v>
                </c:pt>
                <c:pt idx="41">
                  <c:v>33.54218469072228</c:v>
                </c:pt>
                <c:pt idx="42">
                  <c:v>33.227735857826701</c:v>
                </c:pt>
                <c:pt idx="43">
                  <c:v>42.999549284364733</c:v>
                </c:pt>
                <c:pt idx="44">
                  <c:v>32.945897424391291</c:v>
                </c:pt>
                <c:pt idx="45">
                  <c:v>42.339361702127661</c:v>
                </c:pt>
                <c:pt idx="46">
                  <c:v>51.133942922593747</c:v>
                </c:pt>
                <c:pt idx="47">
                  <c:v>51.646251376179833</c:v>
                </c:pt>
                <c:pt idx="48">
                  <c:v>49.276700819849395</c:v>
                </c:pt>
                <c:pt idx="49">
                  <c:v>43.061289146918412</c:v>
                </c:pt>
                <c:pt idx="50">
                  <c:v>30.962627356646834</c:v>
                </c:pt>
                <c:pt idx="51">
                  <c:v>29.631827590506546</c:v>
                </c:pt>
                <c:pt idx="52">
                  <c:v>34.49132636008612</c:v>
                </c:pt>
                <c:pt idx="53">
                  <c:v>39.578694350148638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3-4728-872A-908F6BE88781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Britain!$BD$44:$BD$97</c:f>
              <c:numCache>
                <c:formatCode>0.00</c:formatCode>
                <c:ptCount val="54"/>
                <c:pt idx="0">
                  <c:v>22.357952050815946</c:v>
                </c:pt>
                <c:pt idx="1">
                  <c:v>22.067056462451198</c:v>
                </c:pt>
                <c:pt idx="2">
                  <c:v>21.21242844665743</c:v>
                </c:pt>
                <c:pt idx="3">
                  <c:v>20.867265221026184</c:v>
                </c:pt>
                <c:pt idx="4">
                  <c:v>20.331302233701855</c:v>
                </c:pt>
                <c:pt idx="5">
                  <c:v>22.908956699201493</c:v>
                </c:pt>
                <c:pt idx="6">
                  <c:v>23.539297631422517</c:v>
                </c:pt>
                <c:pt idx="7">
                  <c:v>22.82404354688823</c:v>
                </c:pt>
                <c:pt idx="8">
                  <c:v>27.899485559043807</c:v>
                </c:pt>
                <c:pt idx="9">
                  <c:v>53.188298909764086</c:v>
                </c:pt>
                <c:pt idx="10">
                  <c:v>42.3383448302299</c:v>
                </c:pt>
                <c:pt idx="11">
                  <c:v>39.409275414062975</c:v>
                </c:pt>
                <c:pt idx="12">
                  <c:v>35.250231318412467</c:v>
                </c:pt>
                <c:pt idx="13">
                  <c:v>32.086788424660902</c:v>
                </c:pt>
                <c:pt idx="14">
                  <c:v>42.140890529175564</c:v>
                </c:pt>
                <c:pt idx="15">
                  <c:v>44.714644075998969</c:v>
                </c:pt>
                <c:pt idx="16">
                  <c:v>44.009483812806394</c:v>
                </c:pt>
                <c:pt idx="17">
                  <c:v>41.380021241937385</c:v>
                </c:pt>
                <c:pt idx="18">
                  <c:v>40.365325279676959</c:v>
                </c:pt>
                <c:pt idx="19">
                  <c:v>42.089474352222766</c:v>
                </c:pt>
                <c:pt idx="20">
                  <c:v>39.80476766201722</c:v>
                </c:pt>
                <c:pt idx="21">
                  <c:v>27.156117188823455</c:v>
                </c:pt>
                <c:pt idx="22">
                  <c:v>28.298322024893945</c:v>
                </c:pt>
                <c:pt idx="23">
                  <c:v>24.928026129638717</c:v>
                </c:pt>
                <c:pt idx="24">
                  <c:v>27.453687901526848</c:v>
                </c:pt>
                <c:pt idx="25">
                  <c:v>28.353926258893267</c:v>
                </c:pt>
                <c:pt idx="26">
                  <c:v>23.340392636844559</c:v>
                </c:pt>
                <c:pt idx="27">
                  <c:v>22.509656694730843</c:v>
                </c:pt>
                <c:pt idx="28">
                  <c:v>22.725497182839948</c:v>
                </c:pt>
                <c:pt idx="29">
                  <c:v>21.706530596385694</c:v>
                </c:pt>
                <c:pt idx="30">
                  <c:v>18.679294100852612</c:v>
                </c:pt>
                <c:pt idx="31">
                  <c:v>20.335200873416849</c:v>
                </c:pt>
                <c:pt idx="32">
                  <c:v>18.979904971803432</c:v>
                </c:pt>
                <c:pt idx="33">
                  <c:v>14.061563253391226</c:v>
                </c:pt>
                <c:pt idx="34">
                  <c:v>15.477838541967538</c:v>
                </c:pt>
                <c:pt idx="35">
                  <c:v>22.655670990365717</c:v>
                </c:pt>
                <c:pt idx="36">
                  <c:v>20.96861855494225</c:v>
                </c:pt>
                <c:pt idx="37">
                  <c:v>20.962650361624458</c:v>
                </c:pt>
                <c:pt idx="38">
                  <c:v>21.464898823264495</c:v>
                </c:pt>
                <c:pt idx="39">
                  <c:v>24.939489430999803</c:v>
                </c:pt>
                <c:pt idx="40">
                  <c:v>30.25798310577559</c:v>
                </c:pt>
                <c:pt idx="41">
                  <c:v>33.287323605834786</c:v>
                </c:pt>
                <c:pt idx="42">
                  <c:v>33.638969320440054</c:v>
                </c:pt>
                <c:pt idx="43">
                  <c:v>43.137950959030469</c:v>
                </c:pt>
                <c:pt idx="44">
                  <c:v>32.945897424391291</c:v>
                </c:pt>
                <c:pt idx="45">
                  <c:v>42.832160372018727</c:v>
                </c:pt>
                <c:pt idx="46">
                  <c:v>50.876139326527102</c:v>
                </c:pt>
                <c:pt idx="47">
                  <c:v>50.845895710501345</c:v>
                </c:pt>
                <c:pt idx="48">
                  <c:v>49.406495225009117</c:v>
                </c:pt>
                <c:pt idx="49">
                  <c:v>44.086541251292168</c:v>
                </c:pt>
                <c:pt idx="50">
                  <c:v>30.658228607807686</c:v>
                </c:pt>
                <c:pt idx="51">
                  <c:v>29.482867099564601</c:v>
                </c:pt>
                <c:pt idx="52">
                  <c:v>34.279910672059579</c:v>
                </c:pt>
                <c:pt idx="53">
                  <c:v>39.653783360276925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3-4728-872A-908F6BE88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29024"/>
        <c:axId val="110930560"/>
      </c:lineChart>
      <c:catAx>
        <c:axId val="11092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930560"/>
        <c:crosses val="autoZero"/>
        <c:auto val="1"/>
        <c:lblAlgn val="ctr"/>
        <c:lblOffset val="100"/>
        <c:noMultiLvlLbl val="0"/>
      </c:catAx>
      <c:valAx>
        <c:axId val="11093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2010 Pence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092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266957255343072"/>
          <c:y val="8.1038806099650765E-2"/>
          <c:w val="0.17733042744656918"/>
          <c:h val="0.174010542070670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79698733310516E-2"/>
          <c:y val="3.1631110213787658E-2"/>
          <c:w val="0.86038986648408544"/>
          <c:h val="0.8581585301837270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Britain!$AZ$44:$AZ$97</c:f>
              <c:numCache>
                <c:formatCode>0.00</c:formatCode>
                <c:ptCount val="54"/>
                <c:pt idx="0">
                  <c:v>66.524015933955255</c:v>
                </c:pt>
                <c:pt idx="1">
                  <c:v>70.960700934418171</c:v>
                </c:pt>
                <c:pt idx="2">
                  <c:v>68.750861140351674</c:v>
                </c:pt>
                <c:pt idx="3">
                  <c:v>75.94060263344889</c:v>
                </c:pt>
                <c:pt idx="4">
                  <c:v>74.253273873503531</c:v>
                </c:pt>
                <c:pt idx="5">
                  <c:v>73.893261917283453</c:v>
                </c:pt>
                <c:pt idx="6">
                  <c:v>72.779125073279943</c:v>
                </c:pt>
                <c:pt idx="7">
                  <c:v>62.397978509892482</c:v>
                </c:pt>
                <c:pt idx="8">
                  <c:v>63.147539502773064</c:v>
                </c:pt>
                <c:pt idx="9">
                  <c:v>108.70945137255814</c:v>
                </c:pt>
                <c:pt idx="10">
                  <c:v>82.787480949322358</c:v>
                </c:pt>
                <c:pt idx="11">
                  <c:v>77.40449065105922</c:v>
                </c:pt>
                <c:pt idx="12">
                  <c:v>71.799529329993732</c:v>
                </c:pt>
                <c:pt idx="13">
                  <c:v>63.82102843429832</c:v>
                </c:pt>
                <c:pt idx="14">
                  <c:v>74.509303230695451</c:v>
                </c:pt>
                <c:pt idx="15">
                  <c:v>80.927680796441095</c:v>
                </c:pt>
                <c:pt idx="16">
                  <c:v>86.073328783580422</c:v>
                </c:pt>
                <c:pt idx="17">
                  <c:v>85.920462219809451</c:v>
                </c:pt>
                <c:pt idx="18">
                  <c:v>88.128896833553156</c:v>
                </c:pt>
                <c:pt idx="19">
                  <c:v>86.98463714971453</c:v>
                </c:pt>
                <c:pt idx="20">
                  <c:v>87.045009356271592</c:v>
                </c:pt>
                <c:pt idx="21">
                  <c:v>73.012638196955322</c:v>
                </c:pt>
                <c:pt idx="22">
                  <c:v>71.030196267558722</c:v>
                </c:pt>
                <c:pt idx="23">
                  <c:v>67.412431125759184</c:v>
                </c:pt>
                <c:pt idx="24">
                  <c:v>69.222243144713346</c:v>
                </c:pt>
                <c:pt idx="25">
                  <c:v>67.202026556482238</c:v>
                </c:pt>
                <c:pt idx="26">
                  <c:v>66.740445813242943</c:v>
                </c:pt>
                <c:pt idx="27">
                  <c:v>65.285135599253437</c:v>
                </c:pt>
                <c:pt idx="28">
                  <c:v>68.654762883694758</c:v>
                </c:pt>
                <c:pt idx="29">
                  <c:v>70.244572912302175</c:v>
                </c:pt>
                <c:pt idx="30">
                  <c:v>71.747386793064209</c:v>
                </c:pt>
                <c:pt idx="31">
                  <c:v>73.713386330781532</c:v>
                </c:pt>
                <c:pt idx="32">
                  <c:v>79.133885090898161</c:v>
                </c:pt>
                <c:pt idx="33">
                  <c:v>81.253767796361061</c:v>
                </c:pt>
                <c:pt idx="34">
                  <c:v>86.920137408537798</c:v>
                </c:pt>
                <c:pt idx="35">
                  <c:v>98.297178896541752</c:v>
                </c:pt>
                <c:pt idx="36">
                  <c:v>92.114702432141755</c:v>
                </c:pt>
                <c:pt idx="37">
                  <c:v>87.971527290734912</c:v>
                </c:pt>
                <c:pt idx="38">
                  <c:v>89.985519456142143</c:v>
                </c:pt>
                <c:pt idx="39">
                  <c:v>93.698536650229329</c:v>
                </c:pt>
                <c:pt idx="40">
                  <c:v>99.258096263904491</c:v>
                </c:pt>
                <c:pt idx="41">
                  <c:v>102.14089863915976</c:v>
                </c:pt>
                <c:pt idx="42">
                  <c:v>103.21337099030734</c:v>
                </c:pt>
                <c:pt idx="43">
                  <c:v>113.0152627572613</c:v>
                </c:pt>
                <c:pt idx="44">
                  <c:v>102.56271400199999</c:v>
                </c:pt>
                <c:pt idx="45">
                  <c:v>116.9</c:v>
                </c:pt>
                <c:pt idx="46">
                  <c:v>128.14592471471488</c:v>
                </c:pt>
                <c:pt idx="47">
                  <c:v>126.70452968060894</c:v>
                </c:pt>
                <c:pt idx="48">
                  <c:v>122.24872249006957</c:v>
                </c:pt>
                <c:pt idx="49">
                  <c:v>113.88186702928608</c:v>
                </c:pt>
                <c:pt idx="50">
                  <c:v>99.332371485643634</c:v>
                </c:pt>
                <c:pt idx="51">
                  <c:v>97.33901793636403</c:v>
                </c:pt>
                <c:pt idx="52">
                  <c:v>101.62830538771586</c:v>
                </c:pt>
                <c:pt idx="53">
                  <c:v>106.33854160702265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3-4179-BD76-66136ED36C6F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Britain!$BA$44:$BA$97</c:f>
              <c:numCache>
                <c:formatCode>0.00</c:formatCode>
                <c:ptCount val="54"/>
                <c:pt idx="0">
                  <c:v>66.729470678764102</c:v>
                </c:pt>
                <c:pt idx="1">
                  <c:v>70.746097303462051</c:v>
                </c:pt>
                <c:pt idx="2">
                  <c:v>68.375519188938668</c:v>
                </c:pt>
                <c:pt idx="3">
                  <c:v>76.000142732910078</c:v>
                </c:pt>
                <c:pt idx="4">
                  <c:v>74.536192161359423</c:v>
                </c:pt>
                <c:pt idx="5">
                  <c:v>74.043093945961658</c:v>
                </c:pt>
                <c:pt idx="6">
                  <c:v>72.446869680666651</c:v>
                </c:pt>
                <c:pt idx="7">
                  <c:v>62.758749793219422</c:v>
                </c:pt>
                <c:pt idx="8">
                  <c:v>63.262107680596728</c:v>
                </c:pt>
                <c:pt idx="9">
                  <c:v>108.63011910976874</c:v>
                </c:pt>
                <c:pt idx="10">
                  <c:v>82.904210495397848</c:v>
                </c:pt>
                <c:pt idx="11">
                  <c:v>77.337475833081982</c:v>
                </c:pt>
                <c:pt idx="12">
                  <c:v>71.86799127670929</c:v>
                </c:pt>
                <c:pt idx="13">
                  <c:v>63.997302641810066</c:v>
                </c:pt>
                <c:pt idx="14">
                  <c:v>74.924983950681565</c:v>
                </c:pt>
                <c:pt idx="15">
                  <c:v>80.565606668822369</c:v>
                </c:pt>
                <c:pt idx="16">
                  <c:v>85.49682828649216</c:v>
                </c:pt>
                <c:pt idx="17">
                  <c:v>86.230502520677931</c:v>
                </c:pt>
                <c:pt idx="18">
                  <c:v>87.602413982461456</c:v>
                </c:pt>
                <c:pt idx="19">
                  <c:v>88.713239864469756</c:v>
                </c:pt>
                <c:pt idx="20">
                  <c:v>85.938622620841159</c:v>
                </c:pt>
                <c:pt idx="21">
                  <c:v>72.615136808671139</c:v>
                </c:pt>
                <c:pt idx="22">
                  <c:v>72.067216036057218</c:v>
                </c:pt>
                <c:pt idx="23">
                  <c:v>66.900369077202242</c:v>
                </c:pt>
                <c:pt idx="24">
                  <c:v>66.982688640776075</c:v>
                </c:pt>
                <c:pt idx="25">
                  <c:v>68.35442435264568</c:v>
                </c:pt>
                <c:pt idx="26">
                  <c:v>66.647277638241832</c:v>
                </c:pt>
                <c:pt idx="27">
                  <c:v>65.664675187485486</c:v>
                </c:pt>
                <c:pt idx="28">
                  <c:v>68.909948217268706</c:v>
                </c:pt>
                <c:pt idx="29">
                  <c:v>70.846938316256981</c:v>
                </c:pt>
                <c:pt idx="30">
                  <c:v>71.03672679166273</c:v>
                </c:pt>
                <c:pt idx="31">
                  <c:v>75.873947520638978</c:v>
                </c:pt>
                <c:pt idx="32">
                  <c:v>79.270355986095893</c:v>
                </c:pt>
                <c:pt idx="33">
                  <c:v>81.447922733158634</c:v>
                </c:pt>
                <c:pt idx="34">
                  <c:v>86.947300981990495</c:v>
                </c:pt>
                <c:pt idx="35">
                  <c:v>97.332000890491912</c:v>
                </c:pt>
                <c:pt idx="36">
                  <c:v>90.345525747981824</c:v>
                </c:pt>
                <c:pt idx="37">
                  <c:v>89.031995315011017</c:v>
                </c:pt>
                <c:pt idx="38">
                  <c:v>89.095113137922723</c:v>
                </c:pt>
                <c:pt idx="39">
                  <c:v>93.922035474946156</c:v>
                </c:pt>
                <c:pt idx="40">
                  <c:v>98.963322211512917</c:v>
                </c:pt>
                <c:pt idx="41">
                  <c:v>101.88603755427226</c:v>
                </c:pt>
                <c:pt idx="42">
                  <c:v>103.62460445292069</c:v>
                </c:pt>
                <c:pt idx="43">
                  <c:v>113.15366443192704</c:v>
                </c:pt>
                <c:pt idx="44">
                  <c:v>102.56271400199999</c:v>
                </c:pt>
                <c:pt idx="45">
                  <c:v>117.39279866989108</c:v>
                </c:pt>
                <c:pt idx="46">
                  <c:v>127.88812111864823</c:v>
                </c:pt>
                <c:pt idx="47">
                  <c:v>125.90417401493045</c:v>
                </c:pt>
                <c:pt idx="48">
                  <c:v>122.3785168952293</c:v>
                </c:pt>
                <c:pt idx="49">
                  <c:v>114.90711913365985</c:v>
                </c:pt>
                <c:pt idx="50">
                  <c:v>99.027972736804486</c:v>
                </c:pt>
                <c:pt idx="51">
                  <c:v>97.190057445422084</c:v>
                </c:pt>
                <c:pt idx="52">
                  <c:v>101.41688969968931</c:v>
                </c:pt>
                <c:pt idx="53">
                  <c:v>106.41363061715094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3-4179-BD76-66136ED3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53216"/>
        <c:axId val="110954752"/>
      </c:lineChart>
      <c:catAx>
        <c:axId val="110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954752"/>
        <c:crosses val="autoZero"/>
        <c:auto val="1"/>
        <c:lblAlgn val="ctr"/>
        <c:lblOffset val="100"/>
        <c:noMultiLvlLbl val="0"/>
      </c:catAx>
      <c:valAx>
        <c:axId val="11095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Pence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0953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3652173913044"/>
          <c:y val="0.53964981941359891"/>
          <c:w val="0.14746086956521737"/>
          <c:h val="0.197053637526078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746338159343"/>
          <c:y val="5.0925925925925923E-2"/>
          <c:w val="0.85586974007281347"/>
          <c:h val="0.80808690580344122"/>
        </c:manualLayout>
      </c:layout>
      <c:lineChart>
        <c:grouping val="standard"/>
        <c:varyColors val="0"/>
        <c:ser>
          <c:idx val="0"/>
          <c:order val="0"/>
          <c:tx>
            <c:strRef>
              <c:f>Britain!$Y$121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Britain!$A$122:$A$142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Britain!$Y$122:$Y$142</c:f>
              <c:numCache>
                <c:formatCode>0.00</c:formatCode>
                <c:ptCount val="21"/>
                <c:pt idx="0">
                  <c:v>138.14851176872355</c:v>
                </c:pt>
                <c:pt idx="1">
                  <c:v>151.43856961988666</c:v>
                </c:pt>
                <c:pt idx="2">
                  <c:v>149.73517715767483</c:v>
                </c:pt>
                <c:pt idx="3">
                  <c:v>144.46945318760302</c:v>
                </c:pt>
                <c:pt idx="4">
                  <c:v>134.58178312694216</c:v>
                </c:pt>
                <c:pt idx="5">
                  <c:v>117.38767571599367</c:v>
                </c:pt>
                <c:pt idx="6">
                  <c:v>115.03199713377056</c:v>
                </c:pt>
                <c:pt idx="7">
                  <c:v>120.10093364320183</c:v>
                </c:pt>
                <c:pt idx="8">
                  <c:v>125.66733333333333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B-4BFC-97A5-C7A40F013FE8}"/>
            </c:ext>
          </c:extLst>
        </c:ser>
        <c:ser>
          <c:idx val="1"/>
          <c:order val="1"/>
          <c:tx>
            <c:strRef>
              <c:f>Britain!$Z$121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Britain!$A$122:$A$142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Britain!$Z$122:$Z$142</c:f>
              <c:numCache>
                <c:formatCode>0.00</c:formatCode>
                <c:ptCount val="21"/>
                <c:pt idx="0">
                  <c:v>138.89852981394375</c:v>
                </c:pt>
                <c:pt idx="1">
                  <c:v>151.07297321483725</c:v>
                </c:pt>
                <c:pt idx="2">
                  <c:v>148.60017687607535</c:v>
                </c:pt>
                <c:pt idx="3">
                  <c:v>144.65351721403988</c:v>
                </c:pt>
                <c:pt idx="4">
                  <c:v>136.03571351948605</c:v>
                </c:pt>
                <c:pt idx="5">
                  <c:v>116.9560017984259</c:v>
                </c:pt>
                <c:pt idx="6">
                  <c:v>114.8207533000395</c:v>
                </c:pt>
                <c:pt idx="7">
                  <c:v>119.80112085279538</c:v>
                </c:pt>
                <c:pt idx="8">
                  <c:v>125.77381855146241</c:v>
                </c:pt>
                <c:pt idx="9">
                  <c:v>145.2442149940571</c:v>
                </c:pt>
                <c:pt idx="10">
                  <c:v>154.30518115446296</c:v>
                </c:pt>
                <c:pt idx="11">
                  <c:v>163.89914532430441</c:v>
                </c:pt>
                <c:pt idx="12">
                  <c:v>168.16312939978957</c:v>
                </c:pt>
                <c:pt idx="13">
                  <c:v>171.36111745640338</c:v>
                </c:pt>
                <c:pt idx="14">
                  <c:v>174.02610750358158</c:v>
                </c:pt>
                <c:pt idx="15">
                  <c:v>176.69109755075976</c:v>
                </c:pt>
                <c:pt idx="16">
                  <c:v>179.35608759793797</c:v>
                </c:pt>
                <c:pt idx="17">
                  <c:v>182.02107764511612</c:v>
                </c:pt>
                <c:pt idx="18">
                  <c:v>184.1530696828587</c:v>
                </c:pt>
                <c:pt idx="19">
                  <c:v>186.81805973003691</c:v>
                </c:pt>
                <c:pt idx="20">
                  <c:v>188.41705375834383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B-4BFC-97A5-C7A40F013FE8}"/>
            </c:ext>
          </c:extLst>
        </c:ser>
        <c:ser>
          <c:idx val="3"/>
          <c:order val="2"/>
          <c:tx>
            <c:strRef>
              <c:f>Britain!$AB$121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Britain!$A$122:$A$142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Britain!$AB$122:$AB$142</c:f>
              <c:numCache>
                <c:formatCode>0.00</c:formatCode>
                <c:ptCount val="21"/>
                <c:pt idx="0">
                  <c:v>138.89852981394375</c:v>
                </c:pt>
                <c:pt idx="1">
                  <c:v>151.07297321483725</c:v>
                </c:pt>
                <c:pt idx="2">
                  <c:v>148.60017687607535</c:v>
                </c:pt>
                <c:pt idx="3">
                  <c:v>144.65351721403988</c:v>
                </c:pt>
                <c:pt idx="4">
                  <c:v>136.03571351948605</c:v>
                </c:pt>
                <c:pt idx="5">
                  <c:v>116.9560017984259</c:v>
                </c:pt>
                <c:pt idx="6">
                  <c:v>114.8207533000395</c:v>
                </c:pt>
                <c:pt idx="7">
                  <c:v>119.80112085279538</c:v>
                </c:pt>
                <c:pt idx="8">
                  <c:v>125.77381855146241</c:v>
                </c:pt>
                <c:pt idx="9">
                  <c:v>105.26936428638417</c:v>
                </c:pt>
                <c:pt idx="10">
                  <c:v>105.80236229581982</c:v>
                </c:pt>
                <c:pt idx="11">
                  <c:v>106.86835831469112</c:v>
                </c:pt>
                <c:pt idx="12">
                  <c:v>107.40135632412675</c:v>
                </c:pt>
                <c:pt idx="13">
                  <c:v>107.40135632412675</c:v>
                </c:pt>
                <c:pt idx="14">
                  <c:v>107.40135632412675</c:v>
                </c:pt>
                <c:pt idx="15">
                  <c:v>107.93435433356237</c:v>
                </c:pt>
                <c:pt idx="16">
                  <c:v>108.46735234299803</c:v>
                </c:pt>
                <c:pt idx="17">
                  <c:v>109.00035035243366</c:v>
                </c:pt>
                <c:pt idx="18">
                  <c:v>109.00035035243366</c:v>
                </c:pt>
                <c:pt idx="19">
                  <c:v>109.00035035243366</c:v>
                </c:pt>
                <c:pt idx="20">
                  <c:v>109.53334836186929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DB-4BFC-97A5-C7A40F013FE8}"/>
            </c:ext>
          </c:extLst>
        </c:ser>
        <c:ser>
          <c:idx val="2"/>
          <c:order val="3"/>
          <c:tx>
            <c:strRef>
              <c:f>Britain!$AA$121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Britain!$A$122:$A$142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Britain!$AA$122:$AA$142</c:f>
              <c:numCache>
                <c:formatCode>0.00</c:formatCode>
                <c:ptCount val="21"/>
                <c:pt idx="0">
                  <c:v>138.89852981394375</c:v>
                </c:pt>
                <c:pt idx="1">
                  <c:v>151.07297321483725</c:v>
                </c:pt>
                <c:pt idx="2">
                  <c:v>148.60017687607535</c:v>
                </c:pt>
                <c:pt idx="3">
                  <c:v>144.65351721403988</c:v>
                </c:pt>
                <c:pt idx="4">
                  <c:v>136.03571351948605</c:v>
                </c:pt>
                <c:pt idx="5">
                  <c:v>116.9560017984259</c:v>
                </c:pt>
                <c:pt idx="6">
                  <c:v>114.8207533000395</c:v>
                </c:pt>
                <c:pt idx="7">
                  <c:v>119.80112085279538</c:v>
                </c:pt>
                <c:pt idx="8">
                  <c:v>125.77381855146241</c:v>
                </c:pt>
                <c:pt idx="9">
                  <c:v>123.87907863753082</c:v>
                </c:pt>
                <c:pt idx="10">
                  <c:v>124.02227315826353</c:v>
                </c:pt>
                <c:pt idx="11">
                  <c:v>128.24111192695688</c:v>
                </c:pt>
                <c:pt idx="12">
                  <c:v>131.38232747868443</c:v>
                </c:pt>
                <c:pt idx="13">
                  <c:v>132.82780892819713</c:v>
                </c:pt>
                <c:pt idx="14">
                  <c:v>133.20997614206232</c:v>
                </c:pt>
                <c:pt idx="15">
                  <c:v>135.20963660085906</c:v>
                </c:pt>
                <c:pt idx="16">
                  <c:v>138.72427284882156</c:v>
                </c:pt>
                <c:pt idx="17">
                  <c:v>140.53562744034789</c:v>
                </c:pt>
                <c:pt idx="18">
                  <c:v>141.68226008990504</c:v>
                </c:pt>
                <c:pt idx="19">
                  <c:v>143.2364441473735</c:v>
                </c:pt>
                <c:pt idx="20">
                  <c:v>144.42481842636531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B-4BFC-97A5-C7A40F013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749888"/>
        <c:axId val="1161748576"/>
      </c:lineChart>
      <c:catAx>
        <c:axId val="11617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748576"/>
        <c:crosses val="autoZero"/>
        <c:auto val="1"/>
        <c:lblAlgn val="ctr"/>
        <c:lblOffset val="100"/>
        <c:noMultiLvlLbl val="0"/>
      </c:catAx>
      <c:valAx>
        <c:axId val="116174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pence per litre</a:t>
                </a:r>
              </a:p>
            </c:rich>
          </c:tx>
          <c:layout>
            <c:manualLayout>
              <c:xMode val="edge"/>
              <c:yMode val="edge"/>
              <c:x val="1.3859961053255443E-3"/>
              <c:y val="0.27817881894274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74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60536787740246"/>
          <c:y val="0.45887421608440176"/>
          <c:w val="0.26194352722038777"/>
          <c:h val="0.31840027985216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'World Oil Price analysis'!$D$4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'World Oil Price analysis'!$D$10:$D$80</c:f>
              <c:numCache>
                <c:formatCode>0.00</c:formatCode>
                <c:ptCount val="71"/>
                <c:pt idx="48">
                  <c:v>43.184163951661525</c:v>
                </c:pt>
                <c:pt idx="49">
                  <c:v>64.722686795496074</c:v>
                </c:pt>
                <c:pt idx="50">
                  <c:v>75.201597990957339</c:v>
                </c:pt>
                <c:pt idx="51">
                  <c:v>86.296915727328084</c:v>
                </c:pt>
                <c:pt idx="52">
                  <c:v>91.228168054603998</c:v>
                </c:pt>
                <c:pt idx="53">
                  <c:v>94.926607300060908</c:v>
                </c:pt>
                <c:pt idx="54">
                  <c:v>98.008640004608338</c:v>
                </c:pt>
                <c:pt idx="55">
                  <c:v>101.09067270915577</c:v>
                </c:pt>
                <c:pt idx="56">
                  <c:v>104.17270541370321</c:v>
                </c:pt>
                <c:pt idx="57">
                  <c:v>107.25473811825063</c:v>
                </c:pt>
                <c:pt idx="58">
                  <c:v>109.72036428188858</c:v>
                </c:pt>
                <c:pt idx="59">
                  <c:v>112.80239698643601</c:v>
                </c:pt>
                <c:pt idx="60">
                  <c:v>114.65161660916445</c:v>
                </c:pt>
                <c:pt idx="61">
                  <c:v>115.88442969098345</c:v>
                </c:pt>
                <c:pt idx="62">
                  <c:v>117.73364931371189</c:v>
                </c:pt>
                <c:pt idx="63">
                  <c:v>118.96646239553087</c:v>
                </c:pt>
                <c:pt idx="64">
                  <c:v>120.81568201825934</c:v>
                </c:pt>
                <c:pt idx="65">
                  <c:v>122.66490164098778</c:v>
                </c:pt>
                <c:pt idx="66">
                  <c:v>123.89771472280675</c:v>
                </c:pt>
                <c:pt idx="67">
                  <c:v>125.13052780462574</c:v>
                </c:pt>
                <c:pt idx="68">
                  <c:v>126.9797474273542</c:v>
                </c:pt>
                <c:pt idx="69">
                  <c:v>128.82896705008264</c:v>
                </c:pt>
                <c:pt idx="70">
                  <c:v>129.44537359099215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2-4856-8564-4993782B87CC}"/>
            </c:ext>
          </c:extLst>
        </c:ser>
        <c:ser>
          <c:idx val="3"/>
          <c:order val="1"/>
          <c:tx>
            <c:strRef>
              <c:f>'World Oil Price analysis'!$E$4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'World Oil Price analysis'!$E$10:$E$80</c:f>
              <c:numCache>
                <c:formatCode>0.00</c:formatCode>
                <c:ptCount val="71"/>
                <c:pt idx="48">
                  <c:v>43.184163951661525</c:v>
                </c:pt>
                <c:pt idx="49">
                  <c:v>18.492196227284591</c:v>
                </c:pt>
                <c:pt idx="50">
                  <c:v>19.108602768194078</c:v>
                </c:pt>
                <c:pt idx="51">
                  <c:v>20.341415850013053</c:v>
                </c:pt>
                <c:pt idx="52">
                  <c:v>20.957822390922534</c:v>
                </c:pt>
                <c:pt idx="53">
                  <c:v>20.957822390922534</c:v>
                </c:pt>
                <c:pt idx="54">
                  <c:v>20.957822390922534</c:v>
                </c:pt>
                <c:pt idx="55">
                  <c:v>21.574228931832021</c:v>
                </c:pt>
                <c:pt idx="56">
                  <c:v>22.190635472741508</c:v>
                </c:pt>
                <c:pt idx="57">
                  <c:v>22.807042013650999</c:v>
                </c:pt>
                <c:pt idx="58">
                  <c:v>22.807042013650999</c:v>
                </c:pt>
                <c:pt idx="59">
                  <c:v>22.807042013650999</c:v>
                </c:pt>
                <c:pt idx="60">
                  <c:v>23.423448554560487</c:v>
                </c:pt>
                <c:pt idx="61">
                  <c:v>23.731651825015227</c:v>
                </c:pt>
                <c:pt idx="62">
                  <c:v>24.039855095469971</c:v>
                </c:pt>
                <c:pt idx="63">
                  <c:v>24.348058365924707</c:v>
                </c:pt>
                <c:pt idx="64">
                  <c:v>24.656261636379458</c:v>
                </c:pt>
                <c:pt idx="65">
                  <c:v>24.964464906834202</c:v>
                </c:pt>
                <c:pt idx="66">
                  <c:v>25.272668177288942</c:v>
                </c:pt>
                <c:pt idx="67">
                  <c:v>25.88907471819843</c:v>
                </c:pt>
                <c:pt idx="68">
                  <c:v>26.505481259107913</c:v>
                </c:pt>
                <c:pt idx="69">
                  <c:v>27.121887800017408</c:v>
                </c:pt>
                <c:pt idx="70">
                  <c:v>27.738294340926885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C2-4856-8564-4993782B87CC}"/>
            </c:ext>
          </c:extLst>
        </c:ser>
        <c:ser>
          <c:idx val="1"/>
          <c:order val="2"/>
          <c:tx>
            <c:strRef>
              <c:f>'World Oil Price analysis'!$C$4</c:f>
              <c:strCache>
                <c:ptCount val="1"/>
                <c:pt idx="0">
                  <c:v>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analysis'!$A$10:$A$80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'World Oil Price analysis'!$C$10:$C$80</c:f>
              <c:numCache>
                <c:formatCode>0.00</c:formatCode>
                <c:ptCount val="71"/>
                <c:pt idx="0">
                  <c:v>12.260693879740561</c:v>
                </c:pt>
                <c:pt idx="1">
                  <c:v>18.029374434570254</c:v>
                </c:pt>
                <c:pt idx="2">
                  <c:v>24.55015062517721</c:v>
                </c:pt>
                <c:pt idx="3">
                  <c:v>27.71638255092995</c:v>
                </c:pt>
                <c:pt idx="4">
                  <c:v>38.477198860350967</c:v>
                </c:pt>
                <c:pt idx="5">
                  <c:v>45.84862326475205</c:v>
                </c:pt>
                <c:pt idx="6">
                  <c:v>41.197149657628529</c:v>
                </c:pt>
                <c:pt idx="7">
                  <c:v>38.255588615369284</c:v>
                </c:pt>
                <c:pt idx="8">
                  <c:v>42.667796893112936</c:v>
                </c:pt>
                <c:pt idx="9">
                  <c:v>53.655498669404771</c:v>
                </c:pt>
                <c:pt idx="10">
                  <c:v>63.422004960192268</c:v>
                </c:pt>
                <c:pt idx="11">
                  <c:v>68.368793706212855</c:v>
                </c:pt>
                <c:pt idx="12">
                  <c:v>70.535911553390378</c:v>
                </c:pt>
                <c:pt idx="13">
                  <c:v>61.872209559110324</c:v>
                </c:pt>
                <c:pt idx="14">
                  <c:v>57.785600080135978</c:v>
                </c:pt>
                <c:pt idx="15">
                  <c:v>53.806678651742764</c:v>
                </c:pt>
                <c:pt idx="16">
                  <c:v>28.145633171317254</c:v>
                </c:pt>
                <c:pt idx="17">
                  <c:v>24.283646525530646</c:v>
                </c:pt>
                <c:pt idx="18">
                  <c:v>21.231498862958098</c:v>
                </c:pt>
                <c:pt idx="19">
                  <c:v>19.186844867913152</c:v>
                </c:pt>
                <c:pt idx="20">
                  <c:v>18.72253625150238</c:v>
                </c:pt>
                <c:pt idx="21">
                  <c:v>20.555601692184446</c:v>
                </c:pt>
                <c:pt idx="22">
                  <c:v>23.160886031272629</c:v>
                </c:pt>
                <c:pt idx="23">
                  <c:v>20.403702155137939</c:v>
                </c:pt>
                <c:pt idx="24">
                  <c:v>18.286763078403187</c:v>
                </c:pt>
                <c:pt idx="25">
                  <c:v>18.929233178439969</c:v>
                </c:pt>
                <c:pt idx="26">
                  <c:v>21.847307662162404</c:v>
                </c:pt>
                <c:pt idx="27">
                  <c:v>19.993054031070066</c:v>
                </c:pt>
                <c:pt idx="28">
                  <c:v>19.505559761203244</c:v>
                </c:pt>
                <c:pt idx="29">
                  <c:v>22.782242978086114</c:v>
                </c:pt>
                <c:pt idx="30">
                  <c:v>27.531962904405063</c:v>
                </c:pt>
                <c:pt idx="31">
                  <c:v>26.138396256185313</c:v>
                </c:pt>
                <c:pt idx="32">
                  <c:v>25.07708245442711</c:v>
                </c:pt>
                <c:pt idx="33">
                  <c:v>26.197500091749191</c:v>
                </c:pt>
                <c:pt idx="34">
                  <c:v>30.316776569465926</c:v>
                </c:pt>
                <c:pt idx="35">
                  <c:v>38.380986207414814</c:v>
                </c:pt>
                <c:pt idx="36">
                  <c:v>43.926446662255721</c:v>
                </c:pt>
                <c:pt idx="37">
                  <c:v>48.303927165660909</c:v>
                </c:pt>
                <c:pt idx="38">
                  <c:v>59.790035848707703</c:v>
                </c:pt>
                <c:pt idx="39">
                  <c:v>39.608091059044462</c:v>
                </c:pt>
                <c:pt idx="40">
                  <c:v>51.15469972800966</c:v>
                </c:pt>
                <c:pt idx="41">
                  <c:v>67.506112808216926</c:v>
                </c:pt>
                <c:pt idx="42">
                  <c:v>66.91123703715563</c:v>
                </c:pt>
                <c:pt idx="43">
                  <c:v>63.964251627604632</c:v>
                </c:pt>
                <c:pt idx="44">
                  <c:v>58.513148015549085</c:v>
                </c:pt>
                <c:pt idx="45">
                  <c:v>32.117836403605786</c:v>
                </c:pt>
                <c:pt idx="46">
                  <c:v>25.862528088760239</c:v>
                </c:pt>
                <c:pt idx="47">
                  <c:v>34.074315793034117</c:v>
                </c:pt>
                <c:pt idx="48">
                  <c:v>43.184163951661525</c:v>
                </c:pt>
                <c:pt idx="49">
                  <c:v>40.014133359188854</c:v>
                </c:pt>
                <c:pt idx="50">
                  <c:v>40.179736302613506</c:v>
                </c:pt>
                <c:pt idx="51">
                  <c:v>45.058778561736894</c:v>
                </c:pt>
                <c:pt idx="52">
                  <c:v>48.691561007850829</c:v>
                </c:pt>
                <c:pt idx="53">
                  <c:v>50.363244962517705</c:v>
                </c:pt>
                <c:pt idx="54">
                  <c:v>50.805217289200705</c:v>
                </c:pt>
                <c:pt idx="55">
                  <c:v>53.11780338629606</c:v>
                </c:pt>
                <c:pt idx="56">
                  <c:v>57.182442904285224</c:v>
                </c:pt>
                <c:pt idx="57">
                  <c:v>59.277255264476814</c:v>
                </c:pt>
                <c:pt idx="58">
                  <c:v>60.60332375384278</c:v>
                </c:pt>
                <c:pt idx="59">
                  <c:v>62.400721120889578</c:v>
                </c:pt>
                <c:pt idx="60">
                  <c:v>63.77506336166973</c:v>
                </c:pt>
                <c:pt idx="61">
                  <c:v>64.915973753698594</c:v>
                </c:pt>
                <c:pt idx="62">
                  <c:v>65.37831665495689</c:v>
                </c:pt>
                <c:pt idx="63">
                  <c:v>65.334605909850282</c:v>
                </c:pt>
                <c:pt idx="64">
                  <c:v>64.395148368539409</c:v>
                </c:pt>
                <c:pt idx="65">
                  <c:v>64.324617623652799</c:v>
                </c:pt>
                <c:pt idx="66">
                  <c:v>65.178612314742935</c:v>
                </c:pt>
                <c:pt idx="67">
                  <c:v>65.537112991897544</c:v>
                </c:pt>
                <c:pt idx="68">
                  <c:v>65.707518630536057</c:v>
                </c:pt>
                <c:pt idx="69">
                  <c:v>66.234137388002324</c:v>
                </c:pt>
                <c:pt idx="70">
                  <c:v>66.691287914947566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2-4856-8564-4993782B87CC}"/>
            </c:ext>
          </c:extLst>
        </c:ser>
        <c:ser>
          <c:idx val="0"/>
          <c:order val="3"/>
          <c:tx>
            <c:strRef>
              <c:f>'World Oil Price analysis'!$B$4</c:f>
              <c:strCache>
                <c:ptCount val="1"/>
                <c:pt idx="0">
                  <c:v> real oil price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analysis'!$A$10:$A$80</c:f>
              <c:numCache>
                <c:formatCode>General</c:formatCode>
                <c:ptCount val="7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</c:numCache>
            </c:numRef>
          </c:cat>
          <c:val>
            <c:numRef>
              <c:f>'World Oil Price analysis'!$B$10:$B$80</c:f>
              <c:numCache>
                <c:formatCode>0.00</c:formatCode>
                <c:ptCount val="71"/>
                <c:pt idx="0">
                  <c:v>19.491740993610982</c:v>
                </c:pt>
                <c:pt idx="1">
                  <c:v>18.793578391027218</c:v>
                </c:pt>
                <c:pt idx="2">
                  <c:v>17.439690979476033</c:v>
                </c:pt>
                <c:pt idx="3">
                  <c:v>15.893205250610167</c:v>
                </c:pt>
                <c:pt idx="4">
                  <c:v>45.154443786859268</c:v>
                </c:pt>
                <c:pt idx="5">
                  <c:v>42.354994859681113</c:v>
                </c:pt>
                <c:pt idx="6">
                  <c:v>44.212643376667735</c:v>
                </c:pt>
                <c:pt idx="7">
                  <c:v>44.193923022410409</c:v>
                </c:pt>
                <c:pt idx="8">
                  <c:v>38.102909568822163</c:v>
                </c:pt>
                <c:pt idx="9">
                  <c:v>49.758314706931465</c:v>
                </c:pt>
                <c:pt idx="10">
                  <c:v>68.85799256247951</c:v>
                </c:pt>
                <c:pt idx="11">
                  <c:v>74.251447206907059</c:v>
                </c:pt>
                <c:pt idx="12">
                  <c:v>68.060300646238474</c:v>
                </c:pt>
                <c:pt idx="13">
                  <c:v>59.41719782913038</c:v>
                </c:pt>
                <c:pt idx="14">
                  <c:v>58.49701537504626</c:v>
                </c:pt>
                <c:pt idx="15">
                  <c:v>52.786815702870925</c:v>
                </c:pt>
                <c:pt idx="16">
                  <c:v>25.378370676486295</c:v>
                </c:pt>
                <c:pt idx="17">
                  <c:v>28.326737977139747</c:v>
                </c:pt>
                <c:pt idx="18">
                  <c:v>21.925556419614566</c:v>
                </c:pt>
                <c:pt idx="19">
                  <c:v>26.913724633883639</c:v>
                </c:pt>
                <c:pt idx="20">
                  <c:v>30.126983820590109</c:v>
                </c:pt>
                <c:pt idx="21">
                  <c:v>25.217583773540373</c:v>
                </c:pt>
                <c:pt idx="22">
                  <c:v>22.718200420677974</c:v>
                </c:pt>
                <c:pt idx="23">
                  <c:v>19.927916307818762</c:v>
                </c:pt>
                <c:pt idx="24">
                  <c:v>17.610224664640008</c:v>
                </c:pt>
                <c:pt idx="25">
                  <c:v>17.329574131880065</c:v>
                </c:pt>
                <c:pt idx="26">
                  <c:v>21.194578827543335</c:v>
                </c:pt>
                <c:pt idx="27">
                  <c:v>20.392921748364621</c:v>
                </c:pt>
                <c:pt idx="28">
                  <c:v>14.205952566041114</c:v>
                </c:pt>
                <c:pt idx="29">
                  <c:v>16.764550201840873</c:v>
                </c:pt>
                <c:pt idx="30">
                  <c:v>26.54152388194677</c:v>
                </c:pt>
                <c:pt idx="31">
                  <c:v>22.406884041211946</c:v>
                </c:pt>
                <c:pt idx="32">
                  <c:v>22.736945637603462</c:v>
                </c:pt>
                <c:pt idx="33">
                  <c:v>23.721167813751634</c:v>
                </c:pt>
                <c:pt idx="34">
                  <c:v>28.100482104718832</c:v>
                </c:pt>
                <c:pt idx="35">
                  <c:v>38.395251293511997</c:v>
                </c:pt>
                <c:pt idx="36">
                  <c:v>44.865261126876618</c:v>
                </c:pt>
                <c:pt idx="37">
                  <c:v>47.36583359030093</c:v>
                </c:pt>
                <c:pt idx="38">
                  <c:v>60.41110623004873</c:v>
                </c:pt>
                <c:pt idx="39">
                  <c:v>40.250770631115643</c:v>
                </c:pt>
                <c:pt idx="40">
                  <c:v>50.822862087170627</c:v>
                </c:pt>
                <c:pt idx="41">
                  <c:v>65.864539914281522</c:v>
                </c:pt>
                <c:pt idx="42">
                  <c:v>67.886985516243257</c:v>
                </c:pt>
                <c:pt idx="43">
                  <c:v>65.311137437317441</c:v>
                </c:pt>
                <c:pt idx="44">
                  <c:v>58.509475805917226</c:v>
                </c:pt>
                <c:pt idx="45">
                  <c:v>32.623358804674254</c:v>
                </c:pt>
                <c:pt idx="46">
                  <c:v>26.650767151737266</c:v>
                </c:pt>
                <c:pt idx="47">
                  <c:v>33.58932103739815</c:v>
                </c:pt>
                <c:pt idx="48">
                  <c:v>42.978527578386846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2-4856-8564-4993782B8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6252120"/>
        <c:axId val="1246254744"/>
      </c:lineChart>
      <c:catAx>
        <c:axId val="124625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254744"/>
        <c:crosses val="autoZero"/>
        <c:auto val="1"/>
        <c:lblAlgn val="ctr"/>
        <c:lblOffset val="100"/>
        <c:noMultiLvlLbl val="0"/>
      </c:catAx>
      <c:valAx>
        <c:axId val="124625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SDRs per barrel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91033829104695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25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79698733310516E-2"/>
          <c:y val="3.1631110213787658E-2"/>
          <c:w val="0.86038986648408544"/>
          <c:h val="0.8581585301837270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Britain!$BN$44:$BN$97</c:f>
              <c:numCache>
                <c:formatCode>0.00</c:formatCode>
                <c:ptCount val="54"/>
                <c:pt idx="0">
                  <c:v>78.615857982504451</c:v>
                </c:pt>
                <c:pt idx="1">
                  <c:v>83.858983987641921</c:v>
                </c:pt>
                <c:pt idx="2">
                  <c:v>81.247469198954249</c:v>
                </c:pt>
                <c:pt idx="3">
                  <c:v>89.74406532618454</c:v>
                </c:pt>
                <c:pt idx="4">
                  <c:v>87.75003660889611</c:v>
                </c:pt>
                <c:pt idx="5">
                  <c:v>87.324586515048793</c:v>
                </c:pt>
                <c:pt idx="6">
                  <c:v>86.007936840918887</c:v>
                </c:pt>
                <c:pt idx="7">
                  <c:v>73.739844897505904</c:v>
                </c:pt>
                <c:pt idx="8">
                  <c:v>74.625651019373649</c:v>
                </c:pt>
                <c:pt idx="9">
                  <c:v>128.46919522936977</c:v>
                </c:pt>
                <c:pt idx="10">
                  <c:v>97.835477213262934</c:v>
                </c:pt>
                <c:pt idx="11">
                  <c:v>91.474039244310575</c:v>
                </c:pt>
                <c:pt idx="12">
                  <c:v>84.850283341603514</c:v>
                </c:pt>
                <c:pt idx="13">
                  <c:v>75.421557722392649</c:v>
                </c:pt>
                <c:pt idx="14">
                  <c:v>88.052603543585306</c:v>
                </c:pt>
                <c:pt idx="15">
                  <c:v>95.637627569911416</c:v>
                </c:pt>
                <c:pt idx="16">
                  <c:v>101.71858233046767</c:v>
                </c:pt>
                <c:pt idx="17">
                  <c:v>101.53792973607796</c:v>
                </c:pt>
                <c:pt idx="18">
                  <c:v>104.14778392963849</c:v>
                </c:pt>
                <c:pt idx="19">
                  <c:v>102.79553609046609</c:v>
                </c:pt>
                <c:pt idx="20">
                  <c:v>102.86688194579587</c:v>
                </c:pt>
                <c:pt idx="21">
                  <c:v>86.283894843606816</c:v>
                </c:pt>
                <c:pt idx="22">
                  <c:v>83.941111248961334</c:v>
                </c:pt>
                <c:pt idx="23">
                  <c:v>79.665757354450022</c:v>
                </c:pt>
                <c:pt idx="24">
                  <c:v>81.804532692342804</c:v>
                </c:pt>
                <c:pt idx="25">
                  <c:v>79.417108268778946</c:v>
                </c:pt>
                <c:pt idx="26">
                  <c:v>78.871627578106484</c:v>
                </c:pt>
                <c:pt idx="27">
                  <c:v>77.151790621524171</c:v>
                </c:pt>
                <c:pt idx="28">
                  <c:v>81.133903492019073</c:v>
                </c:pt>
                <c:pt idx="29">
                  <c:v>83.012687832883969</c:v>
                </c:pt>
                <c:pt idx="30">
                  <c:v>84.788663034703092</c:v>
                </c:pt>
                <c:pt idx="31">
                  <c:v>87.112015560568324</c:v>
                </c:pt>
                <c:pt idx="32">
                  <c:v>93.517779775746462</c:v>
                </c:pt>
                <c:pt idx="33">
                  <c:v>96.022986284591241</c:v>
                </c:pt>
                <c:pt idx="34">
                  <c:v>102.71931245271558</c:v>
                </c:pt>
                <c:pt idx="35">
                  <c:v>116.16431972302158</c:v>
                </c:pt>
                <c:pt idx="36">
                  <c:v>108.85807573155861</c:v>
                </c:pt>
                <c:pt idx="37">
                  <c:v>103.96180986515549</c:v>
                </c:pt>
                <c:pt idx="38">
                  <c:v>106.34187847392262</c:v>
                </c:pt>
                <c:pt idx="39">
                  <c:v>110.72979805933602</c:v>
                </c:pt>
                <c:pt idx="40">
                  <c:v>117.2998997421309</c:v>
                </c:pt>
                <c:pt idx="41">
                  <c:v>120.70669921060703</c:v>
                </c:pt>
                <c:pt idx="42">
                  <c:v>121.97411118001799</c:v>
                </c:pt>
                <c:pt idx="43">
                  <c:v>133.55765917080322</c:v>
                </c:pt>
                <c:pt idx="44">
                  <c:v>121.20518650417043</c:v>
                </c:pt>
                <c:pt idx="45">
                  <c:v>138.14851176872355</c:v>
                </c:pt>
                <c:pt idx="46">
                  <c:v>151.43856961988666</c:v>
                </c:pt>
                <c:pt idx="47">
                  <c:v>149.73517715767483</c:v>
                </c:pt>
                <c:pt idx="48">
                  <c:v>144.46945318760302</c:v>
                </c:pt>
                <c:pt idx="49">
                  <c:v>134.58178312694216</c:v>
                </c:pt>
                <c:pt idx="50">
                  <c:v>117.38767571599367</c:v>
                </c:pt>
                <c:pt idx="51">
                  <c:v>115.03199713377056</c:v>
                </c:pt>
                <c:pt idx="52">
                  <c:v>120.10093364320183</c:v>
                </c:pt>
                <c:pt idx="53">
                  <c:v>125.66733333333333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ECE-85D2-02DA99A5910F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Britain!$A$44:$A$97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Britain!$BO$44:$BO$97</c:f>
              <c:numCache>
                <c:formatCode>0.00</c:formatCode>
                <c:ptCount val="54"/>
                <c:pt idx="0">
                  <c:v>78.858657531102949</c:v>
                </c:pt>
                <c:pt idx="1">
                  <c:v>83.605372591262508</c:v>
                </c:pt>
                <c:pt idx="2">
                  <c:v>80.803902629304332</c:v>
                </c:pt>
                <c:pt idx="3">
                  <c:v>89.814427825167641</c:v>
                </c:pt>
                <c:pt idx="4">
                  <c:v>88.084379982886233</c:v>
                </c:pt>
                <c:pt idx="5">
                  <c:v>87.501652997317251</c:v>
                </c:pt>
                <c:pt idx="6">
                  <c:v>85.615288525977391</c:v>
                </c:pt>
                <c:pt idx="7">
                  <c:v>74.166192338742079</c:v>
                </c:pt>
                <c:pt idx="8">
                  <c:v>74.761043861652468</c:v>
                </c:pt>
                <c:pt idx="9">
                  <c:v>128.37544301346216</c:v>
                </c:pt>
                <c:pt idx="10">
                  <c:v>97.973424288282331</c:v>
                </c:pt>
                <c:pt idx="11">
                  <c:v>91.394843372881937</c:v>
                </c:pt>
                <c:pt idx="12">
                  <c:v>84.931189381394304</c:v>
                </c:pt>
                <c:pt idx="13">
                  <c:v>75.629872687584779</c:v>
                </c:pt>
                <c:pt idx="14">
                  <c:v>88.543841121318692</c:v>
                </c:pt>
                <c:pt idx="15">
                  <c:v>95.209740470848246</c:v>
                </c:pt>
                <c:pt idx="16">
                  <c:v>101.03729331672368</c:v>
                </c:pt>
                <c:pt idx="17">
                  <c:v>101.90432499829616</c:v>
                </c:pt>
                <c:pt idx="18">
                  <c:v>103.52560409773027</c:v>
                </c:pt>
                <c:pt idx="19">
                  <c:v>104.83834098766719</c:v>
                </c:pt>
                <c:pt idx="20">
                  <c:v>101.55939109087396</c:v>
                </c:pt>
                <c:pt idx="21">
                  <c:v>85.814140992302612</c:v>
                </c:pt>
                <c:pt idx="22">
                  <c:v>85.166626541457589</c:v>
                </c:pt>
                <c:pt idx="23">
                  <c:v>79.060619544857332</c:v>
                </c:pt>
                <c:pt idx="24">
                  <c:v>79.157902052959784</c:v>
                </c:pt>
                <c:pt idx="25">
                  <c:v>80.778973457021337</c:v>
                </c:pt>
                <c:pt idx="26">
                  <c:v>78.761524543712895</c:v>
                </c:pt>
                <c:pt idx="27">
                  <c:v>77.600317818030348</c:v>
                </c:pt>
                <c:pt idx="28">
                  <c:v>81.435472987814165</c:v>
                </c:pt>
                <c:pt idx="29">
                  <c:v>83.724543128840537</c:v>
                </c:pt>
                <c:pt idx="30">
                  <c:v>83.948828804017268</c:v>
                </c:pt>
                <c:pt idx="31">
                  <c:v>89.665294542296891</c:v>
                </c:pt>
                <c:pt idx="32">
                  <c:v>93.679056517160589</c:v>
                </c:pt>
                <c:pt idx="33">
                  <c:v>96.252432097860151</c:v>
                </c:pt>
                <c:pt idx="34">
                  <c:v>102.75141345568231</c:v>
                </c:pt>
                <c:pt idx="35">
                  <c:v>115.02370462355461</c:v>
                </c:pt>
                <c:pt idx="36">
                  <c:v>106.76732187379456</c:v>
                </c:pt>
                <c:pt idx="37">
                  <c:v>105.21503552240154</c:v>
                </c:pt>
                <c:pt idx="38">
                  <c:v>105.28962605534707</c:v>
                </c:pt>
                <c:pt idx="39">
                  <c:v>110.99392149831539</c:v>
                </c:pt>
                <c:pt idx="40">
                  <c:v>116.95154562197753</c:v>
                </c:pt>
                <c:pt idx="41">
                  <c:v>120.40551290106922</c:v>
                </c:pt>
                <c:pt idx="42">
                  <c:v>122.46009313767011</c:v>
                </c:pt>
                <c:pt idx="43">
                  <c:v>133.72121764284233</c:v>
                </c:pt>
                <c:pt idx="44">
                  <c:v>121.20518650417043</c:v>
                </c:pt>
                <c:pt idx="45">
                  <c:v>138.73088476142723</c:v>
                </c:pt>
                <c:pt idx="46">
                  <c:v>151.1339059490121</c:v>
                </c:pt>
                <c:pt idx="47">
                  <c:v>148.78934358967524</c:v>
                </c:pt>
                <c:pt idx="48">
                  <c:v>144.62283987630042</c:v>
                </c:pt>
                <c:pt idx="49">
                  <c:v>135.79339178739542</c:v>
                </c:pt>
                <c:pt idx="50">
                  <c:v>117.02794745135388</c:v>
                </c:pt>
                <c:pt idx="51">
                  <c:v>114.85596060566132</c:v>
                </c:pt>
                <c:pt idx="52">
                  <c:v>119.85108965119645</c:v>
                </c:pt>
                <c:pt idx="53">
                  <c:v>125.75607101510759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0-4ECE-85D2-02DA99A59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53216"/>
        <c:axId val="110954752"/>
      </c:lineChart>
      <c:catAx>
        <c:axId val="110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954752"/>
        <c:crosses val="autoZero"/>
        <c:auto val="1"/>
        <c:lblAlgn val="ctr"/>
        <c:lblOffset val="100"/>
        <c:noMultiLvlLbl val="0"/>
      </c:catAx>
      <c:valAx>
        <c:axId val="11095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Pence per litre</a:t>
                </a:r>
              </a:p>
            </c:rich>
          </c:tx>
          <c:layout>
            <c:manualLayout>
              <c:xMode val="edge"/>
              <c:yMode val="edge"/>
              <c:x val="1.2607747802016551E-2"/>
              <c:y val="0.32264755367117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0953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3652173913044"/>
          <c:y val="0.57383785360163309"/>
          <c:w val="0.14746086956521737"/>
          <c:h val="0.205600646073087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82238285788104E-2"/>
          <c:y val="2.9925929070186978E-2"/>
          <c:w val="0.88256086226926556"/>
          <c:h val="0.8607591739711838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Canada!$BB$44:$BB$97</c:f>
              <c:numCache>
                <c:formatCode>0.00</c:formatCode>
                <c:ptCount val="54"/>
                <c:pt idx="0">
                  <c:v>28.175132254640545</c:v>
                </c:pt>
                <c:pt idx="1">
                  <c:v>29.080378802021116</c:v>
                </c:pt>
                <c:pt idx="2">
                  <c:v>29.349238498719203</c:v>
                </c:pt>
                <c:pt idx="3">
                  <c:v>27.246788572539955</c:v>
                </c:pt>
                <c:pt idx="4">
                  <c:v>26.923681406215699</c:v>
                </c:pt>
                <c:pt idx="5">
                  <c:v>27.288336867263688</c:v>
                </c:pt>
                <c:pt idx="6">
                  <c:v>32.405302151024742</c:v>
                </c:pt>
                <c:pt idx="7">
                  <c:v>31.080366004533786</c:v>
                </c:pt>
                <c:pt idx="8">
                  <c:v>31.969364667559677</c:v>
                </c:pt>
                <c:pt idx="9">
                  <c:v>36.465746592564422</c:v>
                </c:pt>
                <c:pt idx="10">
                  <c:v>39.063130489797516</c:v>
                </c:pt>
                <c:pt idx="11">
                  <c:v>42.008810141628388</c:v>
                </c:pt>
                <c:pt idx="12">
                  <c:v>43.359544853938431</c:v>
                </c:pt>
                <c:pt idx="13">
                  <c:v>42.615232789598473</c:v>
                </c:pt>
                <c:pt idx="14">
                  <c:v>46.906704742331151</c:v>
                </c:pt>
                <c:pt idx="15">
                  <c:v>52.427167659876545</c:v>
                </c:pt>
                <c:pt idx="16">
                  <c:v>62.316526101611963</c:v>
                </c:pt>
                <c:pt idx="17">
                  <c:v>62.882273108874415</c:v>
                </c:pt>
                <c:pt idx="18">
                  <c:v>61.929726867877065</c:v>
                </c:pt>
                <c:pt idx="19">
                  <c:v>63.935205077586012</c:v>
                </c:pt>
                <c:pt idx="20">
                  <c:v>64.916794966819012</c:v>
                </c:pt>
                <c:pt idx="21">
                  <c:v>53.992337044996731</c:v>
                </c:pt>
                <c:pt idx="22">
                  <c:v>53.818717207061425</c:v>
                </c:pt>
                <c:pt idx="23">
                  <c:v>49.568978636194366</c:v>
                </c:pt>
                <c:pt idx="24">
                  <c:v>48.809432030301501</c:v>
                </c:pt>
                <c:pt idx="25">
                  <c:v>50.327948991518618</c:v>
                </c:pt>
                <c:pt idx="26">
                  <c:v>39.554123074181113</c:v>
                </c:pt>
                <c:pt idx="27">
                  <c:v>36.491042786448268</c:v>
                </c:pt>
                <c:pt idx="28">
                  <c:v>30.754773386767646</c:v>
                </c:pt>
                <c:pt idx="29">
                  <c:v>29.413385914358855</c:v>
                </c:pt>
                <c:pt idx="30">
                  <c:v>28.995216606858278</c:v>
                </c:pt>
                <c:pt idx="31">
                  <c:v>31.297062402501965</c:v>
                </c:pt>
                <c:pt idx="32">
                  <c:v>32.203460094572087</c:v>
                </c:pt>
                <c:pt idx="33">
                  <c:v>25.628167876674361</c:v>
                </c:pt>
                <c:pt idx="34">
                  <c:v>29.865879027968241</c:v>
                </c:pt>
                <c:pt idx="35">
                  <c:v>42.712062459706502</c:v>
                </c:pt>
                <c:pt idx="36">
                  <c:v>39.166276984953548</c:v>
                </c:pt>
                <c:pt idx="37">
                  <c:v>38.440038310546598</c:v>
                </c:pt>
                <c:pt idx="38">
                  <c:v>39.818343980493843</c:v>
                </c:pt>
                <c:pt idx="39">
                  <c:v>45.675897055179718</c:v>
                </c:pt>
                <c:pt idx="40">
                  <c:v>54.624709819829818</c:v>
                </c:pt>
                <c:pt idx="41">
                  <c:v>58.561152496188505</c:v>
                </c:pt>
                <c:pt idx="42">
                  <c:v>61.727910082559156</c:v>
                </c:pt>
                <c:pt idx="43">
                  <c:v>73.237944503402389</c:v>
                </c:pt>
                <c:pt idx="44">
                  <c:v>55.600043722773478</c:v>
                </c:pt>
                <c:pt idx="45">
                  <c:v>60.754462407443043</c:v>
                </c:pt>
                <c:pt idx="46">
                  <c:v>74.15188694265666</c:v>
                </c:pt>
                <c:pt idx="47">
                  <c:v>75.112785811210756</c:v>
                </c:pt>
                <c:pt idx="48">
                  <c:v>73.895511349426016</c:v>
                </c:pt>
                <c:pt idx="49">
                  <c:v>72.243952308653931</c:v>
                </c:pt>
                <c:pt idx="50">
                  <c:v>54.061378410145423</c:v>
                </c:pt>
                <c:pt idx="51">
                  <c:v>48.260258186955717</c:v>
                </c:pt>
                <c:pt idx="52">
                  <c:v>54.83015265800524</c:v>
                </c:pt>
                <c:pt idx="53">
                  <c:v>66.018312940326467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4-444A-8132-8402B53E998C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Canada!$BC$44:$BC$97</c:f>
              <c:numCache>
                <c:formatCode>0.00</c:formatCode>
                <c:ptCount val="54"/>
                <c:pt idx="0">
                  <c:v>29.637451407394217</c:v>
                </c:pt>
                <c:pt idx="1">
                  <c:v>29.222161553096292</c:v>
                </c:pt>
                <c:pt idx="2">
                  <c:v>28.86556986377699</c:v>
                </c:pt>
                <c:pt idx="3">
                  <c:v>28.450950831902723</c:v>
                </c:pt>
                <c:pt idx="4">
                  <c:v>28.011472597945023</c:v>
                </c:pt>
                <c:pt idx="5">
                  <c:v>27.567390980876922</c:v>
                </c:pt>
                <c:pt idx="6">
                  <c:v>31.654745150020389</c:v>
                </c:pt>
                <c:pt idx="7">
                  <c:v>31.055381067619166</c:v>
                </c:pt>
                <c:pt idx="8">
                  <c:v>31.23890292756564</c:v>
                </c:pt>
                <c:pt idx="9">
                  <c:v>35.83843367970767</c:v>
                </c:pt>
                <c:pt idx="10">
                  <c:v>38.510551902015393</c:v>
                </c:pt>
                <c:pt idx="11">
                  <c:v>40.692467371492931</c:v>
                </c:pt>
                <c:pt idx="12">
                  <c:v>42.39626537775802</c:v>
                </c:pt>
                <c:pt idx="13">
                  <c:v>41.988412230548654</c:v>
                </c:pt>
                <c:pt idx="14">
                  <c:v>46.335343095787323</c:v>
                </c:pt>
                <c:pt idx="15">
                  <c:v>54.272620172660936</c:v>
                </c:pt>
                <c:pt idx="16">
                  <c:v>61.737285157674407</c:v>
                </c:pt>
                <c:pt idx="17">
                  <c:v>61.91206880409667</c:v>
                </c:pt>
                <c:pt idx="18">
                  <c:v>60.142854999910483</c:v>
                </c:pt>
                <c:pt idx="19">
                  <c:v>63.401754548023149</c:v>
                </c:pt>
                <c:pt idx="20">
                  <c:v>65.249121640986232</c:v>
                </c:pt>
                <c:pt idx="21">
                  <c:v>51.604687801326754</c:v>
                </c:pt>
                <c:pt idx="22">
                  <c:v>54.395828732173904</c:v>
                </c:pt>
                <c:pt idx="23">
                  <c:v>49.355896015387643</c:v>
                </c:pt>
                <c:pt idx="24">
                  <c:v>49.446661376667706</c:v>
                </c:pt>
                <c:pt idx="25">
                  <c:v>52.301411551790494</c:v>
                </c:pt>
                <c:pt idx="26">
                  <c:v>38.458148499554461</c:v>
                </c:pt>
                <c:pt idx="27">
                  <c:v>35.522384251354815</c:v>
                </c:pt>
                <c:pt idx="28">
                  <c:v>30.154300222423608</c:v>
                </c:pt>
                <c:pt idx="29">
                  <c:v>28.506798091576819</c:v>
                </c:pt>
                <c:pt idx="30">
                  <c:v>28.563861669890017</c:v>
                </c:pt>
                <c:pt idx="31">
                  <c:v>31.205187741995815</c:v>
                </c:pt>
                <c:pt idx="32">
                  <c:v>31.424066506772171</c:v>
                </c:pt>
                <c:pt idx="33">
                  <c:v>27.145181388312245</c:v>
                </c:pt>
                <c:pt idx="34">
                  <c:v>29.527302718824735</c:v>
                </c:pt>
                <c:pt idx="35">
                  <c:v>43.204145947695167</c:v>
                </c:pt>
                <c:pt idx="36">
                  <c:v>39.862413809828027</c:v>
                </c:pt>
                <c:pt idx="37">
                  <c:v>40.710093176819925</c:v>
                </c:pt>
                <c:pt idx="38">
                  <c:v>40.754290370399318</c:v>
                </c:pt>
                <c:pt idx="39">
                  <c:v>46.340897929100301</c:v>
                </c:pt>
                <c:pt idx="40">
                  <c:v>55.107651813429612</c:v>
                </c:pt>
                <c:pt idx="41">
                  <c:v>58.33255060823015</c:v>
                </c:pt>
                <c:pt idx="42">
                  <c:v>61.397631643988902</c:v>
                </c:pt>
                <c:pt idx="43">
                  <c:v>74.281654265155694</c:v>
                </c:pt>
                <c:pt idx="44">
                  <c:v>56.203187126976914</c:v>
                </c:pt>
                <c:pt idx="45">
                  <c:v>60.151319003239678</c:v>
                </c:pt>
                <c:pt idx="46">
                  <c:v>74.397308630757507</c:v>
                </c:pt>
                <c:pt idx="47">
                  <c:v>75.086990817217824</c:v>
                </c:pt>
                <c:pt idx="48">
                  <c:v>74.723528220164056</c:v>
                </c:pt>
                <c:pt idx="49">
                  <c:v>72.556203548991675</c:v>
                </c:pt>
                <c:pt idx="50">
                  <c:v>54.329101170585076</c:v>
                </c:pt>
                <c:pt idx="51">
                  <c:v>49.884571550840704</c:v>
                </c:pt>
                <c:pt idx="52">
                  <c:v>55.183954789565028</c:v>
                </c:pt>
                <c:pt idx="53">
                  <c:v>63.658641775987533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4-444A-8132-8402B53E9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107456"/>
        <c:axId val="111113344"/>
      </c:lineChart>
      <c:catAx>
        <c:axId val="111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113344"/>
        <c:crosses val="autoZero"/>
        <c:auto val="1"/>
        <c:lblAlgn val="ctr"/>
        <c:lblOffset val="100"/>
        <c:noMultiLvlLbl val="0"/>
      </c:catAx>
      <c:valAx>
        <c:axId val="111113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Canadian cents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110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422914318937119"/>
          <c:y val="0.56966954602372821"/>
          <c:w val="0.12772712017555182"/>
          <c:h val="0.210834093851476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29259842519687E-2"/>
          <c:y val="3.0252097234439699E-2"/>
          <c:w val="0.8695184881889767"/>
          <c:h val="0.8485466326246060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Canada!$AY$44:$AY$97</c:f>
              <c:numCache>
                <c:formatCode>0.00</c:formatCode>
                <c:ptCount val="54"/>
                <c:pt idx="0">
                  <c:v>64.126519849843717</c:v>
                </c:pt>
                <c:pt idx="1">
                  <c:v>64.1864290630742</c:v>
                </c:pt>
                <c:pt idx="2">
                  <c:v>63.511417765622468</c:v>
                </c:pt>
                <c:pt idx="3">
                  <c:v>62.802679254860536</c:v>
                </c:pt>
                <c:pt idx="4">
                  <c:v>62.186075281958189</c:v>
                </c:pt>
                <c:pt idx="5">
                  <c:v>61.844128670766999</c:v>
                </c:pt>
                <c:pt idx="6">
                  <c:v>62.342097514880791</c:v>
                </c:pt>
                <c:pt idx="7">
                  <c:v>60.074615434800464</c:v>
                </c:pt>
                <c:pt idx="8">
                  <c:v>59.639574827949978</c:v>
                </c:pt>
                <c:pt idx="9">
                  <c:v>62.461552054554616</c:v>
                </c:pt>
                <c:pt idx="10">
                  <c:v>63.80844541767334</c:v>
                </c:pt>
                <c:pt idx="11">
                  <c:v>66.36820793708425</c:v>
                </c:pt>
                <c:pt idx="12">
                  <c:v>67.20385490228783</c:v>
                </c:pt>
                <c:pt idx="13">
                  <c:v>64.392381748438325</c:v>
                </c:pt>
                <c:pt idx="14">
                  <c:v>68.759207013837056</c:v>
                </c:pt>
                <c:pt idx="15">
                  <c:v>75.061817679052311</c:v>
                </c:pt>
                <c:pt idx="16">
                  <c:v>90.706726806303777</c:v>
                </c:pt>
                <c:pt idx="17">
                  <c:v>98.803213794645487</c:v>
                </c:pt>
                <c:pt idx="18">
                  <c:v>98.48925687986727</c:v>
                </c:pt>
                <c:pt idx="19">
                  <c:v>98.637948246410645</c:v>
                </c:pt>
                <c:pt idx="20">
                  <c:v>100.25474756674575</c:v>
                </c:pt>
                <c:pt idx="21">
                  <c:v>85.866406244577718</c:v>
                </c:pt>
                <c:pt idx="22">
                  <c:v>85.969798415328285</c:v>
                </c:pt>
                <c:pt idx="23">
                  <c:v>81.476122944060762</c:v>
                </c:pt>
                <c:pt idx="24">
                  <c:v>81.163231568584521</c:v>
                </c:pt>
                <c:pt idx="25">
                  <c:v>84.876974670899855</c:v>
                </c:pt>
                <c:pt idx="26">
                  <c:v>80.06045194507395</c:v>
                </c:pt>
                <c:pt idx="27">
                  <c:v>76.06764106801667</c:v>
                </c:pt>
                <c:pt idx="28">
                  <c:v>73.81656314828507</c:v>
                </c:pt>
                <c:pt idx="29">
                  <c:v>72.837638911380637</c:v>
                </c:pt>
                <c:pt idx="30">
                  <c:v>74.101748183634683</c:v>
                </c:pt>
                <c:pt idx="31">
                  <c:v>76.443155089015221</c:v>
                </c:pt>
                <c:pt idx="32">
                  <c:v>76.939402560972511</c:v>
                </c:pt>
                <c:pt idx="33">
                  <c:v>69.564054309995939</c:v>
                </c:pt>
                <c:pt idx="34">
                  <c:v>74.002716266572406</c:v>
                </c:pt>
                <c:pt idx="35">
                  <c:v>88.89932711375981</c:v>
                </c:pt>
                <c:pt idx="36">
                  <c:v>83.851235742082963</c:v>
                </c:pt>
                <c:pt idx="37">
                  <c:v>81.882890585129971</c:v>
                </c:pt>
                <c:pt idx="38">
                  <c:v>83.538621773873544</c:v>
                </c:pt>
                <c:pt idx="39">
                  <c:v>90.472872362436121</c:v>
                </c:pt>
                <c:pt idx="40">
                  <c:v>100.59845797152947</c:v>
                </c:pt>
                <c:pt idx="41">
                  <c:v>104.28098446299549</c:v>
                </c:pt>
                <c:pt idx="42">
                  <c:v>106.48679609018474</c:v>
                </c:pt>
                <c:pt idx="43">
                  <c:v>117.59807225285972</c:v>
                </c:pt>
                <c:pt idx="44">
                  <c:v>96.586251528000005</c:v>
                </c:pt>
                <c:pt idx="45">
                  <c:v>103.1</c:v>
                </c:pt>
                <c:pt idx="46">
                  <c:v>119.20849990859152</c:v>
                </c:pt>
                <c:pt idx="47">
                  <c:v>120.970273812531</c:v>
                </c:pt>
                <c:pt idx="48">
                  <c:v>120.21560269402801</c:v>
                </c:pt>
                <c:pt idx="49">
                  <c:v>118.50613434669735</c:v>
                </c:pt>
                <c:pt idx="50">
                  <c:v>97.651644775709258</c:v>
                </c:pt>
                <c:pt idx="51">
                  <c:v>91.222765889069493</c:v>
                </c:pt>
                <c:pt idx="52">
                  <c:v>99.064531226207279</c:v>
                </c:pt>
                <c:pt idx="53">
                  <c:v>111.41483860494439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A-4FEF-BFD1-FD2CC865CE2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Canada!$AZ$44:$AZ$97</c:f>
              <c:numCache>
                <c:formatCode>0.00</c:formatCode>
                <c:ptCount val="54"/>
                <c:pt idx="0">
                  <c:v>65.588839002597382</c:v>
                </c:pt>
                <c:pt idx="1">
                  <c:v>64.32821181414937</c:v>
                </c:pt>
                <c:pt idx="2">
                  <c:v>63.027749130680256</c:v>
                </c:pt>
                <c:pt idx="3">
                  <c:v>64.006841514223311</c:v>
                </c:pt>
                <c:pt idx="4">
                  <c:v>63.273866473687512</c:v>
                </c:pt>
                <c:pt idx="5">
                  <c:v>62.123182784380234</c:v>
                </c:pt>
                <c:pt idx="6">
                  <c:v>61.591540513876438</c:v>
                </c:pt>
                <c:pt idx="7">
                  <c:v>60.049630497885843</c:v>
                </c:pt>
                <c:pt idx="8">
                  <c:v>58.909113087955944</c:v>
                </c:pt>
                <c:pt idx="9">
                  <c:v>61.834239141697864</c:v>
                </c:pt>
                <c:pt idx="10">
                  <c:v>63.255866829891218</c:v>
                </c:pt>
                <c:pt idx="11">
                  <c:v>65.051865166948787</c:v>
                </c:pt>
                <c:pt idx="12">
                  <c:v>66.240575426107426</c:v>
                </c:pt>
                <c:pt idx="13">
                  <c:v>63.765561189388507</c:v>
                </c:pt>
                <c:pt idx="14">
                  <c:v>68.187845367293221</c:v>
                </c:pt>
                <c:pt idx="15">
                  <c:v>76.907270191836702</c:v>
                </c:pt>
                <c:pt idx="16">
                  <c:v>90.127485862366228</c:v>
                </c:pt>
                <c:pt idx="17">
                  <c:v>97.833009489867749</c:v>
                </c:pt>
                <c:pt idx="18">
                  <c:v>96.702385011900688</c:v>
                </c:pt>
                <c:pt idx="19">
                  <c:v>98.104497716847789</c:v>
                </c:pt>
                <c:pt idx="20">
                  <c:v>100.58707424091297</c:v>
                </c:pt>
                <c:pt idx="21">
                  <c:v>83.478757000907734</c:v>
                </c:pt>
                <c:pt idx="22">
                  <c:v>86.54690994044077</c:v>
                </c:pt>
                <c:pt idx="23">
                  <c:v>81.263040323254046</c:v>
                </c:pt>
                <c:pt idx="24">
                  <c:v>81.800460914950719</c:v>
                </c:pt>
                <c:pt idx="25">
                  <c:v>86.850437231171725</c:v>
                </c:pt>
                <c:pt idx="26">
                  <c:v>78.964477370447298</c:v>
                </c:pt>
                <c:pt idx="27">
                  <c:v>75.098982532923216</c:v>
                </c:pt>
                <c:pt idx="28">
                  <c:v>73.216089983941032</c:v>
                </c:pt>
                <c:pt idx="29">
                  <c:v>71.931051088598593</c:v>
                </c:pt>
                <c:pt idx="30">
                  <c:v>73.670393246666421</c:v>
                </c:pt>
                <c:pt idx="31">
                  <c:v>76.351280428509071</c:v>
                </c:pt>
                <c:pt idx="32">
                  <c:v>76.160008973172594</c:v>
                </c:pt>
                <c:pt idx="33">
                  <c:v>71.081067821633823</c:v>
                </c:pt>
                <c:pt idx="34">
                  <c:v>73.664139957428901</c:v>
                </c:pt>
                <c:pt idx="35">
                  <c:v>89.391410601748476</c:v>
                </c:pt>
                <c:pt idx="36">
                  <c:v>84.547372566957449</c:v>
                </c:pt>
                <c:pt idx="37">
                  <c:v>84.152945451403298</c:v>
                </c:pt>
                <c:pt idx="38">
                  <c:v>84.474568163779026</c:v>
                </c:pt>
                <c:pt idx="39">
                  <c:v>91.137873236356711</c:v>
                </c:pt>
                <c:pt idx="40">
                  <c:v>101.08139996512926</c:v>
                </c:pt>
                <c:pt idx="41">
                  <c:v>104.05238257503714</c:v>
                </c:pt>
                <c:pt idx="42">
                  <c:v>106.15651765161448</c:v>
                </c:pt>
                <c:pt idx="43">
                  <c:v>118.64178201461303</c:v>
                </c:pt>
                <c:pt idx="44">
                  <c:v>97.189394932203442</c:v>
                </c:pt>
                <c:pt idx="45">
                  <c:v>102.49685659579663</c:v>
                </c:pt>
                <c:pt idx="46">
                  <c:v>119.45392159669237</c:v>
                </c:pt>
                <c:pt idx="47">
                  <c:v>120.94447881853807</c:v>
                </c:pt>
                <c:pt idx="48">
                  <c:v>121.04361956476605</c:v>
                </c:pt>
                <c:pt idx="49">
                  <c:v>118.8183855870351</c:v>
                </c:pt>
                <c:pt idx="50">
                  <c:v>97.919367536148911</c:v>
                </c:pt>
                <c:pt idx="51">
                  <c:v>92.847079252954472</c:v>
                </c:pt>
                <c:pt idx="52">
                  <c:v>99.418333357767068</c:v>
                </c:pt>
                <c:pt idx="53">
                  <c:v>109.05516744060546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A-4FEF-BFD1-FD2CC865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136128"/>
        <c:axId val="111281280"/>
      </c:lineChart>
      <c:catAx>
        <c:axId val="1111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81280"/>
        <c:crosses val="autoZero"/>
        <c:auto val="1"/>
        <c:lblAlgn val="ctr"/>
        <c:lblOffset val="100"/>
        <c:noMultiLvlLbl val="0"/>
      </c:catAx>
      <c:valAx>
        <c:axId val="11128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</a:t>
                </a:r>
                <a:r>
                  <a:rPr lang="en-US" baseline="0"/>
                  <a:t> </a:t>
                </a:r>
                <a:r>
                  <a:rPr lang="en-US"/>
                  <a:t>Canadian cents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11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471193700787686"/>
          <c:y val="0.52702203437104422"/>
          <c:w val="0.14243638193071334"/>
          <c:h val="0.2103497428675074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066665662968047E-2"/>
          <c:y val="3.0417862150792802E-2"/>
          <c:w val="0.81411104921636235"/>
          <c:h val="0.85109955776075963"/>
        </c:manualLayout>
      </c:layout>
      <c:lineChart>
        <c:grouping val="standard"/>
        <c:varyColors val="0"/>
        <c:ser>
          <c:idx val="0"/>
          <c:order val="0"/>
          <c:tx>
            <c:v>energy component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Canada!$BB$44:$BB$97</c:f>
              <c:numCache>
                <c:formatCode>0.00</c:formatCode>
                <c:ptCount val="54"/>
                <c:pt idx="0">
                  <c:v>28.175132254640545</c:v>
                </c:pt>
                <c:pt idx="1">
                  <c:v>29.080378802021116</c:v>
                </c:pt>
                <c:pt idx="2">
                  <c:v>29.349238498719203</c:v>
                </c:pt>
                <c:pt idx="3">
                  <c:v>27.246788572539955</c:v>
                </c:pt>
                <c:pt idx="4">
                  <c:v>26.923681406215699</c:v>
                </c:pt>
                <c:pt idx="5">
                  <c:v>27.288336867263688</c:v>
                </c:pt>
                <c:pt idx="6">
                  <c:v>32.405302151024742</c:v>
                </c:pt>
                <c:pt idx="7">
                  <c:v>31.080366004533786</c:v>
                </c:pt>
                <c:pt idx="8">
                  <c:v>31.969364667559677</c:v>
                </c:pt>
                <c:pt idx="9">
                  <c:v>36.465746592564422</c:v>
                </c:pt>
                <c:pt idx="10">
                  <c:v>39.063130489797516</c:v>
                </c:pt>
                <c:pt idx="11">
                  <c:v>42.008810141628388</c:v>
                </c:pt>
                <c:pt idx="12">
                  <c:v>43.359544853938431</c:v>
                </c:pt>
                <c:pt idx="13">
                  <c:v>42.615232789598473</c:v>
                </c:pt>
                <c:pt idx="14">
                  <c:v>46.906704742331151</c:v>
                </c:pt>
                <c:pt idx="15">
                  <c:v>52.427167659876545</c:v>
                </c:pt>
                <c:pt idx="16">
                  <c:v>62.316526101611963</c:v>
                </c:pt>
                <c:pt idx="17">
                  <c:v>62.882273108874415</c:v>
                </c:pt>
                <c:pt idx="18">
                  <c:v>61.929726867877065</c:v>
                </c:pt>
                <c:pt idx="19">
                  <c:v>63.935205077586012</c:v>
                </c:pt>
                <c:pt idx="20">
                  <c:v>64.916794966819012</c:v>
                </c:pt>
                <c:pt idx="21">
                  <c:v>53.992337044996731</c:v>
                </c:pt>
                <c:pt idx="22">
                  <c:v>53.818717207061425</c:v>
                </c:pt>
                <c:pt idx="23">
                  <c:v>49.568978636194366</c:v>
                </c:pt>
                <c:pt idx="24">
                  <c:v>48.809432030301501</c:v>
                </c:pt>
                <c:pt idx="25">
                  <c:v>50.327948991518618</c:v>
                </c:pt>
                <c:pt idx="26">
                  <c:v>39.554123074181113</c:v>
                </c:pt>
                <c:pt idx="27">
                  <c:v>36.491042786448268</c:v>
                </c:pt>
                <c:pt idx="28">
                  <c:v>30.754773386767646</c:v>
                </c:pt>
                <c:pt idx="29">
                  <c:v>29.413385914358855</c:v>
                </c:pt>
                <c:pt idx="30">
                  <c:v>28.995216606858278</c:v>
                </c:pt>
                <c:pt idx="31">
                  <c:v>31.297062402501965</c:v>
                </c:pt>
                <c:pt idx="32">
                  <c:v>32.203460094572087</c:v>
                </c:pt>
                <c:pt idx="33">
                  <c:v>25.628167876674361</c:v>
                </c:pt>
                <c:pt idx="34">
                  <c:v>29.865879027968241</c:v>
                </c:pt>
                <c:pt idx="35">
                  <c:v>42.712062459706502</c:v>
                </c:pt>
                <c:pt idx="36">
                  <c:v>39.166276984953548</c:v>
                </c:pt>
                <c:pt idx="37">
                  <c:v>38.440038310546598</c:v>
                </c:pt>
                <c:pt idx="38">
                  <c:v>39.818343980493843</c:v>
                </c:pt>
                <c:pt idx="39">
                  <c:v>45.675897055179718</c:v>
                </c:pt>
                <c:pt idx="40">
                  <c:v>54.624709819829818</c:v>
                </c:pt>
                <c:pt idx="41">
                  <c:v>58.561152496188505</c:v>
                </c:pt>
                <c:pt idx="42">
                  <c:v>61.727910082559156</c:v>
                </c:pt>
                <c:pt idx="43">
                  <c:v>73.237944503402389</c:v>
                </c:pt>
                <c:pt idx="44">
                  <c:v>55.600043722773478</c:v>
                </c:pt>
                <c:pt idx="45">
                  <c:v>60.754462407443043</c:v>
                </c:pt>
                <c:pt idx="46">
                  <c:v>74.15188694265666</c:v>
                </c:pt>
                <c:pt idx="47">
                  <c:v>75.112785811210756</c:v>
                </c:pt>
                <c:pt idx="48">
                  <c:v>73.895511349426016</c:v>
                </c:pt>
                <c:pt idx="49">
                  <c:v>72.243952308653931</c:v>
                </c:pt>
                <c:pt idx="50">
                  <c:v>54.061378410145423</c:v>
                </c:pt>
                <c:pt idx="51">
                  <c:v>48.260258186955717</c:v>
                </c:pt>
                <c:pt idx="52">
                  <c:v>54.83015265800524</c:v>
                </c:pt>
                <c:pt idx="53">
                  <c:v>66.018312940326467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3-4086-B377-003E563F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11872"/>
        <c:axId val="111317760"/>
      </c:lineChart>
      <c:lineChart>
        <c:grouping val="standard"/>
        <c:varyColors val="0"/>
        <c:ser>
          <c:idx val="1"/>
          <c:order val="1"/>
          <c:tx>
            <c:v>landed oil price (RHS)</c:v>
          </c:tx>
          <c:marker>
            <c:symbol val="none"/>
          </c:marker>
          <c:cat>
            <c:numRef>
              <c:f>Canada!$A$44:$A$89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Canada!$BD$44:$BD$97</c:f>
              <c:numCache>
                <c:formatCode>0.00</c:formatCode>
                <c:ptCount val="54"/>
                <c:pt idx="0">
                  <c:v>24.636992640659198</c:v>
                </c:pt>
                <c:pt idx="1">
                  <c:v>23.716803816073242</c:v>
                </c:pt>
                <c:pt idx="2">
                  <c:v>22.926676910597603</c:v>
                </c:pt>
                <c:pt idx="3">
                  <c:v>22.007974477482929</c:v>
                </c:pt>
                <c:pt idx="4">
                  <c:v>21.03418964900375</c:v>
                </c:pt>
                <c:pt idx="5">
                  <c:v>20.050204759893088</c:v>
                </c:pt>
                <c:pt idx="6">
                  <c:v>20.048578328912125</c:v>
                </c:pt>
                <c:pt idx="7">
                  <c:v>18.720522454741502</c:v>
                </c:pt>
                <c:pt idx="8">
                  <c:v>19.127165580843073</c:v>
                </c:pt>
                <c:pt idx="9">
                  <c:v>53.474111854123187</c:v>
                </c:pt>
                <c:pt idx="10">
                  <c:v>51.846355021370293</c:v>
                </c:pt>
                <c:pt idx="11">
                  <c:v>49.132419245724186</c:v>
                </c:pt>
                <c:pt idx="12">
                  <c:v>52.907652058400188</c:v>
                </c:pt>
                <c:pt idx="13">
                  <c:v>52.003941302526449</c:v>
                </c:pt>
                <c:pt idx="14">
                  <c:v>73.123889592555258</c:v>
                </c:pt>
                <c:pt idx="15">
                  <c:v>104.49686242728538</c:v>
                </c:pt>
                <c:pt idx="16">
                  <c:v>102.65587458438787</c:v>
                </c:pt>
                <c:pt idx="17">
                  <c:v>86.959776456854172</c:v>
                </c:pt>
                <c:pt idx="18">
                  <c:v>71.551468863020673</c:v>
                </c:pt>
                <c:pt idx="19">
                  <c:v>71.014963219307347</c:v>
                </c:pt>
                <c:pt idx="20">
                  <c:v>67.350819427619342</c:v>
                </c:pt>
                <c:pt idx="21">
                  <c:v>37.117825755566152</c:v>
                </c:pt>
                <c:pt idx="22">
                  <c:v>43.30236569996714</c:v>
                </c:pt>
                <c:pt idx="23">
                  <c:v>32.135009419394954</c:v>
                </c:pt>
                <c:pt idx="24">
                  <c:v>36.214871716027261</c:v>
                </c:pt>
                <c:pt idx="25">
                  <c:v>42.540355425649182</c:v>
                </c:pt>
                <c:pt idx="26">
                  <c:v>34.727147057904034</c:v>
                </c:pt>
                <c:pt idx="27">
                  <c:v>34.490161652341712</c:v>
                </c:pt>
                <c:pt idx="28">
                  <c:v>32.362125843138664</c:v>
                </c:pt>
                <c:pt idx="29">
                  <c:v>31.918519447788935</c:v>
                </c:pt>
                <c:pt idx="30">
                  <c:v>33.648403206368521</c:v>
                </c:pt>
                <c:pt idx="31">
                  <c:v>39.500987151016581</c:v>
                </c:pt>
                <c:pt idx="32">
                  <c:v>36.779085787399261</c:v>
                </c:pt>
                <c:pt idx="33">
                  <c:v>27.298039653126676</c:v>
                </c:pt>
                <c:pt idx="34">
                  <c:v>32.576284244127187</c:v>
                </c:pt>
                <c:pt idx="35">
                  <c:v>50.053540102220829</c:v>
                </c:pt>
                <c:pt idx="36">
                  <c:v>42.649013995452336</c:v>
                </c:pt>
                <c:pt idx="37">
                  <c:v>44.527280638052403</c:v>
                </c:pt>
                <c:pt idx="38">
                  <c:v>44.62521166908752</c:v>
                </c:pt>
                <c:pt idx="39">
                  <c:v>52.193545182033752</c:v>
                </c:pt>
                <c:pt idx="40">
                  <c:v>66.808367018992712</c:v>
                </c:pt>
                <c:pt idx="41">
                  <c:v>73.95401673974726</c:v>
                </c:pt>
                <c:pt idx="42">
                  <c:v>77.538658854532088</c:v>
                </c:pt>
                <c:pt idx="43">
                  <c:v>102.87986502366759</c:v>
                </c:pt>
                <c:pt idx="44">
                  <c:v>71.037936129055012</c:v>
                </c:pt>
                <c:pt idx="45">
                  <c:v>79.786107539768722</c:v>
                </c:pt>
                <c:pt idx="46">
                  <c:v>103.13612906103803</c:v>
                </c:pt>
                <c:pt idx="47">
                  <c:v>104.6643095208513</c:v>
                </c:pt>
                <c:pt idx="48">
                  <c:v>103.85895823065599</c:v>
                </c:pt>
                <c:pt idx="49">
                  <c:v>99.056654680443245</c:v>
                </c:pt>
                <c:pt idx="50">
                  <c:v>58.669499204303285</c:v>
                </c:pt>
                <c:pt idx="51">
                  <c:v>48.821422146066176</c:v>
                </c:pt>
                <c:pt idx="52">
                  <c:v>60.563662374198337</c:v>
                </c:pt>
                <c:pt idx="53">
                  <c:v>79.341660863840147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3-4086-B377-003E563F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25184"/>
        <c:axId val="111319296"/>
      </c:lineChart>
      <c:catAx>
        <c:axId val="111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317760"/>
        <c:crosses val="autoZero"/>
        <c:auto val="1"/>
        <c:lblAlgn val="ctr"/>
        <c:lblOffset val="100"/>
        <c:noMultiLvlLbl val="0"/>
      </c:catAx>
      <c:valAx>
        <c:axId val="11131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Canadian cents per litre</a:t>
                </a:r>
              </a:p>
            </c:rich>
          </c:tx>
          <c:layout>
            <c:manualLayout>
              <c:xMode val="edge"/>
              <c:yMode val="edge"/>
              <c:x val="1.1529636711281068E-2"/>
              <c:y val="0.282090820839175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1311872"/>
        <c:crosses val="autoZero"/>
        <c:crossBetween val="between"/>
      </c:valAx>
      <c:valAx>
        <c:axId val="111319296"/>
        <c:scaling>
          <c:orientation val="minMax"/>
          <c:max val="115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Canadian dollars per barrel</a:t>
                </a:r>
              </a:p>
            </c:rich>
          </c:tx>
          <c:layout>
            <c:manualLayout>
              <c:xMode val="edge"/>
              <c:yMode val="edge"/>
              <c:x val="0.95586380813297001"/>
              <c:y val="0.2656181641678351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1325184"/>
        <c:crosses val="max"/>
        <c:crossBetween val="between"/>
      </c:valAx>
      <c:catAx>
        <c:axId val="11132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319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1347902018939795"/>
          <c:y val="0.67785503181965268"/>
          <c:w val="0.19971409644540131"/>
          <c:h val="0.197714593894941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5135665678268"/>
          <c:y val="5.0925944190854174E-2"/>
          <c:w val="0.8409492590457428"/>
          <c:h val="0.79014654418197727"/>
        </c:manualLayout>
      </c:layout>
      <c:lineChart>
        <c:grouping val="standard"/>
        <c:varyColors val="0"/>
        <c:ser>
          <c:idx val="0"/>
          <c:order val="0"/>
          <c:tx>
            <c:strRef>
              <c:f>Canada!$Y$121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Canada!$A$122:$A$142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Canada!$Y$122:$Y$142</c:f>
              <c:numCache>
                <c:formatCode>0.00</c:formatCode>
                <c:ptCount val="21"/>
                <c:pt idx="0">
                  <c:v>118.68516145520411</c:v>
                </c:pt>
                <c:pt idx="1">
                  <c:v>137.22871055755451</c:v>
                </c:pt>
                <c:pt idx="2">
                  <c:v>139.25680386731807</c:v>
                </c:pt>
                <c:pt idx="3">
                  <c:v>138.38805252352458</c:v>
                </c:pt>
                <c:pt idx="4">
                  <c:v>136.42017156517832</c:v>
                </c:pt>
                <c:pt idx="5">
                  <c:v>112.41320297353339</c:v>
                </c:pt>
                <c:pt idx="6">
                  <c:v>105.01249949499999</c:v>
                </c:pt>
                <c:pt idx="7">
                  <c:v>114.03966908890904</c:v>
                </c:pt>
                <c:pt idx="8">
                  <c:v>128.25691666666668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1-4DEC-A2AD-B561A3A4A344}"/>
            </c:ext>
          </c:extLst>
        </c:ser>
        <c:ser>
          <c:idx val="1"/>
          <c:order val="1"/>
          <c:tx>
            <c:strRef>
              <c:f>Canada!$Z$121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Canada!$A$122:$A$142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Canada!$Z$122:$Z$142</c:f>
              <c:numCache>
                <c:formatCode>0.00</c:formatCode>
                <c:ptCount val="21"/>
                <c:pt idx="0">
                  <c:v>118.24936687503235</c:v>
                </c:pt>
                <c:pt idx="1">
                  <c:v>137.50243602799398</c:v>
                </c:pt>
                <c:pt idx="2">
                  <c:v>138.90484661343658</c:v>
                </c:pt>
                <c:pt idx="3">
                  <c:v>139.08500983057681</c:v>
                </c:pt>
                <c:pt idx="4">
                  <c:v>136.44839718031096</c:v>
                </c:pt>
                <c:pt idx="5">
                  <c:v>112.45865391547248</c:v>
                </c:pt>
                <c:pt idx="6">
                  <c:v>106.89572134714606</c:v>
                </c:pt>
                <c:pt idx="7">
                  <c:v>114.17308859668823</c:v>
                </c:pt>
                <c:pt idx="8">
                  <c:v>124.69524969029212</c:v>
                </c:pt>
                <c:pt idx="9">
                  <c:v>149.20450424293205</c:v>
                </c:pt>
                <c:pt idx="10">
                  <c:v>160.98101253924352</c:v>
                </c:pt>
                <c:pt idx="11">
                  <c:v>173.45025661769094</c:v>
                </c:pt>
                <c:pt idx="12">
                  <c:v>178.99214287477872</c:v>
                </c:pt>
                <c:pt idx="13">
                  <c:v>183.14855756759451</c:v>
                </c:pt>
                <c:pt idx="14">
                  <c:v>186.61223647827438</c:v>
                </c:pt>
                <c:pt idx="15">
                  <c:v>190.07591538895423</c:v>
                </c:pt>
                <c:pt idx="16">
                  <c:v>193.53959429963408</c:v>
                </c:pt>
                <c:pt idx="17">
                  <c:v>197.00327321031389</c:v>
                </c:pt>
                <c:pt idx="18">
                  <c:v>199.77421633885777</c:v>
                </c:pt>
                <c:pt idx="19">
                  <c:v>203.23789524953764</c:v>
                </c:pt>
                <c:pt idx="20">
                  <c:v>205.31610259594552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1-4DEC-A2AD-B561A3A4A344}"/>
            </c:ext>
          </c:extLst>
        </c:ser>
        <c:ser>
          <c:idx val="3"/>
          <c:order val="2"/>
          <c:tx>
            <c:strRef>
              <c:f>Canada!$AB$121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Canada!$A$122:$A$142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Canada!$AB$122:$AB$142</c:f>
              <c:numCache>
                <c:formatCode>0.00</c:formatCode>
                <c:ptCount val="21"/>
                <c:pt idx="0">
                  <c:v>118.24936687503235</c:v>
                </c:pt>
                <c:pt idx="1">
                  <c:v>137.50243602799398</c:v>
                </c:pt>
                <c:pt idx="2">
                  <c:v>138.90484661343658</c:v>
                </c:pt>
                <c:pt idx="3">
                  <c:v>139.08500983057681</c:v>
                </c:pt>
                <c:pt idx="4">
                  <c:v>136.44839718031096</c:v>
                </c:pt>
                <c:pt idx="5">
                  <c:v>112.45865391547248</c:v>
                </c:pt>
                <c:pt idx="6">
                  <c:v>106.89572134714606</c:v>
                </c:pt>
                <c:pt idx="7">
                  <c:v>114.17308859668823</c:v>
                </c:pt>
                <c:pt idx="8">
                  <c:v>124.69524969029212</c:v>
                </c:pt>
                <c:pt idx="9">
                  <c:v>97.249320582734342</c:v>
                </c:pt>
                <c:pt idx="10">
                  <c:v>97.942056364870311</c:v>
                </c:pt>
                <c:pt idx="11">
                  <c:v>99.327527929142249</c:v>
                </c:pt>
                <c:pt idx="12">
                  <c:v>100.02026371127822</c:v>
                </c:pt>
                <c:pt idx="13">
                  <c:v>100.02026371127822</c:v>
                </c:pt>
                <c:pt idx="14">
                  <c:v>100.02026371127822</c:v>
                </c:pt>
                <c:pt idx="15">
                  <c:v>100.71299949341419</c:v>
                </c:pt>
                <c:pt idx="16">
                  <c:v>101.40573527555016</c:v>
                </c:pt>
                <c:pt idx="17">
                  <c:v>102.09847105768614</c:v>
                </c:pt>
                <c:pt idx="18">
                  <c:v>102.09847105768614</c:v>
                </c:pt>
                <c:pt idx="19">
                  <c:v>102.09847105768614</c:v>
                </c:pt>
                <c:pt idx="20">
                  <c:v>102.79120683982211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E1-4DEC-A2AD-B561A3A4A344}"/>
            </c:ext>
          </c:extLst>
        </c:ser>
        <c:ser>
          <c:idx val="2"/>
          <c:order val="3"/>
          <c:tx>
            <c:strRef>
              <c:f>Canada!$AA$121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Canada!$A$122:$A$142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Canada!$AA$122:$AA$142</c:f>
              <c:numCache>
                <c:formatCode>0.00</c:formatCode>
                <c:ptCount val="21"/>
                <c:pt idx="0">
                  <c:v>118.24936687503235</c:v>
                </c:pt>
                <c:pt idx="1">
                  <c:v>137.50243602799398</c:v>
                </c:pt>
                <c:pt idx="2">
                  <c:v>138.90484661343658</c:v>
                </c:pt>
                <c:pt idx="3">
                  <c:v>139.08500983057681</c:v>
                </c:pt>
                <c:pt idx="4">
                  <c:v>136.44839718031096</c:v>
                </c:pt>
                <c:pt idx="5">
                  <c:v>112.45865391547248</c:v>
                </c:pt>
                <c:pt idx="6">
                  <c:v>106.89572134714606</c:v>
                </c:pt>
                <c:pt idx="7">
                  <c:v>114.17308859668823</c:v>
                </c:pt>
                <c:pt idx="8">
                  <c:v>124.69524969029212</c:v>
                </c:pt>
                <c:pt idx="9">
                  <c:v>121.43630589627941</c:v>
                </c:pt>
                <c:pt idx="10">
                  <c:v>121.62241534990076</c:v>
                </c:pt>
                <c:pt idx="11">
                  <c:v>127.10562639834515</c:v>
                </c:pt>
                <c:pt idx="12">
                  <c:v>131.18825405090945</c:v>
                </c:pt>
                <c:pt idx="13">
                  <c:v>133.06694159713771</c:v>
                </c:pt>
                <c:pt idx="14">
                  <c:v>133.56364308404187</c:v>
                </c:pt>
                <c:pt idx="15">
                  <c:v>136.1625952891311</c:v>
                </c:pt>
                <c:pt idx="16">
                  <c:v>140.73055660803678</c:v>
                </c:pt>
                <c:pt idx="17">
                  <c:v>143.0847682888932</c:v>
                </c:pt>
                <c:pt idx="18">
                  <c:v>144.57504302022781</c:v>
                </c:pt>
                <c:pt idx="19">
                  <c:v>146.59501099304197</c:v>
                </c:pt>
                <c:pt idx="20">
                  <c:v>148.1395371846113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1-4DEC-A2AD-B561A3A4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652464"/>
        <c:axId val="1149655088"/>
      </c:lineChart>
      <c:catAx>
        <c:axId val="114965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655088"/>
        <c:crosses val="autoZero"/>
        <c:auto val="1"/>
        <c:lblAlgn val="ctr"/>
        <c:lblOffset val="100"/>
        <c:noMultiLvlLbl val="0"/>
      </c:catAx>
      <c:valAx>
        <c:axId val="114965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Canadian cents per litre</a:t>
                </a:r>
              </a:p>
            </c:rich>
          </c:tx>
          <c:layout>
            <c:manualLayout>
              <c:xMode val="edge"/>
              <c:yMode val="edge"/>
              <c:x val="1.734433228843647E-2"/>
              <c:y val="0.16016427914830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65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97913996394421"/>
          <c:y val="0.52889712564093461"/>
          <c:w val="0.26057939805060559"/>
          <c:h val="0.30259970568625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29259842519687E-2"/>
          <c:y val="3.0252097234439699E-2"/>
          <c:w val="0.8695184881889767"/>
          <c:h val="0.8485466326246060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Canada!$BK$44:$BK$97</c:f>
              <c:numCache>
                <c:formatCode>0.00</c:formatCode>
                <c:ptCount val="54"/>
                <c:pt idx="0">
                  <c:v>73.820236294268213</c:v>
                </c:pt>
                <c:pt idx="1">
                  <c:v>73.889201712744594</c:v>
                </c:pt>
                <c:pt idx="2">
                  <c:v>73.112152005449289</c:v>
                </c:pt>
                <c:pt idx="3">
                  <c:v>72.296276694301852</c:v>
                </c:pt>
                <c:pt idx="4">
                  <c:v>71.586463483071626</c:v>
                </c:pt>
                <c:pt idx="5">
                  <c:v>71.192826346715805</c:v>
                </c:pt>
                <c:pt idx="6">
                  <c:v>71.766070892431685</c:v>
                </c:pt>
                <c:pt idx="7">
                  <c:v>69.155823785049364</c:v>
                </c:pt>
                <c:pt idx="8">
                  <c:v>68.655020054073432</c:v>
                </c:pt>
                <c:pt idx="9">
                  <c:v>71.903582835474793</c:v>
                </c:pt>
                <c:pt idx="10">
                  <c:v>73.454079986441698</c:v>
                </c:pt>
                <c:pt idx="11">
                  <c:v>76.400790247385089</c:v>
                </c:pt>
                <c:pt idx="12">
                  <c:v>77.362758190980998</c:v>
                </c:pt>
                <c:pt idx="13">
                  <c:v>74.126287335582361</c:v>
                </c:pt>
                <c:pt idx="14">
                  <c:v>79.153225858089755</c:v>
                </c:pt>
                <c:pt idx="15">
                  <c:v>86.408573718326082</c:v>
                </c:pt>
                <c:pt idx="16">
                  <c:v>104.41845311425077</c:v>
                </c:pt>
                <c:pt idx="17">
                  <c:v>113.73884948118865</c:v>
                </c:pt>
                <c:pt idx="18">
                  <c:v>113.37743311726595</c:v>
                </c:pt>
                <c:pt idx="19">
                  <c:v>113.54860148627851</c:v>
                </c:pt>
                <c:pt idx="20">
                  <c:v>115.40980505926238</c:v>
                </c:pt>
                <c:pt idx="21">
                  <c:v>98.84644314952331</c:v>
                </c:pt>
                <c:pt idx="22">
                  <c:v>98.965464647862149</c:v>
                </c:pt>
                <c:pt idx="23">
                  <c:v>93.792500546652889</c:v>
                </c:pt>
                <c:pt idx="24">
                  <c:v>93.432310794797033</c:v>
                </c:pt>
                <c:pt idx="25">
                  <c:v>97.707443672599595</c:v>
                </c:pt>
                <c:pt idx="26">
                  <c:v>92.162828955166958</c:v>
                </c:pt>
                <c:pt idx="27">
                  <c:v>87.566442887236406</c:v>
                </c:pt>
                <c:pt idx="28">
                  <c:v>84.975079683050282</c:v>
                </c:pt>
                <c:pt idx="29">
                  <c:v>83.848175889554497</c:v>
                </c:pt>
                <c:pt idx="30">
                  <c:v>85.303374852449664</c:v>
                </c:pt>
                <c:pt idx="31">
                  <c:v>87.998721667167587</c:v>
                </c:pt>
                <c:pt idx="32">
                  <c:v>88.569984628670881</c:v>
                </c:pt>
                <c:pt idx="33">
                  <c:v>80.079738285746416</c:v>
                </c:pt>
                <c:pt idx="34">
                  <c:v>85.189372727660569</c:v>
                </c:pt>
                <c:pt idx="35">
                  <c:v>102.33783697144119</c:v>
                </c:pt>
                <c:pt idx="36">
                  <c:v>96.526648421605216</c:v>
                </c:pt>
                <c:pt idx="37">
                  <c:v>94.260757415276075</c:v>
                </c:pt>
                <c:pt idx="38">
                  <c:v>96.166778011420078</c:v>
                </c:pt>
                <c:pt idx="39">
                  <c:v>104.149247950066</c:v>
                </c:pt>
                <c:pt idx="40">
                  <c:v>115.80547261392377</c:v>
                </c:pt>
                <c:pt idx="41">
                  <c:v>120.04467000677256</c:v>
                </c:pt>
                <c:pt idx="42">
                  <c:v>122.58392421737125</c:v>
                </c:pt>
                <c:pt idx="43">
                  <c:v>135.37484182494097</c:v>
                </c:pt>
                <c:pt idx="44">
                  <c:v>111.18675903931751</c:v>
                </c:pt>
                <c:pt idx="45">
                  <c:v>118.68516145520411</c:v>
                </c:pt>
                <c:pt idx="46">
                  <c:v>137.22871055755451</c:v>
                </c:pt>
                <c:pt idx="47">
                  <c:v>139.25680386731807</c:v>
                </c:pt>
                <c:pt idx="48">
                  <c:v>138.38805252352458</c:v>
                </c:pt>
                <c:pt idx="49">
                  <c:v>136.42017156517832</c:v>
                </c:pt>
                <c:pt idx="50">
                  <c:v>112.41320297353339</c:v>
                </c:pt>
                <c:pt idx="51">
                  <c:v>105.01249949499999</c:v>
                </c:pt>
                <c:pt idx="52">
                  <c:v>114.03966908890904</c:v>
                </c:pt>
                <c:pt idx="53">
                  <c:v>128.25691666666668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C-4037-8DB3-62ACF3532CE4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Canada!$A$44:$A$97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Canada!$BL$44:$BL$97</c:f>
              <c:numCache>
                <c:formatCode>0.00</c:formatCode>
                <c:ptCount val="54"/>
                <c:pt idx="0">
                  <c:v>75.503607630287675</c:v>
                </c:pt>
                <c:pt idx="1">
                  <c:v>74.05241712208425</c:v>
                </c:pt>
                <c:pt idx="2">
                  <c:v>72.555369366953315</c:v>
                </c:pt>
                <c:pt idx="3">
                  <c:v>73.682466725055818</c:v>
                </c:pt>
                <c:pt idx="4">
                  <c:v>72.83869115736789</c:v>
                </c:pt>
                <c:pt idx="5">
                  <c:v>71.514063810623895</c:v>
                </c:pt>
                <c:pt idx="6">
                  <c:v>70.902055578701948</c:v>
                </c:pt>
                <c:pt idx="7">
                  <c:v>69.127061988040055</c:v>
                </c:pt>
                <c:pt idx="8">
                  <c:v>67.814137711221434</c:v>
                </c:pt>
                <c:pt idx="9">
                  <c:v>71.18144186219314</c:v>
                </c:pt>
                <c:pt idx="10">
                  <c:v>72.817970588695729</c:v>
                </c:pt>
                <c:pt idx="11">
                  <c:v>74.885461884592488</c:v>
                </c:pt>
                <c:pt idx="12">
                  <c:v>76.253864106044489</c:v>
                </c:pt>
                <c:pt idx="13">
                  <c:v>73.404713143009431</c:v>
                </c:pt>
                <c:pt idx="14">
                  <c:v>78.495494051403369</c:v>
                </c:pt>
                <c:pt idx="15">
                  <c:v>88.532994954385501</c:v>
                </c:pt>
                <c:pt idx="16">
                  <c:v>103.75165093236239</c:v>
                </c:pt>
                <c:pt idx="17">
                  <c:v>112.62198377258457</c:v>
                </c:pt>
                <c:pt idx="18">
                  <c:v>111.32044789758238</c:v>
                </c:pt>
                <c:pt idx="19">
                  <c:v>112.93451164894068</c:v>
                </c:pt>
                <c:pt idx="20">
                  <c:v>115.79236805615284</c:v>
                </c:pt>
                <c:pt idx="21">
                  <c:v>96.097863751042539</c:v>
                </c:pt>
                <c:pt idx="22">
                  <c:v>99.629815516297015</c:v>
                </c:pt>
                <c:pt idx="23">
                  <c:v>93.54720718822665</c:v>
                </c:pt>
                <c:pt idx="24">
                  <c:v>94.165867224064399</c:v>
                </c:pt>
                <c:pt idx="25">
                  <c:v>99.979225656999873</c:v>
                </c:pt>
                <c:pt idx="26">
                  <c:v>90.901180852932569</c:v>
                </c:pt>
                <c:pt idx="27">
                  <c:v>86.451356615339918</c:v>
                </c:pt>
                <c:pt idx="28">
                  <c:v>84.283835701869975</c:v>
                </c:pt>
                <c:pt idx="29">
                  <c:v>82.804543279271186</c:v>
                </c:pt>
                <c:pt idx="30">
                  <c:v>84.806813937429524</c:v>
                </c:pt>
                <c:pt idx="31">
                  <c:v>87.892958729089855</c:v>
                </c:pt>
                <c:pt idx="32">
                  <c:v>87.672773631530404</c:v>
                </c:pt>
                <c:pt idx="33">
                  <c:v>81.826071879911964</c:v>
                </c:pt>
                <c:pt idx="34">
                  <c:v>84.799615366694482</c:v>
                </c:pt>
                <c:pt idx="35">
                  <c:v>102.90430649832166</c:v>
                </c:pt>
                <c:pt idx="36">
                  <c:v>97.328017106912114</c:v>
                </c:pt>
                <c:pt idx="37">
                  <c:v>96.873966225322832</c:v>
                </c:pt>
                <c:pt idx="38">
                  <c:v>97.244207190851199</c:v>
                </c:pt>
                <c:pt idx="39">
                  <c:v>104.91477400330672</c:v>
                </c:pt>
                <c:pt idx="40">
                  <c:v>116.36141876798671</c:v>
                </c:pt>
                <c:pt idx="41">
                  <c:v>119.78151140365617</c:v>
                </c:pt>
                <c:pt idx="42">
                  <c:v>122.20371907860417</c:v>
                </c:pt>
                <c:pt idx="43">
                  <c:v>136.57632447854004</c:v>
                </c:pt>
                <c:pt idx="44">
                  <c:v>111.88107690845938</c:v>
                </c:pt>
                <c:pt idx="45">
                  <c:v>117.99084358606233</c:v>
                </c:pt>
                <c:pt idx="46">
                  <c:v>137.51123153405169</c:v>
                </c:pt>
                <c:pt idx="47">
                  <c:v>139.22710956055971</c:v>
                </c:pt>
                <c:pt idx="48">
                  <c:v>139.34123696572803</c:v>
                </c:pt>
                <c:pt idx="49">
                  <c:v>136.77962441555729</c:v>
                </c:pt>
                <c:pt idx="50">
                  <c:v>112.72139617477504</c:v>
                </c:pt>
                <c:pt idx="51">
                  <c:v>106.88235297556774</c:v>
                </c:pt>
                <c:pt idx="52">
                  <c:v>114.44695389111435</c:v>
                </c:pt>
                <c:pt idx="53">
                  <c:v>125.54054466743528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C-4037-8DB3-62ACF353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136128"/>
        <c:axId val="111281280"/>
      </c:lineChart>
      <c:catAx>
        <c:axId val="1111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81280"/>
        <c:crosses val="autoZero"/>
        <c:auto val="1"/>
        <c:lblAlgn val="ctr"/>
        <c:lblOffset val="100"/>
        <c:noMultiLvlLbl val="0"/>
      </c:catAx>
      <c:valAx>
        <c:axId val="11128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</a:t>
                </a:r>
                <a:r>
                  <a:rPr lang="en-US" baseline="0"/>
                  <a:t> </a:t>
                </a:r>
                <a:r>
                  <a:rPr lang="en-US"/>
                  <a:t>Canadian cents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11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471193700787686"/>
          <c:y val="0.55963069154399181"/>
          <c:w val="0.14243638193071334"/>
          <c:h val="0.21306722868880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'Canada Prov''s'!$BB$4</c:f>
              <c:strCache>
                <c:ptCount val="1"/>
                <c:pt idx="0">
                  <c:v>calc</c:v>
                </c:pt>
              </c:strCache>
            </c:strRef>
          </c:tx>
          <c:marker>
            <c:symbol val="none"/>
          </c:marker>
          <c:val>
            <c:numRef>
              <c:f>'Canada Prov''s'!$BB$5:$BB$50</c:f>
              <c:numCache>
                <c:formatCode>0.00</c:formatCode>
                <c:ptCount val="46"/>
                <c:pt idx="0">
                  <c:v>5.91209570952</c:v>
                </c:pt>
                <c:pt idx="1">
                  <c:v>6.1526950797312008</c:v>
                </c:pt>
                <c:pt idx="2">
                  <c:v>6.4355429698559989</c:v>
                </c:pt>
                <c:pt idx="3">
                  <c:v>6.5939825952000009</c:v>
                </c:pt>
                <c:pt idx="4">
                  <c:v>6.7914203220864007</c:v>
                </c:pt>
                <c:pt idx="5">
                  <c:v>6.8111419004639995</c:v>
                </c:pt>
                <c:pt idx="6">
                  <c:v>6.7204794603935998</c:v>
                </c:pt>
                <c:pt idx="7">
                  <c:v>6.5340502293791989</c:v>
                </c:pt>
                <c:pt idx="8">
                  <c:v>7.3226657664000001</c:v>
                </c:pt>
                <c:pt idx="9">
                  <c:v>10.6959708072</c:v>
                </c:pt>
                <c:pt idx="10">
                  <c:v>12.415536332800002</c:v>
                </c:pt>
                <c:pt idx="11">
                  <c:v>12.694086162912001</c:v>
                </c:pt>
                <c:pt idx="12">
                  <c:v>14.099305176000003</c:v>
                </c:pt>
                <c:pt idx="13">
                  <c:v>15.367149705600001</c:v>
                </c:pt>
                <c:pt idx="14">
                  <c:v>22.84757072</c:v>
                </c:pt>
                <c:pt idx="15">
                  <c:v>34.607448138679196</c:v>
                </c:pt>
                <c:pt idx="16">
                  <c:v>39.699906424098018</c:v>
                </c:pt>
                <c:pt idx="17">
                  <c:v>36.864595303436616</c:v>
                </c:pt>
                <c:pt idx="18">
                  <c:v>33.218062450147031</c:v>
                </c:pt>
                <c:pt idx="19">
                  <c:v>33.528705899058799</c:v>
                </c:pt>
                <c:pt idx="20">
                  <c:v>35.028686405115351</c:v>
                </c:pt>
                <c:pt idx="21">
                  <c:v>25.713271347098548</c:v>
                </c:pt>
                <c:pt idx="22">
                  <c:v>24.962174689577509</c:v>
                </c:pt>
                <c:pt idx="23">
                  <c:v>22.888838170050665</c:v>
                </c:pt>
                <c:pt idx="24">
                  <c:v>23.662658616163998</c:v>
                </c:pt>
                <c:pt idx="25">
                  <c:v>24.469964489248461</c:v>
                </c:pt>
                <c:pt idx="26">
                  <c:v>23.95549626786795</c:v>
                </c:pt>
                <c:pt idx="27">
                  <c:v>22.718119318133056</c:v>
                </c:pt>
                <c:pt idx="28">
                  <c:v>23.406875930391962</c:v>
                </c:pt>
                <c:pt idx="29">
                  <c:v>25.642438440053464</c:v>
                </c:pt>
                <c:pt idx="30">
                  <c:v>26.560791265983909</c:v>
                </c:pt>
                <c:pt idx="31">
                  <c:v>30.257843363024143</c:v>
                </c:pt>
                <c:pt idx="32">
                  <c:v>29.801622728710242</c:v>
                </c:pt>
                <c:pt idx="33">
                  <c:v>25.483550850820937</c:v>
                </c:pt>
                <c:pt idx="34">
                  <c:v>29.830345093074726</c:v>
                </c:pt>
                <c:pt idx="35">
                  <c:v>43.47142629404901</c:v>
                </c:pt>
                <c:pt idx="36">
                  <c:v>42.78598014607018</c:v>
                </c:pt>
                <c:pt idx="37">
                  <c:v>39.98980820330646</c:v>
                </c:pt>
                <c:pt idx="38">
                  <c:v>43.625288067337124</c:v>
                </c:pt>
                <c:pt idx="39">
                  <c:v>50.573738175920944</c:v>
                </c:pt>
                <c:pt idx="40">
                  <c:v>60.52686475828979</c:v>
                </c:pt>
                <c:pt idx="41">
                  <c:v>65.796610141458672</c:v>
                </c:pt>
                <c:pt idx="42">
                  <c:v>68.822898598874986</c:v>
                </c:pt>
                <c:pt idx="43">
                  <c:v>81.065456020609531</c:v>
                </c:pt>
                <c:pt idx="44">
                  <c:v>59.466961079901118</c:v>
                </c:pt>
                <c:pt idx="45">
                  <c:v>65.344074276309158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4-45DB-86B9-B237BAE2AAB5}"/>
            </c:ext>
          </c:extLst>
        </c:ser>
        <c:ser>
          <c:idx val="1"/>
          <c:order val="1"/>
          <c:tx>
            <c:strRef>
              <c:f>'Canada Prov''s'!$BC$4</c:f>
              <c:strCache>
                <c:ptCount val="1"/>
                <c:pt idx="0">
                  <c:v>diff</c:v>
                </c:pt>
              </c:strCache>
            </c:strRef>
          </c:tx>
          <c:marker>
            <c:symbol val="none"/>
          </c:marker>
          <c:val>
            <c:numRef>
              <c:f>'Canada Prov''s'!$BC$5:$BC$50</c:f>
              <c:numCache>
                <c:formatCode>0.00</c:formatCode>
                <c:ptCount val="46"/>
                <c:pt idx="0">
                  <c:v>-0.78348207948596027</c:v>
                </c:pt>
                <c:pt idx="1">
                  <c:v>-0.67020549956914266</c:v>
                </c:pt>
                <c:pt idx="2">
                  <c:v>-0.71335855197552078</c:v>
                </c:pt>
                <c:pt idx="3">
                  <c:v>-0.99430529442088122</c:v>
                </c:pt>
                <c:pt idx="4">
                  <c:v>-0.98686256675651229</c:v>
                </c:pt>
                <c:pt idx="5">
                  <c:v>-0.73903983710535481</c:v>
                </c:pt>
                <c:pt idx="6">
                  <c:v>0.49114056732890887</c:v>
                </c:pt>
                <c:pt idx="7">
                  <c:v>0.73857587601863628</c:v>
                </c:pt>
                <c:pt idx="8">
                  <c:v>0.69972573648731284</c:v>
                </c:pt>
                <c:pt idx="9">
                  <c:v>-0.61063235921772296</c:v>
                </c:pt>
                <c:pt idx="10">
                  <c:v>-0.4935102059206109</c:v>
                </c:pt>
                <c:pt idx="11">
                  <c:v>1.0740206340568967</c:v>
                </c:pt>
                <c:pt idx="12">
                  <c:v>1.2450343414347937</c:v>
                </c:pt>
                <c:pt idx="13">
                  <c:v>1.0061139774317507</c:v>
                </c:pt>
                <c:pt idx="14">
                  <c:v>-3.1915440287874723</c:v>
                </c:pt>
                <c:pt idx="15">
                  <c:v>-10.380818850572851</c:v>
                </c:pt>
                <c:pt idx="16">
                  <c:v>-6.7042007426445309</c:v>
                </c:pt>
                <c:pt idx="17">
                  <c:v>1.4681079773181835</c:v>
                </c:pt>
                <c:pt idx="18">
                  <c:v>7.0886274727970999</c:v>
                </c:pt>
                <c:pt idx="19">
                  <c:v>9.4725358575948277</c:v>
                </c:pt>
                <c:pt idx="20">
                  <c:v>10.54591682625599</c:v>
                </c:pt>
                <c:pt idx="21">
                  <c:v>13.94880592589805</c:v>
                </c:pt>
                <c:pt idx="22">
                  <c:v>16.498103067900033</c:v>
                </c:pt>
                <c:pt idx="23">
                  <c:v>17.260423076558215</c:v>
                </c:pt>
                <c:pt idx="24">
                  <c:v>18.191627144709042</c:v>
                </c:pt>
                <c:pt idx="25">
                  <c:v>23.142187170541902</c:v>
                </c:pt>
                <c:pt idx="26">
                  <c:v>22.725078286116585</c:v>
                </c:pt>
                <c:pt idx="27">
                  <c:v>20.520822787113602</c:v>
                </c:pt>
                <c:pt idx="28">
                  <c:v>17.396882099479924</c:v>
                </c:pt>
                <c:pt idx="29">
                  <c:v>14.094817252467767</c:v>
                </c:pt>
                <c:pt idx="30">
                  <c:v>15.889104383884813</c:v>
                </c:pt>
                <c:pt idx="31">
                  <c:v>14.917206658460742</c:v>
                </c:pt>
                <c:pt idx="32">
                  <c:v>16.666138523065285</c:v>
                </c:pt>
                <c:pt idx="33">
                  <c:v>15.772802663032675</c:v>
                </c:pt>
                <c:pt idx="34">
                  <c:v>16.719530927276594</c:v>
                </c:pt>
                <c:pt idx="35">
                  <c:v>17.174208531922492</c:v>
                </c:pt>
                <c:pt idx="36">
                  <c:v>17.607877930413171</c:v>
                </c:pt>
                <c:pt idx="37">
                  <c:v>18.005533261209102</c:v>
                </c:pt>
                <c:pt idx="38">
                  <c:v>18.502227278165524</c:v>
                </c:pt>
                <c:pt idx="39">
                  <c:v>18.845861507419382</c:v>
                </c:pt>
                <c:pt idx="40">
                  <c:v>19.263024458216613</c:v>
                </c:pt>
                <c:pt idx="41">
                  <c:v>19.648675099781052</c:v>
                </c:pt>
                <c:pt idx="42">
                  <c:v>20.068839222886087</c:v>
                </c:pt>
                <c:pt idx="43">
                  <c:v>20.544525033687247</c:v>
                </c:pt>
                <c:pt idx="44">
                  <c:v>20.60604906599913</c:v>
                </c:pt>
                <c:pt idx="45">
                  <c:v>20.972192087562167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4-45DB-86B9-B237BAE2AAB5}"/>
            </c:ext>
          </c:extLst>
        </c:ser>
        <c:ser>
          <c:idx val="2"/>
          <c:order val="2"/>
          <c:tx>
            <c:strRef>
              <c:f>'Canada Prov''s'!$BD$4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val>
            <c:numRef>
              <c:f>'Canada Prov''s'!$BD$5:$BD$50</c:f>
              <c:numCache>
                <c:formatCode>0.00</c:formatCode>
                <c:ptCount val="46"/>
                <c:pt idx="0">
                  <c:v>5.1286136300340397</c:v>
                </c:pt>
                <c:pt idx="1">
                  <c:v>5.4824895801620581</c:v>
                </c:pt>
                <c:pt idx="2">
                  <c:v>5.7221844178804782</c:v>
                </c:pt>
                <c:pt idx="3">
                  <c:v>5.5996773007791196</c:v>
                </c:pt>
                <c:pt idx="4">
                  <c:v>5.8045577553298884</c:v>
                </c:pt>
                <c:pt idx="5">
                  <c:v>6.0721020633586447</c:v>
                </c:pt>
                <c:pt idx="6">
                  <c:v>7.2116200277225087</c:v>
                </c:pt>
                <c:pt idx="7">
                  <c:v>7.2726261053978352</c:v>
                </c:pt>
                <c:pt idx="8">
                  <c:v>8.022391502887313</c:v>
                </c:pt>
                <c:pt idx="9">
                  <c:v>10.085338447982277</c:v>
                </c:pt>
                <c:pt idx="10">
                  <c:v>11.922026126879391</c:v>
                </c:pt>
                <c:pt idx="11">
                  <c:v>13.768106796968897</c:v>
                </c:pt>
                <c:pt idx="12">
                  <c:v>15.344339517434797</c:v>
                </c:pt>
                <c:pt idx="13">
                  <c:v>16.373263683031752</c:v>
                </c:pt>
                <c:pt idx="14">
                  <c:v>19.656026691212528</c:v>
                </c:pt>
                <c:pt idx="15">
                  <c:v>24.226629288106345</c:v>
                </c:pt>
                <c:pt idx="16">
                  <c:v>32.995705681453487</c:v>
                </c:pt>
                <c:pt idx="17">
                  <c:v>38.332703280754799</c:v>
                </c:pt>
                <c:pt idx="18">
                  <c:v>40.30668992294413</c:v>
                </c:pt>
                <c:pt idx="19">
                  <c:v>43.001241756653627</c:v>
                </c:pt>
                <c:pt idx="20">
                  <c:v>45.574603231371341</c:v>
                </c:pt>
                <c:pt idx="21">
                  <c:v>39.662077272996598</c:v>
                </c:pt>
                <c:pt idx="22">
                  <c:v>41.460277757477542</c:v>
                </c:pt>
                <c:pt idx="23">
                  <c:v>40.14926124660888</c:v>
                </c:pt>
                <c:pt idx="24">
                  <c:v>41.85428576087304</c:v>
                </c:pt>
                <c:pt idx="25">
                  <c:v>47.612151659790364</c:v>
                </c:pt>
                <c:pt idx="26">
                  <c:v>46.680574553984535</c:v>
                </c:pt>
                <c:pt idx="27">
                  <c:v>43.238942105246657</c:v>
                </c:pt>
                <c:pt idx="28">
                  <c:v>40.803758029871886</c:v>
                </c:pt>
                <c:pt idx="29">
                  <c:v>39.737255692521231</c:v>
                </c:pt>
                <c:pt idx="30">
                  <c:v>42.449895649868722</c:v>
                </c:pt>
                <c:pt idx="31">
                  <c:v>45.175050021484886</c:v>
                </c:pt>
                <c:pt idx="32">
                  <c:v>46.467761251775528</c:v>
                </c:pt>
                <c:pt idx="33">
                  <c:v>41.256353513853611</c:v>
                </c:pt>
                <c:pt idx="34">
                  <c:v>46.54987602035132</c:v>
                </c:pt>
                <c:pt idx="35">
                  <c:v>59.103179902298372</c:v>
                </c:pt>
                <c:pt idx="36">
                  <c:v>56.357318739499263</c:v>
                </c:pt>
                <c:pt idx="37">
                  <c:v>55.940179610981041</c:v>
                </c:pt>
                <c:pt idx="38">
                  <c:v>58.944054888190387</c:v>
                </c:pt>
                <c:pt idx="39">
                  <c:v>66.269998811093501</c:v>
                </c:pt>
                <c:pt idx="40">
                  <c:v>77.037301914006491</c:v>
                </c:pt>
                <c:pt idx="41">
                  <c:v>82.029736796915174</c:v>
                </c:pt>
                <c:pt idx="42">
                  <c:v>85.894646396971496</c:v>
                </c:pt>
                <c:pt idx="43">
                  <c:v>98.815276194178011</c:v>
                </c:pt>
                <c:pt idx="44">
                  <c:v>78.466209385614775</c:v>
                </c:pt>
                <c:pt idx="45">
                  <c:v>86.374202037092346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4-45DB-86B9-B237BAE2A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596672"/>
        <c:axId val="111598208"/>
      </c:lineChart>
      <c:catAx>
        <c:axId val="11159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1598208"/>
        <c:crosses val="autoZero"/>
        <c:auto val="1"/>
        <c:lblAlgn val="ctr"/>
        <c:lblOffset val="100"/>
        <c:noMultiLvlLbl val="0"/>
      </c:catAx>
      <c:valAx>
        <c:axId val="11159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159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'Canada Prov''s'!$BD$34:$BD$50</c:f>
              <c:numCache>
                <c:formatCode>0.00</c:formatCode>
                <c:ptCount val="17"/>
                <c:pt idx="0">
                  <c:v>39.737255692521231</c:v>
                </c:pt>
                <c:pt idx="1">
                  <c:v>42.449895649868722</c:v>
                </c:pt>
                <c:pt idx="2">
                  <c:v>45.175050021484886</c:v>
                </c:pt>
                <c:pt idx="3">
                  <c:v>46.467761251775528</c:v>
                </c:pt>
                <c:pt idx="4">
                  <c:v>41.256353513853611</c:v>
                </c:pt>
                <c:pt idx="5">
                  <c:v>46.54987602035132</c:v>
                </c:pt>
                <c:pt idx="6">
                  <c:v>59.103179902298372</c:v>
                </c:pt>
                <c:pt idx="7">
                  <c:v>56.357318739499263</c:v>
                </c:pt>
                <c:pt idx="8">
                  <c:v>55.940179610981041</c:v>
                </c:pt>
                <c:pt idx="9">
                  <c:v>58.944054888190387</c:v>
                </c:pt>
                <c:pt idx="10">
                  <c:v>66.269998811093501</c:v>
                </c:pt>
                <c:pt idx="11">
                  <c:v>77.037301914006491</c:v>
                </c:pt>
                <c:pt idx="12">
                  <c:v>82.029736796915174</c:v>
                </c:pt>
                <c:pt idx="13">
                  <c:v>85.894646396971496</c:v>
                </c:pt>
                <c:pt idx="14">
                  <c:v>98.815276194178011</c:v>
                </c:pt>
                <c:pt idx="15">
                  <c:v>78.466209385614775</c:v>
                </c:pt>
                <c:pt idx="16">
                  <c:v>86.374202037092346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5-42AA-8981-237FD27A7ED3}"/>
            </c:ext>
          </c:extLst>
        </c:ser>
        <c:ser>
          <c:idx val="1"/>
          <c:order val="1"/>
          <c:marker>
            <c:symbol val="none"/>
          </c:marker>
          <c:val>
            <c:numRef>
              <c:f>'Canada Prov''s'!$BE$34:$BE$50</c:f>
              <c:numCache>
                <c:formatCode>0.00</c:formatCode>
                <c:ptCount val="17"/>
                <c:pt idx="0">
                  <c:v>39.737255692521231</c:v>
                </c:pt>
                <c:pt idx="1">
                  <c:v>42.449895649868722</c:v>
                </c:pt>
                <c:pt idx="2">
                  <c:v>45.175050021484886</c:v>
                </c:pt>
                <c:pt idx="3">
                  <c:v>46.467761251775528</c:v>
                </c:pt>
                <c:pt idx="4">
                  <c:v>41.256353513853611</c:v>
                </c:pt>
                <c:pt idx="5">
                  <c:v>46.54987602035132</c:v>
                </c:pt>
                <c:pt idx="6">
                  <c:v>60.645634825971499</c:v>
                </c:pt>
                <c:pt idx="7">
                  <c:v>60.393858076483355</c:v>
                </c:pt>
                <c:pt idx="8">
                  <c:v>57.995341464515562</c:v>
                </c:pt>
                <c:pt idx="9">
                  <c:v>62.127515345502644</c:v>
                </c:pt>
                <c:pt idx="10">
                  <c:v>69.419599683340323</c:v>
                </c:pt>
                <c:pt idx="11">
                  <c:v>79.789889216506396</c:v>
                </c:pt>
                <c:pt idx="12">
                  <c:v>85.445285241239731</c:v>
                </c:pt>
                <c:pt idx="13">
                  <c:v>88.891737821761069</c:v>
                </c:pt>
                <c:pt idx="14">
                  <c:v>101.60998105429678</c:v>
                </c:pt>
                <c:pt idx="15">
                  <c:v>80.073010145900241</c:v>
                </c:pt>
                <c:pt idx="16">
                  <c:v>86.316266363871321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5-42AA-8981-237FD27A7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91712"/>
        <c:axId val="111505792"/>
      </c:lineChart>
      <c:catAx>
        <c:axId val="11149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1505792"/>
        <c:crosses val="autoZero"/>
        <c:auto val="1"/>
        <c:lblAlgn val="ctr"/>
        <c:lblOffset val="100"/>
        <c:noMultiLvlLbl val="0"/>
      </c:catAx>
      <c:valAx>
        <c:axId val="11150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149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'Canada Prov''s'!$AS$4</c:f>
              <c:strCache>
                <c:ptCount val="1"/>
                <c:pt idx="0">
                  <c:v>DRAG</c:v>
                </c:pt>
              </c:strCache>
            </c:strRef>
          </c:tx>
          <c:marker>
            <c:symbol val="none"/>
          </c:marker>
          <c:val>
            <c:numRef>
              <c:f>'Canada Prov''s'!$AS$5:$AS$50</c:f>
              <c:numCache>
                <c:formatCode>0.00</c:formatCode>
                <c:ptCount val="46"/>
                <c:pt idx="0">
                  <c:v>9.259253265546155</c:v>
                </c:pt>
                <c:pt idx="1">
                  <c:v>9.6215351773320954</c:v>
                </c:pt>
                <c:pt idx="2">
                  <c:v>9.8611750940999308</c:v>
                </c:pt>
                <c:pt idx="3">
                  <c:v>10.146569629307706</c:v>
                </c:pt>
                <c:pt idx="4">
                  <c:v>10.505246960605827</c:v>
                </c:pt>
                <c:pt idx="5">
                  <c:v>10.797057972641642</c:v>
                </c:pt>
                <c:pt idx="6">
                  <c:v>11.178399032873296</c:v>
                </c:pt>
                <c:pt idx="7">
                  <c:v>11.309124372105186</c:v>
                </c:pt>
                <c:pt idx="8">
                  <c:v>12.067882569460584</c:v>
                </c:pt>
                <c:pt idx="9">
                  <c:v>14.028822305672538</c:v>
                </c:pt>
                <c:pt idx="10">
                  <c:v>15.860800799132996</c:v>
                </c:pt>
                <c:pt idx="11">
                  <c:v>17.741244976138638</c:v>
                </c:pt>
                <c:pt idx="12">
                  <c:v>19.397564826057128</c:v>
                </c:pt>
                <c:pt idx="13">
                  <c:v>20.253929970172081</c:v>
                </c:pt>
                <c:pt idx="14">
                  <c:v>23.605229887711065</c:v>
                </c:pt>
                <c:pt idx="15">
                  <c:v>28.37912593117137</c:v>
                </c:pt>
                <c:pt idx="16">
                  <c:v>38.571128520331058</c:v>
                </c:pt>
                <c:pt idx="17">
                  <c:v>46.538463301421324</c:v>
                </c:pt>
                <c:pt idx="18">
                  <c:v>49.110735408061466</c:v>
                </c:pt>
                <c:pt idx="19">
                  <c:v>51.302178798491276</c:v>
                </c:pt>
                <c:pt idx="20">
                  <c:v>54.20901088165818</c:v>
                </c:pt>
                <c:pt idx="21">
                  <c:v>48.376652022353674</c:v>
                </c:pt>
                <c:pt idx="22">
                  <c:v>50.544779742817738</c:v>
                </c:pt>
                <c:pt idx="23">
                  <c:v>49.832420286405721</c:v>
                </c:pt>
                <c:pt idx="24">
                  <c:v>52.114971959695403</c:v>
                </c:pt>
                <c:pt idx="25">
                  <c:v>58.871984751518127</c:v>
                </c:pt>
                <c:pt idx="26">
                  <c:v>57.662053323785749</c:v>
                </c:pt>
                <c:pt idx="27">
                  <c:v>55.159963603971562</c:v>
                </c:pt>
                <c:pt idx="28">
                  <c:v>54.02198735746893</c:v>
                </c:pt>
                <c:pt idx="29">
                  <c:v>53.293619753232527</c:v>
                </c:pt>
                <c:pt idx="30">
                  <c:v>55.985394858446497</c:v>
                </c:pt>
                <c:pt idx="31">
                  <c:v>58.730713988565441</c:v>
                </c:pt>
                <c:pt idx="32">
                  <c:v>59.813209471641358</c:v>
                </c:pt>
                <c:pt idx="33">
                  <c:v>54.594415759425871</c:v>
                </c:pt>
                <c:pt idx="34">
                  <c:v>59.884080435256664</c:v>
                </c:pt>
                <c:pt idx="35">
                  <c:v>72.8</c:v>
                </c:pt>
                <c:pt idx="36">
                  <c:v>70.400000000000006</c:v>
                </c:pt>
                <c:pt idx="37">
                  <c:v>70.3</c:v>
                </c:pt>
                <c:pt idx="38">
                  <c:v>73.7</c:v>
                </c:pt>
                <c:pt idx="39">
                  <c:v>81.3</c:v>
                </c:pt>
                <c:pt idx="40">
                  <c:v>92.4</c:v>
                </c:pt>
                <c:pt idx="41">
                  <c:v>97.7</c:v>
                </c:pt>
                <c:pt idx="42">
                  <c:v>101.9</c:v>
                </c:pt>
                <c:pt idx="43">
                  <c:v>115.2</c:v>
                </c:pt>
                <c:pt idx="44">
                  <c:v>94.9</c:v>
                </c:pt>
                <c:pt idx="45">
                  <c:v>103.1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8-4967-9C28-08B46F794734}"/>
            </c:ext>
          </c:extLst>
        </c:ser>
        <c:ser>
          <c:idx val="1"/>
          <c:order val="1"/>
          <c:tx>
            <c:strRef>
              <c:f>'Canada Prov''s'!$AT$4</c:f>
              <c:strCache>
                <c:ptCount val="1"/>
                <c:pt idx="0">
                  <c:v>IEA petrolpr</c:v>
                </c:pt>
              </c:strCache>
            </c:strRef>
          </c:tx>
          <c:marker>
            <c:symbol val="none"/>
          </c:marker>
          <c:val>
            <c:numRef>
              <c:f>'Canada Prov''s'!$AT$5:$AT$50</c:f>
              <c:numCache>
                <c:formatCode>General</c:formatCode>
                <c:ptCount val="46"/>
                <c:pt idx="0">
                  <c:v>0</c:v>
                </c:pt>
                <c:pt idx="16">
                  <c:v>0</c:v>
                </c:pt>
                <c:pt idx="20">
                  <c:v>0</c:v>
                </c:pt>
                <c:pt idx="25" formatCode="0.0">
                  <c:v>57.104908565928774</c:v>
                </c:pt>
                <c:pt idx="26" formatCode="0.0">
                  <c:v>56.894706448508174</c:v>
                </c:pt>
                <c:pt idx="27" formatCode="0.0">
                  <c:v>54.862752646775739</c:v>
                </c:pt>
                <c:pt idx="28" formatCode="0.0">
                  <c:v>54.232146294513953</c:v>
                </c:pt>
                <c:pt idx="29" formatCode="0.0">
                  <c:v>53.60153994225216</c:v>
                </c:pt>
                <c:pt idx="30" formatCode="0.0">
                  <c:v>55.703561116458125</c:v>
                </c:pt>
                <c:pt idx="31" formatCode="0.0">
                  <c:v>58.366121270452354</c:v>
                </c:pt>
                <c:pt idx="32" formatCode="0.0">
                  <c:v>59.697401347449471</c:v>
                </c:pt>
                <c:pt idx="33" formatCode="0.0">
                  <c:v>54.512415784408077</c:v>
                </c:pt>
                <c:pt idx="34" formatCode="0.0">
                  <c:v>58.996727622714147</c:v>
                </c:pt>
                <c:pt idx="35">
                  <c:v>72.8</c:v>
                </c:pt>
                <c:pt idx="36">
                  <c:v>70.400000000000006</c:v>
                </c:pt>
                <c:pt idx="37">
                  <c:v>70.3</c:v>
                </c:pt>
                <c:pt idx="38">
                  <c:v>73.7</c:v>
                </c:pt>
                <c:pt idx="39">
                  <c:v>81.3</c:v>
                </c:pt>
                <c:pt idx="40">
                  <c:v>92.4</c:v>
                </c:pt>
                <c:pt idx="41">
                  <c:v>97.7</c:v>
                </c:pt>
                <c:pt idx="42">
                  <c:v>101.9</c:v>
                </c:pt>
                <c:pt idx="43">
                  <c:v>115.2</c:v>
                </c:pt>
                <c:pt idx="44">
                  <c:v>94.9</c:v>
                </c:pt>
                <c:pt idx="45">
                  <c:v>103.1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8-4967-9C28-08B46F794734}"/>
            </c:ext>
          </c:extLst>
        </c:ser>
        <c:ser>
          <c:idx val="2"/>
          <c:order val="2"/>
          <c:tx>
            <c:strRef>
              <c:f>'Canada Prov''s'!$BG$4</c:f>
              <c:strCache>
                <c:ptCount val="1"/>
                <c:pt idx="0">
                  <c:v>calc'd</c:v>
                </c:pt>
              </c:strCache>
            </c:strRef>
          </c:tx>
          <c:marker>
            <c:symbol val="none"/>
          </c:marker>
          <c:val>
            <c:numRef>
              <c:f>'Canada Prov''s'!$BG$5:$BG$50</c:f>
              <c:numCache>
                <c:formatCode>0.00</c:formatCode>
                <c:ptCount val="46"/>
                <c:pt idx="0">
                  <c:v>0</c:v>
                </c:pt>
                <c:pt idx="35">
                  <c:v>74.342454923673131</c:v>
                </c:pt>
                <c:pt idx="36">
                  <c:v>74.436539336984097</c:v>
                </c:pt>
                <c:pt idx="37">
                  <c:v>72.355161853534511</c:v>
                </c:pt>
                <c:pt idx="38">
                  <c:v>76.883460457312268</c:v>
                </c:pt>
                <c:pt idx="39">
                  <c:v>84.449600872246819</c:v>
                </c:pt>
                <c:pt idx="40">
                  <c:v>95.15258730249991</c:v>
                </c:pt>
                <c:pt idx="41">
                  <c:v>101.11554844432456</c:v>
                </c:pt>
                <c:pt idx="42">
                  <c:v>104.89709142478958</c:v>
                </c:pt>
                <c:pt idx="43">
                  <c:v>117.99470486011877</c:v>
                </c:pt>
                <c:pt idx="44">
                  <c:v>96.506800760285472</c:v>
                </c:pt>
                <c:pt idx="45">
                  <c:v>103.04206432677897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8-4967-9C28-08B46F794734}"/>
            </c:ext>
          </c:extLst>
        </c:ser>
        <c:ser>
          <c:idx val="3"/>
          <c:order val="3"/>
          <c:tx>
            <c:v>GTZ</c:v>
          </c:tx>
          <c:marker>
            <c:symbol val="none"/>
          </c:marker>
          <c:val>
            <c:numRef>
              <c:f>'Canada Prov''s'!$AV$5:$AV$50</c:f>
              <c:numCache>
                <c:formatCode>General</c:formatCode>
                <c:ptCount val="46"/>
                <c:pt idx="0">
                  <c:v>0</c:v>
                </c:pt>
                <c:pt idx="28" formatCode="0.00">
                  <c:v>60.633485833333488</c:v>
                </c:pt>
                <c:pt idx="29" formatCode="0.00">
                  <c:v>62.819363333333179</c:v>
                </c:pt>
                <c:pt idx="30" formatCode="0.00">
                  <c:v>61.759837499999847</c:v>
                </c:pt>
                <c:pt idx="31" formatCode="0.00">
                  <c:v>59.53811722222207</c:v>
                </c:pt>
                <c:pt idx="32" formatCode="0.00">
                  <c:v>58.615438888889024</c:v>
                </c:pt>
                <c:pt idx="33" formatCode="0.00">
                  <c:v>60.821986416666533</c:v>
                </c:pt>
                <c:pt idx="34" formatCode="0.00">
                  <c:v>73.54371750000017</c:v>
                </c:pt>
                <c:pt idx="35" formatCode="0.00">
                  <c:v>86.136380000000003</c:v>
                </c:pt>
                <c:pt idx="36" formatCode="0.00">
                  <c:v>84.407465416666483</c:v>
                </c:pt>
                <c:pt idx="37" formatCode="0.00">
                  <c:v>80.03523499999983</c:v>
                </c:pt>
                <c:pt idx="38" formatCode="0.00">
                  <c:v>83.36257416666686</c:v>
                </c:pt>
                <c:pt idx="39" formatCode="0.00">
                  <c:v>88.469303333333556</c:v>
                </c:pt>
                <c:pt idx="40" formatCode="0.00">
                  <c:v>92.094013333333081</c:v>
                </c:pt>
                <c:pt idx="41" formatCode="0.00">
                  <c:v>95.286519999999726</c:v>
                </c:pt>
                <c:pt idx="42" formatCode="0.00">
                  <c:v>104.18761916666698</c:v>
                </c:pt>
                <c:pt idx="43" formatCode="0.00">
                  <c:v>117.37439999999999</c:v>
                </c:pt>
                <c:pt idx="44" formatCode="0.00">
                  <c:v>102.8790500939847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A8-4967-9C28-08B46F794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541632"/>
        <c:axId val="111617152"/>
      </c:lineChart>
      <c:catAx>
        <c:axId val="11154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1617152"/>
        <c:crosses val="autoZero"/>
        <c:auto val="1"/>
        <c:lblAlgn val="ctr"/>
        <c:lblOffset val="100"/>
        <c:noMultiLvlLbl val="0"/>
      </c:catAx>
      <c:valAx>
        <c:axId val="111617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154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'Canada Prov''s'!$R$61:$AC$61</c:f>
              <c:numCache>
                <c:formatCode>General</c:formatCode>
                <c:ptCount val="12"/>
                <c:pt idx="0">
                  <c:v>13.32</c:v>
                </c:pt>
                <c:pt idx="1">
                  <c:v>5.55</c:v>
                </c:pt>
                <c:pt idx="2">
                  <c:v>11.1</c:v>
                </c:pt>
                <c:pt idx="3">
                  <c:v>13.32</c:v>
                </c:pt>
                <c:pt idx="4">
                  <c:v>14.43</c:v>
                </c:pt>
                <c:pt idx="5">
                  <c:v>16.622249999999998</c:v>
                </c:pt>
                <c:pt idx="6">
                  <c:v>14.43</c:v>
                </c:pt>
                <c:pt idx="7">
                  <c:v>16.649999999999999</c:v>
                </c:pt>
                <c:pt idx="8">
                  <c:v>15.54</c:v>
                </c:pt>
                <c:pt idx="9">
                  <c:v>16.649999999999999</c:v>
                </c:pt>
                <c:pt idx="10">
                  <c:v>5.55</c:v>
                </c:pt>
                <c:pt idx="11">
                  <c:v>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6-4F9C-8A5C-D45386C1AD0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'Canada Prov''s'!$R$62:$AC$62</c:f>
              <c:numCache>
                <c:formatCode>General</c:formatCode>
                <c:ptCount val="12"/>
                <c:pt idx="0">
                  <c:v>14.5</c:v>
                </c:pt>
                <c:pt idx="1">
                  <c:v>13</c:v>
                </c:pt>
                <c:pt idx="2">
                  <c:v>15</c:v>
                </c:pt>
                <c:pt idx="3">
                  <c:v>14</c:v>
                </c:pt>
                <c:pt idx="4">
                  <c:v>14.7</c:v>
                </c:pt>
                <c:pt idx="5">
                  <c:v>19.2</c:v>
                </c:pt>
                <c:pt idx="6">
                  <c:v>15.5</c:v>
                </c:pt>
                <c:pt idx="7">
                  <c:v>15.5</c:v>
                </c:pt>
                <c:pt idx="8">
                  <c:v>13.1</c:v>
                </c:pt>
                <c:pt idx="9">
                  <c:v>33</c:v>
                </c:pt>
                <c:pt idx="10">
                  <c:v>6.2</c:v>
                </c:pt>
                <c:pt idx="11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6-4F9C-8A5C-D45386C1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3461184"/>
        <c:axId val="643464792"/>
      </c:barChart>
      <c:catAx>
        <c:axId val="6434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464792"/>
        <c:crosses val="autoZero"/>
        <c:auto val="1"/>
        <c:lblAlgn val="ctr"/>
        <c:lblOffset val="100"/>
        <c:noMultiLvlLbl val="0"/>
      </c:catAx>
      <c:valAx>
        <c:axId val="64346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46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'World Oil Price analysis'!$AD$4</c:f>
              <c:strCache>
                <c:ptCount val="1"/>
                <c:pt idx="0">
                  <c:v> real oil price</c:v>
                </c:pt>
              </c:strCache>
            </c:strRef>
          </c:tx>
          <c:spPr>
            <a:ln w="412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analysis'!$AC$5:$AC$80</c:f>
              <c:numCache>
                <c:formatCode>General</c:formatCode>
                <c:ptCount val="7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</c:numCache>
            </c:numRef>
          </c:cat>
          <c:val>
            <c:numRef>
              <c:f>'World Oil Price analysis'!$AD$5:$AD$80</c:f>
              <c:numCache>
                <c:formatCode>General</c:formatCode>
                <c:ptCount val="76"/>
                <c:pt idx="5" formatCode="0.00">
                  <c:v>21.734722600286851</c:v>
                </c:pt>
                <c:pt idx="6" formatCode="0.00">
                  <c:v>22.127685744112195</c:v>
                </c:pt>
                <c:pt idx="7" formatCode="0.00">
                  <c:v>21.439504130060858</c:v>
                </c:pt>
                <c:pt idx="8" formatCode="0.00">
                  <c:v>21.941636458038673</c:v>
                </c:pt>
                <c:pt idx="9" formatCode="0.00">
                  <c:v>62.703598855760191</c:v>
                </c:pt>
                <c:pt idx="10" formatCode="0.00">
                  <c:v>59.256172595881438</c:v>
                </c:pt>
                <c:pt idx="11" formatCode="0.00">
                  <c:v>58.895028113827038</c:v>
                </c:pt>
                <c:pt idx="12" formatCode="0.00">
                  <c:v>59.635300153513214</c:v>
                </c:pt>
                <c:pt idx="13" formatCode="0.00">
                  <c:v>55.330567493694716</c:v>
                </c:pt>
                <c:pt idx="14" formatCode="0.00">
                  <c:v>74.323522127224805</c:v>
                </c:pt>
                <c:pt idx="15" formatCode="0.00">
                  <c:v>103.24995045446911</c:v>
                </c:pt>
                <c:pt idx="16" formatCode="0.00">
                  <c:v>100.79490686481606</c:v>
                </c:pt>
                <c:pt idx="17" formatCode="0.00">
                  <c:v>86.57685412133722</c:v>
                </c:pt>
                <c:pt idx="18" formatCode="0.00">
                  <c:v>73.181773333161431</c:v>
                </c:pt>
                <c:pt idx="19" formatCode="0.00">
                  <c:v>69.077352673839016</c:v>
                </c:pt>
                <c:pt idx="20" formatCode="0.00">
                  <c:v>62.395283825906951</c:v>
                </c:pt>
                <c:pt idx="21" formatCode="0.00">
                  <c:v>34.538532812471416</c:v>
                </c:pt>
                <c:pt idx="22" formatCode="0.00">
                  <c:v>42.540266405915901</c:v>
                </c:pt>
                <c:pt idx="23" formatCode="0.00">
                  <c:v>33.990142056114721</c:v>
                </c:pt>
                <c:pt idx="24" formatCode="0.00">
                  <c:v>39.89010429406818</c:v>
                </c:pt>
                <c:pt idx="25" formatCode="0.00">
                  <c:v>47.260841957304422</c:v>
                </c:pt>
                <c:pt idx="26" formatCode="0.00">
                  <c:v>39.821343939717423</c:v>
                </c:pt>
                <c:pt idx="27" formatCode="0.00">
                  <c:v>36.923505396808793</c:v>
                </c:pt>
                <c:pt idx="28" formatCode="0.00">
                  <c:v>32.11246561978863</c:v>
                </c:pt>
                <c:pt idx="29" formatCode="0.00">
                  <c:v>29.211106500610327</c:v>
                </c:pt>
                <c:pt idx="30" formatCode="0.00">
                  <c:v>30.445904869860836</c:v>
                </c:pt>
                <c:pt idx="31" formatCode="0.00">
                  <c:v>35.499198418001072</c:v>
                </c:pt>
                <c:pt idx="32" formatCode="0.00">
                  <c:v>32.320370709590833</c:v>
                </c:pt>
                <c:pt idx="33" formatCode="0.00">
                  <c:v>22.268782503052613</c:v>
                </c:pt>
                <c:pt idx="34" formatCode="0.00">
                  <c:v>26.415017360961585</c:v>
                </c:pt>
                <c:pt idx="35" formatCode="0.00">
                  <c:v>40.34948283193367</c:v>
                </c:pt>
                <c:pt idx="36" formatCode="0.00">
                  <c:v>32.874061296680885</c:v>
                </c:pt>
                <c:pt idx="37" formatCode="0.00">
                  <c:v>34.093188360645129</c:v>
                </c:pt>
                <c:pt idx="38" formatCode="0.00">
                  <c:v>38.444083965997315</c:v>
                </c:pt>
                <c:pt idx="39" formatCode="0.00">
                  <c:v>48.03913434009133</c:v>
                </c:pt>
                <c:pt idx="40" formatCode="0.00">
                  <c:v>65.283977226449025</c:v>
                </c:pt>
                <c:pt idx="41" formatCode="0.00">
                  <c:v>76.285024501471085</c:v>
                </c:pt>
                <c:pt idx="42" formatCode="0.00">
                  <c:v>83.871978488493781</c:v>
                </c:pt>
                <c:pt idx="43" formatCode="0.00">
                  <c:v>110.45828834630711</c:v>
                </c:pt>
                <c:pt idx="44" formatCode="0.00">
                  <c:v>71.642987430486102</c:v>
                </c:pt>
                <c:pt idx="45" formatCode="0.00">
                  <c:v>89.402109322937591</c:v>
                </c:pt>
                <c:pt idx="46" formatCode="0.00">
                  <c:v>120.26418965880769</c:v>
                </c:pt>
                <c:pt idx="47" formatCode="0.00">
                  <c:v>120.13347288494178</c:v>
                </c:pt>
                <c:pt idx="48" formatCode="0.00">
                  <c:v>114.6082766501893</c:v>
                </c:pt>
                <c:pt idx="49" formatCode="0.00">
                  <c:v>102.37407292188689</c:v>
                </c:pt>
                <c:pt idx="50" formatCode="0.00">
                  <c:v>52.586559562180234</c:v>
                </c:pt>
                <c:pt idx="51" formatCode="0.00">
                  <c:v>42.66101581249206</c:v>
                </c:pt>
                <c:pt idx="52" formatCode="0.00">
                  <c:v>53.913383591030232</c:v>
                </c:pt>
                <c:pt idx="53" formatCode="0.00">
                  <c:v>70.203982683982687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4-4B43-BE31-776707CEE547}"/>
            </c:ext>
          </c:extLst>
        </c:ser>
        <c:ser>
          <c:idx val="2"/>
          <c:order val="1"/>
          <c:tx>
            <c:strRef>
              <c:f>'World Oil Price analysis'!$AF$4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analysis'!$AC$5:$AC$80</c:f>
              <c:numCache>
                <c:formatCode>General</c:formatCode>
                <c:ptCount val="7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</c:numCache>
            </c:numRef>
          </c:cat>
          <c:val>
            <c:numRef>
              <c:f>'World Oil Price analysis'!$AF$5:$AF$80</c:f>
              <c:numCache>
                <c:formatCode>General</c:formatCode>
                <c:ptCount val="76"/>
                <c:pt idx="53" formatCode="0.00">
                  <c:v>70.539882799737995</c:v>
                </c:pt>
                <c:pt idx="54" formatCode="0.00">
                  <c:v>104.59499817677553</c:v>
                </c:pt>
                <c:pt idx="55" formatCode="0.00">
                  <c:v>121.52942645301539</c:v>
                </c:pt>
                <c:pt idx="56" formatCode="0.00">
                  <c:v>139.45999756903402</c:v>
                </c:pt>
                <c:pt idx="57" formatCode="0.00">
                  <c:v>147.42914028726457</c:v>
                </c:pt>
                <c:pt idx="58" formatCode="0.00">
                  <c:v>153.40599732593745</c:v>
                </c:pt>
                <c:pt idx="59" formatCode="0.00">
                  <c:v>158.38671152483153</c:v>
                </c:pt>
                <c:pt idx="60" formatCode="0.00">
                  <c:v>163.36742572372557</c:v>
                </c:pt>
                <c:pt idx="61" formatCode="0.00">
                  <c:v>168.34813992261968</c:v>
                </c:pt>
                <c:pt idx="62" formatCode="0.00">
                  <c:v>173.32885412151373</c:v>
                </c:pt>
                <c:pt idx="63" formatCode="0.00">
                  <c:v>177.31342548062901</c:v>
                </c:pt>
                <c:pt idx="64" formatCode="0.00">
                  <c:v>182.29413967952306</c:v>
                </c:pt>
                <c:pt idx="65" formatCode="0.00">
                  <c:v>185.28256819885948</c:v>
                </c:pt>
                <c:pt idx="66" formatCode="0.00">
                  <c:v>187.27485387841716</c:v>
                </c:pt>
                <c:pt idx="67" formatCode="0.00">
                  <c:v>190.26328239775358</c:v>
                </c:pt>
                <c:pt idx="68" formatCode="0.00">
                  <c:v>192.25556807731121</c:v>
                </c:pt>
                <c:pt idx="69" formatCode="0.00">
                  <c:v>195.24399659664766</c:v>
                </c:pt>
                <c:pt idx="70" formatCode="0.00">
                  <c:v>198.23242511598409</c:v>
                </c:pt>
                <c:pt idx="71" formatCode="0.00">
                  <c:v>200.22471079554171</c:v>
                </c:pt>
                <c:pt idx="72" formatCode="0.00">
                  <c:v>202.21699647509934</c:v>
                </c:pt>
                <c:pt idx="73" formatCode="0.00">
                  <c:v>205.20542499443582</c:v>
                </c:pt>
                <c:pt idx="74" formatCode="0.00">
                  <c:v>208.19385351377224</c:v>
                </c:pt>
                <c:pt idx="75" formatCode="0.00">
                  <c:v>209.18999635355107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4-4B43-BE31-776707CEE547}"/>
            </c:ext>
          </c:extLst>
        </c:ser>
        <c:ser>
          <c:idx val="3"/>
          <c:order val="2"/>
          <c:tx>
            <c:strRef>
              <c:f>'World Oil Price analysis'!$AG$4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analysis'!$AC$5:$AC$80</c:f>
              <c:numCache>
                <c:formatCode>General</c:formatCode>
                <c:ptCount val="7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</c:numCache>
            </c:numRef>
          </c:cat>
          <c:val>
            <c:numRef>
              <c:f>'World Oil Price analysis'!$AG$5:$AG$80</c:f>
              <c:numCache>
                <c:formatCode>General</c:formatCode>
                <c:ptCount val="76"/>
                <c:pt idx="53" formatCode="0.00">
                  <c:v>70.539882799737995</c:v>
                </c:pt>
                <c:pt idx="54" formatCode="0.00">
                  <c:v>29.884285193364434</c:v>
                </c:pt>
                <c:pt idx="55" formatCode="0.00">
                  <c:v>30.880428033143254</c:v>
                </c:pt>
                <c:pt idx="56" formatCode="0.00">
                  <c:v>32.872713712700886</c:v>
                </c:pt>
                <c:pt idx="57" formatCode="0.00">
                  <c:v>33.868856552479684</c:v>
                </c:pt>
                <c:pt idx="58" formatCode="0.00">
                  <c:v>33.868856552479684</c:v>
                </c:pt>
                <c:pt idx="59" formatCode="0.00">
                  <c:v>33.868856552479684</c:v>
                </c:pt>
                <c:pt idx="60" formatCode="0.00">
                  <c:v>34.864999392258504</c:v>
                </c:pt>
                <c:pt idx="61" formatCode="0.00">
                  <c:v>35.861142232037324</c:v>
                </c:pt>
                <c:pt idx="62" formatCode="0.00">
                  <c:v>36.857285071816143</c:v>
                </c:pt>
                <c:pt idx="63" formatCode="0.00">
                  <c:v>36.857285071816143</c:v>
                </c:pt>
                <c:pt idx="64" formatCode="0.00">
                  <c:v>36.857285071816143</c:v>
                </c:pt>
                <c:pt idx="65" formatCode="0.00">
                  <c:v>37.853427911594956</c:v>
                </c:pt>
                <c:pt idx="66" formatCode="0.00">
                  <c:v>38.351499331484362</c:v>
                </c:pt>
                <c:pt idx="67" formatCode="0.00">
                  <c:v>38.849570751373768</c:v>
                </c:pt>
                <c:pt idx="68" formatCode="0.00">
                  <c:v>39.347642171263168</c:v>
                </c:pt>
                <c:pt idx="69" formatCode="0.00">
                  <c:v>39.845713591152588</c:v>
                </c:pt>
                <c:pt idx="70" formatCode="0.00">
                  <c:v>40.343785011041994</c:v>
                </c:pt>
                <c:pt idx="71" formatCode="0.00">
                  <c:v>40.841856430931394</c:v>
                </c:pt>
                <c:pt idx="72" formatCode="0.00">
                  <c:v>41.837999270710213</c:v>
                </c:pt>
                <c:pt idx="73" formatCode="0.00">
                  <c:v>42.834142110489019</c:v>
                </c:pt>
                <c:pt idx="74" formatCode="0.00">
                  <c:v>43.830284950267853</c:v>
                </c:pt>
                <c:pt idx="75" formatCode="0.00">
                  <c:v>44.826427790046658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C4-4B43-BE31-776707CEE547}"/>
            </c:ext>
          </c:extLst>
        </c:ser>
        <c:ser>
          <c:idx val="1"/>
          <c:order val="3"/>
          <c:tx>
            <c:strRef>
              <c:f>'World Oil Price analysis'!$AE$4</c:f>
              <c:strCache>
                <c:ptCount val="1"/>
                <c:pt idx="0">
                  <c:v>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analysis'!$AC$5:$AC$80</c:f>
              <c:numCache>
                <c:formatCode>General</c:formatCode>
                <c:ptCount val="7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  <c:pt idx="66">
                  <c:v>2031</c:v>
                </c:pt>
                <c:pt idx="67">
                  <c:v>2032</c:v>
                </c:pt>
                <c:pt idx="68">
                  <c:v>2033</c:v>
                </c:pt>
                <c:pt idx="69">
                  <c:v>2034</c:v>
                </c:pt>
                <c:pt idx="70">
                  <c:v>2035</c:v>
                </c:pt>
                <c:pt idx="71">
                  <c:v>2036</c:v>
                </c:pt>
                <c:pt idx="72">
                  <c:v>2037</c:v>
                </c:pt>
                <c:pt idx="73">
                  <c:v>2038</c:v>
                </c:pt>
                <c:pt idx="74">
                  <c:v>2039</c:v>
                </c:pt>
                <c:pt idx="75">
                  <c:v>2040</c:v>
                </c:pt>
              </c:numCache>
            </c:numRef>
          </c:cat>
          <c:val>
            <c:numRef>
              <c:f>'World Oil Price analysis'!$AE$5:$AE$80</c:f>
              <c:numCache>
                <c:formatCode>General</c:formatCode>
                <c:ptCount val="76"/>
                <c:pt idx="5" formatCode="0.00">
                  <c:v>13.671574050288468</c:v>
                </c:pt>
                <c:pt idx="6" formatCode="0.00">
                  <c:v>21.227906860014183</c:v>
                </c:pt>
                <c:pt idx="7" formatCode="0.00">
                  <c:v>30.18075585981035</c:v>
                </c:pt>
                <c:pt idx="8" formatCode="0.00">
                  <c:v>38.26432618688316</c:v>
                </c:pt>
                <c:pt idx="9" formatCode="0.00">
                  <c:v>53.431260361020904</c:v>
                </c:pt>
                <c:pt idx="10" formatCode="0.00">
                  <c:v>64.143885330650875</c:v>
                </c:pt>
                <c:pt idx="11" formatCode="0.00">
                  <c:v>54.878132180986114</c:v>
                </c:pt>
                <c:pt idx="12" formatCode="0.00">
                  <c:v>51.622108959867582</c:v>
                </c:pt>
                <c:pt idx="13" formatCode="0.00">
                  <c:v>61.959400017404526</c:v>
                </c:pt>
                <c:pt idx="14" formatCode="0.00">
                  <c:v>80.144708800743729</c:v>
                </c:pt>
                <c:pt idx="15" formatCode="0.00">
                  <c:v>95.098893043116419</c:v>
                </c:pt>
                <c:pt idx="16" formatCode="0.00">
                  <c:v>92.809318246345342</c:v>
                </c:pt>
                <c:pt idx="17" formatCode="0.00">
                  <c:v>89.725982208262991</c:v>
                </c:pt>
                <c:pt idx="18" formatCode="0.00">
                  <c:v>76.205512562168991</c:v>
                </c:pt>
                <c:pt idx="19" formatCode="0.00">
                  <c:v>68.237263911890935</c:v>
                </c:pt>
                <c:pt idx="20" formatCode="0.00">
                  <c:v>63.600786323283849</c:v>
                </c:pt>
                <c:pt idx="21" formatCode="0.00">
                  <c:v>38.304621175543332</c:v>
                </c:pt>
                <c:pt idx="22" formatCode="0.00">
                  <c:v>36.468469943021546</c:v>
                </c:pt>
                <c:pt idx="23" formatCode="0.00">
                  <c:v>32.914177802602381</c:v>
                </c:pt>
                <c:pt idx="24" formatCode="0.00">
                  <c:v>28.437730312941845</c:v>
                </c:pt>
                <c:pt idx="25" formatCode="0.00">
                  <c:v>29.370441863397424</c:v>
                </c:pt>
                <c:pt idx="26" formatCode="0.00">
                  <c:v>32.459560448895274</c:v>
                </c:pt>
                <c:pt idx="27" formatCode="0.00">
                  <c:v>37.642994803064923</c:v>
                </c:pt>
                <c:pt idx="28" formatCode="0.00">
                  <c:v>32.879161767464865</c:v>
                </c:pt>
                <c:pt idx="29" formatCode="0.00">
                  <c:v>30.333320216365564</c:v>
                </c:pt>
                <c:pt idx="30" formatCode="0.00">
                  <c:v>33.256306717311858</c:v>
                </c:pt>
                <c:pt idx="31" formatCode="0.00">
                  <c:v>36.592466210762339</c:v>
                </c:pt>
                <c:pt idx="32" formatCode="0.00">
                  <c:v>31.686627638478704</c:v>
                </c:pt>
                <c:pt idx="33" formatCode="0.00">
                  <c:v>30.576271876401023</c:v>
                </c:pt>
                <c:pt idx="34" formatCode="0.00">
                  <c:v>35.896778412922075</c:v>
                </c:pt>
                <c:pt idx="35" formatCode="0.00">
                  <c:v>41.855187723277183</c:v>
                </c:pt>
                <c:pt idx="36" formatCode="0.00">
                  <c:v>38.348716365128908</c:v>
                </c:pt>
                <c:pt idx="37" formatCode="0.00">
                  <c:v>37.602134837330212</c:v>
                </c:pt>
                <c:pt idx="38" formatCode="0.00">
                  <c:v>42.457390847451016</c:v>
                </c:pt>
                <c:pt idx="39" formatCode="0.00">
                  <c:v>51.827997005593694</c:v>
                </c:pt>
                <c:pt idx="40" formatCode="0.00">
                  <c:v>65.259722103106228</c:v>
                </c:pt>
                <c:pt idx="41" formatCode="0.00">
                  <c:v>74.688745272572575</c:v>
                </c:pt>
                <c:pt idx="42" formatCode="0.00">
                  <c:v>85.533086468843933</c:v>
                </c:pt>
                <c:pt idx="43" formatCode="0.00">
                  <c:v>109.32269630791144</c:v>
                </c:pt>
                <c:pt idx="44" formatCode="0.00">
                  <c:v>70.49907182882724</c:v>
                </c:pt>
                <c:pt idx="45" formatCode="0.00">
                  <c:v>89.985842387653108</c:v>
                </c:pt>
                <c:pt idx="46" formatCode="0.00">
                  <c:v>123.26159059885735</c:v>
                </c:pt>
                <c:pt idx="47" formatCode="0.00">
                  <c:v>118.40677884242976</c:v>
                </c:pt>
                <c:pt idx="48" formatCode="0.00">
                  <c:v>112.24475539558043</c:v>
                </c:pt>
                <c:pt idx="49" formatCode="0.00">
                  <c:v>102.38049818978509</c:v>
                </c:pt>
                <c:pt idx="50" formatCode="0.00">
                  <c:v>51.771693011713502</c:v>
                </c:pt>
                <c:pt idx="51" formatCode="0.00">
                  <c:v>41.399248039045624</c:v>
                </c:pt>
                <c:pt idx="52" formatCode="0.00">
                  <c:v>54.69183660802117</c:v>
                </c:pt>
                <c:pt idx="53" formatCode="0.00">
                  <c:v>70.539882799737995</c:v>
                </c:pt>
                <c:pt idx="54" formatCode="0.00">
                  <c:v>64.664778502997137</c:v>
                </c:pt>
                <c:pt idx="55" formatCode="0.00">
                  <c:v>64.932400884316081</c:v>
                </c:pt>
                <c:pt idx="56" formatCode="0.00">
                  <c:v>72.817169602430127</c:v>
                </c:pt>
                <c:pt idx="57" formatCode="0.00">
                  <c:v>78.687922071784527</c:v>
                </c:pt>
                <c:pt idx="58" formatCode="0.00">
                  <c:v>81.389444348555855</c:v>
                </c:pt>
                <c:pt idx="59" formatCode="0.00">
                  <c:v>82.103693045456524</c:v>
                </c:pt>
                <c:pt idx="60" formatCode="0.00">
                  <c:v>85.840944241062914</c:v>
                </c:pt>
                <c:pt idx="61" formatCode="0.00">
                  <c:v>92.409598665386227</c:v>
                </c:pt>
                <c:pt idx="62" formatCode="0.00">
                  <c:v>95.79491694933256</c:v>
                </c:pt>
                <c:pt idx="63" formatCode="0.00">
                  <c:v>97.937907886432598</c:v>
                </c:pt>
                <c:pt idx="64" formatCode="0.00">
                  <c:v>100.84258912939801</c:v>
                </c:pt>
                <c:pt idx="65" formatCode="0.00">
                  <c:v>103.06359278802036</c:v>
                </c:pt>
                <c:pt idx="66" formatCode="0.00">
                  <c:v>104.90735926748033</c:v>
                </c:pt>
                <c:pt idx="67" formatCode="0.00">
                  <c:v>105.65452780000675</c:v>
                </c:pt>
                <c:pt idx="68" formatCode="0.00">
                  <c:v>105.58388911779046</c:v>
                </c:pt>
                <c:pt idx="69" formatCode="0.00">
                  <c:v>104.06568020704098</c:v>
                </c:pt>
                <c:pt idx="70" formatCode="0.00">
                  <c:v>103.9516991055436</c:v>
                </c:pt>
                <c:pt idx="71" formatCode="0.00">
                  <c:v>105.33179590899961</c:v>
                </c:pt>
                <c:pt idx="72" formatCode="0.00">
                  <c:v>105.91115037541476</c:v>
                </c:pt>
                <c:pt idx="73" formatCode="0.00">
                  <c:v>106.18653414492707</c:v>
                </c:pt>
                <c:pt idx="74" formatCode="0.00">
                  <c:v>107.03757557574838</c:v>
                </c:pt>
                <c:pt idx="75" formatCode="0.00">
                  <c:v>107.77635297977416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4-4B43-BE31-776707CEE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7471864"/>
        <c:axId val="1127474816"/>
      </c:lineChart>
      <c:catAx>
        <c:axId val="112747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474816"/>
        <c:crosses val="autoZero"/>
        <c:auto val="1"/>
        <c:lblAlgn val="ctr"/>
        <c:lblOffset val="100"/>
        <c:noMultiLvlLbl val="0"/>
      </c:catAx>
      <c:valAx>
        <c:axId val="11274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US$ per barrel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47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7984927391977E-2"/>
          <c:y val="4.1431249482850811E-2"/>
          <c:w val="0.77799470325802955"/>
          <c:h val="0.78784056590875462"/>
        </c:manualLayout>
      </c:layout>
      <c:lineChart>
        <c:grouping val="standard"/>
        <c:varyColors val="0"/>
        <c:ser>
          <c:idx val="0"/>
          <c:order val="0"/>
          <c:tx>
            <c:v>  energy content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China!$AZ$74:$AZ$97</c:f>
              <c:numCache>
                <c:formatCode>0.00</c:formatCode>
                <c:ptCount val="24"/>
                <c:pt idx="0">
                  <c:v>2.3314711746137231</c:v>
                </c:pt>
                <c:pt idx="1">
                  <c:v>2.2304624587775135</c:v>
                </c:pt>
                <c:pt idx="2">
                  <c:v>2.1630699171623151</c:v>
                </c:pt>
                <c:pt idx="3">
                  <c:v>2.1765922249793217</c:v>
                </c:pt>
                <c:pt idx="4">
                  <c:v>2.3827500627599774</c:v>
                </c:pt>
                <c:pt idx="5">
                  <c:v>3.248391036460692</c:v>
                </c:pt>
                <c:pt idx="6">
                  <c:v>3.2247009071043404</c:v>
                </c:pt>
                <c:pt idx="7">
                  <c:v>3.4229629066585594</c:v>
                </c:pt>
                <c:pt idx="8">
                  <c:v>3.3849160488955286</c:v>
                </c:pt>
                <c:pt idx="9">
                  <c:v>3.7595414781297123</c:v>
                </c:pt>
                <c:pt idx="10">
                  <c:v>3.8154276912801928</c:v>
                </c:pt>
                <c:pt idx="11">
                  <c:v>5.1186240035455404</c:v>
                </c:pt>
                <c:pt idx="12">
                  <c:v>4.6483782753718739</c:v>
                </c:pt>
                <c:pt idx="13">
                  <c:v>5.0478389103811621</c:v>
                </c:pt>
                <c:pt idx="14">
                  <c:v>4.2593944781315809</c:v>
                </c:pt>
                <c:pt idx="15">
                  <c:v>4.7655341880341888</c:v>
                </c:pt>
                <c:pt idx="16">
                  <c:v>5.1187714333143042</c:v>
                </c:pt>
                <c:pt idx="17">
                  <c:v>5.1817225630925785</c:v>
                </c:pt>
                <c:pt idx="18">
                  <c:v>4.7768981648074842</c:v>
                </c:pt>
                <c:pt idx="19">
                  <c:v>4.1864242210256837</c:v>
                </c:pt>
                <c:pt idx="20">
                  <c:v>2.3831665878307025</c:v>
                </c:pt>
                <c:pt idx="21">
                  <c:v>2.2937656856783288</c:v>
                </c:pt>
                <c:pt idx="22">
                  <c:v>2.2157773371141403</c:v>
                </c:pt>
                <c:pt idx="23">
                  <c:v>2.7926175590482352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F-4ECB-8BB7-50489D49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242072"/>
        <c:axId val="631244368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China!$AN$74:$AN$96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China!$BB$74:$BB$97</c:f>
              <c:numCache>
                <c:formatCode>0.00</c:formatCode>
                <c:ptCount val="24"/>
                <c:pt idx="0">
                  <c:v>207.76043466522682</c:v>
                </c:pt>
                <c:pt idx="1">
                  <c:v>229.20002991026917</c:v>
                </c:pt>
                <c:pt idx="2">
                  <c:v>207.16961076755186</c:v>
                </c:pt>
                <c:pt idx="3">
                  <c:v>145.87563782991202</c:v>
                </c:pt>
                <c:pt idx="4">
                  <c:v>179.33409840128886</c:v>
                </c:pt>
                <c:pt idx="5">
                  <c:v>282.18332715820674</c:v>
                </c:pt>
                <c:pt idx="6">
                  <c:v>234.65878602084612</c:v>
                </c:pt>
                <c:pt idx="7">
                  <c:v>249.0460968379447</c:v>
                </c:pt>
                <c:pt idx="8">
                  <c:v>284.08904360571643</c:v>
                </c:pt>
                <c:pt idx="9">
                  <c:v>351.03369411764703</c:v>
                </c:pt>
                <c:pt idx="10">
                  <c:v>479.5141463414634</c:v>
                </c:pt>
                <c:pt idx="11">
                  <c:v>553.69290880145547</c:v>
                </c:pt>
                <c:pt idx="12">
                  <c:v>569.90812628838012</c:v>
                </c:pt>
                <c:pt idx="13">
                  <c:v>671.88845129570836</c:v>
                </c:pt>
                <c:pt idx="14">
                  <c:v>430.35581923235668</c:v>
                </c:pt>
                <c:pt idx="15">
                  <c:v>524.29777500000012</c:v>
                </c:pt>
                <c:pt idx="16">
                  <c:v>657.50645191852209</c:v>
                </c:pt>
                <c:pt idx="17">
                  <c:v>638.1024794397772</c:v>
                </c:pt>
                <c:pt idx="18">
                  <c:v>590.21625000000006</c:v>
                </c:pt>
                <c:pt idx="19">
                  <c:v>521.55543077941547</c:v>
                </c:pt>
                <c:pt idx="20">
                  <c:v>268.36900328054304</c:v>
                </c:pt>
                <c:pt idx="21">
                  <c:v>230.5366932178809</c:v>
                </c:pt>
                <c:pt idx="22" formatCode="0">
                  <c:v>297.97848685867831</c:v>
                </c:pt>
                <c:pt idx="23" formatCode="0">
                  <c:v>382.19482833808138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F-4ECB-8BB7-50489D49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780728"/>
        <c:axId val="595775480"/>
      </c:lineChart>
      <c:catAx>
        <c:axId val="6312420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244368"/>
        <c:crosses val="autoZero"/>
        <c:auto val="1"/>
        <c:lblAlgn val="ctr"/>
        <c:lblOffset val="100"/>
        <c:noMultiLvlLbl val="0"/>
      </c:catAx>
      <c:valAx>
        <c:axId val="63124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yuan per litre</a:t>
                </a:r>
              </a:p>
            </c:rich>
          </c:tx>
          <c:layout>
            <c:manualLayout>
              <c:xMode val="edge"/>
              <c:yMode val="edge"/>
              <c:x val="1.580135440180587E-2"/>
              <c:y val="0.263976670380749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242072"/>
        <c:crosses val="autoZero"/>
        <c:crossBetween val="between"/>
      </c:valAx>
      <c:valAx>
        <c:axId val="595775480"/>
        <c:scaling>
          <c:orientation val="minMax"/>
          <c:max val="8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yuan per barrel</a:t>
                </a:r>
              </a:p>
            </c:rich>
          </c:tx>
          <c:layout>
            <c:manualLayout>
              <c:xMode val="edge"/>
              <c:yMode val="edge"/>
              <c:x val="0.94536108494338889"/>
              <c:y val="0.249127556348130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80728"/>
        <c:crosses val="max"/>
        <c:crossBetween val="between"/>
      </c:valAx>
      <c:catAx>
        <c:axId val="5957807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95775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587831712909475"/>
          <c:y val="0.44839674113713801"/>
          <c:w val="0.22277052085426677"/>
          <c:h val="0.24887250355961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08436445444313E-2"/>
          <c:y val="2.8419190897803079E-2"/>
          <c:w val="0.89304258396271896"/>
          <c:h val="0.86384242565626368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China!$AZ$74:$AZ$97</c:f>
              <c:numCache>
                <c:formatCode>0.00</c:formatCode>
                <c:ptCount val="24"/>
                <c:pt idx="0">
                  <c:v>2.3314711746137231</c:v>
                </c:pt>
                <c:pt idx="1">
                  <c:v>2.2304624587775135</c:v>
                </c:pt>
                <c:pt idx="2">
                  <c:v>2.1630699171623151</c:v>
                </c:pt>
                <c:pt idx="3">
                  <c:v>2.1765922249793217</c:v>
                </c:pt>
                <c:pt idx="4">
                  <c:v>2.3827500627599774</c:v>
                </c:pt>
                <c:pt idx="5">
                  <c:v>3.248391036460692</c:v>
                </c:pt>
                <c:pt idx="6">
                  <c:v>3.2247009071043404</c:v>
                </c:pt>
                <c:pt idx="7">
                  <c:v>3.4229629066585594</c:v>
                </c:pt>
                <c:pt idx="8">
                  <c:v>3.3849160488955286</c:v>
                </c:pt>
                <c:pt idx="9">
                  <c:v>3.7595414781297123</c:v>
                </c:pt>
                <c:pt idx="10">
                  <c:v>3.8154276912801928</c:v>
                </c:pt>
                <c:pt idx="11">
                  <c:v>5.1186240035455404</c:v>
                </c:pt>
                <c:pt idx="12">
                  <c:v>4.6483782753718739</c:v>
                </c:pt>
                <c:pt idx="13">
                  <c:v>5.0478389103811621</c:v>
                </c:pt>
                <c:pt idx="14">
                  <c:v>4.2593944781315809</c:v>
                </c:pt>
                <c:pt idx="15">
                  <c:v>4.7655341880341888</c:v>
                </c:pt>
                <c:pt idx="16">
                  <c:v>5.1187714333143042</c:v>
                </c:pt>
                <c:pt idx="17">
                  <c:v>5.1817225630925785</c:v>
                </c:pt>
                <c:pt idx="18">
                  <c:v>4.7768981648074842</c:v>
                </c:pt>
                <c:pt idx="19">
                  <c:v>4.1864242210256837</c:v>
                </c:pt>
                <c:pt idx="20">
                  <c:v>2.3831665878307025</c:v>
                </c:pt>
                <c:pt idx="21">
                  <c:v>2.2937656856783288</c:v>
                </c:pt>
                <c:pt idx="22">
                  <c:v>2.2157773371141403</c:v>
                </c:pt>
                <c:pt idx="23">
                  <c:v>2.7926175590482352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3-41B2-B9B7-2D6D9CE6E086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China!$BA$74:$BA$97</c:f>
              <c:numCache>
                <c:formatCode>0.00</c:formatCode>
                <c:ptCount val="24"/>
                <c:pt idx="0">
                  <c:v>2.1266874746388833</c:v>
                </c:pt>
                <c:pt idx="1">
                  <c:v>2.270645372883183</c:v>
                </c:pt>
                <c:pt idx="2">
                  <c:v>2.1227203397387289</c:v>
                </c:pt>
                <c:pt idx="3">
                  <c:v>2.4093517974918752</c:v>
                </c:pt>
                <c:pt idx="4">
                  <c:v>2.6340113401415421</c:v>
                </c:pt>
                <c:pt idx="5">
                  <c:v>3.32460081436759</c:v>
                </c:pt>
                <c:pt idx="6">
                  <c:v>3.005493434822204</c:v>
                </c:pt>
                <c:pt idx="7">
                  <c:v>3.1020981982491587</c:v>
                </c:pt>
                <c:pt idx="8">
                  <c:v>3.3373969017609153</c:v>
                </c:pt>
                <c:pt idx="9">
                  <c:v>3.7869021781548438</c:v>
                </c:pt>
                <c:pt idx="10">
                  <c:v>3.9513997756812596</c:v>
                </c:pt>
                <c:pt idx="11">
                  <c:v>5.1186240035455395</c:v>
                </c:pt>
                <c:pt idx="12">
                  <c:v>4.5583574732667387</c:v>
                </c:pt>
                <c:pt idx="13">
                  <c:v>5.2431126229107292</c:v>
                </c:pt>
                <c:pt idx="14">
                  <c:v>4.1970738988255931</c:v>
                </c:pt>
                <c:pt idx="15">
                  <c:v>4.8278547673401757</c:v>
                </c:pt>
                <c:pt idx="16">
                  <c:v>5.1465435235771348</c:v>
                </c:pt>
                <c:pt idx="17">
                  <c:v>5.0162539792222205</c:v>
                </c:pt>
                <c:pt idx="18">
                  <c:v>4.6947180142842306</c:v>
                </c:pt>
                <c:pt idx="19">
                  <c:v>4.2336893841372714</c:v>
                </c:pt>
                <c:pt idx="20">
                  <c:v>2.5336486161032457</c:v>
                </c:pt>
                <c:pt idx="21">
                  <c:v>2.2796205068922335</c:v>
                </c:pt>
                <c:pt idx="22">
                  <c:v>2.2214587261362722</c:v>
                </c:pt>
                <c:pt idx="23">
                  <c:v>2.7869361700261024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3-41B2-B9B7-2D6D9CE6E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850992"/>
        <c:axId val="684842464"/>
      </c:lineChart>
      <c:catAx>
        <c:axId val="684850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842464"/>
        <c:crosses val="autoZero"/>
        <c:auto val="1"/>
        <c:lblAlgn val="ctr"/>
        <c:lblOffset val="100"/>
        <c:noMultiLvlLbl val="0"/>
      </c:catAx>
      <c:valAx>
        <c:axId val="6848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yuan per litre</a:t>
                </a:r>
              </a:p>
            </c:rich>
          </c:tx>
          <c:layout>
            <c:manualLayout>
              <c:xMode val="edge"/>
              <c:yMode val="edge"/>
              <c:x val="1.3867266591676041E-2"/>
              <c:y val="0.31363514178407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85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970175156676834"/>
          <c:y val="0.46758380094930163"/>
          <c:w val="0.17855568053993251"/>
          <c:h val="0.290853076419372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09545943320966E-2"/>
          <c:y val="3.949731816885118E-2"/>
          <c:w val="0.88456137916681121"/>
          <c:h val="0.8444224103881622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China!$AW$74:$AW$97</c:f>
              <c:numCache>
                <c:formatCode>0.00</c:formatCode>
                <c:ptCount val="24"/>
                <c:pt idx="0">
                  <c:v>3.0436960043196546</c:v>
                </c:pt>
                <c:pt idx="1">
                  <c:v>2.9012662013958126</c:v>
                </c:pt>
                <c:pt idx="2">
                  <c:v>2.8145313447314182</c:v>
                </c:pt>
                <c:pt idx="3">
                  <c:v>2.8325366568914956</c:v>
                </c:pt>
                <c:pt idx="4">
                  <c:v>3.0778163341182303</c:v>
                </c:pt>
                <c:pt idx="5">
                  <c:v>4.0896134370754602</c:v>
                </c:pt>
                <c:pt idx="6">
                  <c:v>4.0598405885959536</c:v>
                </c:pt>
                <c:pt idx="7">
                  <c:v>4.2938982213438743</c:v>
                </c:pt>
                <c:pt idx="8">
                  <c:v>4.2461707585196047</c:v>
                </c:pt>
                <c:pt idx="9">
                  <c:v>4.6739576470588222</c:v>
                </c:pt>
                <c:pt idx="10">
                  <c:v>4.7345393596116043</c:v>
                </c:pt>
                <c:pt idx="11">
                  <c:v>6.2548806004093693</c:v>
                </c:pt>
                <c:pt idx="12">
                  <c:v>5.6924812845828363</c:v>
                </c:pt>
                <c:pt idx="13">
                  <c:v>6.1456519512444947</c:v>
                </c:pt>
                <c:pt idx="14">
                  <c:v>6.1906727197688811</c:v>
                </c:pt>
                <c:pt idx="15">
                  <c:v>6.8000000000000007</c:v>
                </c:pt>
                <c:pt idx="16">
                  <c:v>7.2003789673140695</c:v>
                </c:pt>
                <c:pt idx="17">
                  <c:v>7.2932053175775486</c:v>
                </c:pt>
                <c:pt idx="18">
                  <c:v>6.8369917236415976</c:v>
                </c:pt>
                <c:pt idx="19">
                  <c:v>6.3439632800776744</c:v>
                </c:pt>
                <c:pt idx="20">
                  <c:v>4.3358162199791161</c:v>
                </c:pt>
                <c:pt idx="21">
                  <c:v>4.200853096741171</c:v>
                </c:pt>
                <c:pt idx="22">
                  <c:v>4.0857838609455026</c:v>
                </c:pt>
                <c:pt idx="23">
                  <c:v>4.6909666825276872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B-4F97-9697-9C6300E12C1C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China!$AX$74:$AX$97</c:f>
              <c:numCache>
                <c:formatCode>0.00</c:formatCode>
                <c:ptCount val="24"/>
                <c:pt idx="0">
                  <c:v>2.8389123043448148</c:v>
                </c:pt>
                <c:pt idx="1">
                  <c:v>2.9414491155014821</c:v>
                </c:pt>
                <c:pt idx="2">
                  <c:v>2.7741817673078319</c:v>
                </c:pt>
                <c:pt idx="3">
                  <c:v>3.0652962294040491</c:v>
                </c:pt>
                <c:pt idx="4">
                  <c:v>3.3290776114997951</c:v>
                </c:pt>
                <c:pt idx="5">
                  <c:v>4.1658232149823586</c:v>
                </c:pt>
                <c:pt idx="6">
                  <c:v>3.8406331163138172</c:v>
                </c:pt>
                <c:pt idx="7">
                  <c:v>3.9730335129344736</c:v>
                </c:pt>
                <c:pt idx="8">
                  <c:v>4.1986516113849914</c:v>
                </c:pt>
                <c:pt idx="9">
                  <c:v>4.7013183470839532</c:v>
                </c:pt>
                <c:pt idx="10">
                  <c:v>4.8705114440126716</c:v>
                </c:pt>
                <c:pt idx="11">
                  <c:v>6.2548806004093684</c:v>
                </c:pt>
                <c:pt idx="12">
                  <c:v>5.6024604824777011</c:v>
                </c:pt>
                <c:pt idx="13">
                  <c:v>6.3409256637740619</c:v>
                </c:pt>
                <c:pt idx="14">
                  <c:v>6.1283521404628942</c:v>
                </c:pt>
                <c:pt idx="15">
                  <c:v>6.8623205793059876</c:v>
                </c:pt>
                <c:pt idx="16">
                  <c:v>7.2281510575769001</c:v>
                </c:pt>
                <c:pt idx="17">
                  <c:v>7.1277367337071906</c:v>
                </c:pt>
                <c:pt idx="18">
                  <c:v>6.754811573118344</c:v>
                </c:pt>
                <c:pt idx="19">
                  <c:v>6.3912284431892612</c:v>
                </c:pt>
                <c:pt idx="20">
                  <c:v>4.4862982482516598</c:v>
                </c:pt>
                <c:pt idx="21">
                  <c:v>4.1867079179550757</c:v>
                </c:pt>
                <c:pt idx="22">
                  <c:v>4.0914652499676345</c:v>
                </c:pt>
                <c:pt idx="23">
                  <c:v>4.6852852935055544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B-4F97-9697-9C6300E1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358840"/>
        <c:axId val="632361464"/>
      </c:lineChart>
      <c:catAx>
        <c:axId val="6323588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61464"/>
        <c:crosses val="autoZero"/>
        <c:auto val="1"/>
        <c:lblAlgn val="ctr"/>
        <c:lblOffset val="100"/>
        <c:noMultiLvlLbl val="0"/>
      </c:catAx>
      <c:valAx>
        <c:axId val="63236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yuan per litre</a:t>
                </a:r>
              </a:p>
            </c:rich>
          </c:tx>
          <c:layout>
            <c:manualLayout>
              <c:xMode val="edge"/>
              <c:yMode val="edge"/>
              <c:x val="1.0561587290575462E-2"/>
              <c:y val="0.306241622370014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58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606576710950779"/>
          <c:y val="0.56238724392124395"/>
          <c:w val="0.17949842172812097"/>
          <c:h val="0.21140084292988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5347929069842"/>
          <c:y val="5.0925925925925923E-2"/>
          <c:w val="0.85679107184772629"/>
          <c:h val="0.79477617381160692"/>
        </c:manualLayout>
      </c:layout>
      <c:lineChart>
        <c:grouping val="standard"/>
        <c:varyColors val="0"/>
        <c:ser>
          <c:idx val="0"/>
          <c:order val="0"/>
          <c:tx>
            <c:strRef>
              <c:f>China!$Y$121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China!$A$122:$A$142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China!$Y$122:$Y$142</c:f>
              <c:numCache>
                <c:formatCode>0.00</c:formatCode>
                <c:ptCount val="21"/>
                <c:pt idx="0">
                  <c:v>8.2600824000000017</c:v>
                </c:pt>
                <c:pt idx="1">
                  <c:v>8.7464299384178119</c:v>
                </c:pt>
                <c:pt idx="2">
                  <c:v>8.8591877769571639</c:v>
                </c:pt>
                <c:pt idx="3">
                  <c:v>8.3050169125584734</c:v>
                </c:pt>
                <c:pt idx="4">
                  <c:v>7.706126387649392</c:v>
                </c:pt>
                <c:pt idx="5">
                  <c:v>5.2667940071005921</c:v>
                </c:pt>
                <c:pt idx="6">
                  <c:v>5.1028518719672418</c:v>
                </c:pt>
                <c:pt idx="7">
                  <c:v>4.9630751999999987</c:v>
                </c:pt>
                <c:pt idx="8">
                  <c:v>5.6982016666666677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8-483C-B078-718DDA611CF8}"/>
            </c:ext>
          </c:extLst>
        </c:ser>
        <c:ser>
          <c:idx val="1"/>
          <c:order val="1"/>
          <c:tx>
            <c:strRef>
              <c:f>China!$Z$121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China!$A$122:$A$142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China!$Z$122:$Z$142</c:f>
              <c:numCache>
                <c:formatCode>0.00</c:formatCode>
                <c:ptCount val="21"/>
                <c:pt idx="0">
                  <c:v>8.3486536574604902</c:v>
                </c:pt>
                <c:pt idx="1">
                  <c:v>8.785900190207478</c:v>
                </c:pt>
                <c:pt idx="2">
                  <c:v>8.6240205062608215</c:v>
                </c:pt>
                <c:pt idx="3">
                  <c:v>8.1882208341010063</c:v>
                </c:pt>
                <c:pt idx="4">
                  <c:v>7.7733005856027519</c:v>
                </c:pt>
                <c:pt idx="5">
                  <c:v>5.4806620843510165</c:v>
                </c:pt>
                <c:pt idx="6">
                  <c:v>5.082748460124157</c:v>
                </c:pt>
                <c:pt idx="7">
                  <c:v>4.9711497040469164</c:v>
                </c:pt>
                <c:pt idx="8">
                  <c:v>5.69019617547485</c:v>
                </c:pt>
                <c:pt idx="9">
                  <c:v>7.652247077121455</c:v>
                </c:pt>
                <c:pt idx="10">
                  <c:v>8.5553718836357753</c:v>
                </c:pt>
                <c:pt idx="11">
                  <c:v>9.5116216787685843</c:v>
                </c:pt>
                <c:pt idx="12">
                  <c:v>9.9366215877165001</c:v>
                </c:pt>
                <c:pt idx="13">
                  <c:v>10.255371519427438</c:v>
                </c:pt>
                <c:pt idx="14">
                  <c:v>10.520996462519886</c:v>
                </c:pt>
                <c:pt idx="15">
                  <c:v>10.786621405612332</c:v>
                </c:pt>
                <c:pt idx="16">
                  <c:v>11.052246348704783</c:v>
                </c:pt>
                <c:pt idx="17">
                  <c:v>11.317871291797228</c:v>
                </c:pt>
                <c:pt idx="18">
                  <c:v>11.530371246271189</c:v>
                </c:pt>
                <c:pt idx="19">
                  <c:v>11.795996189363635</c:v>
                </c:pt>
                <c:pt idx="20">
                  <c:v>11.955371155219098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8-483C-B078-718DDA611CF8}"/>
            </c:ext>
          </c:extLst>
        </c:ser>
        <c:ser>
          <c:idx val="3"/>
          <c:order val="2"/>
          <c:tx>
            <c:strRef>
              <c:f>China!$AB$121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China!$A$122:$A$142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China!$AB$122:$AB$142</c:f>
              <c:numCache>
                <c:formatCode>0.00</c:formatCode>
                <c:ptCount val="21"/>
                <c:pt idx="0">
                  <c:v>8.3486536574604902</c:v>
                </c:pt>
                <c:pt idx="1">
                  <c:v>8.785900190207478</c:v>
                </c:pt>
                <c:pt idx="2">
                  <c:v>8.6240205062608215</c:v>
                </c:pt>
                <c:pt idx="3">
                  <c:v>8.1882208341010063</c:v>
                </c:pt>
                <c:pt idx="4">
                  <c:v>7.7733005856027519</c:v>
                </c:pt>
                <c:pt idx="5">
                  <c:v>5.4806620843510165</c:v>
                </c:pt>
                <c:pt idx="6">
                  <c:v>5.082748460124157</c:v>
                </c:pt>
                <c:pt idx="7">
                  <c:v>4.9711497040469164</c:v>
                </c:pt>
                <c:pt idx="8">
                  <c:v>5.69019617547485</c:v>
                </c:pt>
                <c:pt idx="9">
                  <c:v>3.6678729307347431</c:v>
                </c:pt>
                <c:pt idx="10">
                  <c:v>3.7209979193532319</c:v>
                </c:pt>
                <c:pt idx="11">
                  <c:v>3.8272478965902117</c:v>
                </c:pt>
                <c:pt idx="12">
                  <c:v>3.8803728852087001</c:v>
                </c:pt>
                <c:pt idx="13">
                  <c:v>3.8803728852087001</c:v>
                </c:pt>
                <c:pt idx="14">
                  <c:v>3.8803728852087001</c:v>
                </c:pt>
                <c:pt idx="15">
                  <c:v>3.9334978738271902</c:v>
                </c:pt>
                <c:pt idx="16">
                  <c:v>3.9866228624456794</c:v>
                </c:pt>
                <c:pt idx="17">
                  <c:v>4.0397478510641696</c:v>
                </c:pt>
                <c:pt idx="18">
                  <c:v>4.0397478510641696</c:v>
                </c:pt>
                <c:pt idx="19">
                  <c:v>4.0397478510641696</c:v>
                </c:pt>
                <c:pt idx="20">
                  <c:v>4.0928728396826592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8-483C-B078-718DDA611CF8}"/>
            </c:ext>
          </c:extLst>
        </c:ser>
        <c:ser>
          <c:idx val="2"/>
          <c:order val="3"/>
          <c:tx>
            <c:strRef>
              <c:f>China!$AA$121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China!$A$122:$A$142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China!$AA$122:$AA$142</c:f>
              <c:numCache>
                <c:formatCode>0.00</c:formatCode>
                <c:ptCount val="21"/>
                <c:pt idx="0">
                  <c:v>8.3486536574604902</c:v>
                </c:pt>
                <c:pt idx="1">
                  <c:v>8.785900190207478</c:v>
                </c:pt>
                <c:pt idx="2">
                  <c:v>8.6240205062608215</c:v>
                </c:pt>
                <c:pt idx="3">
                  <c:v>8.1882208341010063</c:v>
                </c:pt>
                <c:pt idx="4">
                  <c:v>7.7733005856027519</c:v>
                </c:pt>
                <c:pt idx="5">
                  <c:v>5.4806620843510165</c:v>
                </c:pt>
                <c:pt idx="6">
                  <c:v>5.082748460124157</c:v>
                </c:pt>
                <c:pt idx="7">
                  <c:v>4.9711497040469164</c:v>
                </c:pt>
                <c:pt idx="8">
                  <c:v>5.69019617547485</c:v>
                </c:pt>
                <c:pt idx="9">
                  <c:v>5.5227407643779145</c:v>
                </c:pt>
                <c:pt idx="10">
                  <c:v>5.5370132516095429</c:v>
                </c:pt>
                <c:pt idx="11">
                  <c:v>5.9575134366053417</c:v>
                </c:pt>
                <c:pt idx="12">
                  <c:v>6.2706047380352352</c:v>
                </c:pt>
                <c:pt idx="13">
                  <c:v>6.4146787949625947</c:v>
                </c:pt>
                <c:pt idx="14">
                  <c:v>6.4527701734059155</c:v>
                </c:pt>
                <c:pt idx="15">
                  <c:v>6.6520803720066599</c:v>
                </c:pt>
                <c:pt idx="16">
                  <c:v>7.0023912687937608</c:v>
                </c:pt>
                <c:pt idx="17">
                  <c:v>7.1829326410979037</c:v>
                </c:pt>
                <c:pt idx="18">
                  <c:v>7.2972198342561105</c:v>
                </c:pt>
                <c:pt idx="19">
                  <c:v>7.4521284997715327</c:v>
                </c:pt>
                <c:pt idx="20">
                  <c:v>7.5705761654819366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8-483C-B078-718DDA611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872232"/>
        <c:axId val="1161873872"/>
      </c:lineChart>
      <c:catAx>
        <c:axId val="116187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873872"/>
        <c:crosses val="autoZero"/>
        <c:auto val="1"/>
        <c:lblAlgn val="ctr"/>
        <c:lblOffset val="100"/>
        <c:noMultiLvlLbl val="0"/>
      </c:catAx>
      <c:valAx>
        <c:axId val="116187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yuan per litre</a:t>
                </a:r>
              </a:p>
            </c:rich>
          </c:tx>
          <c:layout>
            <c:manualLayout>
              <c:xMode val="edge"/>
              <c:yMode val="edge"/>
              <c:x val="2.2535095311477488E-2"/>
              <c:y val="0.27389129835496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87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33386578467671"/>
          <c:y val="0.54536616758952261"/>
          <c:w val="0.21334936951496813"/>
          <c:h val="0.25696622876329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09545943320966E-2"/>
          <c:y val="3.949731816885118E-2"/>
          <c:w val="0.88456137916681121"/>
          <c:h val="0.8444224103881622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China!$BH$74:$BH$97</c:f>
              <c:numCache>
                <c:formatCode>0.00</c:formatCode>
                <c:ptCount val="24"/>
                <c:pt idx="0">
                  <c:v>3.6972323229751622</c:v>
                </c:pt>
                <c:pt idx="1">
                  <c:v>3.5242202776271188</c:v>
                </c:pt>
                <c:pt idx="2">
                  <c:v>3.4188618860094588</c:v>
                </c:pt>
                <c:pt idx="3">
                  <c:v>3.440733262785924</c:v>
                </c:pt>
                <c:pt idx="4">
                  <c:v>3.7386789017474285</c:v>
                </c:pt>
                <c:pt idx="5">
                  <c:v>4.9677270550574288</c:v>
                </c:pt>
                <c:pt idx="6">
                  <c:v>4.9315614400980996</c:v>
                </c:pt>
                <c:pt idx="7">
                  <c:v>5.2158754596343888</c:v>
                </c:pt>
                <c:pt idx="8">
                  <c:v>5.1579000514474167</c:v>
                </c:pt>
                <c:pt idx="9">
                  <c:v>5.677540485119998</c:v>
                </c:pt>
                <c:pt idx="10">
                  <c:v>5.7511301818286888</c:v>
                </c:pt>
                <c:pt idx="11">
                  <c:v>7.5979160531680678</c:v>
                </c:pt>
                <c:pt idx="12">
                  <c:v>6.9147594810458939</c:v>
                </c:pt>
                <c:pt idx="13">
                  <c:v>7.4652340469118101</c:v>
                </c:pt>
                <c:pt idx="14">
                  <c:v>7.5199215848122165</c:v>
                </c:pt>
                <c:pt idx="15">
                  <c:v>8.2600824000000017</c:v>
                </c:pt>
                <c:pt idx="16">
                  <c:v>8.7464299384178119</c:v>
                </c:pt>
                <c:pt idx="17">
                  <c:v>8.8591877769571639</c:v>
                </c:pt>
                <c:pt idx="18">
                  <c:v>8.3050169125584734</c:v>
                </c:pt>
                <c:pt idx="19">
                  <c:v>7.706126387649392</c:v>
                </c:pt>
                <c:pt idx="20">
                  <c:v>5.2667940071005921</c:v>
                </c:pt>
                <c:pt idx="21">
                  <c:v>5.1028518719672418</c:v>
                </c:pt>
                <c:pt idx="22">
                  <c:v>4.9630751999999987</c:v>
                </c:pt>
                <c:pt idx="23">
                  <c:v>5.6982016666666677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9-4E76-BD4A-9137F558AF7D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China!$AN$74:$AN$97</c:f>
              <c:numCache>
                <c:formatCode>0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China!$BI$74:$BI$97</c:f>
              <c:numCache>
                <c:formatCode>0.00</c:formatCode>
                <c:ptCount val="24"/>
                <c:pt idx="0">
                  <c:v>3.4484778765091249</c:v>
                </c:pt>
                <c:pt idx="1">
                  <c:v>3.5730311866837292</c:v>
                </c:pt>
                <c:pt idx="2">
                  <c:v>3.3698485280206354</c:v>
                </c:pt>
                <c:pt idx="3">
                  <c:v>3.7234705051892281</c:v>
                </c:pt>
                <c:pt idx="4">
                  <c:v>4.0438904980858084</c:v>
                </c:pt>
                <c:pt idx="5">
                  <c:v>5.0603004440569403</c:v>
                </c:pt>
                <c:pt idx="6">
                  <c:v>4.6652861777824874</c:v>
                </c:pt>
                <c:pt idx="7">
                  <c:v>4.8261153227647382</c:v>
                </c:pt>
                <c:pt idx="8">
                  <c:v>5.1001776880783538</c:v>
                </c:pt>
                <c:pt idx="9">
                  <c:v>5.7107760199331254</c:v>
                </c:pt>
                <c:pt idx="10">
                  <c:v>5.9162979202481845</c:v>
                </c:pt>
                <c:pt idx="11">
                  <c:v>7.597916053168067</c:v>
                </c:pt>
                <c:pt idx="12">
                  <c:v>6.8054095923543478</c:v>
                </c:pt>
                <c:pt idx="13">
                  <c:v>7.7024365404483008</c:v>
                </c:pt>
                <c:pt idx="14">
                  <c:v>7.4442196553588067</c:v>
                </c:pt>
                <c:pt idx="15">
                  <c:v>8.3357843294534106</c:v>
                </c:pt>
                <c:pt idx="16">
                  <c:v>8.7801651963576965</c:v>
                </c:pt>
                <c:pt idx="17">
                  <c:v>8.6581901096953313</c:v>
                </c:pt>
                <c:pt idx="18">
                  <c:v>8.2051912044751685</c:v>
                </c:pt>
                <c:pt idx="19">
                  <c:v>7.7635402320539733</c:v>
                </c:pt>
                <c:pt idx="20">
                  <c:v>5.4495872355197594</c:v>
                </c:pt>
                <c:pt idx="21">
                  <c:v>5.0856694686825534</c:v>
                </c:pt>
                <c:pt idx="22">
                  <c:v>4.9699764855101849</c:v>
                </c:pt>
                <c:pt idx="23">
                  <c:v>5.6913003811564806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9-4E76-BD4A-9137F558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358840"/>
        <c:axId val="632361464"/>
      </c:lineChart>
      <c:catAx>
        <c:axId val="6323588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61464"/>
        <c:crosses val="autoZero"/>
        <c:auto val="1"/>
        <c:lblAlgn val="ctr"/>
        <c:lblOffset val="100"/>
        <c:noMultiLvlLbl val="0"/>
      </c:catAx>
      <c:valAx>
        <c:axId val="63236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yuan per litre</a:t>
                </a:r>
              </a:p>
            </c:rich>
          </c:tx>
          <c:layout>
            <c:manualLayout>
              <c:xMode val="edge"/>
              <c:yMode val="edge"/>
              <c:x val="1.0561587290575462E-2"/>
              <c:y val="0.306241622370014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58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606576710950779"/>
          <c:y val="0.54802458276893451"/>
          <c:w val="0.17949842172812097"/>
          <c:h val="0.16472219418487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51442344633634E-2"/>
          <c:y val="3.0438710582698994E-2"/>
          <c:w val="0.85269276639529368"/>
          <c:h val="0.8613203952658805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'Czech Rep'!$A$59:$A$97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'Czech Rep'!$BB$59:$BB$97</c:f>
              <c:numCache>
                <c:formatCode>0.00</c:formatCode>
                <c:ptCount val="39"/>
                <c:pt idx="0">
                  <c:v>35.494587124150677</c:v>
                </c:pt>
                <c:pt idx="1">
                  <c:v>37.418939775396964</c:v>
                </c:pt>
                <c:pt idx="2">
                  <c:v>34.650414771413352</c:v>
                </c:pt>
                <c:pt idx="3">
                  <c:v>32.025735583553789</c:v>
                </c:pt>
                <c:pt idx="4">
                  <c:v>30.564750938697916</c:v>
                </c:pt>
                <c:pt idx="5">
                  <c:v>29.641053153350249</c:v>
                </c:pt>
                <c:pt idx="6">
                  <c:v>24.299047786383298</c:v>
                </c:pt>
                <c:pt idx="7">
                  <c:v>23.600979925524094</c:v>
                </c:pt>
                <c:pt idx="8">
                  <c:v>22.464174148305524</c:v>
                </c:pt>
                <c:pt idx="9">
                  <c:v>22.147691328254048</c:v>
                </c:pt>
                <c:pt idx="10">
                  <c:v>21.483249406351497</c:v>
                </c:pt>
                <c:pt idx="11">
                  <c:v>20.194093545303083</c:v>
                </c:pt>
                <c:pt idx="12">
                  <c:v>17.851541832219059</c:v>
                </c:pt>
                <c:pt idx="13">
                  <c:v>16.334616752680589</c:v>
                </c:pt>
                <c:pt idx="14">
                  <c:v>15.032447532506914</c:v>
                </c:pt>
                <c:pt idx="15">
                  <c:v>13.382612169189777</c:v>
                </c:pt>
                <c:pt idx="16">
                  <c:v>13.360837686340357</c:v>
                </c:pt>
                <c:pt idx="17">
                  <c:v>13.202310902846122</c:v>
                </c:pt>
                <c:pt idx="18">
                  <c:v>10.654076199972454</c:v>
                </c:pt>
                <c:pt idx="19">
                  <c:v>11.798025265112006</c:v>
                </c:pt>
                <c:pt idx="20">
                  <c:v>15.412358927880046</c:v>
                </c:pt>
                <c:pt idx="21">
                  <c:v>14.010178632476098</c:v>
                </c:pt>
                <c:pt idx="22">
                  <c:v>11.830107981983939</c:v>
                </c:pt>
                <c:pt idx="23">
                  <c:v>12.28854474225005</c:v>
                </c:pt>
                <c:pt idx="24">
                  <c:v>12.978786670845491</c:v>
                </c:pt>
                <c:pt idx="25">
                  <c:v>13.886083390359172</c:v>
                </c:pt>
                <c:pt idx="26">
                  <c:v>14.750762966159826</c:v>
                </c:pt>
                <c:pt idx="27">
                  <c:v>14.201902883638304</c:v>
                </c:pt>
                <c:pt idx="28">
                  <c:v>14.42913880944198</c:v>
                </c:pt>
                <c:pt idx="29">
                  <c:v>11.327867356524006</c:v>
                </c:pt>
                <c:pt idx="30">
                  <c:v>13.457463463564594</c:v>
                </c:pt>
                <c:pt idx="31">
                  <c:v>15.851691354738765</c:v>
                </c:pt>
                <c:pt idx="32">
                  <c:v>17.09721699447649</c:v>
                </c:pt>
                <c:pt idx="33">
                  <c:v>16.068131192337802</c:v>
                </c:pt>
                <c:pt idx="34">
                  <c:v>15.863347317008017</c:v>
                </c:pt>
                <c:pt idx="35">
                  <c:v>12.147629961325855</c:v>
                </c:pt>
                <c:pt idx="36">
                  <c:v>9.921676056490341</c:v>
                </c:pt>
                <c:pt idx="37">
                  <c:v>11.021278005437743</c:v>
                </c:pt>
                <c:pt idx="38">
                  <c:v>11.915963152897849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0-469B-A007-D705CE548F23}"/>
            </c:ext>
          </c:extLst>
        </c:ser>
        <c:ser>
          <c:idx val="1"/>
          <c:order val="1"/>
          <c:marker>
            <c:symbol val="none"/>
          </c:marker>
          <c:cat>
            <c:numRef>
              <c:f>'Czech Rep'!$A$59:$A$97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'Czech Rep'!$BC$59:$BC$97</c:f>
              <c:numCache>
                <c:formatCode>0.00</c:formatCode>
                <c:ptCount val="39"/>
                <c:pt idx="0">
                  <c:v>35.510880116436397</c:v>
                </c:pt>
                <c:pt idx="1">
                  <c:v>37.013151386887913</c:v>
                </c:pt>
                <c:pt idx="2">
                  <c:v>34.717748170419227</c:v>
                </c:pt>
                <c:pt idx="3">
                  <c:v>31.752544424053028</c:v>
                </c:pt>
                <c:pt idx="4">
                  <c:v>31.148366738624823</c:v>
                </c:pt>
                <c:pt idx="5">
                  <c:v>29.734545733096311</c:v>
                </c:pt>
                <c:pt idx="6">
                  <c:v>22.559027900701146</c:v>
                </c:pt>
                <c:pt idx="7">
                  <c:v>24.689974320205536</c:v>
                </c:pt>
                <c:pt idx="8">
                  <c:v>22.537276681753085</c:v>
                </c:pt>
                <c:pt idx="9">
                  <c:v>21.664429869793619</c:v>
                </c:pt>
                <c:pt idx="10">
                  <c:v>22.196095820367123</c:v>
                </c:pt>
                <c:pt idx="11">
                  <c:v>20.157797862839221</c:v>
                </c:pt>
                <c:pt idx="12">
                  <c:v>18.15879445280504</c:v>
                </c:pt>
                <c:pt idx="13">
                  <c:v>16.715301811756223</c:v>
                </c:pt>
                <c:pt idx="14">
                  <c:v>15.436129892490818</c:v>
                </c:pt>
                <c:pt idx="15">
                  <c:v>13.308728887804596</c:v>
                </c:pt>
                <c:pt idx="16">
                  <c:v>13.091767759039488</c:v>
                </c:pt>
                <c:pt idx="17">
                  <c:v>13.602315694626087</c:v>
                </c:pt>
                <c:pt idx="18">
                  <c:v>11.181258079310142</c:v>
                </c:pt>
                <c:pt idx="19">
                  <c:v>11.482539708028085</c:v>
                </c:pt>
                <c:pt idx="20">
                  <c:v>15.355556570196688</c:v>
                </c:pt>
                <c:pt idx="21">
                  <c:v>13.358668548082512</c:v>
                </c:pt>
                <c:pt idx="22">
                  <c:v>11.957224575987814</c:v>
                </c:pt>
                <c:pt idx="23">
                  <c:v>11.909923596021038</c:v>
                </c:pt>
                <c:pt idx="24">
                  <c:v>12.809235079660558</c:v>
                </c:pt>
                <c:pt idx="25">
                  <c:v>13.469866355514133</c:v>
                </c:pt>
                <c:pt idx="26">
                  <c:v>14.523376701861219</c:v>
                </c:pt>
                <c:pt idx="27">
                  <c:v>14.383271501422261</c:v>
                </c:pt>
                <c:pt idx="28">
                  <c:v>14.750629881560187</c:v>
                </c:pt>
                <c:pt idx="29">
                  <c:v>11.498345283758495</c:v>
                </c:pt>
                <c:pt idx="30">
                  <c:v>13.557755892891269</c:v>
                </c:pt>
                <c:pt idx="31">
                  <c:v>15.72747630176751</c:v>
                </c:pt>
                <c:pt idx="32">
                  <c:v>16.905397738661353</c:v>
                </c:pt>
                <c:pt idx="33">
                  <c:v>16.24026124319575</c:v>
                </c:pt>
                <c:pt idx="34">
                  <c:v>15.711120860596818</c:v>
                </c:pt>
                <c:pt idx="35">
                  <c:v>11.661616345731304</c:v>
                </c:pt>
                <c:pt idx="36">
                  <c:v>10.185665346864425</c:v>
                </c:pt>
                <c:pt idx="37">
                  <c:v>11.481285399679223</c:v>
                </c:pt>
                <c:pt idx="38">
                  <c:v>13.131296510709452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0-469B-A007-D705CE54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710976"/>
        <c:axId val="111712512"/>
      </c:lineChart>
      <c:catAx>
        <c:axId val="1117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712512"/>
        <c:crosses val="autoZero"/>
        <c:auto val="1"/>
        <c:lblAlgn val="ctr"/>
        <c:lblOffset val="100"/>
        <c:noMultiLvlLbl val="0"/>
      </c:catAx>
      <c:valAx>
        <c:axId val="111712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2010 Crowns per litre</a:t>
                </a:r>
              </a:p>
            </c:rich>
          </c:tx>
          <c:layout>
            <c:manualLayout>
              <c:xMode val="edge"/>
              <c:yMode val="edge"/>
              <c:x val="2.0178058989974577E-2"/>
              <c:y val="0.3315691673510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1710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057700466694967"/>
          <c:y val="0.27473670085717816"/>
          <c:w val="0.13540941875265167"/>
          <c:h val="0.162239075943727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64595692662513E-2"/>
          <c:y val="3.3664866995936987E-2"/>
          <c:w val="0.86061021824327"/>
          <c:h val="0.8314787598698986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'Czech Rep'!$A$59:$A$97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'Czech Rep'!$AY$59:$AY$97</c:f>
              <c:numCache>
                <c:formatCode>0.00</c:formatCode>
                <c:ptCount val="39"/>
                <c:pt idx="0">
                  <c:v>49.687291512547041</c:v>
                </c:pt>
                <c:pt idx="1">
                  <c:v>51.331190338083822</c:v>
                </c:pt>
                <c:pt idx="2">
                  <c:v>48.243655113093531</c:v>
                </c:pt>
                <c:pt idx="3">
                  <c:v>45.258607520290184</c:v>
                </c:pt>
                <c:pt idx="4">
                  <c:v>43.393698436545186</c:v>
                </c:pt>
                <c:pt idx="5">
                  <c:v>42.021196280276691</c:v>
                </c:pt>
                <c:pt idx="6">
                  <c:v>36.185337833551159</c:v>
                </c:pt>
                <c:pt idx="7">
                  <c:v>34.949618058553234</c:v>
                </c:pt>
                <c:pt idx="8">
                  <c:v>33.234238933742269</c:v>
                </c:pt>
                <c:pt idx="9">
                  <c:v>32.30287596796525</c:v>
                </c:pt>
                <c:pt idx="10">
                  <c:v>29.098418291269113</c:v>
                </c:pt>
                <c:pt idx="11">
                  <c:v>39.259958986653338</c:v>
                </c:pt>
                <c:pt idx="12">
                  <c:v>41.135653118656947</c:v>
                </c:pt>
                <c:pt idx="13">
                  <c:v>39.277054491779666</c:v>
                </c:pt>
                <c:pt idx="14">
                  <c:v>37.088468812949067</c:v>
                </c:pt>
                <c:pt idx="15">
                  <c:v>33.452634551882369</c:v>
                </c:pt>
                <c:pt idx="16">
                  <c:v>33.73765120842382</c:v>
                </c:pt>
                <c:pt idx="17">
                  <c:v>32.405862164664562</c:v>
                </c:pt>
                <c:pt idx="18">
                  <c:v>29.633546689812988</c:v>
                </c:pt>
                <c:pt idx="19">
                  <c:v>31.758884403179106</c:v>
                </c:pt>
                <c:pt idx="20">
                  <c:v>35.733349039252403</c:v>
                </c:pt>
                <c:pt idx="21">
                  <c:v>33.261774632761785</c:v>
                </c:pt>
                <c:pt idx="22">
                  <c:v>30.318547861125715</c:v>
                </c:pt>
                <c:pt idx="23">
                  <c:v>30.860718428186466</c:v>
                </c:pt>
                <c:pt idx="24">
                  <c:v>31.94722057237513</c:v>
                </c:pt>
                <c:pt idx="25">
                  <c:v>32.673004870772566</c:v>
                </c:pt>
                <c:pt idx="26">
                  <c:v>33.303778464047461</c:v>
                </c:pt>
                <c:pt idx="27">
                  <c:v>32.202693702965632</c:v>
                </c:pt>
                <c:pt idx="28">
                  <c:v>31.559278984869088</c:v>
                </c:pt>
                <c:pt idx="29">
                  <c:v>27.719985199101636</c:v>
                </c:pt>
                <c:pt idx="30">
                  <c:v>31.556956156277511</c:v>
                </c:pt>
                <c:pt idx="31">
                  <c:v>34.137338877100667</c:v>
                </c:pt>
                <c:pt idx="32">
                  <c:v>35.149232958400113</c:v>
                </c:pt>
                <c:pt idx="33">
                  <c:v>33.992076019760056</c:v>
                </c:pt>
                <c:pt idx="34">
                  <c:v>33.691582847111995</c:v>
                </c:pt>
                <c:pt idx="35">
                  <c:v>29.148269021761266</c:v>
                </c:pt>
                <c:pt idx="36">
                  <c:v>26.359951267821359</c:v>
                </c:pt>
                <c:pt idx="37">
                  <c:v>27.347189275274687</c:v>
                </c:pt>
                <c:pt idx="38">
                  <c:v>28.155024129413274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6-41E3-A6EB-936EC1F7FC4C}"/>
            </c:ext>
          </c:extLst>
        </c:ser>
        <c:ser>
          <c:idx val="1"/>
          <c:order val="1"/>
          <c:marker>
            <c:symbol val="none"/>
          </c:marker>
          <c:cat>
            <c:numRef>
              <c:f>'Czech Rep'!$A$59:$A$97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'Czech Rep'!$AZ$59:$AZ$97</c:f>
              <c:numCache>
                <c:formatCode>0.00</c:formatCode>
                <c:ptCount val="39"/>
                <c:pt idx="0">
                  <c:v>49.703584504832762</c:v>
                </c:pt>
                <c:pt idx="1">
                  <c:v>50.925401949574763</c:v>
                </c:pt>
                <c:pt idx="2">
                  <c:v>48.310988512099414</c:v>
                </c:pt>
                <c:pt idx="3">
                  <c:v>44.985416360789422</c:v>
                </c:pt>
                <c:pt idx="4">
                  <c:v>43.977314236472097</c:v>
                </c:pt>
                <c:pt idx="5">
                  <c:v>42.114688860022753</c:v>
                </c:pt>
                <c:pt idx="6">
                  <c:v>34.445317947869007</c:v>
                </c:pt>
                <c:pt idx="7">
                  <c:v>36.038612453234677</c:v>
                </c:pt>
                <c:pt idx="8">
                  <c:v>33.307341467189829</c:v>
                </c:pt>
                <c:pt idx="9">
                  <c:v>31.819614509504824</c:v>
                </c:pt>
                <c:pt idx="10">
                  <c:v>29.811264705284742</c:v>
                </c:pt>
                <c:pt idx="11">
                  <c:v>39.223663304189472</c:v>
                </c:pt>
                <c:pt idx="12">
                  <c:v>41.442905739242931</c:v>
                </c:pt>
                <c:pt idx="13">
                  <c:v>39.657739550855297</c:v>
                </c:pt>
                <c:pt idx="14">
                  <c:v>37.492151172932971</c:v>
                </c:pt>
                <c:pt idx="15">
                  <c:v>33.37875127049719</c:v>
                </c:pt>
                <c:pt idx="16">
                  <c:v>33.468581281122951</c:v>
                </c:pt>
                <c:pt idx="17">
                  <c:v>32.805866956444525</c:v>
                </c:pt>
                <c:pt idx="18">
                  <c:v>30.160728569150677</c:v>
                </c:pt>
                <c:pt idx="19">
                  <c:v>31.443398846095185</c:v>
                </c:pt>
                <c:pt idx="20">
                  <c:v>35.676546681569043</c:v>
                </c:pt>
                <c:pt idx="21">
                  <c:v>32.6102645483682</c:v>
                </c:pt>
                <c:pt idx="22">
                  <c:v>30.445664455129588</c:v>
                </c:pt>
                <c:pt idx="23">
                  <c:v>30.482097281957454</c:v>
                </c:pt>
                <c:pt idx="24">
                  <c:v>31.777668981190196</c:v>
                </c:pt>
                <c:pt idx="25">
                  <c:v>32.256787835927526</c:v>
                </c:pt>
                <c:pt idx="26">
                  <c:v>33.076392199748852</c:v>
                </c:pt>
                <c:pt idx="27">
                  <c:v>32.384062320749592</c:v>
                </c:pt>
                <c:pt idx="28">
                  <c:v>31.880770056987295</c:v>
                </c:pt>
                <c:pt idx="29">
                  <c:v>27.890463126336122</c:v>
                </c:pt>
                <c:pt idx="30">
                  <c:v>31.657248585604187</c:v>
                </c:pt>
                <c:pt idx="31">
                  <c:v>34.013123824129408</c:v>
                </c:pt>
                <c:pt idx="32">
                  <c:v>34.957413702584972</c:v>
                </c:pt>
                <c:pt idx="33">
                  <c:v>34.164206070618008</c:v>
                </c:pt>
                <c:pt idx="34">
                  <c:v>33.539356390700796</c:v>
                </c:pt>
                <c:pt idx="35">
                  <c:v>28.662255406166715</c:v>
                </c:pt>
                <c:pt idx="36">
                  <c:v>26.623940558195443</c:v>
                </c:pt>
                <c:pt idx="37">
                  <c:v>27.807196669516166</c:v>
                </c:pt>
                <c:pt idx="38">
                  <c:v>29.370357487224879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6-41E3-A6EB-936EC1F7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872640"/>
        <c:axId val="111894912"/>
      </c:lineChart>
      <c:catAx>
        <c:axId val="1118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894912"/>
        <c:crosses val="autoZero"/>
        <c:auto val="1"/>
        <c:lblAlgn val="ctr"/>
        <c:lblOffset val="100"/>
        <c:noMultiLvlLbl val="0"/>
      </c:catAx>
      <c:valAx>
        <c:axId val="111894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Crowns per litre</a:t>
                </a:r>
              </a:p>
            </c:rich>
          </c:tx>
          <c:layout>
            <c:manualLayout>
              <c:xMode val="edge"/>
              <c:yMode val="edge"/>
              <c:x val="1.4410958904109589E-2"/>
              <c:y val="0.3179934873286067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187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040175457520063"/>
          <c:y val="0.64708857450909918"/>
          <c:w val="0.16128774314169644"/>
          <c:h val="0.16468585617669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20864798044119E-2"/>
          <c:y val="2.662474744613761E-2"/>
          <c:w val="0.87093708849533724"/>
          <c:h val="0.87611907324534244"/>
        </c:manualLayout>
      </c:layout>
      <c:lineChart>
        <c:grouping val="standard"/>
        <c:varyColors val="0"/>
        <c:ser>
          <c:idx val="1"/>
          <c:order val="0"/>
          <c:tx>
            <c:strRef>
              <c:f>'Czech Rep'!$K$159</c:f>
              <c:strCache>
                <c:ptCount val="1"/>
                <c:pt idx="0">
                  <c:v>Unemployment unch'd</c:v>
                </c:pt>
              </c:strCache>
            </c:strRef>
          </c:tx>
          <c:marker>
            <c:symbol val="none"/>
          </c:marker>
          <c:cat>
            <c:numRef>
              <c:f>'Czech Rep'!$I$160:$I$180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'Czech Rep'!$K$160:$K$180</c:f>
              <c:numCache>
                <c:formatCode>0.00</c:formatCode>
                <c:ptCount val="21"/>
                <c:pt idx="0">
                  <c:v>56.811036587654975</c:v>
                </c:pt>
                <c:pt idx="1">
                  <c:v>58.456960118204073</c:v>
                </c:pt>
                <c:pt idx="2">
                  <c:v>60.157678347553563</c:v>
                </c:pt>
                <c:pt idx="3">
                  <c:v>61.824761567596042</c:v>
                </c:pt>
                <c:pt idx="4">
                  <c:v>63.447580726376081</c:v>
                </c:pt>
                <c:pt idx="5">
                  <c:v>65.027974597841506</c:v>
                </c:pt>
                <c:pt idx="6">
                  <c:v>66.54903184605574</c:v>
                </c:pt>
                <c:pt idx="7">
                  <c:v>68.019882482583597</c:v>
                </c:pt>
                <c:pt idx="8">
                  <c:v>69.43062194912369</c:v>
                </c:pt>
                <c:pt idx="9">
                  <c:v>70.778168285932949</c:v>
                </c:pt>
                <c:pt idx="10">
                  <c:v>72.05265363131079</c:v>
                </c:pt>
                <c:pt idx="11">
                  <c:v>73.266065987020539</c:v>
                </c:pt>
                <c:pt idx="12">
                  <c:v>74.322140510846637</c:v>
                </c:pt>
                <c:pt idx="13">
                  <c:v>75.312581996231884</c:v>
                </c:pt>
                <c:pt idx="14">
                  <c:v>76.23641722909656</c:v>
                </c:pt>
                <c:pt idx="15">
                  <c:v>77.09296455236364</c:v>
                </c:pt>
                <c:pt idx="16">
                  <c:v>77.881817819519341</c:v>
                </c:pt>
                <c:pt idx="17">
                  <c:v>78.610880465125234</c:v>
                </c:pt>
                <c:pt idx="18">
                  <c:v>79.27239791561999</c:v>
                </c:pt>
                <c:pt idx="19">
                  <c:v>79.866665571660576</c:v>
                </c:pt>
                <c:pt idx="20">
                  <c:v>80.402526862879739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B-4332-9B7E-4460C498B35B}"/>
            </c:ext>
          </c:extLst>
        </c:ser>
        <c:ser>
          <c:idx val="2"/>
          <c:order val="1"/>
          <c:tx>
            <c:strRef>
              <c:f>'Czech Rep'!$L$159</c:f>
              <c:strCache>
                <c:ptCount val="1"/>
                <c:pt idx="0">
                  <c:v>High petrol</c:v>
                </c:pt>
              </c:strCache>
            </c:strRef>
          </c:tx>
          <c:marker>
            <c:symbol val="none"/>
          </c:marker>
          <c:cat>
            <c:numRef>
              <c:f>'Czech Rep'!$I$160:$I$180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'Czech Rep'!$L$160:$L$180</c:f>
              <c:numCache>
                <c:formatCode>0.00</c:formatCode>
                <c:ptCount val="21"/>
                <c:pt idx="0">
                  <c:v>56.788132397850951</c:v>
                </c:pt>
                <c:pt idx="1">
                  <c:v>58.459446692392909</c:v>
                </c:pt>
                <c:pt idx="2">
                  <c:v>60.309941054656733</c:v>
                </c:pt>
                <c:pt idx="3">
                  <c:v>62.087100151697101</c:v>
                </c:pt>
                <c:pt idx="4">
                  <c:v>63.868222939824911</c:v>
                </c:pt>
                <c:pt idx="5">
                  <c:v>65.818934338043547</c:v>
                </c:pt>
                <c:pt idx="6">
                  <c:v>67.358755385219965</c:v>
                </c:pt>
                <c:pt idx="7">
                  <c:v>68.77858383440217</c:v>
                </c:pt>
                <c:pt idx="8">
                  <c:v>70.1085030222021</c:v>
                </c:pt>
                <c:pt idx="9">
                  <c:v>71.281421860195181</c:v>
                </c:pt>
                <c:pt idx="10">
                  <c:v>72.455298666906302</c:v>
                </c:pt>
                <c:pt idx="11">
                  <c:v>73.571085999919347</c:v>
                </c:pt>
                <c:pt idx="12">
                  <c:v>74.579807324474771</c:v>
                </c:pt>
                <c:pt idx="13">
                  <c:v>75.529046927989114</c:v>
                </c:pt>
                <c:pt idx="14">
                  <c:v>76.424107007793964</c:v>
                </c:pt>
                <c:pt idx="15">
                  <c:v>77.251402171932938</c:v>
                </c:pt>
                <c:pt idx="16">
                  <c:v>78.011549961982354</c:v>
                </c:pt>
                <c:pt idx="17">
                  <c:v>78.714651569249114</c:v>
                </c:pt>
                <c:pt idx="18">
                  <c:v>79.352193822135973</c:v>
                </c:pt>
                <c:pt idx="19">
                  <c:v>79.921195545013973</c:v>
                </c:pt>
                <c:pt idx="20">
                  <c:v>80.44725042693743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B-4332-9B7E-4460C498B35B}"/>
            </c:ext>
          </c:extLst>
        </c:ser>
        <c:ser>
          <c:idx val="3"/>
          <c:order val="2"/>
          <c:tx>
            <c:strRef>
              <c:f>'Czech Rep'!$M$159</c:f>
              <c:strCache>
                <c:ptCount val="1"/>
                <c:pt idx="0">
                  <c:v>Medium petrol</c:v>
                </c:pt>
              </c:strCache>
            </c:strRef>
          </c:tx>
          <c:marker>
            <c:symbol val="none"/>
          </c:marker>
          <c:cat>
            <c:numRef>
              <c:f>'Czech Rep'!$I$160:$I$180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'Czech Rep'!$M$160:$M$180</c:f>
              <c:numCache>
                <c:formatCode>0.00</c:formatCode>
                <c:ptCount val="21"/>
                <c:pt idx="0">
                  <c:v>56.788132397850951</c:v>
                </c:pt>
                <c:pt idx="1">
                  <c:v>58.459446692392909</c:v>
                </c:pt>
                <c:pt idx="2">
                  <c:v>60.282138593655453</c:v>
                </c:pt>
                <c:pt idx="3">
                  <c:v>62.07203575723593</c:v>
                </c:pt>
                <c:pt idx="4">
                  <c:v>63.81085936650932</c:v>
                </c:pt>
                <c:pt idx="5">
                  <c:v>65.502428955343802</c:v>
                </c:pt>
                <c:pt idx="6">
                  <c:v>67.017457619806905</c:v>
                </c:pt>
                <c:pt idx="7">
                  <c:v>68.480478776459577</c:v>
                </c:pt>
                <c:pt idx="8">
                  <c:v>69.882319151376905</c:v>
                </c:pt>
                <c:pt idx="9">
                  <c:v>71.219959202860906</c:v>
                </c:pt>
                <c:pt idx="10">
                  <c:v>72.481079342685575</c:v>
                </c:pt>
                <c:pt idx="11">
                  <c:v>73.680089561092956</c:v>
                </c:pt>
                <c:pt idx="12">
                  <c:v>74.722114630358803</c:v>
                </c:pt>
                <c:pt idx="13">
                  <c:v>75.698210674845598</c:v>
                </c:pt>
                <c:pt idx="14">
                  <c:v>76.607442175332523</c:v>
                </c:pt>
                <c:pt idx="15">
                  <c:v>77.448765239466638</c:v>
                </c:pt>
                <c:pt idx="16">
                  <c:v>78.222420568953908</c:v>
                </c:pt>
                <c:pt idx="17">
                  <c:v>78.936422411944818</c:v>
                </c:pt>
                <c:pt idx="18">
                  <c:v>79.582638456531214</c:v>
                </c:pt>
                <c:pt idx="19">
                  <c:v>80.161891962663347</c:v>
                </c:pt>
                <c:pt idx="20">
                  <c:v>80.683012502587957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B-4332-9B7E-4460C498B35B}"/>
            </c:ext>
          </c:extLst>
        </c:ser>
        <c:ser>
          <c:idx val="4"/>
          <c:order val="3"/>
          <c:tx>
            <c:strRef>
              <c:f>'Czech Rep'!$N$159</c:f>
              <c:strCache>
                <c:ptCount val="1"/>
                <c:pt idx="0">
                  <c:v>Low petrol</c:v>
                </c:pt>
              </c:strCache>
            </c:strRef>
          </c:tx>
          <c:marker>
            <c:symbol val="none"/>
          </c:marker>
          <c:cat>
            <c:numRef>
              <c:f>'Czech Rep'!$I$160:$I$180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'Czech Rep'!$N$160:$N$180</c:f>
              <c:numCache>
                <c:formatCode>0.00</c:formatCode>
                <c:ptCount val="21"/>
                <c:pt idx="0">
                  <c:v>56.788132397850951</c:v>
                </c:pt>
                <c:pt idx="1">
                  <c:v>58.459446692392909</c:v>
                </c:pt>
                <c:pt idx="2">
                  <c:v>60.309941054656733</c:v>
                </c:pt>
                <c:pt idx="3">
                  <c:v>62.087100151697101</c:v>
                </c:pt>
                <c:pt idx="4">
                  <c:v>63.868222939824911</c:v>
                </c:pt>
                <c:pt idx="5">
                  <c:v>65.818934338043547</c:v>
                </c:pt>
                <c:pt idx="6">
                  <c:v>67.358755385219965</c:v>
                </c:pt>
                <c:pt idx="7">
                  <c:v>68.77858383440217</c:v>
                </c:pt>
                <c:pt idx="8">
                  <c:v>70.1085030222021</c:v>
                </c:pt>
                <c:pt idx="9">
                  <c:v>71.608674650790661</c:v>
                </c:pt>
                <c:pt idx="10">
                  <c:v>72.848747352358529</c:v>
                </c:pt>
                <c:pt idx="11">
                  <c:v>74.024218209491835</c:v>
                </c:pt>
                <c:pt idx="12">
                  <c:v>75.048818057212415</c:v>
                </c:pt>
                <c:pt idx="13">
                  <c:v>76.010770009558925</c:v>
                </c:pt>
                <c:pt idx="14">
                  <c:v>76.907394205575315</c:v>
                </c:pt>
                <c:pt idx="15">
                  <c:v>77.732467382299617</c:v>
                </c:pt>
                <c:pt idx="16">
                  <c:v>78.489969403004793</c:v>
                </c:pt>
                <c:pt idx="17">
                  <c:v>79.188439145510344</c:v>
                </c:pt>
                <c:pt idx="18">
                  <c:v>79.822570410638932</c:v>
                </c:pt>
                <c:pt idx="19">
                  <c:v>80.389996398368339</c:v>
                </c:pt>
                <c:pt idx="20">
                  <c:v>80.89803514346103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9B-4332-9B7E-4460C498B35B}"/>
            </c:ext>
          </c:extLst>
        </c:ser>
        <c:ser>
          <c:idx val="5"/>
          <c:order val="4"/>
          <c:tx>
            <c:strRef>
              <c:f>'Czech Rep'!$O$159</c:f>
              <c:strCache>
                <c:ptCount val="1"/>
                <c:pt idx="0">
                  <c:v> GFC unch'd</c:v>
                </c:pt>
              </c:strCache>
            </c:strRef>
          </c:tx>
          <c:marker>
            <c:symbol val="none"/>
          </c:marker>
          <c:cat>
            <c:numRef>
              <c:f>'Czech Rep'!$I$160:$I$180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'Czech Rep'!$O$160:$O$180</c:f>
              <c:numCache>
                <c:formatCode>0.00</c:formatCode>
                <c:ptCount val="21"/>
                <c:pt idx="0">
                  <c:v>56.811036587654975</c:v>
                </c:pt>
                <c:pt idx="1">
                  <c:v>58.456960118204073</c:v>
                </c:pt>
                <c:pt idx="2">
                  <c:v>60.17404572035074</c:v>
                </c:pt>
                <c:pt idx="3">
                  <c:v>61.856984136175285</c:v>
                </c:pt>
                <c:pt idx="4">
                  <c:v>63.495031329634415</c:v>
                </c:pt>
                <c:pt idx="5">
                  <c:v>65.089928741869798</c:v>
                </c:pt>
                <c:pt idx="6">
                  <c:v>66.512911585589592</c:v>
                </c:pt>
                <c:pt idx="7">
                  <c:v>67.89038988411798</c:v>
                </c:pt>
                <c:pt idx="8">
                  <c:v>69.212929270966086</c:v>
                </c:pt>
                <c:pt idx="9">
                  <c:v>70.477842127336046</c:v>
                </c:pt>
                <c:pt idx="10">
                  <c:v>71.675609623693418</c:v>
                </c:pt>
                <c:pt idx="11">
                  <c:v>72.818380818811235</c:v>
                </c:pt>
                <c:pt idx="12">
                  <c:v>73.890005562704303</c:v>
                </c:pt>
                <c:pt idx="13">
                  <c:v>74.896267132501151</c:v>
                </c:pt>
                <c:pt idx="14">
                  <c:v>75.836099899575686</c:v>
                </c:pt>
                <c:pt idx="15">
                  <c:v>76.708734620557664</c:v>
                </c:pt>
                <c:pt idx="16">
                  <c:v>77.513683043845262</c:v>
                </c:pt>
                <c:pt idx="17">
                  <c:v>78.258736411823278</c:v>
                </c:pt>
                <c:pt idx="18">
                  <c:v>78.936109377750455</c:v>
                </c:pt>
                <c:pt idx="19">
                  <c:v>79.546034069207593</c:v>
                </c:pt>
                <c:pt idx="20">
                  <c:v>80.097265568558228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9B-4332-9B7E-4460C498B35B}"/>
            </c:ext>
          </c:extLst>
        </c:ser>
        <c:ser>
          <c:idx val="0"/>
          <c:order val="5"/>
          <c:tx>
            <c:strRef>
              <c:f>'Czech Rep'!$J$159</c:f>
              <c:strCache>
                <c:ptCount val="1"/>
                <c:pt idx="0">
                  <c:v>basecase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cat>
            <c:numRef>
              <c:f>'Czech Rep'!$I$160:$I$180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'Czech Rep'!$J$160:$J$180</c:f>
              <c:numCache>
                <c:formatCode>0.00</c:formatCode>
                <c:ptCount val="21"/>
                <c:pt idx="0">
                  <c:v>56.811036587654975</c:v>
                </c:pt>
                <c:pt idx="1">
                  <c:v>58.456960118204073</c:v>
                </c:pt>
                <c:pt idx="2">
                  <c:v>60.278521501467125</c:v>
                </c:pt>
                <c:pt idx="3">
                  <c:v>62.062538188981641</c:v>
                </c:pt>
                <c:pt idx="4">
                  <c:v>63.797488140819766</c:v>
                </c:pt>
                <c:pt idx="5">
                  <c:v>65.484455463218367</c:v>
                </c:pt>
                <c:pt idx="6">
                  <c:v>66.994761890971162</c:v>
                </c:pt>
                <c:pt idx="7">
                  <c:v>68.454067053339116</c:v>
                </c:pt>
                <c:pt idx="8">
                  <c:v>69.852522896888757</c:v>
                </c:pt>
                <c:pt idx="9">
                  <c:v>71.187151176813202</c:v>
                </c:pt>
                <c:pt idx="10">
                  <c:v>72.448148753518637</c:v>
                </c:pt>
                <c:pt idx="11">
                  <c:v>73.647687094786221</c:v>
                </c:pt>
                <c:pt idx="12">
                  <c:v>74.690302967403653</c:v>
                </c:pt>
                <c:pt idx="13">
                  <c:v>75.667077139263114</c:v>
                </c:pt>
                <c:pt idx="14">
                  <c:v>76.577114760539416</c:v>
                </c:pt>
                <c:pt idx="15">
                  <c:v>77.419808203173659</c:v>
                </c:pt>
                <c:pt idx="16">
                  <c:v>78.194820492126951</c:v>
                </c:pt>
                <c:pt idx="17">
                  <c:v>78.910149636513864</c:v>
                </c:pt>
                <c:pt idx="18">
                  <c:v>79.558066283520731</c:v>
                </c:pt>
                <c:pt idx="19">
                  <c:v>80.138918602229879</c:v>
                </c:pt>
                <c:pt idx="20">
                  <c:v>80.661623991288025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B-4332-9B7E-4460C498B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014464"/>
        <c:axId val="112016000"/>
      </c:lineChart>
      <c:catAx>
        <c:axId val="1120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016000"/>
        <c:crosses val="autoZero"/>
        <c:auto val="1"/>
        <c:lblAlgn val="ctr"/>
        <c:lblOffset val="100"/>
        <c:noMultiLvlLbl val="0"/>
      </c:catAx>
      <c:valAx>
        <c:axId val="112016000"/>
        <c:scaling>
          <c:orientation val="minMax"/>
          <c:max val="90"/>
          <c:min val="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Billion vehicle kilometres per 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201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178320926607719"/>
          <c:y val="0.37710134254800876"/>
          <c:w val="0.24098129585337733"/>
          <c:h val="0.533567099076641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'Czech Rep'!$A$59:$A$97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'Czech Rep'!$BB$59:$BB$97</c:f>
              <c:numCache>
                <c:formatCode>0.00</c:formatCode>
                <c:ptCount val="39"/>
                <c:pt idx="0">
                  <c:v>35.494587124150677</c:v>
                </c:pt>
                <c:pt idx="1">
                  <c:v>37.418939775396964</c:v>
                </c:pt>
                <c:pt idx="2">
                  <c:v>34.650414771413352</c:v>
                </c:pt>
                <c:pt idx="3">
                  <c:v>32.025735583553789</c:v>
                </c:pt>
                <c:pt idx="4">
                  <c:v>30.564750938697916</c:v>
                </c:pt>
                <c:pt idx="5">
                  <c:v>29.641053153350249</c:v>
                </c:pt>
                <c:pt idx="6">
                  <c:v>24.299047786383298</c:v>
                </c:pt>
                <c:pt idx="7">
                  <c:v>23.600979925524094</c:v>
                </c:pt>
                <c:pt idx="8">
                  <c:v>22.464174148305524</c:v>
                </c:pt>
                <c:pt idx="9">
                  <c:v>22.147691328254048</c:v>
                </c:pt>
                <c:pt idx="10">
                  <c:v>21.483249406351497</c:v>
                </c:pt>
                <c:pt idx="11">
                  <c:v>20.194093545303083</c:v>
                </c:pt>
                <c:pt idx="12">
                  <c:v>17.851541832219059</c:v>
                </c:pt>
                <c:pt idx="13">
                  <c:v>16.334616752680589</c:v>
                </c:pt>
                <c:pt idx="14">
                  <c:v>15.032447532506914</c:v>
                </c:pt>
                <c:pt idx="15">
                  <c:v>13.382612169189777</c:v>
                </c:pt>
                <c:pt idx="16">
                  <c:v>13.360837686340357</c:v>
                </c:pt>
                <c:pt idx="17">
                  <c:v>13.202310902846122</c:v>
                </c:pt>
                <c:pt idx="18">
                  <c:v>10.654076199972454</c:v>
                </c:pt>
                <c:pt idx="19">
                  <c:v>11.798025265112006</c:v>
                </c:pt>
                <c:pt idx="20">
                  <c:v>15.412358927880046</c:v>
                </c:pt>
                <c:pt idx="21">
                  <c:v>14.010178632476098</c:v>
                </c:pt>
                <c:pt idx="22">
                  <c:v>11.830107981983939</c:v>
                </c:pt>
                <c:pt idx="23">
                  <c:v>12.28854474225005</c:v>
                </c:pt>
                <c:pt idx="24">
                  <c:v>12.978786670845491</c:v>
                </c:pt>
                <c:pt idx="25">
                  <c:v>13.886083390359172</c:v>
                </c:pt>
                <c:pt idx="26">
                  <c:v>14.750762966159826</c:v>
                </c:pt>
                <c:pt idx="27">
                  <c:v>14.201902883638304</c:v>
                </c:pt>
                <c:pt idx="28">
                  <c:v>14.42913880944198</c:v>
                </c:pt>
                <c:pt idx="29">
                  <c:v>11.327867356524006</c:v>
                </c:pt>
                <c:pt idx="30">
                  <c:v>13.457463463564594</c:v>
                </c:pt>
                <c:pt idx="31">
                  <c:v>15.851691354738765</c:v>
                </c:pt>
                <c:pt idx="32">
                  <c:v>17.09721699447649</c:v>
                </c:pt>
                <c:pt idx="33">
                  <c:v>16.068131192337802</c:v>
                </c:pt>
                <c:pt idx="34">
                  <c:v>15.863347317008017</c:v>
                </c:pt>
                <c:pt idx="35">
                  <c:v>12.147629961325855</c:v>
                </c:pt>
                <c:pt idx="36">
                  <c:v>9.921676056490341</c:v>
                </c:pt>
                <c:pt idx="37">
                  <c:v>11.021278005437743</c:v>
                </c:pt>
                <c:pt idx="38">
                  <c:v>11.915963152897849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7-4CBD-BB9F-D0896C6E5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345680"/>
        <c:axId val="702346008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'Czech Rep'!$A$59:$A$96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cat>
          <c:val>
            <c:numRef>
              <c:f>'Czech Rep'!$BD$59:$BD$97</c:f>
              <c:numCache>
                <c:formatCode>0.00</c:formatCode>
                <c:ptCount val="39"/>
                <c:pt idx="0">
                  <c:v>31.62450188336101</c:v>
                </c:pt>
                <c:pt idx="1">
                  <c:v>33.803962024832579</c:v>
                </c:pt>
                <c:pt idx="2">
                  <c:v>30.473844543856231</c:v>
                </c:pt>
                <c:pt idx="3">
                  <c:v>26.171996067046216</c:v>
                </c:pt>
                <c:pt idx="4">
                  <c:v>25.295469164310767</c:v>
                </c:pt>
                <c:pt idx="5">
                  <c:v>23.244330605428171</c:v>
                </c:pt>
                <c:pt idx="6">
                  <c:v>12.834256594345334</c:v>
                </c:pt>
                <c:pt idx="7">
                  <c:v>15.925783987747126</c:v>
                </c:pt>
                <c:pt idx="8">
                  <c:v>12.802700432912868</c:v>
                </c:pt>
                <c:pt idx="9">
                  <c:v>15.112434069908709</c:v>
                </c:pt>
                <c:pt idx="10">
                  <c:v>18.029386305475199</c:v>
                </c:pt>
                <c:pt idx="11">
                  <c:v>15.072271141088285</c:v>
                </c:pt>
                <c:pt idx="12">
                  <c:v>13.602579368603385</c:v>
                </c:pt>
                <c:pt idx="13">
                  <c:v>11.508393892548941</c:v>
                </c:pt>
                <c:pt idx="14">
                  <c:v>9.652601089368515</c:v>
                </c:pt>
                <c:pt idx="15">
                  <c:v>8.7118409686633491</c:v>
                </c:pt>
                <c:pt idx="16">
                  <c:v>9.8274945987272702</c:v>
                </c:pt>
                <c:pt idx="17">
                  <c:v>9.8596675309148125</c:v>
                </c:pt>
                <c:pt idx="18">
                  <c:v>6.3472535770745067</c:v>
                </c:pt>
                <c:pt idx="19">
                  <c:v>8.069713208544961</c:v>
                </c:pt>
                <c:pt idx="20">
                  <c:v>13.688595792784714</c:v>
                </c:pt>
                <c:pt idx="21">
                  <c:v>10.791557197437163</c:v>
                </c:pt>
                <c:pt idx="22">
                  <c:v>9.6152864617219205</c:v>
                </c:pt>
                <c:pt idx="23">
                  <c:v>9.5466633025642889</c:v>
                </c:pt>
                <c:pt idx="24">
                  <c:v>10.851363440223784</c:v>
                </c:pt>
                <c:pt idx="25">
                  <c:v>13.952070674944878</c:v>
                </c:pt>
                <c:pt idx="26">
                  <c:v>15.480478928270042</c:v>
                </c:pt>
                <c:pt idx="27">
                  <c:v>15.277217569302685</c:v>
                </c:pt>
                <c:pt idx="28">
                  <c:v>16.522188402061797</c:v>
                </c:pt>
                <c:pt idx="29">
                  <c:v>11.80384971779722</c:v>
                </c:pt>
                <c:pt idx="30">
                  <c:v>14.791594625</c:v>
                </c:pt>
                <c:pt idx="31">
                  <c:v>18.651390276286296</c:v>
                </c:pt>
                <c:pt idx="32">
                  <c:v>20.360291239774373</c:v>
                </c:pt>
                <c:pt idx="33">
                  <c:v>19.39532671637663</c:v>
                </c:pt>
                <c:pt idx="34">
                  <c:v>18.627662183478535</c:v>
                </c:pt>
                <c:pt idx="35">
                  <c:v>11.328703710766192</c:v>
                </c:pt>
                <c:pt idx="36">
                  <c:v>9.1874284057883564</c:v>
                </c:pt>
                <c:pt idx="37">
                  <c:v>11.067083777718917</c:v>
                </c:pt>
                <c:pt idx="38">
                  <c:v>13.460881436110377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7-4CBD-BB9F-D0896C6E5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516520"/>
        <c:axId val="854516192"/>
      </c:lineChart>
      <c:catAx>
        <c:axId val="70234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346008"/>
        <c:crosses val="autoZero"/>
        <c:auto val="1"/>
        <c:lblAlgn val="ctr"/>
        <c:lblOffset val="100"/>
        <c:noMultiLvlLbl val="0"/>
      </c:catAx>
      <c:valAx>
        <c:axId val="70234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345680"/>
        <c:crosses val="autoZero"/>
        <c:crossBetween val="between"/>
      </c:valAx>
      <c:valAx>
        <c:axId val="854516192"/>
        <c:scaling>
          <c:orientation val="minMax"/>
          <c:max val="55"/>
          <c:min val="-5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516520"/>
        <c:crosses val="max"/>
        <c:crossBetween val="between"/>
      </c:valAx>
      <c:catAx>
        <c:axId val="854516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451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904454107415702E-2"/>
          <c:y val="3.6521446332366349E-2"/>
          <c:w val="0.83909360676930578"/>
          <c:h val="0.8300712287608829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Denmark!$A$44:$A$97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Denmark!$BC$44:$BC$97</c:f>
              <c:numCache>
                <c:formatCode>0.00</c:formatCode>
                <c:ptCount val="54"/>
                <c:pt idx="0">
                  <c:v>4.1170938473728773</c:v>
                </c:pt>
                <c:pt idx="1">
                  <c:v>3.9043082880336897</c:v>
                </c:pt>
                <c:pt idx="2">
                  <c:v>4.1837349453633079</c:v>
                </c:pt>
                <c:pt idx="3">
                  <c:v>4.0702630366477353</c:v>
                </c:pt>
                <c:pt idx="4">
                  <c:v>3.7993666084201179</c:v>
                </c:pt>
                <c:pt idx="5">
                  <c:v>4.1241505210496836</c:v>
                </c:pt>
                <c:pt idx="6">
                  <c:v>3.9296900452900294</c:v>
                </c:pt>
                <c:pt idx="7">
                  <c:v>3.6546747263113302</c:v>
                </c:pt>
                <c:pt idx="8">
                  <c:v>4.5294372979644848</c:v>
                </c:pt>
                <c:pt idx="9">
                  <c:v>6.16053529572768</c:v>
                </c:pt>
                <c:pt idx="10">
                  <c:v>4.9914079488796546</c:v>
                </c:pt>
                <c:pt idx="11">
                  <c:v>5.2950666357678777</c:v>
                </c:pt>
                <c:pt idx="12">
                  <c:v>4.9449720404807298</c:v>
                </c:pt>
                <c:pt idx="13">
                  <c:v>4.291658357752282</c:v>
                </c:pt>
                <c:pt idx="14">
                  <c:v>4.9721722981438985</c:v>
                </c:pt>
                <c:pt idx="15">
                  <c:v>6.6427521959445341</c:v>
                </c:pt>
                <c:pt idx="16">
                  <c:v>7.1628982866222186</c:v>
                </c:pt>
                <c:pt idx="17">
                  <c:v>6.6295985453928239</c:v>
                </c:pt>
                <c:pt idx="18">
                  <c:v>6.7466755291712284</c:v>
                </c:pt>
                <c:pt idx="19">
                  <c:v>6.361736948993749</c:v>
                </c:pt>
                <c:pt idx="20">
                  <c:v>6.4148920449372122</c:v>
                </c:pt>
                <c:pt idx="21">
                  <c:v>4.4120401427740772</c:v>
                </c:pt>
                <c:pt idx="22">
                  <c:v>4.5673095674281781</c:v>
                </c:pt>
                <c:pt idx="23">
                  <c:v>4.3874735572982857</c:v>
                </c:pt>
                <c:pt idx="24">
                  <c:v>2.6587116229002454</c:v>
                </c:pt>
                <c:pt idx="25">
                  <c:v>3.1153670207447552</c:v>
                </c:pt>
                <c:pt idx="26">
                  <c:v>3.0195548776849961</c:v>
                </c:pt>
                <c:pt idx="27">
                  <c:v>2.5786383353941567</c:v>
                </c:pt>
                <c:pt idx="28">
                  <c:v>2.744282755223896</c:v>
                </c:pt>
                <c:pt idx="29">
                  <c:v>2.5286502199328611</c:v>
                </c:pt>
                <c:pt idx="30">
                  <c:v>2.3333622152630591</c:v>
                </c:pt>
                <c:pt idx="31">
                  <c:v>2.4631379893412859</c:v>
                </c:pt>
                <c:pt idx="32">
                  <c:v>2.5615996332552271</c:v>
                </c:pt>
                <c:pt idx="33">
                  <c:v>2.2245184954508996</c:v>
                </c:pt>
                <c:pt idx="34">
                  <c:v>2.5713266349959207</c:v>
                </c:pt>
                <c:pt idx="35">
                  <c:v>3.391403292788663</c:v>
                </c:pt>
                <c:pt idx="36">
                  <c:v>3.0503663533712571</c:v>
                </c:pt>
                <c:pt idx="37">
                  <c:v>2.8332902663250739</c:v>
                </c:pt>
                <c:pt idx="38">
                  <c:v>2.8210286968963638</c:v>
                </c:pt>
                <c:pt idx="39">
                  <c:v>2.9424710249604136</c:v>
                </c:pt>
                <c:pt idx="40">
                  <c:v>3.4944455775017929</c:v>
                </c:pt>
                <c:pt idx="41">
                  <c:v>3.9092907752699713</c:v>
                </c:pt>
                <c:pt idx="42">
                  <c:v>3.980601687926991</c:v>
                </c:pt>
                <c:pt idx="43">
                  <c:v>4.2135586138850067</c:v>
                </c:pt>
                <c:pt idx="44">
                  <c:v>3.4668700697000006</c:v>
                </c:pt>
                <c:pt idx="45">
                  <c:v>4.2899999999999991</c:v>
                </c:pt>
                <c:pt idx="46">
                  <c:v>5.256971586955058</c:v>
                </c:pt>
                <c:pt idx="47">
                  <c:v>5.5685968028800756</c:v>
                </c:pt>
                <c:pt idx="48">
                  <c:v>5.3659799454928399</c:v>
                </c:pt>
                <c:pt idx="49">
                  <c:v>4.954112907777235</c:v>
                </c:pt>
                <c:pt idx="50">
                  <c:v>4.0654941948472008</c:v>
                </c:pt>
                <c:pt idx="51">
                  <c:v>3.5306707556443371</c:v>
                </c:pt>
                <c:pt idx="52">
                  <c:v>3.9643970779404603</c:v>
                </c:pt>
                <c:pt idx="53">
                  <c:v>4.4564472403516362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2-49DA-9EDA-D1F32746A694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Denmark!$A$44:$A$97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Denmark!$BD$44:$BD$97</c:f>
              <c:numCache>
                <c:formatCode>0.00</c:formatCode>
                <c:ptCount val="54"/>
                <c:pt idx="0">
                  <c:v>4.1450856396190598</c:v>
                </c:pt>
                <c:pt idx="1">
                  <c:v>4.0796531774609974</c:v>
                </c:pt>
                <c:pt idx="2">
                  <c:v>4.001840264307166</c:v>
                </c:pt>
                <c:pt idx="3">
                  <c:v>3.9998406626392913</c:v>
                </c:pt>
                <c:pt idx="4">
                  <c:v>3.9620660723543759</c:v>
                </c:pt>
                <c:pt idx="5">
                  <c:v>3.9112308818321466</c:v>
                </c:pt>
                <c:pt idx="6">
                  <c:v>3.9036392073822697</c:v>
                </c:pt>
                <c:pt idx="7">
                  <c:v>3.7799261128934489</c:v>
                </c:pt>
                <c:pt idx="8">
                  <c:v>4.6795742051254976</c:v>
                </c:pt>
                <c:pt idx="9">
                  <c:v>5.391911277244823</c:v>
                </c:pt>
                <c:pt idx="10">
                  <c:v>5.1485298483243227</c:v>
                </c:pt>
                <c:pt idx="11">
                  <c:v>5.1764707455487056</c:v>
                </c:pt>
                <c:pt idx="12">
                  <c:v>5.1086974309553286</c:v>
                </c:pt>
                <c:pt idx="13">
                  <c:v>4.7934878434463357</c:v>
                </c:pt>
                <c:pt idx="14">
                  <c:v>5.2639502925111437</c:v>
                </c:pt>
                <c:pt idx="15">
                  <c:v>6.2897237292194763</c:v>
                </c:pt>
                <c:pt idx="16">
                  <c:v>6.9586578962470629</c:v>
                </c:pt>
                <c:pt idx="17">
                  <c:v>6.8414282846215819</c:v>
                </c:pt>
                <c:pt idx="18">
                  <c:v>6.4627785947676522</c:v>
                </c:pt>
                <c:pt idx="19">
                  <c:v>6.6232981197085294</c:v>
                </c:pt>
                <c:pt idx="20">
                  <c:v>6.3314477965751683</c:v>
                </c:pt>
                <c:pt idx="21">
                  <c:v>4.5182817919624885</c:v>
                </c:pt>
                <c:pt idx="22">
                  <c:v>4.5658120005983811</c:v>
                </c:pt>
                <c:pt idx="23">
                  <c:v>4.2757338864126178</c:v>
                </c:pt>
                <c:pt idx="24">
                  <c:v>2.8800529559310113</c:v>
                </c:pt>
                <c:pt idx="25">
                  <c:v>2.9202625877756465</c:v>
                </c:pt>
                <c:pt idx="26">
                  <c:v>2.7640721261255234</c:v>
                </c:pt>
                <c:pt idx="27">
                  <c:v>2.6216340624663577</c:v>
                </c:pt>
                <c:pt idx="28">
                  <c:v>2.5678520150056259</c:v>
                </c:pt>
                <c:pt idx="29">
                  <c:v>2.4631957264867275</c:v>
                </c:pt>
                <c:pt idx="30">
                  <c:v>2.3939401282819328</c:v>
                </c:pt>
                <c:pt idx="31">
                  <c:v>2.5775231161028986</c:v>
                </c:pt>
                <c:pt idx="32">
                  <c:v>2.6173013325533181</c:v>
                </c:pt>
                <c:pt idx="33">
                  <c:v>2.2925863577341228</c:v>
                </c:pt>
                <c:pt idx="34">
                  <c:v>2.4653406295170961</c:v>
                </c:pt>
                <c:pt idx="35">
                  <c:v>3.1807559719421783</c:v>
                </c:pt>
                <c:pt idx="36">
                  <c:v>2.9235748279756368</c:v>
                </c:pt>
                <c:pt idx="37">
                  <c:v>2.8901748864822348</c:v>
                </c:pt>
                <c:pt idx="38">
                  <c:v>2.8133223854927696</c:v>
                </c:pt>
                <c:pt idx="39">
                  <c:v>3.0077255959791231</c:v>
                </c:pt>
                <c:pt idx="40">
                  <c:v>3.5649440153365544</c:v>
                </c:pt>
                <c:pt idx="41">
                  <c:v>3.9160871104104653</c:v>
                </c:pt>
                <c:pt idx="42">
                  <c:v>3.9584053779054407</c:v>
                </c:pt>
                <c:pt idx="43">
                  <c:v>4.533525445076819</c:v>
                </c:pt>
                <c:pt idx="44">
                  <c:v>3.550199504231323</c:v>
                </c:pt>
                <c:pt idx="45">
                  <c:v>4.5907586918643926</c:v>
                </c:pt>
                <c:pt idx="46">
                  <c:v>5.3397359933082242</c:v>
                </c:pt>
                <c:pt idx="47">
                  <c:v>5.5945540913768887</c:v>
                </c:pt>
                <c:pt idx="48">
                  <c:v>5.3421605490949826</c:v>
                </c:pt>
                <c:pt idx="49">
                  <c:v>5.0169823076415785</c:v>
                </c:pt>
                <c:pt idx="50">
                  <c:v>3.8444258879207505</c:v>
                </c:pt>
                <c:pt idx="51">
                  <c:v>3.5099281535786879</c:v>
                </c:pt>
                <c:pt idx="52">
                  <c:v>3.8920560860618725</c:v>
                </c:pt>
                <c:pt idx="53">
                  <c:v>4.4029117010512282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2-49DA-9EDA-D1F32746A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84032"/>
        <c:axId val="150685568"/>
      </c:lineChart>
      <c:catAx>
        <c:axId val="1506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685568"/>
        <c:crosses val="autoZero"/>
        <c:auto val="1"/>
        <c:lblAlgn val="ctr"/>
        <c:lblOffset val="100"/>
        <c:noMultiLvlLbl val="0"/>
      </c:catAx>
      <c:valAx>
        <c:axId val="15068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Krone per litre</a:t>
                </a:r>
              </a:p>
            </c:rich>
          </c:tx>
          <c:layout>
            <c:manualLayout>
              <c:xMode val="edge"/>
              <c:yMode val="edge"/>
              <c:x val="1.7885164796878267E-2"/>
              <c:y val="0.3217615232306488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068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692202633962789"/>
          <c:y val="0.14775357438872772"/>
          <c:w val="0.14427203679186118"/>
          <c:h val="0.188045482801495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22131300272041E-2"/>
          <c:y val="3.4108510476220238E-2"/>
          <c:w val="0.82734080944979183"/>
          <c:h val="0.83774164060714629"/>
        </c:manualLayout>
      </c:layout>
      <c:lineChart>
        <c:grouping val="standard"/>
        <c:varyColors val="0"/>
        <c:ser>
          <c:idx val="0"/>
          <c:order val="0"/>
          <c:tx>
            <c:strRef>
              <c:f>'World Oil Price analysis'!$B$105</c:f>
              <c:strCache>
                <c:ptCount val="1"/>
                <c:pt idx="0">
                  <c:v>real oil price (LHS)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analysis'!$A$106:$A$166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'World Oil Price analysis'!$B$106:$B$166</c:f>
              <c:numCache>
                <c:formatCode>0.00</c:formatCode>
                <c:ptCount val="61"/>
                <c:pt idx="0">
                  <c:v>19.491740993610982</c:v>
                </c:pt>
                <c:pt idx="1">
                  <c:v>18.793578391027218</c:v>
                </c:pt>
                <c:pt idx="2">
                  <c:v>17.439690979476033</c:v>
                </c:pt>
                <c:pt idx="3">
                  <c:v>15.893205250610167</c:v>
                </c:pt>
                <c:pt idx="4">
                  <c:v>45.154443786859268</c:v>
                </c:pt>
                <c:pt idx="5">
                  <c:v>42.354994859681113</c:v>
                </c:pt>
                <c:pt idx="6">
                  <c:v>44.212643376667735</c:v>
                </c:pt>
                <c:pt idx="7">
                  <c:v>44.193923022410409</c:v>
                </c:pt>
                <c:pt idx="8">
                  <c:v>38.102909568822163</c:v>
                </c:pt>
                <c:pt idx="9">
                  <c:v>49.758314706931465</c:v>
                </c:pt>
                <c:pt idx="10">
                  <c:v>68.85799256247951</c:v>
                </c:pt>
                <c:pt idx="11">
                  <c:v>74.251447206907059</c:v>
                </c:pt>
                <c:pt idx="12">
                  <c:v>68.060300646238474</c:v>
                </c:pt>
                <c:pt idx="13">
                  <c:v>59.41719782913038</c:v>
                </c:pt>
                <c:pt idx="14">
                  <c:v>58.49701537504626</c:v>
                </c:pt>
                <c:pt idx="15">
                  <c:v>52.786815702870925</c:v>
                </c:pt>
                <c:pt idx="16">
                  <c:v>25.378370676486295</c:v>
                </c:pt>
                <c:pt idx="17">
                  <c:v>28.326737977139747</c:v>
                </c:pt>
                <c:pt idx="18">
                  <c:v>21.925556419614566</c:v>
                </c:pt>
                <c:pt idx="19">
                  <c:v>26.913724633883639</c:v>
                </c:pt>
                <c:pt idx="20">
                  <c:v>30.126983820590109</c:v>
                </c:pt>
                <c:pt idx="21">
                  <c:v>25.217583773540373</c:v>
                </c:pt>
                <c:pt idx="22">
                  <c:v>22.718200420677974</c:v>
                </c:pt>
                <c:pt idx="23">
                  <c:v>19.927916307818762</c:v>
                </c:pt>
                <c:pt idx="24">
                  <c:v>17.610224664640008</c:v>
                </c:pt>
                <c:pt idx="25">
                  <c:v>17.329574131880065</c:v>
                </c:pt>
                <c:pt idx="26">
                  <c:v>21.194578827543335</c:v>
                </c:pt>
                <c:pt idx="27">
                  <c:v>20.392921748364621</c:v>
                </c:pt>
                <c:pt idx="28">
                  <c:v>14.205952566041114</c:v>
                </c:pt>
                <c:pt idx="29">
                  <c:v>16.764550201840873</c:v>
                </c:pt>
                <c:pt idx="30">
                  <c:v>26.54152388194677</c:v>
                </c:pt>
                <c:pt idx="31">
                  <c:v>22.406884041211946</c:v>
                </c:pt>
                <c:pt idx="32">
                  <c:v>22.736945637603462</c:v>
                </c:pt>
                <c:pt idx="33">
                  <c:v>23.721167813751634</c:v>
                </c:pt>
                <c:pt idx="34">
                  <c:v>28.100482104718832</c:v>
                </c:pt>
                <c:pt idx="35">
                  <c:v>38.395251293511997</c:v>
                </c:pt>
                <c:pt idx="36">
                  <c:v>44.865261126876618</c:v>
                </c:pt>
                <c:pt idx="37">
                  <c:v>47.36583359030093</c:v>
                </c:pt>
                <c:pt idx="38">
                  <c:v>60.41110623004873</c:v>
                </c:pt>
                <c:pt idx="39">
                  <c:v>40.250770631115643</c:v>
                </c:pt>
                <c:pt idx="40">
                  <c:v>50.822862087170627</c:v>
                </c:pt>
                <c:pt idx="41">
                  <c:v>65.864539914281522</c:v>
                </c:pt>
                <c:pt idx="42">
                  <c:v>67.886985516243257</c:v>
                </c:pt>
                <c:pt idx="43">
                  <c:v>65.311137437317441</c:v>
                </c:pt>
                <c:pt idx="44">
                  <c:v>58.509475805917226</c:v>
                </c:pt>
                <c:pt idx="45">
                  <c:v>32.623358804674254</c:v>
                </c:pt>
                <c:pt idx="46">
                  <c:v>26.650767151737266</c:v>
                </c:pt>
                <c:pt idx="47">
                  <c:v>33.58932103739815</c:v>
                </c:pt>
                <c:pt idx="48">
                  <c:v>42.978527578386846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B-4093-A6FB-1467AD365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883896"/>
        <c:axId val="722908824"/>
      </c:lineChart>
      <c:lineChart>
        <c:grouping val="standard"/>
        <c:varyColors val="0"/>
        <c:ser>
          <c:idx val="1"/>
          <c:order val="1"/>
          <c:tx>
            <c:strRef>
              <c:f>'World Oil Price analysis'!$C$105</c:f>
              <c:strCache>
                <c:ptCount val="1"/>
                <c:pt idx="0">
                  <c:v>inverse ch liq/GDP t,t+1 * 3 (RHS)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analysis'!$A$106:$A$166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'World Oil Price analysis'!$C$106:$C$166</c:f>
              <c:numCache>
                <c:formatCode>0.00</c:formatCode>
                <c:ptCount val="61"/>
                <c:pt idx="0">
                  <c:v>-10.458610227429988</c:v>
                </c:pt>
                <c:pt idx="1">
                  <c:v>-8.0407284036116735</c:v>
                </c:pt>
                <c:pt idx="2">
                  <c:v>-5.3076135988309403</c:v>
                </c:pt>
                <c:pt idx="3">
                  <c:v>-2.4594236387229906</c:v>
                </c:pt>
                <c:pt idx="4">
                  <c:v>2.2491734860985657</c:v>
                </c:pt>
                <c:pt idx="5">
                  <c:v>5.4112226944123707</c:v>
                </c:pt>
                <c:pt idx="6">
                  <c:v>4.6319944703419216</c:v>
                </c:pt>
                <c:pt idx="7">
                  <c:v>2.4261318752532568</c:v>
                </c:pt>
                <c:pt idx="8">
                  <c:v>1.7959924639077751</c:v>
                </c:pt>
                <c:pt idx="9">
                  <c:v>5.5038719699773697</c:v>
                </c:pt>
                <c:pt idx="10">
                  <c:v>10.588692886739302</c:v>
                </c:pt>
                <c:pt idx="11">
                  <c:v>15.391148861418417</c:v>
                </c:pt>
                <c:pt idx="12">
                  <c:v>17.165711740023774</c:v>
                </c:pt>
                <c:pt idx="13">
                  <c:v>13.356775426568738</c:v>
                </c:pt>
                <c:pt idx="14">
                  <c:v>9.7390588617428335</c:v>
                </c:pt>
                <c:pt idx="15">
                  <c:v>6.8140210873173341</c:v>
                </c:pt>
                <c:pt idx="16">
                  <c:v>5.1887302407861879</c:v>
                </c:pt>
                <c:pt idx="17">
                  <c:v>4.1308486413962173</c:v>
                </c:pt>
                <c:pt idx="18">
                  <c:v>3.4107239787187495</c:v>
                </c:pt>
                <c:pt idx="19">
                  <c:v>3.0649764722246342</c:v>
                </c:pt>
                <c:pt idx="20">
                  <c:v>2.988720842332615</c:v>
                </c:pt>
                <c:pt idx="21">
                  <c:v>4.4464048025183223</c:v>
                </c:pt>
                <c:pt idx="22">
                  <c:v>5.398251640032603</c:v>
                </c:pt>
                <c:pt idx="23">
                  <c:v>5.1134837462619043</c:v>
                </c:pt>
                <c:pt idx="24">
                  <c:v>3.9636193404704922</c:v>
                </c:pt>
                <c:pt idx="25">
                  <c:v>3.324284065361244</c:v>
                </c:pt>
                <c:pt idx="26">
                  <c:v>3.1783578357661546</c:v>
                </c:pt>
                <c:pt idx="27">
                  <c:v>2.3359560950233451</c:v>
                </c:pt>
                <c:pt idx="28">
                  <c:v>3.1516098834569792</c:v>
                </c:pt>
                <c:pt idx="29">
                  <c:v>4.8694831534998153</c:v>
                </c:pt>
                <c:pt idx="30">
                  <c:v>6.4575491098054432</c:v>
                </c:pt>
                <c:pt idx="31">
                  <c:v>7.9177902318869346</c:v>
                </c:pt>
                <c:pt idx="32">
                  <c:v>8.0278020051518357</c:v>
                </c:pt>
                <c:pt idx="33">
                  <c:v>7.1538415508345325</c:v>
                </c:pt>
                <c:pt idx="34">
                  <c:v>5.3892907293598693</c:v>
                </c:pt>
                <c:pt idx="35">
                  <c:v>6.2392727017088374</c:v>
                </c:pt>
                <c:pt idx="36">
                  <c:v>10.281973745842832</c:v>
                </c:pt>
                <c:pt idx="37">
                  <c:v>12.084631293976173</c:v>
                </c:pt>
                <c:pt idx="38">
                  <c:v>9.6189992218590632</c:v>
                </c:pt>
                <c:pt idx="39">
                  <c:v>6.5033530454038306</c:v>
                </c:pt>
                <c:pt idx="40">
                  <c:v>6.2052925016684517</c:v>
                </c:pt>
                <c:pt idx="41">
                  <c:v>7.0404095013645591</c:v>
                </c:pt>
                <c:pt idx="42">
                  <c:v>6.9357279876840545</c:v>
                </c:pt>
                <c:pt idx="43">
                  <c:v>5.806982750488304</c:v>
                </c:pt>
                <c:pt idx="44">
                  <c:v>4.2644013975538355</c:v>
                </c:pt>
                <c:pt idx="45">
                  <c:v>3.6992605119204045</c:v>
                </c:pt>
                <c:pt idx="46">
                  <c:v>4.1220480709614202</c:v>
                </c:pt>
                <c:pt idx="47">
                  <c:v>5.7530864781699105</c:v>
                </c:pt>
                <c:pt idx="48">
                  <c:v>6.8452747863826762</c:v>
                </c:pt>
                <c:pt idx="49">
                  <c:v>6.4770535521817223</c:v>
                </c:pt>
                <c:pt idx="50">
                  <c:v>6.2475071568608493</c:v>
                </c:pt>
                <c:pt idx="51">
                  <c:v>6.9533887899597975</c:v>
                </c:pt>
                <c:pt idx="52">
                  <c:v>8.1429027787215773</c:v>
                </c:pt>
                <c:pt idx="53">
                  <c:v>9.0116829059828945</c:v>
                </c:pt>
                <c:pt idx="54">
                  <c:v>9.0808162379077295</c:v>
                </c:pt>
                <c:pt idx="55">
                  <c:v>9.4193893649100353</c:v>
                </c:pt>
                <c:pt idx="56">
                  <c:v>10.191031622497437</c:v>
                </c:pt>
                <c:pt idx="57">
                  <c:v>10.809607296346265</c:v>
                </c:pt>
                <c:pt idx="58">
                  <c:v>11.208911790604869</c:v>
                </c:pt>
                <c:pt idx="59">
                  <c:v>11.437028992608685</c:v>
                </c:pt>
                <c:pt idx="60">
                  <c:v>11.446177563589544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B-4093-A6FB-1467AD365CEA}"/>
            </c:ext>
          </c:extLst>
        </c:ser>
        <c:ser>
          <c:idx val="2"/>
          <c:order val="2"/>
          <c:tx>
            <c:strRef>
              <c:f>'World Oil Price analysis'!$D$105</c:f>
              <c:strCache>
                <c:ptCount val="1"/>
                <c:pt idx="0">
                  <c:v>stock shortage * 10 (RHS)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analysis'!$A$106:$A$166</c:f>
              <c:numCache>
                <c:formatCode>General</c:formatCode>
                <c:ptCount val="6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</c:numCache>
            </c:numRef>
          </c:cat>
          <c:val>
            <c:numRef>
              <c:f>'World Oil Price analysis'!$D$106:$D$166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.00">
                  <c:v>2.7874999999983885E-2</c:v>
                </c:pt>
                <c:pt idx="17" formatCode="0.00">
                  <c:v>-0.28450799121705117</c:v>
                </c:pt>
                <c:pt idx="18" formatCode="0.00">
                  <c:v>0.36123401756591456</c:v>
                </c:pt>
                <c:pt idx="19" formatCode="0.00">
                  <c:v>-2.4148973651119121E-2</c:v>
                </c:pt>
                <c:pt idx="20" formatCode="0.00">
                  <c:v>0.21096803513183993</c:v>
                </c:pt>
                <c:pt idx="21" formatCode="0.00">
                  <c:v>-0.92266495608519961</c:v>
                </c:pt>
                <c:pt idx="22" formatCode="0.00">
                  <c:v>-0.14917294730223851</c:v>
                </c:pt>
                <c:pt idx="23" formatCode="0.00">
                  <c:v>8.5944061480720535E-2</c:v>
                </c:pt>
                <c:pt idx="24" formatCode="0.00">
                  <c:v>-5.3063929736314464E-2</c:v>
                </c:pt>
                <c:pt idx="25" formatCode="0.00">
                  <c:v>0.27330307904664508</c:v>
                </c:pt>
                <c:pt idx="26" formatCode="0.00">
                  <c:v>2.3334200878296052</c:v>
                </c:pt>
                <c:pt idx="27" formatCode="0.00">
                  <c:v>3.2985370966125682</c:v>
                </c:pt>
                <c:pt idx="28" formatCode="0.00">
                  <c:v>1.5261541053955341</c:v>
                </c:pt>
                <c:pt idx="29" formatCode="0.00">
                  <c:v>-0.42872888582150104</c:v>
                </c:pt>
                <c:pt idx="30" formatCode="0.00">
                  <c:v>3.1826381229614586</c:v>
                </c:pt>
                <c:pt idx="31" formatCode="0.00">
                  <c:v>-0.50599486825557705</c:v>
                </c:pt>
                <c:pt idx="32" formatCode="0.00">
                  <c:v>-2.0958778594726102</c:v>
                </c:pt>
                <c:pt idx="33" formatCode="0.00">
                  <c:v>1.0592391493103559</c:v>
                </c:pt>
                <c:pt idx="34" formatCode="0.00">
                  <c:v>2.0243561580933189</c:v>
                </c:pt>
                <c:pt idx="35" formatCode="0.00">
                  <c:v>1.1644731668762809</c:v>
                </c:pt>
                <c:pt idx="36" formatCode="0.00">
                  <c:v>1.8558401756592424</c:v>
                </c:pt>
                <c:pt idx="37" formatCode="0.00">
                  <c:v>8.6314491932251691</c:v>
                </c:pt>
                <c:pt idx="38" formatCode="0.00">
                  <c:v>9.8429412020081308</c:v>
                </c:pt>
                <c:pt idx="39" formatCode="0.00">
                  <c:v>10.76243321079116</c:v>
                </c:pt>
                <c:pt idx="40" formatCode="0.00">
                  <c:v>10.388308210791157</c:v>
                </c:pt>
                <c:pt idx="41" formatCode="0.00">
                  <c:v>14.64968321079116</c:v>
                </c:pt>
                <c:pt idx="42" formatCode="0.00">
                  <c:v>13.299183210791163</c:v>
                </c:pt>
                <c:pt idx="43" formatCode="0.00">
                  <c:v>14.813933210791168</c:v>
                </c:pt>
                <c:pt idx="44" formatCode="0.00">
                  <c:v>11.483308210791172</c:v>
                </c:pt>
                <c:pt idx="45" formatCode="0.00">
                  <c:v>4.7764332107911756</c:v>
                </c:pt>
                <c:pt idx="46" formatCode="0.00">
                  <c:v>3.5628082107911752</c:v>
                </c:pt>
                <c:pt idx="47" formatCode="0.00">
                  <c:v>5.3969332107911772</c:v>
                </c:pt>
                <c:pt idx="48" formatCode="0.00">
                  <c:v>3.9004332107911743</c:v>
                </c:pt>
                <c:pt idx="49" formatCode="0.00">
                  <c:v>3.4000000000000004</c:v>
                </c:pt>
                <c:pt idx="50" formatCode="0.00">
                  <c:v>3.3000000000000003</c:v>
                </c:pt>
                <c:pt idx="51" formatCode="0.00">
                  <c:v>4.3499999999999996</c:v>
                </c:pt>
                <c:pt idx="52" formatCode="0.00">
                  <c:v>5.4</c:v>
                </c:pt>
                <c:pt idx="53" formatCode="0.00">
                  <c:v>6.45</c:v>
                </c:pt>
                <c:pt idx="54" formatCode="0.00">
                  <c:v>7.5</c:v>
                </c:pt>
                <c:pt idx="55" formatCode="0.00">
                  <c:v>8.5714285714285712</c:v>
                </c:pt>
                <c:pt idx="56" formatCode="0.00">
                  <c:v>9.6428571428571423</c:v>
                </c:pt>
                <c:pt idx="57" formatCode="0.00">
                  <c:v>10.714285714285714</c:v>
                </c:pt>
                <c:pt idx="58" formatCode="0.00">
                  <c:v>11.785714285714286</c:v>
                </c:pt>
                <c:pt idx="59" formatCode="0.00">
                  <c:v>12.857142857142858</c:v>
                </c:pt>
                <c:pt idx="60" formatCode="0.00">
                  <c:v>13.928571428571431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B-4093-A6FB-1467AD365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939328"/>
        <c:axId val="722939000"/>
      </c:lineChart>
      <c:catAx>
        <c:axId val="72288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908824"/>
        <c:crosses val="autoZero"/>
        <c:auto val="1"/>
        <c:lblAlgn val="ctr"/>
        <c:lblOffset val="100"/>
        <c:noMultiLvlLbl val="0"/>
      </c:catAx>
      <c:valAx>
        <c:axId val="72290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2010</a:t>
                </a:r>
                <a:r>
                  <a:rPr lang="en-AU" baseline="0"/>
                  <a:t> SDRs/barrel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7528571892254485E-2"/>
              <c:y val="0.3369173719502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883896"/>
        <c:crosses val="autoZero"/>
        <c:crossBetween val="between"/>
      </c:valAx>
      <c:valAx>
        <c:axId val="72293900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939328"/>
        <c:crosses val="max"/>
        <c:crossBetween val="between"/>
      </c:valAx>
      <c:catAx>
        <c:axId val="72293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29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04403323199278"/>
          <c:y val="0.66583548027321959"/>
          <c:w val="0.36040330035859874"/>
          <c:h val="0.14737537819672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49463135289907E-2"/>
          <c:y val="3.688544745860256E-2"/>
          <c:w val="0.85616259506022985"/>
          <c:h val="0.8283775865226145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Denmark!$A$44:$A$97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Denmark!$AZ$44:$AZ$97</c:f>
              <c:numCache>
                <c:formatCode>0.00</c:formatCode>
                <c:ptCount val="54"/>
                <c:pt idx="0">
                  <c:v>9.2283932621926414</c:v>
                </c:pt>
                <c:pt idx="1">
                  <c:v>8.7514381829804773</c:v>
                </c:pt>
                <c:pt idx="2">
                  <c:v>9.3777681082560704</c:v>
                </c:pt>
                <c:pt idx="3">
                  <c:v>9.4745415191986382</c:v>
                </c:pt>
                <c:pt idx="4">
                  <c:v>9.3857870761366549</c:v>
                </c:pt>
                <c:pt idx="5">
                  <c:v>9.4187359646384365</c:v>
                </c:pt>
                <c:pt idx="6">
                  <c:v>9.3267959935681066</c:v>
                </c:pt>
                <c:pt idx="7">
                  <c:v>8.6740697618148648</c:v>
                </c:pt>
                <c:pt idx="8">
                  <c:v>9.2917887677061373</c:v>
                </c:pt>
                <c:pt idx="9">
                  <c:v>11.128134565982082</c:v>
                </c:pt>
                <c:pt idx="10">
                  <c:v>8.8836164253909384</c:v>
                </c:pt>
                <c:pt idx="11">
                  <c:v>11.049805166460514</c:v>
                </c:pt>
                <c:pt idx="12">
                  <c:v>10.319223790652607</c:v>
                </c:pt>
                <c:pt idx="13">
                  <c:v>9.1130910767673026</c:v>
                </c:pt>
                <c:pt idx="14">
                  <c:v>10.200025228686881</c:v>
                </c:pt>
                <c:pt idx="15">
                  <c:v>12.181085933883621</c:v>
                </c:pt>
                <c:pt idx="16">
                  <c:v>12.748395147049511</c:v>
                </c:pt>
                <c:pt idx="17">
                  <c:v>12.941694193244709</c:v>
                </c:pt>
                <c:pt idx="18">
                  <c:v>12.371654393345775</c:v>
                </c:pt>
                <c:pt idx="19">
                  <c:v>11.491576858731484</c:v>
                </c:pt>
                <c:pt idx="20">
                  <c:v>11.251564625123734</c:v>
                </c:pt>
                <c:pt idx="21">
                  <c:v>11.363427565523892</c:v>
                </c:pt>
                <c:pt idx="22">
                  <c:v>11.282879366176328</c:v>
                </c:pt>
                <c:pt idx="23">
                  <c:v>10.621708095460667</c:v>
                </c:pt>
                <c:pt idx="24">
                  <c:v>10.634846491600976</c:v>
                </c:pt>
                <c:pt idx="25">
                  <c:v>8.3220519972176099</c:v>
                </c:pt>
                <c:pt idx="26">
                  <c:v>7.7389494532121486</c:v>
                </c:pt>
                <c:pt idx="27">
                  <c:v>7.292807187624156</c:v>
                </c:pt>
                <c:pt idx="28">
                  <c:v>7.4493097877668735</c:v>
                </c:pt>
                <c:pt idx="29">
                  <c:v>7.5391036561969091</c:v>
                </c:pt>
                <c:pt idx="30">
                  <c:v>8.0119475607979531</c:v>
                </c:pt>
                <c:pt idx="31">
                  <c:v>8.5720383469416603</c:v>
                </c:pt>
                <c:pt idx="32">
                  <c:v>8.6600052007334281</c:v>
                </c:pt>
                <c:pt idx="33">
                  <c:v>8.2204528485047579</c:v>
                </c:pt>
                <c:pt idx="34">
                  <c:v>9.1513385823783402</c:v>
                </c:pt>
                <c:pt idx="35">
                  <c:v>10.161966545179023</c:v>
                </c:pt>
                <c:pt idx="36">
                  <c:v>9.7492101097944115</c:v>
                </c:pt>
                <c:pt idx="37">
                  <c:v>9.4832304050122023</c:v>
                </c:pt>
                <c:pt idx="38">
                  <c:v>9.3462305164814694</c:v>
                </c:pt>
                <c:pt idx="39">
                  <c:v>9.4312868363450626</c:v>
                </c:pt>
                <c:pt idx="40">
                  <c:v>9.9635018532075925</c:v>
                </c:pt>
                <c:pt idx="41">
                  <c:v>10.378262180861721</c:v>
                </c:pt>
                <c:pt idx="42">
                  <c:v>10.374858465033194</c:v>
                </c:pt>
                <c:pt idx="43">
                  <c:v>10.583132459475008</c:v>
                </c:pt>
                <c:pt idx="44">
                  <c:v>9.6875950310000007</c:v>
                </c:pt>
                <c:pt idx="45">
                  <c:v>10.69</c:v>
                </c:pt>
                <c:pt idx="46">
                  <c:v>11.744743263496249</c:v>
                </c:pt>
                <c:pt idx="47">
                  <c:v>12.10459570627755</c:v>
                </c:pt>
                <c:pt idx="48">
                  <c:v>11.811053681045131</c:v>
                </c:pt>
                <c:pt idx="49">
                  <c:v>11.452779263491266</c:v>
                </c:pt>
                <c:pt idx="50">
                  <c:v>10.411676836523586</c:v>
                </c:pt>
                <c:pt idx="51">
                  <c:v>9.7717554114694849</c:v>
                </c:pt>
                <c:pt idx="52">
                  <c:v>10.24148582336178</c:v>
                </c:pt>
                <c:pt idx="53">
                  <c:v>10.840519586006799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6-4C42-B253-8E321E46E6D8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val>
            <c:numRef>
              <c:f>Denmark!$BA$44:$BA$97</c:f>
              <c:numCache>
                <c:formatCode>0.00</c:formatCode>
                <c:ptCount val="54"/>
                <c:pt idx="0">
                  <c:v>9.2563850544388231</c:v>
                </c:pt>
                <c:pt idx="1">
                  <c:v>8.926783072407785</c:v>
                </c:pt>
                <c:pt idx="2">
                  <c:v>9.1958734271999276</c:v>
                </c:pt>
                <c:pt idx="3">
                  <c:v>9.4041191451901938</c:v>
                </c:pt>
                <c:pt idx="4">
                  <c:v>9.5484865400709129</c:v>
                </c:pt>
                <c:pt idx="5">
                  <c:v>9.2058163254208996</c:v>
                </c:pt>
                <c:pt idx="6">
                  <c:v>9.3007451556603478</c:v>
                </c:pt>
                <c:pt idx="7">
                  <c:v>8.7993211483969844</c:v>
                </c:pt>
                <c:pt idx="8">
                  <c:v>9.4419256748671501</c:v>
                </c:pt>
                <c:pt idx="9">
                  <c:v>10.359510547499225</c:v>
                </c:pt>
                <c:pt idx="10">
                  <c:v>9.0407383248356066</c:v>
                </c:pt>
                <c:pt idx="11">
                  <c:v>10.931209276241342</c:v>
                </c:pt>
                <c:pt idx="12">
                  <c:v>10.482949181127207</c:v>
                </c:pt>
                <c:pt idx="13">
                  <c:v>9.6149205624613572</c:v>
                </c:pt>
                <c:pt idx="14">
                  <c:v>10.491803223054127</c:v>
                </c:pt>
                <c:pt idx="15">
                  <c:v>11.828057467158562</c:v>
                </c:pt>
                <c:pt idx="16">
                  <c:v>12.544154756674356</c:v>
                </c:pt>
                <c:pt idx="17">
                  <c:v>13.153523932473467</c:v>
                </c:pt>
                <c:pt idx="18">
                  <c:v>12.0877574589422</c:v>
                </c:pt>
                <c:pt idx="19">
                  <c:v>11.753138029446266</c:v>
                </c:pt>
                <c:pt idx="20">
                  <c:v>11.16812037676169</c:v>
                </c:pt>
                <c:pt idx="21">
                  <c:v>11.469669214712304</c:v>
                </c:pt>
                <c:pt idx="22">
                  <c:v>11.28138179934653</c:v>
                </c:pt>
                <c:pt idx="23">
                  <c:v>10.509968424575</c:v>
                </c:pt>
                <c:pt idx="24">
                  <c:v>10.856187824631743</c:v>
                </c:pt>
                <c:pt idx="25">
                  <c:v>8.1269475642485016</c:v>
                </c:pt>
                <c:pt idx="26">
                  <c:v>7.4834667016526755</c:v>
                </c:pt>
                <c:pt idx="27">
                  <c:v>7.335802914696357</c:v>
                </c:pt>
                <c:pt idx="28">
                  <c:v>7.2728790475486029</c:v>
                </c:pt>
                <c:pt idx="29">
                  <c:v>7.4736491627507755</c:v>
                </c:pt>
                <c:pt idx="30">
                  <c:v>8.0725254738168264</c:v>
                </c:pt>
                <c:pt idx="31">
                  <c:v>8.6864234737032735</c:v>
                </c:pt>
                <c:pt idx="32">
                  <c:v>8.7157069000315186</c:v>
                </c:pt>
                <c:pt idx="33">
                  <c:v>8.2885207107879815</c:v>
                </c:pt>
                <c:pt idx="34">
                  <c:v>9.045352576899516</c:v>
                </c:pt>
                <c:pt idx="35">
                  <c:v>9.9513192243325381</c:v>
                </c:pt>
                <c:pt idx="36">
                  <c:v>9.6224185843987904</c:v>
                </c:pt>
                <c:pt idx="37">
                  <c:v>9.5401150251693636</c:v>
                </c:pt>
                <c:pt idx="38">
                  <c:v>9.3385242050778743</c:v>
                </c:pt>
                <c:pt idx="39">
                  <c:v>9.4965414073637717</c:v>
                </c:pt>
                <c:pt idx="40">
                  <c:v>10.034000291042354</c:v>
                </c:pt>
                <c:pt idx="41">
                  <c:v>10.385058516002216</c:v>
                </c:pt>
                <c:pt idx="42">
                  <c:v>10.352662155011643</c:v>
                </c:pt>
                <c:pt idx="43">
                  <c:v>10.90309929066682</c:v>
                </c:pt>
                <c:pt idx="44">
                  <c:v>9.7709244655313228</c:v>
                </c:pt>
                <c:pt idx="45">
                  <c:v>10.990758691864393</c:v>
                </c:pt>
                <c:pt idx="46">
                  <c:v>11.827507669849414</c:v>
                </c:pt>
                <c:pt idx="47">
                  <c:v>12.130552994774362</c:v>
                </c:pt>
                <c:pt idx="48">
                  <c:v>11.787234284647273</c:v>
                </c:pt>
                <c:pt idx="49">
                  <c:v>11.515648663355609</c:v>
                </c:pt>
                <c:pt idx="50">
                  <c:v>10.190608529597135</c:v>
                </c:pt>
                <c:pt idx="51">
                  <c:v>9.7510128094038357</c:v>
                </c:pt>
                <c:pt idx="52">
                  <c:v>10.169144831483191</c:v>
                </c:pt>
                <c:pt idx="53">
                  <c:v>10.78698404670639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9-4213-93FC-CCD455BB6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711680"/>
        <c:axId val="150725760"/>
      </c:lineChart>
      <c:catAx>
        <c:axId val="150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725760"/>
        <c:crosses val="autoZero"/>
        <c:auto val="1"/>
        <c:lblAlgn val="ctr"/>
        <c:lblOffset val="100"/>
        <c:noMultiLvlLbl val="0"/>
      </c:catAx>
      <c:valAx>
        <c:axId val="150725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Krone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071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38144550997274"/>
          <c:y val="0.51132859833443012"/>
          <c:w val="0.13878458286099452"/>
          <c:h val="0.104224284644534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1147948611686E-2"/>
          <c:y val="3.3643999045573851E-2"/>
          <c:w val="0.82076750932449238"/>
          <c:h val="0.85781985206394651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Denmark!$A$44:$A$96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Denmark!$BC$44:$BC$97</c:f>
              <c:numCache>
                <c:formatCode>0.00</c:formatCode>
                <c:ptCount val="54"/>
                <c:pt idx="0">
                  <c:v>4.1170938473728773</c:v>
                </c:pt>
                <c:pt idx="1">
                  <c:v>3.9043082880336897</c:v>
                </c:pt>
                <c:pt idx="2">
                  <c:v>4.1837349453633079</c:v>
                </c:pt>
                <c:pt idx="3">
                  <c:v>4.0702630366477353</c:v>
                </c:pt>
                <c:pt idx="4">
                  <c:v>3.7993666084201179</c:v>
                </c:pt>
                <c:pt idx="5">
                  <c:v>4.1241505210496836</c:v>
                </c:pt>
                <c:pt idx="6">
                  <c:v>3.9296900452900294</c:v>
                </c:pt>
                <c:pt idx="7">
                  <c:v>3.6546747263113302</c:v>
                </c:pt>
                <c:pt idx="8">
                  <c:v>4.5294372979644848</c:v>
                </c:pt>
                <c:pt idx="9">
                  <c:v>6.16053529572768</c:v>
                </c:pt>
                <c:pt idx="10">
                  <c:v>4.9914079488796546</c:v>
                </c:pt>
                <c:pt idx="11">
                  <c:v>5.2950666357678777</c:v>
                </c:pt>
                <c:pt idx="12">
                  <c:v>4.9449720404807298</c:v>
                </c:pt>
                <c:pt idx="13">
                  <c:v>4.291658357752282</c:v>
                </c:pt>
                <c:pt idx="14">
                  <c:v>4.9721722981438985</c:v>
                </c:pt>
                <c:pt idx="15">
                  <c:v>6.6427521959445341</c:v>
                </c:pt>
                <c:pt idx="16">
                  <c:v>7.1628982866222186</c:v>
                </c:pt>
                <c:pt idx="17">
                  <c:v>6.6295985453928239</c:v>
                </c:pt>
                <c:pt idx="18">
                  <c:v>6.7466755291712284</c:v>
                </c:pt>
                <c:pt idx="19">
                  <c:v>6.361736948993749</c:v>
                </c:pt>
                <c:pt idx="20">
                  <c:v>6.4148920449372122</c:v>
                </c:pt>
                <c:pt idx="21">
                  <c:v>4.4120401427740772</c:v>
                </c:pt>
                <c:pt idx="22">
                  <c:v>4.5673095674281781</c:v>
                </c:pt>
                <c:pt idx="23">
                  <c:v>4.3874735572982857</c:v>
                </c:pt>
                <c:pt idx="24">
                  <c:v>2.6587116229002454</c:v>
                </c:pt>
                <c:pt idx="25">
                  <c:v>3.1153670207447552</c:v>
                </c:pt>
                <c:pt idx="26">
                  <c:v>3.0195548776849961</c:v>
                </c:pt>
                <c:pt idx="27">
                  <c:v>2.5786383353941567</c:v>
                </c:pt>
                <c:pt idx="28">
                  <c:v>2.744282755223896</c:v>
                </c:pt>
                <c:pt idx="29">
                  <c:v>2.5286502199328611</c:v>
                </c:pt>
                <c:pt idx="30">
                  <c:v>2.3333622152630591</c:v>
                </c:pt>
                <c:pt idx="31">
                  <c:v>2.4631379893412859</c:v>
                </c:pt>
                <c:pt idx="32">
                  <c:v>2.5615996332552271</c:v>
                </c:pt>
                <c:pt idx="33">
                  <c:v>2.2245184954508996</c:v>
                </c:pt>
                <c:pt idx="34">
                  <c:v>2.5713266349959207</c:v>
                </c:pt>
                <c:pt idx="35">
                  <c:v>3.391403292788663</c:v>
                </c:pt>
                <c:pt idx="36">
                  <c:v>3.0503663533712571</c:v>
                </c:pt>
                <c:pt idx="37">
                  <c:v>2.8332902663250739</c:v>
                </c:pt>
                <c:pt idx="38">
                  <c:v>2.8210286968963638</c:v>
                </c:pt>
                <c:pt idx="39">
                  <c:v>2.9424710249604136</c:v>
                </c:pt>
                <c:pt idx="40">
                  <c:v>3.4944455775017929</c:v>
                </c:pt>
                <c:pt idx="41">
                  <c:v>3.9092907752699713</c:v>
                </c:pt>
                <c:pt idx="42">
                  <c:v>3.980601687926991</c:v>
                </c:pt>
                <c:pt idx="43">
                  <c:v>4.2135586138850067</c:v>
                </c:pt>
                <c:pt idx="44">
                  <c:v>3.4668700697000006</c:v>
                </c:pt>
                <c:pt idx="45">
                  <c:v>4.2899999999999991</c:v>
                </c:pt>
                <c:pt idx="46">
                  <c:v>5.256971586955058</c:v>
                </c:pt>
                <c:pt idx="47">
                  <c:v>5.5685968028800756</c:v>
                </c:pt>
                <c:pt idx="48">
                  <c:v>5.3659799454928399</c:v>
                </c:pt>
                <c:pt idx="49">
                  <c:v>4.954112907777235</c:v>
                </c:pt>
                <c:pt idx="50">
                  <c:v>4.0654941948472008</c:v>
                </c:pt>
                <c:pt idx="51">
                  <c:v>3.5306707556443371</c:v>
                </c:pt>
                <c:pt idx="52">
                  <c:v>3.9643970779404603</c:v>
                </c:pt>
                <c:pt idx="53">
                  <c:v>4.4564472403516362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8-4442-9694-6E20D54C0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78976"/>
        <c:axId val="139280768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Denmark!$A$44:$A$97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Denmark!$BE$44:$BE$97</c:f>
              <c:numCache>
                <c:formatCode>0.00</c:formatCode>
                <c:ptCount val="54"/>
                <c:pt idx="0">
                  <c:v>211.48388676933001</c:v>
                </c:pt>
                <c:pt idx="1">
                  <c:v>200.55370959775573</c:v>
                </c:pt>
                <c:pt idx="2">
                  <c:v>187.55543780793457</c:v>
                </c:pt>
                <c:pt idx="3">
                  <c:v>187.22141399495854</c:v>
                </c:pt>
                <c:pt idx="4">
                  <c:v>180.91135090425038</c:v>
                </c:pt>
                <c:pt idx="5">
                  <c:v>172.41957754538669</c:v>
                </c:pt>
                <c:pt idx="6">
                  <c:v>171.15142494911697</c:v>
                </c:pt>
                <c:pt idx="7">
                  <c:v>150.48574927975221</c:v>
                </c:pt>
                <c:pt idx="8">
                  <c:v>130.28701525954159</c:v>
                </c:pt>
                <c:pt idx="9">
                  <c:v>361.32645132978041</c:v>
                </c:pt>
                <c:pt idx="10">
                  <c:v>320.67075764755566</c:v>
                </c:pt>
                <c:pt idx="11">
                  <c:v>325.33814974809309</c:v>
                </c:pt>
                <c:pt idx="12">
                  <c:v>314.0169444689613</c:v>
                </c:pt>
                <c:pt idx="13">
                  <c:v>261.36270337790432</c:v>
                </c:pt>
                <c:pt idx="14">
                  <c:v>339.95118608590838</c:v>
                </c:pt>
                <c:pt idx="15">
                  <c:v>511.30169058064172</c:v>
                </c:pt>
                <c:pt idx="16">
                  <c:v>623.04391639003632</c:v>
                </c:pt>
                <c:pt idx="17">
                  <c:v>603.46127525808481</c:v>
                </c:pt>
                <c:pt idx="18">
                  <c:v>540.20967109152696</c:v>
                </c:pt>
                <c:pt idx="19">
                  <c:v>567.02368342171269</c:v>
                </c:pt>
                <c:pt idx="20">
                  <c:v>518.27149476460693</c:v>
                </c:pt>
                <c:pt idx="21">
                  <c:v>215.39086001151259</c:v>
                </c:pt>
                <c:pt idx="22">
                  <c:v>223.3305520887757</c:v>
                </c:pt>
                <c:pt idx="23">
                  <c:v>174.87440238761656</c:v>
                </c:pt>
                <c:pt idx="24">
                  <c:v>222.91124205966568</c:v>
                </c:pt>
                <c:pt idx="25">
                  <c:v>229.62806709681553</c:v>
                </c:pt>
                <c:pt idx="26">
                  <c:v>203.53720390689284</c:v>
                </c:pt>
                <c:pt idx="27">
                  <c:v>179.74361246279031</c:v>
                </c:pt>
                <c:pt idx="28">
                  <c:v>170.75958086734514</c:v>
                </c:pt>
                <c:pt idx="29">
                  <c:v>153.27725270937913</c:v>
                </c:pt>
                <c:pt idx="30">
                  <c:v>141.70843910317302</c:v>
                </c:pt>
                <c:pt idx="31">
                  <c:v>172.37509165436154</c:v>
                </c:pt>
                <c:pt idx="32">
                  <c:v>179.01985083096145</c:v>
                </c:pt>
                <c:pt idx="33">
                  <c:v>124.77778064165079</c:v>
                </c:pt>
                <c:pt idx="34">
                  <c:v>153.63554841405769</c:v>
                </c:pt>
                <c:pt idx="35">
                  <c:v>273.14223035854883</c:v>
                </c:pt>
                <c:pt idx="36">
                  <c:v>230.18136084469938</c:v>
                </c:pt>
                <c:pt idx="37">
                  <c:v>224.60206173226166</c:v>
                </c:pt>
                <c:pt idx="38">
                  <c:v>211.7642221616789</c:v>
                </c:pt>
                <c:pt idx="39">
                  <c:v>244.23834071472564</c:v>
                </c:pt>
                <c:pt idx="40">
                  <c:v>337.31898976822845</c:v>
                </c:pt>
                <c:pt idx="41">
                  <c:v>395.97574996259976</c:v>
                </c:pt>
                <c:pt idx="42">
                  <c:v>403.04481241354028</c:v>
                </c:pt>
                <c:pt idx="43">
                  <c:v>499.11584538071725</c:v>
                </c:pt>
                <c:pt idx="44">
                  <c:v>334.85599031240611</c:v>
                </c:pt>
                <c:pt idx="45">
                  <c:v>435.58499600000005</c:v>
                </c:pt>
                <c:pt idx="46">
                  <c:v>560.69804130300088</c:v>
                </c:pt>
                <c:pt idx="47">
                  <c:v>603.26417539842816</c:v>
                </c:pt>
                <c:pt idx="48">
                  <c:v>561.1030516516505</c:v>
                </c:pt>
                <c:pt idx="49">
                  <c:v>506.78359500579234</c:v>
                </c:pt>
                <c:pt idx="50">
                  <c:v>310.91370124792633</c:v>
                </c:pt>
                <c:pt idx="51">
                  <c:v>255.03746827021962</c:v>
                </c:pt>
                <c:pt idx="52">
                  <c:v>318.8700960897105</c:v>
                </c:pt>
                <c:pt idx="53">
                  <c:v>404.20606231758535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8-4442-9694-6E20D54C0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285560"/>
        <c:axId val="674282936"/>
      </c:lineChart>
      <c:catAx>
        <c:axId val="1392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280768"/>
        <c:crosses val="autoZero"/>
        <c:auto val="1"/>
        <c:lblAlgn val="ctr"/>
        <c:lblOffset val="100"/>
        <c:noMultiLvlLbl val="0"/>
      </c:catAx>
      <c:valAx>
        <c:axId val="13928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2010 kroner per litre</a:t>
                </a:r>
              </a:p>
            </c:rich>
          </c:tx>
          <c:layout>
            <c:manualLayout>
              <c:xMode val="edge"/>
              <c:yMode val="edge"/>
              <c:x val="8.6254455035225872E-3"/>
              <c:y val="0.3115464089716058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9278976"/>
        <c:crosses val="autoZero"/>
        <c:crossBetween val="between"/>
      </c:valAx>
      <c:valAx>
        <c:axId val="674282936"/>
        <c:scaling>
          <c:orientation val="minMax"/>
          <c:max val="1000"/>
          <c:min val="-3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kronner per barrel</a:t>
                </a:r>
              </a:p>
            </c:rich>
          </c:tx>
          <c:layout>
            <c:manualLayout>
              <c:xMode val="edge"/>
              <c:yMode val="edge"/>
              <c:x val="0.95803862411935348"/>
              <c:y val="0.303516105941302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674285560"/>
        <c:crosses val="max"/>
        <c:crossBetween val="between"/>
      </c:valAx>
      <c:catAx>
        <c:axId val="674285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4282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2757215084956485"/>
          <c:y val="4.2172989739918884E-2"/>
          <c:w val="0.21915898810521026"/>
          <c:h val="0.188381293247434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24099395507575"/>
          <c:y val="5.0925925925925923E-2"/>
          <c:w val="0.86320336374383799"/>
          <c:h val="0.80403543307086611"/>
        </c:manualLayout>
      </c:layout>
      <c:lineChart>
        <c:grouping val="standard"/>
        <c:varyColors val="0"/>
        <c:ser>
          <c:idx val="0"/>
          <c:order val="0"/>
          <c:tx>
            <c:strRef>
              <c:f>Denmark!$Y$121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Denmark!$A$122:$A$142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Denmark!$Y$122:$Y$142</c:f>
              <c:numCache>
                <c:formatCode>0.00</c:formatCode>
                <c:ptCount val="21"/>
                <c:pt idx="0">
                  <c:v>11.711925940135407</c:v>
                </c:pt>
                <c:pt idx="1">
                  <c:v>12.86749890439404</c:v>
                </c:pt>
                <c:pt idx="2">
                  <c:v>13.26175195951391</c:v>
                </c:pt>
                <c:pt idx="3">
                  <c:v>12.940148361774018</c:v>
                </c:pt>
                <c:pt idx="4">
                  <c:v>12.547624185475044</c:v>
                </c:pt>
                <c:pt idx="5">
                  <c:v>11.406996073151312</c:v>
                </c:pt>
                <c:pt idx="6">
                  <c:v>10.70590043818971</c:v>
                </c:pt>
                <c:pt idx="7">
                  <c:v>11.220535405066403</c:v>
                </c:pt>
                <c:pt idx="8">
                  <c:v>11.876834662665948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6-44CF-8F26-F629D75A00FC}"/>
            </c:ext>
          </c:extLst>
        </c:ser>
        <c:ser>
          <c:idx val="1"/>
          <c:order val="1"/>
          <c:tx>
            <c:strRef>
              <c:f>Denmark!$Z$121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Denmark!$A$122:$A$142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Denmark!$Z$122:$Z$142</c:f>
              <c:numCache>
                <c:formatCode>0.00</c:formatCode>
                <c:ptCount val="21"/>
                <c:pt idx="0">
                  <c:v>12.123813630145669</c:v>
                </c:pt>
                <c:pt idx="1">
                  <c:v>12.980844390559561</c:v>
                </c:pt>
                <c:pt idx="2">
                  <c:v>13.297300350589847</c:v>
                </c:pt>
                <c:pt idx="3">
                  <c:v>12.907527804413116</c:v>
                </c:pt>
                <c:pt idx="4">
                  <c:v>12.633723548794963</c:v>
                </c:pt>
                <c:pt idx="5">
                  <c:v>11.104244010659068</c:v>
                </c:pt>
                <c:pt idx="6">
                  <c:v>10.677493536973785</c:v>
                </c:pt>
                <c:pt idx="7">
                  <c:v>11.121464738635396</c:v>
                </c:pt>
                <c:pt idx="8">
                  <c:v>11.803517979848873</c:v>
                </c:pt>
                <c:pt idx="9">
                  <c:v>13.526271187314119</c:v>
                </c:pt>
                <c:pt idx="10">
                  <c:v>14.341717107579425</c:v>
                </c:pt>
                <c:pt idx="11">
                  <c:v>15.205130434919159</c:v>
                </c:pt>
                <c:pt idx="12">
                  <c:v>15.588869691514601</c:v>
                </c:pt>
                <c:pt idx="13">
                  <c:v>15.876674133961178</c:v>
                </c:pt>
                <c:pt idx="14">
                  <c:v>16.116511169333329</c:v>
                </c:pt>
                <c:pt idx="15">
                  <c:v>16.356348204705476</c:v>
                </c:pt>
                <c:pt idx="16">
                  <c:v>16.596185240077627</c:v>
                </c:pt>
                <c:pt idx="17">
                  <c:v>16.836022275449775</c:v>
                </c:pt>
                <c:pt idx="18">
                  <c:v>17.027891903747491</c:v>
                </c:pt>
                <c:pt idx="19">
                  <c:v>17.267728939119642</c:v>
                </c:pt>
                <c:pt idx="20">
                  <c:v>17.411631160342932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6-44CF-8F26-F629D75A00FC}"/>
            </c:ext>
          </c:extLst>
        </c:ser>
        <c:ser>
          <c:idx val="3"/>
          <c:order val="2"/>
          <c:tx>
            <c:strRef>
              <c:f>Denmark!$AB$121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Denmark!$A$122:$A$142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Denmark!$AB$122:$AB$142</c:f>
              <c:numCache>
                <c:formatCode>0.00</c:formatCode>
                <c:ptCount val="21"/>
                <c:pt idx="0">
                  <c:v>12.123813630145669</c:v>
                </c:pt>
                <c:pt idx="1">
                  <c:v>12.980844390559561</c:v>
                </c:pt>
                <c:pt idx="2">
                  <c:v>13.297300350589847</c:v>
                </c:pt>
                <c:pt idx="3">
                  <c:v>12.907527804413116</c:v>
                </c:pt>
                <c:pt idx="4">
                  <c:v>12.633723548794963</c:v>
                </c:pt>
                <c:pt idx="5">
                  <c:v>11.104244010659068</c:v>
                </c:pt>
                <c:pt idx="6">
                  <c:v>10.677493536973785</c:v>
                </c:pt>
                <c:pt idx="7">
                  <c:v>11.121464738635396</c:v>
                </c:pt>
                <c:pt idx="8">
                  <c:v>11.803517979848873</c:v>
                </c:pt>
                <c:pt idx="9">
                  <c:v>9.9287156567318853</c:v>
                </c:pt>
                <c:pt idx="10">
                  <c:v>9.9766830638063144</c:v>
                </c:pt>
                <c:pt idx="11">
                  <c:v>10.072617877955174</c:v>
                </c:pt>
                <c:pt idx="12">
                  <c:v>10.120585285029605</c:v>
                </c:pt>
                <c:pt idx="13">
                  <c:v>10.120585285029605</c:v>
                </c:pt>
                <c:pt idx="14">
                  <c:v>10.120585285029605</c:v>
                </c:pt>
                <c:pt idx="15">
                  <c:v>10.168552692104036</c:v>
                </c:pt>
                <c:pt idx="16">
                  <c:v>10.216520099178465</c:v>
                </c:pt>
                <c:pt idx="17">
                  <c:v>10.264487506252895</c:v>
                </c:pt>
                <c:pt idx="18">
                  <c:v>10.264487506252895</c:v>
                </c:pt>
                <c:pt idx="19">
                  <c:v>10.264487506252895</c:v>
                </c:pt>
                <c:pt idx="20">
                  <c:v>10.312454913327324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6-44CF-8F26-F629D75A00FC}"/>
            </c:ext>
          </c:extLst>
        </c:ser>
        <c:ser>
          <c:idx val="2"/>
          <c:order val="3"/>
          <c:tx>
            <c:strRef>
              <c:f>Denmark!$AA$121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Denmark!$A$122:$A$142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Denmark!$AA$122:$AA$142</c:f>
              <c:numCache>
                <c:formatCode>0.00</c:formatCode>
                <c:ptCount val="21"/>
                <c:pt idx="0">
                  <c:v>12.123813630145669</c:v>
                </c:pt>
                <c:pt idx="1">
                  <c:v>12.980844390559561</c:v>
                </c:pt>
                <c:pt idx="2">
                  <c:v>13.297300350589847</c:v>
                </c:pt>
                <c:pt idx="3">
                  <c:v>12.907527804413116</c:v>
                </c:pt>
                <c:pt idx="4">
                  <c:v>12.633723548794963</c:v>
                </c:pt>
                <c:pt idx="5">
                  <c:v>11.104244010659068</c:v>
                </c:pt>
                <c:pt idx="6">
                  <c:v>10.677493536973785</c:v>
                </c:pt>
                <c:pt idx="7">
                  <c:v>11.121464738635396</c:v>
                </c:pt>
                <c:pt idx="8">
                  <c:v>11.803517979848873</c:v>
                </c:pt>
                <c:pt idx="9">
                  <c:v>11.603505670986337</c:v>
                </c:pt>
                <c:pt idx="10">
                  <c:v>11.616392529370831</c:v>
                </c:pt>
                <c:pt idx="11">
                  <c:v>11.996068912803437</c:v>
                </c:pt>
                <c:pt idx="12">
                  <c:v>12.278764086914475</c:v>
                </c:pt>
                <c:pt idx="13">
                  <c:v>12.408850871254865</c:v>
                </c:pt>
                <c:pt idx="14">
                  <c:v>12.443244189791617</c:v>
                </c:pt>
                <c:pt idx="15">
                  <c:v>12.623204575270925</c:v>
                </c:pt>
                <c:pt idx="16">
                  <c:v>12.939505920942127</c:v>
                </c:pt>
                <c:pt idx="17">
                  <c:v>13.102519631143187</c:v>
                </c:pt>
                <c:pt idx="18">
                  <c:v>13.205711376876675</c:v>
                </c:pt>
                <c:pt idx="19">
                  <c:v>13.345580903654302</c:v>
                </c:pt>
                <c:pt idx="20">
                  <c:v>13.452529207002636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6-44CF-8F26-F629D75A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669520"/>
        <c:axId val="1149670832"/>
      </c:lineChart>
      <c:catAx>
        <c:axId val="114966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670832"/>
        <c:crosses val="autoZero"/>
        <c:auto val="1"/>
        <c:lblAlgn val="ctr"/>
        <c:lblOffset val="100"/>
        <c:noMultiLvlLbl val="0"/>
      </c:catAx>
      <c:valAx>
        <c:axId val="114967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krone per litre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66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110686723861004"/>
          <c:y val="0.53366009027474559"/>
          <c:w val="0.22992148290245595"/>
          <c:h val="0.32589051058350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49463135289907E-2"/>
          <c:y val="3.688544745860256E-2"/>
          <c:w val="0.85616259506022985"/>
          <c:h val="0.8283775865226145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Denmark!$A$44:$A$97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Denmark!$BJ$44:$BJ$97</c:f>
              <c:numCache>
                <c:formatCode>0.00</c:formatCode>
                <c:ptCount val="54"/>
                <c:pt idx="0">
                  <c:v>10.110594801987354</c:v>
                </c:pt>
                <c:pt idx="1">
                  <c:v>9.5880445153171667</c:v>
                </c:pt>
                <c:pt idx="2">
                  <c:v>10.274249351511582</c:v>
                </c:pt>
                <c:pt idx="3">
                  <c:v>10.380273955995552</c:v>
                </c:pt>
                <c:pt idx="4">
                  <c:v>10.283034904171425</c:v>
                </c:pt>
                <c:pt idx="5">
                  <c:v>10.319133589105256</c:v>
                </c:pt>
                <c:pt idx="6">
                  <c:v>10.218404484136697</c:v>
                </c:pt>
                <c:pt idx="7">
                  <c:v>9.5032799485447761</c:v>
                </c:pt>
                <c:pt idx="8">
                  <c:v>10.180050692119393</c:v>
                </c:pt>
                <c:pt idx="9">
                  <c:v>12.191944610724322</c:v>
                </c:pt>
                <c:pt idx="10">
                  <c:v>9.7328585271046872</c:v>
                </c:pt>
                <c:pt idx="11">
                  <c:v>12.106127199486542</c:v>
                </c:pt>
                <c:pt idx="12">
                  <c:v>11.305704845257877</c:v>
                </c:pt>
                <c:pt idx="13">
                  <c:v>9.9842701381485011</c:v>
                </c:pt>
                <c:pt idx="14">
                  <c:v>11.17511132515374</c:v>
                </c:pt>
                <c:pt idx="15">
                  <c:v>13.345554380549119</c:v>
                </c:pt>
                <c:pt idx="16">
                  <c:v>13.967096334689009</c:v>
                </c:pt>
                <c:pt idx="17">
                  <c:v>14.178874081493216</c:v>
                </c:pt>
                <c:pt idx="18">
                  <c:v>13.554340506250378</c:v>
                </c:pt>
                <c:pt idx="19">
                  <c:v>12.590130692688215</c:v>
                </c:pt>
                <c:pt idx="20">
                  <c:v>12.327174144068904</c:v>
                </c:pt>
                <c:pt idx="21">
                  <c:v>12.449730783302993</c:v>
                </c:pt>
                <c:pt idx="22">
                  <c:v>12.361482462875497</c:v>
                </c:pt>
                <c:pt idx="23">
                  <c:v>11.637105572663426</c:v>
                </c:pt>
                <c:pt idx="24">
                  <c:v>11.651499952697803</c:v>
                </c:pt>
                <c:pt idx="25">
                  <c:v>9.1176105389493536</c:v>
                </c:pt>
                <c:pt idx="26">
                  <c:v>8.4787654677710087</c:v>
                </c:pt>
                <c:pt idx="27">
                  <c:v>7.9899735900038626</c:v>
                </c:pt>
                <c:pt idx="28">
                  <c:v>8.1614372815202447</c:v>
                </c:pt>
                <c:pt idx="29">
                  <c:v>8.2598151240769191</c:v>
                </c:pt>
                <c:pt idx="30">
                  <c:v>8.7778612224802757</c:v>
                </c:pt>
                <c:pt idx="31">
                  <c:v>9.3914946936745984</c:v>
                </c:pt>
                <c:pt idx="32">
                  <c:v>9.4878708654983512</c:v>
                </c:pt>
                <c:pt idx="33">
                  <c:v>9.0062988733454503</c:v>
                </c:pt>
                <c:pt idx="34">
                  <c:v>10.026173969122437</c:v>
                </c:pt>
                <c:pt idx="35">
                  <c:v>11.133414367003777</c:v>
                </c:pt>
                <c:pt idx="36">
                  <c:v>10.681199885943078</c:v>
                </c:pt>
                <c:pt idx="37">
                  <c:v>10.389793468357643</c:v>
                </c:pt>
                <c:pt idx="38">
                  <c:v>10.239696878247377</c:v>
                </c:pt>
                <c:pt idx="39">
                  <c:v>10.332884279461863</c:v>
                </c:pt>
                <c:pt idx="40">
                  <c:v>10.915977157078503</c:v>
                </c:pt>
                <c:pt idx="41">
                  <c:v>11.370387095375179</c:v>
                </c:pt>
                <c:pt idx="42">
                  <c:v>11.366657996431774</c:v>
                </c:pt>
                <c:pt idx="43">
                  <c:v>11.594842243219304</c:v>
                </c:pt>
                <c:pt idx="44">
                  <c:v>10.613694624985573</c:v>
                </c:pt>
                <c:pt idx="45">
                  <c:v>11.711925940135407</c:v>
                </c:pt>
                <c:pt idx="46">
                  <c:v>12.86749890439404</c:v>
                </c:pt>
                <c:pt idx="47">
                  <c:v>13.26175195951391</c:v>
                </c:pt>
                <c:pt idx="48">
                  <c:v>12.940148361774018</c:v>
                </c:pt>
                <c:pt idx="49">
                  <c:v>12.547624185475044</c:v>
                </c:pt>
                <c:pt idx="50">
                  <c:v>11.406996073151312</c:v>
                </c:pt>
                <c:pt idx="51">
                  <c:v>10.70590043818971</c:v>
                </c:pt>
                <c:pt idx="52">
                  <c:v>11.220535405066403</c:v>
                </c:pt>
                <c:pt idx="53">
                  <c:v>11.876834662665948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7-4DA5-9349-CA0CE6CBAB72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val>
            <c:numRef>
              <c:f>Denmark!$BK$44:$BK$97</c:f>
              <c:numCache>
                <c:formatCode>0.00</c:formatCode>
                <c:ptCount val="54"/>
                <c:pt idx="0">
                  <c:v>10.141262509912417</c:v>
                </c:pt>
                <c:pt idx="1">
                  <c:v>9.7801517518890915</c:v>
                </c:pt>
                <c:pt idx="2">
                  <c:v>10.074966186550489</c:v>
                </c:pt>
                <c:pt idx="3">
                  <c:v>10.303119453758375</c:v>
                </c:pt>
                <c:pt idx="4">
                  <c:v>10.461287857594977</c:v>
                </c:pt>
                <c:pt idx="5">
                  <c:v>10.085859590441444</c:v>
                </c:pt>
                <c:pt idx="6">
                  <c:v>10.189863278874382</c:v>
                </c:pt>
                <c:pt idx="7">
                  <c:v>9.640504921748617</c:v>
                </c:pt>
                <c:pt idx="8">
                  <c:v>10.344540153068952</c:v>
                </c:pt>
                <c:pt idx="9">
                  <c:v>11.349842872625118</c:v>
                </c:pt>
                <c:pt idx="10">
                  <c:v>9.9050007207313815</c:v>
                </c:pt>
                <c:pt idx="11">
                  <c:v>11.976193964402222</c:v>
                </c:pt>
                <c:pt idx="12">
                  <c:v>11.485081800146395</c:v>
                </c:pt>
                <c:pt idx="13">
                  <c:v>10.534072735999295</c:v>
                </c:pt>
                <c:pt idx="14">
                  <c:v>11.494782256958269</c:v>
                </c:pt>
                <c:pt idx="15">
                  <c:v>12.958777649300902</c:v>
                </c:pt>
                <c:pt idx="16">
                  <c:v>13.743331290155972</c:v>
                </c:pt>
                <c:pt idx="17">
                  <c:v>14.410953989609718</c:v>
                </c:pt>
                <c:pt idx="18">
                  <c:v>13.243304035682918</c:v>
                </c:pt>
                <c:pt idx="19">
                  <c:v>12.876696180080792</c:v>
                </c:pt>
                <c:pt idx="20">
                  <c:v>12.235752922652017</c:v>
                </c:pt>
                <c:pt idx="21">
                  <c:v>12.566128755899115</c:v>
                </c:pt>
                <c:pt idx="22">
                  <c:v>12.359841733988594</c:v>
                </c:pt>
                <c:pt idx="23">
                  <c:v>11.514683987070532</c:v>
                </c:pt>
                <c:pt idx="24">
                  <c:v>11.894000729119428</c:v>
                </c:pt>
                <c:pt idx="25">
                  <c:v>8.9038548168234133</c:v>
                </c:pt>
                <c:pt idx="26">
                  <c:v>8.1988594747638466</c:v>
                </c:pt>
                <c:pt idx="27">
                  <c:v>8.0370795555054428</c:v>
                </c:pt>
                <c:pt idx="28">
                  <c:v>7.9681403906877248</c:v>
                </c:pt>
                <c:pt idx="29">
                  <c:v>8.1881034140965454</c:v>
                </c:pt>
                <c:pt idx="30">
                  <c:v>8.8442301683067495</c:v>
                </c:pt>
                <c:pt idx="31">
                  <c:v>9.5168146313064987</c:v>
                </c:pt>
                <c:pt idx="32">
                  <c:v>9.5488974489332357</c:v>
                </c:pt>
                <c:pt idx="33">
                  <c:v>9.0808737809192994</c:v>
                </c:pt>
                <c:pt idx="34">
                  <c:v>9.9100560788643666</c:v>
                </c:pt>
                <c:pt idx="35">
                  <c:v>10.902629912257101</c:v>
                </c:pt>
                <c:pt idx="36">
                  <c:v>10.54228754213856</c:v>
                </c:pt>
                <c:pt idx="37">
                  <c:v>10.452116055674146</c:v>
                </c:pt>
                <c:pt idx="38">
                  <c:v>10.231253870910564</c:v>
                </c:pt>
                <c:pt idx="39">
                  <c:v>10.40437695514254</c:v>
                </c:pt>
                <c:pt idx="40">
                  <c:v>10.993214994572979</c:v>
                </c:pt>
                <c:pt idx="41">
                  <c:v>11.37783313595795</c:v>
                </c:pt>
                <c:pt idx="42">
                  <c:v>11.342339798198219</c:v>
                </c:pt>
                <c:pt idx="43">
                  <c:v>11.945396764287434</c:v>
                </c:pt>
                <c:pt idx="44">
                  <c:v>10.704990056778295</c:v>
                </c:pt>
                <c:pt idx="45">
                  <c:v>12.041436092143618</c:v>
                </c:pt>
                <c:pt idx="46">
                  <c:v>12.958175293326457</c:v>
                </c:pt>
                <c:pt idx="47">
                  <c:v>13.290190672374658</c:v>
                </c:pt>
                <c:pt idx="48">
                  <c:v>12.914051915885295</c:v>
                </c:pt>
                <c:pt idx="49">
                  <c:v>12.61650367613098</c:v>
                </c:pt>
                <c:pt idx="50">
                  <c:v>11.164794423157513</c:v>
                </c:pt>
                <c:pt idx="51">
                  <c:v>10.68317491721697</c:v>
                </c:pt>
                <c:pt idx="52">
                  <c:v>11.141278871921598</c:v>
                </c:pt>
                <c:pt idx="53">
                  <c:v>11.818181316412289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7-4DA5-9349-CA0CE6CB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711680"/>
        <c:axId val="150725760"/>
      </c:lineChart>
      <c:catAx>
        <c:axId val="150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725760"/>
        <c:crosses val="autoZero"/>
        <c:auto val="1"/>
        <c:lblAlgn val="ctr"/>
        <c:lblOffset val="100"/>
        <c:noMultiLvlLbl val="0"/>
      </c:catAx>
      <c:valAx>
        <c:axId val="150725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Krone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071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62180213854591"/>
          <c:y val="0.45080986634595749"/>
          <c:w val="0.13878458286099452"/>
          <c:h val="0.207970682339059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291263710895087E-2"/>
          <c:y val="2.8036665871311556E-2"/>
          <c:w val="0.86468173253304237"/>
          <c:h val="0.8695496301598747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Finland!$A$44:$A$97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Finland!$AZ$44:$AZ$97</c:f>
              <c:numCache>
                <c:formatCode>0.0000</c:formatCode>
                <c:ptCount val="54"/>
                <c:pt idx="0">
                  <c:v>0.30334065770512308</c:v>
                </c:pt>
                <c:pt idx="1">
                  <c:v>0.32056019486429643</c:v>
                </c:pt>
                <c:pt idx="2">
                  <c:v>0.27301846867770829</c:v>
                </c:pt>
                <c:pt idx="3">
                  <c:v>0.30439057093120903</c:v>
                </c:pt>
                <c:pt idx="4">
                  <c:v>0.33285939940606357</c:v>
                </c:pt>
                <c:pt idx="5">
                  <c:v>0.32805590924890249</c:v>
                </c:pt>
                <c:pt idx="6">
                  <c:v>0.35080706772654613</c:v>
                </c:pt>
                <c:pt idx="7">
                  <c:v>0.31412482435718275</c:v>
                </c:pt>
                <c:pt idx="8">
                  <c:v>0.42818768151774733</c:v>
                </c:pt>
                <c:pt idx="9">
                  <c:v>0.59344453846098966</c:v>
                </c:pt>
                <c:pt idx="10">
                  <c:v>0.49659241407490767</c:v>
                </c:pt>
                <c:pt idx="11">
                  <c:v>0.58779947597533355</c:v>
                </c:pt>
                <c:pt idx="12">
                  <c:v>0.53618518422048578</c:v>
                </c:pt>
                <c:pt idx="13">
                  <c:v>0.53275018887467618</c:v>
                </c:pt>
                <c:pt idx="14">
                  <c:v>0.53392286832050162</c:v>
                </c:pt>
                <c:pt idx="15">
                  <c:v>0.64358049748987634</c:v>
                </c:pt>
                <c:pt idx="16">
                  <c:v>0.66632327159828486</c:v>
                </c:pt>
                <c:pt idx="17">
                  <c:v>0.63605710888856326</c:v>
                </c:pt>
                <c:pt idx="18">
                  <c:v>0.62187093496645074</c:v>
                </c:pt>
                <c:pt idx="19">
                  <c:v>0.59829257754395726</c:v>
                </c:pt>
                <c:pt idx="20">
                  <c:v>0.71693340649698034</c:v>
                </c:pt>
                <c:pt idx="21">
                  <c:v>0.448799079628459</c:v>
                </c:pt>
                <c:pt idx="22">
                  <c:v>0.44418074661675327</c:v>
                </c:pt>
                <c:pt idx="23">
                  <c:v>0.40042408086192455</c:v>
                </c:pt>
                <c:pt idx="24">
                  <c:v>0.39599192410104023</c:v>
                </c:pt>
                <c:pt idx="25">
                  <c:v>0.37596033415374891</c:v>
                </c:pt>
                <c:pt idx="26">
                  <c:v>0.3525723537595965</c:v>
                </c:pt>
                <c:pt idx="27">
                  <c:v>0.25332975822080905</c:v>
                </c:pt>
                <c:pt idx="28">
                  <c:v>0.24895648559860728</c:v>
                </c:pt>
                <c:pt idx="29">
                  <c:v>0.28056236115660815</c:v>
                </c:pt>
                <c:pt idx="30">
                  <c:v>0.25307533646407188</c:v>
                </c:pt>
                <c:pt idx="31">
                  <c:v>0.26142201361900874</c:v>
                </c:pt>
                <c:pt idx="32">
                  <c:v>0.25352668437256598</c:v>
                </c:pt>
                <c:pt idx="33">
                  <c:v>0.21588300186026854</c:v>
                </c:pt>
                <c:pt idx="34">
                  <c:v>0.32318611975548672</c:v>
                </c:pt>
                <c:pt idx="35">
                  <c:v>0.47658050394560991</c:v>
                </c:pt>
                <c:pt idx="36">
                  <c:v>0.44047074250261675</c:v>
                </c:pt>
                <c:pt idx="37">
                  <c:v>0.35800005308603833</c:v>
                </c:pt>
                <c:pt idx="38">
                  <c:v>0.33302052124369408</c:v>
                </c:pt>
                <c:pt idx="39">
                  <c:v>0.3730826732990824</c:v>
                </c:pt>
                <c:pt idx="40">
                  <c:v>0.44888893914846606</c:v>
                </c:pt>
                <c:pt idx="41">
                  <c:v>0.50427726794288708</c:v>
                </c:pt>
                <c:pt idx="42">
                  <c:v>0.50139561053802839</c:v>
                </c:pt>
                <c:pt idx="43">
                  <c:v>0.5806399304726132</c:v>
                </c:pt>
                <c:pt idx="44">
                  <c:v>0.4410126286752396</c:v>
                </c:pt>
                <c:pt idx="45">
                  <c:v>0.55308996251561848</c:v>
                </c:pt>
                <c:pt idx="46">
                  <c:v>0.62671589782530523</c:v>
                </c:pt>
                <c:pt idx="47">
                  <c:v>0.6722286550585419</c:v>
                </c:pt>
                <c:pt idx="48">
                  <c:v>0.63120177879332617</c:v>
                </c:pt>
                <c:pt idx="49">
                  <c:v>0.57801592885651465</c:v>
                </c:pt>
                <c:pt idx="50">
                  <c:v>0.46827381319015149</c:v>
                </c:pt>
                <c:pt idx="51">
                  <c:v>0.40216687915444116</c:v>
                </c:pt>
                <c:pt idx="52">
                  <c:v>0.44110363030864352</c:v>
                </c:pt>
                <c:pt idx="53">
                  <c:v>0.49655300275994962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2-4F7C-9F44-168251FFC5B9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Finland!$A$44:$A$97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Finland!$BA$44:$BA$97</c:f>
              <c:numCache>
                <c:formatCode>0.0000</c:formatCode>
                <c:ptCount val="54"/>
                <c:pt idx="0">
                  <c:v>0.31124909241137477</c:v>
                </c:pt>
                <c:pt idx="1">
                  <c:v>0.30772882630974407</c:v>
                </c:pt>
                <c:pt idx="2">
                  <c:v>0.30982824240074414</c:v>
                </c:pt>
                <c:pt idx="3">
                  <c:v>0.32051193741358369</c:v>
                </c:pt>
                <c:pt idx="4">
                  <c:v>0.31827494647052362</c:v>
                </c:pt>
                <c:pt idx="5">
                  <c:v>0.31706536615653275</c:v>
                </c:pt>
                <c:pt idx="6">
                  <c:v>0.31649775119333912</c:v>
                </c:pt>
                <c:pt idx="7">
                  <c:v>0.30942535147794686</c:v>
                </c:pt>
                <c:pt idx="8">
                  <c:v>0.41837576622506967</c:v>
                </c:pt>
                <c:pt idx="9">
                  <c:v>0.55904397899630975</c:v>
                </c:pt>
                <c:pt idx="10">
                  <c:v>0.52621494469973862</c:v>
                </c:pt>
                <c:pt idx="11">
                  <c:v>0.51967387385271724</c:v>
                </c:pt>
                <c:pt idx="12">
                  <c:v>0.52069601832922541</c:v>
                </c:pt>
                <c:pt idx="13">
                  <c:v>0.51075454513396168</c:v>
                </c:pt>
                <c:pt idx="14">
                  <c:v>0.56633827621214816</c:v>
                </c:pt>
                <c:pt idx="15">
                  <c:v>0.64812749312362894</c:v>
                </c:pt>
                <c:pt idx="16">
                  <c:v>0.68573379327860307</c:v>
                </c:pt>
                <c:pt idx="17">
                  <c:v>0.66097863627850229</c:v>
                </c:pt>
                <c:pt idx="18">
                  <c:v>0.63807185066870342</c:v>
                </c:pt>
                <c:pt idx="19">
                  <c:v>0.63588291335068903</c:v>
                </c:pt>
                <c:pt idx="20">
                  <c:v>0.61080113075608278</c:v>
                </c:pt>
                <c:pt idx="21">
                  <c:v>0.45847352264458502</c:v>
                </c:pt>
                <c:pt idx="22">
                  <c:v>0.46620687638324004</c:v>
                </c:pt>
                <c:pt idx="23">
                  <c:v>0.4337366557386883</c:v>
                </c:pt>
                <c:pt idx="24">
                  <c:v>0.39304150932483173</c:v>
                </c:pt>
                <c:pt idx="25">
                  <c:v>0.39871615268032529</c:v>
                </c:pt>
                <c:pt idx="26">
                  <c:v>0.38523450973722184</c:v>
                </c:pt>
                <c:pt idx="27">
                  <c:v>0.25523117293554765</c:v>
                </c:pt>
                <c:pt idx="28">
                  <c:v>0.26846243721418434</c:v>
                </c:pt>
                <c:pt idx="29">
                  <c:v>0.24886184392504326</c:v>
                </c:pt>
                <c:pt idx="30">
                  <c:v>0.23704127579468229</c:v>
                </c:pt>
                <c:pt idx="31">
                  <c:v>0.26108265206318737</c:v>
                </c:pt>
                <c:pt idx="32">
                  <c:v>0.26589099288724499</c:v>
                </c:pt>
                <c:pt idx="33">
                  <c:v>0.23018526647204959</c:v>
                </c:pt>
                <c:pt idx="34">
                  <c:v>0.3263980264614002</c:v>
                </c:pt>
                <c:pt idx="35">
                  <c:v>0.41096146756664753</c:v>
                </c:pt>
                <c:pt idx="36">
                  <c:v>0.38005603349648176</c:v>
                </c:pt>
                <c:pt idx="37">
                  <c:v>0.37782299149380466</c:v>
                </c:pt>
                <c:pt idx="38">
                  <c:v>0.37034323999767105</c:v>
                </c:pt>
                <c:pt idx="39">
                  <c:v>0.39550613830680187</c:v>
                </c:pt>
                <c:pt idx="40">
                  <c:v>0.46586885074230017</c:v>
                </c:pt>
                <c:pt idx="41">
                  <c:v>0.51000693021989207</c:v>
                </c:pt>
                <c:pt idx="42">
                  <c:v>0.51330002400914954</c:v>
                </c:pt>
                <c:pt idx="43">
                  <c:v>0.58076814988427672</c:v>
                </c:pt>
                <c:pt idx="44">
                  <c:v>0.46492559831697117</c:v>
                </c:pt>
                <c:pt idx="45">
                  <c:v>0.54309256400316064</c:v>
                </c:pt>
                <c:pt idx="46">
                  <c:v>0.63155002879935418</c:v>
                </c:pt>
                <c:pt idx="47">
                  <c:v>0.66148898804326361</c:v>
                </c:pt>
                <c:pt idx="48">
                  <c:v>0.62859034303689643</c:v>
                </c:pt>
                <c:pt idx="49">
                  <c:v>0.58966898227793285</c:v>
                </c:pt>
                <c:pt idx="50">
                  <c:v>0.44688819616728109</c:v>
                </c:pt>
                <c:pt idx="51">
                  <c:v>0.40535315239962144</c:v>
                </c:pt>
                <c:pt idx="52">
                  <c:v>0.43771567131516331</c:v>
                </c:pt>
                <c:pt idx="53">
                  <c:v>0.49994096175342972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2-4F7C-9F44-168251FF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78144"/>
        <c:axId val="150884352"/>
      </c:lineChart>
      <c:catAx>
        <c:axId val="1506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884352"/>
        <c:crosses val="autoZero"/>
        <c:auto val="1"/>
        <c:lblAlgn val="ctr"/>
        <c:lblOffset val="100"/>
        <c:noMultiLvlLbl val="0"/>
      </c:catAx>
      <c:valAx>
        <c:axId val="150884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3412816691505217E-2"/>
              <c:y val="0.393865823590232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0678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866564183202883"/>
          <c:y val="0.50736638033882131"/>
          <c:w val="0.12081145780771443"/>
          <c:h val="0.136782390837508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77441948651601E-2"/>
          <c:y val="3.3643999045574052E-2"/>
          <c:w val="0.86913307755793989"/>
          <c:h val="0.8434595561918396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Finland!$A$44:$A$97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Finland!$AW$44:$AW$97</c:f>
              <c:numCache>
                <c:formatCode>0.0000</c:formatCode>
                <c:ptCount val="54"/>
                <c:pt idx="0">
                  <c:v>0.89217840501506795</c:v>
                </c:pt>
                <c:pt idx="1">
                  <c:v>0.9428241025420484</c:v>
                </c:pt>
                <c:pt idx="2">
                  <c:v>0.80299549611090681</c:v>
                </c:pt>
                <c:pt idx="3">
                  <c:v>0.89526638509179135</c:v>
                </c:pt>
                <c:pt idx="4">
                  <c:v>0.87594578791069366</c:v>
                </c:pt>
                <c:pt idx="5">
                  <c:v>0.8633050243392173</c:v>
                </c:pt>
                <c:pt idx="6">
                  <c:v>0.92317649401722679</c:v>
                </c:pt>
                <c:pt idx="7">
                  <c:v>0.80544826758251975</c:v>
                </c:pt>
                <c:pt idx="8">
                  <c:v>0.93084278590814629</c:v>
                </c:pt>
                <c:pt idx="9">
                  <c:v>1.0789900699290722</c:v>
                </c:pt>
                <c:pt idx="10">
                  <c:v>0.85619381737053035</c:v>
                </c:pt>
                <c:pt idx="11">
                  <c:v>1.068726319955152</c:v>
                </c:pt>
                <c:pt idx="12">
                  <c:v>1.0116701589065769</c:v>
                </c:pt>
                <c:pt idx="13">
                  <c:v>1.0655003777493524</c:v>
                </c:pt>
                <c:pt idx="14">
                  <c:v>1.0678457366410032</c:v>
                </c:pt>
                <c:pt idx="15">
                  <c:v>1.2871609949797527</c:v>
                </c:pt>
                <c:pt idx="16">
                  <c:v>1.3326465431965697</c:v>
                </c:pt>
                <c:pt idx="17">
                  <c:v>1.2721142177771265</c:v>
                </c:pt>
                <c:pt idx="18">
                  <c:v>1.2437418699329015</c:v>
                </c:pt>
                <c:pt idx="19">
                  <c:v>1.1965851550879145</c:v>
                </c:pt>
                <c:pt idx="20">
                  <c:v>1.1563442040273877</c:v>
                </c:pt>
                <c:pt idx="21">
                  <c:v>0.9159164890376712</c:v>
                </c:pt>
                <c:pt idx="22">
                  <c:v>0.90649131962602725</c:v>
                </c:pt>
                <c:pt idx="23">
                  <c:v>0.88983129080427681</c:v>
                </c:pt>
                <c:pt idx="24">
                  <c:v>0.87998205355786718</c:v>
                </c:pt>
                <c:pt idx="25">
                  <c:v>0.87432635849709039</c:v>
                </c:pt>
                <c:pt idx="26">
                  <c:v>0.85993257014535751</c:v>
                </c:pt>
                <c:pt idx="27">
                  <c:v>0.70369377283558077</c:v>
                </c:pt>
                <c:pt idx="28">
                  <c:v>0.92206105777261937</c:v>
                </c:pt>
                <c:pt idx="29">
                  <c:v>1.0020084327021719</c:v>
                </c:pt>
                <c:pt idx="30">
                  <c:v>1.0123013458562873</c:v>
                </c:pt>
                <c:pt idx="31">
                  <c:v>1.0892583900792032</c:v>
                </c:pt>
                <c:pt idx="32">
                  <c:v>1.0563611848856915</c:v>
                </c:pt>
                <c:pt idx="33">
                  <c:v>1.0280142945727075</c:v>
                </c:pt>
                <c:pt idx="34">
                  <c:v>1.0772870658516225</c:v>
                </c:pt>
                <c:pt idx="35">
                  <c:v>1.3182601354644148</c:v>
                </c:pt>
                <c:pt idx="36">
                  <c:v>1.2556850088309952</c:v>
                </c:pt>
                <c:pt idx="37">
                  <c:v>1.1983590342581403</c:v>
                </c:pt>
                <c:pt idx="38">
                  <c:v>1.2111418140819461</c:v>
                </c:pt>
                <c:pt idx="39">
                  <c:v>1.2585143771768252</c:v>
                </c:pt>
                <c:pt idx="40">
                  <c:v>1.3339814348560992</c:v>
                </c:pt>
                <c:pt idx="41">
                  <c:v>1.3894259398613871</c:v>
                </c:pt>
                <c:pt idx="42">
                  <c:v>1.3669486140622378</c:v>
                </c:pt>
                <c:pt idx="43">
                  <c:v>1.4625062368221882</c:v>
                </c:pt>
                <c:pt idx="44">
                  <c:v>1.2921609286293922</c:v>
                </c:pt>
                <c:pt idx="45">
                  <c:v>1.4260102040816327</c:v>
                </c:pt>
                <c:pt idx="46">
                  <c:v>1.5082648571354142</c:v>
                </c:pt>
                <c:pt idx="47">
                  <c:v>1.5714046601823584</c:v>
                </c:pt>
                <c:pt idx="48">
                  <c:v>1.5223723521230201</c:v>
                </c:pt>
                <c:pt idx="49">
                  <c:v>1.4743921975386767</c:v>
                </c:pt>
                <c:pt idx="50">
                  <c:v>1.3494592135592938</c:v>
                </c:pt>
                <c:pt idx="51">
                  <c:v>1.2647519755912411</c:v>
                </c:pt>
                <c:pt idx="52">
                  <c:v>1.3312295417244615</c:v>
                </c:pt>
                <c:pt idx="53">
                  <c:v>1.3927603416148904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A-4267-A8D8-F30B1972FFE2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Finland!$A$44:$A$97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Finland!$AX$44:$AX$97</c:f>
              <c:numCache>
                <c:formatCode>0.0000</c:formatCode>
                <c:ptCount val="54"/>
                <c:pt idx="0">
                  <c:v>0.90008683972131964</c:v>
                </c:pt>
                <c:pt idx="1">
                  <c:v>0.92999273398749605</c:v>
                </c:pt>
                <c:pt idx="2">
                  <c:v>0.83980526983394266</c:v>
                </c:pt>
                <c:pt idx="3">
                  <c:v>0.91138775157416596</c:v>
                </c:pt>
                <c:pt idx="4">
                  <c:v>0.86136133497515366</c:v>
                </c:pt>
                <c:pt idx="5">
                  <c:v>0.8523144812468475</c:v>
                </c:pt>
                <c:pt idx="6">
                  <c:v>0.88886717748401978</c:v>
                </c:pt>
                <c:pt idx="7">
                  <c:v>0.80074879470328386</c:v>
                </c:pt>
                <c:pt idx="8">
                  <c:v>0.92103087061546862</c:v>
                </c:pt>
                <c:pt idx="9">
                  <c:v>1.0445895104643923</c:v>
                </c:pt>
                <c:pt idx="10">
                  <c:v>0.88581634799536135</c:v>
                </c:pt>
                <c:pt idx="11">
                  <c:v>1.0006007178325356</c:v>
                </c:pt>
                <c:pt idx="12">
                  <c:v>0.99618099301531648</c:v>
                </c:pt>
                <c:pt idx="13">
                  <c:v>1.0435047340086379</c:v>
                </c:pt>
                <c:pt idx="14">
                  <c:v>1.1002611445326498</c:v>
                </c:pt>
                <c:pt idx="15">
                  <c:v>1.2917079906135052</c:v>
                </c:pt>
                <c:pt idx="16">
                  <c:v>1.3520570648768879</c:v>
                </c:pt>
                <c:pt idx="17">
                  <c:v>1.2970357451670655</c:v>
                </c:pt>
                <c:pt idx="18">
                  <c:v>1.2599427856351542</c:v>
                </c:pt>
                <c:pt idx="19">
                  <c:v>1.2341754908946463</c:v>
                </c:pt>
                <c:pt idx="20">
                  <c:v>1.0502119282864901</c:v>
                </c:pt>
                <c:pt idx="21">
                  <c:v>0.92559093205379717</c:v>
                </c:pt>
                <c:pt idx="22">
                  <c:v>0.92851744939251402</c:v>
                </c:pt>
                <c:pt idx="23">
                  <c:v>0.92314386568104057</c:v>
                </c:pt>
                <c:pt idx="24">
                  <c:v>0.87703163878165868</c:v>
                </c:pt>
                <c:pt idx="25">
                  <c:v>0.89708217702366677</c:v>
                </c:pt>
                <c:pt idx="26">
                  <c:v>0.89259472612298285</c:v>
                </c:pt>
                <c:pt idx="27">
                  <c:v>0.70559518755031936</c:v>
                </c:pt>
                <c:pt idx="28">
                  <c:v>0.94156700938819649</c:v>
                </c:pt>
                <c:pt idx="29">
                  <c:v>0.97030791547060702</c:v>
                </c:pt>
                <c:pt idx="30">
                  <c:v>0.99626728518689767</c:v>
                </c:pt>
                <c:pt idx="31">
                  <c:v>1.0889190285233818</c:v>
                </c:pt>
                <c:pt idx="32">
                  <c:v>1.0687254934003705</c:v>
                </c:pt>
                <c:pt idx="33">
                  <c:v>1.0423165591844885</c:v>
                </c:pt>
                <c:pt idx="34">
                  <c:v>1.080498972557536</c:v>
                </c:pt>
                <c:pt idx="35">
                  <c:v>1.2526410990854524</c:v>
                </c:pt>
                <c:pt idx="36">
                  <c:v>1.1952702998248603</c:v>
                </c:pt>
                <c:pt idx="37">
                  <c:v>1.2181819726659067</c:v>
                </c:pt>
                <c:pt idx="38">
                  <c:v>1.2484645328359232</c:v>
                </c:pt>
                <c:pt idx="39">
                  <c:v>1.2809378421845448</c:v>
                </c:pt>
                <c:pt idx="40">
                  <c:v>1.3509613464499333</c:v>
                </c:pt>
                <c:pt idx="41">
                  <c:v>1.395155602138392</c:v>
                </c:pt>
                <c:pt idx="42">
                  <c:v>1.378853027533359</c:v>
                </c:pt>
                <c:pt idx="43">
                  <c:v>1.4626344562338516</c:v>
                </c:pt>
                <c:pt idx="44">
                  <c:v>1.3160738982711238</c:v>
                </c:pt>
                <c:pt idx="45">
                  <c:v>1.4160128055691747</c:v>
                </c:pt>
                <c:pt idx="46">
                  <c:v>1.5130989881094632</c:v>
                </c:pt>
                <c:pt idx="47">
                  <c:v>1.5606649931670802</c:v>
                </c:pt>
                <c:pt idx="48">
                  <c:v>1.5197609163665904</c:v>
                </c:pt>
                <c:pt idx="49">
                  <c:v>1.4860452509600948</c:v>
                </c:pt>
                <c:pt idx="50">
                  <c:v>1.3280735965364234</c:v>
                </c:pt>
                <c:pt idx="51">
                  <c:v>1.2679382488364213</c:v>
                </c:pt>
                <c:pt idx="52">
                  <c:v>1.3278415827309813</c:v>
                </c:pt>
                <c:pt idx="53">
                  <c:v>1.3961483006083704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A-4267-A8D8-F30B1972F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992768"/>
        <c:axId val="150994304"/>
      </c:lineChart>
      <c:catAx>
        <c:axId val="1509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994304"/>
        <c:crosses val="autoZero"/>
        <c:auto val="1"/>
        <c:lblAlgn val="ctr"/>
        <c:lblOffset val="100"/>
        <c:noMultiLvlLbl val="0"/>
      </c:catAx>
      <c:valAx>
        <c:axId val="15099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3252213869866835E-2"/>
              <c:y val="0.3735232921303831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099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31193216232824"/>
          <c:y val="0.52707231777592045"/>
          <c:w val="0.13387142069995187"/>
          <c:h val="0.13686622971011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5603674540683"/>
          <c:y val="3.2407407407407406E-2"/>
          <c:w val="0.82498840769903758"/>
          <c:h val="0.80403543307086611"/>
        </c:manualLayout>
      </c:layout>
      <c:lineChart>
        <c:grouping val="standard"/>
        <c:varyColors val="0"/>
        <c:ser>
          <c:idx val="0"/>
          <c:order val="0"/>
          <c:tx>
            <c:strRef>
              <c:f>Finland!$Y$121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Finland!$A$122:$A$142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Finland!$Y$122:$Y$142</c:f>
              <c:numCache>
                <c:formatCode>0</c:formatCode>
                <c:ptCount val="21"/>
                <c:pt idx="0">
                  <c:v>158.31641756144401</c:v>
                </c:pt>
                <c:pt idx="1">
                  <c:v>167.44837325289762</c:v>
                </c:pt>
                <c:pt idx="2">
                  <c:v>174.458188046169</c:v>
                </c:pt>
                <c:pt idx="3">
                  <c:v>169.01459491162845</c:v>
                </c:pt>
                <c:pt idx="4">
                  <c:v>163.68781242010377</c:v>
                </c:pt>
                <c:pt idx="5">
                  <c:v>149.81768554284551</c:v>
                </c:pt>
                <c:pt idx="6">
                  <c:v>140.41344255899998</c:v>
                </c:pt>
                <c:pt idx="7">
                  <c:v>147.79381760000001</c:v>
                </c:pt>
                <c:pt idx="8">
                  <c:v>154.62499999999997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A-499F-B1A7-6CF97866E737}"/>
            </c:ext>
          </c:extLst>
        </c:ser>
        <c:ser>
          <c:idx val="1"/>
          <c:order val="1"/>
          <c:tx>
            <c:strRef>
              <c:f>Finland!$Z$121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Finland!$Z$122:$Z$142</c:f>
              <c:numCache>
                <c:formatCode>0</c:formatCode>
                <c:ptCount val="21"/>
                <c:pt idx="0">
                  <c:v>155.08066681390338</c:v>
                </c:pt>
                <c:pt idx="1">
                  <c:v>166.0108755230375</c:v>
                </c:pt>
                <c:pt idx="2">
                  <c:v>170.894006289028</c:v>
                </c:pt>
                <c:pt idx="3">
                  <c:v>166.54041280254623</c:v>
                </c:pt>
                <c:pt idx="4">
                  <c:v>163.17735784604278</c:v>
                </c:pt>
                <c:pt idx="5">
                  <c:v>144.75894704055983</c:v>
                </c:pt>
                <c:pt idx="6">
                  <c:v>138.7374047553011</c:v>
                </c:pt>
                <c:pt idx="7">
                  <c:v>147.32741264991236</c:v>
                </c:pt>
                <c:pt idx="8">
                  <c:v>155.09140495008754</c:v>
                </c:pt>
                <c:pt idx="9">
                  <c:v>176.37615058138027</c:v>
                </c:pt>
                <c:pt idx="10">
                  <c:v>186.47431641633466</c:v>
                </c:pt>
                <c:pt idx="11">
                  <c:v>197.16649200628629</c:v>
                </c:pt>
                <c:pt idx="12">
                  <c:v>201.91857004626485</c:v>
                </c:pt>
                <c:pt idx="13">
                  <c:v>205.48262857624871</c:v>
                </c:pt>
                <c:pt idx="14">
                  <c:v>208.45267735123531</c:v>
                </c:pt>
                <c:pt idx="15">
                  <c:v>211.42272612622185</c:v>
                </c:pt>
                <c:pt idx="16">
                  <c:v>214.39277490120844</c:v>
                </c:pt>
                <c:pt idx="17">
                  <c:v>217.36282367619503</c:v>
                </c:pt>
                <c:pt idx="18">
                  <c:v>219.73886269618436</c:v>
                </c:pt>
                <c:pt idx="19">
                  <c:v>222.70891147117089</c:v>
                </c:pt>
                <c:pt idx="20">
                  <c:v>224.49094073616283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A-499F-B1A7-6CF97866E737}"/>
            </c:ext>
          </c:extLst>
        </c:ser>
        <c:ser>
          <c:idx val="3"/>
          <c:order val="2"/>
          <c:tx>
            <c:strRef>
              <c:f>Finland!$AB$121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Finland!$A$122:$A$142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Finland!$AB$122:$AB$142</c:f>
              <c:numCache>
                <c:formatCode>0</c:formatCode>
                <c:ptCount val="21"/>
                <c:pt idx="0">
                  <c:v>155.08066681390338</c:v>
                </c:pt>
                <c:pt idx="1">
                  <c:v>166.0108755230375</c:v>
                </c:pt>
                <c:pt idx="2">
                  <c:v>170.894006289028</c:v>
                </c:pt>
                <c:pt idx="3">
                  <c:v>166.54041280254623</c:v>
                </c:pt>
                <c:pt idx="4">
                  <c:v>163.17735784604278</c:v>
                </c:pt>
                <c:pt idx="5">
                  <c:v>144.75894704055983</c:v>
                </c:pt>
                <c:pt idx="6">
                  <c:v>138.7374047553011</c:v>
                </c:pt>
                <c:pt idx="7">
                  <c:v>147.32741264991236</c:v>
                </c:pt>
                <c:pt idx="8">
                  <c:v>155.09140495008754</c:v>
                </c:pt>
                <c:pt idx="9">
                  <c:v>131.82541895658161</c:v>
                </c:pt>
                <c:pt idx="10">
                  <c:v>132.41942871157895</c:v>
                </c:pt>
                <c:pt idx="11">
                  <c:v>133.60744822157358</c:v>
                </c:pt>
                <c:pt idx="12">
                  <c:v>134.20145797657088</c:v>
                </c:pt>
                <c:pt idx="13">
                  <c:v>134.20145797657088</c:v>
                </c:pt>
                <c:pt idx="14">
                  <c:v>134.20145797657088</c:v>
                </c:pt>
                <c:pt idx="15">
                  <c:v>134.79546773156821</c:v>
                </c:pt>
                <c:pt idx="16">
                  <c:v>135.38947748656551</c:v>
                </c:pt>
                <c:pt idx="17">
                  <c:v>135.98348724156281</c:v>
                </c:pt>
                <c:pt idx="18">
                  <c:v>135.98348724156281</c:v>
                </c:pt>
                <c:pt idx="19">
                  <c:v>135.98348724156281</c:v>
                </c:pt>
                <c:pt idx="20">
                  <c:v>136.57749699656014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6A-499F-B1A7-6CF97866E737}"/>
            </c:ext>
          </c:extLst>
        </c:ser>
        <c:ser>
          <c:idx val="2"/>
          <c:order val="3"/>
          <c:tx>
            <c:strRef>
              <c:f>Finland!$AA$121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Finland!$A$122:$A$142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Finland!$AA$122:$AA$142</c:f>
              <c:numCache>
                <c:formatCode>0</c:formatCode>
                <c:ptCount val="21"/>
                <c:pt idx="0">
                  <c:v>155.08066681390338</c:v>
                </c:pt>
                <c:pt idx="1">
                  <c:v>166.0108755230375</c:v>
                </c:pt>
                <c:pt idx="2">
                  <c:v>170.894006289028</c:v>
                </c:pt>
                <c:pt idx="3">
                  <c:v>166.54041280254623</c:v>
                </c:pt>
                <c:pt idx="4">
                  <c:v>163.17735784604278</c:v>
                </c:pt>
                <c:pt idx="5">
                  <c:v>144.75894704055983</c:v>
                </c:pt>
                <c:pt idx="6">
                  <c:v>138.7374047553011</c:v>
                </c:pt>
                <c:pt idx="7">
                  <c:v>147.32741264991236</c:v>
                </c:pt>
                <c:pt idx="8">
                  <c:v>155.09140495008754</c:v>
                </c:pt>
                <c:pt idx="9">
                  <c:v>152.56536857477903</c:v>
                </c:pt>
                <c:pt idx="10">
                  <c:v>152.72495442814355</c:v>
                </c:pt>
                <c:pt idx="11">
                  <c:v>157.42671942351043</c:v>
                </c:pt>
                <c:pt idx="12">
                  <c:v>160.92750675712762</c:v>
                </c:pt>
                <c:pt idx="13">
                  <c:v>162.53845101297449</c:v>
                </c:pt>
                <c:pt idx="14">
                  <c:v>162.96436452307648</c:v>
                </c:pt>
                <c:pt idx="15">
                  <c:v>165.19292410149845</c:v>
                </c:pt>
                <c:pt idx="16">
                  <c:v>169.10987722251946</c:v>
                </c:pt>
                <c:pt idx="17">
                  <c:v>171.12857575061548</c:v>
                </c:pt>
                <c:pt idx="18">
                  <c:v>172.40646228523224</c:v>
                </c:pt>
                <c:pt idx="19">
                  <c:v>174.13855222713488</c:v>
                </c:pt>
                <c:pt idx="20">
                  <c:v>175.46295851348566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A-499F-B1A7-6CF97866E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879680"/>
        <c:axId val="1212879024"/>
      </c:lineChart>
      <c:catAx>
        <c:axId val="12128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879024"/>
        <c:crosses val="autoZero"/>
        <c:auto val="1"/>
        <c:lblAlgn val="ctr"/>
        <c:lblOffset val="100"/>
        <c:noMultiLvlLbl val="0"/>
      </c:catAx>
      <c:valAx>
        <c:axId val="121287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 cents per litre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1565197579469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87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05594085928711"/>
          <c:y val="0.51446704578594338"/>
          <c:w val="0.24357436570428698"/>
          <c:h val="0.32812554680664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45294038317233E-2"/>
          <c:y val="3.7865738445596528E-2"/>
          <c:w val="0.80681555493980017"/>
          <c:h val="0.83363740668751762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Finland!$AN$44:$AN$97</c:f>
              <c:numCache>
                <c:formatCode>0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Finland!$AZ$44:$AZ$97</c:f>
              <c:numCache>
                <c:formatCode>0.0000</c:formatCode>
                <c:ptCount val="54"/>
                <c:pt idx="0">
                  <c:v>0.30334065770512308</c:v>
                </c:pt>
                <c:pt idx="1">
                  <c:v>0.32056019486429643</c:v>
                </c:pt>
                <c:pt idx="2">
                  <c:v>0.27301846867770829</c:v>
                </c:pt>
                <c:pt idx="3">
                  <c:v>0.30439057093120903</c:v>
                </c:pt>
                <c:pt idx="4">
                  <c:v>0.33285939940606357</c:v>
                </c:pt>
                <c:pt idx="5">
                  <c:v>0.32805590924890249</c:v>
                </c:pt>
                <c:pt idx="6">
                  <c:v>0.35080706772654613</c:v>
                </c:pt>
                <c:pt idx="7">
                  <c:v>0.31412482435718275</c:v>
                </c:pt>
                <c:pt idx="8">
                  <c:v>0.42818768151774733</c:v>
                </c:pt>
                <c:pt idx="9">
                  <c:v>0.59344453846098966</c:v>
                </c:pt>
                <c:pt idx="10">
                  <c:v>0.49659241407490767</c:v>
                </c:pt>
                <c:pt idx="11">
                  <c:v>0.58779947597533355</c:v>
                </c:pt>
                <c:pt idx="12">
                  <c:v>0.53618518422048578</c:v>
                </c:pt>
                <c:pt idx="13">
                  <c:v>0.53275018887467618</c:v>
                </c:pt>
                <c:pt idx="14">
                  <c:v>0.53392286832050162</c:v>
                </c:pt>
                <c:pt idx="15">
                  <c:v>0.64358049748987634</c:v>
                </c:pt>
                <c:pt idx="16">
                  <c:v>0.66632327159828486</c:v>
                </c:pt>
                <c:pt idx="17">
                  <c:v>0.63605710888856326</c:v>
                </c:pt>
                <c:pt idx="18">
                  <c:v>0.62187093496645074</c:v>
                </c:pt>
                <c:pt idx="19">
                  <c:v>0.59829257754395726</c:v>
                </c:pt>
                <c:pt idx="20">
                  <c:v>0.71693340649698034</c:v>
                </c:pt>
                <c:pt idx="21">
                  <c:v>0.448799079628459</c:v>
                </c:pt>
                <c:pt idx="22">
                  <c:v>0.44418074661675327</c:v>
                </c:pt>
                <c:pt idx="23">
                  <c:v>0.40042408086192455</c:v>
                </c:pt>
                <c:pt idx="24">
                  <c:v>0.39599192410104023</c:v>
                </c:pt>
                <c:pt idx="25">
                  <c:v>0.37596033415374891</c:v>
                </c:pt>
                <c:pt idx="26">
                  <c:v>0.3525723537595965</c:v>
                </c:pt>
                <c:pt idx="27">
                  <c:v>0.25332975822080905</c:v>
                </c:pt>
                <c:pt idx="28">
                  <c:v>0.24895648559860728</c:v>
                </c:pt>
                <c:pt idx="29">
                  <c:v>0.28056236115660815</c:v>
                </c:pt>
                <c:pt idx="30">
                  <c:v>0.25307533646407188</c:v>
                </c:pt>
                <c:pt idx="31">
                  <c:v>0.26142201361900874</c:v>
                </c:pt>
                <c:pt idx="32">
                  <c:v>0.25352668437256598</c:v>
                </c:pt>
                <c:pt idx="33">
                  <c:v>0.21588300186026854</c:v>
                </c:pt>
                <c:pt idx="34">
                  <c:v>0.32318611975548672</c:v>
                </c:pt>
                <c:pt idx="35">
                  <c:v>0.47658050394560991</c:v>
                </c:pt>
                <c:pt idx="36">
                  <c:v>0.44047074250261675</c:v>
                </c:pt>
                <c:pt idx="37">
                  <c:v>0.35800005308603833</c:v>
                </c:pt>
                <c:pt idx="38">
                  <c:v>0.33302052124369408</c:v>
                </c:pt>
                <c:pt idx="39">
                  <c:v>0.3730826732990824</c:v>
                </c:pt>
                <c:pt idx="40">
                  <c:v>0.44888893914846606</c:v>
                </c:pt>
                <c:pt idx="41">
                  <c:v>0.50427726794288708</c:v>
                </c:pt>
                <c:pt idx="42">
                  <c:v>0.50139561053802839</c:v>
                </c:pt>
                <c:pt idx="43">
                  <c:v>0.5806399304726132</c:v>
                </c:pt>
                <c:pt idx="44">
                  <c:v>0.4410126286752396</c:v>
                </c:pt>
                <c:pt idx="45">
                  <c:v>0.55308996251561848</c:v>
                </c:pt>
                <c:pt idx="46">
                  <c:v>0.62671589782530523</c:v>
                </c:pt>
                <c:pt idx="47">
                  <c:v>0.6722286550585419</c:v>
                </c:pt>
                <c:pt idx="48">
                  <c:v>0.63120177879332617</c:v>
                </c:pt>
                <c:pt idx="49">
                  <c:v>0.57801592885651465</c:v>
                </c:pt>
                <c:pt idx="50">
                  <c:v>0.46827381319015149</c:v>
                </c:pt>
                <c:pt idx="51">
                  <c:v>0.40216687915444116</c:v>
                </c:pt>
                <c:pt idx="52">
                  <c:v>0.44110363030864352</c:v>
                </c:pt>
                <c:pt idx="53">
                  <c:v>0.49655300275994962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C-495E-8AD6-F4EA84D6E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285856"/>
        <c:axId val="780285200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spPr>
            <a:ln w="28575" cap="rnd">
              <a:solidFill>
                <a:srgbClr val="B10F0F"/>
              </a:solidFill>
              <a:round/>
            </a:ln>
            <a:effectLst/>
          </c:spPr>
          <c:marker>
            <c:symbol val="none"/>
          </c:marker>
          <c:cat>
            <c:numRef>
              <c:f>Finland!$AN$44:$AN$97</c:f>
              <c:numCache>
                <c:formatCode>0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Finland!$BB$44:$BB$97</c:f>
              <c:numCache>
                <c:formatCode>0.00</c:formatCode>
                <c:ptCount val="54"/>
                <c:pt idx="0">
                  <c:v>16.92062997438282</c:v>
                </c:pt>
                <c:pt idx="1">
                  <c:v>16.289625432741154</c:v>
                </c:pt>
                <c:pt idx="2">
                  <c:v>16.665943884236327</c:v>
                </c:pt>
                <c:pt idx="3">
                  <c:v>18.580986633843615</c:v>
                </c:pt>
                <c:pt idx="4">
                  <c:v>18.180008013497748</c:v>
                </c:pt>
                <c:pt idx="5">
                  <c:v>17.963191827001218</c:v>
                </c:pt>
                <c:pt idx="6">
                  <c:v>17.861447353902143</c:v>
                </c:pt>
                <c:pt idx="7">
                  <c:v>16.593726047649056</c:v>
                </c:pt>
                <c:pt idx="8">
                  <c:v>15.009840455668227</c:v>
                </c:pt>
                <c:pt idx="9">
                  <c:v>40.224491439623932</c:v>
                </c:pt>
                <c:pt idx="10">
                  <c:v>34.339916483983394</c:v>
                </c:pt>
                <c:pt idx="11">
                  <c:v>33.167435400874815</c:v>
                </c:pt>
                <c:pt idx="12">
                  <c:v>33.350653881600408</c:v>
                </c:pt>
                <c:pt idx="13">
                  <c:v>31.568653727147776</c:v>
                </c:pt>
                <c:pt idx="14">
                  <c:v>41.531987673827942</c:v>
                </c:pt>
                <c:pt idx="15">
                  <c:v>56.192631454294542</c:v>
                </c:pt>
                <c:pt idx="16">
                  <c:v>62.933527030664735</c:v>
                </c:pt>
                <c:pt idx="17">
                  <c:v>58.496187339531716</c:v>
                </c:pt>
                <c:pt idx="18">
                  <c:v>54.390166562437805</c:v>
                </c:pt>
                <c:pt idx="19">
                  <c:v>53.997801511285523</c:v>
                </c:pt>
                <c:pt idx="20">
                  <c:v>49.501914475264591</c:v>
                </c:pt>
                <c:pt idx="21">
                  <c:v>22.197327333047962</c:v>
                </c:pt>
                <c:pt idx="22">
                  <c:v>23.583524055208358</c:v>
                </c:pt>
                <c:pt idx="23">
                  <c:v>17.763266124897935</c:v>
                </c:pt>
                <c:pt idx="24">
                  <c:v>21.025272489561413</c:v>
                </c:pt>
                <c:pt idx="25">
                  <c:v>22.042447221850665</c:v>
                </c:pt>
                <c:pt idx="26">
                  <c:v>19.625874815023561</c:v>
                </c:pt>
                <c:pt idx="27">
                  <c:v>20.181177387525697</c:v>
                </c:pt>
                <c:pt idx="28">
                  <c:v>22.552869643293892</c:v>
                </c:pt>
                <c:pt idx="29">
                  <c:v>19.039480874589774</c:v>
                </c:pt>
                <c:pt idx="30">
                  <c:v>16.920654638247214</c:v>
                </c:pt>
                <c:pt idx="31">
                  <c:v>21.230049773380752</c:v>
                </c:pt>
                <c:pt idx="32">
                  <c:v>22.091940553835055</c:v>
                </c:pt>
                <c:pt idx="33">
                  <c:v>15.691721115831161</c:v>
                </c:pt>
                <c:pt idx="34">
                  <c:v>19.63606281685119</c:v>
                </c:pt>
                <c:pt idx="35">
                  <c:v>34.793983796046597</c:v>
                </c:pt>
                <c:pt idx="36">
                  <c:v>29.254212455849355</c:v>
                </c:pt>
                <c:pt idx="37">
                  <c:v>28.853941679525626</c:v>
                </c:pt>
                <c:pt idx="38">
                  <c:v>27.513202931899411</c:v>
                </c:pt>
                <c:pt idx="39">
                  <c:v>32.023629887001967</c:v>
                </c:pt>
                <c:pt idx="40">
                  <c:v>44.636082987765768</c:v>
                </c:pt>
                <c:pt idx="41">
                  <c:v>52.547794149828086</c:v>
                </c:pt>
                <c:pt idx="42">
                  <c:v>53.138078258211493</c:v>
                </c:pt>
                <c:pt idx="43">
                  <c:v>65.231679313977054</c:v>
                </c:pt>
                <c:pt idx="44">
                  <c:v>44.467005836461382</c:v>
                </c:pt>
                <c:pt idx="45">
                  <c:v>58.478364333333346</c:v>
                </c:pt>
                <c:pt idx="46">
                  <c:v>74.334285566858711</c:v>
                </c:pt>
                <c:pt idx="47">
                  <c:v>79.700817161211845</c:v>
                </c:pt>
                <c:pt idx="48">
                  <c:v>73.803764548269257</c:v>
                </c:pt>
                <c:pt idx="49">
                  <c:v>66.827145538018044</c:v>
                </c:pt>
                <c:pt idx="50">
                  <c:v>41.233817677589194</c:v>
                </c:pt>
                <c:pt idx="51">
                  <c:v>33.78869833205512</c:v>
                </c:pt>
                <c:pt idx="52">
                  <c:v>42.343094194089367</c:v>
                </c:pt>
                <c:pt idx="53">
                  <c:v>53.496921699722868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C-495E-8AD6-F4EA84D6E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200952"/>
        <c:axId val="750199312"/>
      </c:lineChart>
      <c:catAx>
        <c:axId val="7802858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85200"/>
        <c:crosses val="autoZero"/>
        <c:auto val="1"/>
        <c:lblAlgn val="ctr"/>
        <c:lblOffset val="100"/>
        <c:noMultiLvlLbl val="0"/>
      </c:catAx>
      <c:valAx>
        <c:axId val="78028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0435168244296994E-2"/>
              <c:y val="0.29980503345981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85856"/>
        <c:crosses val="autoZero"/>
        <c:crossBetween val="between"/>
      </c:valAx>
      <c:valAx>
        <c:axId val="750199312"/>
        <c:scaling>
          <c:orientation val="minMax"/>
          <c:max val="100"/>
          <c:min val="-3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Euros per barrel</a:t>
                </a:r>
              </a:p>
            </c:rich>
          </c:tx>
          <c:layout>
            <c:manualLayout>
              <c:xMode val="edge"/>
              <c:yMode val="edge"/>
              <c:x val="0.95385193528536938"/>
              <c:y val="0.28623354080433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200952"/>
        <c:crosses val="max"/>
        <c:crossBetween val="between"/>
      </c:valAx>
      <c:catAx>
        <c:axId val="7502009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750199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506593523156199"/>
          <c:y val="4.3459405190777414E-2"/>
          <c:w val="0.21091254429025999"/>
          <c:h val="0.19234114617991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77441948651601E-2"/>
          <c:y val="3.3643999045574052E-2"/>
          <c:w val="0.86913307755793989"/>
          <c:h val="0.8434595561918396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Finland!$A$44:$A$97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Finland!$BG$44:$BG$97</c:f>
              <c:numCache>
                <c:formatCode>0.0000</c:formatCode>
                <c:ptCount val="54"/>
                <c:pt idx="0">
                  <c:v>0.99050124959402386</c:v>
                </c:pt>
                <c:pt idx="1">
                  <c:v>1.0467283745782785</c:v>
                </c:pt>
                <c:pt idx="2">
                  <c:v>0.89148990588131682</c:v>
                </c:pt>
                <c:pt idx="3">
                  <c:v>0.99392954163463243</c:v>
                </c:pt>
                <c:pt idx="4">
                  <c:v>0.97247971103661779</c:v>
                </c:pt>
                <c:pt idx="5">
                  <c:v>0.95844586753290917</c:v>
                </c:pt>
                <c:pt idx="6">
                  <c:v>1.0249154942328487</c:v>
                </c:pt>
                <c:pt idx="7">
                  <c:v>0.89421298592219745</c:v>
                </c:pt>
                <c:pt idx="8">
                  <c:v>1.0334266526009781</c:v>
                </c:pt>
                <c:pt idx="9">
                  <c:v>1.1979005617673959</c:v>
                </c:pt>
                <c:pt idx="10">
                  <c:v>0.95055096742210987</c:v>
                </c:pt>
                <c:pt idx="11">
                  <c:v>1.1865056915065351</c:v>
                </c:pt>
                <c:pt idx="12">
                  <c:v>1.1231616355442109</c:v>
                </c:pt>
                <c:pt idx="13">
                  <c:v>1.182924233170398</c:v>
                </c:pt>
                <c:pt idx="14">
                  <c:v>1.1855280631889999</c:v>
                </c:pt>
                <c:pt idx="15">
                  <c:v>1.4290130390844866</c:v>
                </c:pt>
                <c:pt idx="16">
                  <c:v>1.4795113386330678</c:v>
                </c:pt>
                <c:pt idx="17">
                  <c:v>1.4123080263451202</c:v>
                </c:pt>
                <c:pt idx="18">
                  <c:v>1.380808893620487</c:v>
                </c:pt>
                <c:pt idx="19">
                  <c:v>1.3284552559196063</c:v>
                </c:pt>
                <c:pt idx="20">
                  <c:v>1.2837795362583233</c:v>
                </c:pt>
                <c:pt idx="21">
                  <c:v>1.016855397772447</c:v>
                </c:pt>
                <c:pt idx="22">
                  <c:v>1.0063915241487507</c:v>
                </c:pt>
                <c:pt idx="23">
                  <c:v>0.98789547081069939</c:v>
                </c:pt>
                <c:pt idx="24">
                  <c:v>0.97696079480276354</c:v>
                </c:pt>
                <c:pt idx="25">
                  <c:v>0.97068181181737345</c:v>
                </c:pt>
                <c:pt idx="26">
                  <c:v>0.95470175080195063</c:v>
                </c:pt>
                <c:pt idx="27">
                  <c:v>0.78124460019115149</c:v>
                </c:pt>
                <c:pt idx="28">
                  <c:v>1.0236771309325092</c:v>
                </c:pt>
                <c:pt idx="29">
                  <c:v>1.112435135300645</c:v>
                </c:pt>
                <c:pt idx="30">
                  <c:v>1.1238623826805474</c:v>
                </c:pt>
                <c:pt idx="31">
                  <c:v>1.209300505862394</c:v>
                </c:pt>
                <c:pt idx="32">
                  <c:v>1.1727778522438344</c:v>
                </c:pt>
                <c:pt idx="33">
                  <c:v>1.141306982606902</c:v>
                </c:pt>
                <c:pt idx="34">
                  <c:v>1.1960098775081764</c:v>
                </c:pt>
                <c:pt idx="35">
                  <c:v>1.4635394716210794</c:v>
                </c:pt>
                <c:pt idx="36">
                  <c:v>1.3940682304707632</c:v>
                </c:pt>
                <c:pt idx="37">
                  <c:v>1.3304246260868968</c:v>
                </c:pt>
                <c:pt idx="38">
                  <c:v>1.3446161367955098</c:v>
                </c:pt>
                <c:pt idx="39">
                  <c:v>1.3972094103809169</c:v>
                </c:pt>
                <c:pt idx="40">
                  <c:v>1.4809933425118933</c:v>
                </c:pt>
                <c:pt idx="41">
                  <c:v>1.5425481292923828</c:v>
                </c:pt>
                <c:pt idx="42">
                  <c:v>1.5175936816545101</c:v>
                </c:pt>
                <c:pt idx="43">
                  <c:v>1.6236822668746003</c:v>
                </c:pt>
                <c:pt idx="44">
                  <c:v>1.4345639922346825</c:v>
                </c:pt>
                <c:pt idx="45">
                  <c:v>1.5831641756144401</c:v>
                </c:pt>
                <c:pt idx="46">
                  <c:v>1.6744837325289763</c:v>
                </c:pt>
                <c:pt idx="47">
                  <c:v>1.7445818804616899</c:v>
                </c:pt>
                <c:pt idx="48">
                  <c:v>1.6901459491162845</c:v>
                </c:pt>
                <c:pt idx="49">
                  <c:v>1.6368781242010377</c:v>
                </c:pt>
                <c:pt idx="50">
                  <c:v>1.4981768554284551</c:v>
                </c:pt>
                <c:pt idx="51">
                  <c:v>1.4041344255899997</c:v>
                </c:pt>
                <c:pt idx="52">
                  <c:v>1.4779381760000001</c:v>
                </c:pt>
                <c:pt idx="53">
                  <c:v>1.5462499999999997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90-46BE-9E04-F5254B79C687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Finland!$A$44:$A$97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Finland!$BH$44:$BH$97</c:f>
              <c:numCache>
                <c:formatCode>0.0000</c:formatCode>
                <c:ptCount val="54"/>
                <c:pt idx="0">
                  <c:v>0.9992812362142367</c:v>
                </c:pt>
                <c:pt idx="1">
                  <c:v>1.032482920400231</c:v>
                </c:pt>
                <c:pt idx="2">
                  <c:v>0.93235631406267661</c:v>
                </c:pt>
                <c:pt idx="3">
                  <c:v>1.0118275691549079</c:v>
                </c:pt>
                <c:pt idx="4">
                  <c:v>0.95628797317780512</c:v>
                </c:pt>
                <c:pt idx="5">
                  <c:v>0.94624410765448497</c:v>
                </c:pt>
                <c:pt idx="6">
                  <c:v>0.98682510703244963</c:v>
                </c:pt>
                <c:pt idx="7">
                  <c:v>0.88899560593053795</c:v>
                </c:pt>
                <c:pt idx="8">
                  <c:v>1.0225334116262161</c:v>
                </c:pt>
                <c:pt idx="9">
                  <c:v>1.1597088761751815</c:v>
                </c:pt>
                <c:pt idx="10">
                  <c:v>0.9834380597739325</c:v>
                </c:pt>
                <c:pt idx="11">
                  <c:v>1.1108722827034412</c:v>
                </c:pt>
                <c:pt idx="12">
                  <c:v>1.105965480510394</c:v>
                </c:pt>
                <c:pt idx="13">
                  <c:v>1.1585045515368408</c:v>
                </c:pt>
                <c:pt idx="14">
                  <c:v>1.2215158228593694</c:v>
                </c:pt>
                <c:pt idx="15">
                  <c:v>1.4340611380205446</c:v>
                </c:pt>
                <c:pt idx="16">
                  <c:v>1.5010610038923411</c:v>
                </c:pt>
                <c:pt idx="17">
                  <c:v>1.4399760396962273</c:v>
                </c:pt>
                <c:pt idx="18">
                  <c:v>1.3987952371112575</c:v>
                </c:pt>
                <c:pt idx="19">
                  <c:v>1.370188248312084</c:v>
                </c:pt>
                <c:pt idx="20">
                  <c:v>1.1659509145917395</c:v>
                </c:pt>
                <c:pt idx="21">
                  <c:v>1.0275960162885804</c:v>
                </c:pt>
                <c:pt idx="22">
                  <c:v>1.0308450515316028</c:v>
                </c:pt>
                <c:pt idx="23">
                  <c:v>1.0248792700790439</c:v>
                </c:pt>
                <c:pt idx="24">
                  <c:v>0.97368522849648675</c:v>
                </c:pt>
                <c:pt idx="25">
                  <c:v>0.9959454435746653</c:v>
                </c:pt>
                <c:pt idx="26">
                  <c:v>0.99096345152057141</c:v>
                </c:pt>
                <c:pt idx="27">
                  <c:v>0.78335556100387504</c:v>
                </c:pt>
                <c:pt idx="28">
                  <c:v>1.0453327430176542</c:v>
                </c:pt>
                <c:pt idx="29">
                  <c:v>1.077241051074731</c:v>
                </c:pt>
                <c:pt idx="30">
                  <c:v>1.1060612825420291</c:v>
                </c:pt>
                <c:pt idx="31">
                  <c:v>1.2089237448432797</c:v>
                </c:pt>
                <c:pt idx="32">
                  <c:v>1.1865047738609842</c:v>
                </c:pt>
                <c:pt idx="33">
                  <c:v>1.1571854334754301</c:v>
                </c:pt>
                <c:pt idx="34">
                  <c:v>1.1995757535570737</c:v>
                </c:pt>
                <c:pt idx="35">
                  <c:v>1.3906888655481606</c:v>
                </c:pt>
                <c:pt idx="36">
                  <c:v>1.3269954965555937</c:v>
                </c:pt>
                <c:pt idx="37">
                  <c:v>1.3524321586085859</c:v>
                </c:pt>
                <c:pt idx="38">
                  <c:v>1.3860520193009112</c:v>
                </c:pt>
                <c:pt idx="39">
                  <c:v>1.4221040614793137</c:v>
                </c:pt>
                <c:pt idx="40">
                  <c:v>1.4998445314188975</c:v>
                </c:pt>
                <c:pt idx="41">
                  <c:v>1.5489092310778818</c:v>
                </c:pt>
                <c:pt idx="42">
                  <c:v>1.5308100253280947</c:v>
                </c:pt>
                <c:pt idx="43">
                  <c:v>1.6238246167530113</c:v>
                </c:pt>
                <c:pt idx="44">
                  <c:v>1.4611122993652939</c:v>
                </c:pt>
                <c:pt idx="45">
                  <c:v>1.572065010174416</c:v>
                </c:pt>
                <c:pt idx="46">
                  <c:v>1.6798506106596074</c:v>
                </c:pt>
                <c:pt idx="47">
                  <c:v>1.732658644549387</c:v>
                </c:pt>
                <c:pt idx="48">
                  <c:v>1.687246719135556</c:v>
                </c:pt>
                <c:pt idx="49">
                  <c:v>1.6498154065995123</c:v>
                </c:pt>
                <c:pt idx="50">
                  <c:v>1.474434428728344</c:v>
                </c:pt>
                <c:pt idx="51">
                  <c:v>1.4076718432333306</c:v>
                </c:pt>
                <c:pt idx="52">
                  <c:v>1.4741768457573579</c:v>
                </c:pt>
                <c:pt idx="53">
                  <c:v>1.5500113302426417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90-46BE-9E04-F5254B79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992768"/>
        <c:axId val="150994304"/>
      </c:lineChart>
      <c:catAx>
        <c:axId val="1509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994304"/>
        <c:crosses val="autoZero"/>
        <c:auto val="1"/>
        <c:lblAlgn val="ctr"/>
        <c:lblOffset val="100"/>
        <c:noMultiLvlLbl val="0"/>
      </c:catAx>
      <c:valAx>
        <c:axId val="15099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1.3252213869866835E-2"/>
              <c:y val="0.3735232921303831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099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19945006874141"/>
          <c:y val="0.54105831176697317"/>
          <c:w val="0.13387142069995187"/>
          <c:h val="0.162507204082007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89600062368491"/>
          <c:y val="4.2054998806967323E-2"/>
          <c:w val="0.83307133390504462"/>
          <c:h val="0.84393314052084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France!$A$44:$A$97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France!$AZ$44:$AZ$97</c:f>
              <c:numCache>
                <c:formatCode>0.0000</c:formatCode>
                <c:ptCount val="54"/>
                <c:pt idx="0">
                  <c:v>0.27271109765374846</c:v>
                </c:pt>
                <c:pt idx="1">
                  <c:v>0.26850618795908077</c:v>
                </c:pt>
                <c:pt idx="2">
                  <c:v>0.28209716691424136</c:v>
                </c:pt>
                <c:pt idx="3">
                  <c:v>0.27590737099572338</c:v>
                </c:pt>
                <c:pt idx="4">
                  <c:v>0.2658420054872449</c:v>
                </c:pt>
                <c:pt idx="5">
                  <c:v>0.27143250900201621</c:v>
                </c:pt>
                <c:pt idx="6">
                  <c:v>0.31265533180690941</c:v>
                </c:pt>
                <c:pt idx="7">
                  <c:v>0.27555712016636835</c:v>
                </c:pt>
                <c:pt idx="8">
                  <c:v>0.31128103196170565</c:v>
                </c:pt>
                <c:pt idx="9">
                  <c:v>0.5148225695208527</c:v>
                </c:pt>
                <c:pt idx="10">
                  <c:v>0.45980358703057056</c:v>
                </c:pt>
                <c:pt idx="11">
                  <c:v>0.46444927464629426</c:v>
                </c:pt>
                <c:pt idx="12">
                  <c:v>0.48263518071791889</c:v>
                </c:pt>
                <c:pt idx="13">
                  <c:v>0.42589283718011506</c:v>
                </c:pt>
                <c:pt idx="14">
                  <c:v>0.50741693441161839</c:v>
                </c:pt>
                <c:pt idx="15">
                  <c:v>0.54081128137196099</c:v>
                </c:pt>
                <c:pt idx="16">
                  <c:v>0.61908912544448758</c:v>
                </c:pt>
                <c:pt idx="17">
                  <c:v>0.66125259585149399</c:v>
                </c:pt>
                <c:pt idx="18">
                  <c:v>0.55219177263293051</c:v>
                </c:pt>
                <c:pt idx="19">
                  <c:v>0.51927274062804252</c:v>
                </c:pt>
                <c:pt idx="20">
                  <c:v>0.56759658703100613</c:v>
                </c:pt>
                <c:pt idx="21">
                  <c:v>0.28645858225420817</c:v>
                </c:pt>
                <c:pt idx="22">
                  <c:v>0.29488297341911762</c:v>
                </c:pt>
                <c:pt idx="23">
                  <c:v>0.25957545780449898</c:v>
                </c:pt>
                <c:pt idx="24">
                  <c:v>0.32810015265161274</c:v>
                </c:pt>
                <c:pt idx="25">
                  <c:v>0.28120412223479629</c:v>
                </c:pt>
                <c:pt idx="26">
                  <c:v>0.30219763462619686</c:v>
                </c:pt>
                <c:pt idx="27">
                  <c:v>0.26084070992190544</c:v>
                </c:pt>
                <c:pt idx="28">
                  <c:v>0.21750303038707886</c:v>
                </c:pt>
                <c:pt idx="29">
                  <c:v>0.18182229561588925</c:v>
                </c:pt>
                <c:pt idx="30">
                  <c:v>0.14501361150918313</c:v>
                </c:pt>
                <c:pt idx="31">
                  <c:v>0.17485143577272733</c:v>
                </c:pt>
                <c:pt idx="32">
                  <c:v>0.19723167313646328</c:v>
                </c:pt>
                <c:pt idx="33">
                  <c:v>0.1445473791782792</c:v>
                </c:pt>
                <c:pt idx="34">
                  <c:v>0.18388136490838491</c:v>
                </c:pt>
                <c:pt idx="35">
                  <c:v>0.37301692216367088</c:v>
                </c:pt>
                <c:pt idx="36">
                  <c:v>0.32065944293251714</c:v>
                </c:pt>
                <c:pt idx="37">
                  <c:v>0.29662019953315732</c:v>
                </c:pt>
                <c:pt idx="38">
                  <c:v>0.28487796290870526</c:v>
                </c:pt>
                <c:pt idx="39">
                  <c:v>0.32701151229891701</c:v>
                </c:pt>
                <c:pt idx="40">
                  <c:v>0.41158207507931865</c:v>
                </c:pt>
                <c:pt idx="41">
                  <c:v>0.47214590585882021</c:v>
                </c:pt>
                <c:pt idx="42">
                  <c:v>0.48308922330696447</c:v>
                </c:pt>
                <c:pt idx="43">
                  <c:v>0.53632438279620021</c:v>
                </c:pt>
                <c:pt idx="44">
                  <c:v>0.4093647879359199</c:v>
                </c:pt>
                <c:pt idx="45">
                  <c:v>0.51774581939799347</c:v>
                </c:pt>
                <c:pt idx="46">
                  <c:v>0.62830477722238942</c:v>
                </c:pt>
                <c:pt idx="47">
                  <c:v>0.6768622286634991</c:v>
                </c:pt>
                <c:pt idx="48">
                  <c:v>0.64017893594218034</c:v>
                </c:pt>
                <c:pt idx="49">
                  <c:v>0.59713739885295369</c:v>
                </c:pt>
                <c:pt idx="50">
                  <c:v>0.47288952547489749</c:v>
                </c:pt>
                <c:pt idx="51">
                  <c:v>0.4124642585374626</c:v>
                </c:pt>
                <c:pt idx="52">
                  <c:v>0.45489580248691452</c:v>
                </c:pt>
                <c:pt idx="53">
                  <c:v>0.55016707308012558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A-4C89-B0C1-9DEE0EC16E39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France!$A$44:$A$97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France!$BA$44:$BA$97</c:f>
              <c:numCache>
                <c:formatCode>0.0000</c:formatCode>
                <c:ptCount val="54"/>
                <c:pt idx="0">
                  <c:v>0.2775665970623486</c:v>
                </c:pt>
                <c:pt idx="1">
                  <c:v>0.27579869717161559</c:v>
                </c:pt>
                <c:pt idx="2">
                  <c:v>0.2717789468176981</c:v>
                </c:pt>
                <c:pt idx="3">
                  <c:v>0.26787499214040672</c:v>
                </c:pt>
                <c:pt idx="4">
                  <c:v>0.27409337178497573</c:v>
                </c:pt>
                <c:pt idx="5">
                  <c:v>0.26938373303500995</c:v>
                </c:pt>
                <c:pt idx="6">
                  <c:v>0.31376139941867326</c:v>
                </c:pt>
                <c:pt idx="7">
                  <c:v>0.29855622493757894</c:v>
                </c:pt>
                <c:pt idx="8">
                  <c:v>0.28887198577091316</c:v>
                </c:pt>
                <c:pt idx="9">
                  <c:v>0.50512371143042023</c:v>
                </c:pt>
                <c:pt idx="10">
                  <c:v>0.46110799658235235</c:v>
                </c:pt>
                <c:pt idx="11">
                  <c:v>0.47523315468110922</c:v>
                </c:pt>
                <c:pt idx="12">
                  <c:v>0.47792134664166092</c:v>
                </c:pt>
                <c:pt idx="13">
                  <c:v>0.44249757396368666</c:v>
                </c:pt>
                <c:pt idx="14">
                  <c:v>0.49313660020814037</c:v>
                </c:pt>
                <c:pt idx="15">
                  <c:v>0.53207408844302295</c:v>
                </c:pt>
                <c:pt idx="16">
                  <c:v>0.60464850244802615</c:v>
                </c:pt>
                <c:pt idx="17">
                  <c:v>0.59857276889815658</c:v>
                </c:pt>
                <c:pt idx="18">
                  <c:v>0.56870978247030868</c:v>
                </c:pt>
                <c:pt idx="19">
                  <c:v>0.58649816159721635</c:v>
                </c:pt>
                <c:pt idx="20">
                  <c:v>0.55173717265501787</c:v>
                </c:pt>
                <c:pt idx="21">
                  <c:v>0.28918942502969791</c:v>
                </c:pt>
                <c:pt idx="22">
                  <c:v>0.29971313926752197</c:v>
                </c:pt>
                <c:pt idx="23">
                  <c:v>0.26874378509710684</c:v>
                </c:pt>
                <c:pt idx="24">
                  <c:v>0.3030859766241385</c:v>
                </c:pt>
                <c:pt idx="25">
                  <c:v>0.30831324852628883</c:v>
                </c:pt>
                <c:pt idx="26">
                  <c:v>0.28869545192783552</c:v>
                </c:pt>
                <c:pt idx="27">
                  <c:v>0.27051315123046427</c:v>
                </c:pt>
                <c:pt idx="28">
                  <c:v>0.23139885529699741</c:v>
                </c:pt>
                <c:pt idx="29">
                  <c:v>0.1881402452412439</c:v>
                </c:pt>
                <c:pt idx="30">
                  <c:v>0.15555974550230922</c:v>
                </c:pt>
                <c:pt idx="31">
                  <c:v>0.17658452611310807</c:v>
                </c:pt>
                <c:pt idx="32">
                  <c:v>0.18281530265774407</c:v>
                </c:pt>
                <c:pt idx="33">
                  <c:v>0.14436028174362958</c:v>
                </c:pt>
                <c:pt idx="34">
                  <c:v>0.19463653953881838</c:v>
                </c:pt>
                <c:pt idx="35">
                  <c:v>0.37305477258278713</c:v>
                </c:pt>
                <c:pt idx="36">
                  <c:v>0.3205837420942847</c:v>
                </c:pt>
                <c:pt idx="37">
                  <c:v>0.27389945626257328</c:v>
                </c:pt>
                <c:pt idx="38">
                  <c:v>0.27736810251506711</c:v>
                </c:pt>
                <c:pt idx="39">
                  <c:v>0.31364071600569304</c:v>
                </c:pt>
                <c:pt idx="40">
                  <c:v>0.4175002660604315</c:v>
                </c:pt>
                <c:pt idx="41">
                  <c:v>0.46217934301897562</c:v>
                </c:pt>
                <c:pt idx="42">
                  <c:v>0.46857802489470707</c:v>
                </c:pt>
                <c:pt idx="43">
                  <c:v>0.54257357015214991</c:v>
                </c:pt>
                <c:pt idx="44">
                  <c:v>0.42167517085095912</c:v>
                </c:pt>
                <c:pt idx="45">
                  <c:v>0.54658282674861747</c:v>
                </c:pt>
                <c:pt idx="46">
                  <c:v>0.64216605442993446</c:v>
                </c:pt>
                <c:pt idx="47">
                  <c:v>0.67751478652244457</c:v>
                </c:pt>
                <c:pt idx="48">
                  <c:v>0.64533133919901009</c:v>
                </c:pt>
                <c:pt idx="49">
                  <c:v>0.60596964812249665</c:v>
                </c:pt>
                <c:pt idx="50">
                  <c:v>0.45242747963490149</c:v>
                </c:pt>
                <c:pt idx="51">
                  <c:v>0.40839552658494638</c:v>
                </c:pt>
                <c:pt idx="52">
                  <c:v>0.45877671164816336</c:v>
                </c:pt>
                <c:pt idx="53">
                  <c:v>0.52250487551653069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A-4C89-B0C1-9DEE0EC16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276160"/>
        <c:axId val="151282048"/>
      </c:lineChart>
      <c:catAx>
        <c:axId val="1512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282048"/>
        <c:crosses val="autoZero"/>
        <c:auto val="1"/>
        <c:lblAlgn val="ctr"/>
        <c:lblOffset val="100"/>
        <c:noMultiLvlLbl val="0"/>
      </c:catAx>
      <c:valAx>
        <c:axId val="151282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2.0623653137966588E-2"/>
              <c:y val="0.3241679076731168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1276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592452529029998"/>
          <c:y val="0.16791239414328277"/>
          <c:w val="0.13759869923452145"/>
          <c:h val="0.153430272795976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0478299737258"/>
          <c:y val="5.0925925925925923E-2"/>
          <c:w val="0.78220408873955416"/>
          <c:h val="0.82924816540885038"/>
        </c:manualLayout>
      </c:layout>
      <c:lineChart>
        <c:grouping val="standard"/>
        <c:varyColors val="0"/>
        <c:ser>
          <c:idx val="0"/>
          <c:order val="0"/>
          <c:tx>
            <c:strRef>
              <c:f>'World Oil Price analysis'!$G$105</c:f>
              <c:strCache>
                <c:ptCount val="1"/>
                <c:pt idx="0">
                  <c:v>real oil price (LHS)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analysis'!$F$106:$F$154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analysis'!$G$106:$G$154</c:f>
              <c:numCache>
                <c:formatCode>0.00</c:formatCode>
                <c:ptCount val="49"/>
                <c:pt idx="0">
                  <c:v>19.491740993610982</c:v>
                </c:pt>
                <c:pt idx="1">
                  <c:v>18.793578391027218</c:v>
                </c:pt>
                <c:pt idx="2">
                  <c:v>17.439690979476033</c:v>
                </c:pt>
                <c:pt idx="3">
                  <c:v>15.893205250610167</c:v>
                </c:pt>
                <c:pt idx="4">
                  <c:v>45.154443786859268</c:v>
                </c:pt>
                <c:pt idx="5">
                  <c:v>42.354994859681113</c:v>
                </c:pt>
                <c:pt idx="6">
                  <c:v>44.212643376667735</c:v>
                </c:pt>
                <c:pt idx="7">
                  <c:v>44.193923022410409</c:v>
                </c:pt>
                <c:pt idx="8">
                  <c:v>38.102909568822163</c:v>
                </c:pt>
                <c:pt idx="9">
                  <c:v>49.758314706931465</c:v>
                </c:pt>
                <c:pt idx="10">
                  <c:v>68.85799256247951</c:v>
                </c:pt>
                <c:pt idx="11">
                  <c:v>74.251447206907059</c:v>
                </c:pt>
                <c:pt idx="12">
                  <c:v>68.060300646238474</c:v>
                </c:pt>
                <c:pt idx="13">
                  <c:v>59.41719782913038</c:v>
                </c:pt>
                <c:pt idx="14">
                  <c:v>58.49701537504626</c:v>
                </c:pt>
                <c:pt idx="15">
                  <c:v>52.786815702870925</c:v>
                </c:pt>
                <c:pt idx="16">
                  <c:v>25.378370676486295</c:v>
                </c:pt>
                <c:pt idx="17">
                  <c:v>28.326737977139747</c:v>
                </c:pt>
                <c:pt idx="18">
                  <c:v>21.925556419614566</c:v>
                </c:pt>
                <c:pt idx="19">
                  <c:v>26.913724633883639</c:v>
                </c:pt>
                <c:pt idx="20">
                  <c:v>30.126983820590109</c:v>
                </c:pt>
                <c:pt idx="21">
                  <c:v>25.217583773540373</c:v>
                </c:pt>
                <c:pt idx="22">
                  <c:v>22.718200420677974</c:v>
                </c:pt>
                <c:pt idx="23">
                  <c:v>19.927916307818762</c:v>
                </c:pt>
                <c:pt idx="24">
                  <c:v>17.610224664640008</c:v>
                </c:pt>
                <c:pt idx="25">
                  <c:v>17.329574131880065</c:v>
                </c:pt>
                <c:pt idx="26">
                  <c:v>21.194578827543335</c:v>
                </c:pt>
                <c:pt idx="27">
                  <c:v>20.392921748364621</c:v>
                </c:pt>
                <c:pt idx="28">
                  <c:v>14.205952566041114</c:v>
                </c:pt>
                <c:pt idx="29">
                  <c:v>16.764550201840873</c:v>
                </c:pt>
                <c:pt idx="30">
                  <c:v>26.54152388194677</c:v>
                </c:pt>
                <c:pt idx="31">
                  <c:v>22.406884041211946</c:v>
                </c:pt>
                <c:pt idx="32">
                  <c:v>22.736945637603462</c:v>
                </c:pt>
                <c:pt idx="33">
                  <c:v>23.721167813751634</c:v>
                </c:pt>
                <c:pt idx="34">
                  <c:v>28.100482104718832</c:v>
                </c:pt>
                <c:pt idx="35">
                  <c:v>38.395251293511997</c:v>
                </c:pt>
                <c:pt idx="36">
                  <c:v>44.865261126876618</c:v>
                </c:pt>
                <c:pt idx="37">
                  <c:v>47.36583359030093</c:v>
                </c:pt>
                <c:pt idx="38">
                  <c:v>60.41110623004873</c:v>
                </c:pt>
                <c:pt idx="39">
                  <c:v>40.250770631115643</c:v>
                </c:pt>
                <c:pt idx="40">
                  <c:v>50.822862087170627</c:v>
                </c:pt>
                <c:pt idx="41">
                  <c:v>65.864539914281522</c:v>
                </c:pt>
                <c:pt idx="42">
                  <c:v>67.886985516243257</c:v>
                </c:pt>
                <c:pt idx="43">
                  <c:v>65.311137437317441</c:v>
                </c:pt>
                <c:pt idx="44">
                  <c:v>58.509475805917226</c:v>
                </c:pt>
                <c:pt idx="45">
                  <c:v>32.623358804674254</c:v>
                </c:pt>
                <c:pt idx="46">
                  <c:v>26.650767151737266</c:v>
                </c:pt>
                <c:pt idx="47">
                  <c:v>33.58932103739815</c:v>
                </c:pt>
                <c:pt idx="48">
                  <c:v>42.978527578386846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D-44D5-8A3D-C3A163B7B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976336"/>
        <c:axId val="687976664"/>
      </c:lineChart>
      <c:lineChart>
        <c:grouping val="standard"/>
        <c:varyColors val="0"/>
        <c:ser>
          <c:idx val="1"/>
          <c:order val="1"/>
          <c:tx>
            <c:v>change in liquids/GDP ratio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analysis'!$F$106:$F$154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analysis'!$H$106:$H$154</c:f>
              <c:numCache>
                <c:formatCode>0.00</c:formatCode>
                <c:ptCount val="49"/>
                <c:pt idx="0">
                  <c:v>3.4862034091433292</c:v>
                </c:pt>
                <c:pt idx="1">
                  <c:v>2.6802428012038915</c:v>
                </c:pt>
                <c:pt idx="2">
                  <c:v>1.7692045329436468</c:v>
                </c:pt>
                <c:pt idx="3">
                  <c:v>0.81980787957433021</c:v>
                </c:pt>
                <c:pt idx="4">
                  <c:v>-0.74972449536618857</c:v>
                </c:pt>
                <c:pt idx="5">
                  <c:v>-1.803740898137457</c:v>
                </c:pt>
                <c:pt idx="6">
                  <c:v>-1.5439981567806405</c:v>
                </c:pt>
                <c:pt idx="7">
                  <c:v>-0.80871062508441893</c:v>
                </c:pt>
                <c:pt idx="8">
                  <c:v>-0.59866415463592504</c:v>
                </c:pt>
                <c:pt idx="9">
                  <c:v>-1.8346239899924566</c:v>
                </c:pt>
                <c:pt idx="10">
                  <c:v>-3.5295642955797675</c:v>
                </c:pt>
                <c:pt idx="11">
                  <c:v>-5.130382953806139</c:v>
                </c:pt>
                <c:pt idx="12">
                  <c:v>-5.7219039133412579</c:v>
                </c:pt>
                <c:pt idx="13">
                  <c:v>-4.4522584755229131</c:v>
                </c:pt>
                <c:pt idx="14">
                  <c:v>-3.2463529539142777</c:v>
                </c:pt>
                <c:pt idx="15">
                  <c:v>-2.2713403624391115</c:v>
                </c:pt>
                <c:pt idx="16">
                  <c:v>-1.7295767469287293</c:v>
                </c:pt>
                <c:pt idx="17">
                  <c:v>-1.3769495471320725</c:v>
                </c:pt>
                <c:pt idx="18">
                  <c:v>-1.1369079929062498</c:v>
                </c:pt>
                <c:pt idx="19">
                  <c:v>-1.0216588240748781</c:v>
                </c:pt>
                <c:pt idx="20">
                  <c:v>-0.99624028077753835</c:v>
                </c:pt>
                <c:pt idx="21">
                  <c:v>-1.4821349341727741</c:v>
                </c:pt>
                <c:pt idx="22">
                  <c:v>-1.799417213344201</c:v>
                </c:pt>
                <c:pt idx="23">
                  <c:v>-1.7044945820873014</c:v>
                </c:pt>
                <c:pt idx="24">
                  <c:v>-1.3212064468234974</c:v>
                </c:pt>
                <c:pt idx="25">
                  <c:v>-1.1080946884537479</c:v>
                </c:pt>
                <c:pt idx="26">
                  <c:v>-1.0594526119220515</c:v>
                </c:pt>
                <c:pt idx="27">
                  <c:v>-0.7786520316744483</c:v>
                </c:pt>
                <c:pt idx="28">
                  <c:v>-1.0505366278189932</c:v>
                </c:pt>
                <c:pt idx="29">
                  <c:v>-1.623161051166605</c:v>
                </c:pt>
                <c:pt idx="30">
                  <c:v>-2.1525163699351477</c:v>
                </c:pt>
                <c:pt idx="31">
                  <c:v>-2.6392634106289781</c:v>
                </c:pt>
                <c:pt idx="32">
                  <c:v>-2.6759340017172786</c:v>
                </c:pt>
                <c:pt idx="33">
                  <c:v>-2.3846138502781775</c:v>
                </c:pt>
                <c:pt idx="34">
                  <c:v>-1.7964302431199564</c:v>
                </c:pt>
                <c:pt idx="35">
                  <c:v>-2.0797575672362791</c:v>
                </c:pt>
                <c:pt idx="36">
                  <c:v>-3.4273245819476106</c:v>
                </c:pt>
                <c:pt idx="37">
                  <c:v>-4.028210431325391</c:v>
                </c:pt>
                <c:pt idx="38">
                  <c:v>-3.2063330739530214</c:v>
                </c:pt>
                <c:pt idx="39">
                  <c:v>-2.1677843484679435</c:v>
                </c:pt>
                <c:pt idx="40">
                  <c:v>-2.0684308338894839</c:v>
                </c:pt>
                <c:pt idx="41">
                  <c:v>-2.3468031671215197</c:v>
                </c:pt>
                <c:pt idx="42">
                  <c:v>-2.3119093292280182</c:v>
                </c:pt>
                <c:pt idx="43">
                  <c:v>-1.9356609168294348</c:v>
                </c:pt>
                <c:pt idx="44">
                  <c:v>-1.4214671325179451</c:v>
                </c:pt>
                <c:pt idx="45">
                  <c:v>-1.2330868373068016</c:v>
                </c:pt>
                <c:pt idx="46">
                  <c:v>-1.3740160236538068</c:v>
                </c:pt>
                <c:pt idx="47">
                  <c:v>-1.9176954927233036</c:v>
                </c:pt>
                <c:pt idx="48">
                  <c:v>-2.2817582621275587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D-44D5-8A3D-C3A163B7B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184960"/>
        <c:axId val="596181352"/>
      </c:lineChart>
      <c:catAx>
        <c:axId val="68797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976664"/>
        <c:crosses val="autoZero"/>
        <c:auto val="1"/>
        <c:lblAlgn val="ctr"/>
        <c:lblOffset val="100"/>
        <c:noMultiLvlLbl val="0"/>
      </c:catAx>
      <c:valAx>
        <c:axId val="68797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SDRs per barrel</a:t>
                </a:r>
              </a:p>
            </c:rich>
          </c:tx>
          <c:layout>
            <c:manualLayout>
              <c:xMode val="edge"/>
              <c:yMode val="edge"/>
              <c:x val="1.9250746770855764E-2"/>
              <c:y val="0.28176786327362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976336"/>
        <c:crosses val="autoZero"/>
        <c:crossBetween val="between"/>
      </c:valAx>
      <c:valAx>
        <c:axId val="5961813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change in liquids/GDP ratio t,t+1</a:t>
                </a:r>
              </a:p>
            </c:rich>
          </c:tx>
          <c:layout>
            <c:manualLayout>
              <c:xMode val="edge"/>
              <c:yMode val="edge"/>
              <c:x val="0.94305213605960792"/>
              <c:y val="0.212213716126547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184960"/>
        <c:crosses val="max"/>
        <c:crossBetween val="between"/>
      </c:valAx>
      <c:catAx>
        <c:axId val="59618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6181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663188976377954"/>
          <c:y val="5.6133712452610049E-2"/>
          <c:w val="0.32173622047244094"/>
          <c:h val="0.17534776902887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972406441894"/>
          <c:y val="3.0443254929664279E-2"/>
          <c:w val="0.82384512828603262"/>
          <c:h val="0.8520615561090647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France!$A$44:$A$97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France!$AW$44:$AW$97</c:f>
              <c:numCache>
                <c:formatCode>0.0000</c:formatCode>
                <c:ptCount val="54"/>
                <c:pt idx="0">
                  <c:v>1.1410506177981095</c:v>
                </c:pt>
                <c:pt idx="1">
                  <c:v>1.1234568533852742</c:v>
                </c:pt>
                <c:pt idx="2">
                  <c:v>1.1062633996636912</c:v>
                </c:pt>
                <c:pt idx="3">
                  <c:v>1.1215746788444041</c:v>
                </c:pt>
                <c:pt idx="4">
                  <c:v>1.1123096463901458</c:v>
                </c:pt>
                <c:pt idx="5">
                  <c:v>1.0602832382891261</c:v>
                </c:pt>
                <c:pt idx="6">
                  <c:v>1.1287196094112246</c:v>
                </c:pt>
                <c:pt idx="7">
                  <c:v>0.9737000712592524</c:v>
                </c:pt>
                <c:pt idx="8">
                  <c:v>0.96972284100219852</c:v>
                </c:pt>
                <c:pt idx="9">
                  <c:v>1.2774753586125378</c:v>
                </c:pt>
                <c:pt idx="10">
                  <c:v>1.074307446333109</c:v>
                </c:pt>
                <c:pt idx="11">
                  <c:v>1.1818047700923517</c:v>
                </c:pt>
                <c:pt idx="12">
                  <c:v>1.2218612170073897</c:v>
                </c:pt>
                <c:pt idx="13">
                  <c:v>1.3650411448080606</c:v>
                </c:pt>
                <c:pt idx="14">
                  <c:v>1.3567297711540602</c:v>
                </c:pt>
                <c:pt idx="15">
                  <c:v>1.2785136675460071</c:v>
                </c:pt>
                <c:pt idx="16">
                  <c:v>1.2712302370523361</c:v>
                </c:pt>
                <c:pt idx="17">
                  <c:v>1.3467466310621059</c:v>
                </c:pt>
                <c:pt idx="18">
                  <c:v>1.2030321843854697</c:v>
                </c:pt>
                <c:pt idx="19">
                  <c:v>1.2634373251290569</c:v>
                </c:pt>
                <c:pt idx="20">
                  <c:v>1.5095653910399098</c:v>
                </c:pt>
                <c:pt idx="21">
                  <c:v>1.1692187030784005</c:v>
                </c:pt>
                <c:pt idx="22">
                  <c:v>1.2036039731392563</c:v>
                </c:pt>
                <c:pt idx="23">
                  <c:v>1.0594916645081587</c:v>
                </c:pt>
                <c:pt idx="24">
                  <c:v>1.2197031697085974</c:v>
                </c:pt>
                <c:pt idx="25">
                  <c:v>1.0453684841442239</c:v>
                </c:pt>
                <c:pt idx="26">
                  <c:v>1.0243987614447354</c:v>
                </c:pt>
                <c:pt idx="27">
                  <c:v>0.9696680666241837</c:v>
                </c:pt>
                <c:pt idx="28">
                  <c:v>0.97887102375594048</c:v>
                </c:pt>
                <c:pt idx="29">
                  <c:v>0.98580477937686739</c:v>
                </c:pt>
                <c:pt idx="30">
                  <c:v>0.99965350278238463</c:v>
                </c:pt>
                <c:pt idx="31">
                  <c:v>1.0559310642662114</c:v>
                </c:pt>
                <c:pt idx="32">
                  <c:v>1.0862317402346637</c:v>
                </c:pt>
                <c:pt idx="33">
                  <c:v>1.03485301903978</c:v>
                </c:pt>
                <c:pt idx="34">
                  <c:v>1.0776533356523275</c:v>
                </c:pt>
                <c:pt idx="35">
                  <c:v>1.2915185053732274</c:v>
                </c:pt>
                <c:pt idx="36">
                  <c:v>1.2078440456049317</c:v>
                </c:pt>
                <c:pt idx="37">
                  <c:v>1.1599595028185954</c:v>
                </c:pt>
                <c:pt idx="38">
                  <c:v>1.1393613614272626</c:v>
                </c:pt>
                <c:pt idx="39">
                  <c:v>1.1638093892706467</c:v>
                </c:pt>
                <c:pt idx="40">
                  <c:v>1.2517736265514814</c:v>
                </c:pt>
                <c:pt idx="41">
                  <c:v>1.3116314616953775</c:v>
                </c:pt>
                <c:pt idx="42">
                  <c:v>1.3300118754134478</c:v>
                </c:pt>
                <c:pt idx="43">
                  <c:v>1.3779545965199207</c:v>
                </c:pt>
                <c:pt idx="44">
                  <c:v>1.2254627427300002</c:v>
                </c:pt>
                <c:pt idx="45">
                  <c:v>1.3440000000000001</c:v>
                </c:pt>
                <c:pt idx="46">
                  <c:v>1.4670557226147374</c:v>
                </c:pt>
                <c:pt idx="47">
                  <c:v>1.5045115006517404</c:v>
                </c:pt>
                <c:pt idx="48">
                  <c:v>1.4637989384802608</c:v>
                </c:pt>
                <c:pt idx="49">
                  <c:v>1.4135064034199916</c:v>
                </c:pt>
                <c:pt idx="50">
                  <c:v>1.2846026332087641</c:v>
                </c:pt>
                <c:pt idx="51">
                  <c:v>1.2300652337195592</c:v>
                </c:pt>
                <c:pt idx="52">
                  <c:v>1.2869629931459148</c:v>
                </c:pt>
                <c:pt idx="53">
                  <c:v>1.3827238789738996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2-4335-9F52-ECCAAA0A9CE0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France!$A$44:$A$97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France!$AX$44:$AX$97</c:f>
              <c:numCache>
                <c:formatCode>0.0000</c:formatCode>
                <c:ptCount val="54"/>
                <c:pt idx="0">
                  <c:v>1.1459061172067095</c:v>
                </c:pt>
                <c:pt idx="1">
                  <c:v>1.1307493625978091</c:v>
                </c:pt>
                <c:pt idx="2">
                  <c:v>1.095945179567148</c:v>
                </c:pt>
                <c:pt idx="3">
                  <c:v>1.1135422999890874</c:v>
                </c:pt>
                <c:pt idx="4">
                  <c:v>1.1205610126878767</c:v>
                </c:pt>
                <c:pt idx="5">
                  <c:v>1.0582344623221198</c:v>
                </c:pt>
                <c:pt idx="6">
                  <c:v>1.1298256770229884</c:v>
                </c:pt>
                <c:pt idx="7">
                  <c:v>0.99669917603046299</c:v>
                </c:pt>
                <c:pt idx="8">
                  <c:v>0.9473137948114061</c:v>
                </c:pt>
                <c:pt idx="9">
                  <c:v>1.2677765005221053</c:v>
                </c:pt>
                <c:pt idx="10">
                  <c:v>1.0756118558848908</c:v>
                </c:pt>
                <c:pt idx="11">
                  <c:v>1.1925886501271667</c:v>
                </c:pt>
                <c:pt idx="12">
                  <c:v>1.2171473829311317</c:v>
                </c:pt>
                <c:pt idx="13">
                  <c:v>1.3816458815916322</c:v>
                </c:pt>
                <c:pt idx="14">
                  <c:v>1.3424494369505822</c:v>
                </c:pt>
                <c:pt idx="15">
                  <c:v>1.269776474617069</c:v>
                </c:pt>
                <c:pt idx="16">
                  <c:v>1.2567896140558745</c:v>
                </c:pt>
                <c:pt idx="17">
                  <c:v>1.2840668041087686</c:v>
                </c:pt>
                <c:pt idx="18">
                  <c:v>1.2195501942228479</c:v>
                </c:pt>
                <c:pt idx="19">
                  <c:v>1.3306627460982308</c:v>
                </c:pt>
                <c:pt idx="20">
                  <c:v>1.4937059766639216</c:v>
                </c:pt>
                <c:pt idx="21">
                  <c:v>1.1719495458538902</c:v>
                </c:pt>
                <c:pt idx="22">
                  <c:v>1.2084341389876605</c:v>
                </c:pt>
                <c:pt idx="23">
                  <c:v>1.0686599918007667</c:v>
                </c:pt>
                <c:pt idx="24">
                  <c:v>1.1946889936811231</c:v>
                </c:pt>
                <c:pt idx="25">
                  <c:v>1.0724776104357163</c:v>
                </c:pt>
                <c:pt idx="26">
                  <c:v>1.0108965787463742</c:v>
                </c:pt>
                <c:pt idx="27">
                  <c:v>0.97934050793274252</c:v>
                </c:pt>
                <c:pt idx="28">
                  <c:v>0.99276684866585907</c:v>
                </c:pt>
                <c:pt idx="29">
                  <c:v>0.99212272900222209</c:v>
                </c:pt>
                <c:pt idx="30">
                  <c:v>1.0101996367755106</c:v>
                </c:pt>
                <c:pt idx="31">
                  <c:v>1.0576641546065921</c:v>
                </c:pt>
                <c:pt idx="32">
                  <c:v>1.0718153697559445</c:v>
                </c:pt>
                <c:pt idx="33">
                  <c:v>1.0346659216051304</c:v>
                </c:pt>
                <c:pt idx="34">
                  <c:v>1.088408510282761</c:v>
                </c:pt>
                <c:pt idx="35">
                  <c:v>1.2915563557923437</c:v>
                </c:pt>
                <c:pt idx="36">
                  <c:v>1.2077683447666994</c:v>
                </c:pt>
                <c:pt idx="37">
                  <c:v>1.1372387595480113</c:v>
                </c:pt>
                <c:pt idx="38">
                  <c:v>1.1318515010336245</c:v>
                </c:pt>
                <c:pt idx="39">
                  <c:v>1.1504385929774228</c:v>
                </c:pt>
                <c:pt idx="40">
                  <c:v>1.2576918175325942</c:v>
                </c:pt>
                <c:pt idx="41">
                  <c:v>1.3016648988555328</c:v>
                </c:pt>
                <c:pt idx="42">
                  <c:v>1.3155006770011903</c:v>
                </c:pt>
                <c:pt idx="43">
                  <c:v>1.3842037838758703</c:v>
                </c:pt>
                <c:pt idx="44">
                  <c:v>1.2377731256450395</c:v>
                </c:pt>
                <c:pt idx="45">
                  <c:v>1.3728370073506242</c:v>
                </c:pt>
                <c:pt idx="46">
                  <c:v>1.4809169998222824</c:v>
                </c:pt>
                <c:pt idx="47">
                  <c:v>1.5051640585106858</c:v>
                </c:pt>
                <c:pt idx="48">
                  <c:v>1.4689513417370905</c:v>
                </c:pt>
                <c:pt idx="49">
                  <c:v>1.4223386526895345</c:v>
                </c:pt>
                <c:pt idx="50">
                  <c:v>1.2641405873687681</c:v>
                </c:pt>
                <c:pt idx="51">
                  <c:v>1.2259965017670429</c:v>
                </c:pt>
                <c:pt idx="52">
                  <c:v>1.2908439023071636</c:v>
                </c:pt>
                <c:pt idx="53">
                  <c:v>1.3550616814103047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2-4335-9F52-ECCAAA0A9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08544"/>
        <c:axId val="151388160"/>
      </c:lineChart>
      <c:catAx>
        <c:axId val="1513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388160"/>
        <c:crosses val="autoZero"/>
        <c:auto val="1"/>
        <c:lblAlgn val="ctr"/>
        <c:lblOffset val="100"/>
        <c:noMultiLvlLbl val="0"/>
      </c:catAx>
      <c:valAx>
        <c:axId val="15138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1969468102201513E-2"/>
              <c:y val="0.322645037263318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130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007139931709023"/>
          <c:y val="0.48536896136967594"/>
          <c:w val="0.18004225909265931"/>
          <c:h val="0.151052046276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8956532872415"/>
          <c:y val="3.4479874798258911E-2"/>
          <c:w val="0.80135794763459445"/>
          <c:h val="0.86264244143395119"/>
        </c:manualLayout>
      </c:layout>
      <c:lineChart>
        <c:grouping val="standard"/>
        <c:varyColors val="0"/>
        <c:ser>
          <c:idx val="0"/>
          <c:order val="0"/>
          <c:tx>
            <c:v> energy content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France!$A$44:$A$96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France!$AZ$44:$AZ$96</c:f>
              <c:numCache>
                <c:formatCode>0.0000</c:formatCode>
                <c:ptCount val="53"/>
                <c:pt idx="0">
                  <c:v>0.27271109765374846</c:v>
                </c:pt>
                <c:pt idx="1">
                  <c:v>0.26850618795908077</c:v>
                </c:pt>
                <c:pt idx="2">
                  <c:v>0.28209716691424136</c:v>
                </c:pt>
                <c:pt idx="3">
                  <c:v>0.27590737099572338</c:v>
                </c:pt>
                <c:pt idx="4">
                  <c:v>0.2658420054872449</c:v>
                </c:pt>
                <c:pt idx="5">
                  <c:v>0.27143250900201621</c:v>
                </c:pt>
                <c:pt idx="6">
                  <c:v>0.31265533180690941</c:v>
                </c:pt>
                <c:pt idx="7">
                  <c:v>0.27555712016636835</c:v>
                </c:pt>
                <c:pt idx="8">
                  <c:v>0.31128103196170565</c:v>
                </c:pt>
                <c:pt idx="9">
                  <c:v>0.5148225695208527</c:v>
                </c:pt>
                <c:pt idx="10">
                  <c:v>0.45980358703057056</c:v>
                </c:pt>
                <c:pt idx="11">
                  <c:v>0.46444927464629426</c:v>
                </c:pt>
                <c:pt idx="12">
                  <c:v>0.48263518071791889</c:v>
                </c:pt>
                <c:pt idx="13">
                  <c:v>0.42589283718011506</c:v>
                </c:pt>
                <c:pt idx="14">
                  <c:v>0.50741693441161839</c:v>
                </c:pt>
                <c:pt idx="15">
                  <c:v>0.54081128137196099</c:v>
                </c:pt>
                <c:pt idx="16">
                  <c:v>0.61908912544448758</c:v>
                </c:pt>
                <c:pt idx="17">
                  <c:v>0.66125259585149399</c:v>
                </c:pt>
                <c:pt idx="18">
                  <c:v>0.55219177263293051</c:v>
                </c:pt>
                <c:pt idx="19">
                  <c:v>0.51927274062804252</c:v>
                </c:pt>
                <c:pt idx="20">
                  <c:v>0.56759658703100613</c:v>
                </c:pt>
                <c:pt idx="21">
                  <c:v>0.28645858225420817</c:v>
                </c:pt>
                <c:pt idx="22">
                  <c:v>0.29488297341911762</c:v>
                </c:pt>
                <c:pt idx="23">
                  <c:v>0.25957545780449898</c:v>
                </c:pt>
                <c:pt idx="24">
                  <c:v>0.32810015265161274</c:v>
                </c:pt>
                <c:pt idx="25">
                  <c:v>0.28120412223479629</c:v>
                </c:pt>
                <c:pt idx="26">
                  <c:v>0.30219763462619686</c:v>
                </c:pt>
                <c:pt idx="27">
                  <c:v>0.26084070992190544</c:v>
                </c:pt>
                <c:pt idx="28">
                  <c:v>0.21750303038707886</c:v>
                </c:pt>
                <c:pt idx="29">
                  <c:v>0.18182229561588925</c:v>
                </c:pt>
                <c:pt idx="30">
                  <c:v>0.14501361150918313</c:v>
                </c:pt>
                <c:pt idx="31">
                  <c:v>0.17485143577272733</c:v>
                </c:pt>
                <c:pt idx="32">
                  <c:v>0.19723167313646328</c:v>
                </c:pt>
                <c:pt idx="33">
                  <c:v>0.1445473791782792</c:v>
                </c:pt>
                <c:pt idx="34">
                  <c:v>0.18388136490838491</c:v>
                </c:pt>
                <c:pt idx="35">
                  <c:v>0.37301692216367088</c:v>
                </c:pt>
                <c:pt idx="36">
                  <c:v>0.32065944293251714</c:v>
                </c:pt>
                <c:pt idx="37">
                  <c:v>0.29662019953315732</c:v>
                </c:pt>
                <c:pt idx="38">
                  <c:v>0.28487796290870526</c:v>
                </c:pt>
                <c:pt idx="39">
                  <c:v>0.32701151229891701</c:v>
                </c:pt>
                <c:pt idx="40">
                  <c:v>0.41158207507931865</c:v>
                </c:pt>
                <c:pt idx="41">
                  <c:v>0.47214590585882021</c:v>
                </c:pt>
                <c:pt idx="42">
                  <c:v>0.48308922330696447</c:v>
                </c:pt>
                <c:pt idx="43">
                  <c:v>0.53632438279620021</c:v>
                </c:pt>
                <c:pt idx="44">
                  <c:v>0.4093647879359199</c:v>
                </c:pt>
                <c:pt idx="45">
                  <c:v>0.51774581939799347</c:v>
                </c:pt>
                <c:pt idx="46">
                  <c:v>0.62830477722238942</c:v>
                </c:pt>
                <c:pt idx="47">
                  <c:v>0.6768622286634991</c:v>
                </c:pt>
                <c:pt idx="48">
                  <c:v>0.64017893594218034</c:v>
                </c:pt>
                <c:pt idx="49">
                  <c:v>0.59713739885295369</c:v>
                </c:pt>
                <c:pt idx="50">
                  <c:v>0.47288952547489749</c:v>
                </c:pt>
                <c:pt idx="51">
                  <c:v>0.4124642585374626</c:v>
                </c:pt>
                <c:pt idx="52">
                  <c:v>0.45489580248691452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A-4272-81B8-C70EC6C9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97888"/>
        <c:axId val="151399424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France!$A$44:$A$96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France!$BB$44:$BB$96</c:f>
              <c:numCache>
                <c:formatCode>0.00</c:formatCode>
                <c:ptCount val="53"/>
                <c:pt idx="0">
                  <c:v>19.818252000514896</c:v>
                </c:pt>
                <c:pt idx="1">
                  <c:v>19.512680699622489</c:v>
                </c:pt>
                <c:pt idx="2">
                  <c:v>18.817890032261772</c:v>
                </c:pt>
                <c:pt idx="3">
                  <c:v>18.143113979829121</c:v>
                </c:pt>
                <c:pt idx="4">
                  <c:v>19.217925040904536</c:v>
                </c:pt>
                <c:pt idx="5">
                  <c:v>18.403891142772622</c:v>
                </c:pt>
                <c:pt idx="6">
                  <c:v>18.51725054229836</c:v>
                </c:pt>
                <c:pt idx="7">
                  <c:v>15.889123819264459</c:v>
                </c:pt>
                <c:pt idx="8">
                  <c:v>14.215258926900917</c:v>
                </c:pt>
                <c:pt idx="9">
                  <c:v>42.861746396592523</c:v>
                </c:pt>
                <c:pt idx="10">
                  <c:v>35.253883917310951</c:v>
                </c:pt>
                <c:pt idx="11">
                  <c:v>37.69533603695475</c:v>
                </c:pt>
                <c:pt idx="12">
                  <c:v>38.159974514925203</c:v>
                </c:pt>
                <c:pt idx="13">
                  <c:v>32.037179691267134</c:v>
                </c:pt>
                <c:pt idx="14">
                  <c:v>40.789843349743307</c:v>
                </c:pt>
                <c:pt idx="15">
                  <c:v>56.251339862724826</c:v>
                </c:pt>
                <c:pt idx="16">
                  <c:v>68.795408797430468</c:v>
                </c:pt>
                <c:pt idx="17">
                  <c:v>67.745253291204634</c:v>
                </c:pt>
                <c:pt idx="18">
                  <c:v>62.583608302637742</c:v>
                </c:pt>
                <c:pt idx="19">
                  <c:v>65.658227051736105</c:v>
                </c:pt>
                <c:pt idx="20">
                  <c:v>59.649990574629754</c:v>
                </c:pt>
                <c:pt idx="21">
                  <c:v>25.304502221244846</c:v>
                </c:pt>
                <c:pt idx="22">
                  <c:v>27.123465538527824</c:v>
                </c:pt>
                <c:pt idx="23">
                  <c:v>21.770591265919577</c:v>
                </c:pt>
                <c:pt idx="24">
                  <c:v>27.70644102495795</c:v>
                </c:pt>
                <c:pt idx="25">
                  <c:v>28.609944828330075</c:v>
                </c:pt>
                <c:pt idx="26">
                  <c:v>25.21912181925876</c:v>
                </c:pt>
                <c:pt idx="27">
                  <c:v>22.076415998394012</c:v>
                </c:pt>
                <c:pt idx="28">
                  <c:v>20.719589236344106</c:v>
                </c:pt>
                <c:pt idx="29">
                  <c:v>18.646441677911945</c:v>
                </c:pt>
                <c:pt idx="30">
                  <c:v>17.646964805264378</c:v>
                </c:pt>
                <c:pt idx="31">
                  <c:v>21.280976886998047</c:v>
                </c:pt>
                <c:pt idx="32">
                  <c:v>22.357930680758933</c:v>
                </c:pt>
                <c:pt idx="33">
                  <c:v>15.711202080250436</c:v>
                </c:pt>
                <c:pt idx="34">
                  <c:v>19.769288684066087</c:v>
                </c:pt>
                <c:pt idx="35">
                  <c:v>35.49547846440916</c:v>
                </c:pt>
                <c:pt idx="36">
                  <c:v>30.122454365076951</c:v>
                </c:pt>
                <c:pt idx="37">
                  <c:v>29.609531225223602</c:v>
                </c:pt>
                <c:pt idx="38">
                  <c:v>27.893129416671286</c:v>
                </c:pt>
                <c:pt idx="39">
                  <c:v>31.846704169536149</c:v>
                </c:pt>
                <c:pt idx="40">
                  <c:v>43.904409304583723</c:v>
                </c:pt>
                <c:pt idx="41">
                  <c:v>51.626930099148581</c:v>
                </c:pt>
                <c:pt idx="42">
                  <c:v>52.732905361103754</c:v>
                </c:pt>
                <c:pt idx="43">
                  <c:v>65.522608637336958</c:v>
                </c:pt>
                <c:pt idx="44">
                  <c:v>44.626017521559483</c:v>
                </c:pt>
                <c:pt idx="45">
                  <c:v>58.759091609069415</c:v>
                </c:pt>
                <c:pt idx="46">
                  <c:v>75.280101299253715</c:v>
                </c:pt>
                <c:pt idx="47">
                  <c:v>81.389925790462428</c:v>
                </c:pt>
                <c:pt idx="48">
                  <c:v>75.827202517852896</c:v>
                </c:pt>
                <c:pt idx="49">
                  <c:v>69.023761208408303</c:v>
                </c:pt>
                <c:pt idx="50">
                  <c:v>42.484882840615995</c:v>
                </c:pt>
                <c:pt idx="51">
                  <c:v>34.874213681781562</c:v>
                </c:pt>
                <c:pt idx="52">
                  <c:v>43.582310979013442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A-4272-81B8-C70EC6C9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461544"/>
        <c:axId val="1316495656"/>
      </c:lineChart>
      <c:catAx>
        <c:axId val="1513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399424"/>
        <c:crosses val="autoZero"/>
        <c:auto val="1"/>
        <c:lblAlgn val="ctr"/>
        <c:lblOffset val="100"/>
        <c:noMultiLvlLbl val="0"/>
      </c:catAx>
      <c:valAx>
        <c:axId val="15139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7875936239677356E-2"/>
              <c:y val="0.327136499241942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1397888"/>
        <c:crosses val="autoZero"/>
        <c:crossBetween val="between"/>
      </c:valAx>
      <c:valAx>
        <c:axId val="1316495656"/>
        <c:scaling>
          <c:orientation val="minMax"/>
          <c:max val="100"/>
          <c:min val="-3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16461544"/>
        <c:crosses val="max"/>
        <c:crossBetween val="between"/>
      </c:valAx>
      <c:catAx>
        <c:axId val="1316461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495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2214390884066322"/>
          <c:y val="4.0115175820413754E-2"/>
          <c:w val="0.18761218872031241"/>
          <c:h val="0.205483934073458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82262997453547"/>
          <c:y val="5.0925925925925923E-2"/>
          <c:w val="0.84262180982241741"/>
          <c:h val="0.77162802566345878"/>
        </c:manualLayout>
      </c:layout>
      <c:lineChart>
        <c:grouping val="standard"/>
        <c:varyColors val="0"/>
        <c:ser>
          <c:idx val="0"/>
          <c:order val="0"/>
          <c:tx>
            <c:strRef>
              <c:f>France!$Y$121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France!$A$122:$A$142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France!$Y$122:$Y$142</c:f>
              <c:numCache>
                <c:formatCode>0</c:formatCode>
                <c:ptCount val="21"/>
                <c:pt idx="0">
                  <c:v>146.20417212294049</c:v>
                </c:pt>
                <c:pt idx="1">
                  <c:v>159.59052632671867</c:v>
                </c:pt>
                <c:pt idx="2">
                  <c:v>163.66507321594534</c:v>
                </c:pt>
                <c:pt idx="3">
                  <c:v>159.23624401409646</c:v>
                </c:pt>
                <c:pt idx="4">
                  <c:v>153.76527790364213</c:v>
                </c:pt>
                <c:pt idx="5">
                  <c:v>139.74275632086068</c:v>
                </c:pt>
                <c:pt idx="6">
                  <c:v>133.81002169135377</c:v>
                </c:pt>
                <c:pt idx="7">
                  <c:v>139.99952304000001</c:v>
                </c:pt>
                <c:pt idx="8">
                  <c:v>150.41666666666663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0-448A-8028-7ED515C29110}"/>
            </c:ext>
          </c:extLst>
        </c:ser>
        <c:ser>
          <c:idx val="1"/>
          <c:order val="1"/>
          <c:tx>
            <c:strRef>
              <c:f>France!$Z$121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France!$A$122:$A$142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France!$Z$122:$Z$142</c:f>
              <c:numCache>
                <c:formatCode>0</c:formatCode>
                <c:ptCount val="21"/>
                <c:pt idx="0">
                  <c:v>149.95599100708972</c:v>
                </c:pt>
                <c:pt idx="1">
                  <c:v>161.39393820484375</c:v>
                </c:pt>
                <c:pt idx="2">
                  <c:v>163.7499738045683</c:v>
                </c:pt>
                <c:pt idx="3">
                  <c:v>159.90659387400683</c:v>
                </c:pt>
                <c:pt idx="4">
                  <c:v>154.91823477188942</c:v>
                </c:pt>
                <c:pt idx="5">
                  <c:v>137.07165232802291</c:v>
                </c:pt>
                <c:pt idx="6">
                  <c:v>133.2788917032218</c:v>
                </c:pt>
                <c:pt idx="7">
                  <c:v>140.50613474625422</c:v>
                </c:pt>
                <c:pt idx="8">
                  <c:v>147.40749353133432</c:v>
                </c:pt>
                <c:pt idx="9">
                  <c:v>168.76891370791463</c:v>
                </c:pt>
                <c:pt idx="10">
                  <c:v>178.90345640576635</c:v>
                </c:pt>
                <c:pt idx="11">
                  <c:v>189.63414867407988</c:v>
                </c:pt>
                <c:pt idx="12">
                  <c:v>194.40334523777483</c:v>
                </c:pt>
                <c:pt idx="13">
                  <c:v>197.98024266054603</c:v>
                </c:pt>
                <c:pt idx="14">
                  <c:v>200.96099051285537</c:v>
                </c:pt>
                <c:pt idx="15">
                  <c:v>203.94173836516464</c:v>
                </c:pt>
                <c:pt idx="16">
                  <c:v>206.92248621747399</c:v>
                </c:pt>
                <c:pt idx="17">
                  <c:v>209.90323406978328</c:v>
                </c:pt>
                <c:pt idx="18">
                  <c:v>212.28783235163075</c:v>
                </c:pt>
                <c:pt idx="19">
                  <c:v>215.26858020394008</c:v>
                </c:pt>
                <c:pt idx="20">
                  <c:v>217.05702891532562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0-448A-8028-7ED515C29110}"/>
            </c:ext>
          </c:extLst>
        </c:ser>
        <c:ser>
          <c:idx val="3"/>
          <c:order val="2"/>
          <c:tx>
            <c:strRef>
              <c:f>France!$AB$121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France!$A$122:$A$142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France!$AB$122:$AB$142</c:f>
              <c:numCache>
                <c:formatCode>0</c:formatCode>
                <c:ptCount val="21"/>
                <c:pt idx="0">
                  <c:v>149.95599100708972</c:v>
                </c:pt>
                <c:pt idx="1">
                  <c:v>161.39393820484375</c:v>
                </c:pt>
                <c:pt idx="2">
                  <c:v>163.7499738045683</c:v>
                </c:pt>
                <c:pt idx="3">
                  <c:v>159.90659387400683</c:v>
                </c:pt>
                <c:pt idx="4">
                  <c:v>154.91823477188942</c:v>
                </c:pt>
                <c:pt idx="5">
                  <c:v>137.07165232802291</c:v>
                </c:pt>
                <c:pt idx="6">
                  <c:v>133.2788917032218</c:v>
                </c:pt>
                <c:pt idx="7">
                  <c:v>140.50613474625422</c:v>
                </c:pt>
                <c:pt idx="8">
                  <c:v>147.40749353133432</c:v>
                </c:pt>
                <c:pt idx="9">
                  <c:v>124.05769592327482</c:v>
                </c:pt>
                <c:pt idx="10">
                  <c:v>124.6538454937367</c:v>
                </c:pt>
                <c:pt idx="11">
                  <c:v>125.84614463466043</c:v>
                </c:pt>
                <c:pt idx="12">
                  <c:v>126.44229420512229</c:v>
                </c:pt>
                <c:pt idx="13">
                  <c:v>126.44229420512229</c:v>
                </c:pt>
                <c:pt idx="14">
                  <c:v>126.44229420512229</c:v>
                </c:pt>
                <c:pt idx="15">
                  <c:v>127.03844377558417</c:v>
                </c:pt>
                <c:pt idx="16">
                  <c:v>127.63459334604606</c:v>
                </c:pt>
                <c:pt idx="17">
                  <c:v>128.23074291650789</c:v>
                </c:pt>
                <c:pt idx="18">
                  <c:v>128.23074291650789</c:v>
                </c:pt>
                <c:pt idx="19">
                  <c:v>128.23074291650789</c:v>
                </c:pt>
                <c:pt idx="20">
                  <c:v>128.82689248696977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0-448A-8028-7ED515C29110}"/>
            </c:ext>
          </c:extLst>
        </c:ser>
        <c:ser>
          <c:idx val="2"/>
          <c:order val="3"/>
          <c:tx>
            <c:strRef>
              <c:f>France!$AA$121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France!$A$122:$A$142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France!$AA$122:$AA$142</c:f>
              <c:numCache>
                <c:formatCode>0</c:formatCode>
                <c:ptCount val="21"/>
                <c:pt idx="0">
                  <c:v>149.95599100708972</c:v>
                </c:pt>
                <c:pt idx="1">
                  <c:v>161.39393820484375</c:v>
                </c:pt>
                <c:pt idx="2">
                  <c:v>163.7499738045683</c:v>
                </c:pt>
                <c:pt idx="3">
                  <c:v>159.90659387400683</c:v>
                </c:pt>
                <c:pt idx="4">
                  <c:v>154.91823477188942</c:v>
                </c:pt>
                <c:pt idx="5">
                  <c:v>137.07165232802291</c:v>
                </c:pt>
                <c:pt idx="6">
                  <c:v>133.2788917032218</c:v>
                </c:pt>
                <c:pt idx="7">
                  <c:v>140.50613474625422</c:v>
                </c:pt>
                <c:pt idx="8">
                  <c:v>147.40749353133432</c:v>
                </c:pt>
                <c:pt idx="9">
                  <c:v>144.87235755512796</c:v>
                </c:pt>
                <c:pt idx="10">
                  <c:v>145.03251828840661</c:v>
                </c:pt>
                <c:pt idx="11">
                  <c:v>149.75122056361297</c:v>
                </c:pt>
                <c:pt idx="12">
                  <c:v>153.26461886668233</c:v>
                </c:pt>
                <c:pt idx="13">
                  <c:v>154.88136626532645</c:v>
                </c:pt>
                <c:pt idx="14">
                  <c:v>155.30881405379304</c:v>
                </c:pt>
                <c:pt idx="15">
                  <c:v>157.54540162537418</c:v>
                </c:pt>
                <c:pt idx="16">
                  <c:v>161.47646487975874</c:v>
                </c:pt>
                <c:pt idx="17">
                  <c:v>163.50243541356235</c:v>
                </c:pt>
                <c:pt idx="18">
                  <c:v>164.78492530922779</c:v>
                </c:pt>
                <c:pt idx="19">
                  <c:v>166.52325479991305</c:v>
                </c:pt>
                <c:pt idx="20">
                  <c:v>167.85243202652038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0-448A-8028-7ED515C29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1552416"/>
        <c:axId val="1211553072"/>
      </c:lineChart>
      <c:catAx>
        <c:axId val="12115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553072"/>
        <c:crosses val="autoZero"/>
        <c:auto val="1"/>
        <c:lblAlgn val="ctr"/>
        <c:lblOffset val="100"/>
        <c:noMultiLvlLbl val="0"/>
      </c:catAx>
      <c:valAx>
        <c:axId val="121155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 cents per litre</a:t>
                </a:r>
              </a:p>
            </c:rich>
          </c:tx>
          <c:layout>
            <c:manualLayout>
              <c:xMode val="edge"/>
              <c:yMode val="edge"/>
              <c:x val="1.3318897295271493E-2"/>
              <c:y val="0.192715266012349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55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26337225088242"/>
          <c:y val="0.43244762648349144"/>
          <c:w val="0.22690769903762029"/>
          <c:h val="0.3159405583808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972406441894"/>
          <c:y val="3.0443254929664279E-2"/>
          <c:w val="0.82384512828603262"/>
          <c:h val="0.8520615561090647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France!$A$44:$A$97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France!$BJ$44:$BJ$97</c:f>
              <c:numCache>
                <c:formatCode>0.0000</c:formatCode>
                <c:ptCount val="54"/>
                <c:pt idx="0">
                  <c:v>1.2412675664102857</c:v>
                </c:pt>
                <c:pt idx="1">
                  <c:v>1.2221285652160547</c:v>
                </c:pt>
                <c:pt idx="2">
                  <c:v>1.2034250334653245</c:v>
                </c:pt>
                <c:pt idx="3">
                  <c:v>1.2200810818043077</c:v>
                </c:pt>
                <c:pt idx="4">
                  <c:v>1.2100023139496425</c:v>
                </c:pt>
                <c:pt idx="5">
                  <c:v>1.1534064960557451</c:v>
                </c:pt>
                <c:pt idx="6">
                  <c:v>1.2278535420602443</c:v>
                </c:pt>
                <c:pt idx="7">
                  <c:v>1.0592188453460354</c:v>
                </c:pt>
                <c:pt idx="8">
                  <c:v>1.054892300278514</c:v>
                </c:pt>
                <c:pt idx="9">
                  <c:v>1.3896743096235311</c:v>
                </c:pt>
                <c:pt idx="10">
                  <c:v>1.1686624315226379</c:v>
                </c:pt>
                <c:pt idx="11">
                  <c:v>1.2856011013563566</c:v>
                </c:pt>
                <c:pt idx="12">
                  <c:v>1.3291756523935561</c:v>
                </c:pt>
                <c:pt idx="13">
                  <c:v>1.4849308816250999</c:v>
                </c:pt>
                <c:pt idx="14">
                  <c:v>1.4758895311467699</c:v>
                </c:pt>
                <c:pt idx="15">
                  <c:v>1.3908038118409849</c:v>
                </c:pt>
                <c:pt idx="16">
                  <c:v>1.3828806873949864</c:v>
                </c:pt>
                <c:pt idx="17">
                  <c:v>1.4650295852216844</c:v>
                </c:pt>
                <c:pt idx="18">
                  <c:v>1.3086928910366837</c:v>
                </c:pt>
                <c:pt idx="19">
                  <c:v>1.374403334447293</c:v>
                </c:pt>
                <c:pt idx="20">
                  <c:v>1.6421484989764357</c:v>
                </c:pt>
                <c:pt idx="21">
                  <c:v>1.2719096169213966</c:v>
                </c:pt>
                <c:pt idx="22">
                  <c:v>1.3093148992314498</c:v>
                </c:pt>
                <c:pt idx="23">
                  <c:v>1.1525453994090145</c:v>
                </c:pt>
                <c:pt idx="24">
                  <c:v>1.3268280666887788</c:v>
                </c:pt>
                <c:pt idx="25">
                  <c:v>1.13718179901577</c:v>
                </c:pt>
                <c:pt idx="26">
                  <c:v>1.1143703336368538</c:v>
                </c:pt>
                <c:pt idx="27">
                  <c:v>1.0548327151401866</c:v>
                </c:pt>
                <c:pt idx="28">
                  <c:v>1.0648439556798548</c:v>
                </c:pt>
                <c:pt idx="29">
                  <c:v>1.0723866937770306</c:v>
                </c:pt>
                <c:pt idx="30">
                  <c:v>1.0874517320245247</c:v>
                </c:pt>
                <c:pt idx="31">
                  <c:v>1.148672076413221</c:v>
                </c:pt>
                <c:pt idx="32">
                  <c:v>1.1816340201984372</c:v>
                </c:pt>
                <c:pt idx="33">
                  <c:v>1.1257427746847961</c:v>
                </c:pt>
                <c:pt idx="34">
                  <c:v>1.1723021858227221</c:v>
                </c:pt>
                <c:pt idx="35">
                  <c:v>1.4049508471692724</c:v>
                </c:pt>
                <c:pt idx="36">
                  <c:v>1.3139273715869957</c:v>
                </c:pt>
                <c:pt idx="37">
                  <c:v>1.2618371934950179</c:v>
                </c:pt>
                <c:pt idx="38">
                  <c:v>1.2394299449132391</c:v>
                </c:pt>
                <c:pt idx="39">
                  <c:v>1.2660252103215766</c:v>
                </c:pt>
                <c:pt idx="40">
                  <c:v>1.3617152288340046</c:v>
                </c:pt>
                <c:pt idx="41">
                  <c:v>1.4268302975265996</c:v>
                </c:pt>
                <c:pt idx="42">
                  <c:v>1.4468250383817158</c:v>
                </c:pt>
                <c:pt idx="43">
                  <c:v>1.4989785045178237</c:v>
                </c:pt>
                <c:pt idx="44">
                  <c:v>1.333093495300206</c:v>
                </c:pt>
                <c:pt idx="45">
                  <c:v>1.462041721229405</c:v>
                </c:pt>
                <c:pt idx="46">
                  <c:v>1.5959052632671868</c:v>
                </c:pt>
                <c:pt idx="47">
                  <c:v>1.6366507321594534</c:v>
                </c:pt>
                <c:pt idx="48">
                  <c:v>1.5923624401409646</c:v>
                </c:pt>
                <c:pt idx="49">
                  <c:v>1.5376527790364214</c:v>
                </c:pt>
                <c:pt idx="50">
                  <c:v>1.3974275632086068</c:v>
                </c:pt>
                <c:pt idx="51">
                  <c:v>1.3381002169135376</c:v>
                </c:pt>
                <c:pt idx="52">
                  <c:v>1.3999952304000001</c:v>
                </c:pt>
                <c:pt idx="53">
                  <c:v>1.5041666666666662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7-4BE5-8290-7BD8A4AF1B9F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France!$A$44:$A$97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France!$BK$44:$BK$97</c:f>
              <c:numCache>
                <c:formatCode>0.0000</c:formatCode>
                <c:ptCount val="54"/>
                <c:pt idx="0">
                  <c:v>1.2465495178334836</c:v>
                </c:pt>
                <c:pt idx="1">
                  <c:v>1.2300615657526439</c:v>
                </c:pt>
                <c:pt idx="2">
                  <c:v>1.1922005779073082</c:v>
                </c:pt>
                <c:pt idx="3">
                  <c:v>1.2113432298644313</c:v>
                </c:pt>
                <c:pt idx="4">
                  <c:v>1.2189783867059139</c:v>
                </c:pt>
                <c:pt idx="5">
                  <c:v>1.1511777788375788</c:v>
                </c:pt>
                <c:pt idx="6">
                  <c:v>1.2290567541100206</c:v>
                </c:pt>
                <c:pt idx="7">
                  <c:v>1.084237930707967</c:v>
                </c:pt>
                <c:pt idx="8">
                  <c:v>1.0305150975524016</c:v>
                </c:pt>
                <c:pt idx="9">
                  <c:v>1.3791236138076863</c:v>
                </c:pt>
                <c:pt idx="10">
                  <c:v>1.1700814056195687</c:v>
                </c:pt>
                <c:pt idx="11">
                  <c:v>1.2973321151417971</c:v>
                </c:pt>
                <c:pt idx="12">
                  <c:v>1.3240478085792393</c:v>
                </c:pt>
                <c:pt idx="13">
                  <c:v>1.5029939902170748</c:v>
                </c:pt>
                <c:pt idx="14">
                  <c:v>1.4603549743025854</c:v>
                </c:pt>
                <c:pt idx="15">
                  <c:v>1.3812992429507034</c:v>
                </c:pt>
                <c:pt idx="16">
                  <c:v>1.3671717638076564</c:v>
                </c:pt>
                <c:pt idx="17">
                  <c:v>1.3968446729558968</c:v>
                </c:pt>
                <c:pt idx="18">
                  <c:v>1.3266616555708541</c:v>
                </c:pt>
                <c:pt idx="19">
                  <c:v>1.4475330741676367</c:v>
                </c:pt>
                <c:pt idx="20">
                  <c:v>1.6248961734615843</c:v>
                </c:pt>
                <c:pt idx="21">
                  <c:v>1.274880305962977</c:v>
                </c:pt>
                <c:pt idx="22">
                  <c:v>1.3145692920817658</c:v>
                </c:pt>
                <c:pt idx="23">
                  <c:v>1.1625189686171091</c:v>
                </c:pt>
                <c:pt idx="24">
                  <c:v>1.2996169290590587</c:v>
                </c:pt>
                <c:pt idx="25">
                  <c:v>1.1666718835873764</c:v>
                </c:pt>
                <c:pt idx="26">
                  <c:v>1.0996822723030251</c:v>
                </c:pt>
                <c:pt idx="27">
                  <c:v>1.0653546740235615</c:v>
                </c:pt>
                <c:pt idx="28">
                  <c:v>1.0799602322938429</c:v>
                </c:pt>
                <c:pt idx="29">
                  <c:v>1.0792595404622198</c:v>
                </c:pt>
                <c:pt idx="30">
                  <c:v>1.0989241188516274</c:v>
                </c:pt>
                <c:pt idx="31">
                  <c:v>1.1505573817586796</c:v>
                </c:pt>
                <c:pt idx="32">
                  <c:v>1.1659514791950238</c:v>
                </c:pt>
                <c:pt idx="33">
                  <c:v>1.1255392447328672</c:v>
                </c:pt>
                <c:pt idx="34">
                  <c:v>1.184001973046533</c:v>
                </c:pt>
                <c:pt idx="35">
                  <c:v>1.4049920219400418</c:v>
                </c:pt>
                <c:pt idx="36">
                  <c:v>1.3138450220454572</c:v>
                </c:pt>
                <c:pt idx="37">
                  <c:v>1.2371209177517617</c:v>
                </c:pt>
                <c:pt idx="38">
                  <c:v>1.2312605035322068</c:v>
                </c:pt>
                <c:pt idx="39">
                  <c:v>1.2514800748850046</c:v>
                </c:pt>
                <c:pt idx="40">
                  <c:v>1.3681532066082533</c:v>
                </c:pt>
                <c:pt idx="41">
                  <c:v>1.4159883848114898</c:v>
                </c:pt>
                <c:pt idx="42">
                  <c:v>1.4310393408342768</c:v>
                </c:pt>
                <c:pt idx="43">
                  <c:v>1.5057765496355153</c:v>
                </c:pt>
                <c:pt idx="44">
                  <c:v>1.3464850826708141</c:v>
                </c:pt>
                <c:pt idx="45">
                  <c:v>1.4934114443410207</c:v>
                </c:pt>
                <c:pt idx="46">
                  <c:v>1.6109839579003395</c:v>
                </c:pt>
                <c:pt idx="47">
                  <c:v>1.6373606033017856</c:v>
                </c:pt>
                <c:pt idx="48">
                  <c:v>1.5979673720800147</c:v>
                </c:pt>
                <c:pt idx="49">
                  <c:v>1.5472607529384819</c:v>
                </c:pt>
                <c:pt idx="50">
                  <c:v>1.3751683632682921</c:v>
                </c:pt>
                <c:pt idx="51">
                  <c:v>1.3336741336791047</c:v>
                </c:pt>
                <c:pt idx="52">
                  <c:v>1.4042169946187852</c:v>
                </c:pt>
                <c:pt idx="53">
                  <c:v>1.4740749353133433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7-4BE5-8290-7BD8A4AF1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08544"/>
        <c:axId val="151388160"/>
      </c:lineChart>
      <c:catAx>
        <c:axId val="1513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388160"/>
        <c:crosses val="autoZero"/>
        <c:auto val="1"/>
        <c:lblAlgn val="ctr"/>
        <c:lblOffset val="100"/>
        <c:noMultiLvlLbl val="0"/>
      </c:catAx>
      <c:valAx>
        <c:axId val="15138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1.1969468102201513E-2"/>
              <c:y val="0.322645037263318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130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007139931709023"/>
          <c:y val="0.50263821327623437"/>
          <c:w val="0.18004225909265931"/>
          <c:h val="0.191347177172984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0920654149E-2"/>
          <c:y val="3.1812377321030087E-2"/>
          <c:w val="0.8496491520290802"/>
          <c:h val="0.844273176454662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Germany!$A$44:$A$97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Germany!$AZ$44:$AZ$97</c:f>
              <c:numCache>
                <c:formatCode>0.0000</c:formatCode>
                <c:ptCount val="54"/>
                <c:pt idx="0">
                  <c:v>0.39324104359263845</c:v>
                </c:pt>
                <c:pt idx="1">
                  <c:v>0.37707241180469564</c:v>
                </c:pt>
                <c:pt idx="2">
                  <c:v>0.33522128671066964</c:v>
                </c:pt>
                <c:pt idx="3">
                  <c:v>0.33044701193229309</c:v>
                </c:pt>
                <c:pt idx="4">
                  <c:v>0.29911627613680669</c:v>
                </c:pt>
                <c:pt idx="5">
                  <c:v>0.285849062503852</c:v>
                </c:pt>
                <c:pt idx="6">
                  <c:v>0.33307274802681786</c:v>
                </c:pt>
                <c:pt idx="7">
                  <c:v>0.40667670212318052</c:v>
                </c:pt>
                <c:pt idx="8">
                  <c:v>0.27605464674323898</c:v>
                </c:pt>
                <c:pt idx="9">
                  <c:v>0.42025527583245736</c:v>
                </c:pt>
                <c:pt idx="10">
                  <c:v>0.34887461487199845</c:v>
                </c:pt>
                <c:pt idx="11">
                  <c:v>0.38989447516685172</c:v>
                </c:pt>
                <c:pt idx="12">
                  <c:v>0.45458084043331337</c:v>
                </c:pt>
                <c:pt idx="13">
                  <c:v>0.38462412974893634</c:v>
                </c:pt>
                <c:pt idx="14">
                  <c:v>0.39646770906941764</c:v>
                </c:pt>
                <c:pt idx="15">
                  <c:v>0.53923731725999213</c:v>
                </c:pt>
                <c:pt idx="16">
                  <c:v>0.64496517909431161</c:v>
                </c:pt>
                <c:pt idx="17">
                  <c:v>0.59130146382013693</c:v>
                </c:pt>
                <c:pt idx="18">
                  <c:v>0.55594063925825998</c:v>
                </c:pt>
                <c:pt idx="19">
                  <c:v>0.55722464888567147</c:v>
                </c:pt>
                <c:pt idx="20">
                  <c:v>0.5591103839431758</c:v>
                </c:pt>
                <c:pt idx="21">
                  <c:v>0.30889676213650108</c:v>
                </c:pt>
                <c:pt idx="22">
                  <c:v>0.33604684134936758</c:v>
                </c:pt>
                <c:pt idx="23">
                  <c:v>0.30660643029326046</c:v>
                </c:pt>
                <c:pt idx="24">
                  <c:v>0.36837358464569658</c:v>
                </c:pt>
                <c:pt idx="25">
                  <c:v>0.20568571264104551</c:v>
                </c:pt>
                <c:pt idx="26">
                  <c:v>0.1867864178067149</c:v>
                </c:pt>
                <c:pt idx="27">
                  <c:v>0.22241992328819338</c:v>
                </c:pt>
                <c:pt idx="28">
                  <c:v>0.2027217047939458</c:v>
                </c:pt>
                <c:pt idx="29">
                  <c:v>0.18300628710423161</c:v>
                </c:pt>
                <c:pt idx="30">
                  <c:v>0.17608486570177551</c:v>
                </c:pt>
                <c:pt idx="31">
                  <c:v>0.20832770271441658</c:v>
                </c:pt>
                <c:pt idx="32">
                  <c:v>0.22609199287907067</c:v>
                </c:pt>
                <c:pt idx="33">
                  <c:v>0.16705908737581221</c:v>
                </c:pt>
                <c:pt idx="34">
                  <c:v>0.19758950978380807</c:v>
                </c:pt>
                <c:pt idx="35">
                  <c:v>0.33917398016117495</c:v>
                </c:pt>
                <c:pt idx="36">
                  <c:v>0.31103798817272288</c:v>
                </c:pt>
                <c:pt idx="37">
                  <c:v>0.29583719041451539</c:v>
                </c:pt>
                <c:pt idx="38">
                  <c:v>0.30108177980988138</c:v>
                </c:pt>
                <c:pt idx="39">
                  <c:v>0.33691052293318791</c:v>
                </c:pt>
                <c:pt idx="40">
                  <c:v>0.43136602878437325</c:v>
                </c:pt>
                <c:pt idx="41">
                  <c:v>0.4811819659939689</c:v>
                </c:pt>
                <c:pt idx="42">
                  <c:v>0.4870815330803504</c:v>
                </c:pt>
                <c:pt idx="43">
                  <c:v>0.52413467125168012</c:v>
                </c:pt>
                <c:pt idx="44">
                  <c:v>0.41057451371155496</c:v>
                </c:pt>
                <c:pt idx="45">
                  <c:v>0.51445043731778461</c:v>
                </c:pt>
                <c:pt idx="46">
                  <c:v>0.61586168332212132</c:v>
                </c:pt>
                <c:pt idx="47">
                  <c:v>0.70407244499131483</c:v>
                </c:pt>
                <c:pt idx="48">
                  <c:v>0.65375150735482446</c:v>
                </c:pt>
                <c:pt idx="49">
                  <c:v>0.60222455691028942</c:v>
                </c:pt>
                <c:pt idx="50">
                  <c:v>0.48595057564981303</c:v>
                </c:pt>
                <c:pt idx="51">
                  <c:v>0.41193706261178109</c:v>
                </c:pt>
                <c:pt idx="52">
                  <c:v>0.45753293186729038</c:v>
                </c:pt>
                <c:pt idx="53">
                  <c:v>0.49932273650993553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8-4366-ADD3-0C44A6371187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Germany!$A$44:$A$97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Germany!$BA$44:$BA$97</c:f>
              <c:numCache>
                <c:formatCode>0.0000</c:formatCode>
                <c:ptCount val="54"/>
                <c:pt idx="0">
                  <c:v>0.3485754252020794</c:v>
                </c:pt>
                <c:pt idx="1">
                  <c:v>0.34293345575352163</c:v>
                </c:pt>
                <c:pt idx="2">
                  <c:v>0.34132700015199913</c:v>
                </c:pt>
                <c:pt idx="3">
                  <c:v>0.33947578609162071</c:v>
                </c:pt>
                <c:pt idx="4">
                  <c:v>0.32732852870137302</c:v>
                </c:pt>
                <c:pt idx="5">
                  <c:v>0.32386394936629348</c:v>
                </c:pt>
                <c:pt idx="6">
                  <c:v>0.31971038334287127</c:v>
                </c:pt>
                <c:pt idx="7">
                  <c:v>0.3051854346212029</c:v>
                </c:pt>
                <c:pt idx="8">
                  <c:v>0.29123203463404634</c:v>
                </c:pt>
                <c:pt idx="9">
                  <c:v>0.44073631213629327</c:v>
                </c:pt>
                <c:pt idx="10">
                  <c:v>0.42380776420727628</c:v>
                </c:pt>
                <c:pt idx="11">
                  <c:v>0.43063407719738123</c:v>
                </c:pt>
                <c:pt idx="12">
                  <c:v>0.42152271284567366</c:v>
                </c:pt>
                <c:pt idx="13">
                  <c:v>0.38808753529815798</c:v>
                </c:pt>
                <c:pt idx="14">
                  <c:v>0.44299115615066298</c:v>
                </c:pt>
                <c:pt idx="15">
                  <c:v>0.55486686693079235</c:v>
                </c:pt>
                <c:pt idx="16">
                  <c:v>0.64412071226598777</c:v>
                </c:pt>
                <c:pt idx="17">
                  <c:v>0.59622924456993998</c:v>
                </c:pt>
                <c:pt idx="18">
                  <c:v>0.55124014303470403</c:v>
                </c:pt>
                <c:pt idx="19">
                  <c:v>0.55936172451668764</c:v>
                </c:pt>
                <c:pt idx="20">
                  <c:v>0.5393306376542425</c:v>
                </c:pt>
                <c:pt idx="21">
                  <c:v>0.32737200489021528</c:v>
                </c:pt>
                <c:pt idx="22">
                  <c:v>0.33545063048696855</c:v>
                </c:pt>
                <c:pt idx="23">
                  <c:v>0.30394063136868388</c:v>
                </c:pt>
                <c:pt idx="24">
                  <c:v>0.33990365265385059</c:v>
                </c:pt>
                <c:pt idx="25">
                  <c:v>0.20781460422824333</c:v>
                </c:pt>
                <c:pt idx="26">
                  <c:v>0.18504905184346998</c:v>
                </c:pt>
                <c:pt idx="27">
                  <c:v>0.21234162133047754</c:v>
                </c:pt>
                <c:pt idx="28">
                  <c:v>0.20068069517448159</c:v>
                </c:pt>
                <c:pt idx="29">
                  <c:v>0.18814450888994014</c:v>
                </c:pt>
                <c:pt idx="30">
                  <c:v>0.18093895489474313</c:v>
                </c:pt>
                <c:pt idx="31">
                  <c:v>0.2042044670355341</c:v>
                </c:pt>
                <c:pt idx="32">
                  <c:v>0.21056105787498122</c:v>
                </c:pt>
                <c:pt idx="33">
                  <c:v>0.17333339988993199</c:v>
                </c:pt>
                <c:pt idx="34">
                  <c:v>0.21696537493346232</c:v>
                </c:pt>
                <c:pt idx="35">
                  <c:v>0.33789926196766096</c:v>
                </c:pt>
                <c:pt idx="36">
                  <c:v>0.30718575389659308</c:v>
                </c:pt>
                <c:pt idx="37">
                  <c:v>0.30502375884368288</c:v>
                </c:pt>
                <c:pt idx="38">
                  <c:v>0.29702216385035674</c:v>
                </c:pt>
                <c:pt idx="39">
                  <c:v>0.35785649598768599</c:v>
                </c:pt>
                <c:pt idx="40">
                  <c:v>0.42727113582517751</c:v>
                </c:pt>
                <c:pt idx="41">
                  <c:v>0.47172806543623724</c:v>
                </c:pt>
                <c:pt idx="42">
                  <c:v>0.47577329593267381</c:v>
                </c:pt>
                <c:pt idx="43">
                  <c:v>0.54928372101601486</c:v>
                </c:pt>
                <c:pt idx="44">
                  <c:v>0.42947839122793618</c:v>
                </c:pt>
                <c:pt idx="45">
                  <c:v>0.51113196762306679</c:v>
                </c:pt>
                <c:pt idx="46">
                  <c:v>0.6055634787598736</c:v>
                </c:pt>
                <c:pt idx="47">
                  <c:v>0.67564498475159174</c:v>
                </c:pt>
                <c:pt idx="48">
                  <c:v>0.6411805640271474</c:v>
                </c:pt>
                <c:pt idx="49">
                  <c:v>0.60106808295061809</c:v>
                </c:pt>
                <c:pt idx="50">
                  <c:v>0.45075839194419209</c:v>
                </c:pt>
                <c:pt idx="51">
                  <c:v>0.40728585113771398</c:v>
                </c:pt>
                <c:pt idx="52">
                  <c:v>0.45450033614238117</c:v>
                </c:pt>
                <c:pt idx="53">
                  <c:v>0.51592247729014684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8-4366-ADD3-0C44A637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480960"/>
        <c:axId val="151794048"/>
      </c:lineChart>
      <c:catAx>
        <c:axId val="1514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794048"/>
        <c:crosses val="autoZero"/>
        <c:auto val="1"/>
        <c:lblAlgn val="ctr"/>
        <c:lblOffset val="100"/>
        <c:noMultiLvlLbl val="0"/>
      </c:catAx>
      <c:valAx>
        <c:axId val="15179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lirte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51480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18379348151101"/>
          <c:y val="0.15592288428129863"/>
          <c:w val="0.15993721865072794"/>
          <c:h val="0.163798930577803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332396915222767E-2"/>
          <c:y val="2.9845483024299402E-2"/>
          <c:w val="0.85182534001431665"/>
          <c:h val="0.8611334772669545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Germany!$A$44:$A$97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Germany!$AW$44:$AW$97</c:f>
              <c:numCache>
                <c:formatCode>0.0000</c:formatCode>
                <c:ptCount val="54"/>
                <c:pt idx="0">
                  <c:v>0.98310260898159618</c:v>
                </c:pt>
                <c:pt idx="1">
                  <c:v>0.94268102951173927</c:v>
                </c:pt>
                <c:pt idx="2">
                  <c:v>0.93117024086297118</c:v>
                </c:pt>
                <c:pt idx="3">
                  <c:v>0.9179083664785922</c:v>
                </c:pt>
                <c:pt idx="4">
                  <c:v>0.83087854482446333</c:v>
                </c:pt>
                <c:pt idx="5">
                  <c:v>0.79402517362181135</c:v>
                </c:pt>
                <c:pt idx="6">
                  <c:v>0.92520207785227204</c:v>
                </c:pt>
                <c:pt idx="7">
                  <c:v>0.8652695789854904</c:v>
                </c:pt>
                <c:pt idx="8">
                  <c:v>0.92018215581079699</c:v>
                </c:pt>
                <c:pt idx="9">
                  <c:v>1.0775776303396343</c:v>
                </c:pt>
                <c:pt idx="10">
                  <c:v>0.8945502945435857</c:v>
                </c:pt>
                <c:pt idx="11">
                  <c:v>0.99972942350474814</c:v>
                </c:pt>
                <c:pt idx="12">
                  <c:v>1.196265369561351</c:v>
                </c:pt>
                <c:pt idx="13">
                  <c:v>0.96156032437234062</c:v>
                </c:pt>
                <c:pt idx="14">
                  <c:v>0.99116927267354404</c:v>
                </c:pt>
                <c:pt idx="15">
                  <c:v>1.1004843209387596</c:v>
                </c:pt>
                <c:pt idx="16">
                  <c:v>1.2605637207716693</c:v>
                </c:pt>
                <c:pt idx="17">
                  <c:v>1.17344220795051</c:v>
                </c:pt>
                <c:pt idx="18">
                  <c:v>1.1223185038827455</c:v>
                </c:pt>
                <c:pt idx="19">
                  <c:v>1.1171329492865973</c:v>
                </c:pt>
                <c:pt idx="20">
                  <c:v>1.1276168530623381</c:v>
                </c:pt>
                <c:pt idx="21">
                  <c:v>0.84300857337945934</c:v>
                </c:pt>
                <c:pt idx="22">
                  <c:v>0.81672523213400927</c:v>
                </c:pt>
                <c:pt idx="23">
                  <c:v>0.78662801934830784</c:v>
                </c:pt>
                <c:pt idx="24">
                  <c:v>0.92506456562218986</c:v>
                </c:pt>
                <c:pt idx="25">
                  <c:v>0.82606101145403688</c:v>
                </c:pt>
                <c:pt idx="26">
                  <c:v>0.8938694970994584</c:v>
                </c:pt>
                <c:pt idx="27">
                  <c:v>0.90121301334861359</c:v>
                </c:pt>
                <c:pt idx="28">
                  <c:v>0.85901436832328937</c:v>
                </c:pt>
                <c:pt idx="29">
                  <c:v>0.93872161881104943</c:v>
                </c:pt>
                <c:pt idx="30">
                  <c:v>0.91822011369555212</c:v>
                </c:pt>
                <c:pt idx="31">
                  <c:v>0.9455726811868469</c:v>
                </c:pt>
                <c:pt idx="32">
                  <c:v>0.95266613694842228</c:v>
                </c:pt>
                <c:pt idx="33">
                  <c:v>0.88364583939440822</c:v>
                </c:pt>
                <c:pt idx="34">
                  <c:v>0.95975509110383783</c:v>
                </c:pt>
                <c:pt idx="35">
                  <c:v>1.1543667882998294</c:v>
                </c:pt>
                <c:pt idx="36">
                  <c:v>1.1484084744833707</c:v>
                </c:pt>
                <c:pt idx="37">
                  <c:v>1.1598498580533314</c:v>
                </c:pt>
                <c:pt idx="38">
                  <c:v>1.1970113652701058</c:v>
                </c:pt>
                <c:pt idx="39">
                  <c:v>1.2248020416037591</c:v>
                </c:pt>
                <c:pt idx="40">
                  <c:v>1.3218606379498752</c:v>
                </c:pt>
                <c:pt idx="41">
                  <c:v>1.3667104944900137</c:v>
                </c:pt>
                <c:pt idx="42">
                  <c:v>1.3907156776713991</c:v>
                </c:pt>
                <c:pt idx="43">
                  <c:v>1.4142653873944355</c:v>
                </c:pt>
                <c:pt idx="44">
                  <c:v>1.2761734911990004</c:v>
                </c:pt>
                <c:pt idx="45">
                  <c:v>1.3910510204081636</c:v>
                </c:pt>
                <c:pt idx="46">
                  <c:v>1.4958964588281196</c:v>
                </c:pt>
                <c:pt idx="47">
                  <c:v>1.5858436884225242</c:v>
                </c:pt>
                <c:pt idx="48">
                  <c:v>1.5148734584344798</c:v>
                </c:pt>
                <c:pt idx="49">
                  <c:v>1.4469340690005843</c:v>
                </c:pt>
                <c:pt idx="50">
                  <c:v>1.3068601664009434</c:v>
                </c:pt>
                <c:pt idx="51">
                  <c:v>1.2152793055498539</c:v>
                </c:pt>
                <c:pt idx="52">
                  <c:v>1.2571378679488441</c:v>
                </c:pt>
                <c:pt idx="53">
                  <c:v>1.2942664327010163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F-4DBB-857A-C9A2CBC3E04D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Germany!$A$44:$A$97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Germany!$AX$44:$AX$97</c:f>
              <c:numCache>
                <c:formatCode>0.0000</c:formatCode>
                <c:ptCount val="54"/>
                <c:pt idx="0">
                  <c:v>0.93843699059103713</c:v>
                </c:pt>
                <c:pt idx="1">
                  <c:v>0.90854207346056526</c:v>
                </c:pt>
                <c:pt idx="2">
                  <c:v>0.93727595430430066</c:v>
                </c:pt>
                <c:pt idx="3">
                  <c:v>0.92693714063791988</c:v>
                </c:pt>
                <c:pt idx="4">
                  <c:v>0.8590907973890296</c:v>
                </c:pt>
                <c:pt idx="5">
                  <c:v>0.83204006048425283</c:v>
                </c:pt>
                <c:pt idx="6">
                  <c:v>0.91183971316832546</c:v>
                </c:pt>
                <c:pt idx="7">
                  <c:v>0.76377831148351283</c:v>
                </c:pt>
                <c:pt idx="8">
                  <c:v>0.93535954370160435</c:v>
                </c:pt>
                <c:pt idx="9">
                  <c:v>1.0980586666434702</c:v>
                </c:pt>
                <c:pt idx="10">
                  <c:v>0.96948344387886354</c:v>
                </c:pt>
                <c:pt idx="11">
                  <c:v>1.0404690255352778</c:v>
                </c:pt>
                <c:pt idx="12">
                  <c:v>1.1632072419737112</c:v>
                </c:pt>
                <c:pt idx="13">
                  <c:v>0.96502372992156227</c:v>
                </c:pt>
                <c:pt idx="14">
                  <c:v>1.0376927197547894</c:v>
                </c:pt>
                <c:pt idx="15">
                  <c:v>1.1161138706095599</c:v>
                </c:pt>
                <c:pt idx="16">
                  <c:v>1.2597192539433455</c:v>
                </c:pt>
                <c:pt idx="17">
                  <c:v>1.1783699887003132</c:v>
                </c:pt>
                <c:pt idx="18">
                  <c:v>1.1176180076591895</c:v>
                </c:pt>
                <c:pt idx="19">
                  <c:v>1.1192700249176135</c:v>
                </c:pt>
                <c:pt idx="20">
                  <c:v>1.1078371067734047</c:v>
                </c:pt>
                <c:pt idx="21">
                  <c:v>0.86148381613317349</c:v>
                </c:pt>
                <c:pt idx="22">
                  <c:v>0.81612902127161024</c:v>
                </c:pt>
                <c:pt idx="23">
                  <c:v>0.78396222042373132</c:v>
                </c:pt>
                <c:pt idx="24">
                  <c:v>0.89659463363034386</c:v>
                </c:pt>
                <c:pt idx="25">
                  <c:v>0.82818990304123474</c:v>
                </c:pt>
                <c:pt idx="26">
                  <c:v>0.89213213113621348</c:v>
                </c:pt>
                <c:pt idx="27">
                  <c:v>0.89113471139089773</c:v>
                </c:pt>
                <c:pt idx="28">
                  <c:v>0.85697335870382518</c:v>
                </c:pt>
                <c:pt idx="29">
                  <c:v>0.94385984059675798</c:v>
                </c:pt>
                <c:pt idx="30">
                  <c:v>0.92307420288851971</c:v>
                </c:pt>
                <c:pt idx="31">
                  <c:v>0.94144944550796439</c:v>
                </c:pt>
                <c:pt idx="32">
                  <c:v>0.93713520194433286</c:v>
                </c:pt>
                <c:pt idx="33">
                  <c:v>0.88992015190852802</c:v>
                </c:pt>
                <c:pt idx="34">
                  <c:v>0.97913095625349211</c:v>
                </c:pt>
                <c:pt idx="35">
                  <c:v>1.1530920701063154</c:v>
                </c:pt>
                <c:pt idx="36">
                  <c:v>1.1445562402072409</c:v>
                </c:pt>
                <c:pt idx="37">
                  <c:v>1.1690364264824988</c:v>
                </c:pt>
                <c:pt idx="38">
                  <c:v>1.192951749310581</c:v>
                </c:pt>
                <c:pt idx="39">
                  <c:v>1.2457480146582571</c:v>
                </c:pt>
                <c:pt idx="40">
                  <c:v>1.3177657449906794</c:v>
                </c:pt>
                <c:pt idx="41">
                  <c:v>1.357256593932282</c:v>
                </c:pt>
                <c:pt idx="42">
                  <c:v>1.3794074405237224</c:v>
                </c:pt>
                <c:pt idx="43">
                  <c:v>1.4394144371587703</c:v>
                </c:pt>
                <c:pt idx="44">
                  <c:v>1.2950773687153816</c:v>
                </c:pt>
                <c:pt idx="45">
                  <c:v>1.3877325507134457</c:v>
                </c:pt>
                <c:pt idx="46">
                  <c:v>1.4855982542658719</c:v>
                </c:pt>
                <c:pt idx="47">
                  <c:v>1.557416228182801</c:v>
                </c:pt>
                <c:pt idx="48">
                  <c:v>1.5023025151068028</c:v>
                </c:pt>
                <c:pt idx="49">
                  <c:v>1.4457775950409131</c:v>
                </c:pt>
                <c:pt idx="50">
                  <c:v>1.2716679826953223</c:v>
                </c:pt>
                <c:pt idx="51">
                  <c:v>1.2106280940757868</c:v>
                </c:pt>
                <c:pt idx="52">
                  <c:v>1.254105272223935</c:v>
                </c:pt>
                <c:pt idx="53">
                  <c:v>1.3108661734812275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F-4DBB-857A-C9A2CBC3E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28736"/>
        <c:axId val="151830528"/>
      </c:lineChart>
      <c:catAx>
        <c:axId val="1518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830528"/>
        <c:crosses val="autoZero"/>
        <c:auto val="1"/>
        <c:lblAlgn val="ctr"/>
        <c:lblOffset val="100"/>
        <c:noMultiLvlLbl val="0"/>
      </c:catAx>
      <c:valAx>
        <c:axId val="151830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5182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127329279569591"/>
          <c:y val="5.0278971361266821E-2"/>
          <c:w val="0.14976658166839465"/>
          <c:h val="0.152688725543656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4777281901134E-2"/>
          <c:y val="3.4695374015748029E-2"/>
          <c:w val="0.80215355752011142"/>
          <c:h val="0.86178395669291341"/>
        </c:manualLayout>
      </c:layout>
      <c:lineChart>
        <c:grouping val="standard"/>
        <c:varyColors val="0"/>
        <c:ser>
          <c:idx val="0"/>
          <c:order val="0"/>
          <c:tx>
            <c:v> energy content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Germany!$A$44:$A$96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Germany!$AZ$44:$AZ$97</c:f>
              <c:numCache>
                <c:formatCode>0.0000</c:formatCode>
                <c:ptCount val="54"/>
                <c:pt idx="0">
                  <c:v>0.39324104359263845</c:v>
                </c:pt>
                <c:pt idx="1">
                  <c:v>0.37707241180469564</c:v>
                </c:pt>
                <c:pt idx="2">
                  <c:v>0.33522128671066964</c:v>
                </c:pt>
                <c:pt idx="3">
                  <c:v>0.33044701193229309</c:v>
                </c:pt>
                <c:pt idx="4">
                  <c:v>0.29911627613680669</c:v>
                </c:pt>
                <c:pt idx="5">
                  <c:v>0.285849062503852</c:v>
                </c:pt>
                <c:pt idx="6">
                  <c:v>0.33307274802681786</c:v>
                </c:pt>
                <c:pt idx="7">
                  <c:v>0.40667670212318052</c:v>
                </c:pt>
                <c:pt idx="8">
                  <c:v>0.27605464674323898</c:v>
                </c:pt>
                <c:pt idx="9">
                  <c:v>0.42025527583245736</c:v>
                </c:pt>
                <c:pt idx="10">
                  <c:v>0.34887461487199845</c:v>
                </c:pt>
                <c:pt idx="11">
                  <c:v>0.38989447516685172</c:v>
                </c:pt>
                <c:pt idx="12">
                  <c:v>0.45458084043331337</c:v>
                </c:pt>
                <c:pt idx="13">
                  <c:v>0.38462412974893634</c:v>
                </c:pt>
                <c:pt idx="14">
                  <c:v>0.39646770906941764</c:v>
                </c:pt>
                <c:pt idx="15">
                  <c:v>0.53923731725999213</c:v>
                </c:pt>
                <c:pt idx="16">
                  <c:v>0.64496517909431161</c:v>
                </c:pt>
                <c:pt idx="17">
                  <c:v>0.59130146382013693</c:v>
                </c:pt>
                <c:pt idx="18">
                  <c:v>0.55594063925825998</c:v>
                </c:pt>
                <c:pt idx="19">
                  <c:v>0.55722464888567147</c:v>
                </c:pt>
                <c:pt idx="20">
                  <c:v>0.5591103839431758</c:v>
                </c:pt>
                <c:pt idx="21">
                  <c:v>0.30889676213650108</c:v>
                </c:pt>
                <c:pt idx="22">
                  <c:v>0.33604684134936758</c:v>
                </c:pt>
                <c:pt idx="23">
                  <c:v>0.30660643029326046</c:v>
                </c:pt>
                <c:pt idx="24">
                  <c:v>0.36837358464569658</c:v>
                </c:pt>
                <c:pt idx="25">
                  <c:v>0.20568571264104551</c:v>
                </c:pt>
                <c:pt idx="26">
                  <c:v>0.1867864178067149</c:v>
                </c:pt>
                <c:pt idx="27">
                  <c:v>0.22241992328819338</c:v>
                </c:pt>
                <c:pt idx="28">
                  <c:v>0.2027217047939458</c:v>
                </c:pt>
                <c:pt idx="29">
                  <c:v>0.18300628710423161</c:v>
                </c:pt>
                <c:pt idx="30">
                  <c:v>0.17608486570177551</c:v>
                </c:pt>
                <c:pt idx="31">
                  <c:v>0.20832770271441658</c:v>
                </c:pt>
                <c:pt idx="32">
                  <c:v>0.22609199287907067</c:v>
                </c:pt>
                <c:pt idx="33">
                  <c:v>0.16705908737581221</c:v>
                </c:pt>
                <c:pt idx="34">
                  <c:v>0.19758950978380807</c:v>
                </c:pt>
                <c:pt idx="35">
                  <c:v>0.33917398016117495</c:v>
                </c:pt>
                <c:pt idx="36">
                  <c:v>0.31103798817272288</c:v>
                </c:pt>
                <c:pt idx="37">
                  <c:v>0.29583719041451539</c:v>
                </c:pt>
                <c:pt idx="38">
                  <c:v>0.30108177980988138</c:v>
                </c:pt>
                <c:pt idx="39">
                  <c:v>0.33691052293318791</c:v>
                </c:pt>
                <c:pt idx="40">
                  <c:v>0.43136602878437325</c:v>
                </c:pt>
                <c:pt idx="41">
                  <c:v>0.4811819659939689</c:v>
                </c:pt>
                <c:pt idx="42">
                  <c:v>0.4870815330803504</c:v>
                </c:pt>
                <c:pt idx="43">
                  <c:v>0.52413467125168012</c:v>
                </c:pt>
                <c:pt idx="44">
                  <c:v>0.41057451371155496</c:v>
                </c:pt>
                <c:pt idx="45">
                  <c:v>0.51445043731778461</c:v>
                </c:pt>
                <c:pt idx="46">
                  <c:v>0.61586168332212132</c:v>
                </c:pt>
                <c:pt idx="47">
                  <c:v>0.70407244499131483</c:v>
                </c:pt>
                <c:pt idx="48">
                  <c:v>0.65375150735482446</c:v>
                </c:pt>
                <c:pt idx="49">
                  <c:v>0.60222455691028942</c:v>
                </c:pt>
                <c:pt idx="50">
                  <c:v>0.48595057564981303</c:v>
                </c:pt>
                <c:pt idx="51">
                  <c:v>0.41193706261178109</c:v>
                </c:pt>
                <c:pt idx="52">
                  <c:v>0.45753293186729038</c:v>
                </c:pt>
                <c:pt idx="53">
                  <c:v>0.49932273650993553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1-4449-8493-71F6C3EFF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44352"/>
        <c:axId val="151845888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Germany!$A$44:$A$96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Germany!$BB$44:$BB$97</c:f>
              <c:numCache>
                <c:formatCode>0.00</c:formatCode>
                <c:ptCount val="54"/>
                <c:pt idx="0">
                  <c:v>24.051839378398054</c:v>
                </c:pt>
                <c:pt idx="1">
                  <c:v>23.062899112764455</c:v>
                </c:pt>
                <c:pt idx="2">
                  <c:v>22.781315058865619</c:v>
                </c:pt>
                <c:pt idx="3">
                  <c:v>22.456829054234166</c:v>
                </c:pt>
                <c:pt idx="4">
                  <c:v>20.327623630531981</c:v>
                </c:pt>
                <c:pt idx="5">
                  <c:v>19.72034242506248</c:v>
                </c:pt>
                <c:pt idx="6">
                  <c:v>18.992293695982632</c:v>
                </c:pt>
                <c:pt idx="7">
                  <c:v>16.446319851549113</c:v>
                </c:pt>
                <c:pt idx="8">
                  <c:v>14.000528676037193</c:v>
                </c:pt>
                <c:pt idx="9">
                  <c:v>40.206058722681703</c:v>
                </c:pt>
                <c:pt idx="10">
                  <c:v>37.238775252192042</c:v>
                </c:pt>
                <c:pt idx="11">
                  <c:v>38.435310583211631</c:v>
                </c:pt>
                <c:pt idx="12">
                  <c:v>36.838245025799679</c:v>
                </c:pt>
                <c:pt idx="13">
                  <c:v>30.977633112383696</c:v>
                </c:pt>
                <c:pt idx="14">
                  <c:v>40.601294120332284</c:v>
                </c:pt>
                <c:pt idx="15">
                  <c:v>60.211183210591436</c:v>
                </c:pt>
                <c:pt idx="16">
                  <c:v>75.855848131131083</c:v>
                </c:pt>
                <c:pt idx="17">
                  <c:v>70.568239289281507</c:v>
                </c:pt>
                <c:pt idx="18">
                  <c:v>62.682423098935743</c:v>
                </c:pt>
                <c:pt idx="19">
                  <c:v>67.212938980755112</c:v>
                </c:pt>
                <c:pt idx="20">
                  <c:v>63.701833764164483</c:v>
                </c:pt>
                <c:pt idx="21">
                  <c:v>26.549128755707962</c:v>
                </c:pt>
                <c:pt idx="22">
                  <c:v>27.965172960918931</c:v>
                </c:pt>
                <c:pt idx="23">
                  <c:v>22.442011734635344</c:v>
                </c:pt>
                <c:pt idx="24">
                  <c:v>28.745711204654778</c:v>
                </c:pt>
                <c:pt idx="25">
                  <c:v>30.045214326934509</c:v>
                </c:pt>
                <c:pt idx="26">
                  <c:v>26.05480430646756</c:v>
                </c:pt>
                <c:pt idx="27">
                  <c:v>22.280367610400408</c:v>
                </c:pt>
                <c:pt idx="28">
                  <c:v>20.236407692611021</c:v>
                </c:pt>
                <c:pt idx="29">
                  <c:v>18.039029718961093</c:v>
                </c:pt>
                <c:pt idx="30">
                  <c:v>16.776019958447602</c:v>
                </c:pt>
                <c:pt idx="31">
                  <c:v>20.854064330434937</c:v>
                </c:pt>
                <c:pt idx="32">
                  <c:v>21.968265442405485</c:v>
                </c:pt>
                <c:pt idx="33">
                  <c:v>15.442896896487115</c:v>
                </c:pt>
                <c:pt idx="34">
                  <c:v>19.422965711407763</c:v>
                </c:pt>
                <c:pt idx="35">
                  <c:v>34.966038474994463</c:v>
                </c:pt>
                <c:pt idx="36">
                  <c:v>29.582488438560684</c:v>
                </c:pt>
                <c:pt idx="37">
                  <c:v>29.203527867891498</c:v>
                </c:pt>
                <c:pt idx="38">
                  <c:v>27.800985803397477</c:v>
                </c:pt>
                <c:pt idx="39">
                  <c:v>31.892536053197691</c:v>
                </c:pt>
                <c:pt idx="40">
                  <c:v>44.059729262174947</c:v>
                </c:pt>
                <c:pt idx="41">
                  <c:v>51.852264861610728</c:v>
                </c:pt>
                <c:pt idx="42">
                  <c:v>52.561324234967991</c:v>
                </c:pt>
                <c:pt idx="43">
                  <c:v>65.446438195898978</c:v>
                </c:pt>
                <c:pt idx="44">
                  <c:v>44.446623194201351</c:v>
                </c:pt>
                <c:pt idx="45">
                  <c:v>58.759091609069415</c:v>
                </c:pt>
                <c:pt idx="46">
                  <c:v>75.311312346756637</c:v>
                </c:pt>
                <c:pt idx="47">
                  <c:v>81.381511233363639</c:v>
                </c:pt>
                <c:pt idx="48">
                  <c:v>75.340490682489772</c:v>
                </c:pt>
                <c:pt idx="49">
                  <c:v>68.309462235289331</c:v>
                </c:pt>
                <c:pt idx="50">
                  <c:v>41.962757045455874</c:v>
                </c:pt>
                <c:pt idx="51">
                  <c:v>34.342767882998501</c:v>
                </c:pt>
                <c:pt idx="52">
                  <c:v>42.618655543858623</c:v>
                </c:pt>
                <c:pt idx="53">
                  <c:v>53.384901114008429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1-4449-8493-71F6C3EFF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932816"/>
        <c:axId val="817931504"/>
      </c:lineChart>
      <c:catAx>
        <c:axId val="1518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845888"/>
        <c:crosses val="autoZero"/>
        <c:auto val="1"/>
        <c:lblAlgn val="ctr"/>
        <c:lblOffset val="100"/>
        <c:noMultiLvlLbl val="0"/>
      </c:catAx>
      <c:valAx>
        <c:axId val="15184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2644333267005887E-2"/>
              <c:y val="0.31668110236220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51844352"/>
        <c:crosses val="autoZero"/>
        <c:crossBetween val="between"/>
      </c:valAx>
      <c:valAx>
        <c:axId val="817931504"/>
        <c:scaling>
          <c:orientation val="minMax"/>
          <c:max val="100"/>
          <c:min val="-3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17932816"/>
        <c:crosses val="max"/>
        <c:crossBetween val="between"/>
      </c:valAx>
      <c:catAx>
        <c:axId val="81793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7931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2002672048665396"/>
          <c:y val="3.7240895669291341E-2"/>
          <c:w val="0.17925125785269622"/>
          <c:h val="0.213018208661417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1426071741032"/>
          <c:y val="5.0925925925925923E-2"/>
          <c:w val="0.84853018372703415"/>
          <c:h val="0.80866506270049576"/>
        </c:manualLayout>
      </c:layout>
      <c:lineChart>
        <c:grouping val="standard"/>
        <c:varyColors val="0"/>
        <c:ser>
          <c:idx val="0"/>
          <c:order val="0"/>
          <c:tx>
            <c:strRef>
              <c:f>Germany!$Y$121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Germany!$A$122:$A$142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Germany!$Y$122:$Y$142</c:f>
              <c:numCache>
                <c:formatCode>0</c:formatCode>
                <c:ptCount val="21"/>
                <c:pt idx="0">
                  <c:v>154.75929050321693</c:v>
                </c:pt>
                <c:pt idx="1">
                  <c:v>166.42371217023106</c:v>
                </c:pt>
                <c:pt idx="2">
                  <c:v>176.4306560066085</c:v>
                </c:pt>
                <c:pt idx="3">
                  <c:v>168.53496973869781</c:v>
                </c:pt>
                <c:pt idx="4">
                  <c:v>160.97647508123634</c:v>
                </c:pt>
                <c:pt idx="5">
                  <c:v>145.39276358086562</c:v>
                </c:pt>
                <c:pt idx="6">
                  <c:v>135.20407255440003</c:v>
                </c:pt>
                <c:pt idx="7">
                  <c:v>139.86098400000006</c:v>
                </c:pt>
                <c:pt idx="8">
                  <c:v>143.99166666666667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2-4013-852D-B988EE0ACA6D}"/>
            </c:ext>
          </c:extLst>
        </c:ser>
        <c:ser>
          <c:idx val="1"/>
          <c:order val="1"/>
          <c:tx>
            <c:strRef>
              <c:f>Germany!$Z$121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Germany!$A$122:$A$142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Germany!$Z$122:$Z$142</c:f>
              <c:numCache>
                <c:formatCode>0</c:formatCode>
                <c:ptCount val="21"/>
                <c:pt idx="0">
                  <c:v>154.31995278699233</c:v>
                </c:pt>
                <c:pt idx="1">
                  <c:v>165.06031575868829</c:v>
                </c:pt>
                <c:pt idx="2">
                  <c:v>172.66709731578615</c:v>
                </c:pt>
                <c:pt idx="3">
                  <c:v>166.8706816660474</c:v>
                </c:pt>
                <c:pt idx="4">
                  <c:v>160.82336757233733</c:v>
                </c:pt>
                <c:pt idx="5">
                  <c:v>140.73361191140935</c:v>
                </c:pt>
                <c:pt idx="6">
                  <c:v>134.58829093977593</c:v>
                </c:pt>
                <c:pt idx="7">
                  <c:v>139.45949361359243</c:v>
                </c:pt>
                <c:pt idx="8">
                  <c:v>147.59127292754508</c:v>
                </c:pt>
                <c:pt idx="9">
                  <c:v>168.4799724254357</c:v>
                </c:pt>
                <c:pt idx="10">
                  <c:v>178.39024127525971</c:v>
                </c:pt>
                <c:pt idx="11">
                  <c:v>188.88346711624979</c:v>
                </c:pt>
                <c:pt idx="12">
                  <c:v>193.54712304557876</c:v>
                </c:pt>
                <c:pt idx="13">
                  <c:v>197.04486499257544</c:v>
                </c:pt>
                <c:pt idx="14">
                  <c:v>199.95964994840602</c:v>
                </c:pt>
                <c:pt idx="15">
                  <c:v>202.87443490423664</c:v>
                </c:pt>
                <c:pt idx="16">
                  <c:v>205.78921986006722</c:v>
                </c:pt>
                <c:pt idx="17">
                  <c:v>208.70400481589772</c:v>
                </c:pt>
                <c:pt idx="18">
                  <c:v>211.03583278056229</c:v>
                </c:pt>
                <c:pt idx="19">
                  <c:v>213.95061773639284</c:v>
                </c:pt>
                <c:pt idx="20">
                  <c:v>215.69948870989123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2-4013-852D-B988EE0ACA6D}"/>
            </c:ext>
          </c:extLst>
        </c:ser>
        <c:ser>
          <c:idx val="3"/>
          <c:order val="2"/>
          <c:tx>
            <c:strRef>
              <c:f>Germany!$AB$121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Germany!$A$122:$A$142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Germany!$AB$122:$AB$142</c:f>
              <c:numCache>
                <c:formatCode>0</c:formatCode>
                <c:ptCount val="21"/>
                <c:pt idx="0">
                  <c:v>154.31995278699233</c:v>
                </c:pt>
                <c:pt idx="1">
                  <c:v>165.06031575868829</c:v>
                </c:pt>
                <c:pt idx="2">
                  <c:v>172.66709731578615</c:v>
                </c:pt>
                <c:pt idx="3">
                  <c:v>166.8706816660474</c:v>
                </c:pt>
                <c:pt idx="4">
                  <c:v>160.82336757233733</c:v>
                </c:pt>
                <c:pt idx="5">
                  <c:v>140.73361191140935</c:v>
                </c:pt>
                <c:pt idx="6">
                  <c:v>134.58829093977593</c:v>
                </c:pt>
                <c:pt idx="7">
                  <c:v>139.45949361359243</c:v>
                </c:pt>
                <c:pt idx="8">
                  <c:v>147.59127292754508</c:v>
                </c:pt>
                <c:pt idx="9">
                  <c:v>124.75819808797696</c:v>
                </c:pt>
                <c:pt idx="10">
                  <c:v>125.34115507914308</c:v>
                </c:pt>
                <c:pt idx="11">
                  <c:v>126.50706906147531</c:v>
                </c:pt>
                <c:pt idx="12">
                  <c:v>127.09002605264143</c:v>
                </c:pt>
                <c:pt idx="13">
                  <c:v>127.09002605264143</c:v>
                </c:pt>
                <c:pt idx="14">
                  <c:v>127.09002605264143</c:v>
                </c:pt>
                <c:pt idx="15">
                  <c:v>127.67298304380755</c:v>
                </c:pt>
                <c:pt idx="16">
                  <c:v>128.25594003497366</c:v>
                </c:pt>
                <c:pt idx="17">
                  <c:v>128.83889702613979</c:v>
                </c:pt>
                <c:pt idx="18">
                  <c:v>128.83889702613979</c:v>
                </c:pt>
                <c:pt idx="19">
                  <c:v>128.83889702613979</c:v>
                </c:pt>
                <c:pt idx="20">
                  <c:v>129.42185401730592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42-4013-852D-B988EE0ACA6D}"/>
            </c:ext>
          </c:extLst>
        </c:ser>
        <c:ser>
          <c:idx val="2"/>
          <c:order val="3"/>
          <c:tx>
            <c:strRef>
              <c:f>Germany!$AA$121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Germany!$A$122:$A$142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Germany!$AA$122:$AA$142</c:f>
              <c:numCache>
                <c:formatCode>0</c:formatCode>
                <c:ptCount val="21"/>
                <c:pt idx="0">
                  <c:v>154.31995278699233</c:v>
                </c:pt>
                <c:pt idx="1">
                  <c:v>165.06031575868829</c:v>
                </c:pt>
                <c:pt idx="2">
                  <c:v>172.66709731578615</c:v>
                </c:pt>
                <c:pt idx="3">
                  <c:v>166.8706816660474</c:v>
                </c:pt>
                <c:pt idx="4">
                  <c:v>160.82336757233733</c:v>
                </c:pt>
                <c:pt idx="5">
                  <c:v>140.73361191140935</c:v>
                </c:pt>
                <c:pt idx="6">
                  <c:v>134.58829093977593</c:v>
                </c:pt>
                <c:pt idx="7">
                  <c:v>139.45949361359243</c:v>
                </c:pt>
                <c:pt idx="8">
                  <c:v>147.59127292754508</c:v>
                </c:pt>
                <c:pt idx="9">
                  <c:v>145.11223861449295</c:v>
                </c:pt>
                <c:pt idx="10">
                  <c:v>145.26885504735014</c:v>
                </c:pt>
                <c:pt idx="11">
                  <c:v>149.88313410894852</c:v>
                </c:pt>
                <c:pt idx="12">
                  <c:v>153.3187821493197</c:v>
                </c:pt>
                <c:pt idx="13">
                  <c:v>154.89975149944277</c:v>
                </c:pt>
                <c:pt idx="14">
                  <c:v>155.31774001942452</c:v>
                </c:pt>
                <c:pt idx="15">
                  <c:v>157.50483269852904</c:v>
                </c:pt>
                <c:pt idx="16">
                  <c:v>161.34890291245918</c:v>
                </c:pt>
                <c:pt idx="17">
                  <c:v>163.33003943439334</c:v>
                </c:pt>
                <c:pt idx="18">
                  <c:v>164.58414828194122</c:v>
                </c:pt>
                <c:pt idx="19">
                  <c:v>166.28400915537955</c:v>
                </c:pt>
                <c:pt idx="20">
                  <c:v>167.58377215973636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2-4013-852D-B988EE0AC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532344"/>
        <c:axId val="463534968"/>
      </c:lineChart>
      <c:catAx>
        <c:axId val="463532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534968"/>
        <c:crosses val="autoZero"/>
        <c:auto val="1"/>
        <c:lblAlgn val="ctr"/>
        <c:lblOffset val="100"/>
        <c:noMultiLvlLbl val="0"/>
      </c:catAx>
      <c:valAx>
        <c:axId val="46353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 cents per litre</a:t>
                </a:r>
              </a:p>
            </c:rich>
          </c:tx>
          <c:layout>
            <c:manualLayout>
              <c:xMode val="edge"/>
              <c:yMode val="edge"/>
              <c:x val="4.9860017497812773E-3"/>
              <c:y val="0.209760498687664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532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866428805774292"/>
          <c:y val="0.53396654535240295"/>
          <c:w val="0.25468547681539805"/>
          <c:h val="0.31886628754738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332396915222767E-2"/>
          <c:y val="2.9845483024299402E-2"/>
          <c:w val="0.85182534001431665"/>
          <c:h val="0.8611334772669545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Germany!$A$44:$A$97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Germany!$BG$44:$BG$97</c:f>
              <c:numCache>
                <c:formatCode>0.0000</c:formatCode>
                <c:ptCount val="54"/>
                <c:pt idx="0">
                  <c:v>1.0937360314304718</c:v>
                </c:pt>
                <c:pt idx="1">
                  <c:v>1.0487656107341921</c:v>
                </c:pt>
                <c:pt idx="2">
                  <c:v>1.0359594558320293</c:v>
                </c:pt>
                <c:pt idx="3">
                  <c:v>1.0212051568138161</c:v>
                </c:pt>
                <c:pt idx="4">
                  <c:v>0.92438143680487994</c:v>
                </c:pt>
                <c:pt idx="5">
                  <c:v>0.88338077258552872</c:v>
                </c:pt>
                <c:pt idx="6">
                  <c:v>1.0293196657769361</c:v>
                </c:pt>
                <c:pt idx="7">
                  <c:v>0.96264266495789741</c:v>
                </c:pt>
                <c:pt idx="8">
                  <c:v>1.0237348269599373</c:v>
                </c:pt>
                <c:pt idx="9">
                  <c:v>1.1988427964674306</c:v>
                </c:pt>
                <c:pt idx="10">
                  <c:v>0.99521848495814225</c:v>
                </c:pt>
                <c:pt idx="11">
                  <c:v>1.1122339440244797</c:v>
                </c:pt>
                <c:pt idx="12">
                  <c:v>1.3308870568425399</c:v>
                </c:pt>
                <c:pt idx="13">
                  <c:v>1.0697694864724836</c:v>
                </c:pt>
                <c:pt idx="14">
                  <c:v>1.1027104768776821</c:v>
                </c:pt>
                <c:pt idx="15">
                  <c:v>1.2243272908022045</c:v>
                </c:pt>
                <c:pt idx="16">
                  <c:v>1.40242122106691</c:v>
                </c:pt>
                <c:pt idx="17">
                  <c:v>1.3054954914282275</c:v>
                </c:pt>
                <c:pt idx="18">
                  <c:v>1.2486185828652174</c:v>
                </c:pt>
                <c:pt idx="19">
                  <c:v>1.2428494720390013</c:v>
                </c:pt>
                <c:pt idx="20">
                  <c:v>1.2545131816099238</c:v>
                </c:pt>
                <c:pt idx="21">
                  <c:v>0.93787651775743996</c:v>
                </c:pt>
                <c:pt idx="22">
                  <c:v>0.90863538149770551</c:v>
                </c:pt>
                <c:pt idx="23">
                  <c:v>0.87515117977897328</c:v>
                </c:pt>
                <c:pt idx="24">
                  <c:v>1.0291666786121894</c:v>
                </c:pt>
                <c:pt idx="25">
                  <c:v>0.91902176246192158</c:v>
                </c:pt>
                <c:pt idx="26">
                  <c:v>0.99446107399417472</c:v>
                </c:pt>
                <c:pt idx="27">
                  <c:v>1.0026309926229295</c:v>
                </c:pt>
                <c:pt idx="28">
                  <c:v>0.95568352435249859</c:v>
                </c:pt>
                <c:pt idx="29">
                  <c:v>1.0443606278697259</c:v>
                </c:pt>
                <c:pt idx="30">
                  <c:v>1.0215519864944336</c:v>
                </c:pt>
                <c:pt idx="31">
                  <c:v>1.0519826743433383</c:v>
                </c:pt>
                <c:pt idx="32">
                  <c:v>1.0598743919350859</c:v>
                </c:pt>
                <c:pt idx="33">
                  <c:v>0.98308689727765808</c:v>
                </c:pt>
                <c:pt idx="34">
                  <c:v>1.0677611013325603</c:v>
                </c:pt>
                <c:pt idx="35">
                  <c:v>1.2842734200025205</c:v>
                </c:pt>
                <c:pt idx="36">
                  <c:v>1.2776445875204443</c:v>
                </c:pt>
                <c:pt idx="37">
                  <c:v>1.2903735268453493</c:v>
                </c:pt>
                <c:pt idx="38">
                  <c:v>1.3317170031558783</c:v>
                </c:pt>
                <c:pt idx="39">
                  <c:v>1.3626351024125021</c:v>
                </c:pt>
                <c:pt idx="40">
                  <c:v>1.4706161849708947</c:v>
                </c:pt>
                <c:pt idx="41">
                  <c:v>1.5205132187639925</c:v>
                </c:pt>
                <c:pt idx="42">
                  <c:v>1.5472198245106379</c:v>
                </c:pt>
                <c:pt idx="43">
                  <c:v>1.5734197001070371</c:v>
                </c:pt>
                <c:pt idx="44">
                  <c:v>1.4197876365384505</c:v>
                </c:pt>
                <c:pt idx="45">
                  <c:v>1.5475929050321693</c:v>
                </c:pt>
                <c:pt idx="46">
                  <c:v>1.6642371217023106</c:v>
                </c:pt>
                <c:pt idx="47">
                  <c:v>1.764306560066085</c:v>
                </c:pt>
                <c:pt idx="48">
                  <c:v>1.6853496973869782</c:v>
                </c:pt>
                <c:pt idx="49">
                  <c:v>1.6097647508123634</c:v>
                </c:pt>
                <c:pt idx="50">
                  <c:v>1.4539276358086561</c:v>
                </c:pt>
                <c:pt idx="51">
                  <c:v>1.3520407255440003</c:v>
                </c:pt>
                <c:pt idx="52">
                  <c:v>1.3986098400000007</c:v>
                </c:pt>
                <c:pt idx="53">
                  <c:v>1.4399166666666667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1-4BC3-9E83-041D5ACAF851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Germany!$A$44:$A$97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Germany!$BH$44:$BH$97</c:f>
              <c:numCache>
                <c:formatCode>0.0000</c:formatCode>
                <c:ptCount val="54"/>
                <c:pt idx="0">
                  <c:v>1.0440439690215597</c:v>
                </c:pt>
                <c:pt idx="1">
                  <c:v>1.0107848282935166</c:v>
                </c:pt>
                <c:pt idx="2">
                  <c:v>1.042752275551315</c:v>
                </c:pt>
                <c:pt idx="3">
                  <c:v>1.0312499838008329</c:v>
                </c:pt>
                <c:pt idx="4">
                  <c:v>0.95576855436084651</c:v>
                </c:pt>
                <c:pt idx="5">
                  <c:v>0.92567366359440972</c:v>
                </c:pt>
                <c:pt idx="6">
                  <c:v>1.0144535677863245</c:v>
                </c:pt>
                <c:pt idx="7">
                  <c:v>0.84973008072881884</c:v>
                </c:pt>
                <c:pt idx="8">
                  <c:v>1.0406202017392481</c:v>
                </c:pt>
                <c:pt idx="9">
                  <c:v>1.2216286655739585</c:v>
                </c:pt>
                <c:pt idx="10">
                  <c:v>1.0785842339936917</c:v>
                </c:pt>
                <c:pt idx="11">
                  <c:v>1.1575581759407054</c:v>
                </c:pt>
                <c:pt idx="12">
                  <c:v>1.2941087338639421</c:v>
                </c:pt>
                <c:pt idx="13">
                  <c:v>1.0736226462607219</c:v>
                </c:pt>
                <c:pt idx="14">
                  <c:v>1.1544694386729502</c:v>
                </c:pt>
                <c:pt idx="15">
                  <c:v>1.2417157113737816</c:v>
                </c:pt>
                <c:pt idx="16">
                  <c:v>1.4014817221895319</c:v>
                </c:pt>
                <c:pt idx="17">
                  <c:v>1.3109778198360751</c:v>
                </c:pt>
                <c:pt idx="18">
                  <c:v>1.2433891164409225</c:v>
                </c:pt>
                <c:pt idx="19">
                  <c:v>1.2452270434116943</c:v>
                </c:pt>
                <c:pt idx="20">
                  <c:v>1.2325075221689727</c:v>
                </c:pt>
                <c:pt idx="21">
                  <c:v>0.95843087139718319</c:v>
                </c:pt>
                <c:pt idx="22">
                  <c:v>0.90797207606388952</c:v>
                </c:pt>
                <c:pt idx="23">
                  <c:v>0.87218538525282696</c:v>
                </c:pt>
                <c:pt idx="24">
                  <c:v>0.99749288368236633</c:v>
                </c:pt>
                <c:pt idx="25">
                  <c:v>0.92139022879967203</c:v>
                </c:pt>
                <c:pt idx="26">
                  <c:v>0.99252819360465938</c:v>
                </c:pt>
                <c:pt idx="27">
                  <c:v>0.99141852925838914</c:v>
                </c:pt>
                <c:pt idx="28">
                  <c:v>0.95341282977706998</c:v>
                </c:pt>
                <c:pt idx="29">
                  <c:v>1.0500770792891074</c:v>
                </c:pt>
                <c:pt idx="30">
                  <c:v>1.0269523304683199</c:v>
                </c:pt>
                <c:pt idx="31">
                  <c:v>1.0473954304616999</c:v>
                </c:pt>
                <c:pt idx="32">
                  <c:v>1.0425956836287638</c:v>
                </c:pt>
                <c:pt idx="33">
                  <c:v>0.99006728936130528</c:v>
                </c:pt>
                <c:pt idx="34">
                  <c:v>1.0893174288824057</c:v>
                </c:pt>
                <c:pt idx="35">
                  <c:v>1.2828552514355482</c:v>
                </c:pt>
                <c:pt idx="36">
                  <c:v>1.2733588421762436</c:v>
                </c:pt>
                <c:pt idx="37">
                  <c:v>1.3005939054756031</c:v>
                </c:pt>
                <c:pt idx="38">
                  <c:v>1.3272005384367966</c:v>
                </c:pt>
                <c:pt idx="39">
                  <c:v>1.3859382299129044</c:v>
                </c:pt>
                <c:pt idx="40">
                  <c:v>1.4660604733560485</c:v>
                </c:pt>
                <c:pt idx="41">
                  <c:v>1.50999542379215</c:v>
                </c:pt>
                <c:pt idx="42">
                  <c:v>1.5346390152366325</c:v>
                </c:pt>
                <c:pt idx="43">
                  <c:v>1.601398897428042</c:v>
                </c:pt>
                <c:pt idx="44">
                  <c:v>1.4408188613409487</c:v>
                </c:pt>
                <c:pt idx="45">
                  <c:v>1.5439009914504498</c:v>
                </c:pt>
                <c:pt idx="46">
                  <c:v>1.6527800090002702</c:v>
                </c:pt>
                <c:pt idx="47">
                  <c:v>1.7326800164457288</c:v>
                </c:pt>
                <c:pt idx="48">
                  <c:v>1.6713640833310925</c:v>
                </c:pt>
                <c:pt idx="49">
                  <c:v>1.6084781330905229</c:v>
                </c:pt>
                <c:pt idx="50">
                  <c:v>1.4147751007712086</c:v>
                </c:pt>
                <c:pt idx="51">
                  <c:v>1.3468660901269913</c:v>
                </c:pt>
                <c:pt idx="52">
                  <c:v>1.3952359712066595</c:v>
                </c:pt>
                <c:pt idx="53">
                  <c:v>1.4583844587748889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1-4BC3-9E83-041D5ACAF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828736"/>
        <c:axId val="151830528"/>
      </c:lineChart>
      <c:catAx>
        <c:axId val="1518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830528"/>
        <c:crosses val="autoZero"/>
        <c:auto val="1"/>
        <c:lblAlgn val="ctr"/>
        <c:lblOffset val="100"/>
        <c:noMultiLvlLbl val="0"/>
      </c:catAx>
      <c:valAx>
        <c:axId val="151830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5182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9074691090558"/>
          <c:y val="0.55166401291251332"/>
          <c:w val="0.14976658166839465"/>
          <c:h val="0.169309224158614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Greece!$I$69:$I$89</c:f>
              <c:numCache>
                <c:formatCode>0.000</c:formatCode>
                <c:ptCount val="21"/>
                <c:pt idx="0">
                  <c:v>0.34921356370974138</c:v>
                </c:pt>
                <c:pt idx="1">
                  <c:v>0.41329979906901637</c:v>
                </c:pt>
                <c:pt idx="2">
                  <c:v>0.51021497450005437</c:v>
                </c:pt>
                <c:pt idx="3">
                  <c:v>0.53506768875442967</c:v>
                </c:pt>
                <c:pt idx="4">
                  <c:v>0.59227873847962786</c:v>
                </c:pt>
                <c:pt idx="5">
                  <c:v>0.61207305111274146</c:v>
                </c:pt>
                <c:pt idx="6">
                  <c:v>0.68369551557194386</c:v>
                </c:pt>
                <c:pt idx="7">
                  <c:v>0.65322643818849457</c:v>
                </c:pt>
                <c:pt idx="8">
                  <c:v>0.61463525091799265</c:v>
                </c:pt>
                <c:pt idx="9">
                  <c:v>0.60522276621787019</c:v>
                </c:pt>
                <c:pt idx="10">
                  <c:v>0.76900000000000002</c:v>
                </c:pt>
                <c:pt idx="11">
                  <c:v>0.754</c:v>
                </c:pt>
                <c:pt idx="12">
                  <c:v>0.73499999999999999</c:v>
                </c:pt>
                <c:pt idx="13">
                  <c:v>0.74</c:v>
                </c:pt>
                <c:pt idx="14">
                  <c:v>0.81200000000000006</c:v>
                </c:pt>
                <c:pt idx="15">
                  <c:v>0.88200000000000001</c:v>
                </c:pt>
                <c:pt idx="16">
                  <c:v>0.96799999999999997</c:v>
                </c:pt>
                <c:pt idx="17">
                  <c:v>1.0129999999999999</c:v>
                </c:pt>
                <c:pt idx="18">
                  <c:v>1.1100000000000001</c:v>
                </c:pt>
                <c:pt idx="19">
                  <c:v>1.004</c:v>
                </c:pt>
                <c:pt idx="20">
                  <c:v>1.419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8-43F8-8EC8-7B38598E4C75}"/>
            </c:ext>
          </c:extLst>
        </c:ser>
        <c:ser>
          <c:idx val="1"/>
          <c:order val="1"/>
          <c:marker>
            <c:symbol val="none"/>
          </c:marker>
          <c:val>
            <c:numRef>
              <c:f>Greece!$K$69:$K$89</c:f>
              <c:numCache>
                <c:formatCode>0.000</c:formatCode>
                <c:ptCount val="21"/>
                <c:pt idx="0">
                  <c:v>0.32943696450428395</c:v>
                </c:pt>
                <c:pt idx="1">
                  <c:v>0.42073806609547126</c:v>
                </c:pt>
                <c:pt idx="2">
                  <c:v>0.50450917992656064</c:v>
                </c:pt>
                <c:pt idx="3">
                  <c:v>0.59204528763769892</c:v>
                </c:pt>
                <c:pt idx="4">
                  <c:v>0.60522276621787019</c:v>
                </c:pt>
                <c:pt idx="5">
                  <c:v>0.62122399020807828</c:v>
                </c:pt>
                <c:pt idx="6">
                  <c:v>0.68334638922888613</c:v>
                </c:pt>
                <c:pt idx="7">
                  <c:v>0.65322643818849457</c:v>
                </c:pt>
                <c:pt idx="8">
                  <c:v>0.61463525091799265</c:v>
                </c:pt>
                <c:pt idx="9">
                  <c:v>0.60522276621787019</c:v>
                </c:pt>
                <c:pt idx="10">
                  <c:v>0.76900000000000002</c:v>
                </c:pt>
                <c:pt idx="11">
                  <c:v>0.754</c:v>
                </c:pt>
                <c:pt idx="12">
                  <c:v>0.73499999999999999</c:v>
                </c:pt>
                <c:pt idx="13">
                  <c:v>0.74</c:v>
                </c:pt>
                <c:pt idx="14">
                  <c:v>0.81200000000000006</c:v>
                </c:pt>
                <c:pt idx="15">
                  <c:v>0.88200000000000001</c:v>
                </c:pt>
                <c:pt idx="16">
                  <c:v>0.96799999999999997</c:v>
                </c:pt>
                <c:pt idx="17">
                  <c:v>1.0129999999999999</c:v>
                </c:pt>
                <c:pt idx="18">
                  <c:v>1.1100000000000001</c:v>
                </c:pt>
                <c:pt idx="19">
                  <c:v>1.004</c:v>
                </c:pt>
                <c:pt idx="20">
                  <c:v>1.419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8-43F8-8EC8-7B38598E4C75}"/>
            </c:ext>
          </c:extLst>
        </c:ser>
        <c:ser>
          <c:idx val="2"/>
          <c:order val="2"/>
          <c:marker>
            <c:symbol val="none"/>
          </c:marker>
          <c:val>
            <c:numRef>
              <c:f>Greece!$M$69:$M$89</c:f>
              <c:numCache>
                <c:formatCode>0.000</c:formatCode>
                <c:ptCount val="21"/>
                <c:pt idx="0">
                  <c:v>0</c:v>
                </c:pt>
                <c:pt idx="5">
                  <c:v>0.59860445096600623</c:v>
                </c:pt>
                <c:pt idx="6">
                  <c:v>0.56774389826363403</c:v>
                </c:pt>
                <c:pt idx="7">
                  <c:v>0.58242626559060884</c:v>
                </c:pt>
                <c:pt idx="8">
                  <c:v>0.56352567865003667</c:v>
                </c:pt>
                <c:pt idx="9">
                  <c:v>0.61490183418928834</c:v>
                </c:pt>
                <c:pt idx="10">
                  <c:v>0.77306060161408652</c:v>
                </c:pt>
                <c:pt idx="11">
                  <c:v>0.83822633895818033</c:v>
                </c:pt>
                <c:pt idx="12">
                  <c:v>0.82781863536316935</c:v>
                </c:pt>
                <c:pt idx="13">
                  <c:v>0.84992751283932511</c:v>
                </c:pt>
                <c:pt idx="14">
                  <c:v>0.91751738811445338</c:v>
                </c:pt>
                <c:pt idx="15">
                  <c:v>0.92547016385424319</c:v>
                </c:pt>
                <c:pt idx="16">
                  <c:v>0.92440588652482258</c:v>
                </c:pt>
                <c:pt idx="17">
                  <c:v>0.99001381249999998</c:v>
                </c:pt>
                <c:pt idx="18">
                  <c:v>1.0581449583333333</c:v>
                </c:pt>
                <c:pt idx="19">
                  <c:v>0.88540832500000011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8-43F8-8EC8-7B38598E4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09440"/>
        <c:axId val="152110976"/>
      </c:lineChart>
      <c:catAx>
        <c:axId val="15210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10976"/>
        <c:crosses val="autoZero"/>
        <c:auto val="1"/>
        <c:lblAlgn val="ctr"/>
        <c:lblOffset val="100"/>
        <c:noMultiLvlLbl val="0"/>
      </c:catAx>
      <c:valAx>
        <c:axId val="152110976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5210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22131300272041E-2"/>
          <c:y val="3.4108510476220238E-2"/>
          <c:w val="0.82734080944979183"/>
          <c:h val="0.83774164060714629"/>
        </c:manualLayout>
      </c:layout>
      <c:lineChart>
        <c:grouping val="standard"/>
        <c:varyColors val="0"/>
        <c:ser>
          <c:idx val="0"/>
          <c:order val="0"/>
          <c:tx>
            <c:strRef>
              <c:f>'World Oil Price analysis'!$B$105</c:f>
              <c:strCache>
                <c:ptCount val="1"/>
                <c:pt idx="0">
                  <c:v>real oil price (LHS)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analysis'!$A$106:$A$154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analysis'!$B$106:$B$154</c:f>
              <c:numCache>
                <c:formatCode>0.00</c:formatCode>
                <c:ptCount val="49"/>
                <c:pt idx="0">
                  <c:v>19.491740993610982</c:v>
                </c:pt>
                <c:pt idx="1">
                  <c:v>18.793578391027218</c:v>
                </c:pt>
                <c:pt idx="2">
                  <c:v>17.439690979476033</c:v>
                </c:pt>
                <c:pt idx="3">
                  <c:v>15.893205250610167</c:v>
                </c:pt>
                <c:pt idx="4">
                  <c:v>45.154443786859268</c:v>
                </c:pt>
                <c:pt idx="5">
                  <c:v>42.354994859681113</c:v>
                </c:pt>
                <c:pt idx="6">
                  <c:v>44.212643376667735</c:v>
                </c:pt>
                <c:pt idx="7">
                  <c:v>44.193923022410409</c:v>
                </c:pt>
                <c:pt idx="8">
                  <c:v>38.102909568822163</c:v>
                </c:pt>
                <c:pt idx="9">
                  <c:v>49.758314706931465</c:v>
                </c:pt>
                <c:pt idx="10">
                  <c:v>68.85799256247951</c:v>
                </c:pt>
                <c:pt idx="11">
                  <c:v>74.251447206907059</c:v>
                </c:pt>
                <c:pt idx="12">
                  <c:v>68.060300646238474</c:v>
                </c:pt>
                <c:pt idx="13">
                  <c:v>59.41719782913038</c:v>
                </c:pt>
                <c:pt idx="14">
                  <c:v>58.49701537504626</c:v>
                </c:pt>
                <c:pt idx="15">
                  <c:v>52.786815702870925</c:v>
                </c:pt>
                <c:pt idx="16">
                  <c:v>25.378370676486295</c:v>
                </c:pt>
                <c:pt idx="17">
                  <c:v>28.326737977139747</c:v>
                </c:pt>
                <c:pt idx="18">
                  <c:v>21.925556419614566</c:v>
                </c:pt>
                <c:pt idx="19">
                  <c:v>26.913724633883639</c:v>
                </c:pt>
                <c:pt idx="20">
                  <c:v>30.126983820590109</c:v>
                </c:pt>
                <c:pt idx="21">
                  <c:v>25.217583773540373</c:v>
                </c:pt>
                <c:pt idx="22">
                  <c:v>22.718200420677974</c:v>
                </c:pt>
                <c:pt idx="23">
                  <c:v>19.927916307818762</c:v>
                </c:pt>
                <c:pt idx="24">
                  <c:v>17.610224664640008</c:v>
                </c:pt>
                <c:pt idx="25">
                  <c:v>17.329574131880065</c:v>
                </c:pt>
                <c:pt idx="26">
                  <c:v>21.194578827543335</c:v>
                </c:pt>
                <c:pt idx="27">
                  <c:v>20.392921748364621</c:v>
                </c:pt>
                <c:pt idx="28">
                  <c:v>14.205952566041114</c:v>
                </c:pt>
                <c:pt idx="29">
                  <c:v>16.764550201840873</c:v>
                </c:pt>
                <c:pt idx="30">
                  <c:v>26.54152388194677</c:v>
                </c:pt>
                <c:pt idx="31">
                  <c:v>22.406884041211946</c:v>
                </c:pt>
                <c:pt idx="32">
                  <c:v>22.736945637603462</c:v>
                </c:pt>
                <c:pt idx="33">
                  <c:v>23.721167813751634</c:v>
                </c:pt>
                <c:pt idx="34">
                  <c:v>28.100482104718832</c:v>
                </c:pt>
                <c:pt idx="35">
                  <c:v>38.395251293511997</c:v>
                </c:pt>
                <c:pt idx="36">
                  <c:v>44.865261126876618</c:v>
                </c:pt>
                <c:pt idx="37">
                  <c:v>47.36583359030093</c:v>
                </c:pt>
                <c:pt idx="38">
                  <c:v>60.41110623004873</c:v>
                </c:pt>
                <c:pt idx="39">
                  <c:v>40.250770631115643</c:v>
                </c:pt>
                <c:pt idx="40">
                  <c:v>50.822862087170627</c:v>
                </c:pt>
                <c:pt idx="41">
                  <c:v>65.864539914281522</c:v>
                </c:pt>
                <c:pt idx="42">
                  <c:v>67.886985516243257</c:v>
                </c:pt>
                <c:pt idx="43">
                  <c:v>65.311137437317441</c:v>
                </c:pt>
                <c:pt idx="44">
                  <c:v>58.509475805917226</c:v>
                </c:pt>
                <c:pt idx="45">
                  <c:v>32.623358804674254</c:v>
                </c:pt>
                <c:pt idx="46">
                  <c:v>26.650767151737266</c:v>
                </c:pt>
                <c:pt idx="47">
                  <c:v>33.58932103739815</c:v>
                </c:pt>
                <c:pt idx="48">
                  <c:v>42.978527578386846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3-4011-88EA-C1B29EE2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883896"/>
        <c:axId val="722908824"/>
      </c:lineChart>
      <c:lineChart>
        <c:grouping val="standard"/>
        <c:varyColors val="0"/>
        <c:ser>
          <c:idx val="1"/>
          <c:order val="1"/>
          <c:tx>
            <c:v> inverse change in liquids/GDP *3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analysis'!$A$106:$A$154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analysis'!$C$106:$C$154</c:f>
              <c:numCache>
                <c:formatCode>0.00</c:formatCode>
                <c:ptCount val="49"/>
                <c:pt idx="0">
                  <c:v>-10.458610227429988</c:v>
                </c:pt>
                <c:pt idx="1">
                  <c:v>-8.0407284036116735</c:v>
                </c:pt>
                <c:pt idx="2">
                  <c:v>-5.3076135988309403</c:v>
                </c:pt>
                <c:pt idx="3">
                  <c:v>-2.4594236387229906</c:v>
                </c:pt>
                <c:pt idx="4">
                  <c:v>2.2491734860985657</c:v>
                </c:pt>
                <c:pt idx="5">
                  <c:v>5.4112226944123707</c:v>
                </c:pt>
                <c:pt idx="6">
                  <c:v>4.6319944703419216</c:v>
                </c:pt>
                <c:pt idx="7">
                  <c:v>2.4261318752532568</c:v>
                </c:pt>
                <c:pt idx="8">
                  <c:v>1.7959924639077751</c:v>
                </c:pt>
                <c:pt idx="9">
                  <c:v>5.5038719699773697</c:v>
                </c:pt>
                <c:pt idx="10">
                  <c:v>10.588692886739302</c:v>
                </c:pt>
                <c:pt idx="11">
                  <c:v>15.391148861418417</c:v>
                </c:pt>
                <c:pt idx="12">
                  <c:v>17.165711740023774</c:v>
                </c:pt>
                <c:pt idx="13">
                  <c:v>13.356775426568738</c:v>
                </c:pt>
                <c:pt idx="14">
                  <c:v>9.7390588617428335</c:v>
                </c:pt>
                <c:pt idx="15">
                  <c:v>6.8140210873173341</c:v>
                </c:pt>
                <c:pt idx="16">
                  <c:v>5.1887302407861879</c:v>
                </c:pt>
                <c:pt idx="17">
                  <c:v>4.1308486413962173</c:v>
                </c:pt>
                <c:pt idx="18">
                  <c:v>3.4107239787187495</c:v>
                </c:pt>
                <c:pt idx="19">
                  <c:v>3.0649764722246342</c:v>
                </c:pt>
                <c:pt idx="20">
                  <c:v>2.988720842332615</c:v>
                </c:pt>
                <c:pt idx="21">
                  <c:v>4.4464048025183223</c:v>
                </c:pt>
                <c:pt idx="22">
                  <c:v>5.398251640032603</c:v>
                </c:pt>
                <c:pt idx="23">
                  <c:v>5.1134837462619043</c:v>
                </c:pt>
                <c:pt idx="24">
                  <c:v>3.9636193404704922</c:v>
                </c:pt>
                <c:pt idx="25">
                  <c:v>3.324284065361244</c:v>
                </c:pt>
                <c:pt idx="26">
                  <c:v>3.1783578357661546</c:v>
                </c:pt>
                <c:pt idx="27">
                  <c:v>2.3359560950233451</c:v>
                </c:pt>
                <c:pt idx="28">
                  <c:v>3.1516098834569792</c:v>
                </c:pt>
                <c:pt idx="29">
                  <c:v>4.8694831534998153</c:v>
                </c:pt>
                <c:pt idx="30">
                  <c:v>6.4575491098054432</c:v>
                </c:pt>
                <c:pt idx="31">
                  <c:v>7.9177902318869346</c:v>
                </c:pt>
                <c:pt idx="32">
                  <c:v>8.0278020051518357</c:v>
                </c:pt>
                <c:pt idx="33">
                  <c:v>7.1538415508345325</c:v>
                </c:pt>
                <c:pt idx="34">
                  <c:v>5.3892907293598693</c:v>
                </c:pt>
                <c:pt idx="35">
                  <c:v>6.2392727017088374</c:v>
                </c:pt>
                <c:pt idx="36">
                  <c:v>10.281973745842832</c:v>
                </c:pt>
                <c:pt idx="37">
                  <c:v>12.084631293976173</c:v>
                </c:pt>
                <c:pt idx="38">
                  <c:v>9.6189992218590632</c:v>
                </c:pt>
                <c:pt idx="39">
                  <c:v>6.5033530454038306</c:v>
                </c:pt>
                <c:pt idx="40">
                  <c:v>6.2052925016684517</c:v>
                </c:pt>
                <c:pt idx="41">
                  <c:v>7.0404095013645591</c:v>
                </c:pt>
                <c:pt idx="42">
                  <c:v>6.9357279876840545</c:v>
                </c:pt>
                <c:pt idx="43">
                  <c:v>5.806982750488304</c:v>
                </c:pt>
                <c:pt idx="44">
                  <c:v>4.2644013975538355</c:v>
                </c:pt>
                <c:pt idx="45">
                  <c:v>3.6992605119204045</c:v>
                </c:pt>
                <c:pt idx="46">
                  <c:v>4.1220480709614202</c:v>
                </c:pt>
                <c:pt idx="47">
                  <c:v>5.7530864781699105</c:v>
                </c:pt>
                <c:pt idx="48">
                  <c:v>6.8452747863826762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3-4011-88EA-C1B29EE22A23}"/>
            </c:ext>
          </c:extLst>
        </c:ser>
        <c:ser>
          <c:idx val="2"/>
          <c:order val="2"/>
          <c:tx>
            <c:strRef>
              <c:f>'World Oil Price analysis'!$D$105</c:f>
              <c:strCache>
                <c:ptCount val="1"/>
                <c:pt idx="0">
                  <c:v>stock shortage * 10 (RHS)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analysis'!$A$106:$A$154</c:f>
              <c:numCache>
                <c:formatCode>General</c:formatCode>
                <c:ptCount val="49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</c:numCache>
            </c:numRef>
          </c:cat>
          <c:val>
            <c:numRef>
              <c:f>'World Oil Price analysis'!$D$106:$D$154</c:f>
              <c:numCache>
                <c:formatCode>General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.00">
                  <c:v>2.7874999999983885E-2</c:v>
                </c:pt>
                <c:pt idx="17" formatCode="0.00">
                  <c:v>-0.28450799121705117</c:v>
                </c:pt>
                <c:pt idx="18" formatCode="0.00">
                  <c:v>0.36123401756591456</c:v>
                </c:pt>
                <c:pt idx="19" formatCode="0.00">
                  <c:v>-2.4148973651119121E-2</c:v>
                </c:pt>
                <c:pt idx="20" formatCode="0.00">
                  <c:v>0.21096803513183993</c:v>
                </c:pt>
                <c:pt idx="21" formatCode="0.00">
                  <c:v>-0.92266495608519961</c:v>
                </c:pt>
                <c:pt idx="22" formatCode="0.00">
                  <c:v>-0.14917294730223851</c:v>
                </c:pt>
                <c:pt idx="23" formatCode="0.00">
                  <c:v>8.5944061480720535E-2</c:v>
                </c:pt>
                <c:pt idx="24" formatCode="0.00">
                  <c:v>-5.3063929736314464E-2</c:v>
                </c:pt>
                <c:pt idx="25" formatCode="0.00">
                  <c:v>0.27330307904664508</c:v>
                </c:pt>
                <c:pt idx="26" formatCode="0.00">
                  <c:v>2.3334200878296052</c:v>
                </c:pt>
                <c:pt idx="27" formatCode="0.00">
                  <c:v>3.2985370966125682</c:v>
                </c:pt>
                <c:pt idx="28" formatCode="0.00">
                  <c:v>1.5261541053955341</c:v>
                </c:pt>
                <c:pt idx="29" formatCode="0.00">
                  <c:v>-0.42872888582150104</c:v>
                </c:pt>
                <c:pt idx="30" formatCode="0.00">
                  <c:v>3.1826381229614586</c:v>
                </c:pt>
                <c:pt idx="31" formatCode="0.00">
                  <c:v>-0.50599486825557705</c:v>
                </c:pt>
                <c:pt idx="32" formatCode="0.00">
                  <c:v>-2.0958778594726102</c:v>
                </c:pt>
                <c:pt idx="33" formatCode="0.00">
                  <c:v>1.0592391493103559</c:v>
                </c:pt>
                <c:pt idx="34" formatCode="0.00">
                  <c:v>2.0243561580933189</c:v>
                </c:pt>
                <c:pt idx="35" formatCode="0.00">
                  <c:v>1.1644731668762809</c:v>
                </c:pt>
                <c:pt idx="36" formatCode="0.00">
                  <c:v>1.8558401756592424</c:v>
                </c:pt>
                <c:pt idx="37" formatCode="0.00">
                  <c:v>8.6314491932251691</c:v>
                </c:pt>
                <c:pt idx="38" formatCode="0.00">
                  <c:v>9.8429412020081308</c:v>
                </c:pt>
                <c:pt idx="39" formatCode="0.00">
                  <c:v>10.76243321079116</c:v>
                </c:pt>
                <c:pt idx="40" formatCode="0.00">
                  <c:v>10.388308210791157</c:v>
                </c:pt>
                <c:pt idx="41" formatCode="0.00">
                  <c:v>14.64968321079116</c:v>
                </c:pt>
                <c:pt idx="42" formatCode="0.00">
                  <c:v>13.299183210791163</c:v>
                </c:pt>
                <c:pt idx="43" formatCode="0.00">
                  <c:v>14.813933210791168</c:v>
                </c:pt>
                <c:pt idx="44" formatCode="0.00">
                  <c:v>11.483308210791172</c:v>
                </c:pt>
                <c:pt idx="45" formatCode="0.00">
                  <c:v>4.7764332107911756</c:v>
                </c:pt>
                <c:pt idx="46" formatCode="0.00">
                  <c:v>3.5628082107911752</c:v>
                </c:pt>
                <c:pt idx="47" formatCode="0.00">
                  <c:v>5.3969332107911772</c:v>
                </c:pt>
                <c:pt idx="48" formatCode="0.00">
                  <c:v>3.9004332107911743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3-4011-88EA-C1B29EE2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939328"/>
        <c:axId val="722939000"/>
      </c:lineChart>
      <c:catAx>
        <c:axId val="72288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908824"/>
        <c:crosses val="autoZero"/>
        <c:auto val="1"/>
        <c:lblAlgn val="ctr"/>
        <c:lblOffset val="100"/>
        <c:noMultiLvlLbl val="0"/>
      </c:catAx>
      <c:valAx>
        <c:axId val="72290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2010</a:t>
                </a:r>
                <a:r>
                  <a:rPr lang="en-AU" baseline="0"/>
                  <a:t> SDRs/barrel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7528571892254485E-2"/>
              <c:y val="0.3369173719502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883896"/>
        <c:crosses val="autoZero"/>
        <c:crossBetween val="between"/>
      </c:valAx>
      <c:valAx>
        <c:axId val="72293900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939328"/>
        <c:crosses val="max"/>
        <c:crossBetween val="between"/>
      </c:valAx>
      <c:catAx>
        <c:axId val="72293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29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218009376772379"/>
          <c:y val="0.66583548027321959"/>
          <c:w val="0.36040330035859874"/>
          <c:h val="0.14737537819672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43737814922483E-2"/>
          <c:y val="3.2181216478375477E-2"/>
          <c:w val="0.85914428642676965"/>
          <c:h val="0.85026566244436863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Greece!$AW$44:$AW$97</c:f>
              <c:numCache>
                <c:formatCode>0.00</c:formatCode>
                <c:ptCount val="54"/>
                <c:pt idx="0">
                  <c:v>0.38746411406281933</c:v>
                </c:pt>
                <c:pt idx="1">
                  <c:v>0.36935342413184502</c:v>
                </c:pt>
                <c:pt idx="2">
                  <c:v>0.32960072831696541</c:v>
                </c:pt>
                <c:pt idx="3">
                  <c:v>0.32913556274910005</c:v>
                </c:pt>
                <c:pt idx="4">
                  <c:v>0.32068091945717747</c:v>
                </c:pt>
                <c:pt idx="5">
                  <c:v>0.31181998558942092</c:v>
                </c:pt>
                <c:pt idx="6">
                  <c:v>0.30188950621362209</c:v>
                </c:pt>
                <c:pt idx="7">
                  <c:v>0.3915831452157732</c:v>
                </c:pt>
                <c:pt idx="8">
                  <c:v>0.39305347295661219</c:v>
                </c:pt>
                <c:pt idx="9">
                  <c:v>0.53454688280654739</c:v>
                </c:pt>
                <c:pt idx="10">
                  <c:v>0.46236194984470735</c:v>
                </c:pt>
                <c:pt idx="11">
                  <c:v>0.62446363628002621</c:v>
                </c:pt>
                <c:pt idx="12">
                  <c:v>0.54091256405604837</c:v>
                </c:pt>
                <c:pt idx="13">
                  <c:v>0.59736953790225455</c:v>
                </c:pt>
                <c:pt idx="14">
                  <c:v>0.61160010433394674</c:v>
                </c:pt>
                <c:pt idx="15">
                  <c:v>0.66478106164720807</c:v>
                </c:pt>
                <c:pt idx="16">
                  <c:v>0.61648808685471823</c:v>
                </c:pt>
                <c:pt idx="17">
                  <c:v>0.56093774503242022</c:v>
                </c:pt>
                <c:pt idx="18">
                  <c:v>0.52757255399203884</c:v>
                </c:pt>
                <c:pt idx="19">
                  <c:v>0.48368226366841538</c:v>
                </c:pt>
                <c:pt idx="20">
                  <c:v>0.49532097382854845</c:v>
                </c:pt>
                <c:pt idx="21">
                  <c:v>0.45132161033463014</c:v>
                </c:pt>
                <c:pt idx="22">
                  <c:v>0.37802697748629699</c:v>
                </c:pt>
                <c:pt idx="23">
                  <c:v>0.32784268767631886</c:v>
                </c:pt>
                <c:pt idx="24">
                  <c:v>0.28371132163308765</c:v>
                </c:pt>
                <c:pt idx="25">
                  <c:v>0.35737087360988251</c:v>
                </c:pt>
                <c:pt idx="26">
                  <c:v>0.3482629197685716</c:v>
                </c:pt>
                <c:pt idx="27">
                  <c:v>0.37102035615803053</c:v>
                </c:pt>
                <c:pt idx="28">
                  <c:v>0.39713066167746025</c:v>
                </c:pt>
                <c:pt idx="29">
                  <c:v>0.28649448981749281</c:v>
                </c:pt>
                <c:pt idx="30">
                  <c:v>0.29242204769219404</c:v>
                </c:pt>
                <c:pt idx="31">
                  <c:v>0.4205605437416633</c:v>
                </c:pt>
                <c:pt idx="32">
                  <c:v>0.36651360663964505</c:v>
                </c:pt>
                <c:pt idx="33">
                  <c:v>0.32387898575555252</c:v>
                </c:pt>
                <c:pt idx="34">
                  <c:v>0.3041628665705951</c:v>
                </c:pt>
                <c:pt idx="35">
                  <c:v>0.50233852469221951</c:v>
                </c:pt>
                <c:pt idx="36">
                  <c:v>0.4595327829000474</c:v>
                </c:pt>
                <c:pt idx="37">
                  <c:v>0.42262108663040443</c:v>
                </c:pt>
                <c:pt idx="38">
                  <c:v>0.41350017876654133</c:v>
                </c:pt>
                <c:pt idx="39">
                  <c:v>0.47590231564746699</c:v>
                </c:pt>
                <c:pt idx="40">
                  <c:v>0.52177626230323304</c:v>
                </c:pt>
                <c:pt idx="41">
                  <c:v>0.57747579137838245</c:v>
                </c:pt>
                <c:pt idx="42">
                  <c:v>0.57426990922623955</c:v>
                </c:pt>
                <c:pt idx="43">
                  <c:v>0.61762344568202476</c:v>
                </c:pt>
                <c:pt idx="44">
                  <c:v>0.46775025077092436</c:v>
                </c:pt>
                <c:pt idx="45">
                  <c:v>0.54211475409836052</c:v>
                </c:pt>
                <c:pt idx="46">
                  <c:v>0.65015377196105284</c:v>
                </c:pt>
                <c:pt idx="47">
                  <c:v>0.70381061508431264</c:v>
                </c:pt>
                <c:pt idx="48">
                  <c:v>0.66635745993184348</c:v>
                </c:pt>
                <c:pt idx="49">
                  <c:v>0.64440456576779215</c:v>
                </c:pt>
                <c:pt idx="50">
                  <c:v>0.51898040852790916</c:v>
                </c:pt>
                <c:pt idx="51">
                  <c:v>0.44884601287478776</c:v>
                </c:pt>
                <c:pt idx="52">
                  <c:v>0.50325005193675476</c:v>
                </c:pt>
                <c:pt idx="53">
                  <c:v>0.53401718083921912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7-4EE7-BA9B-ADEB55D65056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Greece!$AX$44:$AX$97</c:f>
              <c:numCache>
                <c:formatCode>0.00</c:formatCode>
                <c:ptCount val="54"/>
                <c:pt idx="0">
                  <c:v>0.38634447776371955</c:v>
                </c:pt>
                <c:pt idx="1">
                  <c:v>0.3805588121536953</c:v>
                </c:pt>
                <c:pt idx="2">
                  <c:v>0.32047858801516821</c:v>
                </c:pt>
                <c:pt idx="3">
                  <c:v>0.3203176725239244</c:v>
                </c:pt>
                <c:pt idx="4">
                  <c:v>0.31734302305331691</c:v>
                </c:pt>
                <c:pt idx="5">
                  <c:v>0.31588903296932719</c:v>
                </c:pt>
                <c:pt idx="6">
                  <c:v>0.31909838576454813</c:v>
                </c:pt>
                <c:pt idx="7">
                  <c:v>0.40876170458408068</c:v>
                </c:pt>
                <c:pt idx="8">
                  <c:v>0.40112015702088255</c:v>
                </c:pt>
                <c:pt idx="9">
                  <c:v>0.55822176392135747</c:v>
                </c:pt>
                <c:pt idx="10">
                  <c:v>0.55047046268861777</c:v>
                </c:pt>
                <c:pt idx="11">
                  <c:v>0.5654995398186452</c:v>
                </c:pt>
                <c:pt idx="12">
                  <c:v>0.55692767682138078</c:v>
                </c:pt>
                <c:pt idx="13">
                  <c:v>0.52722888320234218</c:v>
                </c:pt>
                <c:pt idx="14">
                  <c:v>0.58766110533860816</c:v>
                </c:pt>
                <c:pt idx="15">
                  <c:v>0.68256212349434975</c:v>
                </c:pt>
                <c:pt idx="16">
                  <c:v>0.625896990690331</c:v>
                </c:pt>
                <c:pt idx="17">
                  <c:v>0.58271476448042381</c:v>
                </c:pt>
                <c:pt idx="18">
                  <c:v>0.56403345048268916</c:v>
                </c:pt>
                <c:pt idx="19">
                  <c:v>0.48124973356598777</c:v>
                </c:pt>
                <c:pt idx="20">
                  <c:v>0.46393009404384211</c:v>
                </c:pt>
                <c:pt idx="21">
                  <c:v>0.4577737503015602</c:v>
                </c:pt>
                <c:pt idx="22">
                  <c:v>0.35354703903672802</c:v>
                </c:pt>
                <c:pt idx="23">
                  <c:v>0.30548216181669563</c:v>
                </c:pt>
                <c:pt idx="24">
                  <c:v>0.34339559268234571</c:v>
                </c:pt>
                <c:pt idx="25">
                  <c:v>0.34574172542865755</c:v>
                </c:pt>
                <c:pt idx="26">
                  <c:v>0.3440038955032671</c:v>
                </c:pt>
                <c:pt idx="27">
                  <c:v>0.37893879471857611</c:v>
                </c:pt>
                <c:pt idx="28">
                  <c:v>0.39935565492708491</c:v>
                </c:pt>
                <c:pt idx="29">
                  <c:v>0.33536830089015757</c:v>
                </c:pt>
                <c:pt idx="30">
                  <c:v>0.32808322946640622</c:v>
                </c:pt>
                <c:pt idx="31">
                  <c:v>0.34553426404287868</c:v>
                </c:pt>
                <c:pt idx="32">
                  <c:v>0.34569869903743988</c:v>
                </c:pt>
                <c:pt idx="33">
                  <c:v>0.30904540305299488</c:v>
                </c:pt>
                <c:pt idx="34">
                  <c:v>0.33030264372726437</c:v>
                </c:pt>
                <c:pt idx="35">
                  <c:v>0.47609563129933569</c:v>
                </c:pt>
                <c:pt idx="36">
                  <c:v>0.44267890545145233</c:v>
                </c:pt>
                <c:pt idx="37">
                  <c:v>0.43646298027706915</c:v>
                </c:pt>
                <c:pt idx="38">
                  <c:v>0.4241961027910815</c:v>
                </c:pt>
                <c:pt idx="39">
                  <c:v>0.44575921517543149</c:v>
                </c:pt>
                <c:pt idx="40">
                  <c:v>0.511064236499993</c:v>
                </c:pt>
                <c:pt idx="41">
                  <c:v>0.55017737848339232</c:v>
                </c:pt>
                <c:pt idx="42">
                  <c:v>0.5524086757234915</c:v>
                </c:pt>
                <c:pt idx="43">
                  <c:v>0.6180765187574575</c:v>
                </c:pt>
                <c:pt idx="44">
                  <c:v>0.50201264398062162</c:v>
                </c:pt>
                <c:pt idx="45">
                  <c:v>0.56826068564575105</c:v>
                </c:pt>
                <c:pt idx="46">
                  <c:v>0.64961605765948705</c:v>
                </c:pt>
                <c:pt idx="47">
                  <c:v>0.68290192261536597</c:v>
                </c:pt>
                <c:pt idx="48">
                  <c:v>0.66122810943175225</c:v>
                </c:pt>
                <c:pt idx="49">
                  <c:v>0.63215122443148264</c:v>
                </c:pt>
                <c:pt idx="50">
                  <c:v>0.49415607681720453</c:v>
                </c:pt>
                <c:pt idx="51">
                  <c:v>0.45460356534888402</c:v>
                </c:pt>
                <c:pt idx="52">
                  <c:v>0.50234170413272183</c:v>
                </c:pt>
                <c:pt idx="53">
                  <c:v>0.56529230496987282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7-4EE7-BA9B-ADEB55D65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37088"/>
        <c:axId val="152167552"/>
      </c:lineChart>
      <c:catAx>
        <c:axId val="1521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167552"/>
        <c:crosses val="autoZero"/>
        <c:auto val="1"/>
        <c:lblAlgn val="ctr"/>
        <c:lblOffset val="100"/>
        <c:noMultiLvlLbl val="0"/>
      </c:catAx>
      <c:valAx>
        <c:axId val="15216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5213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435359299016876"/>
          <c:y val="0.14011310363661189"/>
          <c:w val="0.17501467909245569"/>
          <c:h val="0.2061940740066451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68166479190225E-2"/>
          <c:y val="3.314184980608767E-2"/>
          <c:w val="0.8688175478065242"/>
          <c:h val="0.8457959807262898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Greece!$AT$44:$AT$97</c:f>
              <c:numCache>
                <c:formatCode>0.00</c:formatCode>
                <c:ptCount val="54"/>
                <c:pt idx="0">
                  <c:v>1.2184406102604382</c:v>
                </c:pt>
                <c:pt idx="1">
                  <c:v>1.1614887551315889</c:v>
                </c:pt>
                <c:pt idx="2">
                  <c:v>1.140486949193652</c:v>
                </c:pt>
                <c:pt idx="3">
                  <c:v>1.138877379754671</c:v>
                </c:pt>
                <c:pt idx="4">
                  <c:v>1.1096225586753539</c:v>
                </c:pt>
                <c:pt idx="5">
                  <c:v>1.0789618878526674</c:v>
                </c:pt>
                <c:pt idx="6">
                  <c:v>1.0446003675211835</c:v>
                </c:pt>
                <c:pt idx="7">
                  <c:v>1.1517151329875683</c:v>
                </c:pt>
                <c:pt idx="8">
                  <c:v>1.1560396263429771</c:v>
                </c:pt>
                <c:pt idx="9">
                  <c:v>1.7818229426884908</c:v>
                </c:pt>
                <c:pt idx="10">
                  <c:v>1.6512926780168116</c:v>
                </c:pt>
                <c:pt idx="11">
                  <c:v>1.7841818179429327</c:v>
                </c:pt>
                <c:pt idx="12">
                  <c:v>1.5454644687315671</c:v>
                </c:pt>
                <c:pt idx="13">
                  <c:v>1.7067701082921554</c:v>
                </c:pt>
                <c:pt idx="14">
                  <c:v>1.7474288695255622</c:v>
                </c:pt>
                <c:pt idx="15">
                  <c:v>1.8993744618491657</c:v>
                </c:pt>
                <c:pt idx="16">
                  <c:v>1.7613945338706236</c:v>
                </c:pt>
                <c:pt idx="17">
                  <c:v>1.6259065073403487</c:v>
                </c:pt>
                <c:pt idx="18">
                  <c:v>1.5516839823295261</c:v>
                </c:pt>
                <c:pt idx="19">
                  <c:v>1.4438276527415381</c:v>
                </c:pt>
                <c:pt idx="20">
                  <c:v>1.5009726479652989</c:v>
                </c:pt>
                <c:pt idx="21">
                  <c:v>1.3886818779527079</c:v>
                </c:pt>
                <c:pt idx="22">
                  <c:v>1.1813343046446783</c:v>
                </c:pt>
                <c:pt idx="23">
                  <c:v>1.0407704370676791</c:v>
                </c:pt>
                <c:pt idx="24">
                  <c:v>0.91519781171963788</c:v>
                </c:pt>
                <c:pt idx="25">
                  <c:v>1.1717077823274835</c:v>
                </c:pt>
                <c:pt idx="26">
                  <c:v>1.160876399228572</c:v>
                </c:pt>
                <c:pt idx="27">
                  <c:v>1.2367345205267679</c:v>
                </c:pt>
                <c:pt idx="28">
                  <c:v>1.1336087828358583</c:v>
                </c:pt>
                <c:pt idx="29">
                  <c:v>1.1317502251770226</c:v>
                </c:pt>
                <c:pt idx="30">
                  <c:v>1.0736487062691096</c:v>
                </c:pt>
                <c:pt idx="31">
                  <c:v>1.1084504833387818</c:v>
                </c:pt>
                <c:pt idx="32">
                  <c:v>1.0034983841552765</c:v>
                </c:pt>
                <c:pt idx="33">
                  <c:v>0.90125790871122791</c:v>
                </c:pt>
                <c:pt idx="34">
                  <c:v>0.86465819648613973</c:v>
                </c:pt>
                <c:pt idx="35">
                  <c:v>1.065077863629641</c:v>
                </c:pt>
                <c:pt idx="36">
                  <c:v>1.0102181943116975</c:v>
                </c:pt>
                <c:pt idx="37">
                  <c:v>0.95027291412047521</c:v>
                </c:pt>
                <c:pt idx="38">
                  <c:v>0.92411024800098229</c:v>
                </c:pt>
                <c:pt idx="39">
                  <c:v>0.98545678328314512</c:v>
                </c:pt>
                <c:pt idx="40">
                  <c:v>1.0337623251816432</c:v>
                </c:pt>
                <c:pt idx="41">
                  <c:v>1.0994230453757314</c:v>
                </c:pt>
                <c:pt idx="42">
                  <c:v>1.1181617926942791</c:v>
                </c:pt>
                <c:pt idx="43">
                  <c:v>1.1763789609248543</c:v>
                </c:pt>
                <c:pt idx="44">
                  <c:v>1.0513183392800001</c:v>
                </c:pt>
                <c:pt idx="45">
                  <c:v>1.419</c:v>
                </c:pt>
                <c:pt idx="46">
                  <c:v>1.6128650836352227</c:v>
                </c:pt>
                <c:pt idx="47">
                  <c:v>1.6683375193830789</c:v>
                </c:pt>
                <c:pt idx="48">
                  <c:v>1.6288996711218469</c:v>
                </c:pt>
                <c:pt idx="49">
                  <c:v>1.6119323053754218</c:v>
                </c:pt>
                <c:pt idx="50">
                  <c:v>1.4692387232703239</c:v>
                </c:pt>
                <c:pt idx="51">
                  <c:v>1.3945864000558803</c:v>
                </c:pt>
                <c:pt idx="52">
                  <c:v>1.4950925256485574</c:v>
                </c:pt>
                <c:pt idx="53">
                  <c:v>1.5595186718968228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A-40A4-88A7-B415F06D33C4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Greece!$AU$44:$AU$97</c:f>
              <c:numCache>
                <c:formatCode>0.00</c:formatCode>
                <c:ptCount val="54"/>
                <c:pt idx="0">
                  <c:v>1.2173209739613384</c:v>
                </c:pt>
                <c:pt idx="1">
                  <c:v>1.1726941431534392</c:v>
                </c:pt>
                <c:pt idx="2">
                  <c:v>1.1313648088918549</c:v>
                </c:pt>
                <c:pt idx="3">
                  <c:v>1.1300594895294953</c:v>
                </c:pt>
                <c:pt idx="4">
                  <c:v>1.1062846622714932</c:v>
                </c:pt>
                <c:pt idx="5">
                  <c:v>1.0830309352325738</c:v>
                </c:pt>
                <c:pt idx="6">
                  <c:v>1.0618092470721094</c:v>
                </c:pt>
                <c:pt idx="7">
                  <c:v>1.1688936923558759</c:v>
                </c:pt>
                <c:pt idx="8">
                  <c:v>1.1641063104072473</c:v>
                </c:pt>
                <c:pt idx="9">
                  <c:v>1.805497823803301</c:v>
                </c:pt>
                <c:pt idx="10">
                  <c:v>1.7394011908607219</c:v>
                </c:pt>
                <c:pt idx="11">
                  <c:v>1.7252177214815516</c:v>
                </c:pt>
                <c:pt idx="12">
                  <c:v>1.5614795814968994</c:v>
                </c:pt>
                <c:pt idx="13">
                  <c:v>1.636629453592243</c:v>
                </c:pt>
                <c:pt idx="14">
                  <c:v>1.7234898705302237</c:v>
                </c:pt>
                <c:pt idx="15">
                  <c:v>1.9171555236963074</c:v>
                </c:pt>
                <c:pt idx="16">
                  <c:v>1.7708034377062365</c:v>
                </c:pt>
                <c:pt idx="17">
                  <c:v>1.6476835267883523</c:v>
                </c:pt>
                <c:pt idx="18">
                  <c:v>1.5881448788201764</c:v>
                </c:pt>
                <c:pt idx="19">
                  <c:v>1.4413951226391104</c:v>
                </c:pt>
                <c:pt idx="20">
                  <c:v>1.4695817681805927</c:v>
                </c:pt>
                <c:pt idx="21">
                  <c:v>1.3951340179196379</c:v>
                </c:pt>
                <c:pt idx="22">
                  <c:v>1.1568543661951094</c:v>
                </c:pt>
                <c:pt idx="23">
                  <c:v>1.0184099112080558</c:v>
                </c:pt>
                <c:pt idx="24">
                  <c:v>0.97488208276889599</c:v>
                </c:pt>
                <c:pt idx="25">
                  <c:v>1.1600786341462586</c:v>
                </c:pt>
                <c:pt idx="26">
                  <c:v>1.1566173749632676</c:v>
                </c:pt>
                <c:pt idx="27">
                  <c:v>1.2446529590873134</c:v>
                </c:pt>
                <c:pt idx="28">
                  <c:v>1.1358337760854829</c:v>
                </c:pt>
                <c:pt idx="29">
                  <c:v>1.1806240362496874</c:v>
                </c:pt>
                <c:pt idx="30">
                  <c:v>1.1093098880433216</c:v>
                </c:pt>
                <c:pt idx="31">
                  <c:v>1.0334242036399972</c:v>
                </c:pt>
                <c:pt idx="32">
                  <c:v>0.98268347655307131</c:v>
                </c:pt>
                <c:pt idx="33">
                  <c:v>0.88642432600867027</c:v>
                </c:pt>
                <c:pt idx="34">
                  <c:v>0.89079797364280899</c:v>
                </c:pt>
                <c:pt idx="35">
                  <c:v>1.0388349702367572</c:v>
                </c:pt>
                <c:pt idx="36">
                  <c:v>0.99336431686310234</c:v>
                </c:pt>
                <c:pt idx="37">
                  <c:v>0.96411480776713998</c:v>
                </c:pt>
                <c:pt idx="38">
                  <c:v>0.93480617202552252</c:v>
                </c:pt>
                <c:pt idx="39">
                  <c:v>0.95531368281110962</c:v>
                </c:pt>
                <c:pt idx="40">
                  <c:v>1.0230502993784032</c:v>
                </c:pt>
                <c:pt idx="41">
                  <c:v>1.0721246324807412</c:v>
                </c:pt>
                <c:pt idx="42">
                  <c:v>1.0963005591915311</c:v>
                </c:pt>
                <c:pt idx="43">
                  <c:v>1.1768320340002871</c:v>
                </c:pt>
                <c:pt idx="44">
                  <c:v>1.0855807324896973</c:v>
                </c:pt>
                <c:pt idx="45">
                  <c:v>1.4451459315473905</c:v>
                </c:pt>
                <c:pt idx="46">
                  <c:v>1.6123273693336571</c:v>
                </c:pt>
                <c:pt idx="47">
                  <c:v>1.6474288269141324</c:v>
                </c:pt>
                <c:pt idx="48">
                  <c:v>1.6237703206217557</c:v>
                </c:pt>
                <c:pt idx="49">
                  <c:v>1.5996789640391123</c:v>
                </c:pt>
                <c:pt idx="50">
                  <c:v>1.4444143915596193</c:v>
                </c:pt>
                <c:pt idx="51">
                  <c:v>1.4003439525299766</c:v>
                </c:pt>
                <c:pt idx="52">
                  <c:v>1.4941841778445246</c:v>
                </c:pt>
                <c:pt idx="53">
                  <c:v>1.5907937960274765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A-40A4-88A7-B415F06D3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263680"/>
        <c:axId val="152265472"/>
      </c:lineChart>
      <c:catAx>
        <c:axId val="1522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265472"/>
        <c:crosses val="autoZero"/>
        <c:auto val="1"/>
        <c:lblAlgn val="ctr"/>
        <c:lblOffset val="100"/>
        <c:noMultiLvlLbl val="0"/>
      </c:catAx>
      <c:valAx>
        <c:axId val="15226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5226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14301753556603"/>
          <c:y val="8.7510923152410103E-2"/>
          <c:w val="0.15317102716757031"/>
          <c:h val="0.227006472113834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41826528440705E-2"/>
          <c:y val="3.6641979158545779E-2"/>
          <c:w val="0.79655032985741647"/>
          <c:h val="0.85402926119383593"/>
        </c:manualLayout>
      </c:layout>
      <c:lineChart>
        <c:grouping val="standard"/>
        <c:varyColors val="0"/>
        <c:ser>
          <c:idx val="0"/>
          <c:order val="0"/>
          <c:tx>
            <c:v> energy content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Greece!$AW$44:$AW$97</c:f>
              <c:numCache>
                <c:formatCode>0.00</c:formatCode>
                <c:ptCount val="54"/>
                <c:pt idx="0">
                  <c:v>0.38746411406281933</c:v>
                </c:pt>
                <c:pt idx="1">
                  <c:v>0.36935342413184502</c:v>
                </c:pt>
                <c:pt idx="2">
                  <c:v>0.32960072831696541</c:v>
                </c:pt>
                <c:pt idx="3">
                  <c:v>0.32913556274910005</c:v>
                </c:pt>
                <c:pt idx="4">
                  <c:v>0.32068091945717747</c:v>
                </c:pt>
                <c:pt idx="5">
                  <c:v>0.31181998558942092</c:v>
                </c:pt>
                <c:pt idx="6">
                  <c:v>0.30188950621362209</c:v>
                </c:pt>
                <c:pt idx="7">
                  <c:v>0.3915831452157732</c:v>
                </c:pt>
                <c:pt idx="8">
                  <c:v>0.39305347295661219</c:v>
                </c:pt>
                <c:pt idx="9">
                  <c:v>0.53454688280654739</c:v>
                </c:pt>
                <c:pt idx="10">
                  <c:v>0.46236194984470735</c:v>
                </c:pt>
                <c:pt idx="11">
                  <c:v>0.62446363628002621</c:v>
                </c:pt>
                <c:pt idx="12">
                  <c:v>0.54091256405604837</c:v>
                </c:pt>
                <c:pt idx="13">
                  <c:v>0.59736953790225455</c:v>
                </c:pt>
                <c:pt idx="14">
                  <c:v>0.61160010433394674</c:v>
                </c:pt>
                <c:pt idx="15">
                  <c:v>0.66478106164720807</c:v>
                </c:pt>
                <c:pt idx="16">
                  <c:v>0.61648808685471823</c:v>
                </c:pt>
                <c:pt idx="17">
                  <c:v>0.56093774503242022</c:v>
                </c:pt>
                <c:pt idx="18">
                  <c:v>0.52757255399203884</c:v>
                </c:pt>
                <c:pt idx="19">
                  <c:v>0.48368226366841538</c:v>
                </c:pt>
                <c:pt idx="20">
                  <c:v>0.49532097382854845</c:v>
                </c:pt>
                <c:pt idx="21">
                  <c:v>0.45132161033463014</c:v>
                </c:pt>
                <c:pt idx="22">
                  <c:v>0.37802697748629699</c:v>
                </c:pt>
                <c:pt idx="23">
                  <c:v>0.32784268767631886</c:v>
                </c:pt>
                <c:pt idx="24">
                  <c:v>0.28371132163308765</c:v>
                </c:pt>
                <c:pt idx="25">
                  <c:v>0.35737087360988251</c:v>
                </c:pt>
                <c:pt idx="26">
                  <c:v>0.3482629197685716</c:v>
                </c:pt>
                <c:pt idx="27">
                  <c:v>0.37102035615803053</c:v>
                </c:pt>
                <c:pt idx="28">
                  <c:v>0.39713066167746025</c:v>
                </c:pt>
                <c:pt idx="29">
                  <c:v>0.28649448981749281</c:v>
                </c:pt>
                <c:pt idx="30">
                  <c:v>0.29242204769219404</c:v>
                </c:pt>
                <c:pt idx="31">
                  <c:v>0.4205605437416633</c:v>
                </c:pt>
                <c:pt idx="32">
                  <c:v>0.36651360663964505</c:v>
                </c:pt>
                <c:pt idx="33">
                  <c:v>0.32387898575555252</c:v>
                </c:pt>
                <c:pt idx="34">
                  <c:v>0.3041628665705951</c:v>
                </c:pt>
                <c:pt idx="35">
                  <c:v>0.50233852469221951</c:v>
                </c:pt>
                <c:pt idx="36">
                  <c:v>0.4595327829000474</c:v>
                </c:pt>
                <c:pt idx="37">
                  <c:v>0.42262108663040443</c:v>
                </c:pt>
                <c:pt idx="38">
                  <c:v>0.41350017876654133</c:v>
                </c:pt>
                <c:pt idx="39">
                  <c:v>0.47590231564746699</c:v>
                </c:pt>
                <c:pt idx="40">
                  <c:v>0.52177626230323304</c:v>
                </c:pt>
                <c:pt idx="41">
                  <c:v>0.57747579137838245</c:v>
                </c:pt>
                <c:pt idx="42">
                  <c:v>0.57426990922623955</c:v>
                </c:pt>
                <c:pt idx="43">
                  <c:v>0.61762344568202476</c:v>
                </c:pt>
                <c:pt idx="44">
                  <c:v>0.46775025077092436</c:v>
                </c:pt>
                <c:pt idx="45">
                  <c:v>0.54211475409836052</c:v>
                </c:pt>
                <c:pt idx="46">
                  <c:v>0.65015377196105284</c:v>
                </c:pt>
                <c:pt idx="47">
                  <c:v>0.70381061508431264</c:v>
                </c:pt>
                <c:pt idx="48">
                  <c:v>0.66635745993184348</c:v>
                </c:pt>
                <c:pt idx="49">
                  <c:v>0.64440456576779215</c:v>
                </c:pt>
                <c:pt idx="50">
                  <c:v>0.51898040852790916</c:v>
                </c:pt>
                <c:pt idx="51">
                  <c:v>0.44884601287478776</c:v>
                </c:pt>
                <c:pt idx="52">
                  <c:v>0.50325005193675476</c:v>
                </c:pt>
                <c:pt idx="53">
                  <c:v>0.53401718083921912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B-4022-8FB8-FB74A779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96064"/>
        <c:axId val="152306048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Greece!$A$44:$A$96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Greece!$AY$44:$AY$97</c:f>
              <c:numCache>
                <c:formatCode>0.00</c:formatCode>
                <c:ptCount val="54"/>
                <c:pt idx="0">
                  <c:v>23.79203967452311</c:v>
                </c:pt>
                <c:pt idx="1">
                  <c:v>22.679947067619008</c:v>
                </c:pt>
                <c:pt idx="2">
                  <c:v>22.26987843408514</c:v>
                </c:pt>
                <c:pt idx="3">
                  <c:v>22.238948038135792</c:v>
                </c:pt>
                <c:pt idx="4">
                  <c:v>21.667175331696928</c:v>
                </c:pt>
                <c:pt idx="5">
                  <c:v>21.387696403617294</c:v>
                </c:pt>
                <c:pt idx="6">
                  <c:v>22.004582645768647</c:v>
                </c:pt>
                <c:pt idx="7">
                  <c:v>21.091083526941407</c:v>
                </c:pt>
                <c:pt idx="8">
                  <c:v>19.622262284383794</c:v>
                </c:pt>
                <c:pt idx="9">
                  <c:v>49.819571866891792</c:v>
                </c:pt>
                <c:pt idx="10">
                  <c:v>48.329654305828271</c:v>
                </c:pt>
                <c:pt idx="11">
                  <c:v>51.218470682622808</c:v>
                </c:pt>
                <c:pt idx="12">
                  <c:v>49.570828715528073</c:v>
                </c:pt>
                <c:pt idx="13">
                  <c:v>43.862270522935788</c:v>
                </c:pt>
                <c:pt idx="14">
                  <c:v>55.47825941453128</c:v>
                </c:pt>
                <c:pt idx="15">
                  <c:v>80.729560101008815</c:v>
                </c:pt>
                <c:pt idx="16">
                  <c:v>90.83885676822932</c:v>
                </c:pt>
                <c:pt idx="17">
                  <c:v>82.538578502148042</c:v>
                </c:pt>
                <c:pt idx="18">
                  <c:v>78.947746852952932</c:v>
                </c:pt>
                <c:pt idx="19">
                  <c:v>84.036655849618896</c:v>
                </c:pt>
                <c:pt idx="20">
                  <c:v>80.707558669607209</c:v>
                </c:pt>
                <c:pt idx="21">
                  <c:v>37.521828303897024</c:v>
                </c:pt>
                <c:pt idx="22">
                  <c:v>39.79231301162033</c:v>
                </c:pt>
                <c:pt idx="23">
                  <c:v>30.553515229125043</c:v>
                </c:pt>
                <c:pt idx="24">
                  <c:v>37.841051186095498</c:v>
                </c:pt>
                <c:pt idx="25">
                  <c:v>38.292013453508339</c:v>
                </c:pt>
                <c:pt idx="26">
                  <c:v>32.381866687401455</c:v>
                </c:pt>
                <c:pt idx="27">
                  <c:v>27.944664685821923</c:v>
                </c:pt>
                <c:pt idx="28">
                  <c:v>26.292985098231664</c:v>
                </c:pt>
                <c:pt idx="29">
                  <c:v>23.391127595178371</c:v>
                </c:pt>
                <c:pt idx="30">
                  <c:v>21.990826468703808</c:v>
                </c:pt>
                <c:pt idx="31">
                  <c:v>25.3451797693332</c:v>
                </c:pt>
                <c:pt idx="32">
                  <c:v>25.376786667155127</c:v>
                </c:pt>
                <c:pt idx="33">
                  <c:v>18.331467730584535</c:v>
                </c:pt>
                <c:pt idx="34">
                  <c:v>22.417431522905609</c:v>
                </c:pt>
                <c:pt idx="35">
                  <c:v>41.043571483610002</c:v>
                </c:pt>
                <c:pt idx="36">
                  <c:v>34.620370374651259</c:v>
                </c:pt>
                <c:pt idx="37">
                  <c:v>33.425575359273303</c:v>
                </c:pt>
                <c:pt idx="38">
                  <c:v>31.067695612761643</c:v>
                </c:pt>
                <c:pt idx="39">
                  <c:v>35.212452582976063</c:v>
                </c:pt>
                <c:pt idx="40">
                  <c:v>47.765067321534218</c:v>
                </c:pt>
                <c:pt idx="41">
                  <c:v>55.283205935899538</c:v>
                </c:pt>
                <c:pt idx="42">
                  <c:v>55.712095078787513</c:v>
                </c:pt>
                <c:pt idx="43">
                  <c:v>68.334449648136086</c:v>
                </c:pt>
                <c:pt idx="44">
                  <c:v>46.025214070412915</c:v>
                </c:pt>
                <c:pt idx="45">
                  <c:v>58.759091609069415</c:v>
                </c:pt>
                <c:pt idx="46">
                  <c:v>74.396826978989864</c:v>
                </c:pt>
                <c:pt idx="47">
                  <c:v>80.794874641424002</c:v>
                </c:pt>
                <c:pt idx="48">
                  <c:v>76.628839300018157</c:v>
                </c:pt>
                <c:pt idx="49">
                  <c:v>71.039821368429642</c:v>
                </c:pt>
                <c:pt idx="50">
                  <c:v>44.5150628022609</c:v>
                </c:pt>
                <c:pt idx="51">
                  <c:v>36.912470714636861</c:v>
                </c:pt>
                <c:pt idx="52">
                  <c:v>46.088464418262845</c:v>
                </c:pt>
                <c:pt idx="53">
                  <c:v>58.188523859975575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B-4022-8FB8-FB74A779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131496"/>
        <c:axId val="785130184"/>
      </c:lineChart>
      <c:catAx>
        <c:axId val="152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306048"/>
        <c:crosses val="autoZero"/>
        <c:auto val="1"/>
        <c:lblAlgn val="ctr"/>
        <c:lblOffset val="100"/>
        <c:noMultiLvlLbl val="0"/>
      </c:catAx>
      <c:valAx>
        <c:axId val="15230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eros per litre</a:t>
                </a:r>
              </a:p>
            </c:rich>
          </c:tx>
          <c:layout>
            <c:manualLayout>
              <c:xMode val="edge"/>
              <c:yMode val="edge"/>
              <c:x val="9.2566807527437456E-3"/>
              <c:y val="0.3218494841610144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52296064"/>
        <c:crosses val="autoZero"/>
        <c:crossBetween val="between"/>
      </c:valAx>
      <c:valAx>
        <c:axId val="785130184"/>
        <c:scaling>
          <c:orientation val="minMax"/>
          <c:max val="100"/>
          <c:min val="-4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85131496"/>
        <c:crosses val="max"/>
        <c:crossBetween val="between"/>
      </c:valAx>
      <c:catAx>
        <c:axId val="785131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5130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8589730337761833"/>
          <c:y val="4.4280813908162471E-2"/>
          <c:w val="0.18398686650655155"/>
          <c:h val="0.20516774512096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68166479190225E-2"/>
          <c:y val="3.314184980608767E-2"/>
          <c:w val="0.8688175478065242"/>
          <c:h val="0.8457959807262898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Greece!$BF$44:$BF$97</c:f>
              <c:numCache>
                <c:formatCode>0.00</c:formatCode>
                <c:ptCount val="54"/>
                <c:pt idx="0">
                  <c:v>1.2436527625048945</c:v>
                </c:pt>
                <c:pt idx="1">
                  <c:v>1.1855224512165727</c:v>
                </c:pt>
                <c:pt idx="2">
                  <c:v>1.1640860728224514</c:v>
                </c:pt>
                <c:pt idx="3">
                  <c:v>1.1624431979359977</c:v>
                </c:pt>
                <c:pt idx="4">
                  <c:v>1.1325830317978203</c:v>
                </c:pt>
                <c:pt idx="5">
                  <c:v>1.1012879258666934</c:v>
                </c:pt>
                <c:pt idx="6">
                  <c:v>1.0662153919046284</c:v>
                </c:pt>
                <c:pt idx="7">
                  <c:v>1.1755465918462158</c:v>
                </c:pt>
                <c:pt idx="8">
                  <c:v>1.179960568253928</c:v>
                </c:pt>
                <c:pt idx="9">
                  <c:v>1.8186926849848553</c:v>
                </c:pt>
                <c:pt idx="10">
                  <c:v>1.6854614688858365</c:v>
                </c:pt>
                <c:pt idx="11">
                  <c:v>1.8211003704328674</c:v>
                </c:pt>
                <c:pt idx="12">
                  <c:v>1.5774434467350411</c:v>
                </c:pt>
                <c:pt idx="13">
                  <c:v>1.7420868463048118</c:v>
                </c:pt>
                <c:pt idx="14">
                  <c:v>1.7835869246033718</c:v>
                </c:pt>
                <c:pt idx="15">
                  <c:v>1.9386765974626019</c:v>
                </c:pt>
                <c:pt idx="16">
                  <c:v>1.7978415685283138</c:v>
                </c:pt>
                <c:pt idx="17">
                  <c:v>1.6595500038334237</c:v>
                </c:pt>
                <c:pt idx="18">
                  <c:v>1.5837916554227711</c:v>
                </c:pt>
                <c:pt idx="19">
                  <c:v>1.4737035468057511</c:v>
                </c:pt>
                <c:pt idx="20">
                  <c:v>1.5320309946722239</c:v>
                </c:pt>
                <c:pt idx="21">
                  <c:v>1.4174166875373766</c:v>
                </c:pt>
                <c:pt idx="22">
                  <c:v>1.2057786477579091</c:v>
                </c:pt>
                <c:pt idx="23">
                  <c:v>1.0623062119670983</c:v>
                </c:pt>
                <c:pt idx="24">
                  <c:v>0.93413521939348154</c:v>
                </c:pt>
                <c:pt idx="25">
                  <c:v>1.1959529320256215</c:v>
                </c:pt>
                <c:pt idx="26">
                  <c:v>1.1848974243551813</c:v>
                </c:pt>
                <c:pt idx="27">
                  <c:v>1.262325213052053</c:v>
                </c:pt>
                <c:pt idx="28">
                  <c:v>1.1570655824351441</c:v>
                </c:pt>
                <c:pt idx="29">
                  <c:v>1.1551685672279839</c:v>
                </c:pt>
                <c:pt idx="30">
                  <c:v>1.0958648031486566</c:v>
                </c:pt>
                <c:pt idx="31">
                  <c:v>1.1313867037060634</c:v>
                </c:pt>
                <c:pt idx="32">
                  <c:v>1.0242629202560396</c:v>
                </c:pt>
                <c:pt idx="33">
                  <c:v>0.91990686986255643</c:v>
                </c:pt>
                <c:pt idx="34">
                  <c:v>0.88254983101116269</c:v>
                </c:pt>
                <c:pt idx="35">
                  <c:v>1.0871166113731943</c:v>
                </c:pt>
                <c:pt idx="36">
                  <c:v>1.0311217777121737</c:v>
                </c:pt>
                <c:pt idx="37">
                  <c:v>0.96993610096999061</c:v>
                </c:pt>
                <c:pt idx="38">
                  <c:v>0.94323207311667912</c:v>
                </c:pt>
                <c:pt idx="39">
                  <c:v>1.0058479999261594</c:v>
                </c:pt>
                <c:pt idx="40">
                  <c:v>1.0551530871995736</c:v>
                </c:pt>
                <c:pt idx="41">
                  <c:v>1.1221724686694543</c:v>
                </c:pt>
                <c:pt idx="42">
                  <c:v>1.1412989609025157</c:v>
                </c:pt>
                <c:pt idx="43">
                  <c:v>1.2007207673372926</c:v>
                </c:pt>
                <c:pt idx="44">
                  <c:v>1.0730723729227649</c:v>
                </c:pt>
                <c:pt idx="45">
                  <c:v>1.4483621566234868</c:v>
                </c:pt>
                <c:pt idx="46">
                  <c:v>1.6462387250716219</c:v>
                </c:pt>
                <c:pt idx="47">
                  <c:v>1.7028590046156125</c:v>
                </c:pt>
                <c:pt idx="48">
                  <c:v>1.662605102599948</c:v>
                </c:pt>
                <c:pt idx="49">
                  <c:v>1.6452866456269306</c:v>
                </c:pt>
                <c:pt idx="50">
                  <c:v>1.4996404269418917</c:v>
                </c:pt>
                <c:pt idx="51">
                  <c:v>1.4234433868799994</c:v>
                </c:pt>
                <c:pt idx="52">
                  <c:v>1.5260292000000002</c:v>
                </c:pt>
                <c:pt idx="53">
                  <c:v>1.5917884615384623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A-48CC-9EB8-035707D2199B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Greece!$A$44:$A$97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Greece!$BG$44:$BG$97</c:f>
              <c:numCache>
                <c:formatCode>0.00</c:formatCode>
                <c:ptCount val="54"/>
                <c:pt idx="0">
                  <c:v>1.2425099585268833</c:v>
                </c:pt>
                <c:pt idx="1">
                  <c:v>1.1969597027748042</c:v>
                </c:pt>
                <c:pt idx="2">
                  <c:v>1.154775175852379</c:v>
                </c:pt>
                <c:pt idx="3">
                  <c:v>1.1534428466298634</c:v>
                </c:pt>
                <c:pt idx="4">
                  <c:v>1.1291760671508284</c:v>
                </c:pt>
                <c:pt idx="5">
                  <c:v>1.1054411705732221</c:v>
                </c:pt>
                <c:pt idx="6">
                  <c:v>1.0837803601212974</c:v>
                </c:pt>
                <c:pt idx="7">
                  <c:v>1.1930806124905897</c:v>
                </c:pt>
                <c:pt idx="8">
                  <c:v>1.188194169330832</c:v>
                </c:pt>
                <c:pt idx="9">
                  <c:v>1.8428574502204094</c:v>
                </c:pt>
                <c:pt idx="10">
                  <c:v>1.7753931360313573</c:v>
                </c:pt>
                <c:pt idx="11">
                  <c:v>1.7609161802185185</c:v>
                </c:pt>
                <c:pt idx="12">
                  <c:v>1.5937899465682792</c:v>
                </c:pt>
                <c:pt idx="13">
                  <c:v>1.6704948308656657</c:v>
                </c:pt>
                <c:pt idx="14">
                  <c:v>1.7591525763212745</c:v>
                </c:pt>
                <c:pt idx="15">
                  <c:v>1.9568255876556828</c:v>
                </c:pt>
                <c:pt idx="16">
                  <c:v>1.8074451627854042</c:v>
                </c:pt>
                <c:pt idx="17">
                  <c:v>1.6817776365695352</c:v>
                </c:pt>
                <c:pt idx="18">
                  <c:v>1.6210070061441413</c:v>
                </c:pt>
                <c:pt idx="19">
                  <c:v>1.4712206824328098</c:v>
                </c:pt>
                <c:pt idx="20">
                  <c:v>1.4999905701878788</c:v>
                </c:pt>
                <c:pt idx="21">
                  <c:v>1.4240023361331056</c:v>
                </c:pt>
                <c:pt idx="22">
                  <c:v>1.1807921668228649</c:v>
                </c:pt>
                <c:pt idx="23">
                  <c:v>1.0394829988189098</c:v>
                </c:pt>
                <c:pt idx="24">
                  <c:v>0.99505448615416114</c:v>
                </c:pt>
                <c:pt idx="25">
                  <c:v>1.1840831518004959</c:v>
                </c:pt>
                <c:pt idx="26">
                  <c:v>1.1805502717336109</c:v>
                </c:pt>
                <c:pt idx="27">
                  <c:v>1.270407501107474</c:v>
                </c:pt>
                <c:pt idx="28">
                  <c:v>1.1593366155722118</c:v>
                </c:pt>
                <c:pt idx="29">
                  <c:v>1.2050536823848643</c:v>
                </c:pt>
                <c:pt idx="30">
                  <c:v>1.1322638913391005</c:v>
                </c:pt>
                <c:pt idx="31">
                  <c:v>1.0548079691972767</c:v>
                </c:pt>
                <c:pt idx="32">
                  <c:v>1.0030173075254911</c:v>
                </c:pt>
                <c:pt idx="33">
                  <c:v>0.90476634848586202</c:v>
                </c:pt>
                <c:pt idx="34">
                  <c:v>0.90923049627986652</c:v>
                </c:pt>
                <c:pt idx="35">
                  <c:v>1.0603306961719559</c:v>
                </c:pt>
                <c:pt idx="36">
                  <c:v>1.0139191573535302</c:v>
                </c:pt>
                <c:pt idx="37">
                  <c:v>0.98406441311504789</c:v>
                </c:pt>
                <c:pt idx="38">
                  <c:v>0.95414931877366582</c:v>
                </c:pt>
                <c:pt idx="39">
                  <c:v>0.97508117398747307</c:v>
                </c:pt>
                <c:pt idx="40">
                  <c:v>1.0442194065835149</c:v>
                </c:pt>
                <c:pt idx="41">
                  <c:v>1.0943091930013877</c:v>
                </c:pt>
                <c:pt idx="42">
                  <c:v>1.1189853715420579</c:v>
                </c:pt>
                <c:pt idx="43">
                  <c:v>1.2011832154674138</c:v>
                </c:pt>
                <c:pt idx="44">
                  <c:v>1.1080437286100651</c:v>
                </c:pt>
                <c:pt idx="45">
                  <c:v>1.4750491036304694</c:v>
                </c:pt>
                <c:pt idx="46">
                  <c:v>1.6456898843066725</c:v>
                </c:pt>
                <c:pt idx="47">
                  <c:v>1.6815176664080715</c:v>
                </c:pt>
                <c:pt idx="48">
                  <c:v>1.6573696148251844</c:v>
                </c:pt>
                <c:pt idx="49">
                  <c:v>1.6327797563501858</c:v>
                </c:pt>
                <c:pt idx="50">
                  <c:v>1.4743024265097191</c:v>
                </c:pt>
                <c:pt idx="51">
                  <c:v>1.4293200754763737</c:v>
                </c:pt>
                <c:pt idx="52">
                  <c:v>1.5251020565296596</c:v>
                </c:pt>
                <c:pt idx="53">
                  <c:v>1.6237107351357425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A-48CC-9EB8-035707D21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263680"/>
        <c:axId val="152265472"/>
      </c:lineChart>
      <c:catAx>
        <c:axId val="15226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265472"/>
        <c:crosses val="autoZero"/>
        <c:auto val="1"/>
        <c:lblAlgn val="ctr"/>
        <c:lblOffset val="100"/>
        <c:noMultiLvlLbl val="0"/>
      </c:catAx>
      <c:valAx>
        <c:axId val="15226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5226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14301753556603"/>
          <c:y val="8.7510923152410103E-2"/>
          <c:w val="0.15317102716757031"/>
          <c:h val="0.227006472113834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99028738158999"/>
          <c:y val="4.1121471118421592E-2"/>
          <c:w val="0.84009093089252174"/>
          <c:h val="0.80811844396588772"/>
        </c:manualLayout>
      </c:layout>
      <c:lineChart>
        <c:grouping val="standard"/>
        <c:varyColors val="0"/>
        <c:ser>
          <c:idx val="0"/>
          <c:order val="0"/>
          <c:tx>
            <c:strRef>
              <c:f>Greece!$Y$121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Greece!$A$122:$A$142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Greece!$Y$122:$Y$142</c:f>
              <c:numCache>
                <c:formatCode>0.00</c:formatCode>
                <c:ptCount val="21"/>
                <c:pt idx="0">
                  <c:v>1.4483621566234868</c:v>
                </c:pt>
                <c:pt idx="1">
                  <c:v>1.6462387250716219</c:v>
                </c:pt>
                <c:pt idx="2">
                  <c:v>1.7028590046156125</c:v>
                </c:pt>
                <c:pt idx="3">
                  <c:v>1.662605102599948</c:v>
                </c:pt>
                <c:pt idx="4">
                  <c:v>1.6452866456269306</c:v>
                </c:pt>
                <c:pt idx="5">
                  <c:v>1.4996404269418917</c:v>
                </c:pt>
                <c:pt idx="6">
                  <c:v>1.4234433868799994</c:v>
                </c:pt>
                <c:pt idx="7">
                  <c:v>1.5260292000000002</c:v>
                </c:pt>
                <c:pt idx="8">
                  <c:v>1.5917884615384623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1-4631-A966-2D479C1E3B73}"/>
            </c:ext>
          </c:extLst>
        </c:ser>
        <c:ser>
          <c:idx val="1"/>
          <c:order val="1"/>
          <c:tx>
            <c:strRef>
              <c:f>Greece!$Z$121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Greece!$A$122:$A$142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Greece!$Z$122:$Z$142</c:f>
              <c:numCache>
                <c:formatCode>0.00</c:formatCode>
                <c:ptCount val="21"/>
                <c:pt idx="0">
                  <c:v>1.4809202319720054</c:v>
                </c:pt>
                <c:pt idx="1">
                  <c:v>1.6455636509307343</c:v>
                </c:pt>
                <c:pt idx="2">
                  <c:v>1.6766091586203371</c:v>
                </c:pt>
                <c:pt idx="3">
                  <c:v>1.6561654526369884</c:v>
                </c:pt>
                <c:pt idx="4">
                  <c:v>1.6299031718165347</c:v>
                </c:pt>
                <c:pt idx="5">
                  <c:v>1.4684746864103193</c:v>
                </c:pt>
                <c:pt idx="6">
                  <c:v>1.4307010972965213</c:v>
                </c:pt>
                <c:pt idx="7">
                  <c:v>1.5248795420967778</c:v>
                </c:pt>
                <c:pt idx="8">
                  <c:v>1.6313720807990897</c:v>
                </c:pt>
                <c:pt idx="9">
                  <c:v>1.829861715144105</c:v>
                </c:pt>
                <c:pt idx="10">
                  <c:v>1.9240315623603481</c:v>
                </c:pt>
                <c:pt idx="11">
                  <c:v>2.0237408123540161</c:v>
                </c:pt>
                <c:pt idx="12">
                  <c:v>2.0680560345734249</c:v>
                </c:pt>
                <c:pt idx="13">
                  <c:v>2.1012924512379807</c:v>
                </c:pt>
                <c:pt idx="14">
                  <c:v>2.1289894651251107</c:v>
                </c:pt>
                <c:pt idx="15">
                  <c:v>2.1566864790122411</c:v>
                </c:pt>
                <c:pt idx="16">
                  <c:v>2.1843834928993711</c:v>
                </c:pt>
                <c:pt idx="17">
                  <c:v>2.212080506786501</c:v>
                </c:pt>
                <c:pt idx="18">
                  <c:v>2.2342381178962056</c:v>
                </c:pt>
                <c:pt idx="19">
                  <c:v>2.2619351317833356</c:v>
                </c:pt>
                <c:pt idx="20">
                  <c:v>2.2785533401156131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1-4631-A966-2D479C1E3B73}"/>
            </c:ext>
          </c:extLst>
        </c:ser>
        <c:ser>
          <c:idx val="3"/>
          <c:order val="2"/>
          <c:tx>
            <c:strRef>
              <c:f>Greece!$AB$121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Greece!$A$122:$A$142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Greece!$AB$122:$AB$142</c:f>
              <c:numCache>
                <c:formatCode>0.00</c:formatCode>
                <c:ptCount val="21"/>
                <c:pt idx="0">
                  <c:v>1.4809202319720054</c:v>
                </c:pt>
                <c:pt idx="1">
                  <c:v>1.6455636509307343</c:v>
                </c:pt>
                <c:pt idx="2">
                  <c:v>1.6766091586203371</c:v>
                </c:pt>
                <c:pt idx="3">
                  <c:v>1.6561654526369884</c:v>
                </c:pt>
                <c:pt idx="4">
                  <c:v>1.6299031718165347</c:v>
                </c:pt>
                <c:pt idx="5">
                  <c:v>1.4684746864103193</c:v>
                </c:pt>
                <c:pt idx="6">
                  <c:v>1.4307010972965213</c:v>
                </c:pt>
                <c:pt idx="7">
                  <c:v>1.5248795420967778</c:v>
                </c:pt>
                <c:pt idx="8">
                  <c:v>1.6313720807990897</c:v>
                </c:pt>
                <c:pt idx="9">
                  <c:v>1.4144065068371534</c:v>
                </c:pt>
                <c:pt idx="10">
                  <c:v>1.419945909614579</c:v>
                </c:pt>
                <c:pt idx="11">
                  <c:v>1.4310247151694313</c:v>
                </c:pt>
                <c:pt idx="12">
                  <c:v>1.4365641179468573</c:v>
                </c:pt>
                <c:pt idx="13">
                  <c:v>1.4365641179468573</c:v>
                </c:pt>
                <c:pt idx="14">
                  <c:v>1.4365641179468573</c:v>
                </c:pt>
                <c:pt idx="15">
                  <c:v>1.4421035207242836</c:v>
                </c:pt>
                <c:pt idx="16">
                  <c:v>1.4476429235017094</c:v>
                </c:pt>
                <c:pt idx="17">
                  <c:v>1.4531823262791355</c:v>
                </c:pt>
                <c:pt idx="18">
                  <c:v>1.4531823262791355</c:v>
                </c:pt>
                <c:pt idx="19">
                  <c:v>1.4531823262791355</c:v>
                </c:pt>
                <c:pt idx="20">
                  <c:v>1.4587217290565615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51-4631-A966-2D479C1E3B73}"/>
            </c:ext>
          </c:extLst>
        </c:ser>
        <c:ser>
          <c:idx val="2"/>
          <c:order val="3"/>
          <c:tx>
            <c:strRef>
              <c:f>Greece!$AA$121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Greece!$A$122:$A$142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Greece!$AA$122:$AA$142</c:f>
              <c:numCache>
                <c:formatCode>0.00</c:formatCode>
                <c:ptCount val="21"/>
                <c:pt idx="0">
                  <c:v>1.4809202319720054</c:v>
                </c:pt>
                <c:pt idx="1">
                  <c:v>1.6455636509307343</c:v>
                </c:pt>
                <c:pt idx="2">
                  <c:v>1.6766091586203371</c:v>
                </c:pt>
                <c:pt idx="3">
                  <c:v>1.6561654526369884</c:v>
                </c:pt>
                <c:pt idx="4">
                  <c:v>1.6299031718165347</c:v>
                </c:pt>
                <c:pt idx="5">
                  <c:v>1.4684746864103193</c:v>
                </c:pt>
                <c:pt idx="6">
                  <c:v>1.4307010972965213</c:v>
                </c:pt>
                <c:pt idx="7">
                  <c:v>1.5248795420967778</c:v>
                </c:pt>
                <c:pt idx="8">
                  <c:v>1.6313720807990897</c:v>
                </c:pt>
                <c:pt idx="9">
                  <c:v>1.6078156782391244</c:v>
                </c:pt>
                <c:pt idx="10">
                  <c:v>1.6093038866598253</c:v>
                </c:pt>
                <c:pt idx="11">
                  <c:v>1.6531499175625624</c:v>
                </c:pt>
                <c:pt idx="12">
                  <c:v>1.6857963024339768</c:v>
                </c:pt>
                <c:pt idx="13">
                  <c:v>1.7008190676496036</c:v>
                </c:pt>
                <c:pt idx="14">
                  <c:v>1.7047908988543168</c:v>
                </c:pt>
                <c:pt idx="15">
                  <c:v>1.7255731991692769</c:v>
                </c:pt>
                <c:pt idx="16">
                  <c:v>1.7621005134348975</c:v>
                </c:pt>
                <c:pt idx="17">
                  <c:v>1.7809257669585055</c:v>
                </c:pt>
                <c:pt idx="18">
                  <c:v>1.7928426221271951</c:v>
                </c:pt>
                <c:pt idx="19">
                  <c:v>1.8089951242607165</c:v>
                </c:pt>
                <c:pt idx="20">
                  <c:v>1.8213457966180846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1-4631-A966-2D479C1E3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221704"/>
        <c:axId val="858225968"/>
      </c:lineChart>
      <c:catAx>
        <c:axId val="85822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225968"/>
        <c:crosses val="autoZero"/>
        <c:auto val="1"/>
        <c:lblAlgn val="ctr"/>
        <c:lblOffset val="100"/>
        <c:noMultiLvlLbl val="0"/>
      </c:catAx>
      <c:valAx>
        <c:axId val="85822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1.5228426395939087E-2"/>
              <c:y val="0.25625534991222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221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40257404372676"/>
          <c:y val="0.52570077227123568"/>
          <c:w val="0.2682405371917343"/>
          <c:h val="0.321028289923738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5993622198377"/>
          <c:y val="3.7008398950131235E-2"/>
          <c:w val="0.83824217510239241"/>
          <c:h val="0.82780551181102369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Hungary!$AW$44:$AW$97</c:f>
              <c:numCache>
                <c:formatCode>0.0</c:formatCode>
                <c:ptCount val="54"/>
                <c:pt idx="0">
                  <c:v>187.73216000000002</c:v>
                </c:pt>
                <c:pt idx="1">
                  <c:v>187.71840075056394</c:v>
                </c:pt>
                <c:pt idx="2">
                  <c:v>185.19288237309092</c:v>
                </c:pt>
                <c:pt idx="3">
                  <c:v>150.88012361319898</c:v>
                </c:pt>
                <c:pt idx="4">
                  <c:v>159.17472834379953</c:v>
                </c:pt>
                <c:pt idx="5">
                  <c:v>155.42355547814327</c:v>
                </c:pt>
                <c:pt idx="6">
                  <c:v>177.81193298289551</c:v>
                </c:pt>
                <c:pt idx="7">
                  <c:v>148.01807304762872</c:v>
                </c:pt>
                <c:pt idx="8">
                  <c:v>163.31112646637513</c:v>
                </c:pt>
                <c:pt idx="9">
                  <c:v>191.55481396703971</c:v>
                </c:pt>
                <c:pt idx="10">
                  <c:v>170.14972095254097</c:v>
                </c:pt>
                <c:pt idx="11">
                  <c:v>157.95231478554786</c:v>
                </c:pt>
                <c:pt idx="12">
                  <c:v>188.72053105554033</c:v>
                </c:pt>
                <c:pt idx="13">
                  <c:v>219.34131561048835</c:v>
                </c:pt>
                <c:pt idx="14">
                  <c:v>252.82107996645396</c:v>
                </c:pt>
                <c:pt idx="15">
                  <c:v>248.59734224169009</c:v>
                </c:pt>
                <c:pt idx="16">
                  <c:v>298.82475108709559</c:v>
                </c:pt>
                <c:pt idx="17">
                  <c:v>284.99302852616046</c:v>
                </c:pt>
                <c:pt idx="18">
                  <c:v>284.06698009033653</c:v>
                </c:pt>
                <c:pt idx="19">
                  <c:v>287.76410765249943</c:v>
                </c:pt>
                <c:pt idx="20">
                  <c:v>209.01762038460589</c:v>
                </c:pt>
                <c:pt idx="21">
                  <c:v>178.54379117968833</c:v>
                </c:pt>
                <c:pt idx="22">
                  <c:v>166.85908341225567</c:v>
                </c:pt>
                <c:pt idx="23">
                  <c:v>167.53470867971456</c:v>
                </c:pt>
                <c:pt idx="24">
                  <c:v>189.89508865796188</c:v>
                </c:pt>
                <c:pt idx="25">
                  <c:v>141.69321527598944</c:v>
                </c:pt>
                <c:pt idx="26">
                  <c:v>125.03355043758125</c:v>
                </c:pt>
                <c:pt idx="27">
                  <c:v>95.453183557213066</c:v>
                </c:pt>
                <c:pt idx="28">
                  <c:v>90.73948287990163</c:v>
                </c:pt>
                <c:pt idx="29">
                  <c:v>91.718348164304643</c:v>
                </c:pt>
                <c:pt idx="30">
                  <c:v>106.96425246148533</c:v>
                </c:pt>
                <c:pt idx="31">
                  <c:v>96.602513506865222</c:v>
                </c:pt>
                <c:pt idx="32">
                  <c:v>83.733945956135443</c:v>
                </c:pt>
                <c:pt idx="33">
                  <c:v>94.33987900073987</c:v>
                </c:pt>
                <c:pt idx="34">
                  <c:v>132.72361679671246</c:v>
                </c:pt>
                <c:pt idx="35">
                  <c:v>130.04954137884442</c:v>
                </c:pt>
                <c:pt idx="36">
                  <c:v>110.06918573458699</c:v>
                </c:pt>
                <c:pt idx="37">
                  <c:v>106.17993077449955</c:v>
                </c:pt>
                <c:pt idx="38">
                  <c:v>112.20435268556992</c:v>
                </c:pt>
                <c:pt idx="39">
                  <c:v>120.13879557074631</c:v>
                </c:pt>
                <c:pt idx="40">
                  <c:v>136.89413467793779</c:v>
                </c:pt>
                <c:pt idx="41">
                  <c:v>157.43056366431719</c:v>
                </c:pt>
                <c:pt idx="42">
                  <c:v>155.38700231380432</c:v>
                </c:pt>
                <c:pt idx="43">
                  <c:v>120.28515549942131</c:v>
                </c:pt>
                <c:pt idx="44">
                  <c:v>116.04338551516113</c:v>
                </c:pt>
                <c:pt idx="45">
                  <c:v>148.25144491472642</c:v>
                </c:pt>
                <c:pt idx="46">
                  <c:v>190.5909576680219</c:v>
                </c:pt>
                <c:pt idx="47">
                  <c:v>194.45043573116723</c:v>
                </c:pt>
                <c:pt idx="48">
                  <c:v>189.12768232273351</c:v>
                </c:pt>
                <c:pt idx="49">
                  <c:v>180.79571182172668</c:v>
                </c:pt>
                <c:pt idx="50">
                  <c:v>112.86652638760648</c:v>
                </c:pt>
                <c:pt idx="51">
                  <c:v>93.860431225701632</c:v>
                </c:pt>
                <c:pt idx="52">
                  <c:v>110.30988831376115</c:v>
                </c:pt>
                <c:pt idx="53">
                  <c:v>129.36120917037181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B-40DF-8572-39CD12276F77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Hungary!$AX$44:$AX$97</c:f>
              <c:numCache>
                <c:formatCode>0.0</c:formatCode>
                <c:ptCount val="54"/>
                <c:pt idx="0">
                  <c:v>178.87479384891759</c:v>
                </c:pt>
                <c:pt idx="1">
                  <c:v>175.69059163541334</c:v>
                </c:pt>
                <c:pt idx="2">
                  <c:v>172.76728350998985</c:v>
                </c:pt>
                <c:pt idx="3">
                  <c:v>170.07406724295092</c:v>
                </c:pt>
                <c:pt idx="4">
                  <c:v>167.58480585568418</c:v>
                </c:pt>
                <c:pt idx="5">
                  <c:v>166.20057523087829</c:v>
                </c:pt>
                <c:pt idx="6">
                  <c:v>167.15844450847266</c:v>
                </c:pt>
                <c:pt idx="7">
                  <c:v>160.76711955995023</c:v>
                </c:pt>
                <c:pt idx="8">
                  <c:v>156.14530166343852</c:v>
                </c:pt>
                <c:pt idx="9">
                  <c:v>202.17094904514076</c:v>
                </c:pt>
                <c:pt idx="10">
                  <c:v>193.71250696432045</c:v>
                </c:pt>
                <c:pt idx="11">
                  <c:v>188.81830342878857</c:v>
                </c:pt>
                <c:pt idx="12">
                  <c:v>189.70275789023574</c:v>
                </c:pt>
                <c:pt idx="13">
                  <c:v>173.28408091423307</c:v>
                </c:pt>
                <c:pt idx="14">
                  <c:v>216.6997249211644</c:v>
                </c:pt>
                <c:pt idx="15">
                  <c:v>271.11446771992416</c:v>
                </c:pt>
                <c:pt idx="16">
                  <c:v>292.27695033777741</c:v>
                </c:pt>
                <c:pt idx="17">
                  <c:v>272.1142330806652</c:v>
                </c:pt>
                <c:pt idx="18">
                  <c:v>260.19066381844806</c:v>
                </c:pt>
                <c:pt idx="19">
                  <c:v>264.77743493310084</c:v>
                </c:pt>
                <c:pt idx="20">
                  <c:v>242.37471077931261</c:v>
                </c:pt>
                <c:pt idx="21">
                  <c:v>168.19381546981143</c:v>
                </c:pt>
                <c:pt idx="22">
                  <c:v>188.5049428206728</c:v>
                </c:pt>
                <c:pt idx="23">
                  <c:v>162.59166529574338</c:v>
                </c:pt>
                <c:pt idx="24">
                  <c:v>183.54224834339271</c:v>
                </c:pt>
                <c:pt idx="25">
                  <c:v>163.04517623252289</c:v>
                </c:pt>
                <c:pt idx="26">
                  <c:v>136.74900615473572</c:v>
                </c:pt>
                <c:pt idx="27">
                  <c:v>104.07030320592665</c:v>
                </c:pt>
                <c:pt idx="28">
                  <c:v>93.880552785304019</c:v>
                </c:pt>
                <c:pt idx="29">
                  <c:v>87.088621581633021</c:v>
                </c:pt>
                <c:pt idx="30">
                  <c:v>87.671863509530851</c:v>
                </c:pt>
                <c:pt idx="31">
                  <c:v>97.288933240164368</c:v>
                </c:pt>
                <c:pt idx="32">
                  <c:v>95.211452203346312</c:v>
                </c:pt>
                <c:pt idx="33">
                  <c:v>92.137690416411431</c:v>
                </c:pt>
                <c:pt idx="34">
                  <c:v>102.20671554310397</c:v>
                </c:pt>
                <c:pt idx="35">
                  <c:v>140.28937298197084</c:v>
                </c:pt>
                <c:pt idx="36">
                  <c:v>119.20153030700223</c:v>
                </c:pt>
                <c:pt idx="37">
                  <c:v>111.26193654761479</c:v>
                </c:pt>
                <c:pt idx="38">
                  <c:v>109.27264150203791</c:v>
                </c:pt>
                <c:pt idx="39">
                  <c:v>114.34434471488851</c:v>
                </c:pt>
                <c:pt idx="40">
                  <c:v>137.23859242539385</c:v>
                </c:pt>
                <c:pt idx="41">
                  <c:v>157.20679284577645</c:v>
                </c:pt>
                <c:pt idx="42">
                  <c:v>147.87181536905112</c:v>
                </c:pt>
                <c:pt idx="43">
                  <c:v>121.95366655241196</c:v>
                </c:pt>
                <c:pt idx="44">
                  <c:v>112.70636340917972</c:v>
                </c:pt>
                <c:pt idx="45">
                  <c:v>157.40190884786509</c:v>
                </c:pt>
                <c:pt idx="46">
                  <c:v>188.84943494563382</c:v>
                </c:pt>
                <c:pt idx="47">
                  <c:v>200.24724985622933</c:v>
                </c:pt>
                <c:pt idx="48">
                  <c:v>191.9531281709198</c:v>
                </c:pt>
                <c:pt idx="49">
                  <c:v>184.31799744842479</c:v>
                </c:pt>
                <c:pt idx="50">
                  <c:v>108.35556373448493</c:v>
                </c:pt>
                <c:pt idx="51">
                  <c:v>93.610061813470608</c:v>
                </c:pt>
                <c:pt idx="52">
                  <c:v>109.44322187746442</c:v>
                </c:pt>
                <c:pt idx="53">
                  <c:v>134.989207672021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B-40DF-8572-39CD1227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73280"/>
        <c:axId val="152679168"/>
      </c:lineChart>
      <c:catAx>
        <c:axId val="1526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679168"/>
        <c:crosses val="autoZero"/>
        <c:auto val="1"/>
        <c:lblAlgn val="ctr"/>
        <c:lblOffset val="100"/>
        <c:noMultiLvlLbl val="0"/>
      </c:catAx>
      <c:valAx>
        <c:axId val="152679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Forint per litre</a:t>
                </a:r>
              </a:p>
            </c:rich>
          </c:tx>
          <c:layout>
            <c:manualLayout>
              <c:xMode val="edge"/>
              <c:yMode val="edge"/>
              <c:x val="1.2873100164804981E-2"/>
              <c:y val="0.282480439156461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2673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63245266930466"/>
          <c:y val="0.16305695538057738"/>
          <c:w val="0.13415524201606782"/>
          <c:h val="0.223886089238845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2999414093203"/>
          <c:y val="3.5814579629159515E-2"/>
          <c:w val="0.84160467010589712"/>
          <c:h val="0.8333601727203454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Hungary!$AT$44:$AT$97</c:f>
              <c:numCache>
                <c:formatCode>0.0</c:formatCode>
                <c:ptCount val="54"/>
                <c:pt idx="0">
                  <c:v>333.33318624666663</c:v>
                </c:pt>
                <c:pt idx="1">
                  <c:v>319.09463859984845</c:v>
                </c:pt>
                <c:pt idx="2">
                  <c:v>306.02181020232342</c:v>
                </c:pt>
                <c:pt idx="3">
                  <c:v>294.045539552462</c:v>
                </c:pt>
                <c:pt idx="4">
                  <c:v>282.8471722943807</c:v>
                </c:pt>
                <c:pt idx="5">
                  <c:v>272.52834427944993</c:v>
                </c:pt>
                <c:pt idx="6">
                  <c:v>312.50738269516489</c:v>
                </c:pt>
                <c:pt idx="7">
                  <c:v>252.64401487688119</c:v>
                </c:pt>
                <c:pt idx="8">
                  <c:v>237.08077345246704</c:v>
                </c:pt>
                <c:pt idx="9">
                  <c:v>270.80883534743737</c:v>
                </c:pt>
                <c:pt idx="10">
                  <c:v>237.88413733471106</c:v>
                </c:pt>
                <c:pt idx="11">
                  <c:v>216.79419349055667</c:v>
                </c:pt>
                <c:pt idx="12">
                  <c:v>258.76271177497017</c:v>
                </c:pt>
                <c:pt idx="13">
                  <c:v>278.97656659429509</c:v>
                </c:pt>
                <c:pt idx="14">
                  <c:v>296.49978786082534</c:v>
                </c:pt>
                <c:pt idx="15">
                  <c:v>286.55177175690864</c:v>
                </c:pt>
                <c:pt idx="16">
                  <c:v>378.61717053490611</c:v>
                </c:pt>
                <c:pt idx="17">
                  <c:v>372.16123080242306</c:v>
                </c:pt>
                <c:pt idx="18">
                  <c:v>408.49459888821019</c:v>
                </c:pt>
                <c:pt idx="19">
                  <c:v>428.22099366360089</c:v>
                </c:pt>
                <c:pt idx="20">
                  <c:v>425.37226696636662</c:v>
                </c:pt>
                <c:pt idx="21">
                  <c:v>391.18021580749848</c:v>
                </c:pt>
                <c:pt idx="22">
                  <c:v>391.55470613221087</c:v>
                </c:pt>
                <c:pt idx="23">
                  <c:v>334.88446946706773</c:v>
                </c:pt>
                <c:pt idx="24">
                  <c:v>305.27937911300336</c:v>
                </c:pt>
                <c:pt idx="25">
                  <c:v>307.20149145683172</c:v>
                </c:pt>
                <c:pt idx="26">
                  <c:v>424.88309320168628</c:v>
                </c:pt>
                <c:pt idx="27">
                  <c:v>321.21566556154283</c:v>
                </c:pt>
                <c:pt idx="28">
                  <c:v>353.3560344678416</c:v>
                </c:pt>
                <c:pt idx="29">
                  <c:v>345.4412429226058</c:v>
                </c:pt>
                <c:pt idx="30">
                  <c:v>312.5407483178023</c:v>
                </c:pt>
                <c:pt idx="31">
                  <c:v>320.20084884222888</c:v>
                </c:pt>
                <c:pt idx="32">
                  <c:v>311.9405407858967</c:v>
                </c:pt>
                <c:pt idx="33">
                  <c:v>348.38385232512456</c:v>
                </c:pt>
                <c:pt idx="34">
                  <c:v>399.46921018332063</c:v>
                </c:pt>
                <c:pt idx="35">
                  <c:v>398.65061462889872</c:v>
                </c:pt>
                <c:pt idx="36">
                  <c:v>396.31447121234697</c:v>
                </c:pt>
                <c:pt idx="37">
                  <c:v>358.8720502871177</c:v>
                </c:pt>
                <c:pt idx="38">
                  <c:v>358.98091707144249</c:v>
                </c:pt>
                <c:pt idx="39">
                  <c:v>350.96726795948359</c:v>
                </c:pt>
                <c:pt idx="40">
                  <c:v>338.89738015278738</c:v>
                </c:pt>
                <c:pt idx="41">
                  <c:v>346.44083409841897</c:v>
                </c:pt>
                <c:pt idx="42">
                  <c:v>320.60498311507394</c:v>
                </c:pt>
                <c:pt idx="43">
                  <c:v>325.02584571120224</c:v>
                </c:pt>
                <c:pt idx="44">
                  <c:v>294.49433249279502</c:v>
                </c:pt>
                <c:pt idx="45">
                  <c:v>335.2281036979698</c:v>
                </c:pt>
                <c:pt idx="46">
                  <c:v>370.35142877696262</c:v>
                </c:pt>
                <c:pt idx="47">
                  <c:v>391.59510347293735</c:v>
                </c:pt>
                <c:pt idx="48">
                  <c:v>374.85203471747013</c:v>
                </c:pt>
                <c:pt idx="49">
                  <c:v>365.51685032446528</c:v>
                </c:pt>
                <c:pt idx="50">
                  <c:v>320.76048127963338</c:v>
                </c:pt>
                <c:pt idx="51">
                  <c:v>297.0195055724804</c:v>
                </c:pt>
                <c:pt idx="52">
                  <c:v>310.03497603085475</c:v>
                </c:pt>
                <c:pt idx="53">
                  <c:v>330.41220322659137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B-497D-8A11-380557A0BE18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Hungary!$AU$44:$AU$97</c:f>
              <c:numCache>
                <c:formatCode>0.0</c:formatCode>
                <c:ptCount val="54"/>
                <c:pt idx="0">
                  <c:v>324.4758200955842</c:v>
                </c:pt>
                <c:pt idx="1">
                  <c:v>307.06682948469785</c:v>
                </c:pt>
                <c:pt idx="2">
                  <c:v>293.59621133922235</c:v>
                </c:pt>
                <c:pt idx="3">
                  <c:v>313.23948318221392</c:v>
                </c:pt>
                <c:pt idx="4">
                  <c:v>291.25724980626535</c:v>
                </c:pt>
                <c:pt idx="5">
                  <c:v>283.30536403218491</c:v>
                </c:pt>
                <c:pt idx="6">
                  <c:v>301.85389422074206</c:v>
                </c:pt>
                <c:pt idx="7">
                  <c:v>265.39306138920267</c:v>
                </c:pt>
                <c:pt idx="8">
                  <c:v>229.91494864953043</c:v>
                </c:pt>
                <c:pt idx="9">
                  <c:v>281.42497042553845</c:v>
                </c:pt>
                <c:pt idx="10">
                  <c:v>261.44692334649056</c:v>
                </c:pt>
                <c:pt idx="11">
                  <c:v>247.66018213379738</c:v>
                </c:pt>
                <c:pt idx="12">
                  <c:v>259.74493860966561</c:v>
                </c:pt>
                <c:pt idx="13">
                  <c:v>232.91933189803981</c:v>
                </c:pt>
                <c:pt idx="14">
                  <c:v>260.3784328155358</c:v>
                </c:pt>
                <c:pt idx="15">
                  <c:v>309.06889723514269</c:v>
                </c:pt>
                <c:pt idx="16">
                  <c:v>372.06936978558792</c:v>
                </c:pt>
                <c:pt idx="17">
                  <c:v>359.28243535692781</c:v>
                </c:pt>
                <c:pt idx="18">
                  <c:v>384.61828261632172</c:v>
                </c:pt>
                <c:pt idx="19">
                  <c:v>405.2343209442023</c:v>
                </c:pt>
                <c:pt idx="20">
                  <c:v>458.72935736107331</c:v>
                </c:pt>
                <c:pt idx="21">
                  <c:v>380.83024009762158</c:v>
                </c:pt>
                <c:pt idx="22">
                  <c:v>413.20056554062796</c:v>
                </c:pt>
                <c:pt idx="23">
                  <c:v>329.94142608309653</c:v>
                </c:pt>
                <c:pt idx="24">
                  <c:v>298.92653879843419</c:v>
                </c:pt>
                <c:pt idx="25">
                  <c:v>328.55345241336516</c:v>
                </c:pt>
                <c:pt idx="26">
                  <c:v>436.59854891884072</c:v>
                </c:pt>
                <c:pt idx="27">
                  <c:v>329.83278521025642</c:v>
                </c:pt>
                <c:pt idx="28">
                  <c:v>356.49710437324399</c:v>
                </c:pt>
                <c:pt idx="29">
                  <c:v>340.8115163399342</c:v>
                </c:pt>
                <c:pt idx="30">
                  <c:v>293.24835936584782</c:v>
                </c:pt>
                <c:pt idx="31">
                  <c:v>320.88726857552803</c:v>
                </c:pt>
                <c:pt idx="32">
                  <c:v>323.41804703310754</c:v>
                </c:pt>
                <c:pt idx="33">
                  <c:v>346.18166374079613</c:v>
                </c:pt>
                <c:pt idx="34">
                  <c:v>368.9523089297121</c:v>
                </c:pt>
                <c:pt idx="35">
                  <c:v>408.89044623202517</c:v>
                </c:pt>
                <c:pt idx="36">
                  <c:v>405.44681578476218</c:v>
                </c:pt>
                <c:pt idx="37">
                  <c:v>363.95405606023292</c:v>
                </c:pt>
                <c:pt idx="38">
                  <c:v>356.04920588791049</c:v>
                </c:pt>
                <c:pt idx="39">
                  <c:v>345.17281710362579</c:v>
                </c:pt>
                <c:pt idx="40">
                  <c:v>339.24183790024347</c:v>
                </c:pt>
                <c:pt idx="41">
                  <c:v>346.21706327987823</c:v>
                </c:pt>
                <c:pt idx="42">
                  <c:v>313.08979617032071</c:v>
                </c:pt>
                <c:pt idx="43">
                  <c:v>326.69435676419289</c:v>
                </c:pt>
                <c:pt idx="44">
                  <c:v>291.15731038681361</c:v>
                </c:pt>
                <c:pt idx="45" formatCode="0.00">
                  <c:v>344.37856763110847</c:v>
                </c:pt>
                <c:pt idx="46" formatCode="0.00">
                  <c:v>368.60990605457454</c:v>
                </c:pt>
                <c:pt idx="47" formatCode="0.00">
                  <c:v>397.39191759799945</c:v>
                </c:pt>
                <c:pt idx="48" formatCode="0.00">
                  <c:v>377.67748056565642</c:v>
                </c:pt>
                <c:pt idx="49" formatCode="0.00">
                  <c:v>369.03913595116342</c:v>
                </c:pt>
                <c:pt idx="50" formatCode="0.00">
                  <c:v>316.24951862651182</c:v>
                </c:pt>
                <c:pt idx="51" formatCode="0.00">
                  <c:v>296.76913616024939</c:v>
                </c:pt>
                <c:pt idx="52" formatCode="0.00">
                  <c:v>309.16830959455802</c:v>
                </c:pt>
                <c:pt idx="53" formatCode="0.00">
                  <c:v>336.04020172824056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B-497D-8A11-380557A0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97472"/>
        <c:axId val="152527232"/>
      </c:lineChart>
      <c:catAx>
        <c:axId val="1526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527232"/>
        <c:crosses val="autoZero"/>
        <c:auto val="1"/>
        <c:lblAlgn val="ctr"/>
        <c:lblOffset val="100"/>
        <c:noMultiLvlLbl val="0"/>
      </c:catAx>
      <c:valAx>
        <c:axId val="152527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Forint per litre</a:t>
                </a:r>
              </a:p>
            </c:rich>
          </c:tx>
          <c:layout>
            <c:manualLayout>
              <c:xMode val="edge"/>
              <c:yMode val="edge"/>
              <c:x val="2.0332084418815677E-2"/>
              <c:y val="0.306538218092513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2697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720240852246413"/>
          <c:y val="0.46424867711471751"/>
          <c:w val="0.18664121681184542"/>
          <c:h val="0.148922021844043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48390661693604"/>
          <c:y val="3.5699420209129806E-2"/>
          <c:w val="0.77846166597596356"/>
          <c:h val="0.85778413550396237"/>
        </c:manualLayout>
      </c:layout>
      <c:lineChart>
        <c:grouping val="standard"/>
        <c:varyColors val="0"/>
        <c:ser>
          <c:idx val="0"/>
          <c:order val="0"/>
          <c:tx>
            <c:v> energy content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Hungary!$AW$44:$AW$97</c:f>
              <c:numCache>
                <c:formatCode>0.0</c:formatCode>
                <c:ptCount val="54"/>
                <c:pt idx="0">
                  <c:v>187.73216000000002</c:v>
                </c:pt>
                <c:pt idx="1">
                  <c:v>187.71840075056394</c:v>
                </c:pt>
                <c:pt idx="2">
                  <c:v>185.19288237309092</c:v>
                </c:pt>
                <c:pt idx="3">
                  <c:v>150.88012361319898</c:v>
                </c:pt>
                <c:pt idx="4">
                  <c:v>159.17472834379953</c:v>
                </c:pt>
                <c:pt idx="5">
                  <c:v>155.42355547814327</c:v>
                </c:pt>
                <c:pt idx="6">
                  <c:v>177.81193298289551</c:v>
                </c:pt>
                <c:pt idx="7">
                  <c:v>148.01807304762872</c:v>
                </c:pt>
                <c:pt idx="8">
                  <c:v>163.31112646637513</c:v>
                </c:pt>
                <c:pt idx="9">
                  <c:v>191.55481396703971</c:v>
                </c:pt>
                <c:pt idx="10">
                  <c:v>170.14972095254097</c:v>
                </c:pt>
                <c:pt idx="11">
                  <c:v>157.95231478554786</c:v>
                </c:pt>
                <c:pt idx="12">
                  <c:v>188.72053105554033</c:v>
                </c:pt>
                <c:pt idx="13">
                  <c:v>219.34131561048835</c:v>
                </c:pt>
                <c:pt idx="14">
                  <c:v>252.82107996645396</c:v>
                </c:pt>
                <c:pt idx="15">
                  <c:v>248.59734224169009</c:v>
                </c:pt>
                <c:pt idx="16">
                  <c:v>298.82475108709559</c:v>
                </c:pt>
                <c:pt idx="17">
                  <c:v>284.99302852616046</c:v>
                </c:pt>
                <c:pt idx="18">
                  <c:v>284.06698009033653</c:v>
                </c:pt>
                <c:pt idx="19">
                  <c:v>287.76410765249943</c:v>
                </c:pt>
                <c:pt idx="20">
                  <c:v>209.01762038460589</c:v>
                </c:pt>
                <c:pt idx="21">
                  <c:v>178.54379117968833</c:v>
                </c:pt>
                <c:pt idx="22">
                  <c:v>166.85908341225567</c:v>
                </c:pt>
                <c:pt idx="23">
                  <c:v>167.53470867971456</c:v>
                </c:pt>
                <c:pt idx="24">
                  <c:v>189.89508865796188</c:v>
                </c:pt>
                <c:pt idx="25">
                  <c:v>141.69321527598944</c:v>
                </c:pt>
                <c:pt idx="26">
                  <c:v>125.03355043758125</c:v>
                </c:pt>
                <c:pt idx="27">
                  <c:v>95.453183557213066</c:v>
                </c:pt>
                <c:pt idx="28">
                  <c:v>90.73948287990163</c:v>
                </c:pt>
                <c:pt idx="29">
                  <c:v>91.718348164304643</c:v>
                </c:pt>
                <c:pt idx="30">
                  <c:v>106.96425246148533</c:v>
                </c:pt>
                <c:pt idx="31">
                  <c:v>96.602513506865222</c:v>
                </c:pt>
                <c:pt idx="32">
                  <c:v>83.733945956135443</c:v>
                </c:pt>
                <c:pt idx="33">
                  <c:v>94.33987900073987</c:v>
                </c:pt>
                <c:pt idx="34">
                  <c:v>132.72361679671246</c:v>
                </c:pt>
                <c:pt idx="35">
                  <c:v>130.04954137884442</c:v>
                </c:pt>
                <c:pt idx="36">
                  <c:v>110.06918573458699</c:v>
                </c:pt>
                <c:pt idx="37">
                  <c:v>106.17993077449955</c:v>
                </c:pt>
                <c:pt idx="38">
                  <c:v>112.20435268556992</c:v>
                </c:pt>
                <c:pt idx="39">
                  <c:v>120.13879557074631</c:v>
                </c:pt>
                <c:pt idx="40">
                  <c:v>136.89413467793779</c:v>
                </c:pt>
                <c:pt idx="41">
                  <c:v>157.43056366431719</c:v>
                </c:pt>
                <c:pt idx="42">
                  <c:v>155.38700231380432</c:v>
                </c:pt>
                <c:pt idx="43">
                  <c:v>120.28515549942131</c:v>
                </c:pt>
                <c:pt idx="44">
                  <c:v>116.04338551516113</c:v>
                </c:pt>
                <c:pt idx="45">
                  <c:v>148.25144491472642</c:v>
                </c:pt>
                <c:pt idx="46">
                  <c:v>190.5909576680219</c:v>
                </c:pt>
                <c:pt idx="47">
                  <c:v>194.45043573116723</c:v>
                </c:pt>
                <c:pt idx="48">
                  <c:v>189.12768232273351</c:v>
                </c:pt>
                <c:pt idx="49">
                  <c:v>180.79571182172668</c:v>
                </c:pt>
                <c:pt idx="50">
                  <c:v>112.86652638760648</c:v>
                </c:pt>
                <c:pt idx="51">
                  <c:v>93.860431225701632</c:v>
                </c:pt>
                <c:pt idx="52">
                  <c:v>110.30988831376115</c:v>
                </c:pt>
                <c:pt idx="53">
                  <c:v>129.36120917037181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2-4998-8552-4B5F78430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48864"/>
        <c:axId val="152550400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Hungary!$A$44:$A$96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Hungary!$AY$44:$AY$97</c:f>
              <c:numCache>
                <c:formatCode>0</c:formatCode>
                <c:ptCount val="54"/>
                <c:pt idx="0">
                  <c:v>11000</c:v>
                </c:pt>
                <c:pt idx="1">
                  <c:v>10530.113776378459</c:v>
                </c:pt>
                <c:pt idx="2">
                  <c:v>10098.727161008412</c:v>
                </c:pt>
                <c:pt idx="3">
                  <c:v>9701.2947317022572</c:v>
                </c:pt>
                <c:pt idx="4">
                  <c:v>9333.9595078558868</c:v>
                </c:pt>
                <c:pt idx="5">
                  <c:v>9129.6914189283561</c:v>
                </c:pt>
                <c:pt idx="6">
                  <c:v>9271.0422337927757</c:v>
                </c:pt>
                <c:pt idx="7">
                  <c:v>8327.8874519567653</c:v>
                </c:pt>
                <c:pt idx="8">
                  <c:v>7645.855215295408</c:v>
                </c:pt>
                <c:pt idx="9">
                  <c:v>22715.388489420915</c:v>
                </c:pt>
                <c:pt idx="10">
                  <c:v>21467.193450103925</c:v>
                </c:pt>
                <c:pt idx="11">
                  <c:v>20744.96582046623</c:v>
                </c:pt>
                <c:pt idx="12">
                  <c:v>20875.482960706915</c:v>
                </c:pt>
                <c:pt idx="13">
                  <c:v>18452.612299918856</c:v>
                </c:pt>
                <c:pt idx="14">
                  <c:v>24859.370301026858</c:v>
                </c:pt>
                <c:pt idx="15">
                  <c:v>32889.24286835605</c:v>
                </c:pt>
                <c:pt idx="16">
                  <c:v>36012.147248482128</c:v>
                </c:pt>
                <c:pt idx="17">
                  <c:v>33036.776202725938</c:v>
                </c:pt>
                <c:pt idx="18">
                  <c:v>31277.239415472955</c:v>
                </c:pt>
                <c:pt idx="19">
                  <c:v>31954.099870044611</c:v>
                </c:pt>
                <c:pt idx="20">
                  <c:v>28648.175577041293</c:v>
                </c:pt>
                <c:pt idx="21">
                  <c:v>14080.991204638172</c:v>
                </c:pt>
                <c:pt idx="22">
                  <c:v>17078.26282511395</c:v>
                </c:pt>
                <c:pt idx="23">
                  <c:v>13254.293334041369</c:v>
                </c:pt>
                <c:pt idx="24">
                  <c:v>16345.928126950943</c:v>
                </c:pt>
                <c:pt idx="25">
                  <c:v>16941.678027432743</c:v>
                </c:pt>
                <c:pt idx="26">
                  <c:v>13061.205863586387</c:v>
                </c:pt>
                <c:pt idx="27">
                  <c:v>10645.110606158869</c:v>
                </c:pt>
                <c:pt idx="28">
                  <c:v>9141.4299276874117</c:v>
                </c:pt>
                <c:pt idx="29">
                  <c:v>8139.1584981734968</c:v>
                </c:pt>
                <c:pt idx="30">
                  <c:v>8225.2263194303814</c:v>
                </c:pt>
                <c:pt idx="31">
                  <c:v>9644.3976769740602</c:v>
                </c:pt>
                <c:pt idx="32">
                  <c:v>9337.8280392494817</c:v>
                </c:pt>
                <c:pt idx="33">
                  <c:v>6478.0050247174713</c:v>
                </c:pt>
                <c:pt idx="34">
                  <c:v>7963.8705178907612</c:v>
                </c:pt>
                <c:pt idx="35">
                  <c:v>13583.650572540253</c:v>
                </c:pt>
                <c:pt idx="36">
                  <c:v>10471.760656490815</c:v>
                </c:pt>
                <c:pt idx="37">
                  <c:v>9300.1310053129637</c:v>
                </c:pt>
                <c:pt idx="38">
                  <c:v>9006.5747943817278</c:v>
                </c:pt>
                <c:pt idx="39">
                  <c:v>9754.9956892321698</c:v>
                </c:pt>
                <c:pt idx="40">
                  <c:v>13133.453110598794</c:v>
                </c:pt>
                <c:pt idx="41">
                  <c:v>16080.119703649683</c:v>
                </c:pt>
                <c:pt idx="42">
                  <c:v>14702.576124436049</c:v>
                </c:pt>
                <c:pt idx="43">
                  <c:v>17768.214933275096</c:v>
                </c:pt>
                <c:pt idx="44">
                  <c:v>12958.445703319963</c:v>
                </c:pt>
                <c:pt idx="45">
                  <c:v>16108.912573964495</c:v>
                </c:pt>
                <c:pt idx="46">
                  <c:v>20749.559834886539</c:v>
                </c:pt>
                <c:pt idx="47">
                  <c:v>22431.512125216443</c:v>
                </c:pt>
                <c:pt idx="48">
                  <c:v>21207.565511386721</c:v>
                </c:pt>
                <c:pt idx="49">
                  <c:v>20080.864849338708</c:v>
                </c:pt>
                <c:pt idx="50">
                  <c:v>12425.242731624592</c:v>
                </c:pt>
                <c:pt idx="51">
                  <c:v>10249.279099765772</c:v>
                </c:pt>
                <c:pt idx="52">
                  <c:v>12585.746224533546</c:v>
                </c:pt>
                <c:pt idx="53">
                  <c:v>16355.515224374645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2-4998-8552-4B5F78430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24544"/>
        <c:axId val="1143629136"/>
      </c:lineChart>
      <c:catAx>
        <c:axId val="1525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550400"/>
        <c:crosses val="autoZero"/>
        <c:auto val="1"/>
        <c:lblAlgn val="ctr"/>
        <c:lblOffset val="100"/>
        <c:noMultiLvlLbl val="0"/>
      </c:catAx>
      <c:valAx>
        <c:axId val="15255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forint per litre</a:t>
                </a:r>
              </a:p>
            </c:rich>
          </c:tx>
          <c:layout>
            <c:manualLayout>
              <c:xMode val="edge"/>
              <c:yMode val="edge"/>
              <c:x val="2.2447299350739053E-2"/>
              <c:y val="0.320925893105805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2548864"/>
        <c:crosses val="autoZero"/>
        <c:crossBetween val="between"/>
      </c:valAx>
      <c:valAx>
        <c:axId val="11436291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forint per barrel</a:t>
                </a:r>
              </a:p>
            </c:rich>
          </c:tx>
          <c:layout>
            <c:manualLayout>
              <c:xMode val="edge"/>
              <c:yMode val="edge"/>
              <c:x val="0.96111368973615141"/>
              <c:y val="0.3242456389092842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143624544"/>
        <c:crosses val="max"/>
        <c:crossBetween val="between"/>
      </c:valAx>
      <c:catAx>
        <c:axId val="114362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629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1876281254316892"/>
          <c:y val="3.9926323518241894E-2"/>
          <c:w val="0.16895648570244509"/>
          <c:h val="0.241690761323644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2999414093203"/>
          <c:y val="3.5814579629159515E-2"/>
          <c:w val="0.84160467010589712"/>
          <c:h val="0.83336017272034546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Hungary!$BF$44:$BF$97</c:f>
              <c:numCache>
                <c:formatCode>0.0</c:formatCode>
                <c:ptCount val="54"/>
                <c:pt idx="0">
                  <c:v>393.70206119377508</c:v>
                </c:pt>
                <c:pt idx="1">
                  <c:v>376.88481710212363</c:v>
                </c:pt>
                <c:pt idx="2">
                  <c:v>361.44441183167606</c:v>
                </c:pt>
                <c:pt idx="3">
                  <c:v>347.29915826914663</c:v>
                </c:pt>
                <c:pt idx="4">
                  <c:v>334.07269161830146</c:v>
                </c:pt>
                <c:pt idx="5">
                  <c:v>321.88505466463783</c:v>
                </c:pt>
                <c:pt idx="6">
                  <c:v>369.10456498715524</c:v>
                </c:pt>
                <c:pt idx="7">
                  <c:v>298.39953988767769</c:v>
                </c:pt>
                <c:pt idx="8">
                  <c:v>280.01769109355848</c:v>
                </c:pt>
                <c:pt idx="9">
                  <c:v>319.85413113614914</c:v>
                </c:pt>
                <c:pt idx="10">
                  <c:v>280.96654956123609</c:v>
                </c:pt>
                <c:pt idx="11">
                  <c:v>256.05707548396788</c:v>
                </c:pt>
                <c:pt idx="12">
                  <c:v>305.62637381838317</c:v>
                </c:pt>
                <c:pt idx="13">
                  <c:v>329.50109327446177</c:v>
                </c:pt>
                <c:pt idx="14">
                  <c:v>350.19788740129172</c:v>
                </c:pt>
                <c:pt idx="15">
                  <c:v>338.44821888193042</c:v>
                </c:pt>
                <c:pt idx="16">
                  <c:v>447.18727865470134</c:v>
                </c:pt>
                <c:pt idx="17">
                  <c:v>439.56212495116188</c:v>
                </c:pt>
                <c:pt idx="18">
                  <c:v>482.47570960366983</c:v>
                </c:pt>
                <c:pt idx="19">
                  <c:v>505.77468673355679</c:v>
                </c:pt>
                <c:pt idx="20">
                  <c:v>502.41003653143468</c:v>
                </c:pt>
                <c:pt idx="21">
                  <c:v>462.02557565831927</c:v>
                </c:pt>
                <c:pt idx="22">
                  <c:v>462.46788869170348</c:v>
                </c:pt>
                <c:pt idx="23">
                  <c:v>395.53429220636701</c:v>
                </c:pt>
                <c:pt idx="24">
                  <c:v>360.56752149426052</c:v>
                </c:pt>
                <c:pt idx="25">
                  <c:v>362.83774127085132</c:v>
                </c:pt>
                <c:pt idx="26">
                  <c:v>501.83227011817974</c:v>
                </c:pt>
                <c:pt idx="27">
                  <c:v>379.38997626755014</c:v>
                </c:pt>
                <c:pt idx="28">
                  <c:v>417.35118147612593</c:v>
                </c:pt>
                <c:pt idx="29">
                  <c:v>408.00296811529813</c:v>
                </c:pt>
                <c:pt idx="30">
                  <c:v>369.14397334776072</c:v>
                </c:pt>
                <c:pt idx="31">
                  <c:v>378.19136943626944</c:v>
                </c:pt>
                <c:pt idx="32">
                  <c:v>368.4350642075816</c:v>
                </c:pt>
                <c:pt idx="33">
                  <c:v>411.47850381009249</c:v>
                </c:pt>
                <c:pt idx="34">
                  <c:v>471.81576249129148</c:v>
                </c:pt>
                <c:pt idx="35">
                  <c:v>470.84891379347994</c:v>
                </c:pt>
                <c:pt idx="36">
                  <c:v>468.08967914091795</c:v>
                </c:pt>
                <c:pt idx="37">
                  <c:v>423.86618474381578</c:v>
                </c:pt>
                <c:pt idx="38">
                  <c:v>423.99476803270699</c:v>
                </c:pt>
                <c:pt idx="39">
                  <c:v>414.52979333700665</c:v>
                </c:pt>
                <c:pt idx="40">
                  <c:v>400.27396792285936</c:v>
                </c:pt>
                <c:pt idx="41">
                  <c:v>409.1835919550665</c:v>
                </c:pt>
                <c:pt idx="42">
                  <c:v>378.6686951355486</c:v>
                </c:pt>
                <c:pt idx="43">
                  <c:v>383.89020558864286</c:v>
                </c:pt>
                <c:pt idx="44">
                  <c:v>347.82923062002135</c:v>
                </c:pt>
                <c:pt idx="45">
                  <c:v>395.94016090046927</c:v>
                </c:pt>
                <c:pt idx="46">
                  <c:v>437.42455564460874</c:v>
                </c:pt>
                <c:pt idx="47">
                  <c:v>462.51560226168988</c:v>
                </c:pt>
                <c:pt idx="48">
                  <c:v>442.74025149640897</c:v>
                </c:pt>
                <c:pt idx="49">
                  <c:v>431.71440261969298</c:v>
                </c:pt>
                <c:pt idx="50">
                  <c:v>378.8523550602871</c:v>
                </c:pt>
                <c:pt idx="51">
                  <c:v>350.81172947510822</c:v>
                </c:pt>
                <c:pt idx="52">
                  <c:v>366.18438889905394</c:v>
                </c:pt>
                <c:pt idx="53">
                  <c:v>390.25206856428434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9-4FE8-A7C3-38630D56FE3E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Hungary!$A$44:$A$97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Hungary!$BG$44:$BG$97</c:f>
              <c:numCache>
                <c:formatCode>0.0</c:formatCode>
                <c:ptCount val="54"/>
                <c:pt idx="0">
                  <c:v>383.24056664624857</c:v>
                </c:pt>
                <c:pt idx="1">
                  <c:v>362.67869111268834</c:v>
                </c:pt>
                <c:pt idx="2">
                  <c:v>346.76845370385303</c:v>
                </c:pt>
                <c:pt idx="3">
                  <c:v>369.96925378096438</c:v>
                </c:pt>
                <c:pt idx="4">
                  <c:v>344.00589055511</c:v>
                </c:pt>
                <c:pt idx="5">
                  <c:v>334.61386495188606</c:v>
                </c:pt>
                <c:pt idx="6">
                  <c:v>356.5216583209687</c:v>
                </c:pt>
                <c:pt idx="7">
                  <c:v>313.45752420263267</c:v>
                </c:pt>
                <c:pt idx="8">
                  <c:v>271.55408737369987</c:v>
                </c:pt>
                <c:pt idx="9">
                  <c:v>332.39291945549468</c:v>
                </c:pt>
                <c:pt idx="10">
                  <c:v>308.79671410249085</c:v>
                </c:pt>
                <c:pt idx="11">
                  <c:v>292.51310161943655</c:v>
                </c:pt>
                <c:pt idx="12">
                  <c:v>306.78648851843371</c:v>
                </c:pt>
                <c:pt idx="13">
                  <c:v>275.1025845721723</c:v>
                </c:pt>
                <c:pt idx="14">
                  <c:v>307.53471277241135</c:v>
                </c:pt>
                <c:pt idx="15">
                  <c:v>365.0433467561154</c:v>
                </c:pt>
                <c:pt idx="16">
                  <c:v>439.45362728827217</c:v>
                </c:pt>
                <c:pt idx="17">
                  <c:v>424.3508933013004</c:v>
                </c:pt>
                <c:pt idx="18">
                  <c:v>454.27523237005641</c:v>
                </c:pt>
                <c:pt idx="19">
                  <c:v>478.62497346463249</c:v>
                </c:pt>
                <c:pt idx="20">
                  <c:v>541.80831964779031</c:v>
                </c:pt>
                <c:pt idx="21">
                  <c:v>449.80114995331706</c:v>
                </c:pt>
                <c:pt idx="22">
                  <c:v>488.03395836920083</c:v>
                </c:pt>
                <c:pt idx="23">
                  <c:v>389.69603052365653</c:v>
                </c:pt>
                <c:pt idx="24">
                  <c:v>353.06413920447562</c:v>
                </c:pt>
                <c:pt idx="25">
                  <c:v>388.05668551631135</c:v>
                </c:pt>
                <c:pt idx="26">
                  <c:v>515.66947341498837</c:v>
                </c:pt>
                <c:pt idx="27">
                  <c:v>389.56771406033448</c:v>
                </c:pt>
                <c:pt idx="28">
                  <c:v>421.06112020150545</c:v>
                </c:pt>
                <c:pt idx="29">
                  <c:v>402.53476700731545</c:v>
                </c:pt>
                <c:pt idx="30">
                  <c:v>346.35760340583761</c:v>
                </c:pt>
                <c:pt idx="31">
                  <c:v>379.0021043855462</c:v>
                </c:pt>
                <c:pt idx="32">
                  <c:v>381.99122379004666</c:v>
                </c:pt>
                <c:pt idx="33">
                  <c:v>408.87748410800401</c:v>
                </c:pt>
                <c:pt idx="34">
                  <c:v>435.77204581226329</c:v>
                </c:pt>
                <c:pt idx="35">
                  <c:v>482.94324755550974</c:v>
                </c:pt>
                <c:pt idx="36">
                  <c:v>478.8759525455439</c:v>
                </c:pt>
                <c:pt idx="37">
                  <c:v>429.8685758360532</c:v>
                </c:pt>
                <c:pt idx="38">
                  <c:v>420.53210429742785</c:v>
                </c:pt>
                <c:pt idx="39">
                  <c:v>407.68592858077113</c:v>
                </c:pt>
                <c:pt idx="40">
                  <c:v>400.68080927788503</c:v>
                </c:pt>
                <c:pt idx="41">
                  <c:v>408.91929474095917</c:v>
                </c:pt>
                <c:pt idx="42">
                  <c:v>369.79245744760226</c:v>
                </c:pt>
                <c:pt idx="43">
                  <c:v>385.86089518029041</c:v>
                </c:pt>
                <c:pt idx="44">
                  <c:v>343.88785143672612</c:v>
                </c:pt>
                <c:pt idx="45">
                  <c:v>406.74783520353157</c:v>
                </c:pt>
                <c:pt idx="46">
                  <c:v>435.36763148071049</c:v>
                </c:pt>
                <c:pt idx="47">
                  <c:v>469.36225829102773</c:v>
                </c:pt>
                <c:pt idx="48">
                  <c:v>446.07740453162813</c:v>
                </c:pt>
                <c:pt idx="49">
                  <c:v>435.87459778945345</c:v>
                </c:pt>
                <c:pt idx="50">
                  <c:v>373.52442682577924</c:v>
                </c:pt>
                <c:pt idx="51">
                  <c:v>350.5160164836563</c:v>
                </c:pt>
                <c:pt idx="52">
                  <c:v>365.1607633603565</c:v>
                </c:pt>
                <c:pt idx="53">
                  <c:v>396.89933532894162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9-4FE8-A7C3-38630D56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97472"/>
        <c:axId val="152527232"/>
      </c:lineChart>
      <c:catAx>
        <c:axId val="1526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527232"/>
        <c:crosses val="autoZero"/>
        <c:auto val="1"/>
        <c:lblAlgn val="ctr"/>
        <c:lblOffset val="100"/>
        <c:noMultiLvlLbl val="0"/>
      </c:catAx>
      <c:valAx>
        <c:axId val="152527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Forint per litre</a:t>
                </a:r>
              </a:p>
            </c:rich>
          </c:tx>
          <c:layout>
            <c:manualLayout>
              <c:xMode val="edge"/>
              <c:yMode val="edge"/>
              <c:x val="2.0332084418815677E-2"/>
              <c:y val="0.306538218092513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2697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720240852246413"/>
          <c:y val="0.46424867711471751"/>
          <c:w val="0.18664121681184542"/>
          <c:h val="0.25181583411398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33543307086614"/>
          <c:y val="5.0925925925925923E-2"/>
          <c:w val="0.84816456692913389"/>
          <c:h val="0.7789187809857101"/>
        </c:manualLayout>
      </c:layout>
      <c:lineChart>
        <c:grouping val="standard"/>
        <c:varyColors val="0"/>
        <c:ser>
          <c:idx val="0"/>
          <c:order val="0"/>
          <c:tx>
            <c:strRef>
              <c:f>Hungary!$Y$121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Hungary!$A$122:$A$142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Hungary!$Y$122:$Y$142</c:f>
              <c:numCache>
                <c:formatCode>0.00</c:formatCode>
                <c:ptCount val="21"/>
                <c:pt idx="0">
                  <c:v>395.94016090046927</c:v>
                </c:pt>
                <c:pt idx="1">
                  <c:v>437.42455564460874</c:v>
                </c:pt>
                <c:pt idx="2">
                  <c:v>462.51560226168988</c:v>
                </c:pt>
                <c:pt idx="3">
                  <c:v>442.74025149640897</c:v>
                </c:pt>
                <c:pt idx="4">
                  <c:v>431.71440261969298</c:v>
                </c:pt>
                <c:pt idx="5">
                  <c:v>378.8523550602871</c:v>
                </c:pt>
                <c:pt idx="6">
                  <c:v>350.81172947510822</c:v>
                </c:pt>
                <c:pt idx="7">
                  <c:v>366.18438889905394</c:v>
                </c:pt>
                <c:pt idx="8">
                  <c:v>390.25206856428434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6-4B63-BD4F-4F26D73AF452}"/>
            </c:ext>
          </c:extLst>
        </c:ser>
        <c:ser>
          <c:idx val="1"/>
          <c:order val="1"/>
          <c:tx>
            <c:strRef>
              <c:f>Hungary!$Z$121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Hungary!$A$122:$A$142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Hungary!$Z$122:$Z$142</c:f>
              <c:numCache>
                <c:formatCode>0.00</c:formatCode>
                <c:ptCount val="21"/>
                <c:pt idx="0">
                  <c:v>406.74783520353157</c:v>
                </c:pt>
                <c:pt idx="1">
                  <c:v>435.36763148071049</c:v>
                </c:pt>
                <c:pt idx="2">
                  <c:v>469.36225829102784</c:v>
                </c:pt>
                <c:pt idx="3">
                  <c:v>446.07740453162813</c:v>
                </c:pt>
                <c:pt idx="4">
                  <c:v>435.87459778945345</c:v>
                </c:pt>
                <c:pt idx="5">
                  <c:v>373.52442682577924</c:v>
                </c:pt>
                <c:pt idx="6">
                  <c:v>350.5160164836563</c:v>
                </c:pt>
                <c:pt idx="7">
                  <c:v>365.1607633603565</c:v>
                </c:pt>
                <c:pt idx="8">
                  <c:v>396.89933532894162</c:v>
                </c:pt>
                <c:pt idx="9">
                  <c:v>469.59333044565568</c:v>
                </c:pt>
                <c:pt idx="10">
                  <c:v>502.55722406672982</c:v>
                </c:pt>
                <c:pt idx="11">
                  <c:v>537.46017025374942</c:v>
                </c:pt>
                <c:pt idx="12">
                  <c:v>552.97259078131401</c:v>
                </c:pt>
                <c:pt idx="13">
                  <c:v>564.60690617698708</c:v>
                </c:pt>
                <c:pt idx="14">
                  <c:v>574.30216900671485</c:v>
                </c:pt>
                <c:pt idx="15">
                  <c:v>583.9974318364425</c:v>
                </c:pt>
                <c:pt idx="16">
                  <c:v>593.69269466617027</c:v>
                </c:pt>
                <c:pt idx="17">
                  <c:v>603.38795749589792</c:v>
                </c:pt>
                <c:pt idx="18">
                  <c:v>611.14416775968016</c:v>
                </c:pt>
                <c:pt idx="19">
                  <c:v>620.83943058940781</c:v>
                </c:pt>
                <c:pt idx="20">
                  <c:v>626.6565882872444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6-4B63-BD4F-4F26D73AF452}"/>
            </c:ext>
          </c:extLst>
        </c:ser>
        <c:ser>
          <c:idx val="3"/>
          <c:order val="2"/>
          <c:tx>
            <c:strRef>
              <c:f>Hungary!$AB$121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Hungary!$A$122:$A$142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Hungary!$AB$122:$AB$142</c:f>
              <c:numCache>
                <c:formatCode>0.00</c:formatCode>
                <c:ptCount val="21"/>
                <c:pt idx="0">
                  <c:v>406.74783520353157</c:v>
                </c:pt>
                <c:pt idx="1">
                  <c:v>435.36763148071049</c:v>
                </c:pt>
                <c:pt idx="2">
                  <c:v>469.36225829102784</c:v>
                </c:pt>
                <c:pt idx="3">
                  <c:v>446.07740453162813</c:v>
                </c:pt>
                <c:pt idx="4">
                  <c:v>435.87459778945345</c:v>
                </c:pt>
                <c:pt idx="5">
                  <c:v>373.52442682577924</c:v>
                </c:pt>
                <c:pt idx="6">
                  <c:v>350.5160164836563</c:v>
                </c:pt>
                <c:pt idx="7">
                  <c:v>365.1607633603565</c:v>
                </c:pt>
                <c:pt idx="8">
                  <c:v>396.89933532894162</c:v>
                </c:pt>
                <c:pt idx="9">
                  <c:v>324.16438799974026</c:v>
                </c:pt>
                <c:pt idx="10">
                  <c:v>326.10344056568579</c:v>
                </c:pt>
                <c:pt idx="11">
                  <c:v>329.98154569757685</c:v>
                </c:pt>
                <c:pt idx="12">
                  <c:v>331.92059826352238</c:v>
                </c:pt>
                <c:pt idx="13">
                  <c:v>331.92059826352238</c:v>
                </c:pt>
                <c:pt idx="14">
                  <c:v>331.92059826352238</c:v>
                </c:pt>
                <c:pt idx="15">
                  <c:v>333.85965082946791</c:v>
                </c:pt>
                <c:pt idx="16">
                  <c:v>335.79870339541344</c:v>
                </c:pt>
                <c:pt idx="17">
                  <c:v>337.73775596135897</c:v>
                </c:pt>
                <c:pt idx="18">
                  <c:v>337.73775596135897</c:v>
                </c:pt>
                <c:pt idx="19">
                  <c:v>337.73775596135897</c:v>
                </c:pt>
                <c:pt idx="20">
                  <c:v>339.67680852730462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16-4B63-BD4F-4F26D73AF452}"/>
            </c:ext>
          </c:extLst>
        </c:ser>
        <c:ser>
          <c:idx val="2"/>
          <c:order val="3"/>
          <c:tx>
            <c:strRef>
              <c:f>Hungary!$AA$121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Hungary!$A$122:$A$142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Hungary!$AA$122:$AA$142</c:f>
              <c:numCache>
                <c:formatCode>0.00</c:formatCode>
                <c:ptCount val="21"/>
                <c:pt idx="0">
                  <c:v>406.74783520353157</c:v>
                </c:pt>
                <c:pt idx="1">
                  <c:v>435.36763148071049</c:v>
                </c:pt>
                <c:pt idx="2">
                  <c:v>469.36225829102784</c:v>
                </c:pt>
                <c:pt idx="3">
                  <c:v>446.07740453162813</c:v>
                </c:pt>
                <c:pt idx="4">
                  <c:v>435.87459778945345</c:v>
                </c:pt>
                <c:pt idx="5">
                  <c:v>373.52442682577924</c:v>
                </c:pt>
                <c:pt idx="6">
                  <c:v>350.5160164836563</c:v>
                </c:pt>
                <c:pt idx="7">
                  <c:v>365.1607633603565</c:v>
                </c:pt>
                <c:pt idx="8">
                  <c:v>396.89933532894162</c:v>
                </c:pt>
                <c:pt idx="9">
                  <c:v>391.86673158318627</c:v>
                </c:pt>
                <c:pt idx="10">
                  <c:v>392.38767480987872</c:v>
                </c:pt>
                <c:pt idx="11">
                  <c:v>407.73585621942533</c:v>
                </c:pt>
                <c:pt idx="12">
                  <c:v>419.16363262372136</c:v>
                </c:pt>
                <c:pt idx="13">
                  <c:v>424.42230988721064</c:v>
                </c:pt>
                <c:pt idx="14">
                  <c:v>425.81263837539814</c:v>
                </c:pt>
                <c:pt idx="15">
                  <c:v>433.08742491307248</c:v>
                </c:pt>
                <c:pt idx="16">
                  <c:v>445.87370987911379</c:v>
                </c:pt>
                <c:pt idx="17">
                  <c:v>452.46343761985241</c:v>
                </c:pt>
                <c:pt idx="18">
                  <c:v>456.63489969280619</c:v>
                </c:pt>
                <c:pt idx="19">
                  <c:v>462.28903822847707</c:v>
                </c:pt>
                <c:pt idx="20">
                  <c:v>466.61235680413665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6-4B63-BD4F-4F26D73A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838392"/>
        <c:axId val="597835768"/>
      </c:lineChart>
      <c:catAx>
        <c:axId val="59783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835768"/>
        <c:crosses val="autoZero"/>
        <c:auto val="1"/>
        <c:lblAlgn val="ctr"/>
        <c:lblOffset val="100"/>
        <c:noMultiLvlLbl val="0"/>
      </c:catAx>
      <c:valAx>
        <c:axId val="59783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forint per litre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20148512685914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838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914153543307089"/>
          <c:y val="0.53761519393409163"/>
          <c:w val="0.24921692913385826"/>
          <c:h val="0.2540514727325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'World Oil Price analysis'!$AD$4</c:f>
              <c:strCache>
                <c:ptCount val="1"/>
                <c:pt idx="0">
                  <c:v> real oil price</c:v>
                </c:pt>
              </c:strCache>
            </c:strRef>
          </c:tx>
          <c:spPr>
            <a:ln w="412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analysis'!$AC$5:$AC$70</c:f>
              <c:numCache>
                <c:formatCode>General</c:formatCode>
                <c:ptCount val="6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</c:numCache>
            </c:numRef>
          </c:cat>
          <c:val>
            <c:numRef>
              <c:f>'World Oil Price analysis'!$AD$5:$AD$70</c:f>
              <c:numCache>
                <c:formatCode>General</c:formatCode>
                <c:ptCount val="66"/>
                <c:pt idx="5" formatCode="0.00">
                  <c:v>21.734722600286851</c:v>
                </c:pt>
                <c:pt idx="6" formatCode="0.00">
                  <c:v>22.127685744112195</c:v>
                </c:pt>
                <c:pt idx="7" formatCode="0.00">
                  <c:v>21.439504130060858</c:v>
                </c:pt>
                <c:pt idx="8" formatCode="0.00">
                  <c:v>21.941636458038673</c:v>
                </c:pt>
                <c:pt idx="9" formatCode="0.00">
                  <c:v>62.703598855760191</c:v>
                </c:pt>
                <c:pt idx="10" formatCode="0.00">
                  <c:v>59.256172595881438</c:v>
                </c:pt>
                <c:pt idx="11" formatCode="0.00">
                  <c:v>58.895028113827038</c:v>
                </c:pt>
                <c:pt idx="12" formatCode="0.00">
                  <c:v>59.635300153513214</c:v>
                </c:pt>
                <c:pt idx="13" formatCode="0.00">
                  <c:v>55.330567493694716</c:v>
                </c:pt>
                <c:pt idx="14" formatCode="0.00">
                  <c:v>74.323522127224805</c:v>
                </c:pt>
                <c:pt idx="15" formatCode="0.00">
                  <c:v>103.24995045446911</c:v>
                </c:pt>
                <c:pt idx="16" formatCode="0.00">
                  <c:v>100.79490686481606</c:v>
                </c:pt>
                <c:pt idx="17" formatCode="0.00">
                  <c:v>86.57685412133722</c:v>
                </c:pt>
                <c:pt idx="18" formatCode="0.00">
                  <c:v>73.181773333161431</c:v>
                </c:pt>
                <c:pt idx="19" formatCode="0.00">
                  <c:v>69.077352673839016</c:v>
                </c:pt>
                <c:pt idx="20" formatCode="0.00">
                  <c:v>62.395283825906951</c:v>
                </c:pt>
                <c:pt idx="21" formatCode="0.00">
                  <c:v>34.538532812471416</c:v>
                </c:pt>
                <c:pt idx="22" formatCode="0.00">
                  <c:v>42.540266405915901</c:v>
                </c:pt>
                <c:pt idx="23" formatCode="0.00">
                  <c:v>33.990142056114721</c:v>
                </c:pt>
                <c:pt idx="24" formatCode="0.00">
                  <c:v>39.89010429406818</c:v>
                </c:pt>
                <c:pt idx="25" formatCode="0.00">
                  <c:v>47.260841957304422</c:v>
                </c:pt>
                <c:pt idx="26" formatCode="0.00">
                  <c:v>39.821343939717423</c:v>
                </c:pt>
                <c:pt idx="27" formatCode="0.00">
                  <c:v>36.923505396808793</c:v>
                </c:pt>
                <c:pt idx="28" formatCode="0.00">
                  <c:v>32.11246561978863</c:v>
                </c:pt>
                <c:pt idx="29" formatCode="0.00">
                  <c:v>29.211106500610327</c:v>
                </c:pt>
                <c:pt idx="30" formatCode="0.00">
                  <c:v>30.445904869860836</c:v>
                </c:pt>
                <c:pt idx="31" formatCode="0.00">
                  <c:v>35.499198418001072</c:v>
                </c:pt>
                <c:pt idx="32" formatCode="0.00">
                  <c:v>32.320370709590833</c:v>
                </c:pt>
                <c:pt idx="33" formatCode="0.00">
                  <c:v>22.268782503052613</c:v>
                </c:pt>
                <c:pt idx="34" formatCode="0.00">
                  <c:v>26.415017360961585</c:v>
                </c:pt>
                <c:pt idx="35" formatCode="0.00">
                  <c:v>40.34948283193367</c:v>
                </c:pt>
                <c:pt idx="36" formatCode="0.00">
                  <c:v>32.874061296680885</c:v>
                </c:pt>
                <c:pt idx="37" formatCode="0.00">
                  <c:v>34.093188360645129</c:v>
                </c:pt>
                <c:pt idx="38" formatCode="0.00">
                  <c:v>38.444083965997315</c:v>
                </c:pt>
                <c:pt idx="39" formatCode="0.00">
                  <c:v>48.03913434009133</c:v>
                </c:pt>
                <c:pt idx="40" formatCode="0.00">
                  <c:v>65.283977226449025</c:v>
                </c:pt>
                <c:pt idx="41" formatCode="0.00">
                  <c:v>76.285024501471085</c:v>
                </c:pt>
                <c:pt idx="42" formatCode="0.00">
                  <c:v>83.871978488493781</c:v>
                </c:pt>
                <c:pt idx="43" formatCode="0.00">
                  <c:v>110.45828834630711</c:v>
                </c:pt>
                <c:pt idx="44" formatCode="0.00">
                  <c:v>71.642987430486102</c:v>
                </c:pt>
                <c:pt idx="45" formatCode="0.00">
                  <c:v>89.402109322937591</c:v>
                </c:pt>
                <c:pt idx="46" formatCode="0.00">
                  <c:v>120.26418965880769</c:v>
                </c:pt>
                <c:pt idx="47" formatCode="0.00">
                  <c:v>120.13347288494178</c:v>
                </c:pt>
                <c:pt idx="48" formatCode="0.00">
                  <c:v>114.6082766501893</c:v>
                </c:pt>
                <c:pt idx="49" formatCode="0.00">
                  <c:v>102.37407292188689</c:v>
                </c:pt>
                <c:pt idx="50" formatCode="0.00">
                  <c:v>52.586559562180234</c:v>
                </c:pt>
                <c:pt idx="51" formatCode="0.00">
                  <c:v>42.66101581249206</c:v>
                </c:pt>
                <c:pt idx="52" formatCode="0.00">
                  <c:v>53.913383591030232</c:v>
                </c:pt>
                <c:pt idx="53" formatCode="0.00">
                  <c:v>70.203982683982687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A-4178-BCC0-0FED9134035D}"/>
            </c:ext>
          </c:extLst>
        </c:ser>
        <c:ser>
          <c:idx val="2"/>
          <c:order val="1"/>
          <c:tx>
            <c:strRef>
              <c:f>'World Oil Price analysis'!$AF$4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analysis'!$AC$5:$AC$70</c:f>
              <c:numCache>
                <c:formatCode>General</c:formatCode>
                <c:ptCount val="6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</c:numCache>
            </c:numRef>
          </c:cat>
          <c:val>
            <c:numRef>
              <c:f>'World Oil Price analysis'!$AF$5:$AF$70</c:f>
              <c:numCache>
                <c:formatCode>General</c:formatCode>
                <c:ptCount val="66"/>
                <c:pt idx="53" formatCode="0.00">
                  <c:v>70.539882799737995</c:v>
                </c:pt>
                <c:pt idx="54" formatCode="0.00">
                  <c:v>104.59499817677553</c:v>
                </c:pt>
                <c:pt idx="55" formatCode="0.00">
                  <c:v>121.52942645301539</c:v>
                </c:pt>
                <c:pt idx="56" formatCode="0.00">
                  <c:v>139.45999756903402</c:v>
                </c:pt>
                <c:pt idx="57" formatCode="0.00">
                  <c:v>147.42914028726457</c:v>
                </c:pt>
                <c:pt idx="58" formatCode="0.00">
                  <c:v>153.40599732593745</c:v>
                </c:pt>
                <c:pt idx="59" formatCode="0.00">
                  <c:v>158.38671152483153</c:v>
                </c:pt>
                <c:pt idx="60" formatCode="0.00">
                  <c:v>163.36742572372557</c:v>
                </c:pt>
                <c:pt idx="61" formatCode="0.00">
                  <c:v>168.34813992261968</c:v>
                </c:pt>
                <c:pt idx="62" formatCode="0.00">
                  <c:v>173.32885412151373</c:v>
                </c:pt>
                <c:pt idx="63" formatCode="0.00">
                  <c:v>177.31342548062901</c:v>
                </c:pt>
                <c:pt idx="64" formatCode="0.00">
                  <c:v>182.29413967952306</c:v>
                </c:pt>
                <c:pt idx="65" formatCode="0.00">
                  <c:v>185.28256819885948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A-4178-BCC0-0FED9134035D}"/>
            </c:ext>
          </c:extLst>
        </c:ser>
        <c:ser>
          <c:idx val="3"/>
          <c:order val="2"/>
          <c:tx>
            <c:strRef>
              <c:f>'World Oil Price analysis'!$AG$4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analysis'!$AC$5:$AC$70</c:f>
              <c:numCache>
                <c:formatCode>General</c:formatCode>
                <c:ptCount val="6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</c:numCache>
            </c:numRef>
          </c:cat>
          <c:val>
            <c:numRef>
              <c:f>'World Oil Price analysis'!$AG$5:$AG$70</c:f>
              <c:numCache>
                <c:formatCode>General</c:formatCode>
                <c:ptCount val="66"/>
                <c:pt idx="53" formatCode="0.00">
                  <c:v>70.539882799737995</c:v>
                </c:pt>
                <c:pt idx="54" formatCode="0.00">
                  <c:v>29.884285193364434</c:v>
                </c:pt>
                <c:pt idx="55" formatCode="0.00">
                  <c:v>30.880428033143254</c:v>
                </c:pt>
                <c:pt idx="56" formatCode="0.00">
                  <c:v>32.872713712700886</c:v>
                </c:pt>
                <c:pt idx="57" formatCode="0.00">
                  <c:v>33.868856552479684</c:v>
                </c:pt>
                <c:pt idx="58" formatCode="0.00">
                  <c:v>33.868856552479684</c:v>
                </c:pt>
                <c:pt idx="59" formatCode="0.00">
                  <c:v>33.868856552479684</c:v>
                </c:pt>
                <c:pt idx="60" formatCode="0.00">
                  <c:v>34.864999392258504</c:v>
                </c:pt>
                <c:pt idx="61" formatCode="0.00">
                  <c:v>35.861142232037324</c:v>
                </c:pt>
                <c:pt idx="62" formatCode="0.00">
                  <c:v>36.857285071816143</c:v>
                </c:pt>
                <c:pt idx="63" formatCode="0.00">
                  <c:v>36.857285071816143</c:v>
                </c:pt>
                <c:pt idx="64" formatCode="0.00">
                  <c:v>36.857285071816143</c:v>
                </c:pt>
                <c:pt idx="65" formatCode="0.00">
                  <c:v>37.853427911594956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A-4178-BCC0-0FED9134035D}"/>
            </c:ext>
          </c:extLst>
        </c:ser>
        <c:ser>
          <c:idx val="1"/>
          <c:order val="3"/>
          <c:tx>
            <c:strRef>
              <c:f>'World Oil Price analysis'!$AE$4</c:f>
              <c:strCache>
                <c:ptCount val="1"/>
                <c:pt idx="0">
                  <c:v>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'World Oil Price analysis'!$AC$5:$AC$70</c:f>
              <c:numCache>
                <c:formatCode>General</c:formatCode>
                <c:ptCount val="6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  <c:pt idx="57">
                  <c:v>2022</c:v>
                </c:pt>
                <c:pt idx="58">
                  <c:v>2023</c:v>
                </c:pt>
                <c:pt idx="59">
                  <c:v>2024</c:v>
                </c:pt>
                <c:pt idx="60">
                  <c:v>2025</c:v>
                </c:pt>
                <c:pt idx="61">
                  <c:v>2026</c:v>
                </c:pt>
                <c:pt idx="62">
                  <c:v>2027</c:v>
                </c:pt>
                <c:pt idx="63">
                  <c:v>2028</c:v>
                </c:pt>
                <c:pt idx="64">
                  <c:v>2029</c:v>
                </c:pt>
                <c:pt idx="65">
                  <c:v>2030</c:v>
                </c:pt>
              </c:numCache>
            </c:numRef>
          </c:cat>
          <c:val>
            <c:numRef>
              <c:f>'World Oil Price analysis'!$AE$5:$AE$70</c:f>
              <c:numCache>
                <c:formatCode>General</c:formatCode>
                <c:ptCount val="66"/>
                <c:pt idx="5" formatCode="0.00">
                  <c:v>13.671574050288468</c:v>
                </c:pt>
                <c:pt idx="6" formatCode="0.00">
                  <c:v>21.227906860014183</c:v>
                </c:pt>
                <c:pt idx="7" formatCode="0.00">
                  <c:v>30.18075585981035</c:v>
                </c:pt>
                <c:pt idx="8" formatCode="0.00">
                  <c:v>38.26432618688316</c:v>
                </c:pt>
                <c:pt idx="9" formatCode="0.00">
                  <c:v>53.431260361020904</c:v>
                </c:pt>
                <c:pt idx="10" formatCode="0.00">
                  <c:v>64.143885330650875</c:v>
                </c:pt>
                <c:pt idx="11" formatCode="0.00">
                  <c:v>54.878132180986114</c:v>
                </c:pt>
                <c:pt idx="12" formatCode="0.00">
                  <c:v>51.622108959867582</c:v>
                </c:pt>
                <c:pt idx="13" formatCode="0.00">
                  <c:v>61.959400017404526</c:v>
                </c:pt>
                <c:pt idx="14" formatCode="0.00">
                  <c:v>80.144708800743729</c:v>
                </c:pt>
                <c:pt idx="15" formatCode="0.00">
                  <c:v>95.098893043116419</c:v>
                </c:pt>
                <c:pt idx="16" formatCode="0.00">
                  <c:v>92.809318246345342</c:v>
                </c:pt>
                <c:pt idx="17" formatCode="0.00">
                  <c:v>89.725982208262991</c:v>
                </c:pt>
                <c:pt idx="18" formatCode="0.00">
                  <c:v>76.205512562168991</c:v>
                </c:pt>
                <c:pt idx="19" formatCode="0.00">
                  <c:v>68.237263911890935</c:v>
                </c:pt>
                <c:pt idx="20" formatCode="0.00">
                  <c:v>63.600786323283849</c:v>
                </c:pt>
                <c:pt idx="21" formatCode="0.00">
                  <c:v>38.304621175543332</c:v>
                </c:pt>
                <c:pt idx="22" formatCode="0.00">
                  <c:v>36.468469943021546</c:v>
                </c:pt>
                <c:pt idx="23" formatCode="0.00">
                  <c:v>32.914177802602381</c:v>
                </c:pt>
                <c:pt idx="24" formatCode="0.00">
                  <c:v>28.437730312941845</c:v>
                </c:pt>
                <c:pt idx="25" formatCode="0.00">
                  <c:v>29.370441863397424</c:v>
                </c:pt>
                <c:pt idx="26" formatCode="0.00">
                  <c:v>32.459560448895274</c:v>
                </c:pt>
                <c:pt idx="27" formatCode="0.00">
                  <c:v>37.642994803064923</c:v>
                </c:pt>
                <c:pt idx="28" formatCode="0.00">
                  <c:v>32.879161767464865</c:v>
                </c:pt>
                <c:pt idx="29" formatCode="0.00">
                  <c:v>30.333320216365564</c:v>
                </c:pt>
                <c:pt idx="30" formatCode="0.00">
                  <c:v>33.256306717311858</c:v>
                </c:pt>
                <c:pt idx="31" formatCode="0.00">
                  <c:v>36.592466210762339</c:v>
                </c:pt>
                <c:pt idx="32" formatCode="0.00">
                  <c:v>31.686627638478704</c:v>
                </c:pt>
                <c:pt idx="33" formatCode="0.00">
                  <c:v>30.576271876401023</c:v>
                </c:pt>
                <c:pt idx="34" formatCode="0.00">
                  <c:v>35.896778412922075</c:v>
                </c:pt>
                <c:pt idx="35" formatCode="0.00">
                  <c:v>41.855187723277183</c:v>
                </c:pt>
                <c:pt idx="36" formatCode="0.00">
                  <c:v>38.348716365128908</c:v>
                </c:pt>
                <c:pt idx="37" formatCode="0.00">
                  <c:v>37.602134837330212</c:v>
                </c:pt>
                <c:pt idx="38" formatCode="0.00">
                  <c:v>42.457390847451016</c:v>
                </c:pt>
                <c:pt idx="39" formatCode="0.00">
                  <c:v>51.827997005593694</c:v>
                </c:pt>
                <c:pt idx="40" formatCode="0.00">
                  <c:v>65.259722103106228</c:v>
                </c:pt>
                <c:pt idx="41" formatCode="0.00">
                  <c:v>74.688745272572575</c:v>
                </c:pt>
                <c:pt idx="42" formatCode="0.00">
                  <c:v>85.533086468843933</c:v>
                </c:pt>
                <c:pt idx="43" formatCode="0.00">
                  <c:v>109.32269630791144</c:v>
                </c:pt>
                <c:pt idx="44" formatCode="0.00">
                  <c:v>70.49907182882724</c:v>
                </c:pt>
                <c:pt idx="45" formatCode="0.00">
                  <c:v>89.985842387653108</c:v>
                </c:pt>
                <c:pt idx="46" formatCode="0.00">
                  <c:v>123.26159059885735</c:v>
                </c:pt>
                <c:pt idx="47" formatCode="0.00">
                  <c:v>118.40677884242976</c:v>
                </c:pt>
                <c:pt idx="48" formatCode="0.00">
                  <c:v>112.24475539558043</c:v>
                </c:pt>
                <c:pt idx="49" formatCode="0.00">
                  <c:v>102.38049818978509</c:v>
                </c:pt>
                <c:pt idx="50" formatCode="0.00">
                  <c:v>51.771693011713502</c:v>
                </c:pt>
                <c:pt idx="51" formatCode="0.00">
                  <c:v>41.399248039045624</c:v>
                </c:pt>
                <c:pt idx="52" formatCode="0.00">
                  <c:v>54.69183660802117</c:v>
                </c:pt>
                <c:pt idx="53" formatCode="0.00">
                  <c:v>70.539882799737995</c:v>
                </c:pt>
                <c:pt idx="54" formatCode="0.00">
                  <c:v>64.664778502997137</c:v>
                </c:pt>
                <c:pt idx="55" formatCode="0.00">
                  <c:v>64.932400884316081</c:v>
                </c:pt>
                <c:pt idx="56" formatCode="0.00">
                  <c:v>72.817169602430127</c:v>
                </c:pt>
                <c:pt idx="57" formatCode="0.00">
                  <c:v>78.687922071784527</c:v>
                </c:pt>
                <c:pt idx="58" formatCode="0.00">
                  <c:v>81.389444348555855</c:v>
                </c:pt>
                <c:pt idx="59" formatCode="0.00">
                  <c:v>82.103693045456524</c:v>
                </c:pt>
                <c:pt idx="60" formatCode="0.00">
                  <c:v>85.840944241062914</c:v>
                </c:pt>
                <c:pt idx="61" formatCode="0.00">
                  <c:v>92.409598665386227</c:v>
                </c:pt>
                <c:pt idx="62" formatCode="0.00">
                  <c:v>95.79491694933256</c:v>
                </c:pt>
                <c:pt idx="63" formatCode="0.00">
                  <c:v>97.937907886432598</c:v>
                </c:pt>
                <c:pt idx="64" formatCode="0.00">
                  <c:v>100.84258912939801</c:v>
                </c:pt>
                <c:pt idx="65" formatCode="0.00">
                  <c:v>103.06359278802036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A-4178-BCC0-0FED91340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7471864"/>
        <c:axId val="1127474816"/>
      </c:lineChart>
      <c:catAx>
        <c:axId val="112747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47481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1274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US$ per barrel</a:t>
                </a:r>
              </a:p>
            </c:rich>
          </c:tx>
          <c:layout>
            <c:manualLayout>
              <c:xMode val="edge"/>
              <c:yMode val="edge"/>
              <c:x val="1.8592293588419323E-2"/>
              <c:y val="0.191045494313210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47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40561740127309E-2"/>
          <c:y val="3.5031847133757961E-2"/>
          <c:w val="0.80416975895254472"/>
          <c:h val="0.84290335523346216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India!$AF$78:$AF$96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India!$AS$78:$AS$97</c:f>
              <c:numCache>
                <c:formatCode>0.00</c:formatCode>
                <c:ptCount val="20"/>
                <c:pt idx="0">
                  <c:v>22.734300989086446</c:v>
                </c:pt>
                <c:pt idx="1">
                  <c:v>23.954036248709738</c:v>
                </c:pt>
                <c:pt idx="2">
                  <c:v>25.205891761940734</c:v>
                </c:pt>
                <c:pt idx="3">
                  <c:v>22.779550504842273</c:v>
                </c:pt>
                <c:pt idx="4">
                  <c:v>23.898085753475804</c:v>
                </c:pt>
                <c:pt idx="5">
                  <c:v>26.098593398639039</c:v>
                </c:pt>
                <c:pt idx="6">
                  <c:v>28.955282543255407</c:v>
                </c:pt>
                <c:pt idx="7">
                  <c:v>33.847992162489291</c:v>
                </c:pt>
                <c:pt idx="8">
                  <c:v>29.052569095038219</c:v>
                </c:pt>
                <c:pt idx="9">
                  <c:v>31.259959753497842</c:v>
                </c:pt>
                <c:pt idx="10">
                  <c:v>23.589131031649593</c:v>
                </c:pt>
                <c:pt idx="11">
                  <c:v>26.818630391316763</c:v>
                </c:pt>
                <c:pt idx="12">
                  <c:v>34.447004419949835</c:v>
                </c:pt>
                <c:pt idx="13">
                  <c:v>35.010037360298313</c:v>
                </c:pt>
                <c:pt idx="14">
                  <c:v>35.252136871524918</c:v>
                </c:pt>
                <c:pt idx="15">
                  <c:v>33.202036465317377</c:v>
                </c:pt>
                <c:pt idx="16">
                  <c:v>20.547622240381202</c:v>
                </c:pt>
                <c:pt idx="17">
                  <c:v>16.609144318673724</c:v>
                </c:pt>
                <c:pt idx="18">
                  <c:v>18.364307208048825</c:v>
                </c:pt>
                <c:pt idx="19">
                  <c:v>22.900382834803871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7-41A2-9C4F-ACC34ACB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363528"/>
        <c:axId val="634319904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India!$AF$78:$AF$96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India!$AU$78:$AU$97</c:f>
              <c:numCache>
                <c:formatCode>0.00</c:formatCode>
                <c:ptCount val="20"/>
                <c:pt idx="0">
                  <c:v>1447.7107855824681</c:v>
                </c:pt>
                <c:pt idx="1">
                  <c:v>2293.0411033163487</c:v>
                </c:pt>
                <c:pt idx="2">
                  <c:v>1944.0751982614472</c:v>
                </c:pt>
                <c:pt idx="3">
                  <c:v>2020.5720836458297</c:v>
                </c:pt>
                <c:pt idx="4">
                  <c:v>2151.3733779477948</c:v>
                </c:pt>
                <c:pt idx="5">
                  <c:v>2583.9163948727783</c:v>
                </c:pt>
                <c:pt idx="6">
                  <c:v>3384.8273324560109</c:v>
                </c:pt>
                <c:pt idx="7">
                  <c:v>3949.9389246535557</c:v>
                </c:pt>
                <c:pt idx="8">
                  <c:v>3827.1774323372547</c:v>
                </c:pt>
                <c:pt idx="9">
                  <c:v>5088.4056224362066</c:v>
                </c:pt>
                <c:pt idx="10">
                  <c:v>3305.0901738052808</c:v>
                </c:pt>
                <c:pt idx="11">
                  <c:v>3535.6467149999999</c:v>
                </c:pt>
                <c:pt idx="12">
                  <c:v>4597.5809794371598</c:v>
                </c:pt>
                <c:pt idx="13">
                  <c:v>4911.3461056300648</c:v>
                </c:pt>
                <c:pt idx="14">
                  <c:v>4696.9965492780348</c:v>
                </c:pt>
                <c:pt idx="15">
                  <c:v>4168.4289074273565</c:v>
                </c:pt>
                <c:pt idx="16">
                  <c:v>2149.8341482445544</c:v>
                </c:pt>
                <c:pt idx="17">
                  <c:v>1763.253756124584</c:v>
                </c:pt>
                <c:pt idx="18">
                  <c:v>2152.817264765752</c:v>
                </c:pt>
                <c:pt idx="19">
                  <c:v>2910.2747422624402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7-41A2-9C4F-ACC34ACB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544736"/>
        <c:axId val="634539488"/>
      </c:lineChart>
      <c:catAx>
        <c:axId val="6343635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19904"/>
        <c:crosses val="autoZero"/>
        <c:auto val="1"/>
        <c:lblAlgn val="ctr"/>
        <c:lblOffset val="100"/>
        <c:noMultiLvlLbl val="0"/>
      </c:catAx>
      <c:valAx>
        <c:axId val="6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rupees per litre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63528"/>
        <c:crosses val="autoZero"/>
        <c:crossBetween val="between"/>
      </c:valAx>
      <c:valAx>
        <c:axId val="634539488"/>
        <c:scaling>
          <c:orientation val="minMax"/>
          <c:max val="5600"/>
          <c:min val="-1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rupees per barrel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544736"/>
        <c:crosses val="max"/>
        <c:crossBetween val="between"/>
      </c:valAx>
      <c:catAx>
        <c:axId val="6345447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34539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383141762452105"/>
          <c:y val="0.56099904709363557"/>
          <c:w val="0.20003831417624521"/>
          <c:h val="0.20964190781884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74637752866153E-2"/>
          <c:y val="3.4976161380058678E-2"/>
          <c:w val="0.8883767087462362"/>
          <c:h val="0.83144030302336303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India!$AF$78:$AF$97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India!$AS$78:$AS$97</c:f>
              <c:numCache>
                <c:formatCode>0.00</c:formatCode>
                <c:ptCount val="20"/>
                <c:pt idx="0">
                  <c:v>22.734300989086446</c:v>
                </c:pt>
                <c:pt idx="1">
                  <c:v>23.954036248709738</c:v>
                </c:pt>
                <c:pt idx="2">
                  <c:v>25.205891761940734</c:v>
                </c:pt>
                <c:pt idx="3">
                  <c:v>22.779550504842273</c:v>
                </c:pt>
                <c:pt idx="4">
                  <c:v>23.898085753475804</c:v>
                </c:pt>
                <c:pt idx="5">
                  <c:v>26.098593398639039</c:v>
                </c:pt>
                <c:pt idx="6">
                  <c:v>28.955282543255407</c:v>
                </c:pt>
                <c:pt idx="7">
                  <c:v>33.847992162489291</c:v>
                </c:pt>
                <c:pt idx="8">
                  <c:v>29.052569095038219</c:v>
                </c:pt>
                <c:pt idx="9">
                  <c:v>31.259959753497842</c:v>
                </c:pt>
                <c:pt idx="10">
                  <c:v>23.589131031649593</c:v>
                </c:pt>
                <c:pt idx="11">
                  <c:v>26.818630391316763</c:v>
                </c:pt>
                <c:pt idx="12">
                  <c:v>34.447004419949835</c:v>
                </c:pt>
                <c:pt idx="13">
                  <c:v>35.010037360298313</c:v>
                </c:pt>
                <c:pt idx="14">
                  <c:v>35.252136871524918</c:v>
                </c:pt>
                <c:pt idx="15">
                  <c:v>33.202036465317377</c:v>
                </c:pt>
                <c:pt idx="16">
                  <c:v>20.547622240381202</c:v>
                </c:pt>
                <c:pt idx="17">
                  <c:v>16.609144318673724</c:v>
                </c:pt>
                <c:pt idx="18">
                  <c:v>18.364307208048825</c:v>
                </c:pt>
                <c:pt idx="19">
                  <c:v>22.900382834803871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7-4AAA-9527-1E8847B9A7B3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India!$AF$78:$AF$97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India!$AT$78:$AT$97</c:f>
              <c:numCache>
                <c:formatCode>0.00</c:formatCode>
                <c:ptCount val="20"/>
                <c:pt idx="0">
                  <c:v>22.220272861976898</c:v>
                </c:pt>
                <c:pt idx="1">
                  <c:v>23.954036248709734</c:v>
                </c:pt>
                <c:pt idx="2">
                  <c:v>25.258427759639822</c:v>
                </c:pt>
                <c:pt idx="3">
                  <c:v>23.189421762478361</c:v>
                </c:pt>
                <c:pt idx="4">
                  <c:v>23.990032327525409</c:v>
                </c:pt>
                <c:pt idx="5">
                  <c:v>26.637548248797639</c:v>
                </c:pt>
                <c:pt idx="6">
                  <c:v>29.365008204087729</c:v>
                </c:pt>
                <c:pt idx="7">
                  <c:v>32.823951890833172</c:v>
                </c:pt>
                <c:pt idx="8">
                  <c:v>29.535322164314572</c:v>
                </c:pt>
                <c:pt idx="9">
                  <c:v>30.997925089976917</c:v>
                </c:pt>
                <c:pt idx="10">
                  <c:v>24.462579910052675</c:v>
                </c:pt>
                <c:pt idx="11">
                  <c:v>27.750916485597635</c:v>
                </c:pt>
                <c:pt idx="12">
                  <c:v>34.250819992141807</c:v>
                </c:pt>
                <c:pt idx="13">
                  <c:v>36.171318381044884</c:v>
                </c:pt>
                <c:pt idx="14">
                  <c:v>34.859324334316213</c:v>
                </c:pt>
                <c:pt idx="15">
                  <c:v>31.624059418429965</c:v>
                </c:pt>
                <c:pt idx="16">
                  <c:v>19.268613706865022</c:v>
                </c:pt>
                <c:pt idx="17">
                  <c:v>16.902426523298061</c:v>
                </c:pt>
                <c:pt idx="18">
                  <c:v>18.314216358044206</c:v>
                </c:pt>
                <c:pt idx="19">
                  <c:v>22.950473684808493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7-4AAA-9527-1E8847B9A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121440"/>
        <c:axId val="530121112"/>
      </c:lineChart>
      <c:catAx>
        <c:axId val="5301214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121112"/>
        <c:crosses val="autoZero"/>
        <c:auto val="1"/>
        <c:lblAlgn val="ctr"/>
        <c:lblOffset val="100"/>
        <c:noMultiLvlLbl val="0"/>
      </c:catAx>
      <c:valAx>
        <c:axId val="53012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Rupees per litre</a:t>
                </a:r>
              </a:p>
            </c:rich>
          </c:tx>
          <c:layout>
            <c:manualLayout>
              <c:xMode val="edge"/>
              <c:yMode val="edge"/>
              <c:x val="1.2567324955116697E-2"/>
              <c:y val="0.28171157360428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12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294137604433198"/>
          <c:y val="0.57917968083194971"/>
          <c:w val="0.16"/>
          <c:h val="0.152810523593386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813047371935"/>
          <c:y val="3.2496299678689056E-2"/>
          <c:w val="0.87784844958286057"/>
          <c:h val="0.8395027065905147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India!$AF$78:$AF$97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India!$AP$78:$AP$97</c:f>
              <c:numCache>
                <c:formatCode>0.00</c:formatCode>
                <c:ptCount val="20"/>
                <c:pt idx="0">
                  <c:v>45.727441114871787</c:v>
                </c:pt>
                <c:pt idx="1">
                  <c:v>49.24834769064578</c:v>
                </c:pt>
                <c:pt idx="2">
                  <c:v>51.107088909916918</c:v>
                </c:pt>
                <c:pt idx="3">
                  <c:v>48.398154636669702</c:v>
                </c:pt>
                <c:pt idx="4">
                  <c:v>51.586398120498721</c:v>
                </c:pt>
                <c:pt idx="5">
                  <c:v>55.90417634513404</c:v>
                </c:pt>
                <c:pt idx="6">
                  <c:v>61.035160255588472</c:v>
                </c:pt>
                <c:pt idx="7">
                  <c:v>65.284493641781566</c:v>
                </c:pt>
                <c:pt idx="8">
                  <c:v>58.514712604321737</c:v>
                </c:pt>
                <c:pt idx="9">
                  <c:v>59.382141920731726</c:v>
                </c:pt>
                <c:pt idx="10">
                  <c:v>48.220149977188001</c:v>
                </c:pt>
                <c:pt idx="11">
                  <c:v>49.356666666666662</c:v>
                </c:pt>
                <c:pt idx="12">
                  <c:v>56.889177958990899</c:v>
                </c:pt>
                <c:pt idx="13">
                  <c:v>56.498090087411143</c:v>
                </c:pt>
                <c:pt idx="14">
                  <c:v>52.371763703277139</c:v>
                </c:pt>
                <c:pt idx="15">
                  <c:v>49.619751492291485</c:v>
                </c:pt>
                <c:pt idx="16">
                  <c:v>41.904552607896726</c:v>
                </c:pt>
                <c:pt idx="17">
                  <c:v>40.616517577615589</c:v>
                </c:pt>
                <c:pt idx="18">
                  <c:v>43.082987745672554</c:v>
                </c:pt>
                <c:pt idx="19">
                  <c:v>46.763401091575588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8-40BB-B2DF-0610EE6BF1BB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India!$AF$78:$AF$97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India!$AQ$78:$AQ$97</c:f>
              <c:numCache>
                <c:formatCode>0.00</c:formatCode>
                <c:ptCount val="20"/>
                <c:pt idx="0">
                  <c:v>45.21341298776224</c:v>
                </c:pt>
                <c:pt idx="1">
                  <c:v>49.248347690645772</c:v>
                </c:pt>
                <c:pt idx="2">
                  <c:v>51.159624907616006</c:v>
                </c:pt>
                <c:pt idx="3">
                  <c:v>48.808025894305786</c:v>
                </c:pt>
                <c:pt idx="4">
                  <c:v>51.678344694548329</c:v>
                </c:pt>
                <c:pt idx="5">
                  <c:v>56.443131195292636</c:v>
                </c:pt>
                <c:pt idx="6">
                  <c:v>61.444885916420795</c:v>
                </c:pt>
                <c:pt idx="7">
                  <c:v>64.260453370125447</c:v>
                </c:pt>
                <c:pt idx="8">
                  <c:v>58.997465673598086</c:v>
                </c:pt>
                <c:pt idx="9">
                  <c:v>59.120107257210805</c:v>
                </c:pt>
                <c:pt idx="10">
                  <c:v>49.093598855591082</c:v>
                </c:pt>
                <c:pt idx="11" formatCode="0.000">
                  <c:v>50.288952760947538</c:v>
                </c:pt>
                <c:pt idx="12" formatCode="0.000">
                  <c:v>56.692993531182879</c:v>
                </c:pt>
                <c:pt idx="13" formatCode="0.000">
                  <c:v>57.659371108157714</c:v>
                </c:pt>
                <c:pt idx="14" formatCode="0.000">
                  <c:v>51.978951166068434</c:v>
                </c:pt>
                <c:pt idx="15" formatCode="0.000">
                  <c:v>48.041774445404073</c:v>
                </c:pt>
                <c:pt idx="16" formatCode="0.000">
                  <c:v>40.625544074380542</c:v>
                </c:pt>
                <c:pt idx="17" formatCode="0.000">
                  <c:v>40.909799782239929</c:v>
                </c:pt>
                <c:pt idx="18" formatCode="0.000">
                  <c:v>43.032896895667932</c:v>
                </c:pt>
                <c:pt idx="19" formatCode="0.000">
                  <c:v>46.81349194158021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8-40BB-B2DF-0610EE6B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335320"/>
        <c:axId val="634331056"/>
      </c:lineChart>
      <c:catAx>
        <c:axId val="6343353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31056"/>
        <c:crosses val="autoZero"/>
        <c:auto val="1"/>
        <c:lblAlgn val="ctr"/>
        <c:lblOffset val="100"/>
        <c:noMultiLvlLbl val="0"/>
      </c:catAx>
      <c:valAx>
        <c:axId val="63433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2010 Rupees per litre</a:t>
                </a:r>
              </a:p>
            </c:rich>
          </c:tx>
          <c:layout>
            <c:manualLayout>
              <c:xMode val="edge"/>
              <c:yMode val="edge"/>
              <c:x val="2.2880618483603798E-2"/>
              <c:y val="0.306051173879395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3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997418981814765"/>
          <c:y val="0.39180186050038712"/>
          <c:w val="0.1485935757511512"/>
          <c:h val="0.241876215848936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5048118985127"/>
          <c:y val="5.0925925925925923E-2"/>
          <c:w val="0.83129396325459315"/>
          <c:h val="0.81329469233012541"/>
        </c:manualLayout>
      </c:layout>
      <c:lineChart>
        <c:grouping val="standard"/>
        <c:varyColors val="0"/>
        <c:ser>
          <c:idx val="0"/>
          <c:order val="0"/>
          <c:tx>
            <c:strRef>
              <c:f>India!$Y$121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India!$A$122:$A$142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India!$Y$122:$Y$142</c:f>
              <c:numCache>
                <c:formatCode>0.00</c:formatCode>
                <c:ptCount val="21"/>
                <c:pt idx="0">
                  <c:v>81.934973588214632</c:v>
                </c:pt>
                <c:pt idx="1">
                  <c:v>94.43938596998369</c:v>
                </c:pt>
                <c:pt idx="2">
                  <c:v>93.790157069560408</c:v>
                </c:pt>
                <c:pt idx="3">
                  <c:v>86.940212246833866</c:v>
                </c:pt>
                <c:pt idx="4">
                  <c:v>82.371709893456014</c:v>
                </c:pt>
                <c:pt idx="5">
                  <c:v>69.5640253492396</c:v>
                </c:pt>
                <c:pt idx="6">
                  <c:v>67.425811338566675</c:v>
                </c:pt>
                <c:pt idx="7">
                  <c:v>71.520297083333332</c:v>
                </c:pt>
                <c:pt idx="8">
                  <c:v>77.63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A-43E0-9B86-535171E7F39D}"/>
            </c:ext>
          </c:extLst>
        </c:ser>
        <c:ser>
          <c:idx val="1"/>
          <c:order val="1"/>
          <c:tx>
            <c:strRef>
              <c:f>India!$Z$121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India!$A$122:$A$142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India!$Z$122:$Z$142</c:f>
              <c:numCache>
                <c:formatCode>0.00</c:formatCode>
                <c:ptCount val="21"/>
                <c:pt idx="0">
                  <c:v>83.741080933571453</c:v>
                </c:pt>
                <c:pt idx="1">
                  <c:v>94.059320088617085</c:v>
                </c:pt>
                <c:pt idx="2">
                  <c:v>96.039893705621367</c:v>
                </c:pt>
                <c:pt idx="3">
                  <c:v>86.157701910501487</c:v>
                </c:pt>
                <c:pt idx="4">
                  <c:v>79.228268091779057</c:v>
                </c:pt>
                <c:pt idx="5">
                  <c:v>66.909988481218974</c:v>
                </c:pt>
                <c:pt idx="6">
                  <c:v>68.044130819339912</c:v>
                </c:pt>
                <c:pt idx="7">
                  <c:v>71.414691806647639</c:v>
                </c:pt>
                <c:pt idx="8">
                  <c:v>77.735605276685703</c:v>
                </c:pt>
                <c:pt idx="9">
                  <c:v>98.751764313740608</c:v>
                </c:pt>
                <c:pt idx="10">
                  <c:v>108.234751906165</c:v>
                </c:pt>
                <c:pt idx="11">
                  <c:v>118.27556229814371</c:v>
                </c:pt>
                <c:pt idx="12">
                  <c:v>122.73814469457876</c:v>
                </c:pt>
                <c:pt idx="13">
                  <c:v>126.08508149190497</c:v>
                </c:pt>
                <c:pt idx="14">
                  <c:v>128.87419548967688</c:v>
                </c:pt>
                <c:pt idx="15">
                  <c:v>131.66330948744874</c:v>
                </c:pt>
                <c:pt idx="16">
                  <c:v>134.45242348522063</c:v>
                </c:pt>
                <c:pt idx="17">
                  <c:v>137.24153748299253</c:v>
                </c:pt>
                <c:pt idx="18">
                  <c:v>139.47282868120999</c:v>
                </c:pt>
                <c:pt idx="19">
                  <c:v>142.26194267898188</c:v>
                </c:pt>
                <c:pt idx="20">
                  <c:v>143.93541107764497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A-43E0-9B86-535171E7F39D}"/>
            </c:ext>
          </c:extLst>
        </c:ser>
        <c:ser>
          <c:idx val="3"/>
          <c:order val="2"/>
          <c:tx>
            <c:strRef>
              <c:f>India!$AB$121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India!$A$122:$A$142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India!$AB$122:$AB$142</c:f>
              <c:numCache>
                <c:formatCode>0.00</c:formatCode>
                <c:ptCount val="21"/>
                <c:pt idx="0">
                  <c:v>83.741080933571453</c:v>
                </c:pt>
                <c:pt idx="1">
                  <c:v>94.059320088617085</c:v>
                </c:pt>
                <c:pt idx="2">
                  <c:v>96.039893705621367</c:v>
                </c:pt>
                <c:pt idx="3">
                  <c:v>86.157701910501487</c:v>
                </c:pt>
                <c:pt idx="4">
                  <c:v>79.228268091779057</c:v>
                </c:pt>
                <c:pt idx="5">
                  <c:v>66.909988481218974</c:v>
                </c:pt>
                <c:pt idx="6">
                  <c:v>68.044130819339912</c:v>
                </c:pt>
                <c:pt idx="7">
                  <c:v>71.414691806647639</c:v>
                </c:pt>
                <c:pt idx="8">
                  <c:v>77.735605276685703</c:v>
                </c:pt>
                <c:pt idx="9">
                  <c:v>56.915054347162489</c:v>
                </c:pt>
                <c:pt idx="10">
                  <c:v>57.472877146716847</c:v>
                </c:pt>
                <c:pt idx="11">
                  <c:v>58.588522745825614</c:v>
                </c:pt>
                <c:pt idx="12">
                  <c:v>59.14634554537998</c:v>
                </c:pt>
                <c:pt idx="13">
                  <c:v>59.14634554537998</c:v>
                </c:pt>
                <c:pt idx="14">
                  <c:v>59.14634554537998</c:v>
                </c:pt>
                <c:pt idx="15">
                  <c:v>59.704168344934352</c:v>
                </c:pt>
                <c:pt idx="16">
                  <c:v>60.261991144488739</c:v>
                </c:pt>
                <c:pt idx="17">
                  <c:v>60.819813944043105</c:v>
                </c:pt>
                <c:pt idx="18">
                  <c:v>60.819813944043105</c:v>
                </c:pt>
                <c:pt idx="19">
                  <c:v>60.819813944043105</c:v>
                </c:pt>
                <c:pt idx="20">
                  <c:v>61.377636743597478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A-43E0-9B86-535171E7F39D}"/>
            </c:ext>
          </c:extLst>
        </c:ser>
        <c:ser>
          <c:idx val="2"/>
          <c:order val="3"/>
          <c:tx>
            <c:strRef>
              <c:f>India!$AA$121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India!$A$122:$A$142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India!$AA$122:$AA$142</c:f>
              <c:numCache>
                <c:formatCode>0.00</c:formatCode>
                <c:ptCount val="21"/>
                <c:pt idx="0">
                  <c:v>83.741080933571453</c:v>
                </c:pt>
                <c:pt idx="1">
                  <c:v>94.059320088617085</c:v>
                </c:pt>
                <c:pt idx="2">
                  <c:v>96.039893705621367</c:v>
                </c:pt>
                <c:pt idx="3">
                  <c:v>86.157701910501487</c:v>
                </c:pt>
                <c:pt idx="4">
                  <c:v>79.228268091779057</c:v>
                </c:pt>
                <c:pt idx="5">
                  <c:v>66.909988481218974</c:v>
                </c:pt>
                <c:pt idx="6">
                  <c:v>68.044130819339912</c:v>
                </c:pt>
                <c:pt idx="7">
                  <c:v>71.414691806647639</c:v>
                </c:pt>
                <c:pt idx="8">
                  <c:v>77.735605276685703</c:v>
                </c:pt>
                <c:pt idx="9">
                  <c:v>76.39153038364077</c:v>
                </c:pt>
                <c:pt idx="10">
                  <c:v>76.541394298743441</c:v>
                </c:pt>
                <c:pt idx="11">
                  <c:v>80.956728711179466</c:v>
                </c:pt>
                <c:pt idx="12">
                  <c:v>84.244248780764252</c:v>
                </c:pt>
                <c:pt idx="13">
                  <c:v>85.757054634813954</c:v>
                </c:pt>
                <c:pt idx="14">
                  <c:v>86.157021579084372</c:v>
                </c:pt>
                <c:pt idx="15">
                  <c:v>88.249817753811669</c:v>
                </c:pt>
                <c:pt idx="16">
                  <c:v>91.928150874285507</c:v>
                </c:pt>
                <c:pt idx="17">
                  <c:v>93.823870691890022</c:v>
                </c:pt>
                <c:pt idx="18">
                  <c:v>95.023908634458834</c:v>
                </c:pt>
                <c:pt idx="19">
                  <c:v>96.650480003604841</c:v>
                </c:pt>
                <c:pt idx="20">
                  <c:v>97.894203723938304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A-43E0-9B86-535171E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666096"/>
        <c:axId val="1199668392"/>
      </c:lineChart>
      <c:catAx>
        <c:axId val="119966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668392"/>
        <c:crosses val="autoZero"/>
        <c:auto val="1"/>
        <c:lblAlgn val="ctr"/>
        <c:lblOffset val="100"/>
        <c:noMultiLvlLbl val="0"/>
      </c:catAx>
      <c:valAx>
        <c:axId val="119966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rupees per litre</a:t>
                </a:r>
              </a:p>
            </c:rich>
          </c:tx>
          <c:layout>
            <c:manualLayout>
              <c:xMode val="edge"/>
              <c:yMode val="edge"/>
              <c:x val="6.2260008543756178E-3"/>
              <c:y val="0.20055920093321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66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57504788767289"/>
          <c:y val="9.3170749489647139E-2"/>
          <c:w val="0.2769076990376203"/>
          <c:h val="0.217014435695538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813047371935"/>
          <c:y val="3.2496299678689056E-2"/>
          <c:w val="0.87784844958286057"/>
          <c:h val="0.83950270659051474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 w="317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India!$AF$78:$AF$97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India!$BA$78:$BA$97</c:f>
              <c:numCache>
                <c:formatCode>0.00</c:formatCode>
                <c:ptCount val="20"/>
                <c:pt idx="0">
                  <c:v>75.91024542453556</c:v>
                </c:pt>
                <c:pt idx="1">
                  <c:v>81.755157708440734</c:v>
                </c:pt>
                <c:pt idx="2">
                  <c:v>84.840777605279527</c:v>
                </c:pt>
                <c:pt idx="3">
                  <c:v>80.343787165675565</c:v>
                </c:pt>
                <c:pt idx="4">
                  <c:v>85.636459124350409</c:v>
                </c:pt>
                <c:pt idx="5">
                  <c:v>92.804225278100589</c:v>
                </c:pt>
                <c:pt idx="6">
                  <c:v>101.32196076505889</c:v>
                </c:pt>
                <c:pt idx="7">
                  <c:v>108.37610445585207</c:v>
                </c:pt>
                <c:pt idx="8">
                  <c:v>97.137869219093773</c:v>
                </c:pt>
                <c:pt idx="9">
                  <c:v>98.577852972650106</c:v>
                </c:pt>
                <c:pt idx="10">
                  <c:v>80.048288947132718</c:v>
                </c:pt>
                <c:pt idx="11">
                  <c:v>81.934973588214632</c:v>
                </c:pt>
                <c:pt idx="12">
                  <c:v>94.43938596998369</c:v>
                </c:pt>
                <c:pt idx="13">
                  <c:v>93.790157069560408</c:v>
                </c:pt>
                <c:pt idx="14">
                  <c:v>86.940212246833866</c:v>
                </c:pt>
                <c:pt idx="15">
                  <c:v>82.371709893456014</c:v>
                </c:pt>
                <c:pt idx="16">
                  <c:v>69.5640253492396</c:v>
                </c:pt>
                <c:pt idx="17">
                  <c:v>67.425811338566675</c:v>
                </c:pt>
                <c:pt idx="18">
                  <c:v>71.520297083333332</c:v>
                </c:pt>
                <c:pt idx="19">
                  <c:v>77.63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1-4E14-995F-DF978C6BA7C6}"/>
            </c:ext>
          </c:extLst>
        </c:ser>
        <c:ser>
          <c:idx val="1"/>
          <c:order val="1"/>
          <c:tx>
            <c:v> predicted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India!$AF$78:$AF$97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India!$BB$78:$BB$97</c:f>
              <c:numCache>
                <c:formatCode>0.00</c:formatCode>
                <c:ptCount val="20"/>
                <c:pt idx="0">
                  <c:v>75.056928459215371</c:v>
                </c:pt>
                <c:pt idx="1">
                  <c:v>81.755157708440734</c:v>
                </c:pt>
                <c:pt idx="2">
                  <c:v>84.92799045563217</c:v>
                </c:pt>
                <c:pt idx="3">
                  <c:v>81.024197593222951</c:v>
                </c:pt>
                <c:pt idx="4">
                  <c:v>85.789095852579251</c:v>
                </c:pt>
                <c:pt idx="5">
                  <c:v>93.698922071772188</c:v>
                </c:pt>
                <c:pt idx="6">
                  <c:v>102.00212949333692</c:v>
                </c:pt>
                <c:pt idx="7">
                  <c:v>106.67613729279246</c:v>
                </c:pt>
                <c:pt idx="8">
                  <c:v>97.939267746427888</c:v>
                </c:pt>
                <c:pt idx="9">
                  <c:v>98.142859998351796</c:v>
                </c:pt>
                <c:pt idx="10">
                  <c:v>81.498265528127092</c:v>
                </c:pt>
                <c:pt idx="11">
                  <c:v>83.482623412856285</c:v>
                </c:pt>
                <c:pt idx="12">
                  <c:v>94.11370826529938</c:v>
                </c:pt>
                <c:pt idx="13">
                  <c:v>95.717951959072778</c:v>
                </c:pt>
                <c:pt idx="14">
                  <c:v>86.288120299890238</c:v>
                </c:pt>
                <c:pt idx="15">
                  <c:v>79.752175058725214</c:v>
                </c:pt>
                <c:pt idx="16">
                  <c:v>67.440795854823108</c:v>
                </c:pt>
                <c:pt idx="17">
                  <c:v>67.912677071458987</c:v>
                </c:pt>
                <c:pt idx="18">
                  <c:v>71.437143322163479</c:v>
                </c:pt>
                <c:pt idx="19">
                  <c:v>77.713153761169849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1-4E14-995F-DF978C6B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335320"/>
        <c:axId val="634331056"/>
      </c:lineChart>
      <c:catAx>
        <c:axId val="6343353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31056"/>
        <c:crosses val="autoZero"/>
        <c:auto val="1"/>
        <c:lblAlgn val="ctr"/>
        <c:lblOffset val="100"/>
        <c:noMultiLvlLbl val="0"/>
      </c:catAx>
      <c:valAx>
        <c:axId val="63433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Rupees per litre</a:t>
                </a:r>
              </a:p>
            </c:rich>
          </c:tx>
          <c:layout>
            <c:manualLayout>
              <c:xMode val="edge"/>
              <c:yMode val="edge"/>
              <c:x val="1.4616225453280642E-2"/>
              <c:y val="0.303096964817696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3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790807377953958"/>
          <c:y val="0.36816818800679507"/>
          <c:w val="0.1485935757511512"/>
          <c:h val="0.18279203461495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88723344043028E-2"/>
          <c:y val="4.144698522273757E-2"/>
          <c:w val="0.83551613923523482"/>
          <c:h val="0.8230878546003667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Ireland!$A$44:$A$97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Ireland!$AZ$44:$AZ$97</c:f>
              <c:numCache>
                <c:formatCode>0.0000</c:formatCode>
                <c:ptCount val="54"/>
                <c:pt idx="0">
                  <c:v>0.35468652060169814</c:v>
                </c:pt>
                <c:pt idx="1">
                  <c:v>0.35288427049170001</c:v>
                </c:pt>
                <c:pt idx="2">
                  <c:v>0.35714131170468943</c:v>
                </c:pt>
                <c:pt idx="3">
                  <c:v>0.33778394270400158</c:v>
                </c:pt>
                <c:pt idx="4">
                  <c:v>0.4046007301050849</c:v>
                </c:pt>
                <c:pt idx="5">
                  <c:v>0.38840765759746831</c:v>
                </c:pt>
                <c:pt idx="6">
                  <c:v>0.35209714589224217</c:v>
                </c:pt>
                <c:pt idx="7">
                  <c:v>0.33742850690691795</c:v>
                </c:pt>
                <c:pt idx="8">
                  <c:v>0.49562048039339557</c:v>
                </c:pt>
                <c:pt idx="9">
                  <c:v>0.50896602567644789</c:v>
                </c:pt>
                <c:pt idx="10">
                  <c:v>0.47789059901397868</c:v>
                </c:pt>
                <c:pt idx="11">
                  <c:v>0.53321767384145935</c:v>
                </c:pt>
                <c:pt idx="12">
                  <c:v>0.48587130771683373</c:v>
                </c:pt>
                <c:pt idx="13">
                  <c:v>0.56016199268742073</c:v>
                </c:pt>
                <c:pt idx="14">
                  <c:v>0.72898323024440803</c:v>
                </c:pt>
                <c:pt idx="15">
                  <c:v>0.69539263306595933</c:v>
                </c:pt>
                <c:pt idx="16">
                  <c:v>0.68040578508414362</c:v>
                </c:pt>
                <c:pt idx="17">
                  <c:v>0.62442123694951801</c:v>
                </c:pt>
                <c:pt idx="18">
                  <c:v>0.76616739744410933</c:v>
                </c:pt>
                <c:pt idx="19">
                  <c:v>0.77707904156283292</c:v>
                </c:pt>
                <c:pt idx="20">
                  <c:v>0.77948519842260677</c:v>
                </c:pt>
                <c:pt idx="21">
                  <c:v>0.55955618627468517</c:v>
                </c:pt>
                <c:pt idx="22">
                  <c:v>0.52361243032254223</c:v>
                </c:pt>
                <c:pt idx="23">
                  <c:v>0.4632277291886131</c:v>
                </c:pt>
                <c:pt idx="24">
                  <c:v>0.49529103036502387</c:v>
                </c:pt>
                <c:pt idx="25">
                  <c:v>0.37576389552000844</c:v>
                </c:pt>
                <c:pt idx="26">
                  <c:v>0.31717806501394019</c:v>
                </c:pt>
                <c:pt idx="27">
                  <c:v>0.28357583620917393</c:v>
                </c:pt>
                <c:pt idx="28">
                  <c:v>0.29490923648183087</c:v>
                </c:pt>
                <c:pt idx="29">
                  <c:v>0.28967804483539161</c:v>
                </c:pt>
                <c:pt idx="30">
                  <c:v>0.26264504259986898</c:v>
                </c:pt>
                <c:pt idx="31">
                  <c:v>0.29567154274280205</c:v>
                </c:pt>
                <c:pt idx="32">
                  <c:v>0.3186045784939826</c:v>
                </c:pt>
                <c:pt idx="33">
                  <c:v>0.28846569668836386</c:v>
                </c:pt>
                <c:pt idx="34">
                  <c:v>0.30387486543592723</c:v>
                </c:pt>
                <c:pt idx="35">
                  <c:v>0.4656003569044882</c:v>
                </c:pt>
                <c:pt idx="36">
                  <c:v>0.41352063370912973</c:v>
                </c:pt>
                <c:pt idx="37">
                  <c:v>0.35590050920894334</c:v>
                </c:pt>
                <c:pt idx="38">
                  <c:v>0.31158530747102742</c:v>
                </c:pt>
                <c:pt idx="39">
                  <c:v>0.37942912288691566</c:v>
                </c:pt>
                <c:pt idx="40">
                  <c:v>0.45550515427479432</c:v>
                </c:pt>
                <c:pt idx="41">
                  <c:v>0.49803563373576021</c:v>
                </c:pt>
                <c:pt idx="42">
                  <c:v>0.47617718462596514</c:v>
                </c:pt>
                <c:pt idx="43">
                  <c:v>0.54850179134804899</c:v>
                </c:pt>
                <c:pt idx="44">
                  <c:v>0.39726294078827917</c:v>
                </c:pt>
                <c:pt idx="45">
                  <c:v>0.53245155750950357</c:v>
                </c:pt>
                <c:pt idx="46">
                  <c:v>0.66497877953187667</c:v>
                </c:pt>
                <c:pt idx="47">
                  <c:v>0.69573477390708205</c:v>
                </c:pt>
                <c:pt idx="48">
                  <c:v>0.67065998248596725</c:v>
                </c:pt>
                <c:pt idx="49">
                  <c:v>0.62428304405189883</c:v>
                </c:pt>
                <c:pt idx="50">
                  <c:v>0.50126555431943565</c:v>
                </c:pt>
                <c:pt idx="51">
                  <c:v>0.43452277853354959</c:v>
                </c:pt>
                <c:pt idx="52">
                  <c:v>0.49554424933369812</c:v>
                </c:pt>
                <c:pt idx="53">
                  <c:v>0.53874231878948342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2-4830-995C-51D3C414BB2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val>
            <c:numRef>
              <c:f>Ireland!$BA$44:$BA$97</c:f>
              <c:numCache>
                <c:formatCode>0.0000</c:formatCode>
                <c:ptCount val="54"/>
                <c:pt idx="0">
                  <c:v>0.35434681809104973</c:v>
                </c:pt>
                <c:pt idx="1">
                  <c:v>0.34892957498086508</c:v>
                </c:pt>
                <c:pt idx="2">
                  <c:v>0.34717441624243067</c:v>
                </c:pt>
                <c:pt idx="3">
                  <c:v>0.35948367096863765</c:v>
                </c:pt>
                <c:pt idx="4">
                  <c:v>0.35415551591319033</c:v>
                </c:pt>
                <c:pt idx="5">
                  <c:v>0.34789968189229026</c:v>
                </c:pt>
                <c:pt idx="6">
                  <c:v>0.34451461131582267</c:v>
                </c:pt>
                <c:pt idx="7">
                  <c:v>0.33349522805327803</c:v>
                </c:pt>
                <c:pt idx="8">
                  <c:v>0.49562048039339557</c:v>
                </c:pt>
                <c:pt idx="9">
                  <c:v>0.52407160767793504</c:v>
                </c:pt>
                <c:pt idx="10">
                  <c:v>0.50480858916526095</c:v>
                </c:pt>
                <c:pt idx="11">
                  <c:v>0.53065005468753368</c:v>
                </c:pt>
                <c:pt idx="12">
                  <c:v>0.52446441334978444</c:v>
                </c:pt>
                <c:pt idx="13">
                  <c:v>0.59737609512494672</c:v>
                </c:pt>
                <c:pt idx="14">
                  <c:v>0.7086761897493612</c:v>
                </c:pt>
                <c:pt idx="15">
                  <c:v>0.67310130393158718</c:v>
                </c:pt>
                <c:pt idx="16">
                  <c:v>0.69019263020349175</c:v>
                </c:pt>
                <c:pt idx="17">
                  <c:v>0.63744852164160282</c:v>
                </c:pt>
                <c:pt idx="18">
                  <c:v>0.77064392662040471</c:v>
                </c:pt>
                <c:pt idx="19">
                  <c:v>0.78493195433058138</c:v>
                </c:pt>
                <c:pt idx="20">
                  <c:v>0.75098152807156948</c:v>
                </c:pt>
                <c:pt idx="21">
                  <c:v>0.55725708335543589</c:v>
                </c:pt>
                <c:pt idx="22">
                  <c:v>0.53149790604736169</c:v>
                </c:pt>
                <c:pt idx="23">
                  <c:v>0.4723712181484318</c:v>
                </c:pt>
                <c:pt idx="24">
                  <c:v>0.5070795822929195</c:v>
                </c:pt>
                <c:pt idx="25">
                  <c:v>0.40950551726810214</c:v>
                </c:pt>
                <c:pt idx="26">
                  <c:v>0.30533687405119025</c:v>
                </c:pt>
                <c:pt idx="27">
                  <c:v>0.28712976875879326</c:v>
                </c:pt>
                <c:pt idx="28">
                  <c:v>0.28936695343002106</c:v>
                </c:pt>
                <c:pt idx="29">
                  <c:v>0.27617922664954053</c:v>
                </c:pt>
                <c:pt idx="30">
                  <c:v>0.27319826719739637</c:v>
                </c:pt>
                <c:pt idx="31">
                  <c:v>0.294332979157646</c:v>
                </c:pt>
                <c:pt idx="32">
                  <c:v>0.3316595208053657</c:v>
                </c:pt>
                <c:pt idx="33">
                  <c:v>0.29541909753007034</c:v>
                </c:pt>
                <c:pt idx="34">
                  <c:v>0.32009391955967836</c:v>
                </c:pt>
                <c:pt idx="35">
                  <c:v>0.45007039990381337</c:v>
                </c:pt>
                <c:pt idx="36">
                  <c:v>0.41281243692475511</c:v>
                </c:pt>
                <c:pt idx="37">
                  <c:v>0.36265669797200684</c:v>
                </c:pt>
                <c:pt idx="38">
                  <c:v>0.30820721308949567</c:v>
                </c:pt>
                <c:pt idx="39">
                  <c:v>0.39219950057181557</c:v>
                </c:pt>
                <c:pt idx="40">
                  <c:v>0.45692305348793566</c:v>
                </c:pt>
                <c:pt idx="41">
                  <c:v>0.49298226558089808</c:v>
                </c:pt>
                <c:pt idx="42">
                  <c:v>0.47417514544999123</c:v>
                </c:pt>
                <c:pt idx="43">
                  <c:v>0.53626057549820427</c:v>
                </c:pt>
                <c:pt idx="44">
                  <c:v>0.40164409567823484</c:v>
                </c:pt>
                <c:pt idx="45">
                  <c:v>0.56269902196901045</c:v>
                </c:pt>
                <c:pt idx="46">
                  <c:v>0.65148119566916929</c:v>
                </c:pt>
                <c:pt idx="47">
                  <c:v>0.6860001981708852</c:v>
                </c:pt>
                <c:pt idx="48">
                  <c:v>0.65703107189526777</c:v>
                </c:pt>
                <c:pt idx="49">
                  <c:v>0.62082015097293564</c:v>
                </c:pt>
                <c:pt idx="50">
                  <c:v>0.47530541286158623</c:v>
                </c:pt>
                <c:pt idx="51">
                  <c:v>0.43356535478709068</c:v>
                </c:pt>
                <c:pt idx="52">
                  <c:v>0.48347770576536714</c:v>
                </c:pt>
                <c:pt idx="53">
                  <c:v>0.54930298725274274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791-944C-29D05DD4E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05504"/>
        <c:axId val="161607040"/>
      </c:lineChart>
      <c:catAx>
        <c:axId val="1616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1607040"/>
        <c:crosses val="autoZero"/>
        <c:auto val="1"/>
        <c:lblAlgn val="ctr"/>
        <c:lblOffset val="100"/>
        <c:noMultiLvlLbl val="0"/>
      </c:catAx>
      <c:valAx>
        <c:axId val="16160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2.2146691006184778E-2"/>
              <c:y val="0.3263645311381531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160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435517970401649"/>
          <c:y val="0.13327769388415489"/>
          <c:w val="0.13017386056669925"/>
          <c:h val="0.1851301896921975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6332854802002"/>
          <c:y val="3.4587288738440407E-2"/>
          <c:w val="0.83843317237279069"/>
          <c:h val="0.8390705717860034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Ireland!$A$44:$A$97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Ireland!$AW$44:$AW$97</c:f>
              <c:numCache>
                <c:formatCode>0.0000</c:formatCode>
                <c:ptCount val="54"/>
                <c:pt idx="0">
                  <c:v>1.0076390564481146</c:v>
                </c:pt>
                <c:pt idx="1">
                  <c:v>1.0017538312479097</c:v>
                </c:pt>
                <c:pt idx="2">
                  <c:v>0.84392615791678716</c:v>
                </c:pt>
                <c:pt idx="3">
                  <c:v>1.0787020134698193</c:v>
                </c:pt>
                <c:pt idx="4">
                  <c:v>1.0700776810440498</c:v>
                </c:pt>
                <c:pt idx="5">
                  <c:v>1.0511910987359914</c:v>
                </c:pt>
                <c:pt idx="6">
                  <c:v>1.0471397630045711</c:v>
                </c:pt>
                <c:pt idx="7">
                  <c:v>0.88248684446622028</c:v>
                </c:pt>
                <c:pt idx="8">
                  <c:v>0.89775042983848319</c:v>
                </c:pt>
                <c:pt idx="9">
                  <c:v>1.6096741627397149</c:v>
                </c:pt>
                <c:pt idx="10">
                  <c:v>1.3016367147342862</c:v>
                </c:pt>
                <c:pt idx="11">
                  <c:v>1.3825296569965542</c:v>
                </c:pt>
                <c:pt idx="12">
                  <c:v>1.3964549309377268</c:v>
                </c:pt>
                <c:pt idx="13">
                  <c:v>1.1696539003191366</c:v>
                </c:pt>
                <c:pt idx="14">
                  <c:v>1.171257302561912</c:v>
                </c:pt>
                <c:pt idx="15">
                  <c:v>1.3971817237216653</c:v>
                </c:pt>
                <c:pt idx="16">
                  <c:v>1.533655196314248</c:v>
                </c:pt>
                <c:pt idx="17">
                  <c:v>1.58939683678159</c:v>
                </c:pt>
                <c:pt idx="18">
                  <c:v>1.6543962967965988</c:v>
                </c:pt>
                <c:pt idx="19">
                  <c:v>1.6059973773997076</c:v>
                </c:pt>
                <c:pt idx="20">
                  <c:v>1.6231969315257906</c:v>
                </c:pt>
                <c:pt idx="21">
                  <c:v>1.3922998280461825</c:v>
                </c:pt>
                <c:pt idx="22">
                  <c:v>1.3466088380180739</c:v>
                </c:pt>
                <c:pt idx="23">
                  <c:v>1.2979914772020233</c:v>
                </c:pt>
                <c:pt idx="24">
                  <c:v>1.3265426783113483</c:v>
                </c:pt>
                <c:pt idx="25">
                  <c:v>1.1016571024049842</c:v>
                </c:pt>
                <c:pt idx="26">
                  <c:v>1.061833391856811</c:v>
                </c:pt>
                <c:pt idx="27">
                  <c:v>0.97682051463340802</c:v>
                </c:pt>
                <c:pt idx="28">
                  <c:v>0.96680362365701178</c:v>
                </c:pt>
                <c:pt idx="29">
                  <c:v>0.94639264292113101</c:v>
                </c:pt>
                <c:pt idx="30">
                  <c:v>0.93049813608653531</c:v>
                </c:pt>
                <c:pt idx="31">
                  <c:v>0.98250010085181494</c:v>
                </c:pt>
                <c:pt idx="32">
                  <c:v>1.0201859469242354</c:v>
                </c:pt>
                <c:pt idx="33">
                  <c:v>0.96862023360154059</c:v>
                </c:pt>
                <c:pt idx="34">
                  <c:v>0.97729986590600992</c:v>
                </c:pt>
                <c:pt idx="35">
                  <c:v>1.1408927877448944</c:v>
                </c:pt>
                <c:pt idx="36">
                  <c:v>1.0817651104485033</c:v>
                </c:pt>
                <c:pt idx="37">
                  <c:v>0.9942660025968828</c:v>
                </c:pt>
                <c:pt idx="38">
                  <c:v>0.97875671366561068</c:v>
                </c:pt>
                <c:pt idx="39">
                  <c:v>1.0478254251181385</c:v>
                </c:pt>
                <c:pt idx="40">
                  <c:v>1.125968879373501</c:v>
                </c:pt>
                <c:pt idx="41">
                  <c:v>1.1555806633128078</c:v>
                </c:pt>
                <c:pt idx="42">
                  <c:v>1.103220052201062</c:v>
                </c:pt>
                <c:pt idx="43">
                  <c:v>1.1701330917884494</c:v>
                </c:pt>
                <c:pt idx="44">
                  <c:v>1.0952580488819192</c:v>
                </c:pt>
                <c:pt idx="45">
                  <c:v>1.3004897959183672</c:v>
                </c:pt>
                <c:pt idx="46">
                  <c:v>1.4442405883107059</c:v>
                </c:pt>
                <c:pt idx="47">
                  <c:v>1.549074784539757</c:v>
                </c:pt>
                <c:pt idx="48">
                  <c:v>1.5147650626622036</c:v>
                </c:pt>
                <c:pt idx="49">
                  <c:v>1.4563665819321363</c:v>
                </c:pt>
                <c:pt idx="50">
                  <c:v>1.3070893659437999</c:v>
                </c:pt>
                <c:pt idx="51">
                  <c:v>1.2249957517271599</c:v>
                </c:pt>
                <c:pt idx="52">
                  <c:v>1.2977123050249713</c:v>
                </c:pt>
                <c:pt idx="53">
                  <c:v>1.3484456563407832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FC8-9F7F-3313B11472F0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Ireland!$A$44:$A$97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Ireland!$AX$44:$AX$97</c:f>
              <c:numCache>
                <c:formatCode>0.0000</c:formatCode>
                <c:ptCount val="54"/>
                <c:pt idx="0">
                  <c:v>1.0072993539374662</c:v>
                </c:pt>
                <c:pt idx="1">
                  <c:v>0.99779913573707479</c:v>
                </c:pt>
                <c:pt idx="2">
                  <c:v>0.83395926245452845</c:v>
                </c:pt>
                <c:pt idx="3">
                  <c:v>1.1004017417344554</c:v>
                </c:pt>
                <c:pt idx="4">
                  <c:v>1.0196324668521553</c:v>
                </c:pt>
                <c:pt idx="5">
                  <c:v>1.0106831230308133</c:v>
                </c:pt>
                <c:pt idx="6">
                  <c:v>1.0395572284281516</c:v>
                </c:pt>
                <c:pt idx="7">
                  <c:v>0.87855356561258036</c:v>
                </c:pt>
                <c:pt idx="8">
                  <c:v>0.89775042983848319</c:v>
                </c:pt>
                <c:pt idx="9">
                  <c:v>1.624779744741202</c:v>
                </c:pt>
                <c:pt idx="10">
                  <c:v>1.3285547048855686</c:v>
                </c:pt>
                <c:pt idx="11">
                  <c:v>1.3799620378426285</c:v>
                </c:pt>
                <c:pt idx="12">
                  <c:v>1.4350480365706775</c:v>
                </c:pt>
                <c:pt idx="13">
                  <c:v>1.2068680027566625</c:v>
                </c:pt>
                <c:pt idx="14">
                  <c:v>1.150950262066865</c:v>
                </c:pt>
                <c:pt idx="15">
                  <c:v>1.3748903945872932</c:v>
                </c:pt>
                <c:pt idx="16">
                  <c:v>1.5434420414335961</c:v>
                </c:pt>
                <c:pt idx="17">
                  <c:v>1.6024241214736747</c:v>
                </c:pt>
                <c:pt idx="18">
                  <c:v>1.6588728259728942</c:v>
                </c:pt>
                <c:pt idx="19">
                  <c:v>1.6138502901674561</c:v>
                </c:pt>
                <c:pt idx="20">
                  <c:v>1.5946932611747533</c:v>
                </c:pt>
                <c:pt idx="21">
                  <c:v>1.3900007251269333</c:v>
                </c:pt>
                <c:pt idx="22">
                  <c:v>1.3544943137428933</c:v>
                </c:pt>
                <c:pt idx="23">
                  <c:v>1.3071349661618421</c:v>
                </c:pt>
                <c:pt idx="24">
                  <c:v>1.3383312302392438</c:v>
                </c:pt>
                <c:pt idx="25">
                  <c:v>1.1353987241530779</c:v>
                </c:pt>
                <c:pt idx="26">
                  <c:v>1.049992200894061</c:v>
                </c:pt>
                <c:pt idx="27">
                  <c:v>0.98037444718302735</c:v>
                </c:pt>
                <c:pt idx="28">
                  <c:v>0.96126134060520196</c:v>
                </c:pt>
                <c:pt idx="29">
                  <c:v>0.93289382473527993</c:v>
                </c:pt>
                <c:pt idx="30">
                  <c:v>0.9410513606840627</c:v>
                </c:pt>
                <c:pt idx="31">
                  <c:v>0.98116153726665889</c:v>
                </c:pt>
                <c:pt idx="32">
                  <c:v>1.0332408892356184</c:v>
                </c:pt>
                <c:pt idx="33">
                  <c:v>0.97557363444324707</c:v>
                </c:pt>
                <c:pt idx="34">
                  <c:v>0.99351892002976105</c:v>
                </c:pt>
                <c:pt idx="35">
                  <c:v>1.1253628307442196</c:v>
                </c:pt>
                <c:pt idx="36">
                  <c:v>1.0810569136641286</c:v>
                </c:pt>
                <c:pt idx="37">
                  <c:v>1.0010221913599464</c:v>
                </c:pt>
                <c:pt idx="38">
                  <c:v>0.97537861928407898</c:v>
                </c:pt>
                <c:pt idx="39">
                  <c:v>1.0605958028030384</c:v>
                </c:pt>
                <c:pt idx="40">
                  <c:v>1.1273867785866423</c:v>
                </c:pt>
                <c:pt idx="41">
                  <c:v>1.1505272951579457</c:v>
                </c:pt>
                <c:pt idx="42">
                  <c:v>1.1012180130250881</c:v>
                </c:pt>
                <c:pt idx="43">
                  <c:v>1.1578918759386045</c:v>
                </c:pt>
                <c:pt idx="44">
                  <c:v>1.099639203771875</c:v>
                </c:pt>
                <c:pt idx="45">
                  <c:v>1.330737260377874</c:v>
                </c:pt>
                <c:pt idx="46">
                  <c:v>1.4307430044479985</c:v>
                </c:pt>
                <c:pt idx="47">
                  <c:v>1.5393402088035602</c:v>
                </c:pt>
                <c:pt idx="48">
                  <c:v>1.5011361520715041</c:v>
                </c:pt>
                <c:pt idx="49">
                  <c:v>1.4529036888531732</c:v>
                </c:pt>
                <c:pt idx="50">
                  <c:v>1.2811292244859505</c:v>
                </c:pt>
                <c:pt idx="51">
                  <c:v>1.224038327980701</c:v>
                </c:pt>
                <c:pt idx="52">
                  <c:v>1.2856457614566403</c:v>
                </c:pt>
                <c:pt idx="53">
                  <c:v>1.3590063248040425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FC8-9F7F-3313B1147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187328"/>
        <c:axId val="161188864"/>
      </c:lineChart>
      <c:catAx>
        <c:axId val="1611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1188864"/>
        <c:crosses val="autoZero"/>
        <c:auto val="1"/>
        <c:lblAlgn val="ctr"/>
        <c:lblOffset val="100"/>
        <c:noMultiLvlLbl val="0"/>
      </c:catAx>
      <c:valAx>
        <c:axId val="16118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9.7816686152155819E-3"/>
              <c:y val="0.3306876937833195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118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079189686924488"/>
          <c:y val="0.51531802683543049"/>
          <c:w val="0.15027919485416436"/>
          <c:h val="0.156279834179607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0241458902869E-2"/>
          <c:y val="3.4056808849814019E-2"/>
          <c:w val="0.81922823171693704"/>
          <c:h val="0.85607531037147966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Ireland!$A$44:$A$97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Ireland!$AZ$44:$AZ$97</c:f>
              <c:numCache>
                <c:formatCode>0.0000</c:formatCode>
                <c:ptCount val="54"/>
                <c:pt idx="0">
                  <c:v>0.35468652060169814</c:v>
                </c:pt>
                <c:pt idx="1">
                  <c:v>0.35288427049170001</c:v>
                </c:pt>
                <c:pt idx="2">
                  <c:v>0.35714131170468943</c:v>
                </c:pt>
                <c:pt idx="3">
                  <c:v>0.33778394270400158</c:v>
                </c:pt>
                <c:pt idx="4">
                  <c:v>0.4046007301050849</c:v>
                </c:pt>
                <c:pt idx="5">
                  <c:v>0.38840765759746831</c:v>
                </c:pt>
                <c:pt idx="6">
                  <c:v>0.35209714589224217</c:v>
                </c:pt>
                <c:pt idx="7">
                  <c:v>0.33742850690691795</c:v>
                </c:pt>
                <c:pt idx="8">
                  <c:v>0.49562048039339557</c:v>
                </c:pt>
                <c:pt idx="9">
                  <c:v>0.50896602567644789</c:v>
                </c:pt>
                <c:pt idx="10">
                  <c:v>0.47789059901397868</c:v>
                </c:pt>
                <c:pt idx="11">
                  <c:v>0.53321767384145935</c:v>
                </c:pt>
                <c:pt idx="12">
                  <c:v>0.48587130771683373</c:v>
                </c:pt>
                <c:pt idx="13">
                  <c:v>0.56016199268742073</c:v>
                </c:pt>
                <c:pt idx="14">
                  <c:v>0.72898323024440803</c:v>
                </c:pt>
                <c:pt idx="15">
                  <c:v>0.69539263306595933</c:v>
                </c:pt>
                <c:pt idx="16">
                  <c:v>0.68040578508414362</c:v>
                </c:pt>
                <c:pt idx="17">
                  <c:v>0.62442123694951801</c:v>
                </c:pt>
                <c:pt idx="18">
                  <c:v>0.76616739744410933</c:v>
                </c:pt>
                <c:pt idx="19">
                  <c:v>0.77707904156283292</c:v>
                </c:pt>
                <c:pt idx="20">
                  <c:v>0.77948519842260677</c:v>
                </c:pt>
                <c:pt idx="21">
                  <c:v>0.55955618627468517</c:v>
                </c:pt>
                <c:pt idx="22">
                  <c:v>0.52361243032254223</c:v>
                </c:pt>
                <c:pt idx="23">
                  <c:v>0.4632277291886131</c:v>
                </c:pt>
                <c:pt idx="24">
                  <c:v>0.49529103036502387</c:v>
                </c:pt>
                <c:pt idx="25">
                  <c:v>0.37576389552000844</c:v>
                </c:pt>
                <c:pt idx="26">
                  <c:v>0.31717806501394019</c:v>
                </c:pt>
                <c:pt idx="27">
                  <c:v>0.28357583620917393</c:v>
                </c:pt>
                <c:pt idx="28">
                  <c:v>0.29490923648183087</c:v>
                </c:pt>
                <c:pt idx="29">
                  <c:v>0.28967804483539161</c:v>
                </c:pt>
                <c:pt idx="30">
                  <c:v>0.26264504259986898</c:v>
                </c:pt>
                <c:pt idx="31">
                  <c:v>0.29567154274280205</c:v>
                </c:pt>
                <c:pt idx="32">
                  <c:v>0.3186045784939826</c:v>
                </c:pt>
                <c:pt idx="33">
                  <c:v>0.28846569668836386</c:v>
                </c:pt>
                <c:pt idx="34">
                  <c:v>0.30387486543592723</c:v>
                </c:pt>
                <c:pt idx="35">
                  <c:v>0.4656003569044882</c:v>
                </c:pt>
                <c:pt idx="36">
                  <c:v>0.41352063370912973</c:v>
                </c:pt>
                <c:pt idx="37">
                  <c:v>0.35590050920894334</c:v>
                </c:pt>
                <c:pt idx="38">
                  <c:v>0.31158530747102742</c:v>
                </c:pt>
                <c:pt idx="39">
                  <c:v>0.37942912288691566</c:v>
                </c:pt>
                <c:pt idx="40">
                  <c:v>0.45550515427479432</c:v>
                </c:pt>
                <c:pt idx="41">
                  <c:v>0.49803563373576021</c:v>
                </c:pt>
                <c:pt idx="42">
                  <c:v>0.47617718462596514</c:v>
                </c:pt>
                <c:pt idx="43">
                  <c:v>0.54850179134804899</c:v>
                </c:pt>
                <c:pt idx="44">
                  <c:v>0.39726294078827917</c:v>
                </c:pt>
                <c:pt idx="45">
                  <c:v>0.53245155750950357</c:v>
                </c:pt>
                <c:pt idx="46">
                  <c:v>0.66497877953187667</c:v>
                </c:pt>
                <c:pt idx="47">
                  <c:v>0.69573477390708205</c:v>
                </c:pt>
                <c:pt idx="48">
                  <c:v>0.67065998248596725</c:v>
                </c:pt>
                <c:pt idx="49">
                  <c:v>0.62428304405189883</c:v>
                </c:pt>
                <c:pt idx="50">
                  <c:v>0.50126555431943565</c:v>
                </c:pt>
                <c:pt idx="51">
                  <c:v>0.43452277853354959</c:v>
                </c:pt>
                <c:pt idx="52">
                  <c:v>0.49554424933369812</c:v>
                </c:pt>
                <c:pt idx="53">
                  <c:v>0.53874231878948342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9-444F-8006-CC2ED2BF7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15232"/>
        <c:axId val="161216768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Ireland!$A$44:$A$96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Ireland!$BB$44:$BB$97</c:f>
              <c:numCache>
                <c:formatCode>0.00</c:formatCode>
                <c:ptCount val="54"/>
                <c:pt idx="0">
                  <c:v>20.782543207400789</c:v>
                </c:pt>
                <c:pt idx="1">
                  <c:v>19.79513730840662</c:v>
                </c:pt>
                <c:pt idx="2">
                  <c:v>19.475222906052579</c:v>
                </c:pt>
                <c:pt idx="3">
                  <c:v>21.718842120045036</c:v>
                </c:pt>
                <c:pt idx="4">
                  <c:v>20.747674382969837</c:v>
                </c:pt>
                <c:pt idx="5">
                  <c:v>19.607417745095855</c:v>
                </c:pt>
                <c:pt idx="6">
                  <c:v>18.990417808461718</c:v>
                </c:pt>
                <c:pt idx="7">
                  <c:v>16.981904656032189</c:v>
                </c:pt>
                <c:pt idx="8">
                  <c:v>17.328147487345191</c:v>
                </c:pt>
                <c:pt idx="9">
                  <c:v>51.718437173200968</c:v>
                </c:pt>
                <c:pt idx="10">
                  <c:v>48.207349019138064</c:v>
                </c:pt>
                <c:pt idx="11">
                  <c:v>52.917496778129212</c:v>
                </c:pt>
                <c:pt idx="12">
                  <c:v>51.790034225364522</c:v>
                </c:pt>
                <c:pt idx="13">
                  <c:v>43.679272130965181</c:v>
                </c:pt>
                <c:pt idx="14">
                  <c:v>53.979170307776883</c:v>
                </c:pt>
                <c:pt idx="15">
                  <c:v>71.748736855947783</c:v>
                </c:pt>
                <c:pt idx="16">
                  <c:v>81.997469192328168</c:v>
                </c:pt>
                <c:pt idx="17">
                  <c:v>72.383751869344181</c:v>
                </c:pt>
                <c:pt idx="18">
                  <c:v>65.251477643810134</c:v>
                </c:pt>
                <c:pt idx="19">
                  <c:v>67.85576963497013</c:v>
                </c:pt>
                <c:pt idx="20">
                  <c:v>61.66759412213586</c:v>
                </c:pt>
                <c:pt idx="21">
                  <c:v>26.357260876715173</c:v>
                </c:pt>
                <c:pt idx="22">
                  <c:v>29.514592756729286</c:v>
                </c:pt>
                <c:pt idx="23">
                  <c:v>23.449005344354674</c:v>
                </c:pt>
                <c:pt idx="24">
                  <c:v>29.775330894757481</c:v>
                </c:pt>
                <c:pt idx="25">
                  <c:v>30.836370189223228</c:v>
                </c:pt>
                <c:pt idx="26">
                  <c:v>26.974873720547698</c:v>
                </c:pt>
                <c:pt idx="27">
                  <c:v>23.656247843203996</c:v>
                </c:pt>
                <c:pt idx="28">
                  <c:v>24.064021556987779</c:v>
                </c:pt>
                <c:pt idx="29">
                  <c:v>21.660282431289595</c:v>
                </c:pt>
                <c:pt idx="30">
                  <c:v>21.116940202070484</c:v>
                </c:pt>
                <c:pt idx="31">
                  <c:v>24.969183647423577</c:v>
                </c:pt>
                <c:pt idx="32">
                  <c:v>24.210017714554599</c:v>
                </c:pt>
                <c:pt idx="33">
                  <c:v>17.604442333084894</c:v>
                </c:pt>
                <c:pt idx="34">
                  <c:v>22.101944906462233</c:v>
                </c:pt>
                <c:pt idx="35">
                  <c:v>38.230168767545095</c:v>
                </c:pt>
                <c:pt idx="36">
                  <c:v>31.439125485610052</c:v>
                </c:pt>
                <c:pt idx="37">
                  <c:v>30.099767050532151</c:v>
                </c:pt>
                <c:pt idx="38">
                  <c:v>27.977783583939704</c:v>
                </c:pt>
                <c:pt idx="39">
                  <c:v>31.922291020130871</c:v>
                </c:pt>
                <c:pt idx="40">
                  <c:v>43.71951271636366</c:v>
                </c:pt>
                <c:pt idx="41">
                  <c:v>50.292058568465769</c:v>
                </c:pt>
                <c:pt idx="42">
                  <c:v>49.690937072072714</c:v>
                </c:pt>
                <c:pt idx="43">
                  <c:v>61.007305679555344</c:v>
                </c:pt>
                <c:pt idx="44">
                  <c:v>43.537809819369471</c:v>
                </c:pt>
                <c:pt idx="45">
                  <c:v>58.759091609069415</c:v>
                </c:pt>
                <c:pt idx="46">
                  <c:v>74.941500309216039</c:v>
                </c:pt>
                <c:pt idx="47">
                  <c:v>81.233310738308433</c:v>
                </c:pt>
                <c:pt idx="48">
                  <c:v>75.953081368599271</c:v>
                </c:pt>
                <c:pt idx="49">
                  <c:v>69.352883408219526</c:v>
                </c:pt>
                <c:pt idx="50">
                  <c:v>42.829777858164213</c:v>
                </c:pt>
                <c:pt idx="51">
                  <c:v>35.221778968538764</c:v>
                </c:pt>
                <c:pt idx="52">
                  <c:v>44.319349224516714</c:v>
                </c:pt>
                <c:pt idx="53">
                  <c:v>56.317384003755301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9-444F-8006-CC2ED2BF7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325304"/>
        <c:axId val="689331208"/>
      </c:lineChart>
      <c:catAx>
        <c:axId val="1612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216768"/>
        <c:crosses val="autoZero"/>
        <c:auto val="1"/>
        <c:lblAlgn val="ctr"/>
        <c:lblOffset val="100"/>
        <c:noMultiLvlLbl val="0"/>
      </c:catAx>
      <c:valAx>
        <c:axId val="16121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4892503191199462E-2"/>
              <c:y val="0.3159286990966619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1215232"/>
        <c:crosses val="autoZero"/>
        <c:crossBetween val="between"/>
      </c:valAx>
      <c:valAx>
        <c:axId val="689331208"/>
        <c:scaling>
          <c:orientation val="minMax"/>
          <c:max val="120"/>
          <c:min val="-4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689325304"/>
        <c:crosses val="max"/>
        <c:crossBetween val="between"/>
      </c:valAx>
      <c:catAx>
        <c:axId val="689325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331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0129110910316543"/>
          <c:y val="3.9622965074151008E-2"/>
          <c:w val="0.2015441102649054"/>
          <c:h val="0.187625235495869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02537182852145"/>
          <c:y val="5.0925925925925923E-2"/>
          <c:w val="0.83741907261592308"/>
          <c:h val="0.79477617381160692"/>
        </c:manualLayout>
      </c:layout>
      <c:lineChart>
        <c:grouping val="standard"/>
        <c:varyColors val="0"/>
        <c:ser>
          <c:idx val="0"/>
          <c:order val="0"/>
          <c:tx>
            <c:strRef>
              <c:f>Ireland!$Y$121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Ireland!$A$122:$A$142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Ireland!$Y$122:$Y$142</c:f>
              <c:numCache>
                <c:formatCode>0.00</c:formatCode>
                <c:ptCount val="21"/>
                <c:pt idx="0">
                  <c:v>1.3715024545306125</c:v>
                </c:pt>
                <c:pt idx="1">
                  <c:v>1.5231026940908068</c:v>
                </c:pt>
                <c:pt idx="2">
                  <c:v>1.633661314310779</c:v>
                </c:pt>
                <c:pt idx="3">
                  <c:v>1.5974781255483499</c:v>
                </c:pt>
                <c:pt idx="4">
                  <c:v>1.5358908221234995</c:v>
                </c:pt>
                <c:pt idx="5">
                  <c:v>1.3784623911</c:v>
                </c:pt>
                <c:pt idx="6">
                  <c:v>1.2918860921141997</c:v>
                </c:pt>
                <c:pt idx="7">
                  <c:v>1.3685733000000004</c:v>
                </c:pt>
                <c:pt idx="8">
                  <c:v>1.4220769230769228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0-42B6-A987-5CBB15BAF3EE}"/>
            </c:ext>
          </c:extLst>
        </c:ser>
        <c:ser>
          <c:idx val="1"/>
          <c:order val="1"/>
          <c:tx>
            <c:strRef>
              <c:f>Ireland!$Z$121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Ireland!$A$122:$A$142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Ireland!$Z$122:$Z$142</c:f>
              <c:numCache>
                <c:formatCode>0.00</c:formatCode>
                <c:ptCount val="21"/>
                <c:pt idx="0">
                  <c:v>1.4100764576643376</c:v>
                </c:pt>
                <c:pt idx="1">
                  <c:v>1.505889487909019</c:v>
                </c:pt>
                <c:pt idx="2">
                  <c:v>1.6210339770519784</c:v>
                </c:pt>
                <c:pt idx="3">
                  <c:v>1.5797991988891349</c:v>
                </c:pt>
                <c:pt idx="4">
                  <c:v>1.5313988832877223</c:v>
                </c:pt>
                <c:pt idx="5">
                  <c:v>1.3447878406770652</c:v>
                </c:pt>
                <c:pt idx="6">
                  <c:v>1.290644156885203</c:v>
                </c:pt>
                <c:pt idx="7">
                  <c:v>1.3529210189643959</c:v>
                </c:pt>
                <c:pt idx="8">
                  <c:v>1.4357758377474508</c:v>
                </c:pt>
                <c:pt idx="9">
                  <c:v>1.6434065006672074</c:v>
                </c:pt>
                <c:pt idx="10">
                  <c:v>1.7419131449515848</c:v>
                </c:pt>
                <c:pt idx="11">
                  <c:v>1.8462142977232787</c:v>
                </c:pt>
                <c:pt idx="12">
                  <c:v>1.8925703656218089</c:v>
                </c:pt>
                <c:pt idx="13">
                  <c:v>1.9273374165457073</c:v>
                </c:pt>
                <c:pt idx="14">
                  <c:v>1.956309958982289</c:v>
                </c:pt>
                <c:pt idx="15">
                  <c:v>1.9852825014188704</c:v>
                </c:pt>
                <c:pt idx="16">
                  <c:v>2.0142550438554521</c:v>
                </c:pt>
                <c:pt idx="17">
                  <c:v>2.0432275862920339</c:v>
                </c:pt>
                <c:pt idx="18">
                  <c:v>2.0664056202412993</c:v>
                </c:pt>
                <c:pt idx="19">
                  <c:v>2.0953781626778807</c:v>
                </c:pt>
                <c:pt idx="20">
                  <c:v>2.1127616881398295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0-42B6-A987-5CBB15BAF3EE}"/>
            </c:ext>
          </c:extLst>
        </c:ser>
        <c:ser>
          <c:idx val="3"/>
          <c:order val="2"/>
          <c:tx>
            <c:strRef>
              <c:f>Ireland!$AB$121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Ireland!$A$122:$A$142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Ireland!$AB$122:$AB$142</c:f>
              <c:numCache>
                <c:formatCode>0.00</c:formatCode>
                <c:ptCount val="21"/>
                <c:pt idx="0">
                  <c:v>1.4100764576643376</c:v>
                </c:pt>
                <c:pt idx="1">
                  <c:v>1.505889487909019</c:v>
                </c:pt>
                <c:pt idx="2">
                  <c:v>1.6210339770519784</c:v>
                </c:pt>
                <c:pt idx="3">
                  <c:v>1.5797991988891349</c:v>
                </c:pt>
                <c:pt idx="4">
                  <c:v>1.5313988832877223</c:v>
                </c:pt>
                <c:pt idx="5">
                  <c:v>1.3447878406770652</c:v>
                </c:pt>
                <c:pt idx="6">
                  <c:v>1.290644156885203</c:v>
                </c:pt>
                <c:pt idx="7">
                  <c:v>1.3529210189643959</c:v>
                </c:pt>
                <c:pt idx="8">
                  <c:v>1.4357758377474508</c:v>
                </c:pt>
                <c:pt idx="9">
                  <c:v>1.2088183641184829</c:v>
                </c:pt>
                <c:pt idx="10">
                  <c:v>1.2146128726057994</c:v>
                </c:pt>
                <c:pt idx="11">
                  <c:v>1.2262018895804321</c:v>
                </c:pt>
                <c:pt idx="12">
                  <c:v>1.2319963980677484</c:v>
                </c:pt>
                <c:pt idx="13">
                  <c:v>1.2319963980677484</c:v>
                </c:pt>
                <c:pt idx="14">
                  <c:v>1.2319963980677484</c:v>
                </c:pt>
                <c:pt idx="15">
                  <c:v>1.2377909065550647</c:v>
                </c:pt>
                <c:pt idx="16">
                  <c:v>1.2435854150423813</c:v>
                </c:pt>
                <c:pt idx="17">
                  <c:v>1.2493799235296976</c:v>
                </c:pt>
                <c:pt idx="18">
                  <c:v>1.2493799235296976</c:v>
                </c:pt>
                <c:pt idx="19">
                  <c:v>1.2493799235296976</c:v>
                </c:pt>
                <c:pt idx="20">
                  <c:v>1.2551744320170137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D0-42B6-A987-5CBB15BAF3EE}"/>
            </c:ext>
          </c:extLst>
        </c:ser>
        <c:ser>
          <c:idx val="2"/>
          <c:order val="3"/>
          <c:tx>
            <c:strRef>
              <c:f>Ireland!$AA$121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Ireland!$A$122:$A$142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Ireland!$AA$122:$AA$142</c:f>
              <c:numCache>
                <c:formatCode>0.00</c:formatCode>
                <c:ptCount val="21"/>
                <c:pt idx="0">
                  <c:v>1.4100764576643376</c:v>
                </c:pt>
                <c:pt idx="1">
                  <c:v>1.505889487909019</c:v>
                </c:pt>
                <c:pt idx="2">
                  <c:v>1.6210339770519784</c:v>
                </c:pt>
                <c:pt idx="3">
                  <c:v>1.5797991988891349</c:v>
                </c:pt>
                <c:pt idx="4">
                  <c:v>1.5313988832877223</c:v>
                </c:pt>
                <c:pt idx="5">
                  <c:v>1.3447878406770652</c:v>
                </c:pt>
                <c:pt idx="6">
                  <c:v>1.290644156885203</c:v>
                </c:pt>
                <c:pt idx="7">
                  <c:v>1.3529210189643959</c:v>
                </c:pt>
                <c:pt idx="8">
                  <c:v>1.4357758377474508</c:v>
                </c:pt>
                <c:pt idx="9">
                  <c:v>1.4111345939078421</c:v>
                </c:pt>
                <c:pt idx="10">
                  <c:v>1.4126913386818072</c:v>
                </c:pt>
                <c:pt idx="11">
                  <c:v>1.4585566076303678</c:v>
                </c:pt>
                <c:pt idx="12">
                  <c:v>1.4927064540702222</c:v>
                </c:pt>
                <c:pt idx="13">
                  <c:v>1.5084210615906672</c:v>
                </c:pt>
                <c:pt idx="14">
                  <c:v>1.512575807246586</c:v>
                </c:pt>
                <c:pt idx="15">
                  <c:v>1.5343151933139323</c:v>
                </c:pt>
                <c:pt idx="16">
                  <c:v>1.5725246973047866</c:v>
                </c:pt>
                <c:pt idx="17">
                  <c:v>1.5922169088484142</c:v>
                </c:pt>
                <c:pt idx="18">
                  <c:v>1.604682570074293</c:v>
                </c:pt>
                <c:pt idx="19">
                  <c:v>1.6215789422040663</c:v>
                </c:pt>
                <c:pt idx="20">
                  <c:v>1.6344983991698014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0-42B6-A987-5CBB15BAF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510624"/>
        <c:axId val="1199511608"/>
      </c:lineChart>
      <c:catAx>
        <c:axId val="11995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11608"/>
        <c:crosses val="autoZero"/>
        <c:auto val="1"/>
        <c:lblAlgn val="ctr"/>
        <c:lblOffset val="100"/>
        <c:noMultiLvlLbl val="0"/>
      </c:catAx>
      <c:valAx>
        <c:axId val="119951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2.4545869193398026E-3"/>
              <c:y val="0.19819708745173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1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4944030047151702"/>
          <c:y val="0.51861558487185722"/>
          <c:w val="0.24079658792650918"/>
          <c:h val="0.323581559316412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6332854802002"/>
          <c:y val="3.4587288738440407E-2"/>
          <c:w val="0.83843317237279069"/>
          <c:h val="0.83907057178600342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Ireland!$A$44:$A$97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Ireland!$BJ$44:$BJ$97</c:f>
              <c:numCache>
                <c:formatCode>0.0000</c:formatCode>
                <c:ptCount val="54"/>
                <c:pt idx="0">
                  <c:v>1.0626607325462225</c:v>
                </c:pt>
                <c:pt idx="1">
                  <c:v>1.0564541472789799</c:v>
                </c:pt>
                <c:pt idx="2">
                  <c:v>0.89000836504688474</c:v>
                </c:pt>
                <c:pt idx="3">
                  <c:v>1.1376040502772515</c:v>
                </c:pt>
                <c:pt idx="4">
                  <c:v>1.1285087900700939</c:v>
                </c:pt>
                <c:pt idx="5">
                  <c:v>1.1085909144554649</c:v>
                </c:pt>
                <c:pt idx="6">
                  <c:v>1.1043183573641218</c:v>
                </c:pt>
                <c:pt idx="7">
                  <c:v>0.93067464048935111</c:v>
                </c:pt>
                <c:pt idx="8">
                  <c:v>0.94677168705495918</c:v>
                </c:pt>
                <c:pt idx="9">
                  <c:v>1.6975696942189655</c:v>
                </c:pt>
                <c:pt idx="10">
                  <c:v>1.3727120003310618</c:v>
                </c:pt>
                <c:pt idx="11">
                  <c:v>1.4580220652120843</c:v>
                </c:pt>
                <c:pt idx="12">
                  <c:v>1.4727077224546639</c:v>
                </c:pt>
                <c:pt idx="13">
                  <c:v>1.2335223238765773</c:v>
                </c:pt>
                <c:pt idx="14">
                  <c:v>1.2352132791754717</c:v>
                </c:pt>
                <c:pt idx="15">
                  <c:v>1.4734742014306892</c:v>
                </c:pt>
                <c:pt idx="16">
                  <c:v>1.6173997464265011</c:v>
                </c:pt>
                <c:pt idx="17">
                  <c:v>1.6761851340246681</c:v>
                </c:pt>
                <c:pt idx="18">
                  <c:v>1.7447338602303946</c:v>
                </c:pt>
                <c:pt idx="19">
                  <c:v>1.6936921396741864</c:v>
                </c:pt>
                <c:pt idx="20">
                  <c:v>1.7118308676940373</c:v>
                </c:pt>
                <c:pt idx="21">
                  <c:v>1.4683257320442309</c:v>
                </c:pt>
                <c:pt idx="22">
                  <c:v>1.420139806118351</c:v>
                </c:pt>
                <c:pt idx="23">
                  <c:v>1.3688677162478364</c:v>
                </c:pt>
                <c:pt idx="24">
                  <c:v>1.3989779428133469</c:v>
                </c:pt>
                <c:pt idx="25">
                  <c:v>1.1618125914879227</c:v>
                </c:pt>
                <c:pt idx="26">
                  <c:v>1.1198143251910571</c:v>
                </c:pt>
                <c:pt idx="27">
                  <c:v>1.0301593581589854</c:v>
                </c:pt>
                <c:pt idx="28">
                  <c:v>1.0195954993697733</c:v>
                </c:pt>
                <c:pt idx="29">
                  <c:v>0.99806998623887688</c:v>
                </c:pt>
                <c:pt idx="30">
                  <c:v>0.98130756702911481</c:v>
                </c:pt>
                <c:pt idx="31">
                  <c:v>1.0361490756205995</c:v>
                </c:pt>
                <c:pt idx="32">
                  <c:v>1.0758927403164753</c:v>
                </c:pt>
                <c:pt idx="33">
                  <c:v>1.0215113044807902</c:v>
                </c:pt>
                <c:pt idx="34">
                  <c:v>1.0306648841915764</c:v>
                </c:pt>
                <c:pt idx="35">
                  <c:v>1.2031907237253059</c:v>
                </c:pt>
                <c:pt idx="36">
                  <c:v>1.1408344062845925</c:v>
                </c:pt>
                <c:pt idx="37">
                  <c:v>1.0485574491224703</c:v>
                </c:pt>
                <c:pt idx="38">
                  <c:v>1.0322012824658582</c:v>
                </c:pt>
                <c:pt idx="39">
                  <c:v>1.1050414597480755</c:v>
                </c:pt>
                <c:pt idx="40">
                  <c:v>1.1874519020699603</c:v>
                </c:pt>
                <c:pt idx="41">
                  <c:v>1.2186806241124197</c:v>
                </c:pt>
                <c:pt idx="42">
                  <c:v>1.1634608854525172</c:v>
                </c:pt>
                <c:pt idx="43">
                  <c:v>1.2340276813798929</c:v>
                </c:pt>
                <c:pt idx="44">
                  <c:v>1.155064120534055</c:v>
                </c:pt>
                <c:pt idx="45">
                  <c:v>1.3715024545306125</c:v>
                </c:pt>
                <c:pt idx="46">
                  <c:v>1.5231026940908068</c:v>
                </c:pt>
                <c:pt idx="47">
                  <c:v>1.633661314310779</c:v>
                </c:pt>
                <c:pt idx="48">
                  <c:v>1.5974781255483499</c:v>
                </c:pt>
                <c:pt idx="49">
                  <c:v>1.5358908221234995</c:v>
                </c:pt>
                <c:pt idx="50">
                  <c:v>1.3784623911</c:v>
                </c:pt>
                <c:pt idx="51">
                  <c:v>1.2918860921141997</c:v>
                </c:pt>
                <c:pt idx="52">
                  <c:v>1.3685733000000004</c:v>
                </c:pt>
                <c:pt idx="53">
                  <c:v>1.4220769230769228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A-410D-9DB8-0A0FFEA82AE5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Ireland!$A$44:$A$97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Ireland!$BK$44:$BK$97</c:f>
              <c:numCache>
                <c:formatCode>0.0000</c:formatCode>
                <c:ptCount val="54"/>
                <c:pt idx="0">
                  <c:v>1.0623024807332311</c:v>
                </c:pt>
                <c:pt idx="1">
                  <c:v>1.0522835074038694</c:v>
                </c:pt>
                <c:pt idx="2">
                  <c:v>0.87949723175430494</c:v>
                </c:pt>
                <c:pt idx="3">
                  <c:v>1.1604886824143144</c:v>
                </c:pt>
                <c:pt idx="4">
                  <c:v>1.0753090377147523</c:v>
                </c:pt>
                <c:pt idx="5">
                  <c:v>1.0658710190113905</c:v>
                </c:pt>
                <c:pt idx="6">
                  <c:v>1.0963217819078883</c:v>
                </c:pt>
                <c:pt idx="7">
                  <c:v>0.92652658671834009</c:v>
                </c:pt>
                <c:pt idx="8">
                  <c:v>0.94677168705495918</c:v>
                </c:pt>
                <c:pt idx="9">
                  <c:v>1.7135001097110172</c:v>
                </c:pt>
                <c:pt idx="10">
                  <c:v>1.4010998351909609</c:v>
                </c:pt>
                <c:pt idx="11">
                  <c:v>1.4553142423725962</c:v>
                </c:pt>
                <c:pt idx="12">
                  <c:v>1.513408187210078</c:v>
                </c:pt>
                <c:pt idx="13">
                  <c:v>1.2727684855891943</c:v>
                </c:pt>
                <c:pt idx="14">
                  <c:v>1.2137973818953691</c:v>
                </c:pt>
                <c:pt idx="15">
                  <c:v>1.4499656643252892</c:v>
                </c:pt>
                <c:pt idx="16">
                  <c:v>1.6277209978084224</c:v>
                </c:pt>
                <c:pt idx="17">
                  <c:v>1.689923767720326</c:v>
                </c:pt>
                <c:pt idx="18">
                  <c:v>1.7494548282628515</c:v>
                </c:pt>
                <c:pt idx="19">
                  <c:v>1.7019738572009095</c:v>
                </c:pt>
                <c:pt idx="20">
                  <c:v>1.6817707672824285</c:v>
                </c:pt>
                <c:pt idx="21">
                  <c:v>1.4659010876472771</c:v>
                </c:pt>
                <c:pt idx="22">
                  <c:v>1.4284558646877261</c:v>
                </c:pt>
                <c:pt idx="23">
                  <c:v>1.3785104812973765</c:v>
                </c:pt>
                <c:pt idx="24">
                  <c:v>1.4114102033010603</c:v>
                </c:pt>
                <c:pt idx="25">
                  <c:v>1.1973966592696117</c:v>
                </c:pt>
                <c:pt idx="26">
                  <c:v>1.1073265513377382</c:v>
                </c:pt>
                <c:pt idx="27">
                  <c:v>1.0339073515921804</c:v>
                </c:pt>
                <c:pt idx="28">
                  <c:v>1.0137505824522262</c:v>
                </c:pt>
                <c:pt idx="29">
                  <c:v>0.98383407117574995</c:v>
                </c:pt>
                <c:pt idx="30">
                  <c:v>0.99243704569488211</c:v>
                </c:pt>
                <c:pt idx="31">
                  <c:v>1.0347374203747464</c:v>
                </c:pt>
                <c:pt idx="32">
                  <c:v>1.0896605418632561</c:v>
                </c:pt>
                <c:pt idx="33">
                  <c:v>1.0288443926385495</c:v>
                </c:pt>
                <c:pt idx="34">
                  <c:v>1.0477695724488043</c:v>
                </c:pt>
                <c:pt idx="35">
                  <c:v>1.1868127604286856</c:v>
                </c:pt>
                <c:pt idx="36">
                  <c:v>1.1400875387342979</c:v>
                </c:pt>
                <c:pt idx="37">
                  <c:v>1.0556825565250012</c:v>
                </c:pt>
                <c:pt idx="38">
                  <c:v>1.0286387287645928</c:v>
                </c:pt>
                <c:pt idx="39">
                  <c:v>1.1185091581453206</c:v>
                </c:pt>
                <c:pt idx="40">
                  <c:v>1.188947225029974</c:v>
                </c:pt>
                <c:pt idx="41">
                  <c:v>1.2133513190692025</c:v>
                </c:pt>
                <c:pt idx="42">
                  <c:v>1.1613495258305253</c:v>
                </c:pt>
                <c:pt idx="43">
                  <c:v>1.2211180394609837</c:v>
                </c:pt>
                <c:pt idx="44">
                  <c:v>1.1596845064102934</c:v>
                </c:pt>
                <c:pt idx="45">
                  <c:v>1.403401568141301</c:v>
                </c:pt>
                <c:pt idx="46">
                  <c:v>1.5088680807504822</c:v>
                </c:pt>
                <c:pt idx="47">
                  <c:v>1.6233951864580953</c:v>
                </c:pt>
                <c:pt idx="48">
                  <c:v>1.5831050144432965</c:v>
                </c:pt>
                <c:pt idx="49">
                  <c:v>1.5322388393301849</c:v>
                </c:pt>
                <c:pt idx="50">
                  <c:v>1.3510847078293213</c:v>
                </c:pt>
                <c:pt idx="51">
                  <c:v>1.2908763886759909</c:v>
                </c:pt>
                <c:pt idx="52">
                  <c:v>1.3558478682637369</c:v>
                </c:pt>
                <c:pt idx="53">
                  <c:v>1.4332142520773521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A-410D-9DB8-0A0FFEA82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187328"/>
        <c:axId val="161188864"/>
      </c:lineChart>
      <c:catAx>
        <c:axId val="1611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1188864"/>
        <c:crosses val="autoZero"/>
        <c:auto val="1"/>
        <c:lblAlgn val="ctr"/>
        <c:lblOffset val="100"/>
        <c:noMultiLvlLbl val="0"/>
      </c:catAx>
      <c:valAx>
        <c:axId val="16118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9.7816686152155819E-3"/>
              <c:y val="0.3306876937833195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118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923555843533869"/>
          <c:y val="0.54364658383707698"/>
          <c:w val="0.15027919485416436"/>
          <c:h val="0.161945528763578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34492563429571"/>
          <c:y val="6.0185185185185182E-2"/>
          <c:w val="0.7484141066873683"/>
          <c:h val="0.73545611676589207"/>
        </c:manualLayout>
      </c:layout>
      <c:lineChart>
        <c:grouping val="standard"/>
        <c:varyColors val="0"/>
        <c:ser>
          <c:idx val="0"/>
          <c:order val="0"/>
          <c:tx>
            <c:strRef>
              <c:f>'Oil -Petrol Price elasticities'!$N$2</c:f>
              <c:strCache>
                <c:ptCount val="1"/>
                <c:pt idx="0">
                  <c:v> Petrol/Oil elasticity</c:v>
                </c:pt>
              </c:strCache>
            </c:strRef>
          </c:tx>
          <c:spPr>
            <a:ln w="698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'Oil -Petrol Price elasticities'!$O$1:$AL$1</c:f>
              <c:strCache>
                <c:ptCount val="24"/>
                <c:pt idx="0">
                  <c:v> 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Britain</c:v>
                </c:pt>
                <c:pt idx="4">
                  <c:v>Canada</c:v>
                </c:pt>
                <c:pt idx="5">
                  <c:v>China</c:v>
                </c:pt>
                <c:pt idx="6">
                  <c:v>Denmark</c:v>
                </c:pt>
                <c:pt idx="7">
                  <c:v>Finland </c:v>
                </c:pt>
                <c:pt idx="8">
                  <c:v>France</c:v>
                </c:pt>
                <c:pt idx="9">
                  <c:v>Germany</c:v>
                </c:pt>
                <c:pt idx="10">
                  <c:v>Greece</c:v>
                </c:pt>
                <c:pt idx="11">
                  <c:v>Hungary</c:v>
                </c:pt>
                <c:pt idx="12">
                  <c:v>India</c:v>
                </c:pt>
                <c:pt idx="13">
                  <c:v>Ireland</c:v>
                </c:pt>
                <c:pt idx="14">
                  <c:v>Italy</c:v>
                </c:pt>
                <c:pt idx="15">
                  <c:v>Japan</c:v>
                </c:pt>
                <c:pt idx="16">
                  <c:v>Korea</c:v>
                </c:pt>
                <c:pt idx="17">
                  <c:v>Netherlands</c:v>
                </c:pt>
                <c:pt idx="18">
                  <c:v>New Zealand</c:v>
                </c:pt>
                <c:pt idx="19">
                  <c:v>Norway</c:v>
                </c:pt>
                <c:pt idx="20">
                  <c:v>Spain</c:v>
                </c:pt>
                <c:pt idx="21">
                  <c:v>Sweden</c:v>
                </c:pt>
                <c:pt idx="22">
                  <c:v>Switzerland</c:v>
                </c:pt>
                <c:pt idx="23">
                  <c:v>USA</c:v>
                </c:pt>
              </c:strCache>
            </c:strRef>
          </c:cat>
          <c:val>
            <c:numRef>
              <c:f>'Oil -Petrol Price elasticities'!$O$2:$AL$2</c:f>
              <c:numCache>
                <c:formatCode>0.000</c:formatCode>
                <c:ptCount val="24"/>
                <c:pt idx="0">
                  <c:v>0.3829417156815591</c:v>
                </c:pt>
                <c:pt idx="1">
                  <c:v>0.30001897381913945</c:v>
                </c:pt>
                <c:pt idx="2">
                  <c:v>0.3028768766014347</c:v>
                </c:pt>
                <c:pt idx="3">
                  <c:v>0.27930184026839666</c:v>
                </c:pt>
                <c:pt idx="4">
                  <c:v>0.37030983811408813</c:v>
                </c:pt>
                <c:pt idx="5">
                  <c:v>0.62443950193021824</c:v>
                </c:pt>
                <c:pt idx="6">
                  <c:v>0.26835098932843993</c:v>
                </c:pt>
                <c:pt idx="7">
                  <c:v>0.25274570912347483</c:v>
                </c:pt>
                <c:pt idx="8">
                  <c:v>0.26712582992916989</c:v>
                </c:pt>
                <c:pt idx="9">
                  <c:v>0.26078262331844426</c:v>
                </c:pt>
                <c:pt idx="10">
                  <c:v>0.22365203896915298</c:v>
                </c:pt>
                <c:pt idx="11">
                  <c:v>0.32121614420613676</c:v>
                </c:pt>
                <c:pt idx="12">
                  <c:v>0.47402061251104533</c:v>
                </c:pt>
                <c:pt idx="13">
                  <c:v>0.26655960815699098</c:v>
                </c:pt>
                <c:pt idx="14">
                  <c:v>0.26329617411905648</c:v>
                </c:pt>
                <c:pt idx="15">
                  <c:v>0.37577862078824231</c:v>
                </c:pt>
                <c:pt idx="16">
                  <c:v>0.3135026174479949</c:v>
                </c:pt>
                <c:pt idx="17">
                  <c:v>0.24036159265507839</c:v>
                </c:pt>
                <c:pt idx="18">
                  <c:v>0.35228012641985851</c:v>
                </c:pt>
                <c:pt idx="19">
                  <c:v>0.27033755608701759</c:v>
                </c:pt>
                <c:pt idx="20">
                  <c:v>0.28180350105817609</c:v>
                </c:pt>
                <c:pt idx="21">
                  <c:v>0.26513619176409864</c:v>
                </c:pt>
                <c:pt idx="22">
                  <c:v>0.25146638279514311</c:v>
                </c:pt>
                <c:pt idx="23">
                  <c:v>0.65785534204056639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E-4F24-9F63-3F0417A8B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036864"/>
        <c:axId val="809028992"/>
      </c:lineChart>
      <c:lineChart>
        <c:grouping val="standard"/>
        <c:varyColors val="0"/>
        <c:ser>
          <c:idx val="2"/>
          <c:order val="1"/>
          <c:tx>
            <c:strRef>
              <c:f>'Oil -Petrol Price elasticities'!$N$4</c:f>
              <c:strCache>
                <c:ptCount val="1"/>
                <c:pt idx="0">
                  <c:v> Fraction petrol price variable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'Oil -Petrol Price elasticities'!$O$1:$AL$1</c:f>
              <c:strCache>
                <c:ptCount val="24"/>
                <c:pt idx="0">
                  <c:v> 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Britain</c:v>
                </c:pt>
                <c:pt idx="4">
                  <c:v>Canada</c:v>
                </c:pt>
                <c:pt idx="5">
                  <c:v>China</c:v>
                </c:pt>
                <c:pt idx="6">
                  <c:v>Denmark</c:v>
                </c:pt>
                <c:pt idx="7">
                  <c:v>Finland </c:v>
                </c:pt>
                <c:pt idx="8">
                  <c:v>France</c:v>
                </c:pt>
                <c:pt idx="9">
                  <c:v>Germany</c:v>
                </c:pt>
                <c:pt idx="10">
                  <c:v>Greece</c:v>
                </c:pt>
                <c:pt idx="11">
                  <c:v>Hungary</c:v>
                </c:pt>
                <c:pt idx="12">
                  <c:v>India</c:v>
                </c:pt>
                <c:pt idx="13">
                  <c:v>Ireland</c:v>
                </c:pt>
                <c:pt idx="14">
                  <c:v>Italy</c:v>
                </c:pt>
                <c:pt idx="15">
                  <c:v>Japan</c:v>
                </c:pt>
                <c:pt idx="16">
                  <c:v>Korea</c:v>
                </c:pt>
                <c:pt idx="17">
                  <c:v>Netherlands</c:v>
                </c:pt>
                <c:pt idx="18">
                  <c:v>New Zealand</c:v>
                </c:pt>
                <c:pt idx="19">
                  <c:v>Norway</c:v>
                </c:pt>
                <c:pt idx="20">
                  <c:v>Spain</c:v>
                </c:pt>
                <c:pt idx="21">
                  <c:v>Sweden</c:v>
                </c:pt>
                <c:pt idx="22">
                  <c:v>Switzerland</c:v>
                </c:pt>
                <c:pt idx="23">
                  <c:v>USA</c:v>
                </c:pt>
              </c:strCache>
            </c:strRef>
          </c:cat>
          <c:val>
            <c:numRef>
              <c:f>'Oil -Petrol Price elasticities'!$O$4:$AL$4</c:f>
              <c:numCache>
                <c:formatCode>0.000</c:formatCode>
                <c:ptCount val="24"/>
                <c:pt idx="0">
                  <c:v>0.38294171568155938</c:v>
                </c:pt>
                <c:pt idx="1">
                  <c:v>0.30001897381913956</c:v>
                </c:pt>
                <c:pt idx="2">
                  <c:v>0.30287687660143486</c:v>
                </c:pt>
                <c:pt idx="3">
                  <c:v>0.27930184026839683</c:v>
                </c:pt>
                <c:pt idx="4">
                  <c:v>0.37030983811408835</c:v>
                </c:pt>
                <c:pt idx="5">
                  <c:v>0.62443950193021791</c:v>
                </c:pt>
                <c:pt idx="6">
                  <c:v>0.26835098932843982</c:v>
                </c:pt>
                <c:pt idx="7">
                  <c:v>0.2527457091234751</c:v>
                </c:pt>
                <c:pt idx="8">
                  <c:v>0.26712582992917011</c:v>
                </c:pt>
                <c:pt idx="9">
                  <c:v>0.26078262331844415</c:v>
                </c:pt>
                <c:pt idx="10">
                  <c:v>0.22365203896915295</c:v>
                </c:pt>
                <c:pt idx="11">
                  <c:v>0.32121614420613664</c:v>
                </c:pt>
                <c:pt idx="12">
                  <c:v>0.47402061251104549</c:v>
                </c:pt>
                <c:pt idx="13">
                  <c:v>0.26656266671634343</c:v>
                </c:pt>
                <c:pt idx="14">
                  <c:v>0.26329617411905654</c:v>
                </c:pt>
                <c:pt idx="15">
                  <c:v>0.37577862078824237</c:v>
                </c:pt>
                <c:pt idx="16">
                  <c:v>0.31350261744799501</c:v>
                </c:pt>
                <c:pt idx="17">
                  <c:v>0.24036159265507834</c:v>
                </c:pt>
                <c:pt idx="18">
                  <c:v>0.35228012641985862</c:v>
                </c:pt>
                <c:pt idx="19">
                  <c:v>0.26977598094052363</c:v>
                </c:pt>
                <c:pt idx="20">
                  <c:v>0.28180350105817614</c:v>
                </c:pt>
                <c:pt idx="21">
                  <c:v>0.26513619176409886</c:v>
                </c:pt>
                <c:pt idx="22">
                  <c:v>0.25146638279514333</c:v>
                </c:pt>
                <c:pt idx="23">
                  <c:v>0.65785534204056662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E-4F24-9F63-3F0417A8B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0184"/>
        <c:axId val="214318544"/>
      </c:lineChart>
      <c:catAx>
        <c:axId val="8090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028992"/>
        <c:crosses val="autoZero"/>
        <c:auto val="1"/>
        <c:lblAlgn val="ctr"/>
        <c:lblOffset val="100"/>
        <c:noMultiLvlLbl val="0"/>
      </c:catAx>
      <c:valAx>
        <c:axId val="80902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petrol/oil elasticity</a:t>
                </a:r>
              </a:p>
            </c:rich>
          </c:tx>
          <c:layout>
            <c:manualLayout>
              <c:xMode val="edge"/>
              <c:yMode val="edge"/>
              <c:x val="2.4147897971606418E-2"/>
              <c:y val="0.2314814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036864"/>
        <c:crosses val="autoZero"/>
        <c:crossBetween val="between"/>
      </c:valAx>
      <c:valAx>
        <c:axId val="214318544"/>
        <c:scaling>
          <c:orientation val="minMax"/>
          <c:max val="0.70000000000000007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fraction petrol price  variable</a:t>
                </a:r>
              </a:p>
            </c:rich>
          </c:tx>
          <c:layout>
            <c:manualLayout>
              <c:xMode val="edge"/>
              <c:yMode val="edge"/>
              <c:x val="0.95134255945279567"/>
              <c:y val="0.220894685039370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20184"/>
        <c:crosses val="max"/>
        <c:crossBetween val="between"/>
      </c:valAx>
      <c:catAx>
        <c:axId val="21432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18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433180227471566"/>
          <c:y val="0.62319075969162396"/>
          <c:w val="0.37433181767771984"/>
          <c:h val="0.13893769376388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3187689774055"/>
          <c:y val="3.7508512449457451E-2"/>
          <c:w val="0.83229907536068093"/>
          <c:h val="0.82547855926792857"/>
        </c:manualLayout>
      </c:layout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Israel!$A$44:$A$89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Israel!$X$44:$X$89</c:f>
              <c:numCache>
                <c:formatCode>0.00</c:formatCode>
                <c:ptCount val="46"/>
                <c:pt idx="0">
                  <c:v>1.2588174961381098</c:v>
                </c:pt>
                <c:pt idx="1">
                  <c:v>1.2588174961381098</c:v>
                </c:pt>
                <c:pt idx="2">
                  <c:v>1.2588174961381098</c:v>
                </c:pt>
                <c:pt idx="3">
                  <c:v>1.2588174961381098</c:v>
                </c:pt>
                <c:pt idx="4">
                  <c:v>1.2588174961381098</c:v>
                </c:pt>
                <c:pt idx="5">
                  <c:v>1.2598618122218455</c:v>
                </c:pt>
                <c:pt idx="6">
                  <c:v>1.2685327103976316</c:v>
                </c:pt>
                <c:pt idx="7">
                  <c:v>1.2737962465587032</c:v>
                </c:pt>
                <c:pt idx="8">
                  <c:v>1.2708179713561574</c:v>
                </c:pt>
                <c:pt idx="9">
                  <c:v>1.4058462600273778</c:v>
                </c:pt>
                <c:pt idx="10">
                  <c:v>1.4507568347664659</c:v>
                </c:pt>
                <c:pt idx="11">
                  <c:v>1.4660974864265748</c:v>
                </c:pt>
                <c:pt idx="12">
                  <c:v>1.4954091744789024</c:v>
                </c:pt>
                <c:pt idx="13">
                  <c:v>1.5612406788617301</c:v>
                </c:pt>
                <c:pt idx="14">
                  <c:v>1.6985861286086497</c:v>
                </c:pt>
                <c:pt idx="15">
                  <c:v>1.9795335895848165</c:v>
                </c:pt>
                <c:pt idx="16">
                  <c:v>2.150747980602135</c:v>
                </c:pt>
                <c:pt idx="17">
                  <c:v>2.0909694205101941</c:v>
                </c:pt>
                <c:pt idx="18">
                  <c:v>1.9413867034339098</c:v>
                </c:pt>
                <c:pt idx="19">
                  <c:v>2.0382571683667567</c:v>
                </c:pt>
                <c:pt idx="20">
                  <c:v>2.0305965266171899</c:v>
                </c:pt>
                <c:pt idx="21">
                  <c:v>1.5968555326369662</c:v>
                </c:pt>
                <c:pt idx="22">
                  <c:v>1.6702029413416577</c:v>
                </c:pt>
                <c:pt idx="23">
                  <c:v>1.548502069880215</c:v>
                </c:pt>
                <c:pt idx="24">
                  <c:v>1.6503291730855683</c:v>
                </c:pt>
                <c:pt idx="25">
                  <c:v>1.7347315994357939</c:v>
                </c:pt>
                <c:pt idx="26">
                  <c:v>1.6631494024599776</c:v>
                </c:pt>
                <c:pt idx="27">
                  <c:v>1.6385615986532014</c:v>
                </c:pt>
                <c:pt idx="28">
                  <c:v>1.6191650845407284</c:v>
                </c:pt>
                <c:pt idx="29">
                  <c:v>1.5796282642694144</c:v>
                </c:pt>
                <c:pt idx="30">
                  <c:v>1.6643116245575778</c:v>
                </c:pt>
                <c:pt idx="31">
                  <c:v>1.6793346582455544</c:v>
                </c:pt>
                <c:pt idx="32">
                  <c:v>1.7583538208285998</c:v>
                </c:pt>
                <c:pt idx="33">
                  <c:v>1.4940551507955702</c:v>
                </c:pt>
                <c:pt idx="34">
                  <c:v>1.7152491963769054</c:v>
                </c:pt>
                <c:pt idx="35">
                  <c:v>1.6951096788955975</c:v>
                </c:pt>
                <c:pt idx="36">
                  <c:v>1.525709037735905</c:v>
                </c:pt>
                <c:pt idx="37">
                  <c:v>1.6540491722748034</c:v>
                </c:pt>
                <c:pt idx="38">
                  <c:v>1.7988823270299519</c:v>
                </c:pt>
                <c:pt idx="39">
                  <c:v>2.2119387699515922</c:v>
                </c:pt>
                <c:pt idx="40">
                  <c:v>2.6768083041717965</c:v>
                </c:pt>
                <c:pt idx="41">
                  <c:v>3.0207999542088055</c:v>
                </c:pt>
                <c:pt idx="42">
                  <c:v>3.1039691182076687</c:v>
                </c:pt>
                <c:pt idx="43">
                  <c:v>3.2742723312834734</c:v>
                </c:pt>
                <c:pt idx="44">
                  <c:v>2.5673809260645086</c:v>
                </c:pt>
                <c:pt idx="45">
                  <c:v>2.8696551724137938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E-4357-812F-10C5D65DA342}"/>
            </c:ext>
          </c:extLst>
        </c:ser>
        <c:ser>
          <c:idx val="1"/>
          <c:order val="1"/>
          <c:tx>
            <c:v>model</c:v>
          </c:tx>
          <c:marker>
            <c:symbol val="none"/>
          </c:marker>
          <c:cat>
            <c:numRef>
              <c:f>Israel!$A$44:$A$89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Israel!$Y$44:$Y$89</c:f>
              <c:numCache>
                <c:formatCode>0.00</c:formatCode>
                <c:ptCount val="46"/>
                <c:pt idx="0">
                  <c:v>1.2588174961381098</c:v>
                </c:pt>
                <c:pt idx="1">
                  <c:v>1.2588174961381098</c:v>
                </c:pt>
                <c:pt idx="2">
                  <c:v>1.2588174961381098</c:v>
                </c:pt>
                <c:pt idx="3">
                  <c:v>1.2588174961381098</c:v>
                </c:pt>
                <c:pt idx="4">
                  <c:v>1.2588174961381098</c:v>
                </c:pt>
                <c:pt idx="5">
                  <c:v>1.2598618122218455</c:v>
                </c:pt>
                <c:pt idx="6">
                  <c:v>1.2685327103976318</c:v>
                </c:pt>
                <c:pt idx="7">
                  <c:v>1.2737962465587034</c:v>
                </c:pt>
                <c:pt idx="8">
                  <c:v>1.2708179713561574</c:v>
                </c:pt>
                <c:pt idx="9">
                  <c:v>1.4058462600273776</c:v>
                </c:pt>
                <c:pt idx="10">
                  <c:v>1.4507568347664659</c:v>
                </c:pt>
                <c:pt idx="11">
                  <c:v>1.4660974864265746</c:v>
                </c:pt>
                <c:pt idx="12">
                  <c:v>1.4954091744789024</c:v>
                </c:pt>
                <c:pt idx="13">
                  <c:v>1.5612406788617303</c:v>
                </c:pt>
                <c:pt idx="14">
                  <c:v>1.6985861286086497</c:v>
                </c:pt>
                <c:pt idx="15">
                  <c:v>1.9795335895848161</c:v>
                </c:pt>
                <c:pt idx="16">
                  <c:v>2.1507479806021355</c:v>
                </c:pt>
                <c:pt idx="17">
                  <c:v>2.0909694205101941</c:v>
                </c:pt>
                <c:pt idx="18">
                  <c:v>1.9413867034339094</c:v>
                </c:pt>
                <c:pt idx="19">
                  <c:v>2.0382571683667567</c:v>
                </c:pt>
                <c:pt idx="20">
                  <c:v>2.0305965266171899</c:v>
                </c:pt>
                <c:pt idx="21">
                  <c:v>1.596855532636966</c:v>
                </c:pt>
                <c:pt idx="22">
                  <c:v>1.6702029413416577</c:v>
                </c:pt>
                <c:pt idx="23">
                  <c:v>1.5485020698802148</c:v>
                </c:pt>
                <c:pt idx="24">
                  <c:v>1.6503291730855683</c:v>
                </c:pt>
                <c:pt idx="25">
                  <c:v>1.7347315994357939</c:v>
                </c:pt>
                <c:pt idx="26">
                  <c:v>1.6631494024599776</c:v>
                </c:pt>
                <c:pt idx="27">
                  <c:v>1.6385615986532016</c:v>
                </c:pt>
                <c:pt idx="28">
                  <c:v>1.6191650845407284</c:v>
                </c:pt>
                <c:pt idx="29">
                  <c:v>1.5796282642694144</c:v>
                </c:pt>
                <c:pt idx="30">
                  <c:v>1.5796788299890798</c:v>
                </c:pt>
                <c:pt idx="31">
                  <c:v>1.6485675948685912</c:v>
                </c:pt>
                <c:pt idx="32">
                  <c:v>1.6233745905976815</c:v>
                </c:pt>
                <c:pt idx="33">
                  <c:v>1.5114762437789788</c:v>
                </c:pt>
                <c:pt idx="34">
                  <c:v>1.6027516850815255</c:v>
                </c:pt>
                <c:pt idx="35">
                  <c:v>1.8462424641532733</c:v>
                </c:pt>
                <c:pt idx="36">
                  <c:v>1.766597238695141</c:v>
                </c:pt>
                <c:pt idx="37">
                  <c:v>1.8479641556190662</c:v>
                </c:pt>
                <c:pt idx="38">
                  <c:v>1.930870299237488</c:v>
                </c:pt>
                <c:pt idx="39">
                  <c:v>2.1546916576403965</c:v>
                </c:pt>
                <c:pt idx="40">
                  <c:v>2.5745511865850164</c:v>
                </c:pt>
                <c:pt idx="41">
                  <c:v>2.8659991903299282</c:v>
                </c:pt>
                <c:pt idx="42">
                  <c:v>2.9786359740848107</c:v>
                </c:pt>
                <c:pt idx="43">
                  <c:v>3.3093984902177662</c:v>
                </c:pt>
                <c:pt idx="44">
                  <c:v>2.6395190206468522</c:v>
                </c:pt>
                <c:pt idx="45">
                  <c:v>2.954346736915479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E-4357-812F-10C5D65D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27168"/>
        <c:axId val="161928704"/>
      </c:lineChart>
      <c:catAx>
        <c:axId val="1619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928704"/>
        <c:crosses val="autoZero"/>
        <c:auto val="1"/>
        <c:lblAlgn val="ctr"/>
        <c:lblOffset val="100"/>
        <c:noMultiLvlLbl val="0"/>
      </c:catAx>
      <c:valAx>
        <c:axId val="16192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Shekels</a:t>
                </a:r>
                <a:r>
                  <a:rPr lang="en-US" baseline="0"/>
                  <a:t> </a:t>
                </a:r>
                <a:r>
                  <a:rPr lang="en-US"/>
                  <a:t>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6192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826427731016561"/>
          <c:y val="5.0395562885720432E-2"/>
          <c:w val="0.13633342383926245"/>
          <c:h val="0.230289955309640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5120686601292"/>
          <c:y val="3.6885447458602914E-2"/>
          <c:w val="0.8307751638407167"/>
          <c:h val="0.82837758652261451"/>
        </c:manualLayout>
      </c:layout>
      <c:lineChart>
        <c:grouping val="standard"/>
        <c:varyColors val="0"/>
        <c:ser>
          <c:idx val="0"/>
          <c:order val="0"/>
          <c:tx>
            <c:v>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Israel!$A$44:$A$89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Israel!$O$44:$O$89</c:f>
              <c:numCache>
                <c:formatCode>0.000</c:formatCode>
                <c:ptCount val="46"/>
                <c:pt idx="0">
                  <c:v>2.8798017447998481</c:v>
                </c:pt>
                <c:pt idx="1">
                  <c:v>2.8798017447998481</c:v>
                </c:pt>
                <c:pt idx="2">
                  <c:v>2.8798017447998481</c:v>
                </c:pt>
                <c:pt idx="3">
                  <c:v>2.8798017447998481</c:v>
                </c:pt>
                <c:pt idx="4">
                  <c:v>2.8798017447998481</c:v>
                </c:pt>
                <c:pt idx="5">
                  <c:v>2.8821908308185051</c:v>
                </c:pt>
                <c:pt idx="6">
                  <c:v>2.9020272787326924</c:v>
                </c:pt>
                <c:pt idx="7">
                  <c:v>2.9140686911431279</c:v>
                </c:pt>
                <c:pt idx="8">
                  <c:v>2.9072552792298851</c:v>
                </c:pt>
                <c:pt idx="9">
                  <c:v>3.2161600271426476</c:v>
                </c:pt>
                <c:pt idx="10">
                  <c:v>3.3189021258903764</c:v>
                </c:pt>
                <c:pt idx="11">
                  <c:v>3.3539969951249402</c:v>
                </c:pt>
                <c:pt idx="12">
                  <c:v>3.4210534593503636</c:v>
                </c:pt>
                <c:pt idx="13">
                  <c:v>3.571656451258308</c:v>
                </c:pt>
                <c:pt idx="14">
                  <c:v>3.8858621776919859</c:v>
                </c:pt>
                <c:pt idx="15">
                  <c:v>4.5285867909090598</c:v>
                </c:pt>
                <c:pt idx="16">
                  <c:v>4.9202746277076219</c:v>
                </c:pt>
                <c:pt idx="17">
                  <c:v>4.7835189802984219</c:v>
                </c:pt>
                <c:pt idx="18">
                  <c:v>4.441318009188846</c:v>
                </c:pt>
                <c:pt idx="19">
                  <c:v>4.6629289534194616</c:v>
                </c:pt>
                <c:pt idx="20">
                  <c:v>4.64540367311126</c:v>
                </c:pt>
                <c:pt idx="21">
                  <c:v>3.6531326925382137</c:v>
                </c:pt>
                <c:pt idx="22">
                  <c:v>3.8209298483708367</c:v>
                </c:pt>
                <c:pt idx="23">
                  <c:v>3.5425142853098404</c:v>
                </c:pt>
                <c:pt idx="24">
                  <c:v>3.7754645504422517</c:v>
                </c:pt>
                <c:pt idx="25">
                  <c:v>3.9685523136918128</c:v>
                </c:pt>
                <c:pt idx="26">
                  <c:v>3.8047934396850716</c:v>
                </c:pt>
                <c:pt idx="27">
                  <c:v>3.7485438240570872</c:v>
                </c:pt>
                <c:pt idx="28">
                  <c:v>3.7041703423129104</c:v>
                </c:pt>
                <c:pt idx="29">
                  <c:v>3.613721802830046</c:v>
                </c:pt>
                <c:pt idx="30">
                  <c:v>3.6984702767946174</c:v>
                </c:pt>
                <c:pt idx="31">
                  <c:v>3.7318547961012327</c:v>
                </c:pt>
                <c:pt idx="32">
                  <c:v>3.9074529351746663</c:v>
                </c:pt>
                <c:pt idx="33">
                  <c:v>4.2995073274589064</c:v>
                </c:pt>
                <c:pt idx="34">
                  <c:v>5.1770544353575119</c:v>
                </c:pt>
                <c:pt idx="35">
                  <c:v>5.1569149178762039</c:v>
                </c:pt>
                <c:pt idx="36">
                  <c:v>4.9050916766975741</c:v>
                </c:pt>
                <c:pt idx="37">
                  <c:v>4.9073297426127063</c:v>
                </c:pt>
                <c:pt idx="38">
                  <c:v>5.2746145124863402</c:v>
                </c:pt>
                <c:pt idx="39">
                  <c:v>5.7004009175753891</c:v>
                </c:pt>
                <c:pt idx="40">
                  <c:v>6.1836235859058855</c:v>
                </c:pt>
                <c:pt idx="41">
                  <c:v>6.5355818655316602</c:v>
                </c:pt>
                <c:pt idx="42">
                  <c:v>6.5812939226810014</c:v>
                </c:pt>
                <c:pt idx="43">
                  <c:v>6.7378791778203118</c:v>
                </c:pt>
                <c:pt idx="44">
                  <c:v>6.0897403017259304</c:v>
                </c:pt>
                <c:pt idx="45">
                  <c:v>6.6000000000000005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3-4F36-9652-79C0CBAC4925}"/>
            </c:ext>
          </c:extLst>
        </c:ser>
        <c:ser>
          <c:idx val="1"/>
          <c:order val="1"/>
          <c:tx>
            <c:v>model</c:v>
          </c:tx>
          <c:marker>
            <c:symbol val="none"/>
          </c:marker>
          <c:cat>
            <c:numRef>
              <c:f>Israel!$A$44:$A$89</c:f>
              <c:numCache>
                <c:formatCode>General</c:formatCode>
                <c:ptCount val="4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</c:numCache>
            </c:numRef>
          </c:cat>
          <c:val>
            <c:numRef>
              <c:f>Israel!$P$44:$P$89</c:f>
              <c:numCache>
                <c:formatCode>0.000</c:formatCode>
                <c:ptCount val="46"/>
                <c:pt idx="0">
                  <c:v>2.8798017447998481</c:v>
                </c:pt>
                <c:pt idx="1">
                  <c:v>2.8798017447998481</c:v>
                </c:pt>
                <c:pt idx="2">
                  <c:v>2.8798017447998481</c:v>
                </c:pt>
                <c:pt idx="3">
                  <c:v>2.8798017447998481</c:v>
                </c:pt>
                <c:pt idx="4">
                  <c:v>2.8798017447998481</c:v>
                </c:pt>
                <c:pt idx="5">
                  <c:v>2.8821908308185051</c:v>
                </c:pt>
                <c:pt idx="6">
                  <c:v>2.9020272787326924</c:v>
                </c:pt>
                <c:pt idx="7">
                  <c:v>2.9140686911431279</c:v>
                </c:pt>
                <c:pt idx="8">
                  <c:v>2.9072552792298851</c:v>
                </c:pt>
                <c:pt idx="9">
                  <c:v>3.2161600271426476</c:v>
                </c:pt>
                <c:pt idx="10">
                  <c:v>3.3189021258903764</c:v>
                </c:pt>
                <c:pt idx="11">
                  <c:v>3.3539969951249402</c:v>
                </c:pt>
                <c:pt idx="12">
                  <c:v>3.4210534593503636</c:v>
                </c:pt>
                <c:pt idx="13">
                  <c:v>3.571656451258308</c:v>
                </c:pt>
                <c:pt idx="14">
                  <c:v>3.8858621776919859</c:v>
                </c:pt>
                <c:pt idx="15">
                  <c:v>4.5285867909090598</c:v>
                </c:pt>
                <c:pt idx="16">
                  <c:v>4.9202746277076219</c:v>
                </c:pt>
                <c:pt idx="17">
                  <c:v>4.7835189802984219</c:v>
                </c:pt>
                <c:pt idx="18">
                  <c:v>4.441318009188846</c:v>
                </c:pt>
                <c:pt idx="19">
                  <c:v>4.6629289534194616</c:v>
                </c:pt>
                <c:pt idx="20">
                  <c:v>4.64540367311126</c:v>
                </c:pt>
                <c:pt idx="21">
                  <c:v>3.6531326925382137</c:v>
                </c:pt>
                <c:pt idx="22">
                  <c:v>3.8209298483708367</c:v>
                </c:pt>
                <c:pt idx="23">
                  <c:v>3.5425142853098404</c:v>
                </c:pt>
                <c:pt idx="24">
                  <c:v>3.7754645504422517</c:v>
                </c:pt>
                <c:pt idx="25">
                  <c:v>3.9685523136918128</c:v>
                </c:pt>
                <c:pt idx="26">
                  <c:v>3.8047934396850716</c:v>
                </c:pt>
                <c:pt idx="27">
                  <c:v>3.7485438240570872</c:v>
                </c:pt>
                <c:pt idx="28">
                  <c:v>3.7041703423129104</c:v>
                </c:pt>
                <c:pt idx="29">
                  <c:v>3.613721802830046</c:v>
                </c:pt>
                <c:pt idx="30">
                  <c:v>3.6138374822261197</c:v>
                </c:pt>
                <c:pt idx="31">
                  <c:v>3.7010877327242695</c:v>
                </c:pt>
                <c:pt idx="32">
                  <c:v>3.772473704943748</c:v>
                </c:pt>
                <c:pt idx="33">
                  <c:v>4.3169284204423146</c:v>
                </c:pt>
                <c:pt idx="34">
                  <c:v>5.0645569240621322</c:v>
                </c:pt>
                <c:pt idx="35">
                  <c:v>5.3080477031338802</c:v>
                </c:pt>
                <c:pt idx="36">
                  <c:v>5.14597987765681</c:v>
                </c:pt>
                <c:pt idx="37">
                  <c:v>5.1012447259569687</c:v>
                </c:pt>
                <c:pt idx="38">
                  <c:v>5.4066024846938765</c:v>
                </c:pt>
                <c:pt idx="39">
                  <c:v>5.643153805264193</c:v>
                </c:pt>
                <c:pt idx="40">
                  <c:v>6.0813664683191053</c:v>
                </c:pt>
                <c:pt idx="41">
                  <c:v>6.3807811016527829</c:v>
                </c:pt>
                <c:pt idx="42">
                  <c:v>6.4559607785581434</c:v>
                </c:pt>
                <c:pt idx="43">
                  <c:v>6.7730053367546041</c:v>
                </c:pt>
                <c:pt idx="44">
                  <c:v>6.1618783963082739</c:v>
                </c:pt>
                <c:pt idx="45">
                  <c:v>6.6846915645016853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3-4F36-9652-79C0CBAC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46016"/>
        <c:axId val="161847552"/>
      </c:lineChart>
      <c:catAx>
        <c:axId val="1618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1847552"/>
        <c:crosses val="autoZero"/>
        <c:auto val="1"/>
        <c:lblAlgn val="ctr"/>
        <c:lblOffset val="100"/>
        <c:noMultiLvlLbl val="0"/>
      </c:catAx>
      <c:valAx>
        <c:axId val="16184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Shekels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61846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044818535614404"/>
          <c:y val="4.7897297721506374E-2"/>
          <c:w val="0.13633342383926245"/>
          <c:h val="0.203208726816125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27728886830544E-2"/>
          <c:y val="2.7212058051567085E-2"/>
          <c:w val="0.84557871442540433"/>
          <c:h val="0.87338640574339976"/>
        </c:manualLayout>
      </c:layout>
      <c:lineChart>
        <c:grouping val="standard"/>
        <c:varyColors val="0"/>
        <c:ser>
          <c:idx val="1"/>
          <c:order val="0"/>
          <c:tx>
            <c:strRef>
              <c:f>Israel!$C$159</c:f>
              <c:strCache>
                <c:ptCount val="1"/>
                <c:pt idx="0">
                  <c:v>Unemployment unch'd</c:v>
                </c:pt>
              </c:strCache>
            </c:strRef>
          </c:tx>
          <c:marker>
            <c:symbol val="none"/>
          </c:marker>
          <c:cat>
            <c:numRef>
              <c:f>Israel!$A$160:$A$180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Israel!$C$160:$C$180</c:f>
              <c:numCache>
                <c:formatCode>0.0</c:formatCode>
                <c:ptCount val="21"/>
                <c:pt idx="0">
                  <c:v>49.292495100073857</c:v>
                </c:pt>
                <c:pt idx="1">
                  <c:v>52.172280412896953</c:v>
                </c:pt>
                <c:pt idx="2">
                  <c:v>53.428067926394448</c:v>
                </c:pt>
                <c:pt idx="3">
                  <c:v>54.654580849040293</c:v>
                </c:pt>
                <c:pt idx="4">
                  <c:v>55.857353481326911</c:v>
                </c:pt>
                <c:pt idx="5">
                  <c:v>57.027774020042735</c:v>
                </c:pt>
                <c:pt idx="6">
                  <c:v>58.171542375489707</c:v>
                </c:pt>
                <c:pt idx="7">
                  <c:v>59.28002172550125</c:v>
                </c:pt>
                <c:pt idx="8">
                  <c:v>60.359062791151437</c:v>
                </c:pt>
                <c:pt idx="9">
                  <c:v>61.400018530356043</c:v>
                </c:pt>
                <c:pt idx="10">
                  <c:v>62.408875675924001</c:v>
                </c:pt>
                <c:pt idx="11">
                  <c:v>63.376991764890654</c:v>
                </c:pt>
                <c:pt idx="12">
                  <c:v>64.303070819812646</c:v>
                </c:pt>
                <c:pt idx="13">
                  <c:v>65.193281392545202</c:v>
                </c:pt>
                <c:pt idx="14">
                  <c:v>66.046453828301352</c:v>
                </c:pt>
                <c:pt idx="15">
                  <c:v>66.853999219467568</c:v>
                </c:pt>
                <c:pt idx="16">
                  <c:v>67.622223539833584</c:v>
                </c:pt>
                <c:pt idx="17">
                  <c:v>68.350034829558254</c:v>
                </c:pt>
                <c:pt idx="18">
                  <c:v>69.057592125930483</c:v>
                </c:pt>
                <c:pt idx="19">
                  <c:v>69.757701450761957</c:v>
                </c:pt>
                <c:pt idx="20">
                  <c:v>70.450362804052688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D-4A09-B24D-E30305F6922E}"/>
            </c:ext>
          </c:extLst>
        </c:ser>
        <c:ser>
          <c:idx val="2"/>
          <c:order val="1"/>
          <c:tx>
            <c:strRef>
              <c:f>Israel!$D$159</c:f>
              <c:strCache>
                <c:ptCount val="1"/>
                <c:pt idx="0">
                  <c:v>High petrol</c:v>
                </c:pt>
              </c:strCache>
            </c:strRef>
          </c:tx>
          <c:marker>
            <c:symbol val="none"/>
          </c:marker>
          <c:cat>
            <c:numRef>
              <c:f>Israel!$A$160:$A$180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Israel!$D$160:$D$180</c:f>
              <c:numCache>
                <c:formatCode>0.0</c:formatCode>
                <c:ptCount val="21"/>
                <c:pt idx="0">
                  <c:v>49.292495100073857</c:v>
                </c:pt>
                <c:pt idx="1">
                  <c:v>51.998876726586829</c:v>
                </c:pt>
                <c:pt idx="2">
                  <c:v>53.582380795250216</c:v>
                </c:pt>
                <c:pt idx="3">
                  <c:v>55.066775470306382</c:v>
                </c:pt>
                <c:pt idx="4">
                  <c:v>56.530552233567853</c:v>
                </c:pt>
                <c:pt idx="5">
                  <c:v>57.680661323341653</c:v>
                </c:pt>
                <c:pt idx="6">
                  <c:v>58.850584364842092</c:v>
                </c:pt>
                <c:pt idx="7">
                  <c:v>59.986495502418563</c:v>
                </c:pt>
                <c:pt idx="8">
                  <c:v>61.09345540273403</c:v>
                </c:pt>
                <c:pt idx="9">
                  <c:v>62.162851674534188</c:v>
                </c:pt>
                <c:pt idx="10">
                  <c:v>62.761796742458536</c:v>
                </c:pt>
                <c:pt idx="11">
                  <c:v>63.319587473900967</c:v>
                </c:pt>
                <c:pt idx="12">
                  <c:v>64.27513412811463</c:v>
                </c:pt>
                <c:pt idx="13">
                  <c:v>65.195903825184502</c:v>
                </c:pt>
                <c:pt idx="14">
                  <c:v>66.079810220329676</c:v>
                </c:pt>
                <c:pt idx="15">
                  <c:v>66.919027203259176</c:v>
                </c:pt>
                <c:pt idx="16">
                  <c:v>67.573421271000399</c:v>
                </c:pt>
                <c:pt idx="17">
                  <c:v>68.18727361536591</c:v>
                </c:pt>
                <c:pt idx="18">
                  <c:v>68.780358357378105</c:v>
                </c:pt>
                <c:pt idx="19">
                  <c:v>69.365141168847259</c:v>
                </c:pt>
                <c:pt idx="20">
                  <c:v>69.943567502403511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D-4A09-B24D-E30305F6922E}"/>
            </c:ext>
          </c:extLst>
        </c:ser>
        <c:ser>
          <c:idx val="3"/>
          <c:order val="2"/>
          <c:tx>
            <c:strRef>
              <c:f>Israel!$E$159</c:f>
              <c:strCache>
                <c:ptCount val="1"/>
                <c:pt idx="0">
                  <c:v>Medium petrol</c:v>
                </c:pt>
              </c:strCache>
            </c:strRef>
          </c:tx>
          <c:marker>
            <c:symbol val="none"/>
          </c:marker>
          <c:cat>
            <c:numRef>
              <c:f>Israel!$A$160:$A$180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Israel!$E$160:$E$180</c:f>
              <c:numCache>
                <c:formatCode>0.0</c:formatCode>
                <c:ptCount val="21"/>
                <c:pt idx="0">
                  <c:v>49.292495100073857</c:v>
                </c:pt>
                <c:pt idx="1">
                  <c:v>51.998876726586829</c:v>
                </c:pt>
                <c:pt idx="2">
                  <c:v>53.514798727962614</c:v>
                </c:pt>
                <c:pt idx="3">
                  <c:v>54.989506638348104</c:v>
                </c:pt>
                <c:pt idx="4">
                  <c:v>56.443298887765977</c:v>
                </c:pt>
                <c:pt idx="5">
                  <c:v>57.871860372427946</c:v>
                </c:pt>
                <c:pt idx="6">
                  <c:v>59.033009793357238</c:v>
                </c:pt>
                <c:pt idx="7">
                  <c:v>60.1598778550566</c:v>
                </c:pt>
                <c:pt idx="8">
                  <c:v>61.257658718070267</c:v>
                </c:pt>
                <c:pt idx="9">
                  <c:v>62.317723429305886</c:v>
                </c:pt>
                <c:pt idx="10">
                  <c:v>63.346117742699541</c:v>
                </c:pt>
                <c:pt idx="11">
                  <c:v>64.334135573958676</c:v>
                </c:pt>
                <c:pt idx="12">
                  <c:v>65.280425576620388</c:v>
                </c:pt>
                <c:pt idx="13">
                  <c:v>66.19140447366506</c:v>
                </c:pt>
                <c:pt idx="14">
                  <c:v>67.065343983377645</c:v>
                </c:pt>
                <c:pt idx="15">
                  <c:v>67.894029689117716</c:v>
                </c:pt>
                <c:pt idx="16">
                  <c:v>68.683717621938925</c:v>
                </c:pt>
                <c:pt idx="17">
                  <c:v>69.432610929959679</c:v>
                </c:pt>
                <c:pt idx="18">
                  <c:v>70.160670421583887</c:v>
                </c:pt>
                <c:pt idx="19">
                  <c:v>70.880558796742406</c:v>
                </c:pt>
                <c:pt idx="20">
                  <c:v>71.593313397907622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D-4A09-B24D-E30305F6922E}"/>
            </c:ext>
          </c:extLst>
        </c:ser>
        <c:ser>
          <c:idx val="4"/>
          <c:order val="3"/>
          <c:tx>
            <c:strRef>
              <c:f>Israel!$F$159</c:f>
              <c:strCache>
                <c:ptCount val="1"/>
                <c:pt idx="0">
                  <c:v>Low petrol</c:v>
                </c:pt>
              </c:strCache>
            </c:strRef>
          </c:tx>
          <c:marker>
            <c:symbol val="none"/>
          </c:marker>
          <c:cat>
            <c:numRef>
              <c:f>Israel!$A$160:$A$180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Israel!$F$160:$F$180</c:f>
              <c:numCache>
                <c:formatCode>0.0</c:formatCode>
                <c:ptCount val="21"/>
                <c:pt idx="0">
                  <c:v>49.292495100073857</c:v>
                </c:pt>
                <c:pt idx="1">
                  <c:v>51.998876726586829</c:v>
                </c:pt>
                <c:pt idx="2">
                  <c:v>53.866484040909008</c:v>
                </c:pt>
                <c:pt idx="3">
                  <c:v>55.779550060812092</c:v>
                </c:pt>
                <c:pt idx="4">
                  <c:v>57.247742371568144</c:v>
                </c:pt>
                <c:pt idx="5">
                  <c:v>58.690442860899388</c:v>
                </c:pt>
                <c:pt idx="6">
                  <c:v>59.864737336924343</c:v>
                </c:pt>
                <c:pt idx="7">
                  <c:v>61.003924427166453</c:v>
                </c:pt>
                <c:pt idx="8">
                  <c:v>61.822202198174317</c:v>
                </c:pt>
                <c:pt idx="9">
                  <c:v>62.893142583616381</c:v>
                </c:pt>
                <c:pt idx="10">
                  <c:v>63.932173399035754</c:v>
                </c:pt>
                <c:pt idx="11">
                  <c:v>64.930492675092225</c:v>
                </c:pt>
                <c:pt idx="12">
                  <c:v>65.886758385599151</c:v>
                </c:pt>
                <c:pt idx="13">
                  <c:v>66.807396497509842</c:v>
                </c:pt>
                <c:pt idx="14">
                  <c:v>67.690880865484132</c:v>
                </c:pt>
                <c:pt idx="15">
                  <c:v>68.528735626942677</c:v>
                </c:pt>
                <c:pt idx="16">
                  <c:v>69.327341681954636</c:v>
                </c:pt>
                <c:pt idx="17">
                  <c:v>70.085170415340912</c:v>
                </c:pt>
                <c:pt idx="18">
                  <c:v>70.822261681438235</c:v>
                </c:pt>
                <c:pt idx="19">
                  <c:v>71.259845235567383</c:v>
                </c:pt>
                <c:pt idx="20">
                  <c:v>71.981844314639204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0D-4A09-B24D-E30305F6922E}"/>
            </c:ext>
          </c:extLst>
        </c:ser>
        <c:ser>
          <c:idx val="5"/>
          <c:order val="4"/>
          <c:tx>
            <c:strRef>
              <c:f>Israel!$G$159</c:f>
              <c:strCache>
                <c:ptCount val="1"/>
              </c:strCache>
            </c:strRef>
          </c:tx>
          <c:marker>
            <c:symbol val="none"/>
          </c:marker>
          <c:cat>
            <c:numRef>
              <c:f>Israel!$A$160:$A$180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Israel!$G$160:$G$180</c:f>
              <c:numCache>
                <c:formatCode>0.0</c:formatCode>
                <c:ptCount val="2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0D-4A09-B24D-E30305F6922E}"/>
            </c:ext>
          </c:extLst>
        </c:ser>
        <c:ser>
          <c:idx val="0"/>
          <c:order val="5"/>
          <c:tx>
            <c:strRef>
              <c:f>Israel!$B$159</c:f>
              <c:strCache>
                <c:ptCount val="1"/>
                <c:pt idx="0">
                  <c:v>basecase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cat>
            <c:numRef>
              <c:f>Israel!$A$160:$A$180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Israel!$B$160:$B$180</c:f>
              <c:numCache>
                <c:formatCode>0.0</c:formatCode>
                <c:ptCount val="21"/>
                <c:pt idx="0">
                  <c:v>49.292495100073857</c:v>
                </c:pt>
                <c:pt idx="1">
                  <c:v>52.172280412896953</c:v>
                </c:pt>
                <c:pt idx="2">
                  <c:v>53.663322286243343</c:v>
                </c:pt>
                <c:pt idx="3">
                  <c:v>55.132279532047917</c:v>
                </c:pt>
                <c:pt idx="4">
                  <c:v>56.584593477139606</c:v>
                </c:pt>
                <c:pt idx="5">
                  <c:v>58.011435379758716</c:v>
                </c:pt>
                <c:pt idx="6">
                  <c:v>59.169087802286739</c:v>
                </c:pt>
                <c:pt idx="7">
                  <c:v>60.291203289610038</c:v>
                </c:pt>
                <c:pt idx="8">
                  <c:v>61.383756527687325</c:v>
                </c:pt>
                <c:pt idx="9">
                  <c:v>62.437976509549728</c:v>
                </c:pt>
                <c:pt idx="10">
                  <c:v>63.459973932890833</c:v>
                </c:pt>
                <c:pt idx="11">
                  <c:v>64.440982369861331</c:v>
                </c:pt>
                <c:pt idx="12">
                  <c:v>65.379705843017845</c:v>
                </c:pt>
                <c:pt idx="13">
                  <c:v>66.282436869100295</c:v>
                </c:pt>
                <c:pt idx="14">
                  <c:v>67.148005793321659</c:v>
                </c:pt>
                <c:pt idx="15">
                  <c:v>67.967699743183815</c:v>
                </c:pt>
                <c:pt idx="16">
                  <c:v>68.747948657361107</c:v>
                </c:pt>
                <c:pt idx="17">
                  <c:v>69.487660576012374</c:v>
                </c:pt>
                <c:pt idx="18">
                  <c:v>70.206994536426592</c:v>
                </c:pt>
                <c:pt idx="19">
                  <c:v>70.918756560415375</c:v>
                </c:pt>
                <c:pt idx="20">
                  <c:v>71.622946647978765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D-4A09-B24D-E30305F69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82720"/>
        <c:axId val="162009088"/>
      </c:lineChart>
      <c:catAx>
        <c:axId val="1619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009088"/>
        <c:crosses val="autoZero"/>
        <c:auto val="1"/>
        <c:lblAlgn val="ctr"/>
        <c:lblOffset val="100"/>
        <c:noMultiLvlLbl val="0"/>
      </c:catAx>
      <c:valAx>
        <c:axId val="162009088"/>
        <c:scaling>
          <c:orientation val="minMax"/>
          <c:max val="75"/>
          <c:min val="4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Billion vehicle kilometres per 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1982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344975023283615"/>
          <c:y val="0.38909622510421665"/>
          <c:w val="0.26804294683752766"/>
          <c:h val="0.427689902732748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18104571460948E-2"/>
          <c:y val="3.5814579629159259E-2"/>
          <c:w val="0.80265847164787851"/>
          <c:h val="0.85732537465074932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Italy!$AZ$44:$AZ$97</c:f>
              <c:numCache>
                <c:formatCode>0.00</c:formatCode>
                <c:ptCount val="54"/>
                <c:pt idx="0">
                  <c:v>0.27543949825276393</c:v>
                </c:pt>
                <c:pt idx="1">
                  <c:v>0.27038602103950726</c:v>
                </c:pt>
                <c:pt idx="2">
                  <c:v>0.25817871494565303</c:v>
                </c:pt>
                <c:pt idx="3">
                  <c:v>0.2569552891152771</c:v>
                </c:pt>
                <c:pt idx="4">
                  <c:v>0.25110696992169446</c:v>
                </c:pt>
                <c:pt idx="5">
                  <c:v>0.25232988576550164</c:v>
                </c:pt>
                <c:pt idx="6">
                  <c:v>0.25200807455081131</c:v>
                </c:pt>
                <c:pt idx="7">
                  <c:v>0.24461895244493492</c:v>
                </c:pt>
                <c:pt idx="8">
                  <c:v>0.38375844871019538</c:v>
                </c:pt>
                <c:pt idx="9">
                  <c:v>0.53954664815730058</c:v>
                </c:pt>
                <c:pt idx="10">
                  <c:v>0.50495690884040589</c:v>
                </c:pt>
                <c:pt idx="11">
                  <c:v>0.58142678319168306</c:v>
                </c:pt>
                <c:pt idx="12">
                  <c:v>0.51744297617123514</c:v>
                </c:pt>
                <c:pt idx="13">
                  <c:v>0.45982178982814581</c:v>
                </c:pt>
                <c:pt idx="14">
                  <c:v>0.48664400972587907</c:v>
                </c:pt>
                <c:pt idx="15">
                  <c:v>0.61751591468435918</c:v>
                </c:pt>
                <c:pt idx="16">
                  <c:v>0.73313985095436407</c:v>
                </c:pt>
                <c:pt idx="17">
                  <c:v>0.66104238688543915</c:v>
                </c:pt>
                <c:pt idx="18">
                  <c:v>0.53585853520721205</c:v>
                </c:pt>
                <c:pt idx="19">
                  <c:v>0.5490958906395591</c:v>
                </c:pt>
                <c:pt idx="20">
                  <c:v>0.51517589541752185</c:v>
                </c:pt>
                <c:pt idx="21">
                  <c:v>0.38290842794511804</c:v>
                </c:pt>
                <c:pt idx="22">
                  <c:v>0.26628856543796964</c:v>
                </c:pt>
                <c:pt idx="23">
                  <c:v>0.27443648151574096</c:v>
                </c:pt>
                <c:pt idx="24">
                  <c:v>0.29036870777528034</c:v>
                </c:pt>
                <c:pt idx="25">
                  <c:v>0.2746455698051139</c:v>
                </c:pt>
                <c:pt idx="26">
                  <c:v>0.28072961816669573</c:v>
                </c:pt>
                <c:pt idx="27">
                  <c:v>0.27785608882641533</c:v>
                </c:pt>
                <c:pt idx="28">
                  <c:v>0.35356312799524225</c:v>
                </c:pt>
                <c:pt idx="29">
                  <c:v>0.49537184189268113</c:v>
                </c:pt>
                <c:pt idx="30">
                  <c:v>0.30266292656092997</c:v>
                </c:pt>
                <c:pt idx="31">
                  <c:v>0.30036409473119796</c:v>
                </c:pt>
                <c:pt idx="32">
                  <c:v>0.32357507243947869</c:v>
                </c:pt>
                <c:pt idx="33">
                  <c:v>0.28009353869624865</c:v>
                </c:pt>
                <c:pt idx="34">
                  <c:v>0.33415150214093381</c:v>
                </c:pt>
                <c:pt idx="35">
                  <c:v>0.47061057681950691</c:v>
                </c:pt>
                <c:pt idx="36">
                  <c:v>0.42611574853094336</c:v>
                </c:pt>
                <c:pt idx="37">
                  <c:v>0.38978614333621253</c:v>
                </c:pt>
                <c:pt idx="38">
                  <c:v>0.39109798817052421</c:v>
                </c:pt>
                <c:pt idx="39">
                  <c:v>0.4252539616222758</c:v>
                </c:pt>
                <c:pt idx="40">
                  <c:v>0.49757348394700973</c:v>
                </c:pt>
                <c:pt idx="41">
                  <c:v>0.54729982333654748</c:v>
                </c:pt>
                <c:pt idx="42">
                  <c:v>0.54869696663322121</c:v>
                </c:pt>
                <c:pt idx="43">
                  <c:v>0.60597475249428434</c:v>
                </c:pt>
                <c:pt idx="44">
                  <c:v>0.47153356697006643</c:v>
                </c:pt>
                <c:pt idx="45">
                  <c:v>0.5719426870748302</c:v>
                </c:pt>
                <c:pt idx="46">
                  <c:v>0.68688295259935983</c:v>
                </c:pt>
                <c:pt idx="47">
                  <c:v>0.71964532872806009</c:v>
                </c:pt>
                <c:pt idx="48">
                  <c:v>0.66933923053797861</c:v>
                </c:pt>
                <c:pt idx="49">
                  <c:v>0.62906955739047365</c:v>
                </c:pt>
                <c:pt idx="50">
                  <c:v>0.49544804320237856</c:v>
                </c:pt>
                <c:pt idx="51">
                  <c:v>0.42392722333194255</c:v>
                </c:pt>
                <c:pt idx="52">
                  <c:v>0.48245349631127232</c:v>
                </c:pt>
                <c:pt idx="53">
                  <c:v>0.53180081145506319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9-4FED-8412-44A941B4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04064"/>
        <c:axId val="162105600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Italy!$A$44:$A$96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Italy!$BB$44:$BB$97</c:f>
              <c:numCache>
                <c:formatCode>0.00</c:formatCode>
                <c:ptCount val="54"/>
                <c:pt idx="0">
                  <c:v>20.332628062053296</c:v>
                </c:pt>
                <c:pt idx="1">
                  <c:v>19.860083563000117</c:v>
                </c:pt>
                <c:pt idx="2">
                  <c:v>19.126930605829138</c:v>
                </c:pt>
                <c:pt idx="3">
                  <c:v>18.873592745243485</c:v>
                </c:pt>
                <c:pt idx="4">
                  <c:v>18.444028845672729</c:v>
                </c:pt>
                <c:pt idx="5">
                  <c:v>17.765979068851099</c:v>
                </c:pt>
                <c:pt idx="6">
                  <c:v>17.763560994461436</c:v>
                </c:pt>
                <c:pt idx="7">
                  <c:v>15.843167930885782</c:v>
                </c:pt>
                <c:pt idx="8">
                  <c:v>15.538301542413652</c:v>
                </c:pt>
                <c:pt idx="9">
                  <c:v>46.157101893576858</c:v>
                </c:pt>
                <c:pt idx="10">
                  <c:v>40.877550072900107</c:v>
                </c:pt>
                <c:pt idx="11">
                  <c:v>46.983616913648838</c:v>
                </c:pt>
                <c:pt idx="12">
                  <c:v>45.84478816777969</c:v>
                </c:pt>
                <c:pt idx="13">
                  <c:v>39.280582443282867</c:v>
                </c:pt>
                <c:pt idx="14">
                  <c:v>50.061943535690048</c:v>
                </c:pt>
                <c:pt idx="15">
                  <c:v>67.209415950478515</c:v>
                </c:pt>
                <c:pt idx="16">
                  <c:v>81.482351482251687</c:v>
                </c:pt>
                <c:pt idx="17">
                  <c:v>75.892325213539749</c:v>
                </c:pt>
                <c:pt idx="18">
                  <c:v>64.821805860089526</c:v>
                </c:pt>
                <c:pt idx="19">
                  <c:v>66.673244169201979</c:v>
                </c:pt>
                <c:pt idx="20">
                  <c:v>62.047224040110486</c:v>
                </c:pt>
                <c:pt idx="21">
                  <c:v>25.832712416377007</c:v>
                </c:pt>
                <c:pt idx="22">
                  <c:v>27.286351294907092</c:v>
                </c:pt>
                <c:pt idx="23">
                  <c:v>21.730647822704078</c:v>
                </c:pt>
                <c:pt idx="24">
                  <c:v>26.507066498663168</c:v>
                </c:pt>
                <c:pt idx="25">
                  <c:v>27.179639341494333</c:v>
                </c:pt>
                <c:pt idx="26">
                  <c:v>23.247767429532203</c:v>
                </c:pt>
                <c:pt idx="27">
                  <c:v>20.989230580845959</c:v>
                </c:pt>
                <c:pt idx="28">
                  <c:v>22.874615876388031</c:v>
                </c:pt>
                <c:pt idx="29">
                  <c:v>21.047973119356396</c:v>
                </c:pt>
                <c:pt idx="30">
                  <c:v>21.664793595101369</c:v>
                </c:pt>
                <c:pt idx="31">
                  <c:v>23.679744826794714</c:v>
                </c:pt>
                <c:pt idx="32">
                  <c:v>23.863177413201321</c:v>
                </c:pt>
                <c:pt idx="33">
                  <c:v>16.702125840872505</c:v>
                </c:pt>
                <c:pt idx="34">
                  <c:v>20.845758761590009</c:v>
                </c:pt>
                <c:pt idx="35">
                  <c:v>37.110187788658969</c:v>
                </c:pt>
                <c:pt idx="36">
                  <c:v>31.149597507016786</c:v>
                </c:pt>
                <c:pt idx="37">
                  <c:v>30.414822599307094</c:v>
                </c:pt>
                <c:pt idx="38">
                  <c:v>28.505104977666729</c:v>
                </c:pt>
                <c:pt idx="39">
                  <c:v>32.526929990071245</c:v>
                </c:pt>
                <c:pt idx="40">
                  <c:v>44.79681070880055</c:v>
                </c:pt>
                <c:pt idx="41">
                  <c:v>52.409093814227901</c:v>
                </c:pt>
                <c:pt idx="42">
                  <c:v>53.368215314762409</c:v>
                </c:pt>
                <c:pt idx="43">
                  <c:v>65.9693863757646</c:v>
                </c:pt>
                <c:pt idx="44">
                  <c:v>44.624205311134489</c:v>
                </c:pt>
                <c:pt idx="45">
                  <c:v>58.759091609069415</c:v>
                </c:pt>
                <c:pt idx="46">
                  <c:v>74.822920841238272</c:v>
                </c:pt>
                <c:pt idx="47">
                  <c:v>80.043299801487763</c:v>
                </c:pt>
                <c:pt idx="48">
                  <c:v>74.310051542320878</c:v>
                </c:pt>
                <c:pt idx="49">
                  <c:v>67.822662981131259</c:v>
                </c:pt>
                <c:pt idx="50">
                  <c:v>41.745186567457054</c:v>
                </c:pt>
                <c:pt idx="51">
                  <c:v>34.372239432451721</c:v>
                </c:pt>
                <c:pt idx="52">
                  <c:v>42.870127537339307</c:v>
                </c:pt>
                <c:pt idx="53">
                  <c:v>54.119886829140071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9-4FED-8412-44A941B4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710064"/>
        <c:axId val="676714984"/>
      </c:lineChart>
      <c:catAx>
        <c:axId val="1621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105600"/>
        <c:crosses val="autoZero"/>
        <c:auto val="1"/>
        <c:lblAlgn val="ctr"/>
        <c:lblOffset val="100"/>
        <c:noMultiLvlLbl val="0"/>
      </c:catAx>
      <c:valAx>
        <c:axId val="16210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62104064"/>
        <c:crosses val="autoZero"/>
        <c:crossBetween val="between"/>
      </c:valAx>
      <c:valAx>
        <c:axId val="676714984"/>
        <c:scaling>
          <c:orientation val="minMax"/>
          <c:max val="95"/>
          <c:min val="-4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euros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676710064"/>
        <c:crosses val="max"/>
        <c:crossBetween val="between"/>
      </c:valAx>
      <c:catAx>
        <c:axId val="67671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6714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2750863875828465"/>
          <c:y val="4.1668021336042672E-2"/>
          <c:w val="0.18939783606185917"/>
          <c:h val="0.206986537973075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86708977431334E-2"/>
          <c:y val="3.5246187580982767E-2"/>
          <c:w val="0.84481321084864391"/>
          <c:h val="0.83600524934383647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Italy!$AZ$44:$AZ$97</c:f>
              <c:numCache>
                <c:formatCode>0.00</c:formatCode>
                <c:ptCount val="54"/>
                <c:pt idx="0">
                  <c:v>0.27543949825276393</c:v>
                </c:pt>
                <c:pt idx="1">
                  <c:v>0.27038602103950726</c:v>
                </c:pt>
                <c:pt idx="2">
                  <c:v>0.25817871494565303</c:v>
                </c:pt>
                <c:pt idx="3">
                  <c:v>0.2569552891152771</c:v>
                </c:pt>
                <c:pt idx="4">
                  <c:v>0.25110696992169446</c:v>
                </c:pt>
                <c:pt idx="5">
                  <c:v>0.25232988576550164</c:v>
                </c:pt>
                <c:pt idx="6">
                  <c:v>0.25200807455081131</c:v>
                </c:pt>
                <c:pt idx="7">
                  <c:v>0.24461895244493492</c:v>
                </c:pt>
                <c:pt idx="8">
                  <c:v>0.38375844871019538</c:v>
                </c:pt>
                <c:pt idx="9">
                  <c:v>0.53954664815730058</c:v>
                </c:pt>
                <c:pt idx="10">
                  <c:v>0.50495690884040589</c:v>
                </c:pt>
                <c:pt idx="11">
                  <c:v>0.58142678319168306</c:v>
                </c:pt>
                <c:pt idx="12">
                  <c:v>0.51744297617123514</c:v>
                </c:pt>
                <c:pt idx="13">
                  <c:v>0.45982178982814581</c:v>
                </c:pt>
                <c:pt idx="14">
                  <c:v>0.48664400972587907</c:v>
                </c:pt>
                <c:pt idx="15">
                  <c:v>0.61751591468435918</c:v>
                </c:pt>
                <c:pt idx="16">
                  <c:v>0.73313985095436407</c:v>
                </c:pt>
                <c:pt idx="17">
                  <c:v>0.66104238688543915</c:v>
                </c:pt>
                <c:pt idx="18">
                  <c:v>0.53585853520721205</c:v>
                </c:pt>
                <c:pt idx="19">
                  <c:v>0.5490958906395591</c:v>
                </c:pt>
                <c:pt idx="20">
                  <c:v>0.51517589541752185</c:v>
                </c:pt>
                <c:pt idx="21">
                  <c:v>0.38290842794511804</c:v>
                </c:pt>
                <c:pt idx="22">
                  <c:v>0.26628856543796964</c:v>
                </c:pt>
                <c:pt idx="23">
                  <c:v>0.27443648151574096</c:v>
                </c:pt>
                <c:pt idx="24">
                  <c:v>0.29036870777528034</c:v>
                </c:pt>
                <c:pt idx="25">
                  <c:v>0.2746455698051139</c:v>
                </c:pt>
                <c:pt idx="26">
                  <c:v>0.28072961816669573</c:v>
                </c:pt>
                <c:pt idx="27">
                  <c:v>0.27785608882641533</c:v>
                </c:pt>
                <c:pt idx="28">
                  <c:v>0.35356312799524225</c:v>
                </c:pt>
                <c:pt idx="29">
                  <c:v>0.49537184189268113</c:v>
                </c:pt>
                <c:pt idx="30">
                  <c:v>0.30266292656092997</c:v>
                </c:pt>
                <c:pt idx="31">
                  <c:v>0.30036409473119796</c:v>
                </c:pt>
                <c:pt idx="32">
                  <c:v>0.32357507243947869</c:v>
                </c:pt>
                <c:pt idx="33">
                  <c:v>0.28009353869624865</c:v>
                </c:pt>
                <c:pt idx="34">
                  <c:v>0.33415150214093381</c:v>
                </c:pt>
                <c:pt idx="35">
                  <c:v>0.47061057681950691</c:v>
                </c:pt>
                <c:pt idx="36">
                  <c:v>0.42611574853094336</c:v>
                </c:pt>
                <c:pt idx="37">
                  <c:v>0.38978614333621253</c:v>
                </c:pt>
                <c:pt idx="38">
                  <c:v>0.39109798817052421</c:v>
                </c:pt>
                <c:pt idx="39">
                  <c:v>0.4252539616222758</c:v>
                </c:pt>
                <c:pt idx="40">
                  <c:v>0.49757348394700973</c:v>
                </c:pt>
                <c:pt idx="41">
                  <c:v>0.54729982333654748</c:v>
                </c:pt>
                <c:pt idx="42">
                  <c:v>0.54869696663322121</c:v>
                </c:pt>
                <c:pt idx="43">
                  <c:v>0.60597475249428434</c:v>
                </c:pt>
                <c:pt idx="44">
                  <c:v>0.47153356697006643</c:v>
                </c:pt>
                <c:pt idx="45">
                  <c:v>0.5719426870748302</c:v>
                </c:pt>
                <c:pt idx="46">
                  <c:v>0.68688295259935983</c:v>
                </c:pt>
                <c:pt idx="47">
                  <c:v>0.71964532872806009</c:v>
                </c:pt>
                <c:pt idx="48">
                  <c:v>0.66933923053797861</c:v>
                </c:pt>
                <c:pt idx="49">
                  <c:v>0.62906955739047365</c:v>
                </c:pt>
                <c:pt idx="50">
                  <c:v>0.49544804320237856</c:v>
                </c:pt>
                <c:pt idx="51">
                  <c:v>0.42392722333194255</c:v>
                </c:pt>
                <c:pt idx="52">
                  <c:v>0.48245349631127232</c:v>
                </c:pt>
                <c:pt idx="53">
                  <c:v>0.53180081145506319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6-4A11-AE4E-20C22C387BC3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Italy!$BA$44:$BA$97</c:f>
              <c:numCache>
                <c:formatCode>0.00</c:formatCode>
                <c:ptCount val="54"/>
                <c:pt idx="0">
                  <c:v>0.26893233777606962</c:v>
                </c:pt>
                <c:pt idx="1">
                  <c:v>0.26601550287972098</c:v>
                </c:pt>
                <c:pt idx="2">
                  <c:v>0.2614900325078886</c:v>
                </c:pt>
                <c:pt idx="3">
                  <c:v>0.25992627562614917</c:v>
                </c:pt>
                <c:pt idx="4">
                  <c:v>0.25727474338952361</c:v>
                </c:pt>
                <c:pt idx="5">
                  <c:v>0.25308940369250565</c:v>
                </c:pt>
                <c:pt idx="6">
                  <c:v>0.25307447785213322</c:v>
                </c:pt>
                <c:pt idx="7">
                  <c:v>0.24122063231215379</c:v>
                </c:pt>
                <c:pt idx="8">
                  <c:v>0.39118854968318117</c:v>
                </c:pt>
                <c:pt idx="9">
                  <c:v>0.5394819462141176</c:v>
                </c:pt>
                <c:pt idx="10">
                  <c:v>0.50689330954923939</c:v>
                </c:pt>
                <c:pt idx="11">
                  <c:v>0.54458370458339844</c:v>
                </c:pt>
                <c:pt idx="12">
                  <c:v>0.5375541540678983</c:v>
                </c:pt>
                <c:pt idx="13">
                  <c:v>0.45633119840356107</c:v>
                </c:pt>
                <c:pt idx="14">
                  <c:v>0.5228803812370908</c:v>
                </c:pt>
                <c:pt idx="15">
                  <c:v>0.62872511337098858</c:v>
                </c:pt>
                <c:pt idx="16">
                  <c:v>0.71682643825325165</c:v>
                </c:pt>
                <c:pt idx="17">
                  <c:v>0.68232136259422971</c:v>
                </c:pt>
                <c:pt idx="18">
                  <c:v>0.53047261889172259</c:v>
                </c:pt>
                <c:pt idx="19">
                  <c:v>0.54190083333348715</c:v>
                </c:pt>
                <c:pt idx="20">
                  <c:v>0.51334619568395057</c:v>
                </c:pt>
                <c:pt idx="21">
                  <c:v>0.38290842794511809</c:v>
                </c:pt>
                <c:pt idx="22">
                  <c:v>0.29878073813678074</c:v>
                </c:pt>
                <c:pt idx="23">
                  <c:v>0.26448752385969876</c:v>
                </c:pt>
                <c:pt idx="24">
                  <c:v>0.29397051371890548</c:v>
                </c:pt>
                <c:pt idx="25">
                  <c:v>0.29812204641526985</c:v>
                </c:pt>
                <c:pt idx="26">
                  <c:v>0.27385211792437958</c:v>
                </c:pt>
                <c:pt idx="27">
                  <c:v>0.25991104124665509</c:v>
                </c:pt>
                <c:pt idx="28">
                  <c:v>0.33169039458233979</c:v>
                </c:pt>
                <c:pt idx="29">
                  <c:v>0.50084002524590665</c:v>
                </c:pt>
                <c:pt idx="30">
                  <c:v>0.30583838035461686</c:v>
                </c:pt>
                <c:pt idx="31">
                  <c:v>0.31827589698811887</c:v>
                </c:pt>
                <c:pt idx="32">
                  <c:v>0.3194081555801252</c:v>
                </c:pt>
                <c:pt idx="33">
                  <c:v>0.27520574678566723</c:v>
                </c:pt>
                <c:pt idx="34">
                  <c:v>0.34254014352823026</c:v>
                </c:pt>
                <c:pt idx="35">
                  <c:v>0.44293418948664398</c:v>
                </c:pt>
                <c:pt idx="36">
                  <c:v>0.40614176513049066</c:v>
                </c:pt>
                <c:pt idx="37">
                  <c:v>0.40160628308369239</c:v>
                </c:pt>
                <c:pt idx="38">
                  <c:v>0.38981833292845069</c:v>
                </c:pt>
                <c:pt idx="39">
                  <c:v>0.41464350720662824</c:v>
                </c:pt>
                <c:pt idx="40">
                  <c:v>0.49038074745836019</c:v>
                </c:pt>
                <c:pt idx="41">
                  <c:v>0.5373684344323586</c:v>
                </c:pt>
                <c:pt idx="42">
                  <c:v>0.54328872144914275</c:v>
                </c:pt>
                <c:pt idx="43">
                  <c:v>0.62107088917987618</c:v>
                </c:pt>
                <c:pt idx="44">
                  <c:v>0.48931532092558017</c:v>
                </c:pt>
                <c:pt idx="45">
                  <c:v>0.57656452114343515</c:v>
                </c:pt>
                <c:pt idx="46">
                  <c:v>0.67572034195450847</c:v>
                </c:pt>
                <c:pt idx="47">
                  <c:v>0.70794372737943612</c:v>
                </c:pt>
                <c:pt idx="48">
                  <c:v>0.6725545976249363</c:v>
                </c:pt>
                <c:pt idx="49">
                  <c:v>0.63251045071524747</c:v>
                </c:pt>
                <c:pt idx="50">
                  <c:v>0.47154424887707219</c:v>
                </c:pt>
                <c:pt idx="51">
                  <c:v>0.42603389051842566</c:v>
                </c:pt>
                <c:pt idx="52">
                  <c:v>0.47848807550897543</c:v>
                </c:pt>
                <c:pt idx="53">
                  <c:v>0.54792849973059776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6-4A11-AE4E-20C22C38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233728"/>
        <c:axId val="162251904"/>
      </c:lineChart>
      <c:catAx>
        <c:axId val="16223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1.1776161567590308E-2"/>
              <c:y val="0.331196982730099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62233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779629629630034"/>
          <c:y val="5.5292338457692804E-2"/>
          <c:w val="0.15682656097753667"/>
          <c:h val="0.1814788151481064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460336824094176E-2"/>
          <c:y val="4.2679217215111954E-2"/>
          <c:w val="0.84360002534894463"/>
          <c:h val="0.8317317704993778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Italy!$AW$44:$AW$97</c:f>
              <c:numCache>
                <c:formatCode>0.00</c:formatCode>
                <c:ptCount val="54"/>
                <c:pt idx="0">
                  <c:v>1.0844074734360782</c:v>
                </c:pt>
                <c:pt idx="1">
                  <c:v>1.1554958164081512</c:v>
                </c:pt>
                <c:pt idx="2">
                  <c:v>1.1128392885588494</c:v>
                </c:pt>
                <c:pt idx="3">
                  <c:v>1.0980995261336628</c:v>
                </c:pt>
                <c:pt idx="4">
                  <c:v>1.1625322681559929</c:v>
                </c:pt>
                <c:pt idx="5">
                  <c:v>1.2939994141820608</c:v>
                </c:pt>
                <c:pt idx="6">
                  <c:v>1.2923491002605714</c:v>
                </c:pt>
                <c:pt idx="7">
                  <c:v>1.2544561663842817</c:v>
                </c:pt>
                <c:pt idx="8">
                  <c:v>1.3008760973226958</c:v>
                </c:pt>
                <c:pt idx="9">
                  <c:v>1.6966875728217004</c:v>
                </c:pt>
                <c:pt idx="10">
                  <c:v>1.4721775767941865</c:v>
                </c:pt>
                <c:pt idx="11">
                  <c:v>2.0049199420402863</c:v>
                </c:pt>
                <c:pt idx="12">
                  <c:v>1.8155893900745088</c:v>
                </c:pt>
                <c:pt idx="13">
                  <c:v>1.6134097888706869</c:v>
                </c:pt>
                <c:pt idx="14">
                  <c:v>1.5207625303933725</c:v>
                </c:pt>
                <c:pt idx="15">
                  <c:v>1.6250418807483138</c:v>
                </c:pt>
                <c:pt idx="16">
                  <c:v>1.7455710737008663</c:v>
                </c:pt>
                <c:pt idx="17">
                  <c:v>1.7395852286458922</c:v>
                </c:pt>
                <c:pt idx="18">
                  <c:v>1.7285759200232644</c:v>
                </c:pt>
                <c:pt idx="19">
                  <c:v>1.7159246582486223</c:v>
                </c:pt>
                <c:pt idx="20">
                  <c:v>1.6099246731797558</c:v>
                </c:pt>
                <c:pt idx="21">
                  <c:v>1.4727247228658391</c:v>
                </c:pt>
                <c:pt idx="22">
                  <c:v>1.4240030237324572</c:v>
                </c:pt>
                <c:pt idx="23">
                  <c:v>1.4219506814287097</c:v>
                </c:pt>
                <c:pt idx="24">
                  <c:v>1.3537002693486264</c:v>
                </c:pt>
                <c:pt idx="25">
                  <c:v>1.1637524144284495</c:v>
                </c:pt>
                <c:pt idx="26">
                  <c:v>1.1845131568215019</c:v>
                </c:pt>
                <c:pt idx="27">
                  <c:v>1.1674625580941822</c:v>
                </c:pt>
                <c:pt idx="28">
                  <c:v>1.4793436317792568</c:v>
                </c:pt>
                <c:pt idx="29">
                  <c:v>1.5722299020335402</c:v>
                </c:pt>
                <c:pt idx="30">
                  <c:v>1.2610955273372082</c:v>
                </c:pt>
                <c:pt idx="31">
                  <c:v>1.2515170613799909</c:v>
                </c:pt>
                <c:pt idx="32">
                  <c:v>1.2445195093826107</c:v>
                </c:pt>
                <c:pt idx="33">
                  <c:v>1.1868370283739347</c:v>
                </c:pt>
                <c:pt idx="34">
                  <c:v>1.2165219288844846</c:v>
                </c:pt>
                <c:pt idx="35">
                  <c:v>1.3393506806719273</c:v>
                </c:pt>
                <c:pt idx="36">
                  <c:v>1.269306600291608</c:v>
                </c:pt>
                <c:pt idx="37">
                  <c:v>1.2328849443149417</c:v>
                </c:pt>
                <c:pt idx="38">
                  <c:v>1.2145425804514332</c:v>
                </c:pt>
                <c:pt idx="39">
                  <c:v>1.2623092112126961</c:v>
                </c:pt>
                <c:pt idx="40">
                  <c:v>1.3410491621040106</c:v>
                </c:pt>
                <c:pt idx="41">
                  <c:v>1.3854842842523587</c:v>
                </c:pt>
                <c:pt idx="42">
                  <c:v>1.3740666960101278</c:v>
                </c:pt>
                <c:pt idx="43">
                  <c:v>1.4196180188913363</c:v>
                </c:pt>
                <c:pt idx="44">
                  <c:v>1.2529649726520795</c:v>
                </c:pt>
                <c:pt idx="45">
                  <c:v>1.3631312244897962</c:v>
                </c:pt>
                <c:pt idx="46">
                  <c:v>1.5098641066124445</c:v>
                </c:pt>
                <c:pt idx="47">
                  <c:v>1.6891247324137788</c:v>
                </c:pt>
                <c:pt idx="48">
                  <c:v>1.6319409661137576</c:v>
                </c:pt>
                <c:pt idx="49">
                  <c:v>1.5977132558810399</c:v>
                </c:pt>
                <c:pt idx="50">
                  <c:v>1.4309671088169709</c:v>
                </c:pt>
                <c:pt idx="51">
                  <c:v>1.3447323352057097</c:v>
                </c:pt>
                <c:pt idx="52">
                  <c:v>1.4060793098944375</c:v>
                </c:pt>
                <c:pt idx="53">
                  <c:v>1.4581089832379086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B-44F5-968D-01262D6AEAC8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Italy!$AX$44:$AX$97</c:f>
              <c:numCache>
                <c:formatCode>0.00</c:formatCode>
                <c:ptCount val="54"/>
                <c:pt idx="0">
                  <c:v>1.0779003129593838</c:v>
                </c:pt>
                <c:pt idx="1">
                  <c:v>1.1511252982483651</c:v>
                </c:pt>
                <c:pt idx="2">
                  <c:v>1.1161506061210851</c:v>
                </c:pt>
                <c:pt idx="3">
                  <c:v>1.1010705126445348</c:v>
                </c:pt>
                <c:pt idx="4">
                  <c:v>1.168700041623822</c:v>
                </c:pt>
                <c:pt idx="5">
                  <c:v>1.2947589321090649</c:v>
                </c:pt>
                <c:pt idx="6">
                  <c:v>1.2934155035618933</c:v>
                </c:pt>
                <c:pt idx="7">
                  <c:v>1.2510578462515005</c:v>
                </c:pt>
                <c:pt idx="8">
                  <c:v>1.3083061982956816</c:v>
                </c:pt>
                <c:pt idx="9">
                  <c:v>1.6966228708785174</c:v>
                </c:pt>
                <c:pt idx="10">
                  <c:v>1.4741139775030199</c:v>
                </c:pt>
                <c:pt idx="11">
                  <c:v>1.9680768634320018</c:v>
                </c:pt>
                <c:pt idx="12">
                  <c:v>1.835700567971172</c:v>
                </c:pt>
                <c:pt idx="13">
                  <c:v>1.6099191974461022</c:v>
                </c:pt>
                <c:pt idx="14">
                  <c:v>1.5569989019045842</c:v>
                </c:pt>
                <c:pt idx="15">
                  <c:v>1.6362510794349432</c:v>
                </c:pt>
                <c:pt idx="16">
                  <c:v>1.7292576609997539</c:v>
                </c:pt>
                <c:pt idx="17">
                  <c:v>1.7608642043546827</c:v>
                </c:pt>
                <c:pt idx="18">
                  <c:v>1.723190003707775</c:v>
                </c:pt>
                <c:pt idx="19">
                  <c:v>1.7087296009425503</c:v>
                </c:pt>
                <c:pt idx="20">
                  <c:v>1.6080949734461845</c:v>
                </c:pt>
                <c:pt idx="21">
                  <c:v>1.4727247228658391</c:v>
                </c:pt>
                <c:pt idx="22">
                  <c:v>1.4564951964312685</c:v>
                </c:pt>
                <c:pt idx="23">
                  <c:v>1.4120017237726676</c:v>
                </c:pt>
                <c:pt idx="24">
                  <c:v>1.3573020752922516</c:v>
                </c:pt>
                <c:pt idx="25">
                  <c:v>1.1872288910386053</c:v>
                </c:pt>
                <c:pt idx="26">
                  <c:v>1.1776356565791857</c:v>
                </c:pt>
                <c:pt idx="27">
                  <c:v>1.149517510514422</c:v>
                </c:pt>
                <c:pt idx="28">
                  <c:v>1.4574708983663542</c:v>
                </c:pt>
                <c:pt idx="29">
                  <c:v>1.5776980853867657</c:v>
                </c:pt>
                <c:pt idx="30">
                  <c:v>1.264270981130895</c:v>
                </c:pt>
                <c:pt idx="31">
                  <c:v>1.2694288636369118</c:v>
                </c:pt>
                <c:pt idx="32">
                  <c:v>1.2403525925232572</c:v>
                </c:pt>
                <c:pt idx="33">
                  <c:v>1.1819492364633533</c:v>
                </c:pt>
                <c:pt idx="34">
                  <c:v>1.2249105702717811</c:v>
                </c:pt>
                <c:pt idx="35">
                  <c:v>1.3116742933390644</c:v>
                </c:pt>
                <c:pt idx="36">
                  <c:v>1.2493326168911554</c:v>
                </c:pt>
                <c:pt idx="37">
                  <c:v>1.2447050840624216</c:v>
                </c:pt>
                <c:pt idx="38">
                  <c:v>1.2132629252093596</c:v>
                </c:pt>
                <c:pt idx="39">
                  <c:v>1.2516987567970486</c:v>
                </c:pt>
                <c:pt idx="40">
                  <c:v>1.3338564256153611</c:v>
                </c:pt>
                <c:pt idx="41">
                  <c:v>1.3755528953481697</c:v>
                </c:pt>
                <c:pt idx="42">
                  <c:v>1.3686584508260493</c:v>
                </c:pt>
                <c:pt idx="43">
                  <c:v>1.4347141555769283</c:v>
                </c:pt>
                <c:pt idx="44">
                  <c:v>1.2707467266075931</c:v>
                </c:pt>
                <c:pt idx="45">
                  <c:v>1.3677530585584012</c:v>
                </c:pt>
                <c:pt idx="46">
                  <c:v>1.4987014959675933</c:v>
                </c:pt>
                <c:pt idx="47">
                  <c:v>1.6774231310651548</c:v>
                </c:pt>
                <c:pt idx="48">
                  <c:v>1.6351563332007153</c:v>
                </c:pt>
                <c:pt idx="49">
                  <c:v>1.6011541492058137</c:v>
                </c:pt>
                <c:pt idx="50">
                  <c:v>1.4070633144916644</c:v>
                </c:pt>
                <c:pt idx="51">
                  <c:v>1.3468390023921928</c:v>
                </c:pt>
                <c:pt idx="52">
                  <c:v>1.4021138890921407</c:v>
                </c:pt>
                <c:pt idx="53">
                  <c:v>1.4742366715134432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B-44F5-968D-01262D6AE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444800"/>
        <c:axId val="162446336"/>
      </c:lineChart>
      <c:catAx>
        <c:axId val="1624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446336"/>
        <c:crosses val="autoZero"/>
        <c:auto val="1"/>
        <c:lblAlgn val="ctr"/>
        <c:lblOffset val="100"/>
        <c:noMultiLvlLbl val="0"/>
      </c:catAx>
      <c:valAx>
        <c:axId val="1624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Euros per litre</a:t>
                </a:r>
              </a:p>
            </c:rich>
          </c:tx>
          <c:layout>
            <c:manualLayout>
              <c:xMode val="edge"/>
              <c:yMode val="edge"/>
              <c:x val="8.9774101271048994E-3"/>
              <c:y val="0.3312475256235428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244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301073729420192"/>
          <c:y val="0.59255465622663084"/>
          <c:w val="0.15656956897728827"/>
          <c:h val="0.227643293889939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02537182852145"/>
          <c:y val="5.0925925925925923E-2"/>
          <c:w val="0.83741907261592308"/>
          <c:h val="0.79477617381160692"/>
        </c:manualLayout>
      </c:layout>
      <c:lineChart>
        <c:grouping val="standard"/>
        <c:varyColors val="0"/>
        <c:ser>
          <c:idx val="0"/>
          <c:order val="0"/>
          <c:tx>
            <c:strRef>
              <c:f>Italy!$Y$121</c:f>
              <c:strCache>
                <c:ptCount val="1"/>
                <c:pt idx="0">
                  <c:v>  actual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Italy!$A$122:$A$142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Italy!$Y$122:$Y$142</c:f>
              <c:numCache>
                <c:formatCode>0</c:formatCode>
                <c:ptCount val="21"/>
                <c:pt idx="0">
                  <c:v>149.59356075547836</c:v>
                </c:pt>
                <c:pt idx="1">
                  <c:v>165.69640831871027</c:v>
                </c:pt>
                <c:pt idx="2">
                  <c:v>185.36893495085016</c:v>
                </c:pt>
                <c:pt idx="3">
                  <c:v>179.09343992546766</c:v>
                </c:pt>
                <c:pt idx="4">
                  <c:v>175.33720211194722</c:v>
                </c:pt>
                <c:pt idx="5">
                  <c:v>157.03804687771287</c:v>
                </c:pt>
                <c:pt idx="6">
                  <c:v>147.57441886179717</c:v>
                </c:pt>
                <c:pt idx="7">
                  <c:v>154.306795188</c:v>
                </c:pt>
                <c:pt idx="8">
                  <c:v>160.01666666666665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0-4349-9BCB-E6E219539552}"/>
            </c:ext>
          </c:extLst>
        </c:ser>
        <c:ser>
          <c:idx val="1"/>
          <c:order val="1"/>
          <c:tx>
            <c:strRef>
              <c:f>Italy!$Z$121</c:f>
              <c:strCache>
                <c:ptCount val="1"/>
                <c:pt idx="0">
                  <c:v>  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Italy!$A$122:$A$142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Italy!$Z$122:$Z$142</c:f>
              <c:numCache>
                <c:formatCode>0</c:formatCode>
                <c:ptCount val="21"/>
                <c:pt idx="0">
                  <c:v>150.20221524431</c:v>
                </c:pt>
                <c:pt idx="1">
                  <c:v>164.2263916596917</c:v>
                </c:pt>
                <c:pt idx="2">
                  <c:v>183.81509636304014</c:v>
                </c:pt>
                <c:pt idx="3">
                  <c:v>179.52040383449506</c:v>
                </c:pt>
                <c:pt idx="4">
                  <c:v>175.79788944708389</c:v>
                </c:pt>
                <c:pt idx="5">
                  <c:v>153.83766422472678</c:v>
                </c:pt>
                <c:pt idx="6">
                  <c:v>147.85647203827122</c:v>
                </c:pt>
                <c:pt idx="7">
                  <c:v>153.775880983554</c:v>
                </c:pt>
                <c:pt idx="8">
                  <c:v>162.17593783037242</c:v>
                </c:pt>
                <c:pt idx="9">
                  <c:v>185.34629543703994</c:v>
                </c:pt>
                <c:pt idx="10">
                  <c:v>196.33905605633211</c:v>
                </c:pt>
                <c:pt idx="11">
                  <c:v>207.97844965322963</c:v>
                </c:pt>
                <c:pt idx="12">
                  <c:v>213.151513474073</c:v>
                </c:pt>
                <c:pt idx="13">
                  <c:v>217.03131133970555</c:v>
                </c:pt>
                <c:pt idx="14">
                  <c:v>220.26447622773264</c:v>
                </c:pt>
                <c:pt idx="15">
                  <c:v>223.49764111575973</c:v>
                </c:pt>
                <c:pt idx="16">
                  <c:v>226.73080600378682</c:v>
                </c:pt>
                <c:pt idx="17">
                  <c:v>229.96397089181391</c:v>
                </c:pt>
                <c:pt idx="18">
                  <c:v>232.55050280223557</c:v>
                </c:pt>
                <c:pt idx="19">
                  <c:v>235.78366769026272</c:v>
                </c:pt>
                <c:pt idx="20">
                  <c:v>237.72356662307899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0-4349-9BCB-E6E219539552}"/>
            </c:ext>
          </c:extLst>
        </c:ser>
        <c:ser>
          <c:idx val="3"/>
          <c:order val="2"/>
          <c:tx>
            <c:strRef>
              <c:f>Italy!$AB$121</c:f>
              <c:strCache>
                <c:ptCount val="1"/>
                <c:pt idx="0">
                  <c:v>  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Italy!$A$122:$A$142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Italy!$AB$122:$AB$142</c:f>
              <c:numCache>
                <c:formatCode>0</c:formatCode>
                <c:ptCount val="21"/>
                <c:pt idx="0">
                  <c:v>150.20221524431</c:v>
                </c:pt>
                <c:pt idx="1">
                  <c:v>164.2263916596917</c:v>
                </c:pt>
                <c:pt idx="2">
                  <c:v>183.81509636304014</c:v>
                </c:pt>
                <c:pt idx="3">
                  <c:v>179.52040383449506</c:v>
                </c:pt>
                <c:pt idx="4">
                  <c:v>175.79788944708389</c:v>
                </c:pt>
                <c:pt idx="5">
                  <c:v>153.83766422472678</c:v>
                </c:pt>
                <c:pt idx="6">
                  <c:v>147.85647203827122</c:v>
                </c:pt>
                <c:pt idx="7">
                  <c:v>153.775880983554</c:v>
                </c:pt>
                <c:pt idx="8">
                  <c:v>162.17593783037242</c:v>
                </c:pt>
                <c:pt idx="9">
                  <c:v>136.84882211663347</c:v>
                </c:pt>
                <c:pt idx="10">
                  <c:v>137.49545509423888</c:v>
                </c:pt>
                <c:pt idx="11">
                  <c:v>138.78872104944975</c:v>
                </c:pt>
                <c:pt idx="12">
                  <c:v>139.43535402705515</c:v>
                </c:pt>
                <c:pt idx="13">
                  <c:v>139.43535402705515</c:v>
                </c:pt>
                <c:pt idx="14">
                  <c:v>139.43535402705515</c:v>
                </c:pt>
                <c:pt idx="15">
                  <c:v>140.08198700466059</c:v>
                </c:pt>
                <c:pt idx="16">
                  <c:v>140.72861998226597</c:v>
                </c:pt>
                <c:pt idx="17">
                  <c:v>141.3752529598714</c:v>
                </c:pt>
                <c:pt idx="18">
                  <c:v>141.3752529598714</c:v>
                </c:pt>
                <c:pt idx="19">
                  <c:v>141.3752529598714</c:v>
                </c:pt>
                <c:pt idx="20">
                  <c:v>142.02188593747687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B0-4349-9BCB-E6E219539552}"/>
            </c:ext>
          </c:extLst>
        </c:ser>
        <c:ser>
          <c:idx val="2"/>
          <c:order val="3"/>
          <c:tx>
            <c:strRef>
              <c:f>Italy!$AA$121</c:f>
              <c:strCache>
                <c:ptCount val="1"/>
                <c:pt idx="0">
                  <c:v>  medium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Italy!$A$122:$A$142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Italy!$AA$122:$AA$142</c:f>
              <c:numCache>
                <c:formatCode>0</c:formatCode>
                <c:ptCount val="21"/>
                <c:pt idx="0">
                  <c:v>150.20221524431</c:v>
                </c:pt>
                <c:pt idx="1">
                  <c:v>164.2263916596917</c:v>
                </c:pt>
                <c:pt idx="2">
                  <c:v>183.81509636304014</c:v>
                </c:pt>
                <c:pt idx="3">
                  <c:v>179.52040383449506</c:v>
                </c:pt>
                <c:pt idx="4">
                  <c:v>175.79788944708389</c:v>
                </c:pt>
                <c:pt idx="5">
                  <c:v>153.83766422472678</c:v>
                </c:pt>
                <c:pt idx="6">
                  <c:v>147.85647203827122</c:v>
                </c:pt>
                <c:pt idx="7">
                  <c:v>153.775880983554</c:v>
                </c:pt>
                <c:pt idx="8">
                  <c:v>162.17593783037242</c:v>
                </c:pt>
                <c:pt idx="9">
                  <c:v>159.4261203245762</c:v>
                </c:pt>
                <c:pt idx="10">
                  <c:v>159.599843861398</c:v>
                </c:pt>
                <c:pt idx="11">
                  <c:v>164.71813741361211</c:v>
                </c:pt>
                <c:pt idx="12">
                  <c:v>168.52905889841233</c:v>
                </c:pt>
                <c:pt idx="13">
                  <c:v>170.28271643038227</c:v>
                </c:pt>
                <c:pt idx="14">
                  <c:v>170.74636154550473</c:v>
                </c:pt>
                <c:pt idx="15">
                  <c:v>173.17234883585252</c:v>
                </c:pt>
                <c:pt idx="16">
                  <c:v>177.43630416399034</c:v>
                </c:pt>
                <c:pt idx="17">
                  <c:v>179.63383884945407</c:v>
                </c:pt>
                <c:pt idx="18">
                  <c:v>181.02493313362933</c:v>
                </c:pt>
                <c:pt idx="19">
                  <c:v>182.91046862726435</c:v>
                </c:pt>
                <c:pt idx="20">
                  <c:v>184.352203840024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0-4349-9BCB-E6E219539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573272"/>
        <c:axId val="1199578192"/>
      </c:lineChart>
      <c:catAx>
        <c:axId val="119957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78192"/>
        <c:crosses val="autoZero"/>
        <c:auto val="1"/>
        <c:lblAlgn val="ctr"/>
        <c:lblOffset val="100"/>
        <c:noMultiLvlLbl val="0"/>
      </c:catAx>
      <c:valAx>
        <c:axId val="119957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2018 Euro cents per litre</a:t>
                </a:r>
              </a:p>
            </c:rich>
          </c:tx>
          <c:layout>
            <c:manualLayout>
              <c:xMode val="edge"/>
              <c:yMode val="edge"/>
              <c:x val="1.3319335083114611E-2"/>
              <c:y val="0.20281605424321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57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90151707576146"/>
          <c:y val="0.43113371245261006"/>
          <c:w val="0.26857436570428694"/>
          <c:h val="0.34201443569553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460336824094176E-2"/>
          <c:y val="4.2679217215111954E-2"/>
          <c:w val="0.84360002534894463"/>
          <c:h val="0.83173177049937785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Italy!$BI$44:$BI$97</c:f>
              <c:numCache>
                <c:formatCode>0.00</c:formatCode>
                <c:ptCount val="54"/>
                <c:pt idx="0">
                  <c:v>1.190056924430529</c:v>
                </c:pt>
                <c:pt idx="1">
                  <c:v>1.2680711182391946</c:v>
                </c:pt>
                <c:pt idx="2">
                  <c:v>1.2212587367472318</c:v>
                </c:pt>
                <c:pt idx="3">
                  <c:v>1.2050829386563418</c:v>
                </c:pt>
                <c:pt idx="4">
                  <c:v>1.2757931031305445</c:v>
                </c:pt>
                <c:pt idx="5">
                  <c:v>1.420068563504955</c:v>
                </c:pt>
                <c:pt idx="6">
                  <c:v>1.4182574661473084</c:v>
                </c:pt>
                <c:pt idx="7">
                  <c:v>1.3766727763963436</c:v>
                </c:pt>
                <c:pt idx="8">
                  <c:v>1.4276152141774154</c:v>
                </c:pt>
                <c:pt idx="9">
                  <c:v>1.8619890069862317</c:v>
                </c:pt>
                <c:pt idx="10">
                  <c:v>1.6156059066099298</c:v>
                </c:pt>
                <c:pt idx="11">
                  <c:v>2.2002512140511739</c:v>
                </c:pt>
                <c:pt idx="12">
                  <c:v>1.9924749492314637</c:v>
                </c:pt>
                <c:pt idx="13">
                  <c:v>1.7705978040760322</c:v>
                </c:pt>
                <c:pt idx="14">
                  <c:v>1.6689242964866069</c:v>
                </c:pt>
                <c:pt idx="15">
                  <c:v>1.783363163798904</c:v>
                </c:pt>
                <c:pt idx="16">
                  <c:v>1.9156350304015124</c:v>
                </c:pt>
                <c:pt idx="17">
                  <c:v>1.909066008580159</c:v>
                </c:pt>
                <c:pt idx="18">
                  <c:v>1.8969841073755902</c:v>
                </c:pt>
                <c:pt idx="19">
                  <c:v>1.8831002841389335</c:v>
                </c:pt>
                <c:pt idx="20">
                  <c:v>1.766773147605073</c:v>
                </c:pt>
                <c:pt idx="21">
                  <c:v>1.6162063589188591</c:v>
                </c:pt>
                <c:pt idx="22">
                  <c:v>1.5627379009415454</c:v>
                </c:pt>
                <c:pt idx="23">
                  <c:v>1.5604856071961533</c:v>
                </c:pt>
                <c:pt idx="24">
                  <c:v>1.485585832452091</c:v>
                </c:pt>
                <c:pt idx="25">
                  <c:v>1.2771321233382844</c:v>
                </c:pt>
                <c:pt idx="26">
                  <c:v>1.2999155012164219</c:v>
                </c:pt>
                <c:pt idx="27">
                  <c:v>1.2812037313529792</c:v>
                </c:pt>
                <c:pt idx="28">
                  <c:v>1.623470121459732</c:v>
                </c:pt>
                <c:pt idx="29">
                  <c:v>1.7254059267805641</c:v>
                </c:pt>
                <c:pt idx="30">
                  <c:v>1.3839589835365322</c:v>
                </c:pt>
                <c:pt idx="31">
                  <c:v>1.3734473262333142</c:v>
                </c:pt>
                <c:pt idx="32">
                  <c:v>1.3657680309383837</c:v>
                </c:pt>
                <c:pt idx="33">
                  <c:v>1.302465778211191</c:v>
                </c:pt>
                <c:pt idx="34">
                  <c:v>1.3350427589762481</c:v>
                </c:pt>
                <c:pt idx="35">
                  <c:v>1.4698382211659702</c:v>
                </c:pt>
                <c:pt idx="36">
                  <c:v>1.3929700282459763</c:v>
                </c:pt>
                <c:pt idx="37">
                  <c:v>1.3529999570725288</c:v>
                </c:pt>
                <c:pt idx="38">
                  <c:v>1.3328705706002772</c:v>
                </c:pt>
                <c:pt idx="39">
                  <c:v>1.3852909117420042</c:v>
                </c:pt>
                <c:pt idx="40">
                  <c:v>1.4717021788006983</c:v>
                </c:pt>
                <c:pt idx="41">
                  <c:v>1.520466435868201</c:v>
                </c:pt>
                <c:pt idx="42">
                  <c:v>1.5079364780056739</c:v>
                </c:pt>
                <c:pt idx="43">
                  <c:v>1.5579256827462</c:v>
                </c:pt>
                <c:pt idx="44">
                  <c:v>1.3750363016669214</c:v>
                </c:pt>
                <c:pt idx="45">
                  <c:v>1.4959356075547836</c:v>
                </c:pt>
                <c:pt idx="46">
                  <c:v>1.6569640831871026</c:v>
                </c:pt>
                <c:pt idx="47">
                  <c:v>1.8536893495085016</c:v>
                </c:pt>
                <c:pt idx="48">
                  <c:v>1.7909343992546767</c:v>
                </c:pt>
                <c:pt idx="49">
                  <c:v>1.7533720211194721</c:v>
                </c:pt>
                <c:pt idx="50">
                  <c:v>1.5703804687771288</c:v>
                </c:pt>
                <c:pt idx="51">
                  <c:v>1.4757441886179716</c:v>
                </c:pt>
                <c:pt idx="52">
                  <c:v>1.5430679518799999</c:v>
                </c:pt>
                <c:pt idx="53">
                  <c:v>1.6001666666666665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A-4BD3-9D76-B5A333F85F3A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Italy!$A$44:$A$97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Italy!$BJ$44:$BJ$97</c:f>
              <c:numCache>
                <c:formatCode>0.00</c:formatCode>
                <c:ptCount val="54"/>
                <c:pt idx="0">
                  <c:v>1.182915797526328</c:v>
                </c:pt>
                <c:pt idx="1">
                  <c:v>1.263274798104179</c:v>
                </c:pt>
                <c:pt idx="2">
                  <c:v>1.2248926626380601</c:v>
                </c:pt>
                <c:pt idx="3">
                  <c:v>1.2083433764126861</c:v>
                </c:pt>
                <c:pt idx="4">
                  <c:v>1.2825617779170166</c:v>
                </c:pt>
                <c:pt idx="5">
                  <c:v>1.4209020782034441</c:v>
                </c:pt>
                <c:pt idx="6">
                  <c:v>1.4194277648256755</c:v>
                </c:pt>
                <c:pt idx="7">
                  <c:v>1.3729433716250603</c:v>
                </c:pt>
                <c:pt idx="8">
                  <c:v>1.4357691999518789</c:v>
                </c:pt>
                <c:pt idx="9">
                  <c:v>1.8619180013934125</c:v>
                </c:pt>
                <c:pt idx="10">
                  <c:v>1.6177309630379506</c:v>
                </c:pt>
                <c:pt idx="11">
                  <c:v>2.159818662737047</c:v>
                </c:pt>
                <c:pt idx="12">
                  <c:v>2.0145454781614629</c:v>
                </c:pt>
                <c:pt idx="13">
                  <c:v>1.7667671383927515</c:v>
                </c:pt>
                <c:pt idx="14">
                  <c:v>1.7086910316756525</c:v>
                </c:pt>
                <c:pt idx="15">
                  <c:v>1.7956644295510416</c:v>
                </c:pt>
                <c:pt idx="16">
                  <c:v>1.8977322676286439</c:v>
                </c:pt>
                <c:pt idx="17">
                  <c:v>1.9324181091579942</c:v>
                </c:pt>
                <c:pt idx="18">
                  <c:v>1.8910734629336607</c:v>
                </c:pt>
                <c:pt idx="19">
                  <c:v>1.8752042413888461</c:v>
                </c:pt>
                <c:pt idx="20">
                  <c:v>1.7647651875984292</c:v>
                </c:pt>
                <c:pt idx="21">
                  <c:v>1.6162063589188591</c:v>
                </c:pt>
                <c:pt idx="22">
                  <c:v>1.5983956551134988</c:v>
                </c:pt>
                <c:pt idx="23">
                  <c:v>1.5495673626806272</c:v>
                </c:pt>
                <c:pt idx="24">
                  <c:v>1.4895385478369123</c:v>
                </c:pt>
                <c:pt idx="25">
                  <c:v>1.3028958184764423</c:v>
                </c:pt>
                <c:pt idx="26">
                  <c:v>1.2923679538353556</c:v>
                </c:pt>
                <c:pt idx="27">
                  <c:v>1.2615103700891905</c:v>
                </c:pt>
                <c:pt idx="28">
                  <c:v>1.5994664157569587</c:v>
                </c:pt>
                <c:pt idx="29">
                  <c:v>1.7314068532062574</c:v>
                </c:pt>
                <c:pt idx="30">
                  <c:v>1.3874438089992451</c:v>
                </c:pt>
                <c:pt idx="31">
                  <c:v>1.3931042032164067</c:v>
                </c:pt>
                <c:pt idx="32">
                  <c:v>1.3611951481581803</c:v>
                </c:pt>
                <c:pt idx="33">
                  <c:v>1.297101788427967</c:v>
                </c:pt>
                <c:pt idx="34">
                  <c:v>1.344248671895572</c:v>
                </c:pt>
                <c:pt idx="35">
                  <c:v>1.4394654349250826</c:v>
                </c:pt>
                <c:pt idx="36">
                  <c:v>1.3710500601191888</c:v>
                </c:pt>
                <c:pt idx="37">
                  <c:v>1.3659716854115573</c:v>
                </c:pt>
                <c:pt idx="38">
                  <c:v>1.3314662437037759</c:v>
                </c:pt>
                <c:pt idx="39">
                  <c:v>1.3736467235027943</c:v>
                </c:pt>
                <c:pt idx="40">
                  <c:v>1.4638086829759243</c:v>
                </c:pt>
                <c:pt idx="41">
                  <c:v>1.5095674717572354</c:v>
                </c:pt>
                <c:pt idx="42">
                  <c:v>1.5020013292834531</c:v>
                </c:pt>
                <c:pt idx="43">
                  <c:v>1.5744925752058339</c:v>
                </c:pt>
                <c:pt idx="44">
                  <c:v>1.394550460266573</c:v>
                </c:pt>
                <c:pt idx="45">
                  <c:v>1.5010077282950476</c:v>
                </c:pt>
                <c:pt idx="46">
                  <c:v>1.6447139443619483</c:v>
                </c:pt>
                <c:pt idx="47">
                  <c:v>1.8408477082869315</c:v>
                </c:pt>
                <c:pt idx="48">
                  <c:v>1.7944630266020107</c:v>
                </c:pt>
                <c:pt idx="49">
                  <c:v>1.757148146817314</c:v>
                </c:pt>
                <c:pt idx="50">
                  <c:v>1.5441478240805215</c:v>
                </c:pt>
                <c:pt idx="51">
                  <c:v>1.4780560999005459</c:v>
                </c:pt>
                <c:pt idx="52">
                  <c:v>1.5387161961058526</c:v>
                </c:pt>
                <c:pt idx="53">
                  <c:v>1.6178656106314679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A-4BD3-9D76-B5A333F85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444800"/>
        <c:axId val="162446336"/>
      </c:lineChart>
      <c:catAx>
        <c:axId val="1624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446336"/>
        <c:crosses val="autoZero"/>
        <c:auto val="1"/>
        <c:lblAlgn val="ctr"/>
        <c:lblOffset val="100"/>
        <c:noMultiLvlLbl val="0"/>
      </c:catAx>
      <c:valAx>
        <c:axId val="1624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2018 Euros per litre</a:t>
                </a:r>
              </a:p>
            </c:rich>
          </c:tx>
          <c:layout>
            <c:manualLayout>
              <c:xMode val="edge"/>
              <c:yMode val="edge"/>
              <c:x val="8.9774101271048994E-3"/>
              <c:y val="0.3312475256235428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244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301073729420192"/>
          <c:y val="0.59255465622663084"/>
          <c:w val="0.15656956897728827"/>
          <c:h val="0.227643293889939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455337920743E-2"/>
          <c:y val="3.6885447458602914E-2"/>
          <c:w val="0.83061968353382643"/>
          <c:h val="0.82837758652261451"/>
        </c:manualLayout>
      </c:layout>
      <c:lineChart>
        <c:grouping val="standard"/>
        <c:varyColors val="0"/>
        <c:ser>
          <c:idx val="0"/>
          <c:order val="0"/>
          <c:tx>
            <c:v> actual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Japan!$AV$44:$AV$97</c:f>
              <c:numCache>
                <c:formatCode>0.0</c:formatCode>
                <c:ptCount val="54"/>
                <c:pt idx="0">
                  <c:v>197.17427234024217</c:v>
                </c:pt>
                <c:pt idx="1">
                  <c:v>184.41559968349625</c:v>
                </c:pt>
                <c:pt idx="2">
                  <c:v>177.04642329538979</c:v>
                </c:pt>
                <c:pt idx="3">
                  <c:v>164.8820507120341</c:v>
                </c:pt>
                <c:pt idx="4">
                  <c:v>156.70155964263597</c:v>
                </c:pt>
                <c:pt idx="5">
                  <c:v>153.23483028017461</c:v>
                </c:pt>
                <c:pt idx="6">
                  <c:v>171.11621541314622</c:v>
                </c:pt>
                <c:pt idx="7">
                  <c:v>143.81076686971821</c:v>
                </c:pt>
                <c:pt idx="8">
                  <c:v>120.27797474780544</c:v>
                </c:pt>
                <c:pt idx="9">
                  <c:v>213.42764090584322</c:v>
                </c:pt>
                <c:pt idx="10">
                  <c:v>173.72070822482092</c:v>
                </c:pt>
                <c:pt idx="11">
                  <c:v>196.60922304748271</c:v>
                </c:pt>
                <c:pt idx="12">
                  <c:v>186.43079370775538</c:v>
                </c:pt>
                <c:pt idx="13">
                  <c:v>159.52628681151825</c:v>
                </c:pt>
                <c:pt idx="14">
                  <c:v>169.03903141740952</c:v>
                </c:pt>
                <c:pt idx="15">
                  <c:v>199.56035795749497</c:v>
                </c:pt>
                <c:pt idx="16">
                  <c:v>189.10380920247539</c:v>
                </c:pt>
                <c:pt idx="17">
                  <c:v>197.09912052000095</c:v>
                </c:pt>
                <c:pt idx="18">
                  <c:v>178.28793056168314</c:v>
                </c:pt>
                <c:pt idx="19">
                  <c:v>167.24208848289234</c:v>
                </c:pt>
                <c:pt idx="20">
                  <c:v>158.38543766930741</c:v>
                </c:pt>
                <c:pt idx="21">
                  <c:v>138.30134761076863</c:v>
                </c:pt>
                <c:pt idx="22">
                  <c:v>135.93696310760293</c:v>
                </c:pt>
                <c:pt idx="23">
                  <c:v>129.38507949084922</c:v>
                </c:pt>
                <c:pt idx="24">
                  <c:v>129.85591077049776</c:v>
                </c:pt>
                <c:pt idx="25">
                  <c:v>128.0965694554624</c:v>
                </c:pt>
                <c:pt idx="26">
                  <c:v>126.17173763492364</c:v>
                </c:pt>
                <c:pt idx="27">
                  <c:v>120.83829538082075</c:v>
                </c:pt>
                <c:pt idx="28">
                  <c:v>117.37273058248725</c:v>
                </c:pt>
                <c:pt idx="29">
                  <c:v>117.03905270356717</c:v>
                </c:pt>
                <c:pt idx="30">
                  <c:v>108.86591201532072</c:v>
                </c:pt>
                <c:pt idx="31">
                  <c:v>103.49026292794478</c:v>
                </c:pt>
                <c:pt idx="32">
                  <c:v>101.36287902445203</c:v>
                </c:pt>
                <c:pt idx="33">
                  <c:v>95.562250302090476</c:v>
                </c:pt>
                <c:pt idx="34">
                  <c:v>95.065825729682231</c:v>
                </c:pt>
                <c:pt idx="35">
                  <c:v>101.24914416264559</c:v>
                </c:pt>
                <c:pt idx="36">
                  <c:v>103.00447646066486</c:v>
                </c:pt>
                <c:pt idx="37">
                  <c:v>103.24142224511969</c:v>
                </c:pt>
                <c:pt idx="38">
                  <c:v>105.58462118284231</c:v>
                </c:pt>
                <c:pt idx="39">
                  <c:v>111.55351064284574</c:v>
                </c:pt>
                <c:pt idx="40">
                  <c:v>124.01245637456061</c:v>
                </c:pt>
                <c:pt idx="41">
                  <c:v>136.63141064602283</c:v>
                </c:pt>
                <c:pt idx="42">
                  <c:v>138.83610246386345</c:v>
                </c:pt>
                <c:pt idx="43">
                  <c:v>153.69874584923207</c:v>
                </c:pt>
                <c:pt idx="44">
                  <c:v>119.36132565520001</c:v>
                </c:pt>
                <c:pt idx="45">
                  <c:v>132.9</c:v>
                </c:pt>
                <c:pt idx="46">
                  <c:v>145.97233466040691</c:v>
                </c:pt>
                <c:pt idx="47">
                  <c:v>147.49448250998515</c:v>
                </c:pt>
                <c:pt idx="48">
                  <c:v>155.74132686833303</c:v>
                </c:pt>
                <c:pt idx="49">
                  <c:v>158.52930477276905</c:v>
                </c:pt>
                <c:pt idx="50">
                  <c:v>132.70820823887425</c:v>
                </c:pt>
                <c:pt idx="51">
                  <c:v>117.72088310331192</c:v>
                </c:pt>
                <c:pt idx="52">
                  <c:v>128.40787628526667</c:v>
                </c:pt>
                <c:pt idx="53">
                  <c:v>142.62079601299004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6-4EEF-923E-731066F894E7}"/>
            </c:ext>
          </c:extLst>
        </c:ser>
        <c:ser>
          <c:idx val="1"/>
          <c:order val="1"/>
          <c:tx>
            <c:v> predicted</c:v>
          </c:tx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Japan!$AW$44:$AW$97</c:f>
              <c:numCache>
                <c:formatCode>0.0</c:formatCode>
                <c:ptCount val="54"/>
                <c:pt idx="0">
                  <c:v>189.33342643287438</c:v>
                </c:pt>
                <c:pt idx="1">
                  <c:v>182.86739155864569</c:v>
                </c:pt>
                <c:pt idx="2">
                  <c:v>177.22744116220048</c:v>
                </c:pt>
                <c:pt idx="3">
                  <c:v>168.62332764460677</c:v>
                </c:pt>
                <c:pt idx="4">
                  <c:v>162.32741971364783</c:v>
                </c:pt>
                <c:pt idx="5">
                  <c:v>154.92125711645789</c:v>
                </c:pt>
                <c:pt idx="6">
                  <c:v>160.45498722645601</c:v>
                </c:pt>
                <c:pt idx="7">
                  <c:v>140.88393368297119</c:v>
                </c:pt>
                <c:pt idx="8">
                  <c:v>132.02050844678266</c:v>
                </c:pt>
                <c:pt idx="9">
                  <c:v>202.6768673463182</c:v>
                </c:pt>
                <c:pt idx="10">
                  <c:v>182.19655976166695</c:v>
                </c:pt>
                <c:pt idx="11">
                  <c:v>195.8358951323159</c:v>
                </c:pt>
                <c:pt idx="12">
                  <c:v>189.47904364560128</c:v>
                </c:pt>
                <c:pt idx="13">
                  <c:v>160.14898257729396</c:v>
                </c:pt>
                <c:pt idx="14">
                  <c:v>166.02593143486769</c:v>
                </c:pt>
                <c:pt idx="15">
                  <c:v>200.55746384698955</c:v>
                </c:pt>
                <c:pt idx="16">
                  <c:v>188.32060020688886</c:v>
                </c:pt>
                <c:pt idx="17">
                  <c:v>190.08927436462963</c:v>
                </c:pt>
                <c:pt idx="18">
                  <c:v>177.31839835771527</c:v>
                </c:pt>
                <c:pt idx="19">
                  <c:v>169.19428753257665</c:v>
                </c:pt>
                <c:pt idx="20">
                  <c:v>164.39724442173252</c:v>
                </c:pt>
                <c:pt idx="21">
                  <c:v>140.2073658846947</c:v>
                </c:pt>
                <c:pt idx="22">
                  <c:v>136.31379899187397</c:v>
                </c:pt>
                <c:pt idx="23">
                  <c:v>130.63713712593463</c:v>
                </c:pt>
                <c:pt idx="24">
                  <c:v>130.32762592191551</c:v>
                </c:pt>
                <c:pt idx="25">
                  <c:v>127.38334277942681</c:v>
                </c:pt>
                <c:pt idx="26">
                  <c:v>125.19304345592232</c:v>
                </c:pt>
                <c:pt idx="27">
                  <c:v>122.46531359468877</c:v>
                </c:pt>
                <c:pt idx="28">
                  <c:v>118.20740394027298</c:v>
                </c:pt>
                <c:pt idx="29">
                  <c:v>115.56528152980934</c:v>
                </c:pt>
                <c:pt idx="30">
                  <c:v>107.00358106760956</c:v>
                </c:pt>
                <c:pt idx="31">
                  <c:v>99.866930454141809</c:v>
                </c:pt>
                <c:pt idx="32">
                  <c:v>102.41053533810866</c:v>
                </c:pt>
                <c:pt idx="33">
                  <c:v>94.777307893092242</c:v>
                </c:pt>
                <c:pt idx="34">
                  <c:v>95.213539082348376</c:v>
                </c:pt>
                <c:pt idx="35">
                  <c:v>102.14582659206462</c:v>
                </c:pt>
                <c:pt idx="36">
                  <c:v>101.66530718379107</c:v>
                </c:pt>
                <c:pt idx="37">
                  <c:v>104.0032490837321</c:v>
                </c:pt>
                <c:pt idx="38">
                  <c:v>105.69640204638924</c:v>
                </c:pt>
                <c:pt idx="39">
                  <c:v>110.40254544828525</c:v>
                </c:pt>
                <c:pt idx="40">
                  <c:v>122.79900525931816</c:v>
                </c:pt>
                <c:pt idx="41">
                  <c:v>135.62732245208667</c:v>
                </c:pt>
                <c:pt idx="42">
                  <c:v>142.7532923118365</c:v>
                </c:pt>
                <c:pt idx="43">
                  <c:v>152.97709005568268</c:v>
                </c:pt>
                <c:pt idx="44">
                  <c:v>119.36132565520003</c:v>
                </c:pt>
                <c:pt idx="45">
                  <c:v>133.63462578573348</c:v>
                </c:pt>
                <c:pt idx="46">
                  <c:v>147.07119878802166</c:v>
                </c:pt>
                <c:pt idx="47">
                  <c:v>149.39158660648178</c:v>
                </c:pt>
                <c:pt idx="48">
                  <c:v>160.41227181586319</c:v>
                </c:pt>
                <c:pt idx="49">
                  <c:v>158.96979114272347</c:v>
                </c:pt>
                <c:pt idx="50">
                  <c:v>129.29483081475144</c:v>
                </c:pt>
                <c:pt idx="51">
                  <c:v>117.89389763085906</c:v>
                </c:pt>
                <c:pt idx="52">
                  <c:v>127.97740135281842</c:v>
                </c:pt>
                <c:pt idx="53">
                  <c:v>140.1855941465414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6-4EEF-923E-731066F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93408"/>
        <c:axId val="162742656"/>
      </c:lineChart>
      <c:catAx>
        <c:axId val="162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2742656"/>
        <c:crosses val="autoZero"/>
        <c:auto val="1"/>
        <c:lblAlgn val="ctr"/>
        <c:lblOffset val="100"/>
        <c:noMultiLvlLbl val="0"/>
      </c:catAx>
      <c:valAx>
        <c:axId val="16274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2010 Yen per litre</a:t>
                </a:r>
              </a:p>
            </c:rich>
          </c:tx>
          <c:layout>
            <c:manualLayout>
              <c:xMode val="edge"/>
              <c:yMode val="edge"/>
              <c:x val="1.1607859828332269E-2"/>
              <c:y val="0.3402454324128704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6259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63821138211918"/>
          <c:y val="9.4408925628483228E-2"/>
          <c:w val="0.13141235723912892"/>
          <c:h val="0.216497763360976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784984504055638E-2"/>
          <c:y val="3.2463507850992307E-2"/>
          <c:w val="0.7958251405015051"/>
          <c:h val="0.87067504719804756"/>
        </c:manualLayout>
      </c:layout>
      <c:lineChart>
        <c:grouping val="standard"/>
        <c:varyColors val="0"/>
        <c:ser>
          <c:idx val="0"/>
          <c:order val="0"/>
          <c:tx>
            <c:v> energy component (LHS)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Japan!$A$44:$A$96</c:f>
              <c:numCache>
                <c:formatCode>General</c:formatCode>
                <c:ptCount val="53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</c:numCache>
            </c:numRef>
          </c:cat>
          <c:val>
            <c:numRef>
              <c:f>Japan!$AY$44:$AY$97</c:f>
              <c:numCache>
                <c:formatCode>0.00</c:formatCode>
                <c:ptCount val="54"/>
                <c:pt idx="0">
                  <c:v>82.418845838221216</c:v>
                </c:pt>
                <c:pt idx="1">
                  <c:v>74.688317871815997</c:v>
                </c:pt>
                <c:pt idx="2">
                  <c:v>71.703801434632879</c:v>
                </c:pt>
                <c:pt idx="3">
                  <c:v>66.282584386237716</c:v>
                </c:pt>
                <c:pt idx="4">
                  <c:v>62.994026976339654</c:v>
                </c:pt>
                <c:pt idx="5">
                  <c:v>65.58450735991471</c:v>
                </c:pt>
                <c:pt idx="6">
                  <c:v>77.173413151328958</c:v>
                </c:pt>
                <c:pt idx="7">
                  <c:v>65.146277391982338</c:v>
                </c:pt>
                <c:pt idx="8">
                  <c:v>47.870633949626566</c:v>
                </c:pt>
                <c:pt idx="9">
                  <c:v>136.59369017973967</c:v>
                </c:pt>
                <c:pt idx="10">
                  <c:v>114.30822601193216</c:v>
                </c:pt>
                <c:pt idx="11">
                  <c:v>121.70110906639179</c:v>
                </c:pt>
                <c:pt idx="12">
                  <c:v>113.53635336802303</c:v>
                </c:pt>
                <c:pt idx="13">
                  <c:v>88.058510319958074</c:v>
                </c:pt>
                <c:pt idx="14">
                  <c:v>106.83266785580281</c:v>
                </c:pt>
                <c:pt idx="15">
                  <c:v>126.12214622913682</c:v>
                </c:pt>
                <c:pt idx="16">
                  <c:v>127.83417502087336</c:v>
                </c:pt>
                <c:pt idx="17">
                  <c:v>134.22450107412064</c:v>
                </c:pt>
                <c:pt idx="18">
                  <c:v>115.53057900397067</c:v>
                </c:pt>
                <c:pt idx="19">
                  <c:v>107.20217871753398</c:v>
                </c:pt>
                <c:pt idx="20">
                  <c:v>98.83251310564782</c:v>
                </c:pt>
                <c:pt idx="21">
                  <c:v>72.884810190875058</c:v>
                </c:pt>
                <c:pt idx="22">
                  <c:v>76.26063630336526</c:v>
                </c:pt>
                <c:pt idx="23">
                  <c:v>69.609172766076881</c:v>
                </c:pt>
                <c:pt idx="24">
                  <c:v>71.68046274531477</c:v>
                </c:pt>
                <c:pt idx="25">
                  <c:v>75.064589700900967</c:v>
                </c:pt>
                <c:pt idx="26">
                  <c:v>69.899142649747688</c:v>
                </c:pt>
                <c:pt idx="27">
                  <c:v>64.890164619500752</c:v>
                </c:pt>
                <c:pt idx="28">
                  <c:v>61.620683555805797</c:v>
                </c:pt>
                <c:pt idx="29">
                  <c:v>55.125393823380129</c:v>
                </c:pt>
                <c:pt idx="30">
                  <c:v>45.288219398373428</c:v>
                </c:pt>
                <c:pt idx="31">
                  <c:v>44.914774110728032</c:v>
                </c:pt>
                <c:pt idx="32">
                  <c:v>40.545151609780817</c:v>
                </c:pt>
                <c:pt idx="33">
                  <c:v>38.224900120836189</c:v>
                </c:pt>
                <c:pt idx="34">
                  <c:v>38.026330291872888</c:v>
                </c:pt>
                <c:pt idx="35">
                  <c:v>44.000384295806676</c:v>
                </c:pt>
                <c:pt idx="36">
                  <c:v>45.271657410329901</c:v>
                </c:pt>
                <c:pt idx="37">
                  <c:v>45.020091904895892</c:v>
                </c:pt>
                <c:pt idx="38">
                  <c:v>47.118845864062855</c:v>
                </c:pt>
                <c:pt idx="39">
                  <c:v>52.799062281959209</c:v>
                </c:pt>
                <c:pt idx="40">
                  <c:v>64.517782811504048</c:v>
                </c:pt>
                <c:pt idx="41">
                  <c:v>74.67764234858987</c:v>
                </c:pt>
                <c:pt idx="42">
                  <c:v>76.809591123989051</c:v>
                </c:pt>
                <c:pt idx="43">
                  <c:v>91.718253691693263</c:v>
                </c:pt>
                <c:pt idx="44">
                  <c:v>58.266787684152391</c:v>
                </c:pt>
                <c:pt idx="45">
                  <c:v>70.771428571428586</c:v>
                </c:pt>
                <c:pt idx="46">
                  <c:v>83.07153196182297</c:v>
                </c:pt>
                <c:pt idx="47">
                  <c:v>83.689556055725745</c:v>
                </c:pt>
                <c:pt idx="48">
                  <c:v>91.73972982725823</c:v>
                </c:pt>
                <c:pt idx="49">
                  <c:v>93.09373873113006</c:v>
                </c:pt>
                <c:pt idx="50">
                  <c:v>68.244817457079776</c:v>
                </c:pt>
                <c:pt idx="51">
                  <c:v>54.30385243734915</c:v>
                </c:pt>
                <c:pt idx="52">
                  <c:v>64.455089627668997</c:v>
                </c:pt>
                <c:pt idx="53">
                  <c:v>78.132865387952165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5-46B5-8CB6-2B69C4062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65056"/>
        <c:axId val="162775040"/>
      </c:lineChart>
      <c:lineChart>
        <c:grouping val="standard"/>
        <c:varyColors val="0"/>
        <c:ser>
          <c:idx val="1"/>
          <c:order val="1"/>
          <c:tx>
            <c:v> landed oil price (RHS)</c:v>
          </c:tx>
          <c:marker>
            <c:symbol val="none"/>
          </c:marker>
          <c:cat>
            <c:numRef>
              <c:f>Japan!$A$44:$A$97</c:f>
              <c:numCache>
                <c:formatCode>General</c:formatCode>
                <c:ptCount val="54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</c:numCache>
            </c:numRef>
          </c:cat>
          <c:val>
            <c:numRef>
              <c:f>Japan!$BA$44:$BA$97</c:f>
              <c:numCache>
                <c:formatCode>0.0</c:formatCode>
                <c:ptCount val="54"/>
                <c:pt idx="0">
                  <c:v>4749.4549406742053</c:v>
                </c:pt>
                <c:pt idx="1">
                  <c:v>4541.57794720518</c:v>
                </c:pt>
                <c:pt idx="2">
                  <c:v>4360.0995515185959</c:v>
                </c:pt>
                <c:pt idx="3">
                  <c:v>4091.0592904911882</c:v>
                </c:pt>
                <c:pt idx="4">
                  <c:v>3888.0855490128361</c:v>
                </c:pt>
                <c:pt idx="5">
                  <c:v>3693.0663005532415</c:v>
                </c:pt>
                <c:pt idx="6">
                  <c:v>3583.3732858704479</c:v>
                </c:pt>
                <c:pt idx="7">
                  <c:v>2962.7681431370665</c:v>
                </c:pt>
                <c:pt idx="8">
                  <c:v>2585.9765488886051</c:v>
                </c:pt>
                <c:pt idx="9">
                  <c:v>7160.9063586672673</c:v>
                </c:pt>
                <c:pt idx="10">
                  <c:v>6718.6874209480739</c:v>
                </c:pt>
                <c:pt idx="11">
                  <c:v>6450.3210891971039</c:v>
                </c:pt>
                <c:pt idx="12">
                  <c:v>5822.4242145187891</c:v>
                </c:pt>
                <c:pt idx="13">
                  <c:v>4373.9959377042478</c:v>
                </c:pt>
                <c:pt idx="14">
                  <c:v>6562.5616360445974</c:v>
                </c:pt>
                <c:pt idx="15">
                  <c:v>9931.0165875964121</c:v>
                </c:pt>
                <c:pt idx="16">
                  <c:v>9921.1444096378491</c:v>
                </c:pt>
                <c:pt idx="17">
                  <c:v>9944.8090506643603</c:v>
                </c:pt>
                <c:pt idx="18">
                  <c:v>8115.4662804481904</c:v>
                </c:pt>
                <c:pt idx="19">
                  <c:v>7819.2538572042931</c:v>
                </c:pt>
                <c:pt idx="20">
                  <c:v>7196.1451595651624</c:v>
                </c:pt>
                <c:pt idx="21">
                  <c:v>2851.2866271925072</c:v>
                </c:pt>
                <c:pt idx="22">
                  <c:v>3118.2574636394515</c:v>
                </c:pt>
                <c:pt idx="23">
                  <c:v>2283.1813294693102</c:v>
                </c:pt>
                <c:pt idx="24">
                  <c:v>2955.2489619096214</c:v>
                </c:pt>
                <c:pt idx="25">
                  <c:v>3758.6212729186677</c:v>
                </c:pt>
                <c:pt idx="26">
                  <c:v>2973.4693872268294</c:v>
                </c:pt>
                <c:pt idx="27">
                  <c:v>2626.0272523520853</c:v>
                </c:pt>
                <c:pt idx="28">
                  <c:v>2038.8056622340237</c:v>
                </c:pt>
                <c:pt idx="29">
                  <c:v>1736.9109278657133</c:v>
                </c:pt>
                <c:pt idx="30">
                  <c:v>1714.8707337114197</c:v>
                </c:pt>
                <c:pt idx="31">
                  <c:v>2377.1604963720847</c:v>
                </c:pt>
                <c:pt idx="32">
                  <c:v>2420.7292739290233</c:v>
                </c:pt>
                <c:pt idx="33">
                  <c:v>1820.3482253706152</c:v>
                </c:pt>
                <c:pt idx="34">
                  <c:v>1926.4756461901829</c:v>
                </c:pt>
                <c:pt idx="35">
                  <c:v>2898.4287485175651</c:v>
                </c:pt>
                <c:pt idx="36">
                  <c:v>2758.9788100810465</c:v>
                </c:pt>
                <c:pt idx="37">
                  <c:v>3026.3525491573441</c:v>
                </c:pt>
                <c:pt idx="38">
                  <c:v>3235.7934811034047</c:v>
                </c:pt>
                <c:pt idx="39">
                  <c:v>3874.4308870897571</c:v>
                </c:pt>
                <c:pt idx="40">
                  <c:v>5559.5825299698681</c:v>
                </c:pt>
                <c:pt idx="41">
                  <c:v>7058.6697435939486</c:v>
                </c:pt>
                <c:pt idx="42">
                  <c:v>8078.3606778992616</c:v>
                </c:pt>
                <c:pt idx="43">
                  <c:v>9563.0767501096034</c:v>
                </c:pt>
                <c:pt idx="44">
                  <c:v>5673.5261306965785</c:v>
                </c:pt>
                <c:pt idx="45">
                  <c:v>6745.3124745228424</c:v>
                </c:pt>
                <c:pt idx="46">
                  <c:v>8576.2070122762671</c:v>
                </c:pt>
                <c:pt idx="47">
                  <c:v>8780.9574992250273</c:v>
                </c:pt>
                <c:pt idx="48">
                  <c:v>10345.794398604738</c:v>
                </c:pt>
                <c:pt idx="49">
                  <c:v>9929.9436495456466</c:v>
                </c:pt>
                <c:pt idx="50">
                  <c:v>5780.3578668424989</c:v>
                </c:pt>
                <c:pt idx="51">
                  <c:v>4283.3885279020169</c:v>
                </c:pt>
                <c:pt idx="52">
                  <c:v>5663.71444904704</c:v>
                </c:pt>
                <c:pt idx="53">
                  <c:v>7351.2969374840295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5-46B5-8CB6-2B69C4062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522200"/>
        <c:axId val="724515968"/>
      </c:lineChart>
      <c:catAx>
        <c:axId val="162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75040"/>
        <c:crosses val="autoZero"/>
        <c:auto val="1"/>
        <c:lblAlgn val="ctr"/>
        <c:lblOffset val="100"/>
        <c:noMultiLvlLbl val="0"/>
      </c:catAx>
      <c:valAx>
        <c:axId val="16277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yen per litre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2765056"/>
        <c:crosses val="autoZero"/>
        <c:crossBetween val="between"/>
      </c:valAx>
      <c:valAx>
        <c:axId val="724515968"/>
        <c:scaling>
          <c:orientation val="minMax"/>
          <c:max val="19500"/>
          <c:min val="-35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2010 yen per barrel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24522200"/>
        <c:crosses val="max"/>
        <c:crossBetween val="between"/>
      </c:valAx>
      <c:catAx>
        <c:axId val="724522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5159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250372940670552"/>
          <c:y val="3.4845282497582536E-2"/>
          <c:w val="0.20396458917211618"/>
          <c:h val="0.216859142607174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3.xml"/><Relationship Id="rId13" Type="http://schemas.openxmlformats.org/officeDocument/2006/relationships/chart" Target="../charts/chart158.xml"/><Relationship Id="rId3" Type="http://schemas.openxmlformats.org/officeDocument/2006/relationships/chart" Target="../charts/chart148.xml"/><Relationship Id="rId7" Type="http://schemas.openxmlformats.org/officeDocument/2006/relationships/chart" Target="../charts/chart152.xml"/><Relationship Id="rId12" Type="http://schemas.openxmlformats.org/officeDocument/2006/relationships/chart" Target="../charts/chart157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11" Type="http://schemas.openxmlformats.org/officeDocument/2006/relationships/chart" Target="../charts/chart156.xml"/><Relationship Id="rId5" Type="http://schemas.openxmlformats.org/officeDocument/2006/relationships/chart" Target="../charts/chart150.xml"/><Relationship Id="rId10" Type="http://schemas.openxmlformats.org/officeDocument/2006/relationships/chart" Target="../charts/chart155.xml"/><Relationship Id="rId4" Type="http://schemas.openxmlformats.org/officeDocument/2006/relationships/chart" Target="../charts/chart149.xml"/><Relationship Id="rId9" Type="http://schemas.openxmlformats.org/officeDocument/2006/relationships/chart" Target="../charts/chart15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chart" Target="../charts/chart3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412749</xdr:colOff>
      <xdr:row>84</xdr:row>
      <xdr:rowOff>133349</xdr:rowOff>
    </xdr:from>
    <xdr:to>
      <xdr:col>61</xdr:col>
      <xdr:colOff>31749</xdr:colOff>
      <xdr:row>99</xdr:row>
      <xdr:rowOff>19049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190508</xdr:colOff>
      <xdr:row>83</xdr:row>
      <xdr:rowOff>101608</xdr:rowOff>
    </xdr:from>
    <xdr:to>
      <xdr:col>27</xdr:col>
      <xdr:colOff>304800</xdr:colOff>
      <xdr:row>97</xdr:row>
      <xdr:rowOff>165108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749300</xdr:colOff>
      <xdr:row>83</xdr:row>
      <xdr:rowOff>152400</xdr:rowOff>
    </xdr:from>
    <xdr:to>
      <xdr:col>10</xdr:col>
      <xdr:colOff>495300</xdr:colOff>
      <xdr:row>98</xdr:row>
      <xdr:rowOff>25400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400048</xdr:colOff>
      <xdr:row>83</xdr:row>
      <xdr:rowOff>101608</xdr:rowOff>
    </xdr:from>
    <xdr:to>
      <xdr:col>34</xdr:col>
      <xdr:colOff>520699</xdr:colOff>
      <xdr:row>97</xdr:row>
      <xdr:rowOff>165108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254008</xdr:colOff>
      <xdr:row>98</xdr:row>
      <xdr:rowOff>107948</xdr:rowOff>
    </xdr:from>
    <xdr:to>
      <xdr:col>29</xdr:col>
      <xdr:colOff>812800</xdr:colOff>
      <xdr:row>120</xdr:row>
      <xdr:rowOff>12700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552448</xdr:colOff>
      <xdr:row>120</xdr:row>
      <xdr:rowOff>31748</xdr:rowOff>
    </xdr:from>
    <xdr:to>
      <xdr:col>29</xdr:col>
      <xdr:colOff>825500</xdr:colOff>
      <xdr:row>139</xdr:row>
      <xdr:rowOff>114299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99</xdr:row>
      <xdr:rowOff>0</xdr:rowOff>
    </xdr:from>
    <xdr:to>
      <xdr:col>39</xdr:col>
      <xdr:colOff>749292</xdr:colOff>
      <xdr:row>120</xdr:row>
      <xdr:rowOff>95252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84</xdr:row>
      <xdr:rowOff>0</xdr:rowOff>
    </xdr:from>
    <xdr:to>
      <xdr:col>41</xdr:col>
      <xdr:colOff>133351</xdr:colOff>
      <xdr:row>98</xdr:row>
      <xdr:rowOff>63500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365124</xdr:colOff>
      <xdr:row>102</xdr:row>
      <xdr:rowOff>15875</xdr:rowOff>
    </xdr:from>
    <xdr:to>
      <xdr:col>63</xdr:col>
      <xdr:colOff>139699</xdr:colOff>
      <xdr:row>126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431800</xdr:colOff>
      <xdr:row>105</xdr:row>
      <xdr:rowOff>57150</xdr:rowOff>
    </xdr:from>
    <xdr:to>
      <xdr:col>47</xdr:col>
      <xdr:colOff>69850</xdr:colOff>
      <xdr:row>129</xdr:row>
      <xdr:rowOff>50800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152</xdr:row>
      <xdr:rowOff>127000</xdr:rowOff>
    </xdr:from>
    <xdr:to>
      <xdr:col>28</xdr:col>
      <xdr:colOff>444500</xdr:colOff>
      <xdr:row>180</xdr:row>
      <xdr:rowOff>63500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171448</xdr:colOff>
      <xdr:row>56</xdr:row>
      <xdr:rowOff>184148</xdr:rowOff>
    </xdr:from>
    <xdr:to>
      <xdr:col>71</xdr:col>
      <xdr:colOff>279400</xdr:colOff>
      <xdr:row>77</xdr:row>
      <xdr:rowOff>88899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431800</xdr:colOff>
      <xdr:row>114</xdr:row>
      <xdr:rowOff>101600</xdr:rowOff>
    </xdr:from>
    <xdr:to>
      <xdr:col>66</xdr:col>
      <xdr:colOff>292100</xdr:colOff>
      <xdr:row>137</xdr:row>
      <xdr:rowOff>63500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50800</xdr:colOff>
      <xdr:row>114</xdr:row>
      <xdr:rowOff>127000</xdr:rowOff>
    </xdr:from>
    <xdr:to>
      <xdr:col>54</xdr:col>
      <xdr:colOff>317500</xdr:colOff>
      <xdr:row>137</xdr:row>
      <xdr:rowOff>152400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558800</xdr:colOff>
      <xdr:row>43</xdr:row>
      <xdr:rowOff>12700</xdr:rowOff>
    </xdr:from>
    <xdr:to>
      <xdr:col>76</xdr:col>
      <xdr:colOff>495300</xdr:colOff>
      <xdr:row>65</xdr:row>
      <xdr:rowOff>12700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</xdr:colOff>
      <xdr:row>142</xdr:row>
      <xdr:rowOff>184148</xdr:rowOff>
    </xdr:from>
    <xdr:to>
      <xdr:col>28</xdr:col>
      <xdr:colOff>127001</xdr:colOff>
      <xdr:row>158</xdr:row>
      <xdr:rowOff>12700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38100</xdr:colOff>
      <xdr:row>138</xdr:row>
      <xdr:rowOff>25400</xdr:rowOff>
    </xdr:from>
    <xdr:to>
      <xdr:col>54</xdr:col>
      <xdr:colOff>304800</xdr:colOff>
      <xdr:row>161</xdr:row>
      <xdr:rowOff>50800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101600</xdr:colOff>
      <xdr:row>110</xdr:row>
      <xdr:rowOff>88900</xdr:rowOff>
    </xdr:from>
    <xdr:to>
      <xdr:col>68</xdr:col>
      <xdr:colOff>152400</xdr:colOff>
      <xdr:row>138</xdr:row>
      <xdr:rowOff>177800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406400</xdr:colOff>
      <xdr:row>110</xdr:row>
      <xdr:rowOff>101600</xdr:rowOff>
    </xdr:from>
    <xdr:to>
      <xdr:col>53</xdr:col>
      <xdr:colOff>533400</xdr:colOff>
      <xdr:row>139</xdr:row>
      <xdr:rowOff>25400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50800</xdr:colOff>
      <xdr:row>144</xdr:row>
      <xdr:rowOff>6349</xdr:rowOff>
    </xdr:from>
    <xdr:to>
      <xdr:col>27</xdr:col>
      <xdr:colOff>514349</xdr:colOff>
      <xdr:row>158</xdr:row>
      <xdr:rowOff>82549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234948</xdr:colOff>
      <xdr:row>57</xdr:row>
      <xdr:rowOff>171448</xdr:rowOff>
    </xdr:from>
    <xdr:to>
      <xdr:col>74</xdr:col>
      <xdr:colOff>584199</xdr:colOff>
      <xdr:row>77</xdr:row>
      <xdr:rowOff>50799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495300</xdr:colOff>
      <xdr:row>139</xdr:row>
      <xdr:rowOff>50800</xdr:rowOff>
    </xdr:from>
    <xdr:to>
      <xdr:col>53</xdr:col>
      <xdr:colOff>622300</xdr:colOff>
      <xdr:row>167</xdr:row>
      <xdr:rowOff>165100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376236</xdr:colOff>
      <xdr:row>115</xdr:row>
      <xdr:rowOff>93663</xdr:rowOff>
    </xdr:from>
    <xdr:to>
      <xdr:col>64</xdr:col>
      <xdr:colOff>381000</xdr:colOff>
      <xdr:row>138</xdr:row>
      <xdr:rowOff>152401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251619</xdr:colOff>
      <xdr:row>115</xdr:row>
      <xdr:rowOff>83345</xdr:rowOff>
    </xdr:from>
    <xdr:to>
      <xdr:col>51</xdr:col>
      <xdr:colOff>333374</xdr:colOff>
      <xdr:row>138</xdr:row>
      <xdr:rowOff>114301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381000</xdr:colOff>
      <xdr:row>46</xdr:row>
      <xdr:rowOff>114300</xdr:rowOff>
    </xdr:from>
    <xdr:to>
      <xdr:col>73</xdr:col>
      <xdr:colOff>533400</xdr:colOff>
      <xdr:row>68</xdr:row>
      <xdr:rowOff>12700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266700</xdr:colOff>
      <xdr:row>143</xdr:row>
      <xdr:rowOff>69848</xdr:rowOff>
    </xdr:from>
    <xdr:to>
      <xdr:col>28</xdr:col>
      <xdr:colOff>165100</xdr:colOff>
      <xdr:row>158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203200</xdr:colOff>
      <xdr:row>139</xdr:row>
      <xdr:rowOff>0</xdr:rowOff>
    </xdr:from>
    <xdr:to>
      <xdr:col>51</xdr:col>
      <xdr:colOff>284955</xdr:colOff>
      <xdr:row>162</xdr:row>
      <xdr:rowOff>30956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177800</xdr:colOff>
      <xdr:row>115</xdr:row>
      <xdr:rowOff>127000</xdr:rowOff>
    </xdr:from>
    <xdr:to>
      <xdr:col>66</xdr:col>
      <xdr:colOff>393700</xdr:colOff>
      <xdr:row>138</xdr:row>
      <xdr:rowOff>177800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330200</xdr:colOff>
      <xdr:row>114</xdr:row>
      <xdr:rowOff>127000</xdr:rowOff>
    </xdr:from>
    <xdr:to>
      <xdr:col>56</xdr:col>
      <xdr:colOff>76200</xdr:colOff>
      <xdr:row>138</xdr:row>
      <xdr:rowOff>139700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139700</xdr:colOff>
      <xdr:row>38</xdr:row>
      <xdr:rowOff>76200</xdr:rowOff>
    </xdr:from>
    <xdr:to>
      <xdr:col>71</xdr:col>
      <xdr:colOff>520700</xdr:colOff>
      <xdr:row>59</xdr:row>
      <xdr:rowOff>139700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279400</xdr:colOff>
      <xdr:row>143</xdr:row>
      <xdr:rowOff>82548</xdr:rowOff>
    </xdr:from>
    <xdr:to>
      <xdr:col>28</xdr:col>
      <xdr:colOff>114300</xdr:colOff>
      <xdr:row>158</xdr:row>
      <xdr:rowOff>101599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355600</xdr:colOff>
      <xdr:row>139</xdr:row>
      <xdr:rowOff>63500</xdr:rowOff>
    </xdr:from>
    <xdr:to>
      <xdr:col>56</xdr:col>
      <xdr:colOff>101600</xdr:colOff>
      <xdr:row>163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584200</xdr:colOff>
      <xdr:row>56</xdr:row>
      <xdr:rowOff>114300</xdr:rowOff>
    </xdr:from>
    <xdr:to>
      <xdr:col>37</xdr:col>
      <xdr:colOff>279400</xdr:colOff>
      <xdr:row>71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457200</xdr:colOff>
      <xdr:row>106</xdr:row>
      <xdr:rowOff>114300</xdr:rowOff>
    </xdr:from>
    <xdr:to>
      <xdr:col>66</xdr:col>
      <xdr:colOff>393700</xdr:colOff>
      <xdr:row>129</xdr:row>
      <xdr:rowOff>101600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152400</xdr:colOff>
      <xdr:row>134</xdr:row>
      <xdr:rowOff>165100</xdr:rowOff>
    </xdr:from>
    <xdr:to>
      <xdr:col>48</xdr:col>
      <xdr:colOff>114300</xdr:colOff>
      <xdr:row>157</xdr:row>
      <xdr:rowOff>63500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38100</xdr:colOff>
      <xdr:row>74</xdr:row>
      <xdr:rowOff>152400</xdr:rowOff>
    </xdr:from>
    <xdr:to>
      <xdr:col>71</xdr:col>
      <xdr:colOff>520700</xdr:colOff>
      <xdr:row>95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482600</xdr:colOff>
      <xdr:row>111</xdr:row>
      <xdr:rowOff>139700</xdr:rowOff>
    </xdr:from>
    <xdr:to>
      <xdr:col>47</xdr:col>
      <xdr:colOff>165100</xdr:colOff>
      <xdr:row>134</xdr:row>
      <xdr:rowOff>12700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533400</xdr:colOff>
      <xdr:row>145</xdr:row>
      <xdr:rowOff>120649</xdr:rowOff>
    </xdr:from>
    <xdr:to>
      <xdr:col>27</xdr:col>
      <xdr:colOff>317500</xdr:colOff>
      <xdr:row>163</xdr:row>
      <xdr:rowOff>88901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596900</xdr:colOff>
      <xdr:row>111</xdr:row>
      <xdr:rowOff>25400</xdr:rowOff>
    </xdr:from>
    <xdr:to>
      <xdr:col>66</xdr:col>
      <xdr:colOff>381000</xdr:colOff>
      <xdr:row>132</xdr:row>
      <xdr:rowOff>50800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50800</xdr:colOff>
      <xdr:row>111</xdr:row>
      <xdr:rowOff>12700</xdr:rowOff>
    </xdr:from>
    <xdr:to>
      <xdr:col>54</xdr:col>
      <xdr:colOff>406400</xdr:colOff>
      <xdr:row>131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165100</xdr:colOff>
      <xdr:row>87</xdr:row>
      <xdr:rowOff>12700</xdr:rowOff>
    </xdr:from>
    <xdr:to>
      <xdr:col>72</xdr:col>
      <xdr:colOff>88900</xdr:colOff>
      <xdr:row>107</xdr:row>
      <xdr:rowOff>139700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596900</xdr:colOff>
      <xdr:row>132</xdr:row>
      <xdr:rowOff>88900</xdr:rowOff>
    </xdr:from>
    <xdr:to>
      <xdr:col>55</xdr:col>
      <xdr:colOff>342900</xdr:colOff>
      <xdr:row>153</xdr:row>
      <xdr:rowOff>12700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50800</xdr:colOff>
      <xdr:row>144</xdr:row>
      <xdr:rowOff>57149</xdr:rowOff>
    </xdr:from>
    <xdr:to>
      <xdr:col>27</xdr:col>
      <xdr:colOff>50800</xdr:colOff>
      <xdr:row>158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88900</xdr:colOff>
      <xdr:row>77</xdr:row>
      <xdr:rowOff>0</xdr:rowOff>
    </xdr:from>
    <xdr:to>
      <xdr:col>67</xdr:col>
      <xdr:colOff>12700</xdr:colOff>
      <xdr:row>97</xdr:row>
      <xdr:rowOff>177800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393700</xdr:colOff>
      <xdr:row>113</xdr:row>
      <xdr:rowOff>127000</xdr:rowOff>
    </xdr:from>
    <xdr:to>
      <xdr:col>63</xdr:col>
      <xdr:colOff>152400</xdr:colOff>
      <xdr:row>135</xdr:row>
      <xdr:rowOff>158749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457200</xdr:colOff>
      <xdr:row>113</xdr:row>
      <xdr:rowOff>95248</xdr:rowOff>
    </xdr:from>
    <xdr:to>
      <xdr:col>51</xdr:col>
      <xdr:colOff>279399</xdr:colOff>
      <xdr:row>135</xdr:row>
      <xdr:rowOff>190499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6348</xdr:colOff>
      <xdr:row>145</xdr:row>
      <xdr:rowOff>184149</xdr:rowOff>
    </xdr:from>
    <xdr:to>
      <xdr:col>29</xdr:col>
      <xdr:colOff>152400</xdr:colOff>
      <xdr:row>160</xdr:row>
      <xdr:rowOff>69849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469900</xdr:colOff>
      <xdr:row>130</xdr:row>
      <xdr:rowOff>139700</xdr:rowOff>
    </xdr:from>
    <xdr:to>
      <xdr:col>54</xdr:col>
      <xdr:colOff>139700</xdr:colOff>
      <xdr:row>153</xdr:row>
      <xdr:rowOff>57151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241300</xdr:colOff>
      <xdr:row>108</xdr:row>
      <xdr:rowOff>88900</xdr:rowOff>
    </xdr:from>
    <xdr:to>
      <xdr:col>69</xdr:col>
      <xdr:colOff>469900</xdr:colOff>
      <xdr:row>131</xdr:row>
      <xdr:rowOff>177800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38100</xdr:colOff>
      <xdr:row>118</xdr:row>
      <xdr:rowOff>139700</xdr:rowOff>
    </xdr:from>
    <xdr:to>
      <xdr:col>57</xdr:col>
      <xdr:colOff>12700</xdr:colOff>
      <xdr:row>142</xdr:row>
      <xdr:rowOff>50800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596900</xdr:colOff>
      <xdr:row>83</xdr:row>
      <xdr:rowOff>177800</xdr:rowOff>
    </xdr:from>
    <xdr:to>
      <xdr:col>75</xdr:col>
      <xdr:colOff>254000</xdr:colOff>
      <xdr:row>105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349248</xdr:colOff>
      <xdr:row>143</xdr:row>
      <xdr:rowOff>95248</xdr:rowOff>
    </xdr:from>
    <xdr:to>
      <xdr:col>28</xdr:col>
      <xdr:colOff>292099</xdr:colOff>
      <xdr:row>157</xdr:row>
      <xdr:rowOff>177799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457200</xdr:colOff>
      <xdr:row>143</xdr:row>
      <xdr:rowOff>50800</xdr:rowOff>
    </xdr:from>
    <xdr:to>
      <xdr:col>55</xdr:col>
      <xdr:colOff>317500</xdr:colOff>
      <xdr:row>166</xdr:row>
      <xdr:rowOff>152400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482600</xdr:colOff>
      <xdr:row>97</xdr:row>
      <xdr:rowOff>177800</xdr:rowOff>
    </xdr:from>
    <xdr:to>
      <xdr:col>48</xdr:col>
      <xdr:colOff>76200</xdr:colOff>
      <xdr:row>117</xdr:row>
      <xdr:rowOff>127000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406400</xdr:colOff>
      <xdr:row>97</xdr:row>
      <xdr:rowOff>88900</xdr:rowOff>
    </xdr:from>
    <xdr:to>
      <xdr:col>37</xdr:col>
      <xdr:colOff>342900</xdr:colOff>
      <xdr:row>117</xdr:row>
      <xdr:rowOff>101600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215900</xdr:colOff>
      <xdr:row>152</xdr:row>
      <xdr:rowOff>152400</xdr:rowOff>
    </xdr:from>
    <xdr:to>
      <xdr:col>19</xdr:col>
      <xdr:colOff>88900</xdr:colOff>
      <xdr:row>179</xdr:row>
      <xdr:rowOff>165100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292100</xdr:colOff>
      <xdr:row>9</xdr:row>
      <xdr:rowOff>101600</xdr:rowOff>
    </xdr:from>
    <xdr:to>
      <xdr:col>37</xdr:col>
      <xdr:colOff>482600</xdr:colOff>
      <xdr:row>30</xdr:row>
      <xdr:rowOff>165100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368300</xdr:colOff>
      <xdr:row>81</xdr:row>
      <xdr:rowOff>88900</xdr:rowOff>
    </xdr:from>
    <xdr:to>
      <xdr:col>75</xdr:col>
      <xdr:colOff>114300</xdr:colOff>
      <xdr:row>102</xdr:row>
      <xdr:rowOff>25400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177800</xdr:colOff>
      <xdr:row>120</xdr:row>
      <xdr:rowOff>101600</xdr:rowOff>
    </xdr:from>
    <xdr:to>
      <xdr:col>67</xdr:col>
      <xdr:colOff>508000</xdr:colOff>
      <xdr:row>143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38100</xdr:colOff>
      <xdr:row>121</xdr:row>
      <xdr:rowOff>127000</xdr:rowOff>
    </xdr:from>
    <xdr:to>
      <xdr:col>54</xdr:col>
      <xdr:colOff>177800</xdr:colOff>
      <xdr:row>145</xdr:row>
      <xdr:rowOff>101600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260349</xdr:colOff>
      <xdr:row>142</xdr:row>
      <xdr:rowOff>107949</xdr:rowOff>
    </xdr:from>
    <xdr:to>
      <xdr:col>29</xdr:col>
      <xdr:colOff>184149</xdr:colOff>
      <xdr:row>156</xdr:row>
      <xdr:rowOff>184149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469900</xdr:colOff>
      <xdr:row>146</xdr:row>
      <xdr:rowOff>76200</xdr:rowOff>
    </xdr:from>
    <xdr:to>
      <xdr:col>53</xdr:col>
      <xdr:colOff>0</xdr:colOff>
      <xdr:row>170</xdr:row>
      <xdr:rowOff>50800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508000</xdr:colOff>
      <xdr:row>109</xdr:row>
      <xdr:rowOff>114300</xdr:rowOff>
    </xdr:from>
    <xdr:to>
      <xdr:col>57</xdr:col>
      <xdr:colOff>304800</xdr:colOff>
      <xdr:row>133</xdr:row>
      <xdr:rowOff>101600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241300</xdr:colOff>
      <xdr:row>57</xdr:row>
      <xdr:rowOff>76200</xdr:rowOff>
    </xdr:from>
    <xdr:to>
      <xdr:col>73</xdr:col>
      <xdr:colOff>279400</xdr:colOff>
      <xdr:row>80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520700</xdr:colOff>
      <xdr:row>109</xdr:row>
      <xdr:rowOff>63500</xdr:rowOff>
    </xdr:from>
    <xdr:to>
      <xdr:col>69</xdr:col>
      <xdr:colOff>495300</xdr:colOff>
      <xdr:row>133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482600</xdr:colOff>
      <xdr:row>98</xdr:row>
      <xdr:rowOff>184149</xdr:rowOff>
    </xdr:from>
    <xdr:to>
      <xdr:col>38</xdr:col>
      <xdr:colOff>177800</xdr:colOff>
      <xdr:row>113</xdr:row>
      <xdr:rowOff>57149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508000</xdr:colOff>
      <xdr:row>142</xdr:row>
      <xdr:rowOff>107949</xdr:rowOff>
    </xdr:from>
    <xdr:to>
      <xdr:col>28</xdr:col>
      <xdr:colOff>387349</xdr:colOff>
      <xdr:row>156</xdr:row>
      <xdr:rowOff>184149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135</xdr:row>
      <xdr:rowOff>0</xdr:rowOff>
    </xdr:from>
    <xdr:to>
      <xdr:col>57</xdr:col>
      <xdr:colOff>406400</xdr:colOff>
      <xdr:row>158</xdr:row>
      <xdr:rowOff>177800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114300</xdr:colOff>
      <xdr:row>112</xdr:row>
      <xdr:rowOff>177800</xdr:rowOff>
    </xdr:from>
    <xdr:to>
      <xdr:col>68</xdr:col>
      <xdr:colOff>63500</xdr:colOff>
      <xdr:row>138</xdr:row>
      <xdr:rowOff>76200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520700</xdr:colOff>
      <xdr:row>112</xdr:row>
      <xdr:rowOff>177800</xdr:rowOff>
    </xdr:from>
    <xdr:to>
      <xdr:col>54</xdr:col>
      <xdr:colOff>63500</xdr:colOff>
      <xdr:row>138</xdr:row>
      <xdr:rowOff>50800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450849</xdr:colOff>
      <xdr:row>142</xdr:row>
      <xdr:rowOff>107949</xdr:rowOff>
    </xdr:from>
    <xdr:to>
      <xdr:col>28</xdr:col>
      <xdr:colOff>285749</xdr:colOff>
      <xdr:row>156</xdr:row>
      <xdr:rowOff>184149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336548</xdr:colOff>
      <xdr:row>61</xdr:row>
      <xdr:rowOff>133348</xdr:rowOff>
    </xdr:from>
    <xdr:to>
      <xdr:col>72</xdr:col>
      <xdr:colOff>431800</xdr:colOff>
      <xdr:row>82</xdr:row>
      <xdr:rowOff>12699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457200</xdr:colOff>
      <xdr:row>139</xdr:row>
      <xdr:rowOff>12700</xdr:rowOff>
    </xdr:from>
    <xdr:to>
      <xdr:col>54</xdr:col>
      <xdr:colOff>0</xdr:colOff>
      <xdr:row>164</xdr:row>
      <xdr:rowOff>76200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330200</xdr:colOff>
      <xdr:row>110</xdr:row>
      <xdr:rowOff>101600</xdr:rowOff>
    </xdr:from>
    <xdr:to>
      <xdr:col>69</xdr:col>
      <xdr:colOff>368300</xdr:colOff>
      <xdr:row>134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25400</xdr:colOff>
      <xdr:row>114</xdr:row>
      <xdr:rowOff>63500</xdr:rowOff>
    </xdr:from>
    <xdr:to>
      <xdr:col>55</xdr:col>
      <xdr:colOff>114300</xdr:colOff>
      <xdr:row>138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63500</xdr:colOff>
      <xdr:row>143</xdr:row>
      <xdr:rowOff>6349</xdr:rowOff>
    </xdr:from>
    <xdr:to>
      <xdr:col>28</xdr:col>
      <xdr:colOff>400049</xdr:colOff>
      <xdr:row>157</xdr:row>
      <xdr:rowOff>82549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152400</xdr:colOff>
      <xdr:row>75</xdr:row>
      <xdr:rowOff>44448</xdr:rowOff>
    </xdr:from>
    <xdr:to>
      <xdr:col>70</xdr:col>
      <xdr:colOff>254000</xdr:colOff>
      <xdr:row>92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63500</xdr:colOff>
      <xdr:row>138</xdr:row>
      <xdr:rowOff>139700</xdr:rowOff>
    </xdr:from>
    <xdr:to>
      <xdr:col>55</xdr:col>
      <xdr:colOff>152400</xdr:colOff>
      <xdr:row>162</xdr:row>
      <xdr:rowOff>152400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50800</xdr:colOff>
      <xdr:row>50</xdr:row>
      <xdr:rowOff>38100</xdr:rowOff>
    </xdr:from>
    <xdr:to>
      <xdr:col>80</xdr:col>
      <xdr:colOff>584200</xdr:colOff>
      <xdr:row>70</xdr:row>
      <xdr:rowOff>50800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596900</xdr:colOff>
      <xdr:row>116</xdr:row>
      <xdr:rowOff>0</xdr:rowOff>
    </xdr:from>
    <xdr:to>
      <xdr:col>72</xdr:col>
      <xdr:colOff>76200</xdr:colOff>
      <xdr:row>141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469900</xdr:colOff>
      <xdr:row>119</xdr:row>
      <xdr:rowOff>139700</xdr:rowOff>
    </xdr:from>
    <xdr:to>
      <xdr:col>57</xdr:col>
      <xdr:colOff>127000</xdr:colOff>
      <xdr:row>144</xdr:row>
      <xdr:rowOff>88900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222248</xdr:colOff>
      <xdr:row>143</xdr:row>
      <xdr:rowOff>133349</xdr:rowOff>
    </xdr:from>
    <xdr:to>
      <xdr:col>29</xdr:col>
      <xdr:colOff>88899</xdr:colOff>
      <xdr:row>158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482600</xdr:colOff>
      <xdr:row>145</xdr:row>
      <xdr:rowOff>50800</xdr:rowOff>
    </xdr:from>
    <xdr:to>
      <xdr:col>56</xdr:col>
      <xdr:colOff>38100</xdr:colOff>
      <xdr:row>170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482600</xdr:colOff>
      <xdr:row>110</xdr:row>
      <xdr:rowOff>139700</xdr:rowOff>
    </xdr:from>
    <xdr:to>
      <xdr:col>69</xdr:col>
      <xdr:colOff>546100</xdr:colOff>
      <xdr:row>135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50800</xdr:colOff>
      <xdr:row>115</xdr:row>
      <xdr:rowOff>114300</xdr:rowOff>
    </xdr:from>
    <xdr:to>
      <xdr:col>55</xdr:col>
      <xdr:colOff>228600</xdr:colOff>
      <xdr:row>140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349248</xdr:colOff>
      <xdr:row>142</xdr:row>
      <xdr:rowOff>158749</xdr:rowOff>
    </xdr:from>
    <xdr:to>
      <xdr:col>28</xdr:col>
      <xdr:colOff>571499</xdr:colOff>
      <xdr:row>157</xdr:row>
      <xdr:rowOff>44449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74</xdr:col>
      <xdr:colOff>501648</xdr:colOff>
      <xdr:row>46</xdr:row>
      <xdr:rowOff>6348</xdr:rowOff>
    </xdr:from>
    <xdr:to>
      <xdr:col>84</xdr:col>
      <xdr:colOff>495299</xdr:colOff>
      <xdr:row>65</xdr:row>
      <xdr:rowOff>190499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61</xdr:col>
      <xdr:colOff>241300</xdr:colOff>
      <xdr:row>77</xdr:row>
      <xdr:rowOff>139701</xdr:rowOff>
    </xdr:from>
    <xdr:to>
      <xdr:col>73</xdr:col>
      <xdr:colOff>0</xdr:colOff>
      <xdr:row>98</xdr:row>
      <xdr:rowOff>101601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50800</xdr:colOff>
      <xdr:row>140</xdr:row>
      <xdr:rowOff>127000</xdr:rowOff>
    </xdr:from>
    <xdr:to>
      <xdr:col>55</xdr:col>
      <xdr:colOff>228600</xdr:colOff>
      <xdr:row>165</xdr:row>
      <xdr:rowOff>88900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279400</xdr:colOff>
      <xdr:row>116</xdr:row>
      <xdr:rowOff>127000</xdr:rowOff>
    </xdr:from>
    <xdr:to>
      <xdr:col>57</xdr:col>
      <xdr:colOff>127000</xdr:colOff>
      <xdr:row>139</xdr:row>
      <xdr:rowOff>38100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203200</xdr:colOff>
      <xdr:row>116</xdr:row>
      <xdr:rowOff>152400</xdr:rowOff>
    </xdr:from>
    <xdr:to>
      <xdr:col>70</xdr:col>
      <xdr:colOff>393700</xdr:colOff>
      <xdr:row>139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406400</xdr:colOff>
      <xdr:row>61</xdr:row>
      <xdr:rowOff>50800</xdr:rowOff>
    </xdr:from>
    <xdr:to>
      <xdr:col>79</xdr:col>
      <xdr:colOff>406400</xdr:colOff>
      <xdr:row>81</xdr:row>
      <xdr:rowOff>76199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374648</xdr:colOff>
      <xdr:row>143</xdr:row>
      <xdr:rowOff>19049</xdr:rowOff>
    </xdr:from>
    <xdr:to>
      <xdr:col>28</xdr:col>
      <xdr:colOff>507999</xdr:colOff>
      <xdr:row>157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266700</xdr:colOff>
      <xdr:row>139</xdr:row>
      <xdr:rowOff>38100</xdr:rowOff>
    </xdr:from>
    <xdr:to>
      <xdr:col>56</xdr:col>
      <xdr:colOff>114300</xdr:colOff>
      <xdr:row>161</xdr:row>
      <xdr:rowOff>139700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228600</xdr:colOff>
      <xdr:row>43</xdr:row>
      <xdr:rowOff>114300</xdr:rowOff>
    </xdr:from>
    <xdr:to>
      <xdr:col>80</xdr:col>
      <xdr:colOff>114300</xdr:colOff>
      <xdr:row>64</xdr:row>
      <xdr:rowOff>12700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393700</xdr:colOff>
      <xdr:row>110</xdr:row>
      <xdr:rowOff>152400</xdr:rowOff>
    </xdr:from>
    <xdr:to>
      <xdr:col>52</xdr:col>
      <xdr:colOff>558800</xdr:colOff>
      <xdr:row>135</xdr:row>
      <xdr:rowOff>63500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177800</xdr:colOff>
      <xdr:row>111</xdr:row>
      <xdr:rowOff>38100</xdr:rowOff>
    </xdr:from>
    <xdr:to>
      <xdr:col>66</xdr:col>
      <xdr:colOff>190500</xdr:colOff>
      <xdr:row>135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209549</xdr:colOff>
      <xdr:row>143</xdr:row>
      <xdr:rowOff>57149</xdr:rowOff>
    </xdr:from>
    <xdr:to>
      <xdr:col>28</xdr:col>
      <xdr:colOff>387349</xdr:colOff>
      <xdr:row>157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69</xdr:col>
      <xdr:colOff>88900</xdr:colOff>
      <xdr:row>70</xdr:row>
      <xdr:rowOff>57148</xdr:rowOff>
    </xdr:from>
    <xdr:to>
      <xdr:col>79</xdr:col>
      <xdr:colOff>381000</xdr:colOff>
      <xdr:row>90</xdr:row>
      <xdr:rowOff>25399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381000</xdr:colOff>
      <xdr:row>136</xdr:row>
      <xdr:rowOff>76200</xdr:rowOff>
    </xdr:from>
    <xdr:to>
      <xdr:col>52</xdr:col>
      <xdr:colOff>546100</xdr:colOff>
      <xdr:row>161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546100</xdr:colOff>
      <xdr:row>89</xdr:row>
      <xdr:rowOff>165100</xdr:rowOff>
    </xdr:from>
    <xdr:to>
      <xdr:col>74</xdr:col>
      <xdr:colOff>330200</xdr:colOff>
      <xdr:row>111</xdr:row>
      <xdr:rowOff>177800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444500</xdr:colOff>
      <xdr:row>119</xdr:row>
      <xdr:rowOff>38100</xdr:rowOff>
    </xdr:from>
    <xdr:to>
      <xdr:col>68</xdr:col>
      <xdr:colOff>139700</xdr:colOff>
      <xdr:row>143</xdr:row>
      <xdr:rowOff>177800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165100</xdr:colOff>
      <xdr:row>119</xdr:row>
      <xdr:rowOff>76200</xdr:rowOff>
    </xdr:from>
    <xdr:to>
      <xdr:col>54</xdr:col>
      <xdr:colOff>177800</xdr:colOff>
      <xdr:row>143</xdr:row>
      <xdr:rowOff>152400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209548</xdr:colOff>
      <xdr:row>143</xdr:row>
      <xdr:rowOff>19048</xdr:rowOff>
    </xdr:from>
    <xdr:to>
      <xdr:col>28</xdr:col>
      <xdr:colOff>253999</xdr:colOff>
      <xdr:row>160</xdr:row>
      <xdr:rowOff>38099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228600</xdr:colOff>
      <xdr:row>144</xdr:row>
      <xdr:rowOff>50800</xdr:rowOff>
    </xdr:from>
    <xdr:to>
      <xdr:col>52</xdr:col>
      <xdr:colOff>241300</xdr:colOff>
      <xdr:row>168</xdr:row>
      <xdr:rowOff>127000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266700</xdr:colOff>
      <xdr:row>61</xdr:row>
      <xdr:rowOff>101600</xdr:rowOff>
    </xdr:from>
    <xdr:to>
      <xdr:col>65</xdr:col>
      <xdr:colOff>114300</xdr:colOff>
      <xdr:row>83</xdr:row>
      <xdr:rowOff>50800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92</xdr:row>
      <xdr:rowOff>0</xdr:rowOff>
    </xdr:from>
    <xdr:to>
      <xdr:col>28</xdr:col>
      <xdr:colOff>304800</xdr:colOff>
      <xdr:row>110</xdr:row>
      <xdr:rowOff>177800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215900</xdr:colOff>
      <xdr:row>42</xdr:row>
      <xdr:rowOff>177800</xdr:rowOff>
    </xdr:from>
    <xdr:to>
      <xdr:col>64</xdr:col>
      <xdr:colOff>508000</xdr:colOff>
      <xdr:row>61</xdr:row>
      <xdr:rowOff>177800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92</xdr:row>
      <xdr:rowOff>0</xdr:rowOff>
    </xdr:from>
    <xdr:to>
      <xdr:col>11</xdr:col>
      <xdr:colOff>533400</xdr:colOff>
      <xdr:row>111</xdr:row>
      <xdr:rowOff>38100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838200</xdr:colOff>
      <xdr:row>151</xdr:row>
      <xdr:rowOff>88900</xdr:rowOff>
    </xdr:from>
    <xdr:to>
      <xdr:col>18</xdr:col>
      <xdr:colOff>1104900</xdr:colOff>
      <xdr:row>179</xdr:row>
      <xdr:rowOff>25400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596900</xdr:colOff>
      <xdr:row>98</xdr:row>
      <xdr:rowOff>6350</xdr:rowOff>
    </xdr:from>
    <xdr:to>
      <xdr:col>6</xdr:col>
      <xdr:colOff>406400</xdr:colOff>
      <xdr:row>112</xdr:row>
      <xdr:rowOff>95250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65</xdr:col>
      <xdr:colOff>292100</xdr:colOff>
      <xdr:row>106</xdr:row>
      <xdr:rowOff>63500</xdr:rowOff>
    </xdr:from>
    <xdr:to>
      <xdr:col>76</xdr:col>
      <xdr:colOff>241300</xdr:colOff>
      <xdr:row>127</xdr:row>
      <xdr:rowOff>165100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114300</xdr:colOff>
      <xdr:row>120</xdr:row>
      <xdr:rowOff>12700</xdr:rowOff>
    </xdr:from>
    <xdr:to>
      <xdr:col>63</xdr:col>
      <xdr:colOff>139700</xdr:colOff>
      <xdr:row>141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381000</xdr:colOff>
      <xdr:row>119</xdr:row>
      <xdr:rowOff>76200</xdr:rowOff>
    </xdr:from>
    <xdr:to>
      <xdr:col>49</xdr:col>
      <xdr:colOff>342900</xdr:colOff>
      <xdr:row>140</xdr:row>
      <xdr:rowOff>38100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838200</xdr:colOff>
      <xdr:row>158</xdr:row>
      <xdr:rowOff>0</xdr:rowOff>
    </xdr:from>
    <xdr:to>
      <xdr:col>37</xdr:col>
      <xdr:colOff>190500</xdr:colOff>
      <xdr:row>175</xdr:row>
      <xdr:rowOff>139700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469900</xdr:colOff>
      <xdr:row>139</xdr:row>
      <xdr:rowOff>38100</xdr:rowOff>
    </xdr:from>
    <xdr:to>
      <xdr:col>50</xdr:col>
      <xdr:colOff>101600</xdr:colOff>
      <xdr:row>160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82</xdr:col>
      <xdr:colOff>127000</xdr:colOff>
      <xdr:row>50</xdr:row>
      <xdr:rowOff>25400</xdr:rowOff>
    </xdr:from>
    <xdr:to>
      <xdr:col>93</xdr:col>
      <xdr:colOff>431800</xdr:colOff>
      <xdr:row>71</xdr:row>
      <xdr:rowOff>177800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317500</xdr:colOff>
      <xdr:row>168</xdr:row>
      <xdr:rowOff>101600</xdr:rowOff>
    </xdr:from>
    <xdr:to>
      <xdr:col>23</xdr:col>
      <xdr:colOff>203200</xdr:colOff>
      <xdr:row>182</xdr:row>
      <xdr:rowOff>177800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285748</xdr:colOff>
      <xdr:row>168</xdr:row>
      <xdr:rowOff>127000</xdr:rowOff>
    </xdr:from>
    <xdr:to>
      <xdr:col>59</xdr:col>
      <xdr:colOff>381000</xdr:colOff>
      <xdr:row>184</xdr:row>
      <xdr:rowOff>50800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730249</xdr:colOff>
      <xdr:row>65</xdr:row>
      <xdr:rowOff>177800</xdr:rowOff>
    </xdr:from>
    <xdr:to>
      <xdr:col>32</xdr:col>
      <xdr:colOff>120649</xdr:colOff>
      <xdr:row>80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57148</xdr:colOff>
      <xdr:row>111</xdr:row>
      <xdr:rowOff>63500</xdr:rowOff>
    </xdr:from>
    <xdr:to>
      <xdr:col>30</xdr:col>
      <xdr:colOff>228599</xdr:colOff>
      <xdr:row>125</xdr:row>
      <xdr:rowOff>127000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171449</xdr:colOff>
      <xdr:row>106</xdr:row>
      <xdr:rowOff>88900</xdr:rowOff>
    </xdr:from>
    <xdr:to>
      <xdr:col>15</xdr:col>
      <xdr:colOff>120649</xdr:colOff>
      <xdr:row>120</xdr:row>
      <xdr:rowOff>165100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79</xdr:col>
      <xdr:colOff>165100</xdr:colOff>
      <xdr:row>105</xdr:row>
      <xdr:rowOff>127000</xdr:rowOff>
    </xdr:from>
    <xdr:to>
      <xdr:col>90</xdr:col>
      <xdr:colOff>50800</xdr:colOff>
      <xdr:row>124</xdr:row>
      <xdr:rowOff>25400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279400</xdr:colOff>
      <xdr:row>124</xdr:row>
      <xdr:rowOff>152400</xdr:rowOff>
    </xdr:from>
    <xdr:to>
      <xdr:col>93</xdr:col>
      <xdr:colOff>488950</xdr:colOff>
      <xdr:row>144</xdr:row>
      <xdr:rowOff>25400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68</xdr:col>
      <xdr:colOff>0</xdr:colOff>
      <xdr:row>105</xdr:row>
      <xdr:rowOff>101600</xdr:rowOff>
    </xdr:from>
    <xdr:to>
      <xdr:col>79</xdr:col>
      <xdr:colOff>88900</xdr:colOff>
      <xdr:row>124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70</xdr:col>
      <xdr:colOff>584200</xdr:colOff>
      <xdr:row>124</xdr:row>
      <xdr:rowOff>50800</xdr:rowOff>
    </xdr:from>
    <xdr:to>
      <xdr:col>82</xdr:col>
      <xdr:colOff>184150</xdr:colOff>
      <xdr:row>143</xdr:row>
      <xdr:rowOff>114300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0</xdr:colOff>
      <xdr:row>169</xdr:row>
      <xdr:rowOff>0</xdr:rowOff>
    </xdr:from>
    <xdr:to>
      <xdr:col>69</xdr:col>
      <xdr:colOff>374652</xdr:colOff>
      <xdr:row>184</xdr:row>
      <xdr:rowOff>114300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167</xdr:row>
      <xdr:rowOff>0</xdr:rowOff>
    </xdr:from>
    <xdr:to>
      <xdr:col>6</xdr:col>
      <xdr:colOff>552452</xdr:colOff>
      <xdr:row>182</xdr:row>
      <xdr:rowOff>114300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336548</xdr:colOff>
      <xdr:row>168</xdr:row>
      <xdr:rowOff>76200</xdr:rowOff>
    </xdr:from>
    <xdr:to>
      <xdr:col>30</xdr:col>
      <xdr:colOff>279399</xdr:colOff>
      <xdr:row>182</xdr:row>
      <xdr:rowOff>152400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469908</xdr:colOff>
      <xdr:row>35</xdr:row>
      <xdr:rowOff>114308</xdr:rowOff>
    </xdr:from>
    <xdr:to>
      <xdr:col>17</xdr:col>
      <xdr:colOff>419100</xdr:colOff>
      <xdr:row>63</xdr:row>
      <xdr:rowOff>25400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317508</xdr:colOff>
      <xdr:row>27</xdr:row>
      <xdr:rowOff>50800</xdr:rowOff>
    </xdr:from>
    <xdr:to>
      <xdr:col>44</xdr:col>
      <xdr:colOff>558800</xdr:colOff>
      <xdr:row>67</xdr:row>
      <xdr:rowOff>177800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8</xdr:colOff>
      <xdr:row>35</xdr:row>
      <xdr:rowOff>139700</xdr:rowOff>
    </xdr:from>
    <xdr:to>
      <xdr:col>28</xdr:col>
      <xdr:colOff>12700</xdr:colOff>
      <xdr:row>62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79375</xdr:colOff>
      <xdr:row>26</xdr:row>
      <xdr:rowOff>117475</xdr:rowOff>
    </xdr:from>
    <xdr:to>
      <xdr:col>27</xdr:col>
      <xdr:colOff>384175</xdr:colOff>
      <xdr:row>41</xdr:row>
      <xdr:rowOff>3175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266700</xdr:colOff>
      <xdr:row>7</xdr:row>
      <xdr:rowOff>12708</xdr:rowOff>
    </xdr:from>
    <xdr:to>
      <xdr:col>26</xdr:col>
      <xdr:colOff>342900</xdr:colOff>
      <xdr:row>21</xdr:row>
      <xdr:rowOff>88908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139700</xdr:colOff>
      <xdr:row>42</xdr:row>
      <xdr:rowOff>25408</xdr:rowOff>
    </xdr:from>
    <xdr:to>
      <xdr:col>28</xdr:col>
      <xdr:colOff>596900</xdr:colOff>
      <xdr:row>56</xdr:row>
      <xdr:rowOff>88908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58</xdr:row>
      <xdr:rowOff>0</xdr:rowOff>
    </xdr:from>
    <xdr:to>
      <xdr:col>27</xdr:col>
      <xdr:colOff>304800</xdr:colOff>
      <xdr:row>72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139708</xdr:colOff>
      <xdr:row>68</xdr:row>
      <xdr:rowOff>101608</xdr:rowOff>
    </xdr:from>
    <xdr:to>
      <xdr:col>19</xdr:col>
      <xdr:colOff>508000</xdr:colOff>
      <xdr:row>89</xdr:row>
      <xdr:rowOff>165100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546100</xdr:colOff>
      <xdr:row>65</xdr:row>
      <xdr:rowOff>165100</xdr:rowOff>
    </xdr:from>
    <xdr:to>
      <xdr:col>20</xdr:col>
      <xdr:colOff>241300</xdr:colOff>
      <xdr:row>80</xdr:row>
      <xdr:rowOff>50800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127000</xdr:colOff>
      <xdr:row>18</xdr:row>
      <xdr:rowOff>82549</xdr:rowOff>
    </xdr:from>
    <xdr:to>
      <xdr:col>19</xdr:col>
      <xdr:colOff>431800</xdr:colOff>
      <xdr:row>32</xdr:row>
      <xdr:rowOff>146049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546108</xdr:colOff>
      <xdr:row>34</xdr:row>
      <xdr:rowOff>82549</xdr:rowOff>
    </xdr:from>
    <xdr:to>
      <xdr:col>19</xdr:col>
      <xdr:colOff>241308</xdr:colOff>
      <xdr:row>48</xdr:row>
      <xdr:rowOff>158749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457208</xdr:colOff>
      <xdr:row>32</xdr:row>
      <xdr:rowOff>8</xdr:rowOff>
    </xdr:from>
    <xdr:to>
      <xdr:col>12</xdr:col>
      <xdr:colOff>152408</xdr:colOff>
      <xdr:row>46</xdr:row>
      <xdr:rowOff>76208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787408</xdr:colOff>
      <xdr:row>56</xdr:row>
      <xdr:rowOff>177808</xdr:rowOff>
    </xdr:from>
    <xdr:to>
      <xdr:col>15</xdr:col>
      <xdr:colOff>50800</xdr:colOff>
      <xdr:row>94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127000</xdr:colOff>
      <xdr:row>44</xdr:row>
      <xdr:rowOff>0</xdr:rowOff>
    </xdr:from>
    <xdr:to>
      <xdr:col>39</xdr:col>
      <xdr:colOff>431800</xdr:colOff>
      <xdr:row>58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292100</xdr:colOff>
      <xdr:row>116</xdr:row>
      <xdr:rowOff>31750</xdr:rowOff>
    </xdr:from>
    <xdr:to>
      <xdr:col>68</xdr:col>
      <xdr:colOff>139700</xdr:colOff>
      <xdr:row>139</xdr:row>
      <xdr:rowOff>12700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419100</xdr:colOff>
      <xdr:row>114</xdr:row>
      <xdr:rowOff>133350</xdr:rowOff>
    </xdr:from>
    <xdr:to>
      <xdr:col>54</xdr:col>
      <xdr:colOff>88900</xdr:colOff>
      <xdr:row>137</xdr:row>
      <xdr:rowOff>88900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203200</xdr:colOff>
      <xdr:row>62</xdr:row>
      <xdr:rowOff>76200</xdr:rowOff>
    </xdr:from>
    <xdr:to>
      <xdr:col>76</xdr:col>
      <xdr:colOff>596900</xdr:colOff>
      <xdr:row>82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177800</xdr:colOff>
      <xdr:row>143</xdr:row>
      <xdr:rowOff>133349</xdr:rowOff>
    </xdr:from>
    <xdr:to>
      <xdr:col>28</xdr:col>
      <xdr:colOff>127000</xdr:colOff>
      <xdr:row>159</xdr:row>
      <xdr:rowOff>101600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12700</xdr:colOff>
      <xdr:row>138</xdr:row>
      <xdr:rowOff>38100</xdr:rowOff>
    </xdr:from>
    <xdr:to>
      <xdr:col>54</xdr:col>
      <xdr:colOff>73025</xdr:colOff>
      <xdr:row>161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25400</xdr:colOff>
      <xdr:row>117</xdr:row>
      <xdr:rowOff>88900</xdr:rowOff>
    </xdr:from>
    <xdr:to>
      <xdr:col>53</xdr:col>
      <xdr:colOff>279400</xdr:colOff>
      <xdr:row>141</xdr:row>
      <xdr:rowOff>12700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381000</xdr:colOff>
      <xdr:row>117</xdr:row>
      <xdr:rowOff>19050</xdr:rowOff>
    </xdr:from>
    <xdr:to>
      <xdr:col>65</xdr:col>
      <xdr:colOff>508000</xdr:colOff>
      <xdr:row>140</xdr:row>
      <xdr:rowOff>25400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330200</xdr:colOff>
      <xdr:row>57</xdr:row>
      <xdr:rowOff>63500</xdr:rowOff>
    </xdr:from>
    <xdr:to>
      <xdr:col>72</xdr:col>
      <xdr:colOff>571500</xdr:colOff>
      <xdr:row>79</xdr:row>
      <xdr:rowOff>63500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127000</xdr:colOff>
      <xdr:row>143</xdr:row>
      <xdr:rowOff>120648</xdr:rowOff>
    </xdr:from>
    <xdr:to>
      <xdr:col>28</xdr:col>
      <xdr:colOff>533399</xdr:colOff>
      <xdr:row>158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330200</xdr:colOff>
      <xdr:row>142</xdr:row>
      <xdr:rowOff>88900</xdr:rowOff>
    </xdr:from>
    <xdr:to>
      <xdr:col>55</xdr:col>
      <xdr:colOff>101600</xdr:colOff>
      <xdr:row>166</xdr:row>
      <xdr:rowOff>12700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254000</xdr:colOff>
      <xdr:row>59</xdr:row>
      <xdr:rowOff>25400</xdr:rowOff>
    </xdr:from>
    <xdr:to>
      <xdr:col>80</xdr:col>
      <xdr:colOff>342900</xdr:colOff>
      <xdr:row>81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241300</xdr:colOff>
      <xdr:row>114</xdr:row>
      <xdr:rowOff>0</xdr:rowOff>
    </xdr:from>
    <xdr:to>
      <xdr:col>70</xdr:col>
      <xdr:colOff>88900</xdr:colOff>
      <xdr:row>138</xdr:row>
      <xdr:rowOff>38100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203200</xdr:colOff>
      <xdr:row>114</xdr:row>
      <xdr:rowOff>63500</xdr:rowOff>
    </xdr:from>
    <xdr:to>
      <xdr:col>55</xdr:col>
      <xdr:colOff>520700</xdr:colOff>
      <xdr:row>137</xdr:row>
      <xdr:rowOff>139700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266700</xdr:colOff>
      <xdr:row>142</xdr:row>
      <xdr:rowOff>82548</xdr:rowOff>
    </xdr:from>
    <xdr:to>
      <xdr:col>28</xdr:col>
      <xdr:colOff>381000</xdr:colOff>
      <xdr:row>159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25400</xdr:colOff>
      <xdr:row>138</xdr:row>
      <xdr:rowOff>63500</xdr:rowOff>
    </xdr:from>
    <xdr:to>
      <xdr:col>55</xdr:col>
      <xdr:colOff>342900</xdr:colOff>
      <xdr:row>161</xdr:row>
      <xdr:rowOff>139700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273050</xdr:colOff>
      <xdr:row>108</xdr:row>
      <xdr:rowOff>50800</xdr:rowOff>
    </xdr:from>
    <xdr:to>
      <xdr:col>68</xdr:col>
      <xdr:colOff>12700</xdr:colOff>
      <xdr:row>133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127000</xdr:colOff>
      <xdr:row>110</xdr:row>
      <xdr:rowOff>25400</xdr:rowOff>
    </xdr:from>
    <xdr:to>
      <xdr:col>55</xdr:col>
      <xdr:colOff>63500</xdr:colOff>
      <xdr:row>134</xdr:row>
      <xdr:rowOff>127000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381000</xdr:colOff>
      <xdr:row>49</xdr:row>
      <xdr:rowOff>50800</xdr:rowOff>
    </xdr:from>
    <xdr:to>
      <xdr:col>77</xdr:col>
      <xdr:colOff>596900</xdr:colOff>
      <xdr:row>72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488948</xdr:colOff>
      <xdr:row>143</xdr:row>
      <xdr:rowOff>146048</xdr:rowOff>
    </xdr:from>
    <xdr:to>
      <xdr:col>29</xdr:col>
      <xdr:colOff>380999</xdr:colOff>
      <xdr:row>159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114300</xdr:colOff>
      <xdr:row>134</xdr:row>
      <xdr:rowOff>177800</xdr:rowOff>
    </xdr:from>
    <xdr:to>
      <xdr:col>55</xdr:col>
      <xdr:colOff>50800</xdr:colOff>
      <xdr:row>159</xdr:row>
      <xdr:rowOff>88900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276225</xdr:colOff>
      <xdr:row>10</xdr:row>
      <xdr:rowOff>66675</xdr:rowOff>
    </xdr:from>
    <xdr:to>
      <xdr:col>49</xdr:col>
      <xdr:colOff>581025</xdr:colOff>
      <xdr:row>24</xdr:row>
      <xdr:rowOff>142875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466725</xdr:colOff>
      <xdr:row>40</xdr:row>
      <xdr:rowOff>85725</xdr:rowOff>
    </xdr:from>
    <xdr:to>
      <xdr:col>41</xdr:col>
      <xdr:colOff>161925</xdr:colOff>
      <xdr:row>54</xdr:row>
      <xdr:rowOff>152400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228600</xdr:colOff>
      <xdr:row>53</xdr:row>
      <xdr:rowOff>76200</xdr:rowOff>
    </xdr:from>
    <xdr:to>
      <xdr:col>50</xdr:col>
      <xdr:colOff>533400</xdr:colOff>
      <xdr:row>67</xdr:row>
      <xdr:rowOff>133350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476250</xdr:colOff>
      <xdr:row>44</xdr:row>
      <xdr:rowOff>28575</xdr:rowOff>
    </xdr:from>
    <xdr:to>
      <xdr:col>15</xdr:col>
      <xdr:colOff>571500</xdr:colOff>
      <xdr:row>58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571500</xdr:colOff>
      <xdr:row>78</xdr:row>
      <xdr:rowOff>31748</xdr:rowOff>
    </xdr:from>
    <xdr:to>
      <xdr:col>73</xdr:col>
      <xdr:colOff>101600</xdr:colOff>
      <xdr:row>95</xdr:row>
      <xdr:rowOff>165099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469900</xdr:colOff>
      <xdr:row>116</xdr:row>
      <xdr:rowOff>50800</xdr:rowOff>
    </xdr:from>
    <xdr:to>
      <xdr:col>62</xdr:col>
      <xdr:colOff>419100</xdr:colOff>
      <xdr:row>135</xdr:row>
      <xdr:rowOff>6349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241300</xdr:colOff>
      <xdr:row>115</xdr:row>
      <xdr:rowOff>165100</xdr:rowOff>
    </xdr:from>
    <xdr:to>
      <xdr:col>51</xdr:col>
      <xdr:colOff>381000</xdr:colOff>
      <xdr:row>134</xdr:row>
      <xdr:rowOff>82549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596900</xdr:colOff>
      <xdr:row>144</xdr:row>
      <xdr:rowOff>69848</xdr:rowOff>
    </xdr:from>
    <xdr:to>
      <xdr:col>29</xdr:col>
      <xdr:colOff>304800</xdr:colOff>
      <xdr:row>160</xdr:row>
      <xdr:rowOff>101599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177800</xdr:colOff>
      <xdr:row>135</xdr:row>
      <xdr:rowOff>0</xdr:rowOff>
    </xdr:from>
    <xdr:to>
      <xdr:col>52</xdr:col>
      <xdr:colOff>406400</xdr:colOff>
      <xdr:row>153</xdr:row>
      <xdr:rowOff>107949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atalities\World%2020%20countries%20BA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atalities\World%2020%20countries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empl"/>
      <sheetName val="GDP"/>
      <sheetName val="POP"/>
      <sheetName val="pop logistic"/>
      <sheetName val="MV logistic"/>
      <sheetName val="VKT logistic"/>
      <sheetName val="unempl logistic"/>
      <sheetName val="CPI"/>
      <sheetName val="CPI summary"/>
      <sheetName val="infl OECD"/>
      <sheetName val="Inlf World Bank"/>
      <sheetName val="Exchange Rates"/>
      <sheetName val="XR"/>
      <sheetName val="Sheet13"/>
      <sheetName val="Deaths per popul"/>
      <sheetName val="Fatals"/>
      <sheetName val="Real Exchage Rate"/>
      <sheetName val="Real oil price"/>
      <sheetName val="Petrol price nominal"/>
      <sheetName val="Real petrol price"/>
      <sheetName val="VKT"/>
      <sheetName val="VKTPOP"/>
      <sheetName val="Sheet45"/>
      <sheetName val="Australia"/>
      <sheetName val="Sheet26"/>
      <sheetName val="Australia Logistic"/>
      <sheetName val="Australia VKT"/>
      <sheetName val="AustriaReg"/>
      <sheetName val="Austria"/>
      <sheetName val="BelgiumReg"/>
      <sheetName val="Belgium"/>
      <sheetName val="BritainReg"/>
      <sheetName val="Britain"/>
      <sheetName val="Britain Logistic"/>
      <sheetName val="CanadaReg"/>
      <sheetName val="Canada"/>
      <sheetName val="Sheet31"/>
      <sheetName val="Czech Rep"/>
      <sheetName val="DenmarkReg"/>
      <sheetName val="Denmark"/>
      <sheetName val="FinlandReg"/>
      <sheetName val="Finland"/>
      <sheetName val="FranceReg"/>
      <sheetName val="France"/>
      <sheetName val="GermanyReg"/>
      <sheetName val="Germany"/>
      <sheetName val="Germany Logistic"/>
      <sheetName val="GreeceReg"/>
      <sheetName val="Greece"/>
      <sheetName val="HungaryReg"/>
      <sheetName val="Hungary"/>
      <sheetName val="IcelandReg"/>
      <sheetName val="Iceland"/>
      <sheetName val="IrelandReg"/>
      <sheetName val="Ireland"/>
      <sheetName val="Sheet9"/>
      <sheetName val="Sheet11"/>
      <sheetName val="IsrealReg"/>
      <sheetName val="Israel"/>
      <sheetName val="Israel Logistic"/>
      <sheetName val="Sheet7"/>
      <sheetName val="Sheet8"/>
      <sheetName val="Sheet12"/>
      <sheetName val="Sheet29"/>
      <sheetName val="Italy"/>
      <sheetName val="Sheet15"/>
      <sheetName val="Sheet10"/>
      <sheetName val="Sheet14"/>
      <sheetName val="Sheet16"/>
      <sheetName val="Sheet17"/>
      <sheetName val="Sheet18"/>
      <sheetName val="Sheet19"/>
      <sheetName val="Sheet20"/>
      <sheetName val="Sheet21"/>
      <sheetName val="Sheet22"/>
      <sheetName val="Sheet24"/>
      <sheetName val="Sheet25"/>
      <sheetName val="Sheet28"/>
      <sheetName val="Japan"/>
      <sheetName val="Japan Logistic"/>
      <sheetName val="Japan vkt correction"/>
      <sheetName val="Korea"/>
      <sheetName val="KoreaReg"/>
      <sheetName val="Korea logistic"/>
      <sheetName val="Sheet48"/>
      <sheetName val="Netherlands"/>
      <sheetName val="NethLogisticReg"/>
      <sheetName val="Netherlands Logistic"/>
      <sheetName val="NZReg"/>
      <sheetName val="New Zealand"/>
      <sheetName val="Sheet34"/>
      <sheetName val="Sheet62"/>
      <sheetName val="Sheet63"/>
      <sheetName val="Sheet64"/>
      <sheetName val="Sheet65"/>
      <sheetName val="Sheet66"/>
      <sheetName val="Sheet69"/>
      <sheetName val="Norway"/>
      <sheetName val="Poland logistic"/>
      <sheetName val="Portugal"/>
      <sheetName val="Slovenia"/>
      <sheetName val="Spain"/>
      <sheetName val="Sheet71"/>
      <sheetName val="Sweden"/>
      <sheetName val="Sheet73"/>
      <sheetName val="Switzerland"/>
      <sheetName val="Turkey"/>
      <sheetName val="USAreg"/>
      <sheetName val="Sheet23"/>
      <sheetName val="Sheet67"/>
      <sheetName val="Sheet68"/>
      <sheetName val="Sheet70"/>
      <sheetName val="Sheet72"/>
      <sheetName val="Sheet75"/>
      <sheetName val="Sheet76"/>
      <sheetName val="Sheet77"/>
      <sheetName val="Sheet78"/>
      <sheetName val="Sheet79"/>
      <sheetName val="Sheet80"/>
      <sheetName val="Sheet49"/>
      <sheetName val="Sheet50"/>
      <sheetName val="Sheet51"/>
      <sheetName val="USA"/>
      <sheetName val="USAlogisticReg"/>
      <sheetName val="Sheet27"/>
      <sheetName val="Sheet47"/>
      <sheetName val="Sheet52"/>
      <sheetName val="Sheet53"/>
      <sheetName val="Sheet54"/>
      <sheetName val="Sheet55"/>
      <sheetName val="Sheet56"/>
      <sheetName val="Sheet57"/>
      <sheetName val="Sheet58"/>
      <sheetName val="USAlogistic"/>
      <sheetName val="20 cou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EM19">
            <v>5.4686940000000002</v>
          </cell>
          <cell r="GW19">
            <v>59.4</v>
          </cell>
          <cell r="HA19">
            <v>69.400000000000006</v>
          </cell>
        </row>
        <row r="20">
          <cell r="EM20">
            <v>5.6912486400000004</v>
          </cell>
          <cell r="GW20">
            <v>60.6</v>
          </cell>
          <cell r="HA20">
            <v>72.599999999999994</v>
          </cell>
        </row>
        <row r="21">
          <cell r="EM21">
            <v>5.9528831999999987</v>
          </cell>
          <cell r="GW21">
            <v>61.8</v>
          </cell>
          <cell r="HA21">
            <v>73</v>
          </cell>
        </row>
        <row r="22">
          <cell r="EM22">
            <v>6.0994400000000004</v>
          </cell>
          <cell r="GW22">
            <v>61.8</v>
          </cell>
          <cell r="HA22">
            <v>73.099999999999994</v>
          </cell>
        </row>
        <row r="23">
          <cell r="EM23">
            <v>6.2820700800000004</v>
          </cell>
          <cell r="GW23">
            <v>61.8</v>
          </cell>
          <cell r="HA23">
            <v>72.5</v>
          </cell>
        </row>
        <row r="24">
          <cell r="EM24">
            <v>6.5012903999999994</v>
          </cell>
          <cell r="GW24">
            <v>61.8</v>
          </cell>
          <cell r="HA24">
            <v>72.3</v>
          </cell>
        </row>
        <row r="25">
          <cell r="EM25">
            <v>6.6553238400000003</v>
          </cell>
          <cell r="GW25">
            <v>61.8</v>
          </cell>
          <cell r="HA25">
            <v>74</v>
          </cell>
        </row>
        <row r="26">
          <cell r="EM26">
            <v>6.60051744</v>
          </cell>
          <cell r="GW26">
            <v>59.1</v>
          </cell>
          <cell r="HA26">
            <v>75.2</v>
          </cell>
        </row>
        <row r="27">
          <cell r="EM27">
            <v>7.3220799999999997</v>
          </cell>
          <cell r="GW27">
            <v>40.6</v>
          </cell>
          <cell r="HA27">
            <v>72.099999999999994</v>
          </cell>
        </row>
        <row r="28">
          <cell r="EM28">
            <v>10.936240000000002</v>
          </cell>
          <cell r="GW28">
            <v>39.799999999999997</v>
          </cell>
          <cell r="HA28">
            <v>60.3</v>
          </cell>
        </row>
        <row r="29">
          <cell r="EM29">
            <v>12.206080000000002</v>
          </cell>
          <cell r="GW29">
            <v>39.799999999999997</v>
          </cell>
          <cell r="HA29">
            <v>58.8</v>
          </cell>
        </row>
        <row r="30">
          <cell r="EM30">
            <v>12.874065600000002</v>
          </cell>
          <cell r="GW30">
            <v>53.8</v>
          </cell>
          <cell r="HA30">
            <v>58.2</v>
          </cell>
        </row>
        <row r="31">
          <cell r="EM31">
            <v>13.258080000000003</v>
          </cell>
          <cell r="GW31">
            <v>53.8</v>
          </cell>
          <cell r="HA31">
            <v>62.3</v>
          </cell>
        </row>
        <row r="32">
          <cell r="EM32">
            <v>13.471920000000003</v>
          </cell>
          <cell r="GW32">
            <v>53.8</v>
          </cell>
          <cell r="HA32">
            <v>59.5</v>
          </cell>
        </row>
        <row r="33">
          <cell r="EM33">
            <v>19.504000000000001</v>
          </cell>
          <cell r="GW33">
            <v>54.1</v>
          </cell>
          <cell r="HA33">
            <v>54</v>
          </cell>
        </row>
        <row r="34">
          <cell r="EM34">
            <v>29.598748001812488</v>
          </cell>
          <cell r="GW34">
            <v>49.5</v>
          </cell>
          <cell r="HA34">
            <v>54</v>
          </cell>
        </row>
        <row r="35">
          <cell r="EM35">
            <v>33.113333297827211</v>
          </cell>
          <cell r="GW35">
            <v>49.2</v>
          </cell>
          <cell r="HA35">
            <v>53.7</v>
          </cell>
        </row>
        <row r="36">
          <cell r="EM36">
            <v>29.880602160469969</v>
          </cell>
          <cell r="GW36">
            <v>50.3</v>
          </cell>
          <cell r="HA36">
            <v>54.1</v>
          </cell>
        </row>
        <row r="37">
          <cell r="EM37">
            <v>26.953524326241887</v>
          </cell>
          <cell r="GW37">
            <v>52.3</v>
          </cell>
          <cell r="HA37">
            <v>54.8</v>
          </cell>
        </row>
        <row r="38">
          <cell r="EM38">
            <v>25.889493154083407</v>
          </cell>
          <cell r="GW38">
            <v>50.1</v>
          </cell>
          <cell r="HA38">
            <v>55.1</v>
          </cell>
        </row>
        <row r="39">
          <cell r="EM39">
            <v>25.653020480062214</v>
          </cell>
          <cell r="GW39">
            <v>52</v>
          </cell>
          <cell r="HA39">
            <v>57.3</v>
          </cell>
        </row>
        <row r="40">
          <cell r="EM40">
            <v>18.505412988196149</v>
          </cell>
          <cell r="GW40">
            <v>58.2</v>
          </cell>
          <cell r="HA40">
            <v>67.3</v>
          </cell>
        </row>
        <row r="41">
          <cell r="EM41">
            <v>18.825311419827834</v>
          </cell>
          <cell r="GW41">
            <v>60</v>
          </cell>
          <cell r="HA41">
            <v>67.3</v>
          </cell>
        </row>
        <row r="42">
          <cell r="EM42">
            <v>18.598076045575858</v>
          </cell>
          <cell r="GW42">
            <v>59.2</v>
          </cell>
          <cell r="HA42">
            <v>65</v>
          </cell>
        </row>
        <row r="43">
          <cell r="EM43">
            <v>19.985522357590856</v>
          </cell>
          <cell r="GW43">
            <v>58</v>
          </cell>
          <cell r="HA43">
            <v>64.400000000000006</v>
          </cell>
        </row>
        <row r="44">
          <cell r="EM44">
            <v>20.972217975323936</v>
          </cell>
          <cell r="GW44">
            <v>54.3</v>
          </cell>
          <cell r="HA44">
            <v>63.2</v>
          </cell>
        </row>
        <row r="45">
          <cell r="EM45">
            <v>20.908682983510761</v>
          </cell>
          <cell r="GW45">
            <v>54</v>
          </cell>
          <cell r="HA45">
            <v>66.3</v>
          </cell>
        </row>
        <row r="46">
          <cell r="EM46">
            <v>18.79503223890617</v>
          </cell>
          <cell r="GW46">
            <v>57</v>
          </cell>
          <cell r="HA46">
            <v>69.400000000000006</v>
          </cell>
        </row>
        <row r="47">
          <cell r="EM47">
            <v>18.143880510663731</v>
          </cell>
          <cell r="GW47">
            <v>60</v>
          </cell>
          <cell r="HA47">
            <v>70.25</v>
          </cell>
        </row>
        <row r="48">
          <cell r="EM48">
            <v>18.77686538183816</v>
          </cell>
          <cell r="GW48">
            <v>50</v>
          </cell>
          <cell r="HA48">
            <v>71.099999999999994</v>
          </cell>
        </row>
        <row r="49">
          <cell r="EM49">
            <v>19.35297081547019</v>
          </cell>
          <cell r="GW49">
            <v>50</v>
          </cell>
          <cell r="HA49">
            <v>71.400000000000006</v>
          </cell>
        </row>
        <row r="50">
          <cell r="EM50">
            <v>22.191792531573224</v>
          </cell>
          <cell r="GW50">
            <v>49</v>
          </cell>
          <cell r="HA50">
            <v>72.2</v>
          </cell>
        </row>
        <row r="51">
          <cell r="EM51">
            <v>21.523322448549237</v>
          </cell>
          <cell r="GW51">
            <v>49</v>
          </cell>
          <cell r="HA51">
            <v>72.2</v>
          </cell>
        </row>
        <row r="52">
          <cell r="EM52">
            <v>17.178454997654764</v>
          </cell>
          <cell r="GW52">
            <v>49</v>
          </cell>
          <cell r="HA52">
            <v>74.7</v>
          </cell>
        </row>
        <row r="53">
          <cell r="EM53">
            <v>20.077904527117798</v>
          </cell>
          <cell r="GW53">
            <v>49</v>
          </cell>
          <cell r="HA53">
            <v>63</v>
          </cell>
        </row>
        <row r="54">
          <cell r="EM54">
            <v>29.271519479398165</v>
          </cell>
        </row>
        <row r="55">
          <cell r="EM55">
            <v>27.625958925895674</v>
          </cell>
        </row>
        <row r="56">
          <cell r="EM56">
            <v>25.482252315210701</v>
          </cell>
        </row>
        <row r="57">
          <cell r="EM57">
            <v>31.137566872943239</v>
          </cell>
        </row>
        <row r="58">
          <cell r="EM58">
            <v>38.872375655962969</v>
          </cell>
        </row>
        <row r="59">
          <cell r="EM59">
            <v>49.9495483910096</v>
          </cell>
        </row>
        <row r="60">
          <cell r="EM60">
            <v>58.003288322453784</v>
          </cell>
        </row>
        <row r="61">
          <cell r="EM61">
            <v>64.074945162345202</v>
          </cell>
        </row>
        <row r="62">
          <cell r="EM62">
            <v>75.972274723168326</v>
          </cell>
        </row>
        <row r="63">
          <cell r="EM63">
            <v>52.022536155980333</v>
          </cell>
        </row>
        <row r="64">
          <cell r="EM64">
            <v>63.430995453433596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empl"/>
      <sheetName val="GDP"/>
      <sheetName val="POP"/>
      <sheetName val="pop logistic"/>
      <sheetName val="MV logistic"/>
      <sheetName val="VKT logistic"/>
      <sheetName val="unempl logistic"/>
      <sheetName val="CPI"/>
      <sheetName val="CPI summary"/>
      <sheetName val="infl OECD"/>
      <sheetName val="Inlf World Bank"/>
      <sheetName val="Exchange Rates"/>
      <sheetName val="XR"/>
      <sheetName val="Sheet13"/>
      <sheetName val="Deaths per popul"/>
      <sheetName val="Fatals"/>
      <sheetName val="Real Exchage Rate"/>
      <sheetName val="Real oil price"/>
      <sheetName val="Petrol price nominal"/>
      <sheetName val="Real petrol price"/>
      <sheetName val="VKT"/>
      <sheetName val="VKTPOP"/>
      <sheetName val="AustraliaReg"/>
      <sheetName val="Australia"/>
      <sheetName val="OzLogisticReg"/>
      <sheetName val="OzTrendReg"/>
      <sheetName val="Australia Logistic"/>
      <sheetName val="Australia VKT"/>
      <sheetName val="AustriaReg"/>
      <sheetName val="Austria"/>
      <sheetName val="BelgiumReg"/>
      <sheetName val="Belgium"/>
      <sheetName val="BritainReg"/>
      <sheetName val="Britain"/>
      <sheetName val="BrtLogistReg"/>
      <sheetName val="Britain Logistic"/>
      <sheetName val="CanadaReg"/>
      <sheetName val="Canada"/>
      <sheetName val="CzechReg"/>
      <sheetName val="CRep"/>
      <sheetName val="CzechLogistReg"/>
      <sheetName val="Czech Logistic"/>
      <sheetName val="DenmarkReg"/>
      <sheetName val="Denmark"/>
      <sheetName val="FinlandReg"/>
      <sheetName val="Finland"/>
      <sheetName val="FranceReg"/>
      <sheetName val="France"/>
      <sheetName val="GermanyReg"/>
      <sheetName val="Germany"/>
      <sheetName val="Germany Logistic"/>
      <sheetName val="GreeceReg"/>
      <sheetName val="Greece"/>
      <sheetName val="HungaryReg"/>
      <sheetName val="Hungary"/>
      <sheetName val="HungaryLogisticReg"/>
      <sheetName val="HungaryLogistic"/>
      <sheetName val="IcelandReg"/>
      <sheetName val="Iceland"/>
      <sheetName val="IrelandReg"/>
      <sheetName val="Ireland"/>
      <sheetName val="IsrealReg"/>
      <sheetName val="Israel"/>
      <sheetName val="Israel Logistic"/>
      <sheetName val="ItalyReg"/>
      <sheetName val="Italy"/>
      <sheetName val="JapanReg"/>
      <sheetName val="Japan"/>
      <sheetName val="Japan Logistic"/>
      <sheetName val="Japan vkt correction"/>
      <sheetName val="Korea"/>
      <sheetName val="KoreaReg"/>
      <sheetName val="Korea logistic"/>
      <sheetName val="Netherlands"/>
      <sheetName val="NetherlandsReg"/>
      <sheetName val="Netherlands Logistic"/>
      <sheetName val="NZ reg"/>
      <sheetName val="New Zealand"/>
      <sheetName val="NorwayReg"/>
      <sheetName val="Norway"/>
      <sheetName val="Poland logistic"/>
      <sheetName val="Portugal"/>
      <sheetName val="Slovenia"/>
      <sheetName val="SpainReg"/>
      <sheetName val="Spain"/>
      <sheetName val="SwedenReg"/>
      <sheetName val="Sweden"/>
      <sheetName val="SwitzlReg"/>
      <sheetName val="Switzerland"/>
      <sheetName val="TurkeyReg"/>
      <sheetName val="Turkey"/>
      <sheetName val="UsaReg"/>
      <sheetName val="USA"/>
      <sheetName val="USAlogisticReg"/>
      <sheetName val="USAlogistic"/>
      <sheetName val="USA UPT"/>
      <sheetName val="Sheet1"/>
      <sheetName val="Sheet2"/>
      <sheetName val="Sheet3"/>
      <sheetName val="US peak daily travel"/>
      <sheetName val="TT2 equat"/>
      <sheetName val="Logistic equa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4"/>
      <sheetName val="Logist Equat"/>
      <sheetName val="Short Equat"/>
      <sheetName val="Sheet16"/>
      <sheetName val="Sheet17"/>
      <sheetName val="Sheet18"/>
      <sheetName val="Sheet19"/>
      <sheetName val="US Urban analysis"/>
      <sheetName val="x1"/>
      <sheetName val="20 countries"/>
      <sheetName val="x"/>
      <sheetName val="z"/>
    </sheetNames>
    <sheetDataSet>
      <sheetData sheetId="0"/>
      <sheetData sheetId="1"/>
      <sheetData sheetId="2">
        <row r="51">
          <cell r="G51">
            <v>10202</v>
          </cell>
          <cell r="P51">
            <v>7354</v>
          </cell>
          <cell r="AB51">
            <v>77804</v>
          </cell>
        </row>
        <row r="52">
          <cell r="G52">
            <v>10190</v>
          </cell>
          <cell r="P52">
            <v>7473</v>
          </cell>
          <cell r="AB52">
            <v>78786</v>
          </cell>
        </row>
        <row r="53">
          <cell r="G53">
            <v>10177</v>
          </cell>
          <cell r="P53">
            <v>7591</v>
          </cell>
          <cell r="AB53">
            <v>79749</v>
          </cell>
        </row>
        <row r="54">
          <cell r="G54">
            <v>10163</v>
          </cell>
          <cell r="P54">
            <v>7707</v>
          </cell>
          <cell r="AB54">
            <v>80694</v>
          </cell>
        </row>
        <row r="55">
          <cell r="G55">
            <v>10147</v>
          </cell>
          <cell r="P55">
            <v>7822</v>
          </cell>
          <cell r="AB55">
            <v>81619</v>
          </cell>
        </row>
        <row r="56">
          <cell r="G56">
            <v>10130</v>
          </cell>
          <cell r="P56">
            <v>7935</v>
          </cell>
          <cell r="AB56">
            <v>82523</v>
          </cell>
        </row>
        <row r="57">
          <cell r="G57">
            <v>10110</v>
          </cell>
          <cell r="P57">
            <v>8047</v>
          </cell>
          <cell r="AB57">
            <v>83407</v>
          </cell>
        </row>
        <row r="58">
          <cell r="G58">
            <v>10089</v>
          </cell>
          <cell r="P58">
            <v>8157</v>
          </cell>
          <cell r="AB58">
            <v>84273</v>
          </cell>
        </row>
        <row r="59">
          <cell r="G59">
            <v>10066</v>
          </cell>
          <cell r="P59">
            <v>8266</v>
          </cell>
          <cell r="AB59">
            <v>85121</v>
          </cell>
        </row>
        <row r="60">
          <cell r="G60">
            <v>10041</v>
          </cell>
          <cell r="P60">
            <v>8373</v>
          </cell>
          <cell r="AB60">
            <v>85949</v>
          </cell>
        </row>
        <row r="61">
          <cell r="G61">
            <v>10013</v>
          </cell>
          <cell r="P61">
            <v>8479</v>
          </cell>
          <cell r="AB61">
            <v>86757</v>
          </cell>
        </row>
        <row r="62">
          <cell r="G62">
            <v>9984</v>
          </cell>
          <cell r="P62">
            <v>8583</v>
          </cell>
          <cell r="AB62">
            <v>87545</v>
          </cell>
        </row>
        <row r="63">
          <cell r="G63">
            <v>9952</v>
          </cell>
          <cell r="P63">
            <v>8685</v>
          </cell>
          <cell r="AB63">
            <v>88314</v>
          </cell>
        </row>
        <row r="64">
          <cell r="G64">
            <v>9918</v>
          </cell>
          <cell r="P64">
            <v>8786</v>
          </cell>
          <cell r="AB64">
            <v>89063</v>
          </cell>
        </row>
        <row r="65">
          <cell r="G65">
            <v>9882</v>
          </cell>
          <cell r="P65">
            <v>8886</v>
          </cell>
          <cell r="AB65">
            <v>89791</v>
          </cell>
        </row>
        <row r="66">
          <cell r="G66">
            <v>9844</v>
          </cell>
          <cell r="P66">
            <v>8984</v>
          </cell>
          <cell r="AB66">
            <v>90498</v>
          </cell>
        </row>
        <row r="67">
          <cell r="G67">
            <v>9804</v>
          </cell>
          <cell r="P67">
            <v>9081</v>
          </cell>
          <cell r="AB67">
            <v>91185</v>
          </cell>
        </row>
        <row r="68">
          <cell r="G68">
            <v>9763</v>
          </cell>
          <cell r="P68">
            <v>9177</v>
          </cell>
          <cell r="AB68">
            <v>91854</v>
          </cell>
        </row>
        <row r="69">
          <cell r="G69">
            <v>9720</v>
          </cell>
          <cell r="P69">
            <v>9272</v>
          </cell>
          <cell r="AB69">
            <v>92504</v>
          </cell>
        </row>
        <row r="70">
          <cell r="G70">
            <v>9675</v>
          </cell>
          <cell r="P70">
            <v>9366</v>
          </cell>
          <cell r="AB70">
            <v>93133</v>
          </cell>
        </row>
        <row r="71">
          <cell r="G71">
            <v>9629</v>
          </cell>
          <cell r="P71">
            <v>9459</v>
          </cell>
          <cell r="AB71">
            <v>93743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4">
          <cell r="G104">
            <v>17.17039737049565</v>
          </cell>
          <cell r="O104">
            <v>3.4089507625688671</v>
          </cell>
          <cell r="Y104">
            <v>1.5785408326335917</v>
          </cell>
        </row>
        <row r="105">
          <cell r="G105">
            <v>16.918456486218933</v>
          </cell>
          <cell r="O105">
            <v>3.325662868479685</v>
          </cell>
          <cell r="Y105">
            <v>1.5604917901740754</v>
          </cell>
        </row>
        <row r="106">
          <cell r="G106">
            <v>16.678322372233858</v>
          </cell>
          <cell r="O106">
            <v>3.2872131024488165</v>
          </cell>
          <cell r="Y106">
            <v>1.5471032279539119</v>
          </cell>
        </row>
        <row r="107">
          <cell r="G107">
            <v>16.482141997731471</v>
          </cell>
          <cell r="O107">
            <v>3.258948566681704</v>
          </cell>
          <cell r="Y107">
            <v>1.536569511875741</v>
          </cell>
        </row>
        <row r="108">
          <cell r="G108">
            <v>16.266228152668891</v>
          </cell>
          <cell r="O108">
            <v>3.2308252487934448</v>
          </cell>
          <cell r="Y108">
            <v>1.5255370001667095</v>
          </cell>
        </row>
        <row r="109">
          <cell r="G109">
            <v>16.044106597215521</v>
          </cell>
          <cell r="O109">
            <v>3.1996497421001773</v>
          </cell>
          <cell r="Y109">
            <v>1.5177670523192761</v>
          </cell>
        </row>
        <row r="110">
          <cell r="G110">
            <v>15.841986630854137</v>
          </cell>
          <cell r="O110">
            <v>3.1666975873010745</v>
          </cell>
          <cell r="Y110">
            <v>1.5117464546565451</v>
          </cell>
        </row>
        <row r="111">
          <cell r="G111">
            <v>15.643464940492612</v>
          </cell>
          <cell r="O111">
            <v>3.1335906745783157</v>
          </cell>
          <cell r="Y111">
            <v>1.5060108819245632</v>
          </cell>
        </row>
        <row r="112">
          <cell r="G112">
            <v>15.449316074218684</v>
          </cell>
          <cell r="O112">
            <v>3.1001007790134292</v>
          </cell>
          <cell r="Y112">
            <v>1.4987132764608553</v>
          </cell>
        </row>
        <row r="113">
          <cell r="G113">
            <v>15.32621141162913</v>
          </cell>
          <cell r="O113">
            <v>3.0663522418740854</v>
          </cell>
          <cell r="Y113">
            <v>1.4946401047182134</v>
          </cell>
        </row>
        <row r="114">
          <cell r="G114">
            <v>15.219189945299149</v>
          </cell>
          <cell r="O114">
            <v>3.0322792875286844</v>
          </cell>
          <cell r="Y114">
            <v>1.4905780029569384</v>
          </cell>
        </row>
        <row r="115">
          <cell r="G115">
            <v>15.114922531611189</v>
          </cell>
          <cell r="O115">
            <v>2.9980046422877789</v>
          </cell>
          <cell r="Y115">
            <v>1.486526941091266</v>
          </cell>
        </row>
        <row r="116">
          <cell r="G116">
            <v>15.012693500911507</v>
          </cell>
          <cell r="O116">
            <v>2.9632989308547129</v>
          </cell>
          <cell r="Y116">
            <v>1.4824868891171976</v>
          </cell>
        </row>
        <row r="117">
          <cell r="G117">
            <v>14.913980199276693</v>
          </cell>
          <cell r="O117">
            <v>2.9291836670181808</v>
          </cell>
          <cell r="Y117">
            <v>1.478457817112278</v>
          </cell>
        </row>
        <row r="118">
          <cell r="G118">
            <v>14.832861502719075</v>
          </cell>
          <cell r="O118">
            <v>2.8947815881371808</v>
          </cell>
          <cell r="Y118">
            <v>1.4744396952353769</v>
          </cell>
        </row>
        <row r="119">
          <cell r="G119">
            <v>14.752653578866202</v>
          </cell>
          <cell r="O119">
            <v>2.8603947600440729</v>
          </cell>
          <cell r="Y119">
            <v>1.4704324937264641</v>
          </cell>
        </row>
        <row r="120">
          <cell r="G120">
            <v>14.673069069062596</v>
          </cell>
          <cell r="O120">
            <v>2.8272194692929493</v>
          </cell>
          <cell r="Y120">
            <v>1.4664361829063901</v>
          </cell>
        </row>
        <row r="121">
          <cell r="G121">
            <v>14.608318494624918</v>
          </cell>
          <cell r="O121">
            <v>2.795533692523569</v>
          </cell>
          <cell r="Y121">
            <v>1.4624507331766678</v>
          </cell>
        </row>
        <row r="122">
          <cell r="G122">
            <v>14.542912931191244</v>
          </cell>
          <cell r="O122">
            <v>2.7655078456041235</v>
          </cell>
          <cell r="Y122">
            <v>1.4584761150192525</v>
          </cell>
        </row>
        <row r="123">
          <cell r="G123">
            <v>14.480220477540328</v>
          </cell>
          <cell r="O123">
            <v>2.7354004631258215</v>
          </cell>
          <cell r="Y123">
            <v>1.454512298996322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35">
          <cell r="J35">
            <v>7.3</v>
          </cell>
        </row>
        <row r="36">
          <cell r="J36">
            <v>6.8</v>
          </cell>
        </row>
        <row r="37">
          <cell r="J37">
            <v>6.2895000000000003</v>
          </cell>
        </row>
        <row r="38">
          <cell r="J38">
            <v>5.7789999999999999</v>
          </cell>
        </row>
        <row r="39">
          <cell r="J39">
            <v>5.2684999999999995</v>
          </cell>
        </row>
        <row r="40">
          <cell r="J40">
            <v>4.758</v>
          </cell>
        </row>
        <row r="41">
          <cell r="J41">
            <v>4.758</v>
          </cell>
        </row>
        <row r="42">
          <cell r="J42">
            <v>4.758</v>
          </cell>
        </row>
        <row r="43">
          <cell r="J43">
            <v>4.758</v>
          </cell>
        </row>
        <row r="44">
          <cell r="J44">
            <v>4.758</v>
          </cell>
        </row>
        <row r="45">
          <cell r="J45">
            <v>4.758</v>
          </cell>
        </row>
        <row r="46">
          <cell r="J46">
            <v>4.758</v>
          </cell>
        </row>
        <row r="47">
          <cell r="J47">
            <v>4.758</v>
          </cell>
        </row>
        <row r="48">
          <cell r="J48">
            <v>4.758</v>
          </cell>
        </row>
        <row r="49">
          <cell r="J49">
            <v>4.758</v>
          </cell>
        </row>
        <row r="50">
          <cell r="J50">
            <v>4.758</v>
          </cell>
        </row>
        <row r="51">
          <cell r="J51">
            <v>4.758</v>
          </cell>
        </row>
        <row r="52">
          <cell r="J52">
            <v>4.758</v>
          </cell>
        </row>
        <row r="53">
          <cell r="J53">
            <v>4.758</v>
          </cell>
        </row>
        <row r="54">
          <cell r="J54">
            <v>4.758</v>
          </cell>
        </row>
        <row r="55">
          <cell r="J55">
            <v>4.758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52">
          <cell r="M52">
            <v>7.4</v>
          </cell>
        </row>
        <row r="53">
          <cell r="M53">
            <v>5.2</v>
          </cell>
        </row>
        <row r="54">
          <cell r="M54">
            <v>4.9000000000000004</v>
          </cell>
        </row>
        <row r="55">
          <cell r="M55">
            <v>4.6000000000000005</v>
          </cell>
        </row>
        <row r="56">
          <cell r="M56">
            <v>4.3000000000000007</v>
          </cell>
        </row>
        <row r="57">
          <cell r="M57">
            <v>4</v>
          </cell>
        </row>
        <row r="58">
          <cell r="M58">
            <v>4</v>
          </cell>
        </row>
        <row r="59">
          <cell r="M59">
            <v>4</v>
          </cell>
        </row>
        <row r="60">
          <cell r="M60">
            <v>4</v>
          </cell>
        </row>
        <row r="61">
          <cell r="M61">
            <v>4</v>
          </cell>
        </row>
        <row r="62">
          <cell r="M62">
            <v>4</v>
          </cell>
        </row>
        <row r="63">
          <cell r="M63">
            <v>4</v>
          </cell>
        </row>
        <row r="64">
          <cell r="M64">
            <v>4</v>
          </cell>
        </row>
        <row r="65">
          <cell r="M65">
            <v>4</v>
          </cell>
        </row>
        <row r="66">
          <cell r="M66">
            <v>4</v>
          </cell>
        </row>
        <row r="67">
          <cell r="M67">
            <v>4</v>
          </cell>
        </row>
        <row r="68">
          <cell r="M68">
            <v>4</v>
          </cell>
        </row>
        <row r="69">
          <cell r="M69">
            <v>4</v>
          </cell>
        </row>
        <row r="70">
          <cell r="M70">
            <v>4</v>
          </cell>
        </row>
        <row r="71">
          <cell r="M71">
            <v>4</v>
          </cell>
        </row>
        <row r="72">
          <cell r="M72">
            <v>4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2">
          <cell r="K52">
            <v>10.6</v>
          </cell>
        </row>
        <row r="53">
          <cell r="K53">
            <v>9.1999999999999993</v>
          </cell>
        </row>
        <row r="54">
          <cell r="K54">
            <v>8.9749999999999996</v>
          </cell>
        </row>
        <row r="55">
          <cell r="K55">
            <v>8.75</v>
          </cell>
        </row>
        <row r="56">
          <cell r="K56">
            <v>8.5250000000000004</v>
          </cell>
        </row>
        <row r="57">
          <cell r="K57">
            <v>8.3000000000000007</v>
          </cell>
        </row>
        <row r="58">
          <cell r="K58">
            <v>8</v>
          </cell>
        </row>
        <row r="59">
          <cell r="K59">
            <v>8</v>
          </cell>
        </row>
        <row r="60">
          <cell r="K60">
            <v>8</v>
          </cell>
        </row>
        <row r="61">
          <cell r="K61">
            <v>8</v>
          </cell>
        </row>
        <row r="62">
          <cell r="K62">
            <v>8</v>
          </cell>
        </row>
        <row r="63">
          <cell r="K63">
            <v>8</v>
          </cell>
        </row>
        <row r="64">
          <cell r="K64">
            <v>8</v>
          </cell>
        </row>
        <row r="65">
          <cell r="K65">
            <v>8</v>
          </cell>
        </row>
        <row r="66">
          <cell r="K66">
            <v>8</v>
          </cell>
        </row>
        <row r="67">
          <cell r="K67">
            <v>8</v>
          </cell>
        </row>
        <row r="68">
          <cell r="K68">
            <v>8</v>
          </cell>
        </row>
        <row r="69">
          <cell r="K69">
            <v>8</v>
          </cell>
        </row>
        <row r="70">
          <cell r="K70">
            <v>8</v>
          </cell>
        </row>
        <row r="71">
          <cell r="K71">
            <v>8</v>
          </cell>
        </row>
        <row r="72">
          <cell r="K72">
            <v>8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ocl.com/Products/PetrolDomesticPrices.aspx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google.com.au/url?sa=t&amp;rct=j&amp;q=&amp;esrc=s&amp;source=web&amp;cd=1&amp;cad=rja&amp;uact=8&amp;ved=2ahUKEwjclpf-6qffAhVZWX0KHVVjC9oQFjAAegQIChAB&amp;url=https%3A%2F%2Ftradingeconomics.com%2Funited-states%2Fgasoline-prices&amp;usg=AOvVaw1-g4NBldoNZD3kxvR5GifM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ec.europa.eu/taxation_customs/sites/taxation/files/resources/documents/taxation/excise_duties/energy_products/rates/excise_duties-part_ii_energy_products_en.pdf" TargetMode="Externa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A3" sqref="A3:G23"/>
    </sheetView>
  </sheetViews>
  <sheetFormatPr defaultRowHeight="15"/>
  <cols>
    <col min="1" max="1" width="18.42578125" customWidth="1"/>
    <col min="2" max="7" width="13.1406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0.97242628037067291</v>
      </c>
    </row>
    <row r="5" spans="1:7">
      <c r="A5" s="13" t="s">
        <v>80</v>
      </c>
      <c r="B5" s="13">
        <v>0.94561287075554246</v>
      </c>
    </row>
    <row r="6" spans="1:7">
      <c r="A6" s="13" t="s">
        <v>81</v>
      </c>
      <c r="B6" s="13">
        <v>0.93784328086347712</v>
      </c>
    </row>
    <row r="7" spans="1:7">
      <c r="A7" s="13" t="s">
        <v>82</v>
      </c>
      <c r="B7" s="13">
        <v>4.3738183309093071</v>
      </c>
    </row>
    <row r="8" spans="1:7" ht="15.75" thickBot="1">
      <c r="A8" s="14" t="s">
        <v>83</v>
      </c>
      <c r="B8" s="14">
        <v>49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6</v>
      </c>
      <c r="C12" s="13">
        <v>13969.729931339116</v>
      </c>
      <c r="D12" s="13">
        <v>2328.2883218898528</v>
      </c>
      <c r="E12" s="13">
        <v>121.70692197296592</v>
      </c>
      <c r="F12" s="13">
        <v>6.3421517695185351E-25</v>
      </c>
    </row>
    <row r="13" spans="1:7">
      <c r="A13" s="13" t="s">
        <v>86</v>
      </c>
      <c r="B13" s="13">
        <v>42</v>
      </c>
      <c r="C13" s="13">
        <v>803.47204525552752</v>
      </c>
      <c r="D13" s="13">
        <v>19.130286791798273</v>
      </c>
      <c r="E13" s="13"/>
      <c r="F13" s="13"/>
    </row>
    <row r="14" spans="1:7" ht="15.75" thickBot="1">
      <c r="A14" s="14" t="s">
        <v>87</v>
      </c>
      <c r="B14" s="14">
        <v>48</v>
      </c>
      <c r="C14" s="14">
        <v>14773.201976594642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37.213270492538612</v>
      </c>
      <c r="C17" s="13">
        <v>1.2749389459724629</v>
      </c>
      <c r="D17" s="13">
        <v>29.188276513236559</v>
      </c>
      <c r="E17" s="13">
        <v>1.615459565578609E-29</v>
      </c>
      <c r="F17" s="13">
        <v>34.640339533460946</v>
      </c>
      <c r="G17" s="13">
        <v>39.786201451616279</v>
      </c>
    </row>
    <row r="18" spans="1:7">
      <c r="A18" s="13" t="s">
        <v>2164</v>
      </c>
      <c r="B18" s="13">
        <v>-7.1575217175665866</v>
      </c>
      <c r="C18" s="13">
        <v>0.43415171992881141</v>
      </c>
      <c r="D18" s="13">
        <v>-16.486222186889453</v>
      </c>
      <c r="E18" s="13">
        <v>5.9713644007562201E-20</v>
      </c>
      <c r="F18" s="13">
        <v>-8.0336753598020803</v>
      </c>
      <c r="G18" s="13">
        <v>-6.2813680753310939</v>
      </c>
    </row>
    <row r="19" spans="1:7">
      <c r="A19" s="13" t="s">
        <v>2170</v>
      </c>
      <c r="B19" s="13">
        <v>9.5517552885794608</v>
      </c>
      <c r="C19" s="13">
        <v>1.7285657040558222</v>
      </c>
      <c r="D19" s="13">
        <v>5.525827144532423</v>
      </c>
      <c r="E19" s="13">
        <v>1.9040646171247521E-6</v>
      </c>
      <c r="F19" s="13">
        <v>6.0633684691049208</v>
      </c>
      <c r="G19" s="13">
        <v>13.040142108054001</v>
      </c>
    </row>
    <row r="20" spans="1:7">
      <c r="A20" s="13" t="s">
        <v>2165</v>
      </c>
      <c r="B20" s="13">
        <v>-26.903721011410461</v>
      </c>
      <c r="C20" s="13">
        <v>1.5820943849317275</v>
      </c>
      <c r="D20" s="13">
        <v>-17.005130204397663</v>
      </c>
      <c r="E20" s="13">
        <v>1.9177774616034857E-20</v>
      </c>
      <c r="F20" s="13">
        <v>-30.096516741772984</v>
      </c>
      <c r="G20" s="13">
        <v>-23.710925281047938</v>
      </c>
    </row>
    <row r="21" spans="1:7">
      <c r="A21" s="13" t="s">
        <v>2166</v>
      </c>
      <c r="B21" s="13">
        <v>-24.710124185721039</v>
      </c>
      <c r="C21" s="13">
        <v>3.640446627749907</v>
      </c>
      <c r="D21" s="13">
        <v>-6.7876628096574816</v>
      </c>
      <c r="E21" s="13">
        <v>2.9271144812153071E-8</v>
      </c>
      <c r="F21" s="13">
        <v>-32.056842915270238</v>
      </c>
      <c r="G21" s="13">
        <v>-17.363405456171837</v>
      </c>
    </row>
    <row r="22" spans="1:7">
      <c r="A22" s="13" t="s">
        <v>2167</v>
      </c>
      <c r="B22" s="13">
        <v>-20.69547522790597</v>
      </c>
      <c r="C22" s="13">
        <v>4.1136856617070423</v>
      </c>
      <c r="D22" s="13">
        <v>-5.0308839638753629</v>
      </c>
      <c r="E22" s="13">
        <v>9.6294127308939042E-6</v>
      </c>
      <c r="F22" s="13">
        <v>-28.997228992943544</v>
      </c>
      <c r="G22" s="13">
        <v>-12.393721462868395</v>
      </c>
    </row>
    <row r="23" spans="1:7" ht="15.75" thickBot="1">
      <c r="A23" s="14" t="s">
        <v>2168</v>
      </c>
      <c r="B23" s="14">
        <v>2.2514098105870954</v>
      </c>
      <c r="C23" s="14">
        <v>0.52199479596390541</v>
      </c>
      <c r="D23" s="14">
        <v>4.3130886131339414</v>
      </c>
      <c r="E23" s="14">
        <v>9.5506681705141735E-5</v>
      </c>
      <c r="F23" s="14">
        <v>1.1979816638858898</v>
      </c>
      <c r="G23" s="14">
        <v>3.3048379572883011</v>
      </c>
    </row>
    <row r="44" spans="2:2">
      <c r="B44" t="s">
        <v>2477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showGridLines="0" workbookViewId="0">
      <selection activeCell="A3" sqref="A3:G25"/>
    </sheetView>
  </sheetViews>
  <sheetFormatPr defaultRowHeight="15"/>
  <cols>
    <col min="1" max="1" width="17.5703125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0.99752227204040511</v>
      </c>
    </row>
    <row r="5" spans="1:7">
      <c r="A5" s="13" t="s">
        <v>80</v>
      </c>
      <c r="B5" s="13">
        <v>0.99505068321665202</v>
      </c>
    </row>
    <row r="6" spans="1:7">
      <c r="A6" s="13" t="s">
        <v>81</v>
      </c>
      <c r="B6" s="13">
        <v>0.99417080467739016</v>
      </c>
    </row>
    <row r="7" spans="1:7">
      <c r="A7" s="13" t="s">
        <v>82</v>
      </c>
      <c r="B7" s="13">
        <v>0.78983675595465674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8</v>
      </c>
      <c r="C12" s="13">
        <v>5644.0018132212672</v>
      </c>
      <c r="D12" s="13">
        <v>705.5002266526584</v>
      </c>
      <c r="E12" s="13">
        <v>1130.8955029763604</v>
      </c>
      <c r="F12" s="13">
        <v>3.2337202047429993E-49</v>
      </c>
    </row>
    <row r="13" spans="1:7">
      <c r="A13" s="13" t="s">
        <v>86</v>
      </c>
      <c r="B13" s="13">
        <v>45</v>
      </c>
      <c r="C13" s="13">
        <v>28.072894547563919</v>
      </c>
      <c r="D13" s="13">
        <v>0.62384210105697602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5672.0747077688311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13.919432527381657</v>
      </c>
      <c r="C17" s="13">
        <v>0.60182432855725099</v>
      </c>
      <c r="D17" s="13">
        <v>23.128730207285919</v>
      </c>
      <c r="E17" s="13">
        <v>1.2908621879495041E-26</v>
      </c>
      <c r="F17" s="13">
        <v>12.707296107723558</v>
      </c>
      <c r="G17" s="13">
        <v>15.131568947039757</v>
      </c>
    </row>
    <row r="18" spans="1:7">
      <c r="A18" s="13" t="s">
        <v>229</v>
      </c>
      <c r="B18" s="13">
        <v>0.57682387735762375</v>
      </c>
      <c r="C18" s="13">
        <v>1.1381515514766703E-2</v>
      </c>
      <c r="D18" s="13">
        <v>50.680761855416883</v>
      </c>
      <c r="E18" s="13">
        <v>2.4330889644734681E-41</v>
      </c>
      <c r="F18" s="13">
        <v>0.55390032838873215</v>
      </c>
      <c r="G18" s="13">
        <v>0.59974742632651534</v>
      </c>
    </row>
    <row r="19" spans="1:7">
      <c r="A19" s="13" t="s">
        <v>2008</v>
      </c>
      <c r="B19" s="13">
        <v>16.559415329803993</v>
      </c>
      <c r="C19" s="13">
        <v>0.73139347357266371</v>
      </c>
      <c r="D19" s="13">
        <v>22.640912078303938</v>
      </c>
      <c r="E19" s="13">
        <v>3.1276180013368594E-26</v>
      </c>
      <c r="F19" s="13">
        <v>15.086313256075957</v>
      </c>
      <c r="G19" s="13">
        <v>18.032517403532029</v>
      </c>
    </row>
    <row r="20" spans="1:7">
      <c r="A20" s="13" t="s">
        <v>2082</v>
      </c>
      <c r="B20" s="13">
        <v>-7.8387971454049312</v>
      </c>
      <c r="C20" s="13">
        <v>0.43036037017126327</v>
      </c>
      <c r="D20" s="13">
        <v>-18.214495777772143</v>
      </c>
      <c r="E20" s="13">
        <v>2.1623014993924915E-22</v>
      </c>
      <c r="F20" s="13">
        <v>-8.7055874254068879</v>
      </c>
      <c r="G20" s="13">
        <v>-6.9720068654029745</v>
      </c>
    </row>
    <row r="21" spans="1:7">
      <c r="A21" s="13" t="s">
        <v>1999</v>
      </c>
      <c r="B21" s="13">
        <v>1.6703168387076928</v>
      </c>
      <c r="C21" s="13">
        <v>0.40058833967051194</v>
      </c>
      <c r="D21" s="13">
        <v>4.1696591570327426</v>
      </c>
      <c r="E21" s="13">
        <v>1.3702672022629665E-4</v>
      </c>
      <c r="F21" s="13">
        <v>0.8634905062311633</v>
      </c>
      <c r="G21" s="13">
        <v>2.4771431711842222</v>
      </c>
    </row>
    <row r="22" spans="1:7">
      <c r="A22" s="13" t="s">
        <v>161</v>
      </c>
      <c r="B22" s="13">
        <v>6.8707162507553896</v>
      </c>
      <c r="C22" s="13">
        <v>0.68181947352677996</v>
      </c>
      <c r="D22" s="13">
        <v>10.077031410112001</v>
      </c>
      <c r="E22" s="13">
        <v>4.0869520819356094E-13</v>
      </c>
      <c r="F22" s="13">
        <v>5.4974613385201483</v>
      </c>
      <c r="G22" s="13">
        <v>8.2439711629906309</v>
      </c>
    </row>
    <row r="23" spans="1:7">
      <c r="A23" s="13" t="s">
        <v>2000</v>
      </c>
      <c r="B23" s="13">
        <v>-2.0541237312783704</v>
      </c>
      <c r="C23" s="13">
        <v>0.48185477229417306</v>
      </c>
      <c r="D23" s="13">
        <v>-4.262951929475391</v>
      </c>
      <c r="E23" s="13">
        <v>1.0193007909162335E-4</v>
      </c>
      <c r="F23" s="13">
        <v>-3.0246290611044726</v>
      </c>
      <c r="G23" s="13">
        <v>-1.0836184014522683</v>
      </c>
    </row>
    <row r="24" spans="1:7">
      <c r="A24" s="13" t="s">
        <v>2167</v>
      </c>
      <c r="B24" s="13">
        <v>-2.2712196294736464</v>
      </c>
      <c r="C24" s="13">
        <v>0.88306844964424325</v>
      </c>
      <c r="D24" s="13">
        <v>-2.5719632836940778</v>
      </c>
      <c r="E24" s="13">
        <v>1.3485090764966734E-2</v>
      </c>
      <c r="F24" s="13">
        <v>-4.049810786515871</v>
      </c>
      <c r="G24" s="13">
        <v>-0.4926284724314216</v>
      </c>
    </row>
    <row r="25" spans="1:7" ht="15.75" thickBot="1">
      <c r="A25" s="14" t="s">
        <v>2004</v>
      </c>
      <c r="B25" s="14">
        <v>-3.9297673854890887</v>
      </c>
      <c r="C25" s="14">
        <v>0.50159428691840446</v>
      </c>
      <c r="D25" s="14">
        <v>-7.8345537179699845</v>
      </c>
      <c r="E25" s="14">
        <v>6.0077072383153181E-10</v>
      </c>
      <c r="F25" s="14">
        <v>-4.9400301386147181</v>
      </c>
      <c r="G25" s="14">
        <v>-2.9195046323634593</v>
      </c>
    </row>
    <row r="43" spans="13:13">
      <c r="M43" t="s">
        <v>1868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B171"/>
  <sheetViews>
    <sheetView zoomScale="75" zoomScaleNormal="75" workbookViewId="0">
      <pane xSplit="1" ySplit="4" topLeftCell="AK53" activePane="bottomRight" state="frozen"/>
      <selection activeCell="BN97" sqref="BN97"/>
      <selection pane="topRight" activeCell="BN97" sqref="BN97"/>
      <selection pane="bottomLeft" activeCell="BN97" sqref="BN97"/>
      <selection pane="bottomRight" activeCell="AQ42" sqref="AQ42:BL97"/>
    </sheetView>
  </sheetViews>
  <sheetFormatPr defaultRowHeight="15"/>
  <cols>
    <col min="1" max="1" width="6.7109375" customWidth="1"/>
    <col min="2" max="6" width="10.140625" customWidth="1"/>
    <col min="7" max="8" width="9.28515625" bestFit="1" customWidth="1"/>
    <col min="9" max="9" width="12.5703125" customWidth="1"/>
    <col min="10" max="10" width="12.7109375" style="12" customWidth="1"/>
    <col min="11" max="11" width="9.28515625" bestFit="1" customWidth="1"/>
    <col min="12" max="13" width="9.28515625" customWidth="1"/>
    <col min="14" max="14" width="10.5703125" customWidth="1"/>
    <col min="15" max="15" width="9.28515625" bestFit="1" customWidth="1"/>
    <col min="16" max="16" width="9.85546875" customWidth="1"/>
    <col min="17" max="17" width="8.28515625" customWidth="1"/>
    <col min="18" max="18" width="9.140625" style="23" customWidth="1"/>
    <col min="19" max="20" width="11.5703125" style="12" customWidth="1"/>
    <col min="21" max="21" width="9.85546875" style="23" customWidth="1"/>
    <col min="22" max="25" width="9.28515625" bestFit="1" customWidth="1"/>
    <col min="26" max="26" width="9.42578125" style="23" customWidth="1"/>
    <col min="27" max="32" width="9.28515625" bestFit="1" customWidth="1"/>
    <col min="43" max="43" width="5.85546875" style="3" customWidth="1"/>
    <col min="44" max="44" width="7.85546875" style="3" customWidth="1"/>
    <col min="45" max="46" width="7.5703125" style="3" customWidth="1"/>
    <col min="47" max="48" width="7.42578125" style="3" customWidth="1"/>
    <col min="49" max="49" width="2.85546875" style="3" customWidth="1"/>
    <col min="50" max="50" width="7.42578125" style="3" customWidth="1"/>
    <col min="51" max="51" width="2.28515625" style="3" customWidth="1"/>
    <col min="52" max="52" width="9.7109375" style="3" customWidth="1"/>
    <col min="53" max="55" width="8.140625" style="3" customWidth="1"/>
    <col min="56" max="56" width="8" style="3" customWidth="1"/>
    <col min="57" max="57" width="10.5703125" style="3" customWidth="1"/>
    <col min="58" max="58" width="6.140625" style="3" customWidth="1"/>
    <col min="59" max="60" width="6.42578125" style="3" customWidth="1"/>
    <col min="61" max="61" width="6.140625" style="3" customWidth="1"/>
    <col min="62" max="63" width="5.85546875" style="3" customWidth="1"/>
    <col min="64" max="64" width="6.28515625" style="3" customWidth="1"/>
    <col min="65" max="65" width="10.42578125" style="3" customWidth="1"/>
    <col min="78" max="78" width="9.140625" style="3"/>
  </cols>
  <sheetData>
    <row r="1" spans="1:67">
      <c r="A1" s="23" t="s">
        <v>150</v>
      </c>
      <c r="B1" s="23"/>
      <c r="C1" s="23"/>
      <c r="G1" s="8" t="s">
        <v>117</v>
      </c>
      <c r="K1" s="12"/>
      <c r="L1" s="12"/>
      <c r="M1" s="12"/>
      <c r="N1" s="12"/>
      <c r="R1"/>
      <c r="S1" s="23"/>
      <c r="U1" s="12"/>
      <c r="V1" s="23"/>
      <c r="Z1"/>
      <c r="AA1" s="23"/>
      <c r="AQ1"/>
      <c r="BN1" s="3"/>
      <c r="BO1" s="3"/>
    </row>
    <row r="2" spans="1:67">
      <c r="D2" t="s">
        <v>45</v>
      </c>
      <c r="F2" t="s">
        <v>46</v>
      </c>
      <c r="H2" t="s">
        <v>151</v>
      </c>
      <c r="I2" t="s">
        <v>1866</v>
      </c>
      <c r="J2" t="s">
        <v>1866</v>
      </c>
      <c r="O2" t="s">
        <v>1866</v>
      </c>
      <c r="R2" s="23" t="s">
        <v>150</v>
      </c>
      <c r="S2" s="23"/>
      <c r="T2" s="23" t="s">
        <v>150</v>
      </c>
      <c r="U2" s="26" t="s">
        <v>142</v>
      </c>
      <c r="V2" s="23"/>
      <c r="W2" s="23" t="s">
        <v>150</v>
      </c>
      <c r="Z2"/>
      <c r="AA2" s="23"/>
      <c r="AB2" s="23" t="s">
        <v>150</v>
      </c>
      <c r="AC2" s="23" t="s">
        <v>150</v>
      </c>
      <c r="AD2" s="23" t="s">
        <v>150</v>
      </c>
      <c r="AE2" s="23" t="s">
        <v>150</v>
      </c>
      <c r="AF2" s="23" t="s">
        <v>150</v>
      </c>
      <c r="AG2" t="s">
        <v>113</v>
      </c>
      <c r="AQ2"/>
      <c r="AR2" s="3" t="s">
        <v>1847</v>
      </c>
      <c r="AZ2" s="3" t="s">
        <v>2036</v>
      </c>
      <c r="BN2" s="3"/>
      <c r="BO2" s="3"/>
    </row>
    <row r="3" spans="1:67">
      <c r="B3" t="s">
        <v>182</v>
      </c>
      <c r="C3" t="s">
        <v>218</v>
      </c>
      <c r="D3" s="23" t="s">
        <v>150</v>
      </c>
      <c r="F3" s="23" t="s">
        <v>150</v>
      </c>
      <c r="H3" s="23" t="s">
        <v>150</v>
      </c>
      <c r="I3" s="23" t="s">
        <v>150</v>
      </c>
      <c r="J3" s="23" t="s">
        <v>150</v>
      </c>
      <c r="K3" s="3" t="s">
        <v>1867</v>
      </c>
      <c r="L3" s="3" t="s">
        <v>1704</v>
      </c>
      <c r="M3" s="3" t="s">
        <v>1693</v>
      </c>
      <c r="N3" s="3" t="s">
        <v>1703</v>
      </c>
      <c r="O3" s="23" t="s">
        <v>150</v>
      </c>
      <c r="P3" t="s">
        <v>25</v>
      </c>
      <c r="Q3" t="s">
        <v>1866</v>
      </c>
      <c r="R3" t="s">
        <v>5</v>
      </c>
      <c r="S3" s="23"/>
      <c r="T3" s="26" t="s">
        <v>133</v>
      </c>
      <c r="U3" s="26" t="s">
        <v>133</v>
      </c>
      <c r="V3" s="23"/>
      <c r="W3" s="3" t="s">
        <v>128</v>
      </c>
      <c r="X3" s="3"/>
      <c r="Y3" s="3"/>
      <c r="Z3" s="3"/>
      <c r="AA3" s="23"/>
      <c r="AB3" t="s">
        <v>61</v>
      </c>
      <c r="AC3" t="s">
        <v>61</v>
      </c>
      <c r="AD3" t="s">
        <v>61</v>
      </c>
      <c r="AE3" t="s">
        <v>61</v>
      </c>
      <c r="AF3" s="26" t="s">
        <v>61</v>
      </c>
      <c r="AG3" t="s">
        <v>61</v>
      </c>
      <c r="AQ3" s="46" t="s">
        <v>2103</v>
      </c>
      <c r="AR3" s="46" t="s">
        <v>1847</v>
      </c>
      <c r="AS3" s="46" t="s">
        <v>1847</v>
      </c>
      <c r="AT3" s="46" t="s">
        <v>1847</v>
      </c>
      <c r="AU3" s="46" t="s">
        <v>1847</v>
      </c>
      <c r="AV3" s="46" t="s">
        <v>1847</v>
      </c>
      <c r="AX3" s="46"/>
      <c r="AY3" s="46"/>
      <c r="AZ3" s="46" t="s">
        <v>2104</v>
      </c>
      <c r="BA3" s="46" t="s">
        <v>2104</v>
      </c>
      <c r="BB3" s="46" t="s">
        <v>2104</v>
      </c>
      <c r="BC3" s="46" t="s">
        <v>2104</v>
      </c>
      <c r="BD3" s="46" t="s">
        <v>2104</v>
      </c>
      <c r="BE3" s="46" t="s">
        <v>2106</v>
      </c>
      <c r="BF3" s="46" t="s">
        <v>2098</v>
      </c>
      <c r="BG3" s="46" t="s">
        <v>2098</v>
      </c>
      <c r="BH3" s="46" t="s">
        <v>2098</v>
      </c>
      <c r="BI3" s="46" t="s">
        <v>2098</v>
      </c>
      <c r="BJ3" s="46" t="s">
        <v>2098</v>
      </c>
      <c r="BK3" s="46" t="s">
        <v>126</v>
      </c>
      <c r="BL3" s="46" t="s">
        <v>126</v>
      </c>
      <c r="BN3" s="46" t="s">
        <v>2441</v>
      </c>
      <c r="BO3" s="46" t="s">
        <v>2441</v>
      </c>
    </row>
    <row r="4" spans="1:67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s="29" t="s">
        <v>110</v>
      </c>
      <c r="J4" s="26" t="s">
        <v>135</v>
      </c>
      <c r="K4" s="12"/>
      <c r="L4" s="12"/>
      <c r="M4" s="12"/>
      <c r="N4" s="12" t="s">
        <v>1872</v>
      </c>
      <c r="O4" s="112" t="s">
        <v>8</v>
      </c>
      <c r="P4" t="s">
        <v>9</v>
      </c>
      <c r="Q4" s="112" t="s">
        <v>145</v>
      </c>
      <c r="R4" t="s">
        <v>10</v>
      </c>
      <c r="S4" s="23"/>
      <c r="T4" s="26" t="s">
        <v>101</v>
      </c>
      <c r="U4" s="26" t="s">
        <v>103</v>
      </c>
      <c r="V4" s="23"/>
      <c r="W4" s="13" t="s">
        <v>229</v>
      </c>
      <c r="X4" s="3" t="s">
        <v>154</v>
      </c>
      <c r="Y4" s="3" t="s">
        <v>153</v>
      </c>
      <c r="Z4" s="3" t="s">
        <v>155</v>
      </c>
      <c r="AA4" s="23"/>
      <c r="AB4" t="s">
        <v>109</v>
      </c>
      <c r="AC4" t="s">
        <v>111</v>
      </c>
      <c r="AD4" t="s">
        <v>152</v>
      </c>
      <c r="AE4" t="s">
        <v>112</v>
      </c>
      <c r="AF4" s="26" t="s">
        <v>87</v>
      </c>
      <c r="AG4" t="s">
        <v>87</v>
      </c>
      <c r="AQ4" s="46"/>
      <c r="AR4" s="46" t="s">
        <v>131</v>
      </c>
      <c r="AS4" s="46" t="s">
        <v>111</v>
      </c>
      <c r="AT4" s="46" t="s">
        <v>112</v>
      </c>
      <c r="AU4" s="46" t="s">
        <v>67</v>
      </c>
      <c r="AV4" s="46" t="s">
        <v>133</v>
      </c>
      <c r="AX4" s="46" t="s">
        <v>237</v>
      </c>
      <c r="AY4" s="46"/>
      <c r="AZ4" s="46" t="s">
        <v>131</v>
      </c>
      <c r="BA4" s="46" t="s">
        <v>103</v>
      </c>
      <c r="BB4" s="46" t="s">
        <v>67</v>
      </c>
      <c r="BC4" s="46" t="s">
        <v>133</v>
      </c>
      <c r="BD4" s="46" t="s">
        <v>103</v>
      </c>
      <c r="BE4" s="46" t="s">
        <v>1943</v>
      </c>
      <c r="BF4" s="46">
        <v>7376</v>
      </c>
      <c r="BG4" s="46">
        <v>9104</v>
      </c>
      <c r="BH4" s="46">
        <v>6504</v>
      </c>
      <c r="BI4" s="46">
        <v>7981</v>
      </c>
      <c r="BJ4" s="138" t="s">
        <v>2116</v>
      </c>
      <c r="BK4" s="138" t="s">
        <v>293</v>
      </c>
      <c r="BL4" s="138">
        <v>6570</v>
      </c>
      <c r="BN4" s="46" t="s">
        <v>131</v>
      </c>
      <c r="BO4" s="46" t="s">
        <v>103</v>
      </c>
    </row>
    <row r="5" spans="1:67">
      <c r="A5">
        <v>1926</v>
      </c>
      <c r="K5" s="12"/>
      <c r="L5" s="12"/>
      <c r="M5" s="12"/>
      <c r="N5" s="12"/>
      <c r="R5"/>
      <c r="S5" s="23"/>
      <c r="U5" s="12"/>
      <c r="V5" s="23"/>
      <c r="Z5"/>
      <c r="AA5" s="23"/>
      <c r="AQ5">
        <v>1926</v>
      </c>
      <c r="BN5" s="3"/>
      <c r="BO5" s="3"/>
    </row>
    <row r="6" spans="1:67">
      <c r="A6">
        <v>1927</v>
      </c>
      <c r="K6" s="12"/>
      <c r="L6" s="12"/>
      <c r="M6" s="12"/>
      <c r="N6" s="12"/>
      <c r="R6"/>
      <c r="S6" s="23"/>
      <c r="U6" s="12"/>
      <c r="V6" s="23"/>
      <c r="Z6"/>
      <c r="AA6" s="23"/>
      <c r="AQ6">
        <v>1927</v>
      </c>
      <c r="BN6" s="3"/>
      <c r="BO6" s="3"/>
    </row>
    <row r="7" spans="1:67">
      <c r="A7">
        <v>1928</v>
      </c>
      <c r="K7" s="12"/>
      <c r="L7" s="12"/>
      <c r="M7" s="12"/>
      <c r="N7" s="12"/>
      <c r="R7"/>
      <c r="S7" s="23"/>
      <c r="U7" s="12"/>
      <c r="V7" s="23"/>
      <c r="Z7"/>
      <c r="AA7" s="23"/>
      <c r="AQ7">
        <v>1928</v>
      </c>
      <c r="BN7" s="3"/>
      <c r="BO7" s="3"/>
    </row>
    <row r="8" spans="1:67">
      <c r="A8">
        <v>1929</v>
      </c>
      <c r="K8" s="12"/>
      <c r="L8" s="12"/>
      <c r="M8" s="12"/>
      <c r="N8" s="12"/>
      <c r="R8"/>
      <c r="S8" s="23"/>
      <c r="U8" s="12"/>
      <c r="V8" s="23"/>
      <c r="Z8"/>
      <c r="AA8" s="23"/>
      <c r="AQ8">
        <v>1929</v>
      </c>
      <c r="BN8" s="3"/>
      <c r="BO8" s="3"/>
    </row>
    <row r="9" spans="1:67">
      <c r="A9">
        <v>1930</v>
      </c>
      <c r="K9" s="12"/>
      <c r="L9" s="12"/>
      <c r="M9" s="12"/>
      <c r="N9" s="12"/>
      <c r="R9"/>
      <c r="S9" s="23"/>
      <c r="U9" s="12"/>
      <c r="V9" s="23"/>
      <c r="Z9"/>
      <c r="AA9" s="23"/>
      <c r="AQ9">
        <v>1930</v>
      </c>
      <c r="BN9" s="3"/>
      <c r="BO9" s="3"/>
    </row>
    <row r="10" spans="1:67">
      <c r="A10">
        <v>1931</v>
      </c>
      <c r="K10" s="12"/>
      <c r="L10" s="12"/>
      <c r="M10" s="12"/>
      <c r="N10" s="12"/>
      <c r="R10"/>
      <c r="S10" s="23"/>
      <c r="U10" s="12"/>
      <c r="V10" s="23"/>
      <c r="Z10"/>
      <c r="AA10" s="23"/>
      <c r="AQ10">
        <v>1931</v>
      </c>
      <c r="BN10" s="3"/>
      <c r="BO10" s="3"/>
    </row>
    <row r="11" spans="1:67">
      <c r="A11">
        <v>1932</v>
      </c>
      <c r="K11" s="12"/>
      <c r="L11" s="12"/>
      <c r="M11" s="12"/>
      <c r="N11" s="12"/>
      <c r="R11"/>
      <c r="S11" s="23"/>
      <c r="U11" s="12"/>
      <c r="V11" s="23"/>
      <c r="Z11"/>
      <c r="AA11" s="23"/>
      <c r="AQ11">
        <v>1932</v>
      </c>
      <c r="BN11" s="3"/>
      <c r="BO11" s="3"/>
    </row>
    <row r="12" spans="1:67">
      <c r="A12">
        <v>1933</v>
      </c>
      <c r="K12" s="12"/>
      <c r="L12" s="12"/>
      <c r="M12" s="12"/>
      <c r="N12" s="12"/>
      <c r="R12"/>
      <c r="S12" s="23"/>
      <c r="U12" s="12"/>
      <c r="V12" s="23"/>
      <c r="Z12"/>
      <c r="AA12" s="23"/>
      <c r="AQ12">
        <v>1933</v>
      </c>
      <c r="BN12" s="3"/>
      <c r="BO12" s="3"/>
    </row>
    <row r="13" spans="1:67">
      <c r="A13">
        <v>1934</v>
      </c>
      <c r="K13" s="12"/>
      <c r="L13" s="12"/>
      <c r="M13" s="12"/>
      <c r="N13" s="12"/>
      <c r="R13"/>
      <c r="S13" s="23"/>
      <c r="U13" s="12"/>
      <c r="V13" s="23"/>
      <c r="Z13"/>
      <c r="AA13" s="23"/>
      <c r="AQ13">
        <v>1934</v>
      </c>
      <c r="BN13" s="3"/>
      <c r="BO13" s="3"/>
    </row>
    <row r="14" spans="1:67">
      <c r="A14">
        <v>1935</v>
      </c>
      <c r="K14" s="12"/>
      <c r="L14" s="12"/>
      <c r="M14" s="12"/>
      <c r="N14" s="12"/>
      <c r="R14"/>
      <c r="S14" s="23"/>
      <c r="U14" s="12"/>
      <c r="V14" s="23"/>
      <c r="Z14"/>
      <c r="AA14" s="23"/>
      <c r="AQ14">
        <v>1935</v>
      </c>
      <c r="BN14" s="3"/>
      <c r="BO14" s="3"/>
    </row>
    <row r="15" spans="1:67">
      <c r="A15">
        <v>1936</v>
      </c>
      <c r="K15" s="12"/>
      <c r="L15" s="12"/>
      <c r="M15" s="12"/>
      <c r="N15" s="12"/>
      <c r="R15"/>
      <c r="S15" s="23"/>
      <c r="U15" s="12"/>
      <c r="V15" s="23"/>
      <c r="Z15"/>
      <c r="AA15" s="23"/>
      <c r="AQ15">
        <v>1936</v>
      </c>
      <c r="BN15" s="3"/>
      <c r="BO15" s="3"/>
    </row>
    <row r="16" spans="1:67">
      <c r="A16">
        <v>1937</v>
      </c>
      <c r="K16" s="12"/>
      <c r="L16" s="12"/>
      <c r="M16" s="12"/>
      <c r="N16" s="12"/>
      <c r="R16"/>
      <c r="S16" s="23"/>
      <c r="U16" s="12"/>
      <c r="V16" s="23"/>
      <c r="Z16"/>
      <c r="AA16" s="23"/>
      <c r="AQ16">
        <v>1937</v>
      </c>
      <c r="BN16" s="3"/>
      <c r="BO16" s="3"/>
    </row>
    <row r="17" spans="1:67">
      <c r="A17">
        <v>1938</v>
      </c>
      <c r="K17" s="12"/>
      <c r="L17" s="12"/>
      <c r="M17" s="12"/>
      <c r="N17" s="12"/>
      <c r="R17"/>
      <c r="S17" s="23"/>
      <c r="U17" s="12"/>
      <c r="V17" s="23"/>
      <c r="Z17"/>
      <c r="AA17" s="23"/>
      <c r="AQ17">
        <v>1938</v>
      </c>
      <c r="BN17" s="3"/>
      <c r="BO17" s="3"/>
    </row>
    <row r="18" spans="1:67">
      <c r="A18">
        <v>1939</v>
      </c>
      <c r="K18" s="12"/>
      <c r="L18" s="12"/>
      <c r="M18" s="12"/>
      <c r="N18" s="12"/>
      <c r="R18"/>
      <c r="S18" s="23"/>
      <c r="U18" s="12"/>
      <c r="V18" s="23"/>
      <c r="Z18"/>
      <c r="AA18" s="23"/>
      <c r="AQ18">
        <v>1939</v>
      </c>
      <c r="BN18" s="3"/>
      <c r="BO18" s="3"/>
    </row>
    <row r="19" spans="1:67">
      <c r="A19">
        <v>1940</v>
      </c>
      <c r="K19" s="12"/>
      <c r="L19" s="12"/>
      <c r="M19" s="12"/>
      <c r="N19" s="12"/>
      <c r="R19"/>
      <c r="S19" s="23"/>
      <c r="U19" s="12"/>
      <c r="V19" s="23"/>
      <c r="Z19"/>
      <c r="AA19" s="23"/>
      <c r="AQ19">
        <v>1940</v>
      </c>
      <c r="BN19" s="3"/>
      <c r="BO19" s="3"/>
    </row>
    <row r="20" spans="1:67">
      <c r="A20">
        <v>1941</v>
      </c>
      <c r="K20" s="12"/>
      <c r="L20" s="12"/>
      <c r="M20" s="12"/>
      <c r="N20" s="12"/>
      <c r="R20"/>
      <c r="S20" s="23"/>
      <c r="U20" s="12"/>
      <c r="V20" s="23"/>
      <c r="Z20"/>
      <c r="AA20" s="23"/>
      <c r="AQ20">
        <v>1941</v>
      </c>
      <c r="BN20" s="3"/>
      <c r="BO20" s="3"/>
    </row>
    <row r="21" spans="1:67">
      <c r="A21">
        <v>1942</v>
      </c>
      <c r="K21" s="12"/>
      <c r="L21" s="12"/>
      <c r="M21" s="12"/>
      <c r="N21" s="12"/>
      <c r="R21"/>
      <c r="S21" s="23"/>
      <c r="U21" s="12"/>
      <c r="V21" s="23"/>
      <c r="Z21"/>
      <c r="AA21" s="23"/>
      <c r="AQ21">
        <v>1942</v>
      </c>
      <c r="BN21" s="3"/>
      <c r="BO21" s="3"/>
    </row>
    <row r="22" spans="1:67">
      <c r="A22">
        <v>1943</v>
      </c>
      <c r="K22" s="12"/>
      <c r="L22" s="12"/>
      <c r="M22" s="12"/>
      <c r="N22" s="12"/>
      <c r="R22"/>
      <c r="S22" s="23"/>
      <c r="U22" s="12"/>
      <c r="V22" s="23"/>
      <c r="Z22"/>
      <c r="AA22" s="23"/>
      <c r="AQ22">
        <v>1943</v>
      </c>
      <c r="BN22" s="3"/>
      <c r="BO22" s="3"/>
    </row>
    <row r="23" spans="1:67">
      <c r="A23">
        <v>1944</v>
      </c>
      <c r="K23" s="12"/>
      <c r="L23" s="12"/>
      <c r="M23" s="12"/>
      <c r="N23" s="12"/>
      <c r="R23"/>
      <c r="S23" s="23"/>
      <c r="U23" s="12"/>
      <c r="V23" s="23"/>
      <c r="Z23"/>
      <c r="AA23" s="23"/>
      <c r="AQ23">
        <v>1944</v>
      </c>
      <c r="BN23" s="3"/>
      <c r="BO23" s="3"/>
    </row>
    <row r="24" spans="1:67">
      <c r="A24">
        <v>1945</v>
      </c>
      <c r="K24" s="12"/>
      <c r="L24" s="12"/>
      <c r="M24" s="12"/>
      <c r="N24" s="12"/>
      <c r="R24"/>
      <c r="S24" s="23"/>
      <c r="U24" s="12"/>
      <c r="V24" s="23"/>
      <c r="Z24"/>
      <c r="AA24" s="23"/>
      <c r="AQ24">
        <v>1945</v>
      </c>
      <c r="BN24" s="3"/>
      <c r="BO24" s="3"/>
    </row>
    <row r="25" spans="1:67">
      <c r="A25">
        <v>1946</v>
      </c>
      <c r="K25" s="12"/>
      <c r="L25" s="12"/>
      <c r="M25" s="12"/>
      <c r="N25" s="12"/>
      <c r="R25"/>
      <c r="S25" s="23"/>
      <c r="U25" s="12"/>
      <c r="V25" s="23"/>
      <c r="Z25"/>
      <c r="AA25" s="23"/>
      <c r="AQ25">
        <v>1946</v>
      </c>
      <c r="BN25" s="3"/>
      <c r="BO25" s="3"/>
    </row>
    <row r="26" spans="1:67">
      <c r="A26">
        <v>1947</v>
      </c>
      <c r="K26" s="12"/>
      <c r="L26" s="12"/>
      <c r="M26" s="12"/>
      <c r="N26" s="12"/>
      <c r="R26"/>
      <c r="S26" s="23"/>
      <c r="U26" s="12"/>
      <c r="V26" s="23"/>
      <c r="Z26"/>
      <c r="AA26" s="23"/>
      <c r="AQ26">
        <v>1947</v>
      </c>
      <c r="BN26" s="3"/>
      <c r="BO26" s="3"/>
    </row>
    <row r="27" spans="1:67">
      <c r="A27">
        <v>1948</v>
      </c>
      <c r="K27" s="12"/>
      <c r="L27" s="12"/>
      <c r="M27" s="12"/>
      <c r="N27" s="12"/>
      <c r="R27"/>
      <c r="S27" s="23"/>
      <c r="U27" s="12"/>
      <c r="V27" s="23"/>
      <c r="Z27"/>
      <c r="AA27" s="23"/>
      <c r="AQ27">
        <v>1948</v>
      </c>
      <c r="BN27" s="3"/>
      <c r="BO27" s="3"/>
    </row>
    <row r="28" spans="1:67">
      <c r="A28">
        <v>1949</v>
      </c>
      <c r="K28" s="12"/>
      <c r="L28" s="12"/>
      <c r="M28" s="12"/>
      <c r="N28" s="12"/>
      <c r="R28"/>
      <c r="S28" s="23"/>
      <c r="U28" s="12"/>
      <c r="V28" s="23"/>
      <c r="Z28"/>
      <c r="AA28" s="23"/>
      <c r="AQ28">
        <v>1949</v>
      </c>
      <c r="BN28" s="3"/>
      <c r="BO28" s="3"/>
    </row>
    <row r="29" spans="1:67">
      <c r="A29">
        <v>1950</v>
      </c>
      <c r="K29" s="12"/>
      <c r="L29" s="12"/>
      <c r="M29" s="12"/>
      <c r="N29" s="12"/>
      <c r="R29"/>
      <c r="S29" s="23"/>
      <c r="U29" s="12"/>
      <c r="V29" s="23"/>
      <c r="Z29"/>
      <c r="AA29" s="23"/>
      <c r="AQ29">
        <v>1950</v>
      </c>
      <c r="BN29" s="3"/>
      <c r="BO29" s="3"/>
    </row>
    <row r="30" spans="1:67">
      <c r="A30">
        <v>1951</v>
      </c>
      <c r="K30" s="12"/>
      <c r="L30" s="12"/>
      <c r="M30" s="12"/>
      <c r="N30" s="12"/>
      <c r="R30"/>
      <c r="S30" s="23"/>
      <c r="U30" s="12"/>
      <c r="V30" s="23"/>
      <c r="Z30"/>
      <c r="AA30" s="23"/>
      <c r="AQ30">
        <v>1951</v>
      </c>
      <c r="BN30" s="3"/>
      <c r="BO30" s="3"/>
    </row>
    <row r="31" spans="1:67">
      <c r="A31">
        <v>1952</v>
      </c>
      <c r="K31" s="12"/>
      <c r="L31" s="12"/>
      <c r="M31" s="12"/>
      <c r="N31" s="12"/>
      <c r="R31"/>
      <c r="S31" s="23"/>
      <c r="U31" s="12"/>
      <c r="V31" s="23"/>
      <c r="Z31"/>
      <c r="AA31" s="23"/>
      <c r="AQ31">
        <v>1952</v>
      </c>
      <c r="BN31" s="3"/>
      <c r="BO31" s="3"/>
    </row>
    <row r="32" spans="1:67">
      <c r="A32">
        <v>1953</v>
      </c>
      <c r="K32" s="12"/>
      <c r="L32" s="12"/>
      <c r="M32" s="12"/>
      <c r="N32" s="12"/>
      <c r="R32"/>
      <c r="S32" s="23"/>
      <c r="U32" s="12"/>
      <c r="V32" s="23"/>
      <c r="Z32"/>
      <c r="AA32" s="23"/>
      <c r="AQ32">
        <v>1953</v>
      </c>
      <c r="BN32" s="3"/>
      <c r="BO32" s="3"/>
    </row>
    <row r="33" spans="1:78">
      <c r="A33">
        <v>1954</v>
      </c>
      <c r="K33" s="12"/>
      <c r="L33" s="12"/>
      <c r="M33" s="12"/>
      <c r="N33" s="12"/>
      <c r="R33"/>
      <c r="S33" s="23"/>
      <c r="U33" s="12"/>
      <c r="V33" s="23"/>
      <c r="Z33"/>
      <c r="AA33" s="23"/>
      <c r="AQ33">
        <v>1954</v>
      </c>
      <c r="BN33" s="3"/>
      <c r="BO33" s="3"/>
    </row>
    <row r="34" spans="1:78">
      <c r="A34">
        <v>1955</v>
      </c>
      <c r="K34" s="12"/>
      <c r="L34" s="12"/>
      <c r="M34" s="12"/>
      <c r="N34" s="12"/>
      <c r="R34"/>
      <c r="S34" s="23"/>
      <c r="U34" s="12"/>
      <c r="V34" s="23"/>
      <c r="Z34"/>
      <c r="AA34" s="23"/>
      <c r="AQ34">
        <v>1955</v>
      </c>
      <c r="BN34" s="3"/>
      <c r="BO34" s="3"/>
    </row>
    <row r="35" spans="1:78">
      <c r="A35">
        <v>1956</v>
      </c>
      <c r="K35" s="12"/>
      <c r="L35" s="12"/>
      <c r="M35" s="12"/>
      <c r="N35" s="12"/>
      <c r="R35"/>
      <c r="S35" s="23"/>
      <c r="U35" s="12"/>
      <c r="V35" s="23"/>
      <c r="Z35"/>
      <c r="AA35" s="23"/>
      <c r="AQ35">
        <v>1956</v>
      </c>
      <c r="BN35" s="3"/>
      <c r="BO35" s="3"/>
    </row>
    <row r="36" spans="1:78">
      <c r="A36">
        <v>1957</v>
      </c>
      <c r="K36" s="12"/>
      <c r="L36" s="12"/>
      <c r="M36" s="12"/>
      <c r="N36" s="12"/>
      <c r="R36"/>
      <c r="S36" s="23"/>
      <c r="U36" s="12"/>
      <c r="V36" s="23"/>
      <c r="Z36"/>
      <c r="AA36" s="23"/>
      <c r="AQ36">
        <v>1957</v>
      </c>
      <c r="BN36" s="3"/>
      <c r="BO36" s="3"/>
    </row>
    <row r="37" spans="1:78">
      <c r="A37">
        <v>1958</v>
      </c>
      <c r="K37" s="12"/>
      <c r="L37" s="12"/>
      <c r="M37" s="12"/>
      <c r="N37" s="12"/>
      <c r="R37"/>
      <c r="S37" s="23"/>
      <c r="U37" s="12"/>
      <c r="V37" s="23"/>
      <c r="Z37"/>
      <c r="AA37" s="23"/>
      <c r="AQ37">
        <v>1958</v>
      </c>
      <c r="BN37" s="3"/>
      <c r="BO37" s="3"/>
    </row>
    <row r="38" spans="1:78">
      <c r="A38">
        <v>1959</v>
      </c>
      <c r="K38" s="12"/>
      <c r="L38" s="12"/>
      <c r="M38" s="12"/>
      <c r="N38" s="12"/>
      <c r="R38"/>
      <c r="S38" s="23"/>
      <c r="U38" s="12"/>
      <c r="V38" s="23"/>
      <c r="Z38"/>
      <c r="AA38" s="23"/>
      <c r="AQ38">
        <v>1959</v>
      </c>
      <c r="BN38" s="3"/>
      <c r="BO38" s="3"/>
    </row>
    <row r="39" spans="1:78">
      <c r="A39">
        <v>1960</v>
      </c>
      <c r="K39" s="12"/>
      <c r="L39" s="12"/>
      <c r="M39" s="12"/>
      <c r="N39" s="12"/>
      <c r="R39"/>
      <c r="S39" s="23"/>
      <c r="U39" s="12"/>
      <c r="V39" s="23"/>
      <c r="Z39"/>
      <c r="AA39" s="23"/>
      <c r="AQ39">
        <v>1960</v>
      </c>
      <c r="BN39" s="3"/>
      <c r="BO39" s="3"/>
    </row>
    <row r="40" spans="1:78">
      <c r="A40">
        <v>1961</v>
      </c>
      <c r="K40" s="12"/>
      <c r="L40" s="12"/>
      <c r="M40" s="12"/>
      <c r="N40" s="12"/>
      <c r="R40"/>
      <c r="S40" s="23"/>
      <c r="U40" s="12"/>
      <c r="V40" s="23"/>
      <c r="Z40"/>
      <c r="AA40" s="23"/>
      <c r="AQ40">
        <v>1961</v>
      </c>
      <c r="BN40" s="3"/>
      <c r="BO40" s="3"/>
    </row>
    <row r="41" spans="1:78">
      <c r="A41">
        <v>1962</v>
      </c>
      <c r="K41" s="12"/>
      <c r="L41" s="12"/>
      <c r="M41" s="12"/>
      <c r="N41" s="12"/>
      <c r="R41"/>
      <c r="S41" s="23"/>
      <c r="U41" s="12"/>
      <c r="V41" s="23"/>
      <c r="Z41"/>
      <c r="AA41" s="23"/>
      <c r="AQ41">
        <v>1962</v>
      </c>
      <c r="BN41" s="3"/>
      <c r="BO41" s="3"/>
    </row>
    <row r="42" spans="1:78">
      <c r="A42">
        <v>1963</v>
      </c>
      <c r="K42" s="12"/>
      <c r="L42" s="12"/>
      <c r="M42" s="12"/>
      <c r="N42" s="12"/>
      <c r="R42"/>
      <c r="S42" s="23"/>
      <c r="U42" s="12"/>
      <c r="V42" s="23"/>
      <c r="Z42"/>
      <c r="AA42" s="23"/>
      <c r="AQ42" s="46" t="s">
        <v>2103</v>
      </c>
      <c r="AR42" s="46" t="s">
        <v>1847</v>
      </c>
      <c r="AS42" s="46" t="s">
        <v>1847</v>
      </c>
      <c r="AT42" s="46" t="s">
        <v>1847</v>
      </c>
      <c r="AU42" s="46" t="s">
        <v>1847</v>
      </c>
      <c r="AV42" s="46" t="s">
        <v>1847</v>
      </c>
      <c r="AX42" s="46"/>
      <c r="AZ42" s="46" t="s">
        <v>2104</v>
      </c>
      <c r="BA42" s="46" t="s">
        <v>2104</v>
      </c>
      <c r="BB42" s="46" t="s">
        <v>2104</v>
      </c>
      <c r="BC42" s="46" t="s">
        <v>2104</v>
      </c>
      <c r="BD42" s="46" t="s">
        <v>2104</v>
      </c>
      <c r="BE42" s="46" t="s">
        <v>2106</v>
      </c>
      <c r="BF42" s="46" t="s">
        <v>2098</v>
      </c>
      <c r="BG42" s="46" t="s">
        <v>2098</v>
      </c>
      <c r="BH42" s="46" t="s">
        <v>2098</v>
      </c>
      <c r="BI42" s="46" t="s">
        <v>2098</v>
      </c>
      <c r="BJ42" s="46" t="s">
        <v>2098</v>
      </c>
      <c r="BK42" s="46" t="s">
        <v>126</v>
      </c>
      <c r="BL42" s="46" t="s">
        <v>126</v>
      </c>
      <c r="BN42" s="46" t="s">
        <v>2441</v>
      </c>
      <c r="BO42" s="46" t="s">
        <v>2441</v>
      </c>
      <c r="BZ42" s="46"/>
    </row>
    <row r="43" spans="1:78">
      <c r="I43" s="29" t="s">
        <v>110</v>
      </c>
      <c r="J43" s="26" t="s">
        <v>135</v>
      </c>
      <c r="K43" s="12"/>
      <c r="L43" s="12"/>
      <c r="M43" s="12"/>
      <c r="N43" s="12"/>
      <c r="R43"/>
      <c r="S43" s="23"/>
      <c r="U43" s="12"/>
      <c r="V43" s="23"/>
      <c r="Z43"/>
      <c r="AA43" s="23"/>
      <c r="AB43" s="3"/>
      <c r="AQ43" s="46"/>
      <c r="AR43" s="46" t="s">
        <v>131</v>
      </c>
      <c r="AS43" s="46" t="s">
        <v>111</v>
      </c>
      <c r="AT43" s="46" t="s">
        <v>112</v>
      </c>
      <c r="AU43" s="46" t="s">
        <v>67</v>
      </c>
      <c r="AV43" s="46" t="s">
        <v>133</v>
      </c>
      <c r="AX43" s="139" t="s">
        <v>237</v>
      </c>
      <c r="AZ43" s="46" t="s">
        <v>131</v>
      </c>
      <c r="BA43" s="46" t="s">
        <v>103</v>
      </c>
      <c r="BB43" s="46" t="s">
        <v>67</v>
      </c>
      <c r="BC43" s="46" t="s">
        <v>133</v>
      </c>
      <c r="BD43" s="46" t="s">
        <v>103</v>
      </c>
      <c r="BE43" s="46" t="s">
        <v>1943</v>
      </c>
      <c r="BF43" s="46">
        <v>7376</v>
      </c>
      <c r="BG43" s="46">
        <v>9104</v>
      </c>
      <c r="BH43" s="46">
        <v>6504</v>
      </c>
      <c r="BI43" s="46">
        <v>7981</v>
      </c>
      <c r="BJ43" s="138" t="s">
        <v>2105</v>
      </c>
      <c r="BK43" s="138" t="s">
        <v>293</v>
      </c>
      <c r="BL43" s="138">
        <v>6570</v>
      </c>
      <c r="BN43" s="46" t="s">
        <v>131</v>
      </c>
      <c r="BO43" s="46" t="s">
        <v>103</v>
      </c>
      <c r="BZ43" s="46"/>
    </row>
    <row r="44" spans="1:78">
      <c r="A44">
        <v>1965</v>
      </c>
      <c r="B44" s="3">
        <f>I44/G44*100/C44</f>
        <v>100.2833581441718</v>
      </c>
      <c r="C44" s="3">
        <f t="shared" ref="C44:C87" si="0">E44/E$89*100</f>
        <v>14.459024846529534</v>
      </c>
      <c r="D44" s="1">
        <v>70.072999999999993</v>
      </c>
      <c r="E44" s="3">
        <v>20.692699999999999</v>
      </c>
      <c r="F44" s="3">
        <f>D44*E44/100</f>
        <v>14.499995670999997</v>
      </c>
      <c r="G44" s="2">
        <f>Q44*G$49/Q$49</f>
        <v>0.35583242125418862</v>
      </c>
      <c r="H44" s="3">
        <f>F44*G44</f>
        <v>5.1595685677871828</v>
      </c>
      <c r="I44" s="21">
        <f t="shared" ref="I44:I67" si="1">H44</f>
        <v>5.1595685677871828</v>
      </c>
      <c r="J44" s="21">
        <f t="shared" ref="J44:J75" si="2">BZ44+AF44</f>
        <v>3.4414322347140511</v>
      </c>
      <c r="K44" s="3"/>
      <c r="L44" s="3"/>
      <c r="M44" s="3"/>
      <c r="N44" s="3"/>
      <c r="Q44">
        <v>0.35680000000000001</v>
      </c>
      <c r="R44"/>
      <c r="S44" s="23"/>
      <c r="T44" s="21">
        <f t="shared" ref="T44:T78" si="3">I44-AF44</f>
        <v>1.7181363330731316</v>
      </c>
      <c r="U44" s="21">
        <f t="shared" ref="U44:U89" si="4">Y$103+Y$104*W44+Y$105*X44+Y$106*Y44+Y$107*Z44</f>
        <v>0</v>
      </c>
      <c r="V44" s="27"/>
      <c r="W44">
        <f>USA!Z52*G44</f>
        <v>1.1742469901388224</v>
      </c>
      <c r="X44">
        <v>1</v>
      </c>
      <c r="Y44">
        <v>0</v>
      </c>
      <c r="Z44">
        <v>0</v>
      </c>
      <c r="AA44" s="23"/>
      <c r="AB44" s="3">
        <v>0.66700000000000004</v>
      </c>
      <c r="AC44" s="3">
        <f t="shared" ref="AC44:AC64" si="5">AF44-AE44</f>
        <v>3.4414322347140511</v>
      </c>
      <c r="AD44" s="3"/>
      <c r="AE44" s="4">
        <f t="shared" ref="AE44:AE75" si="6">AD44*(I44*(1/(1+AD44)))</f>
        <v>0</v>
      </c>
      <c r="AF44" s="3">
        <f t="shared" ref="AF44:AF64" si="7">I44*AB44</f>
        <v>3.4414322347140511</v>
      </c>
      <c r="AH44" s="4"/>
      <c r="AQ44">
        <v>1965</v>
      </c>
      <c r="AR44" s="3">
        <f t="shared" ref="AR44:AR75" si="8">I44</f>
        <v>5.1595685677871828</v>
      </c>
      <c r="AS44" s="3">
        <f>AC44</f>
        <v>3.4414322347140511</v>
      </c>
      <c r="AT44" s="3">
        <f>AE44</f>
        <v>0</v>
      </c>
      <c r="AU44" s="3">
        <f>AF44</f>
        <v>3.4414322347140511</v>
      </c>
      <c r="AV44" s="3">
        <f t="shared" ref="AV44:AV75" si="9">AR44-AU44</f>
        <v>1.7181363330731316</v>
      </c>
      <c r="AX44" s="3">
        <v>7.7559487282150537</v>
      </c>
      <c r="AZ44" s="3">
        <f t="shared" ref="AZ44:AZ75" si="10">AR44/$AX44*100</f>
        <v>66.524015933955255</v>
      </c>
      <c r="BA44" s="3">
        <f>BD44+BB44</f>
        <v>66.729470678764102</v>
      </c>
      <c r="BB44" s="3">
        <f t="shared" ref="BB44:BB75" si="11">AU44/$AX44*100</f>
        <v>44.371518627948163</v>
      </c>
      <c r="BC44" s="3">
        <f t="shared" ref="BC44:BC51" si="12">AZ44-BB44</f>
        <v>22.152497306007092</v>
      </c>
      <c r="BD44" s="3">
        <f t="shared" ref="BD44:BD96" si="13">BA$100+BA$101*BE44+BA$102*BF44+BA$103*BG44+BA$104*BH44+BA$105*BI44+BA$106*BJ44+BA$107*BK44+BA$108*BL44</f>
        <v>22.357952050815946</v>
      </c>
      <c r="BE44" s="3">
        <f t="shared" ref="BE44:BE75" si="14">W44/AX44*100</f>
        <v>15.139952973993712</v>
      </c>
      <c r="BF44" s="3">
        <v>0</v>
      </c>
      <c r="BG44" s="3">
        <v>0</v>
      </c>
      <c r="BH44" s="24">
        <v>1</v>
      </c>
      <c r="BI44" s="3">
        <v>0</v>
      </c>
      <c r="BJ44" s="3">
        <v>0</v>
      </c>
      <c r="BK44" s="3">
        <v>0</v>
      </c>
      <c r="BL44" s="24">
        <v>0.5</v>
      </c>
      <c r="BN44" s="3">
        <f t="shared" ref="BN44:BN96" si="15">AZ44*$AX$97/$AX$89</f>
        <v>78.615857982504451</v>
      </c>
      <c r="BO44" s="3">
        <f t="shared" ref="BO44:BO96" si="16">BA44*$AX$97/$AX$89</f>
        <v>78.858657531102949</v>
      </c>
    </row>
    <row r="45" spans="1:78">
      <c r="A45">
        <v>1966</v>
      </c>
      <c r="B45" s="3">
        <f t="shared" ref="B45:B96" si="17">I45/G45*100/C45</f>
        <v>107.44385868130522</v>
      </c>
      <c r="C45" s="3">
        <f t="shared" si="0"/>
        <v>14.891495218110531</v>
      </c>
      <c r="D45" s="1">
        <v>75.076400000000007</v>
      </c>
      <c r="E45" s="3">
        <v>21.311620000000001</v>
      </c>
      <c r="F45" s="3">
        <f t="shared" ref="F45:F78" si="18">D45*E45/100</f>
        <v>15.999997077680002</v>
      </c>
      <c r="G45" s="2">
        <f>Q45*G$49/Q$49</f>
        <v>0.35742808233604595</v>
      </c>
      <c r="H45" s="3">
        <f t="shared" ref="H45:H78" si="19">F45*G45</f>
        <v>5.7188482728575023</v>
      </c>
      <c r="I45" s="21">
        <f t="shared" si="1"/>
        <v>5.7188482728575023</v>
      </c>
      <c r="J45" s="21">
        <f t="shared" si="2"/>
        <v>3.9231299151802461</v>
      </c>
      <c r="K45" s="3"/>
      <c r="L45" s="3"/>
      <c r="M45" s="3"/>
      <c r="N45" s="3"/>
      <c r="Q45">
        <v>0.3584</v>
      </c>
      <c r="R45"/>
      <c r="S45" s="23"/>
      <c r="T45" s="21">
        <f t="shared" si="3"/>
        <v>1.7957183576772562</v>
      </c>
      <c r="U45" s="21">
        <f t="shared" si="4"/>
        <v>0</v>
      </c>
      <c r="V45" s="27"/>
      <c r="W45">
        <f>USA!Z53*G45</f>
        <v>1.1795126717089515</v>
      </c>
      <c r="X45">
        <v>1</v>
      </c>
      <c r="Y45">
        <v>0</v>
      </c>
      <c r="Z45">
        <v>0</v>
      </c>
      <c r="AA45" s="23"/>
      <c r="AB45" s="3">
        <v>0.68599999999999994</v>
      </c>
      <c r="AC45" s="3">
        <f t="shared" si="5"/>
        <v>3.9231299151802461</v>
      </c>
      <c r="AD45" s="3"/>
      <c r="AE45" s="4">
        <f t="shared" si="6"/>
        <v>0</v>
      </c>
      <c r="AF45" s="3">
        <f t="shared" si="7"/>
        <v>3.9231299151802461</v>
      </c>
      <c r="AH45" s="4"/>
      <c r="AQ45">
        <v>1966</v>
      </c>
      <c r="AR45" s="3">
        <f t="shared" si="8"/>
        <v>5.7188482728575023</v>
      </c>
      <c r="AS45" s="3">
        <f t="shared" ref="AS45:AS97" si="20">AC45</f>
        <v>3.9231299151802461</v>
      </c>
      <c r="AT45" s="3">
        <f t="shared" ref="AT45:AT97" si="21">AE45</f>
        <v>0</v>
      </c>
      <c r="AU45" s="3">
        <f t="shared" ref="AU45:AU76" si="22">AF45</f>
        <v>3.9231299151802461</v>
      </c>
      <c r="AV45" s="3">
        <f t="shared" si="9"/>
        <v>1.7957183576772562</v>
      </c>
      <c r="AX45" s="3">
        <v>8.0591766957641209</v>
      </c>
      <c r="AZ45" s="3">
        <f t="shared" si="10"/>
        <v>70.960700934418171</v>
      </c>
      <c r="BA45" s="3">
        <f t="shared" ref="BA45:BA96" si="23">BD45+BB45</f>
        <v>70.746097303462051</v>
      </c>
      <c r="BB45" s="3">
        <f t="shared" si="11"/>
        <v>48.67904084101086</v>
      </c>
      <c r="BC45" s="3">
        <f t="shared" si="12"/>
        <v>22.281660093407311</v>
      </c>
      <c r="BD45" s="3">
        <f t="shared" si="13"/>
        <v>22.067056462451198</v>
      </c>
      <c r="BE45" s="3">
        <f t="shared" si="14"/>
        <v>14.635647240851535</v>
      </c>
      <c r="BF45" s="3">
        <v>0</v>
      </c>
      <c r="BG45" s="3">
        <v>0</v>
      </c>
      <c r="BH45" s="24">
        <v>1</v>
      </c>
      <c r="BI45" s="3">
        <v>0</v>
      </c>
      <c r="BJ45" s="3">
        <v>0</v>
      </c>
      <c r="BK45" s="3">
        <v>0</v>
      </c>
      <c r="BL45" s="24">
        <v>0.5</v>
      </c>
      <c r="BN45" s="3">
        <f t="shared" si="15"/>
        <v>83.858983987641921</v>
      </c>
      <c r="BO45" s="3">
        <f t="shared" si="16"/>
        <v>83.605372591262508</v>
      </c>
    </row>
    <row r="46" spans="1:78">
      <c r="A46">
        <v>1967</v>
      </c>
      <c r="B46" s="3">
        <f t="shared" si="17"/>
        <v>89.514271025037758</v>
      </c>
      <c r="C46" s="3">
        <f t="shared" si="0"/>
        <v>15.30482682623647</v>
      </c>
      <c r="D46" s="1">
        <v>62.548099999999998</v>
      </c>
      <c r="E46" s="3">
        <v>21.90315</v>
      </c>
      <c r="F46" s="3">
        <f t="shared" si="18"/>
        <v>13.700004165149998</v>
      </c>
      <c r="G46" s="2">
        <f>Q46*G$49/Q$49</f>
        <v>0.41447296601244621</v>
      </c>
      <c r="H46" s="3">
        <f t="shared" si="19"/>
        <v>5.678281360712587</v>
      </c>
      <c r="I46" s="21">
        <f t="shared" si="1"/>
        <v>5.678281360712587</v>
      </c>
      <c r="J46" s="21">
        <f t="shared" si="2"/>
        <v>3.8953010134488344</v>
      </c>
      <c r="K46" s="3"/>
      <c r="L46" s="3"/>
      <c r="M46" s="3"/>
      <c r="N46" s="3"/>
      <c r="Q46">
        <v>0.41560000000000002</v>
      </c>
      <c r="R46"/>
      <c r="S46" s="23"/>
      <c r="T46" s="21">
        <f t="shared" si="3"/>
        <v>1.7829803472637527</v>
      </c>
      <c r="U46" s="21">
        <f t="shared" si="4"/>
        <v>0</v>
      </c>
      <c r="V46" s="27"/>
      <c r="W46">
        <f>USA!Z54*G46</f>
        <v>1.3677607878410725</v>
      </c>
      <c r="X46">
        <v>1</v>
      </c>
      <c r="Y46">
        <v>0</v>
      </c>
      <c r="Z46">
        <v>0</v>
      </c>
      <c r="AA46" s="23"/>
      <c r="AB46" s="3">
        <v>0.68599999999999994</v>
      </c>
      <c r="AC46" s="3">
        <f t="shared" si="5"/>
        <v>3.8953010134488344</v>
      </c>
      <c r="AD46" s="3"/>
      <c r="AE46" s="4">
        <f t="shared" si="6"/>
        <v>0</v>
      </c>
      <c r="AF46" s="3">
        <f t="shared" si="7"/>
        <v>3.8953010134488344</v>
      </c>
      <c r="AH46" s="4"/>
      <c r="AQ46">
        <v>1967</v>
      </c>
      <c r="AR46" s="3">
        <f t="shared" si="8"/>
        <v>5.678281360712587</v>
      </c>
      <c r="AS46" s="3">
        <f t="shared" si="20"/>
        <v>3.8953010134488344</v>
      </c>
      <c r="AT46" s="3">
        <f t="shared" si="21"/>
        <v>0</v>
      </c>
      <c r="AU46" s="3">
        <f t="shared" si="22"/>
        <v>3.8953010134488344</v>
      </c>
      <c r="AV46" s="3">
        <f t="shared" si="9"/>
        <v>1.7829803472637527</v>
      </c>
      <c r="AX46" s="3">
        <v>8.2592148905897211</v>
      </c>
      <c r="AZ46" s="3">
        <f t="shared" si="10"/>
        <v>68.750861140351674</v>
      </c>
      <c r="BA46" s="3">
        <f t="shared" si="23"/>
        <v>68.375519188938668</v>
      </c>
      <c r="BB46" s="3">
        <f t="shared" si="11"/>
        <v>47.163090742281241</v>
      </c>
      <c r="BC46" s="3">
        <f t="shared" si="12"/>
        <v>21.587770398070433</v>
      </c>
      <c r="BD46" s="3">
        <f t="shared" si="13"/>
        <v>21.21242844665743</v>
      </c>
      <c r="BE46" s="3">
        <f t="shared" si="14"/>
        <v>16.560421371278938</v>
      </c>
      <c r="BF46" s="3">
        <v>0</v>
      </c>
      <c r="BG46" s="3">
        <v>0</v>
      </c>
      <c r="BH46" s="24">
        <v>1</v>
      </c>
      <c r="BI46" s="3">
        <v>0</v>
      </c>
      <c r="BJ46" s="3">
        <v>0</v>
      </c>
      <c r="BK46" s="3">
        <v>0</v>
      </c>
      <c r="BL46" s="24">
        <v>1</v>
      </c>
      <c r="BN46" s="3">
        <f t="shared" si="15"/>
        <v>81.247469198954249</v>
      </c>
      <c r="BO46" s="3">
        <f t="shared" si="16"/>
        <v>80.803902629304332</v>
      </c>
    </row>
    <row r="47" spans="1:78">
      <c r="A47">
        <v>1968</v>
      </c>
      <c r="B47" s="3">
        <f t="shared" si="17"/>
        <v>98.430478093520918</v>
      </c>
      <c r="C47" s="3">
        <f t="shared" si="0"/>
        <v>15.950346083448959</v>
      </c>
      <c r="D47" s="1">
        <v>68.778300000000002</v>
      </c>
      <c r="E47" s="3">
        <v>22.826969999999999</v>
      </c>
      <c r="F47" s="3">
        <f t="shared" si="18"/>
        <v>15.70000190751</v>
      </c>
      <c r="G47" s="2">
        <f>Q47*G$49/Q$49</f>
        <v>0.41826266108185739</v>
      </c>
      <c r="H47" s="3">
        <f t="shared" si="19"/>
        <v>6.5667245768253695</v>
      </c>
      <c r="I47" s="21">
        <f t="shared" si="1"/>
        <v>6.5667245768253695</v>
      </c>
      <c r="J47" s="21">
        <f t="shared" si="2"/>
        <v>4.767442042775218</v>
      </c>
      <c r="K47" s="3"/>
      <c r="L47" s="3"/>
      <c r="M47" s="3"/>
      <c r="N47" s="3"/>
      <c r="Q47">
        <v>0.4194</v>
      </c>
      <c r="R47"/>
      <c r="S47" s="23"/>
      <c r="T47" s="21">
        <f t="shared" si="3"/>
        <v>1.7992825340501515</v>
      </c>
      <c r="U47" s="21">
        <f t="shared" si="4"/>
        <v>0</v>
      </c>
      <c r="V47" s="27"/>
      <c r="W47">
        <f>USA!Z55*G47</f>
        <v>1.3802667815701293</v>
      </c>
      <c r="X47">
        <v>1</v>
      </c>
      <c r="Y47">
        <v>0</v>
      </c>
      <c r="Z47">
        <v>0</v>
      </c>
      <c r="AA47" s="23"/>
      <c r="AB47" s="3">
        <v>0.72599999999999998</v>
      </c>
      <c r="AC47" s="3">
        <f t="shared" si="5"/>
        <v>4.767442042775218</v>
      </c>
      <c r="AD47" s="3"/>
      <c r="AE47" s="4">
        <f t="shared" si="6"/>
        <v>0</v>
      </c>
      <c r="AF47" s="3">
        <f t="shared" si="7"/>
        <v>4.767442042775218</v>
      </c>
      <c r="AH47" s="4"/>
      <c r="AQ47">
        <v>1968</v>
      </c>
      <c r="AR47" s="3">
        <f t="shared" si="8"/>
        <v>6.5667245768253695</v>
      </c>
      <c r="AS47" s="3">
        <f t="shared" si="20"/>
        <v>4.767442042775218</v>
      </c>
      <c r="AT47" s="3">
        <f t="shared" si="21"/>
        <v>0</v>
      </c>
      <c r="AU47" s="3">
        <f t="shared" si="22"/>
        <v>4.767442042775218</v>
      </c>
      <c r="AV47" s="3">
        <f t="shared" si="9"/>
        <v>1.7992825340501515</v>
      </c>
      <c r="AX47" s="3">
        <v>8.6471852330718555</v>
      </c>
      <c r="AZ47" s="3">
        <f t="shared" si="10"/>
        <v>75.94060263344889</v>
      </c>
      <c r="BA47" s="3">
        <f t="shared" si="23"/>
        <v>76.000142732910078</v>
      </c>
      <c r="BB47" s="3">
        <f t="shared" si="11"/>
        <v>55.132877511883891</v>
      </c>
      <c r="BC47" s="3">
        <f t="shared" si="12"/>
        <v>20.807725121564999</v>
      </c>
      <c r="BD47" s="3">
        <f t="shared" si="13"/>
        <v>20.867265221026184</v>
      </c>
      <c r="BE47" s="3">
        <f t="shared" si="14"/>
        <v>15.96203555685598</v>
      </c>
      <c r="BF47" s="3">
        <v>0</v>
      </c>
      <c r="BG47" s="3">
        <v>0</v>
      </c>
      <c r="BH47" s="24">
        <v>1</v>
      </c>
      <c r="BI47" s="3">
        <v>0</v>
      </c>
      <c r="BJ47" s="3">
        <v>0</v>
      </c>
      <c r="BK47" s="3">
        <v>0</v>
      </c>
      <c r="BL47" s="24">
        <v>1</v>
      </c>
      <c r="BN47" s="3">
        <f t="shared" si="15"/>
        <v>89.74406532618454</v>
      </c>
      <c r="BO47" s="3">
        <f t="shared" si="16"/>
        <v>89.814427825167641</v>
      </c>
    </row>
    <row r="48" spans="1:78">
      <c r="A48">
        <v>1969</v>
      </c>
      <c r="B48" s="3">
        <f t="shared" si="17"/>
        <v>96.942964750934578</v>
      </c>
      <c r="C48" s="3">
        <f t="shared" si="0"/>
        <v>16.814008114047141</v>
      </c>
      <c r="D48" s="1">
        <v>67.738900000000001</v>
      </c>
      <c r="E48" s="3">
        <v>24.06298</v>
      </c>
      <c r="F48" s="3">
        <f t="shared" si="18"/>
        <v>16.299997959220001</v>
      </c>
      <c r="G48" s="2">
        <f>Q48*G$49/Q$49</f>
        <v>0.4153705253709909</v>
      </c>
      <c r="H48" s="3">
        <f t="shared" si="19"/>
        <v>6.7705387158672909</v>
      </c>
      <c r="I48" s="21">
        <f t="shared" si="1"/>
        <v>6.7705387158672909</v>
      </c>
      <c r="J48" s="21">
        <f t="shared" si="2"/>
        <v>4.9424932625831222</v>
      </c>
      <c r="K48" s="3"/>
      <c r="L48" s="3"/>
      <c r="M48" s="3"/>
      <c r="N48" s="3"/>
      <c r="Q48">
        <v>0.41649999999999998</v>
      </c>
      <c r="R48"/>
      <c r="S48" s="23"/>
      <c r="T48" s="21">
        <f t="shared" si="3"/>
        <v>1.8280454532841688</v>
      </c>
      <c r="U48" s="21">
        <f t="shared" si="4"/>
        <v>0</v>
      </c>
      <c r="V48" s="27"/>
      <c r="W48">
        <f>USA!Z56*G48</f>
        <v>1.3707227337242698</v>
      </c>
      <c r="X48">
        <v>1</v>
      </c>
      <c r="Y48">
        <v>0</v>
      </c>
      <c r="Z48">
        <v>0</v>
      </c>
      <c r="AA48" s="23"/>
      <c r="AB48" s="3">
        <v>0.73</v>
      </c>
      <c r="AC48" s="3">
        <f t="shared" si="5"/>
        <v>4.9424932625831222</v>
      </c>
      <c r="AD48" s="3"/>
      <c r="AE48" s="4">
        <f t="shared" si="6"/>
        <v>0</v>
      </c>
      <c r="AF48" s="3">
        <f t="shared" si="7"/>
        <v>4.9424932625831222</v>
      </c>
      <c r="AH48" s="4"/>
      <c r="AQ48">
        <v>1969</v>
      </c>
      <c r="AR48" s="3">
        <f t="shared" si="8"/>
        <v>6.7705387158672909</v>
      </c>
      <c r="AS48" s="3">
        <f t="shared" si="20"/>
        <v>4.9424932625831222</v>
      </c>
      <c r="AT48" s="3">
        <f t="shared" si="21"/>
        <v>0</v>
      </c>
      <c r="AU48" s="3">
        <f t="shared" si="22"/>
        <v>4.9424932625831222</v>
      </c>
      <c r="AV48" s="3">
        <f t="shared" si="9"/>
        <v>1.8280454532841688</v>
      </c>
      <c r="AX48" s="3">
        <v>9.1181686175904542</v>
      </c>
      <c r="AZ48" s="3">
        <f t="shared" si="10"/>
        <v>74.253273873503531</v>
      </c>
      <c r="BA48" s="3">
        <f t="shared" si="23"/>
        <v>74.536192161359423</v>
      </c>
      <c r="BB48" s="3">
        <f t="shared" si="11"/>
        <v>54.204889927657575</v>
      </c>
      <c r="BC48" s="3">
        <f t="shared" si="12"/>
        <v>20.048383945845956</v>
      </c>
      <c r="BD48" s="3">
        <f t="shared" si="13"/>
        <v>20.331302233701855</v>
      </c>
      <c r="BE48" s="3">
        <f t="shared" si="14"/>
        <v>15.032873279837347</v>
      </c>
      <c r="BF48" s="3">
        <v>0</v>
      </c>
      <c r="BG48" s="3">
        <v>0</v>
      </c>
      <c r="BH48" s="24">
        <v>1</v>
      </c>
      <c r="BI48" s="3">
        <v>0</v>
      </c>
      <c r="BJ48" s="3">
        <v>0</v>
      </c>
      <c r="BK48" s="3">
        <v>0</v>
      </c>
      <c r="BL48" s="24">
        <v>1</v>
      </c>
      <c r="BN48" s="3">
        <f t="shared" si="15"/>
        <v>87.75003660889611</v>
      </c>
      <c r="BO48" s="3">
        <f t="shared" si="16"/>
        <v>88.084379982886233</v>
      </c>
    </row>
    <row r="49" spans="1:67">
      <c r="A49">
        <v>1970</v>
      </c>
      <c r="B49" s="3">
        <f t="shared" si="17"/>
        <v>96.600782299315966</v>
      </c>
      <c r="C49" s="3">
        <f t="shared" si="0"/>
        <v>17.805240938511318</v>
      </c>
      <c r="D49" s="1">
        <v>67.499799999999993</v>
      </c>
      <c r="E49" s="3">
        <v>25.481560000000002</v>
      </c>
      <c r="F49" s="3">
        <f t="shared" si="18"/>
        <v>17.200002036880001</v>
      </c>
      <c r="G49" s="3">
        <v>0.41666700000000001</v>
      </c>
      <c r="H49" s="3">
        <f t="shared" si="19"/>
        <v>7.1666732487006799</v>
      </c>
      <c r="I49" s="21">
        <f t="shared" si="1"/>
        <v>7.1666732487006799</v>
      </c>
      <c r="J49" s="21">
        <f t="shared" si="2"/>
        <v>4.9593378881008707</v>
      </c>
      <c r="K49" s="3"/>
      <c r="L49" s="3"/>
      <c r="M49" s="3" t="s">
        <v>174</v>
      </c>
      <c r="N49" s="3"/>
      <c r="Q49">
        <v>0.4178</v>
      </c>
      <c r="R49"/>
      <c r="S49" s="23"/>
      <c r="T49" s="21">
        <f t="shared" si="3"/>
        <v>2.2073353605998092</v>
      </c>
      <c r="U49" s="21">
        <f t="shared" si="4"/>
        <v>0</v>
      </c>
      <c r="V49" s="27"/>
      <c r="W49">
        <f>USA!Z57*G49</f>
        <v>1.3958344500000002</v>
      </c>
      <c r="X49">
        <v>1</v>
      </c>
      <c r="Y49">
        <v>0</v>
      </c>
      <c r="Z49">
        <v>0</v>
      </c>
      <c r="AA49" s="23"/>
      <c r="AB49" s="3">
        <v>0.69200000000000006</v>
      </c>
      <c r="AC49" s="3">
        <f t="shared" si="5"/>
        <v>4.9593378881008707</v>
      </c>
      <c r="AD49" s="3"/>
      <c r="AE49" s="4">
        <f t="shared" si="6"/>
        <v>0</v>
      </c>
      <c r="AF49" s="3">
        <f t="shared" si="7"/>
        <v>4.9593378881008707</v>
      </c>
      <c r="AH49" s="4"/>
      <c r="AQ49">
        <v>1970</v>
      </c>
      <c r="AR49" s="3">
        <f t="shared" si="8"/>
        <v>7.1666732487006799</v>
      </c>
      <c r="AS49" s="3">
        <f t="shared" si="20"/>
        <v>4.9593378881008707</v>
      </c>
      <c r="AT49" s="3">
        <f t="shared" si="21"/>
        <v>0</v>
      </c>
      <c r="AU49" s="3">
        <f t="shared" si="22"/>
        <v>4.9593378881008707</v>
      </c>
      <c r="AV49" s="3">
        <f t="shared" si="9"/>
        <v>2.2073353605998092</v>
      </c>
      <c r="AX49" s="3">
        <v>9.6986830229840102</v>
      </c>
      <c r="AZ49" s="3">
        <f t="shared" si="10"/>
        <v>73.893261917283453</v>
      </c>
      <c r="BA49" s="3">
        <f t="shared" si="23"/>
        <v>74.043093945961658</v>
      </c>
      <c r="BB49" s="3">
        <f t="shared" si="11"/>
        <v>51.134137246760162</v>
      </c>
      <c r="BC49" s="3">
        <f t="shared" si="12"/>
        <v>22.759124670523292</v>
      </c>
      <c r="BD49" s="3">
        <f t="shared" si="13"/>
        <v>22.908956699201493</v>
      </c>
      <c r="BE49" s="3">
        <f t="shared" si="14"/>
        <v>14.391999890007142</v>
      </c>
      <c r="BF49" s="3">
        <v>0</v>
      </c>
      <c r="BG49" s="3">
        <v>0</v>
      </c>
      <c r="BH49" s="24">
        <v>1</v>
      </c>
      <c r="BI49" s="3">
        <v>0</v>
      </c>
      <c r="BJ49" s="3">
        <v>0</v>
      </c>
      <c r="BK49" s="3">
        <v>0</v>
      </c>
      <c r="BL49" s="24">
        <v>0.25</v>
      </c>
      <c r="BN49" s="3">
        <f t="shared" si="15"/>
        <v>87.324586515048793</v>
      </c>
      <c r="BO49" s="3">
        <f t="shared" si="16"/>
        <v>87.501652997317251</v>
      </c>
    </row>
    <row r="50" spans="1:67">
      <c r="A50">
        <v>1971</v>
      </c>
      <c r="B50" s="3">
        <f t="shared" si="17"/>
        <v>101.27656024129985</v>
      </c>
      <c r="C50" s="3">
        <f t="shared" si="0"/>
        <v>18.563021376325832</v>
      </c>
      <c r="D50" s="1">
        <v>70.766999999999996</v>
      </c>
      <c r="E50" s="3">
        <v>26.566040000000001</v>
      </c>
      <c r="F50" s="3">
        <f t="shared" si="18"/>
        <v>18.799989526800001</v>
      </c>
      <c r="G50" s="3">
        <v>0.41092000000000001</v>
      </c>
      <c r="H50" s="3">
        <f t="shared" si="19"/>
        <v>7.7252916963526568</v>
      </c>
      <c r="I50" s="21">
        <f t="shared" si="1"/>
        <v>7.7252916963526568</v>
      </c>
      <c r="J50" s="21">
        <f t="shared" si="2"/>
        <v>5.1913960199489857</v>
      </c>
      <c r="K50" s="3"/>
      <c r="L50" s="3"/>
      <c r="M50" s="3"/>
      <c r="N50" s="3"/>
      <c r="R50"/>
      <c r="S50" s="23"/>
      <c r="T50" s="21">
        <f t="shared" si="3"/>
        <v>2.5338956764036711</v>
      </c>
      <c r="U50" s="21">
        <f t="shared" si="4"/>
        <v>0</v>
      </c>
      <c r="V50" s="27"/>
      <c r="W50">
        <f>USA!Z58*G50</f>
        <v>1.4628752</v>
      </c>
      <c r="X50">
        <v>1</v>
      </c>
      <c r="Y50">
        <v>0</v>
      </c>
      <c r="Z50">
        <v>0</v>
      </c>
      <c r="AA50" s="23"/>
      <c r="AB50" s="3">
        <v>0.67200000000000004</v>
      </c>
      <c r="AC50" s="3">
        <f t="shared" si="5"/>
        <v>5.1913960199489857</v>
      </c>
      <c r="AD50" s="3"/>
      <c r="AE50" s="4">
        <f t="shared" si="6"/>
        <v>0</v>
      </c>
      <c r="AF50" s="3">
        <f t="shared" si="7"/>
        <v>5.1913960199489857</v>
      </c>
      <c r="AH50" s="4"/>
      <c r="AQ50">
        <v>1971</v>
      </c>
      <c r="AR50" s="3">
        <f t="shared" si="8"/>
        <v>7.7252916963526568</v>
      </c>
      <c r="AS50" s="3">
        <f t="shared" si="20"/>
        <v>5.1913960199489857</v>
      </c>
      <c r="AT50" s="3">
        <f t="shared" si="21"/>
        <v>0</v>
      </c>
      <c r="AU50" s="3">
        <f t="shared" si="22"/>
        <v>5.1913960199489857</v>
      </c>
      <c r="AV50" s="3">
        <f t="shared" si="9"/>
        <v>2.5338956764036711</v>
      </c>
      <c r="AX50" s="3">
        <v>10.614708116612015</v>
      </c>
      <c r="AZ50" s="3">
        <f t="shared" si="10"/>
        <v>72.779125073279943</v>
      </c>
      <c r="BA50" s="3">
        <f t="shared" si="23"/>
        <v>72.446869680666651</v>
      </c>
      <c r="BB50" s="3">
        <f t="shared" si="11"/>
        <v>48.907572049244131</v>
      </c>
      <c r="BC50" s="3">
        <f t="shared" si="12"/>
        <v>23.871553024035812</v>
      </c>
      <c r="BD50" s="3">
        <f t="shared" si="13"/>
        <v>23.539297631422517</v>
      </c>
      <c r="BE50" s="3">
        <f t="shared" si="14"/>
        <v>13.781586680754801</v>
      </c>
      <c r="BF50" s="3">
        <v>0</v>
      </c>
      <c r="BG50" s="3">
        <v>0</v>
      </c>
      <c r="BH50" s="24">
        <v>1</v>
      </c>
      <c r="BI50" s="3">
        <v>0</v>
      </c>
      <c r="BJ50" s="3">
        <v>0</v>
      </c>
      <c r="BK50" s="3">
        <v>0</v>
      </c>
      <c r="BL50" s="3">
        <v>0</v>
      </c>
      <c r="BN50" s="3">
        <f t="shared" si="15"/>
        <v>86.007936840918887</v>
      </c>
      <c r="BO50" s="3">
        <f t="shared" si="16"/>
        <v>85.615288525977391</v>
      </c>
    </row>
    <row r="51" spans="1:67">
      <c r="A51">
        <v>1972</v>
      </c>
      <c r="B51" s="3">
        <f t="shared" si="17"/>
        <v>92.362356750534275</v>
      </c>
      <c r="C51" s="3">
        <f t="shared" si="0"/>
        <v>19.17664269444656</v>
      </c>
      <c r="D51" s="1">
        <v>64.538200000000003</v>
      </c>
      <c r="E51" s="3">
        <v>27.444210000000002</v>
      </c>
      <c r="F51" s="3">
        <f t="shared" si="18"/>
        <v>17.711999138220001</v>
      </c>
      <c r="G51" s="3">
        <v>0.40039000000000002</v>
      </c>
      <c r="H51" s="3">
        <f t="shared" si="19"/>
        <v>7.0917073349519066</v>
      </c>
      <c r="I51" s="21">
        <f t="shared" si="1"/>
        <v>7.0917073349519066</v>
      </c>
      <c r="J51" s="21">
        <f t="shared" si="2"/>
        <v>4.5386926943692201</v>
      </c>
      <c r="K51" s="3"/>
      <c r="L51" s="3"/>
      <c r="M51" s="3"/>
      <c r="N51" s="3"/>
      <c r="R51"/>
      <c r="S51" s="23"/>
      <c r="T51" s="21">
        <f t="shared" si="3"/>
        <v>2.5530146405826866</v>
      </c>
      <c r="U51" s="21">
        <f t="shared" si="4"/>
        <v>0</v>
      </c>
      <c r="V51" s="27"/>
      <c r="W51">
        <f>USA!Z59*G51</f>
        <v>1.4253884000000001</v>
      </c>
      <c r="X51">
        <v>1</v>
      </c>
      <c r="Y51">
        <v>0</v>
      </c>
      <c r="Z51">
        <v>0</v>
      </c>
      <c r="AA51" s="23"/>
      <c r="AB51" s="3">
        <v>0.64</v>
      </c>
      <c r="AC51" s="3">
        <f t="shared" si="5"/>
        <v>4.5386926943692201</v>
      </c>
      <c r="AD51" s="3"/>
      <c r="AE51" s="4">
        <f t="shared" si="6"/>
        <v>0</v>
      </c>
      <c r="AF51" s="3">
        <f t="shared" si="7"/>
        <v>4.5386926943692201</v>
      </c>
      <c r="AH51" s="4"/>
      <c r="AQ51">
        <v>1972</v>
      </c>
      <c r="AR51" s="3">
        <f t="shared" si="8"/>
        <v>7.0917073349519066</v>
      </c>
      <c r="AS51" s="3">
        <f t="shared" si="20"/>
        <v>4.5386926943692201</v>
      </c>
      <c r="AT51" s="3">
        <f t="shared" si="21"/>
        <v>0</v>
      </c>
      <c r="AU51" s="3">
        <f t="shared" si="22"/>
        <v>4.5386926943692201</v>
      </c>
      <c r="AV51" s="3">
        <f t="shared" si="9"/>
        <v>2.5530146405826866</v>
      </c>
      <c r="AX51" s="3">
        <v>11.365283786922037</v>
      </c>
      <c r="AZ51" s="3">
        <f t="shared" si="10"/>
        <v>62.397978509892482</v>
      </c>
      <c r="BA51" s="3">
        <f t="shared" si="23"/>
        <v>62.758749793219422</v>
      </c>
      <c r="BB51" s="3">
        <f t="shared" si="11"/>
        <v>39.934706246331189</v>
      </c>
      <c r="BC51" s="3">
        <f t="shared" si="12"/>
        <v>22.463272263561294</v>
      </c>
      <c r="BD51" s="3">
        <f t="shared" si="13"/>
        <v>22.82404354688823</v>
      </c>
      <c r="BE51" s="3">
        <f t="shared" si="14"/>
        <v>12.541599723538678</v>
      </c>
      <c r="BF51" s="3">
        <v>0</v>
      </c>
      <c r="BG51" s="3">
        <v>0</v>
      </c>
      <c r="BH51" s="24">
        <v>1</v>
      </c>
      <c r="BI51" s="3">
        <v>0</v>
      </c>
      <c r="BJ51" s="3">
        <v>0</v>
      </c>
      <c r="BK51" s="3">
        <v>0</v>
      </c>
      <c r="BL51" s="3">
        <v>0</v>
      </c>
      <c r="BN51" s="3">
        <f t="shared" si="15"/>
        <v>73.739844897505904</v>
      </c>
      <c r="BO51" s="3">
        <f t="shared" si="16"/>
        <v>74.166192338742079</v>
      </c>
    </row>
    <row r="52" spans="1:67">
      <c r="A52">
        <v>1973</v>
      </c>
      <c r="B52" s="3">
        <f t="shared" si="17"/>
        <v>94.258886172888921</v>
      </c>
      <c r="C52" s="3">
        <f t="shared" si="0"/>
        <v>20.369443941469338</v>
      </c>
      <c r="D52" s="1">
        <v>65.863399999999999</v>
      </c>
      <c r="E52" s="3">
        <v>29.151260000000001</v>
      </c>
      <c r="F52" s="3">
        <f t="shared" si="18"/>
        <v>19.200010978840002</v>
      </c>
      <c r="G52" s="3">
        <v>0.40817100000000001</v>
      </c>
      <c r="H52" s="3">
        <f t="shared" si="19"/>
        <v>7.8368876812441028</v>
      </c>
      <c r="I52" s="21">
        <f t="shared" si="1"/>
        <v>7.8368876812441028</v>
      </c>
      <c r="J52" s="21">
        <f t="shared" si="2"/>
        <v>4.3886571014966984</v>
      </c>
      <c r="K52" s="3"/>
      <c r="L52" s="3"/>
      <c r="M52" s="3"/>
      <c r="N52" s="3"/>
      <c r="R52"/>
      <c r="S52" s="23"/>
      <c r="T52" s="21">
        <f t="shared" si="3"/>
        <v>3.4482305797474044</v>
      </c>
      <c r="U52" s="21">
        <f t="shared" si="4"/>
        <v>0</v>
      </c>
      <c r="V52" s="27"/>
      <c r="W52">
        <f>USA!Z60*G52</f>
        <v>1.5796217700000001</v>
      </c>
      <c r="X52">
        <v>1</v>
      </c>
      <c r="Y52">
        <v>0</v>
      </c>
      <c r="Z52">
        <v>0</v>
      </c>
      <c r="AA52" s="23"/>
      <c r="AB52" s="3">
        <v>0.56000000000000005</v>
      </c>
      <c r="AC52" s="3">
        <f t="shared" si="5"/>
        <v>4.3886571014966984</v>
      </c>
      <c r="AD52" s="3"/>
      <c r="AE52" s="4">
        <f t="shared" si="6"/>
        <v>0</v>
      </c>
      <c r="AF52" s="3">
        <f t="shared" si="7"/>
        <v>4.3886571014966984</v>
      </c>
      <c r="AH52" s="4"/>
      <c r="AQ52">
        <v>1973</v>
      </c>
      <c r="AR52" s="3">
        <f t="shared" si="8"/>
        <v>7.8368876812441028</v>
      </c>
      <c r="AS52" s="3">
        <f t="shared" si="20"/>
        <v>4.3886571014966984</v>
      </c>
      <c r="AT52" s="3">
        <f t="shared" si="21"/>
        <v>0</v>
      </c>
      <c r="AU52" s="3">
        <f t="shared" si="22"/>
        <v>4.3886571014966984</v>
      </c>
      <c r="AV52" s="3">
        <f t="shared" si="9"/>
        <v>3.4482305797474044</v>
      </c>
      <c r="AX52" s="3">
        <v>12.410440284692253</v>
      </c>
      <c r="AZ52" s="3">
        <f t="shared" si="10"/>
        <v>63.147539502773064</v>
      </c>
      <c r="BA52" s="3">
        <f t="shared" si="23"/>
        <v>63.262107680596728</v>
      </c>
      <c r="BB52" s="3">
        <f t="shared" si="11"/>
        <v>35.362622121552924</v>
      </c>
      <c r="BC52" s="7">
        <f>AZ52-BB52</f>
        <v>27.78491738122014</v>
      </c>
      <c r="BD52" s="3">
        <f t="shared" si="13"/>
        <v>27.899485559043807</v>
      </c>
      <c r="BE52" s="3">
        <f t="shared" si="14"/>
        <v>12.72816865287524</v>
      </c>
      <c r="BF52" s="24">
        <v>0.3</v>
      </c>
      <c r="BG52" s="3">
        <v>0</v>
      </c>
      <c r="BH52" s="24">
        <v>1</v>
      </c>
      <c r="BI52" s="3">
        <v>0</v>
      </c>
      <c r="BJ52" s="3">
        <v>0</v>
      </c>
      <c r="BK52" s="3">
        <v>0</v>
      </c>
      <c r="BL52" s="3">
        <v>0</v>
      </c>
      <c r="BN52" s="3">
        <f t="shared" si="15"/>
        <v>74.625651019373649</v>
      </c>
      <c r="BO52" s="3">
        <f t="shared" si="16"/>
        <v>74.761043861652468</v>
      </c>
    </row>
    <row r="53" spans="1:67">
      <c r="A53">
        <v>1974</v>
      </c>
      <c r="B53" s="3">
        <f t="shared" si="17"/>
        <v>161.82324773870221</v>
      </c>
      <c r="C53" s="3">
        <f t="shared" si="0"/>
        <v>22.617266903639468</v>
      </c>
      <c r="D53" s="1">
        <v>113.074</v>
      </c>
      <c r="E53" s="3">
        <v>32.368180000000002</v>
      </c>
      <c r="F53" s="3">
        <f t="shared" si="18"/>
        <v>36.599995853199999</v>
      </c>
      <c r="G53" s="3">
        <v>0.42775600000000003</v>
      </c>
      <c r="H53" s="3">
        <f t="shared" si="19"/>
        <v>15.655867826181419</v>
      </c>
      <c r="I53" s="21">
        <f t="shared" si="1"/>
        <v>15.655867826181419</v>
      </c>
      <c r="J53" s="21">
        <f t="shared" si="2"/>
        <v>7.9844925913525238</v>
      </c>
      <c r="K53" s="3"/>
      <c r="L53" s="3"/>
      <c r="M53" s="3"/>
      <c r="N53" s="3"/>
      <c r="R53"/>
      <c r="S53" s="23"/>
      <c r="T53" s="21">
        <f t="shared" si="3"/>
        <v>7.6713752348288953</v>
      </c>
      <c r="U53" s="21">
        <f t="shared" si="4"/>
        <v>0</v>
      </c>
      <c r="V53" s="27"/>
      <c r="W53">
        <f>USA!Z61*G53</f>
        <v>5.2528436799999998</v>
      </c>
      <c r="X53">
        <v>0</v>
      </c>
      <c r="Y53">
        <v>0</v>
      </c>
      <c r="Z53">
        <v>0</v>
      </c>
      <c r="AA53" s="23"/>
      <c r="AB53" s="3">
        <v>0.51</v>
      </c>
      <c r="AC53" s="3">
        <f t="shared" si="5"/>
        <v>6.8247986783020487</v>
      </c>
      <c r="AD53" s="2">
        <v>0.08</v>
      </c>
      <c r="AE53" s="4">
        <f t="shared" si="6"/>
        <v>1.1596939130504753</v>
      </c>
      <c r="AF53" s="3">
        <f t="shared" si="7"/>
        <v>7.9844925913525238</v>
      </c>
      <c r="AH53" s="4"/>
      <c r="AQ53">
        <v>1974</v>
      </c>
      <c r="AR53" s="3">
        <f t="shared" si="8"/>
        <v>15.655867826181419</v>
      </c>
      <c r="AS53" s="3">
        <f t="shared" si="20"/>
        <v>6.8247986783020487</v>
      </c>
      <c r="AT53" s="3">
        <f t="shared" si="21"/>
        <v>1.1596939130504753</v>
      </c>
      <c r="AU53" s="3">
        <f t="shared" si="22"/>
        <v>7.9844925913525238</v>
      </c>
      <c r="AV53" s="3">
        <f t="shared" si="9"/>
        <v>7.6713752348288953</v>
      </c>
      <c r="AX53" s="3">
        <v>14.40157008292425</v>
      </c>
      <c r="AZ53" s="3">
        <f t="shared" si="10"/>
        <v>108.70945137255814</v>
      </c>
      <c r="BA53" s="3">
        <f t="shared" si="23"/>
        <v>108.63011910976874</v>
      </c>
      <c r="BB53" s="3">
        <f t="shared" si="11"/>
        <v>55.441820200004656</v>
      </c>
      <c r="BC53" s="7">
        <f t="shared" ref="BC53:BC96" si="24">AZ53-BB53</f>
        <v>53.267631172553479</v>
      </c>
      <c r="BD53" s="3">
        <f t="shared" si="13"/>
        <v>53.188298909764086</v>
      </c>
      <c r="BE53" s="3">
        <f t="shared" si="14"/>
        <v>36.474104210541789</v>
      </c>
      <c r="BF53" s="24">
        <v>1</v>
      </c>
      <c r="BG53" s="3">
        <v>0</v>
      </c>
      <c r="BH53" s="24">
        <v>1</v>
      </c>
      <c r="BI53" s="3">
        <v>0</v>
      </c>
      <c r="BJ53" s="3">
        <v>0</v>
      </c>
      <c r="BK53" s="3">
        <v>0</v>
      </c>
      <c r="BL53" s="3">
        <v>0</v>
      </c>
      <c r="BN53" s="3">
        <f t="shared" si="15"/>
        <v>128.46919522936977</v>
      </c>
      <c r="BO53" s="3">
        <f t="shared" si="16"/>
        <v>128.37544301346216</v>
      </c>
    </row>
    <row r="54" spans="1:67">
      <c r="A54">
        <v>1975</v>
      </c>
      <c r="B54" s="3">
        <f t="shared" si="17"/>
        <v>132.72471609595556</v>
      </c>
      <c r="C54" s="3">
        <f t="shared" si="0"/>
        <v>24.682660206706046</v>
      </c>
      <c r="D54" s="1">
        <v>92.741399999999999</v>
      </c>
      <c r="E54" s="3">
        <v>35.324019999999997</v>
      </c>
      <c r="F54" s="3">
        <f t="shared" si="18"/>
        <v>32.759990684279998</v>
      </c>
      <c r="G54" s="3">
        <v>0.45204100000000003</v>
      </c>
      <c r="H54" s="3">
        <f t="shared" si="19"/>
        <v>14.808858948912615</v>
      </c>
      <c r="I54" s="21">
        <f t="shared" si="1"/>
        <v>14.808858948912615</v>
      </c>
      <c r="J54" s="21">
        <f t="shared" si="2"/>
        <v>7.2563408849671811</v>
      </c>
      <c r="K54" s="3"/>
      <c r="L54" s="3"/>
      <c r="M54" s="3"/>
      <c r="N54" s="3"/>
      <c r="R54"/>
      <c r="S54" s="23"/>
      <c r="T54" s="21">
        <f t="shared" si="3"/>
        <v>7.5525180639454339</v>
      </c>
      <c r="U54" s="21">
        <f t="shared" si="4"/>
        <v>0</v>
      </c>
      <c r="V54" s="27"/>
      <c r="W54">
        <f>USA!Z62*G54</f>
        <v>5.7273594700000006</v>
      </c>
      <c r="X54">
        <v>0</v>
      </c>
      <c r="Y54">
        <v>0</v>
      </c>
      <c r="Z54">
        <v>0</v>
      </c>
      <c r="AA54" s="23"/>
      <c r="AB54" s="3">
        <v>0.49</v>
      </c>
      <c r="AC54" s="3">
        <f t="shared" si="5"/>
        <v>6.1593883702329135</v>
      </c>
      <c r="AD54" s="2">
        <v>0.08</v>
      </c>
      <c r="AE54" s="4">
        <f t="shared" si="6"/>
        <v>1.0969525147342676</v>
      </c>
      <c r="AF54" s="3">
        <f t="shared" si="7"/>
        <v>7.2563408849671811</v>
      </c>
      <c r="AH54" s="4"/>
      <c r="AQ54">
        <v>1975</v>
      </c>
      <c r="AR54" s="3">
        <f t="shared" si="8"/>
        <v>14.808858948912615</v>
      </c>
      <c r="AS54" s="3">
        <f t="shared" si="20"/>
        <v>6.1593883702329135</v>
      </c>
      <c r="AT54" s="3">
        <f t="shared" si="21"/>
        <v>1.0969525147342676</v>
      </c>
      <c r="AU54" s="3">
        <f t="shared" si="22"/>
        <v>7.2563408849671811</v>
      </c>
      <c r="AV54" s="3">
        <f t="shared" si="9"/>
        <v>7.5525180639454339</v>
      </c>
      <c r="AX54" s="3">
        <v>17.887799917450963</v>
      </c>
      <c r="AZ54" s="3">
        <f t="shared" si="10"/>
        <v>82.787480949322358</v>
      </c>
      <c r="BA54" s="3">
        <f t="shared" si="23"/>
        <v>82.904210495397848</v>
      </c>
      <c r="BB54" s="3">
        <f t="shared" si="11"/>
        <v>40.565865665167948</v>
      </c>
      <c r="BC54" s="7">
        <f t="shared" si="24"/>
        <v>42.22161528415441</v>
      </c>
      <c r="BD54" s="3">
        <f t="shared" si="13"/>
        <v>42.3383448302299</v>
      </c>
      <c r="BE54" s="3">
        <f t="shared" si="14"/>
        <v>32.018244258269618</v>
      </c>
      <c r="BF54" s="24">
        <v>0.5</v>
      </c>
      <c r="BG54" s="3">
        <v>0</v>
      </c>
      <c r="BH54" s="24">
        <v>1</v>
      </c>
      <c r="BI54" s="3">
        <v>0</v>
      </c>
      <c r="BJ54" s="3">
        <v>0</v>
      </c>
      <c r="BK54" s="3">
        <v>0</v>
      </c>
      <c r="BL54" s="3">
        <v>0</v>
      </c>
      <c r="BN54" s="3">
        <f t="shared" si="15"/>
        <v>97.835477213262934</v>
      </c>
      <c r="BO54" s="3">
        <f t="shared" si="16"/>
        <v>97.973424288282331</v>
      </c>
    </row>
    <row r="55" spans="1:67">
      <c r="A55">
        <v>1976</v>
      </c>
      <c r="B55" s="3">
        <f t="shared" si="17"/>
        <v>111.11655975026741</v>
      </c>
      <c r="C55" s="3">
        <f t="shared" si="0"/>
        <v>26.098712089869402</v>
      </c>
      <c r="D55" s="1">
        <v>77.642700000000005</v>
      </c>
      <c r="E55" s="3">
        <v>37.350569999999998</v>
      </c>
      <c r="F55" s="3">
        <f t="shared" si="18"/>
        <v>28.999991013389998</v>
      </c>
      <c r="G55" s="3">
        <v>0.55650999999999995</v>
      </c>
      <c r="H55" s="3">
        <f t="shared" si="19"/>
        <v>16.138784998861667</v>
      </c>
      <c r="I55" s="21">
        <f t="shared" si="1"/>
        <v>16.138784998861667</v>
      </c>
      <c r="J55" s="21">
        <f t="shared" si="2"/>
        <v>7.9080046494422165</v>
      </c>
      <c r="K55" s="3"/>
      <c r="L55" s="3"/>
      <c r="M55" s="3"/>
      <c r="N55" s="3"/>
      <c r="R55"/>
      <c r="S55" s="23"/>
      <c r="T55" s="21">
        <f t="shared" si="3"/>
        <v>8.2307803494194509</v>
      </c>
      <c r="U55" s="21">
        <f t="shared" si="4"/>
        <v>0</v>
      </c>
      <c r="V55" s="27"/>
      <c r="W55">
        <f>USA!Z63*G55</f>
        <v>7.4127131999999998</v>
      </c>
      <c r="X55">
        <v>0</v>
      </c>
      <c r="Y55">
        <v>0</v>
      </c>
      <c r="Z55">
        <v>0</v>
      </c>
      <c r="AA55" s="23"/>
      <c r="AB55" s="3">
        <v>0.49</v>
      </c>
      <c r="AC55" s="3">
        <f t="shared" si="5"/>
        <v>6.7125390939709817</v>
      </c>
      <c r="AD55" s="2">
        <v>0.08</v>
      </c>
      <c r="AE55" s="4">
        <f t="shared" si="6"/>
        <v>1.1954655554712346</v>
      </c>
      <c r="AF55" s="3">
        <f t="shared" si="7"/>
        <v>7.9080046494422165</v>
      </c>
      <c r="AH55" s="4"/>
      <c r="AQ55">
        <v>1976</v>
      </c>
      <c r="AR55" s="3">
        <f t="shared" si="8"/>
        <v>16.138784998861667</v>
      </c>
      <c r="AS55" s="3">
        <f t="shared" si="20"/>
        <v>6.7125390939709817</v>
      </c>
      <c r="AT55" s="3">
        <f t="shared" si="21"/>
        <v>1.1954655554712346</v>
      </c>
      <c r="AU55" s="3">
        <f t="shared" si="22"/>
        <v>7.9080046494422165</v>
      </c>
      <c r="AV55" s="3">
        <f t="shared" si="9"/>
        <v>8.2307803494194509</v>
      </c>
      <c r="AX55" s="3">
        <v>20.849933722341238</v>
      </c>
      <c r="AZ55" s="3">
        <f t="shared" si="10"/>
        <v>77.40449065105922</v>
      </c>
      <c r="BA55" s="3">
        <f t="shared" si="23"/>
        <v>77.337475833081982</v>
      </c>
      <c r="BB55" s="3">
        <f t="shared" si="11"/>
        <v>37.928200419019014</v>
      </c>
      <c r="BC55" s="7">
        <f t="shared" si="24"/>
        <v>39.476290232040206</v>
      </c>
      <c r="BD55" s="3">
        <f t="shared" si="13"/>
        <v>39.409275414062975</v>
      </c>
      <c r="BE55" s="3">
        <f t="shared" si="14"/>
        <v>35.552694309320934</v>
      </c>
      <c r="BF55" s="24">
        <v>0.2</v>
      </c>
      <c r="BG55" s="3">
        <v>0</v>
      </c>
      <c r="BH55" s="24">
        <v>1</v>
      </c>
      <c r="BI55" s="3">
        <v>0</v>
      </c>
      <c r="BJ55" s="3">
        <v>0</v>
      </c>
      <c r="BK55" s="3">
        <v>0</v>
      </c>
      <c r="BL55" s="3">
        <v>0</v>
      </c>
      <c r="BN55" s="3">
        <f t="shared" si="15"/>
        <v>91.474039244310575</v>
      </c>
      <c r="BO55" s="3">
        <f t="shared" si="16"/>
        <v>91.394843372881937</v>
      </c>
    </row>
    <row r="56" spans="1:67">
      <c r="A56">
        <v>1977</v>
      </c>
      <c r="B56" s="3">
        <f t="shared" si="17"/>
        <v>108.84579063281336</v>
      </c>
      <c r="C56" s="3">
        <f t="shared" si="0"/>
        <v>27.791594761847083</v>
      </c>
      <c r="D56" s="1">
        <v>76.055999999999997</v>
      </c>
      <c r="E56" s="3">
        <v>39.773299999999999</v>
      </c>
      <c r="F56" s="3">
        <f t="shared" si="18"/>
        <v>30.249981047999999</v>
      </c>
      <c r="G56" s="3">
        <v>0.573272</v>
      </c>
      <c r="H56" s="3">
        <f t="shared" si="19"/>
        <v>17.341467135349056</v>
      </c>
      <c r="I56" s="21">
        <f t="shared" si="1"/>
        <v>17.341467135349056</v>
      </c>
      <c r="J56" s="21">
        <f t="shared" si="2"/>
        <v>8.8441482390280193</v>
      </c>
      <c r="K56" s="3"/>
      <c r="L56" s="3"/>
      <c r="M56" s="3"/>
      <c r="N56" s="3"/>
      <c r="R56"/>
      <c r="S56" s="23"/>
      <c r="T56" s="21">
        <f t="shared" si="3"/>
        <v>8.4973188963210369</v>
      </c>
      <c r="U56" s="21">
        <f t="shared" si="4"/>
        <v>0</v>
      </c>
      <c r="V56" s="27"/>
      <c r="W56">
        <f>USA!Z64*G56</f>
        <v>8.2321859199999992</v>
      </c>
      <c r="X56">
        <v>0</v>
      </c>
      <c r="Y56">
        <v>0</v>
      </c>
      <c r="Z56">
        <v>0</v>
      </c>
      <c r="AA56" s="23"/>
      <c r="AB56" s="3">
        <v>0.51</v>
      </c>
      <c r="AC56" s="3">
        <f t="shared" si="5"/>
        <v>7.5595951178910523</v>
      </c>
      <c r="AD56" s="2">
        <v>0.08</v>
      </c>
      <c r="AE56" s="4">
        <f t="shared" si="6"/>
        <v>1.284553121136967</v>
      </c>
      <c r="AF56" s="3">
        <f t="shared" si="7"/>
        <v>8.8441482390280193</v>
      </c>
      <c r="AH56" s="4"/>
      <c r="AQ56">
        <v>1977</v>
      </c>
      <c r="AR56" s="3">
        <f t="shared" si="8"/>
        <v>17.341467135349056</v>
      </c>
      <c r="AS56" s="3">
        <f t="shared" si="20"/>
        <v>7.5595951178910523</v>
      </c>
      <c r="AT56" s="3">
        <f t="shared" si="21"/>
        <v>1.284553121136967</v>
      </c>
      <c r="AU56" s="3">
        <f t="shared" si="22"/>
        <v>8.8441482390280193</v>
      </c>
      <c r="AV56" s="3">
        <f t="shared" si="9"/>
        <v>8.4973188963210369</v>
      </c>
      <c r="AX56" s="3">
        <v>24.152619518781137</v>
      </c>
      <c r="AZ56" s="3">
        <f t="shared" si="10"/>
        <v>71.799529329993732</v>
      </c>
      <c r="BA56" s="3">
        <f t="shared" si="23"/>
        <v>71.86799127670929</v>
      </c>
      <c r="BB56" s="3">
        <f t="shared" si="11"/>
        <v>36.617759958296816</v>
      </c>
      <c r="BC56" s="7">
        <f t="shared" si="24"/>
        <v>35.181769371696916</v>
      </c>
      <c r="BD56" s="3">
        <f t="shared" si="13"/>
        <v>35.250231318412467</v>
      </c>
      <c r="BE56" s="3">
        <f t="shared" si="14"/>
        <v>34.08402932691682</v>
      </c>
      <c r="BF56" s="3">
        <v>0</v>
      </c>
      <c r="BG56" s="3">
        <v>0</v>
      </c>
      <c r="BH56" s="24">
        <v>1</v>
      </c>
      <c r="BI56" s="3">
        <v>0</v>
      </c>
      <c r="BJ56" s="3">
        <v>0</v>
      </c>
      <c r="BK56" s="3">
        <v>0</v>
      </c>
      <c r="BL56" s="3">
        <v>0</v>
      </c>
      <c r="BN56" s="3">
        <f t="shared" si="15"/>
        <v>84.850283341603514</v>
      </c>
      <c r="BO56" s="3">
        <f t="shared" si="16"/>
        <v>84.931189381394304</v>
      </c>
    </row>
    <row r="57" spans="1:67">
      <c r="A57">
        <v>1978</v>
      </c>
      <c r="B57" s="3">
        <f t="shared" si="17"/>
        <v>106.96285691639925</v>
      </c>
      <c r="C57" s="3">
        <f t="shared" si="0"/>
        <v>29.916940817905406</v>
      </c>
      <c r="D57" s="1">
        <v>74.740300000000005</v>
      </c>
      <c r="E57" s="3">
        <v>42.81494</v>
      </c>
      <c r="F57" s="3">
        <f t="shared" si="18"/>
        <v>32.000014600820002</v>
      </c>
      <c r="G57" s="3">
        <v>0.521505</v>
      </c>
      <c r="H57" s="3">
        <f t="shared" si="19"/>
        <v>16.688167614400633</v>
      </c>
      <c r="I57" s="21">
        <f t="shared" si="1"/>
        <v>16.688167614400633</v>
      </c>
      <c r="J57" s="21">
        <f t="shared" si="2"/>
        <v>8.3440838072003167</v>
      </c>
      <c r="K57" s="3"/>
      <c r="L57" s="3"/>
      <c r="M57" s="3"/>
      <c r="N57" s="3"/>
      <c r="R57"/>
      <c r="S57" s="23"/>
      <c r="T57" s="21">
        <f t="shared" si="3"/>
        <v>8.3440838072003167</v>
      </c>
      <c r="U57" s="21">
        <f t="shared" si="4"/>
        <v>0</v>
      </c>
      <c r="V57" s="27"/>
      <c r="W57">
        <f>USA!Z65*G57</f>
        <v>7.4783816999999999</v>
      </c>
      <c r="X57">
        <v>0</v>
      </c>
      <c r="Y57">
        <v>0</v>
      </c>
      <c r="Z57">
        <v>0</v>
      </c>
      <c r="AA57" s="23"/>
      <c r="AB57" s="3">
        <v>0.5</v>
      </c>
      <c r="AC57" s="3">
        <f t="shared" si="5"/>
        <v>7.1079232431706405</v>
      </c>
      <c r="AD57" s="2">
        <v>0.08</v>
      </c>
      <c r="AE57" s="4">
        <f t="shared" si="6"/>
        <v>1.2361605640296764</v>
      </c>
      <c r="AF57" s="3">
        <f t="shared" si="7"/>
        <v>8.3440838072003167</v>
      </c>
      <c r="AH57" s="4"/>
      <c r="AQ57">
        <v>1978</v>
      </c>
      <c r="AR57" s="3">
        <f t="shared" si="8"/>
        <v>16.688167614400633</v>
      </c>
      <c r="AS57" s="3">
        <f t="shared" si="20"/>
        <v>7.1079232431706405</v>
      </c>
      <c r="AT57" s="3">
        <f t="shared" si="21"/>
        <v>1.2361605640296764</v>
      </c>
      <c r="AU57" s="3">
        <f t="shared" si="22"/>
        <v>8.3440838072003167</v>
      </c>
      <c r="AV57" s="3">
        <f t="shared" si="9"/>
        <v>8.3440838072003167</v>
      </c>
      <c r="AX57" s="3">
        <v>26.148384041759154</v>
      </c>
      <c r="AZ57" s="3">
        <f t="shared" si="10"/>
        <v>63.82102843429832</v>
      </c>
      <c r="BA57" s="3">
        <f t="shared" si="23"/>
        <v>63.997302641810066</v>
      </c>
      <c r="BB57" s="3">
        <f t="shared" si="11"/>
        <v>31.91051421714916</v>
      </c>
      <c r="BC57" s="7">
        <f t="shared" si="24"/>
        <v>31.91051421714916</v>
      </c>
      <c r="BD57" s="3">
        <f t="shared" si="13"/>
        <v>32.086788424660902</v>
      </c>
      <c r="BE57" s="3">
        <f t="shared" si="14"/>
        <v>28.599785317735016</v>
      </c>
      <c r="BF57" s="3">
        <v>0</v>
      </c>
      <c r="BG57" s="3">
        <v>0</v>
      </c>
      <c r="BH57" s="24">
        <v>1</v>
      </c>
      <c r="BI57" s="3">
        <v>0</v>
      </c>
      <c r="BJ57" s="3">
        <v>0</v>
      </c>
      <c r="BK57" s="3">
        <v>0</v>
      </c>
      <c r="BL57" s="3">
        <v>0</v>
      </c>
      <c r="BN57" s="3">
        <f t="shared" si="15"/>
        <v>75.421557722392649</v>
      </c>
      <c r="BO57" s="3">
        <f t="shared" si="16"/>
        <v>75.629872687584779</v>
      </c>
    </row>
    <row r="58" spans="1:67">
      <c r="A58">
        <v>1979</v>
      </c>
      <c r="B58" s="3">
        <f t="shared" si="17"/>
        <v>140.59376758163094</v>
      </c>
      <c r="C58" s="3">
        <f t="shared" si="0"/>
        <v>33.287054161079702</v>
      </c>
      <c r="D58" s="1">
        <v>98.239900000000006</v>
      </c>
      <c r="E58" s="3">
        <v>47.637999999999998</v>
      </c>
      <c r="F58" s="3">
        <f t="shared" si="18"/>
        <v>46.799523562000005</v>
      </c>
      <c r="G58" s="3">
        <v>0.47218100000000002</v>
      </c>
      <c r="H58" s="3">
        <f t="shared" si="19"/>
        <v>22.097845835028725</v>
      </c>
      <c r="I58" s="21">
        <f t="shared" si="1"/>
        <v>22.097845835028725</v>
      </c>
      <c r="J58" s="21">
        <f t="shared" si="2"/>
        <v>9.7230521674126393</v>
      </c>
      <c r="K58" s="3"/>
      <c r="L58" s="3"/>
      <c r="M58" s="3"/>
      <c r="N58" s="3"/>
      <c r="R58"/>
      <c r="S58" s="23"/>
      <c r="T58" s="21">
        <f t="shared" si="3"/>
        <v>12.374793667616085</v>
      </c>
      <c r="U58" s="21">
        <f t="shared" si="4"/>
        <v>0</v>
      </c>
      <c r="V58" s="27"/>
      <c r="W58">
        <f>USA!Z66*G58</f>
        <v>10.11883883</v>
      </c>
      <c r="X58">
        <v>0</v>
      </c>
      <c r="Y58">
        <v>0</v>
      </c>
      <c r="Z58">
        <v>0</v>
      </c>
      <c r="AA58" s="23"/>
      <c r="AB58" s="3">
        <v>0.44</v>
      </c>
      <c r="AC58" s="3">
        <f t="shared" si="5"/>
        <v>6.8407244498001969</v>
      </c>
      <c r="AD58" s="2">
        <v>0.15</v>
      </c>
      <c r="AE58" s="4">
        <f t="shared" si="6"/>
        <v>2.8823277176124424</v>
      </c>
      <c r="AF58" s="3">
        <f t="shared" si="7"/>
        <v>9.7230521674126393</v>
      </c>
      <c r="AH58" s="4"/>
      <c r="AQ58">
        <v>1979</v>
      </c>
      <c r="AR58" s="3">
        <f t="shared" si="8"/>
        <v>22.097845835028725</v>
      </c>
      <c r="AS58" s="3">
        <f t="shared" si="20"/>
        <v>6.8407244498001969</v>
      </c>
      <c r="AT58" s="3">
        <f t="shared" si="21"/>
        <v>2.8823277176124424</v>
      </c>
      <c r="AU58" s="3">
        <f t="shared" si="22"/>
        <v>9.7230521674126393</v>
      </c>
      <c r="AV58" s="3">
        <f t="shared" si="9"/>
        <v>12.374793667616085</v>
      </c>
      <c r="AX58" s="3">
        <v>29.657834494317374</v>
      </c>
      <c r="AZ58" s="3">
        <f t="shared" si="10"/>
        <v>74.509303230695451</v>
      </c>
      <c r="BA58" s="3">
        <f t="shared" si="23"/>
        <v>74.924983950681565</v>
      </c>
      <c r="BB58" s="3">
        <f t="shared" si="11"/>
        <v>32.784093421506</v>
      </c>
      <c r="BC58" s="7">
        <f t="shared" si="24"/>
        <v>41.725209809189451</v>
      </c>
      <c r="BD58" s="3">
        <f t="shared" si="13"/>
        <v>42.140890529175564</v>
      </c>
      <c r="BE58" s="3">
        <f t="shared" si="14"/>
        <v>34.118603069077189</v>
      </c>
      <c r="BF58" s="3">
        <v>0</v>
      </c>
      <c r="BG58" s="3">
        <v>0</v>
      </c>
      <c r="BH58" s="24">
        <v>1</v>
      </c>
      <c r="BI58" s="24">
        <v>1</v>
      </c>
      <c r="BJ58" s="3">
        <v>0</v>
      </c>
      <c r="BK58" s="3">
        <v>0</v>
      </c>
      <c r="BL58" s="3">
        <v>0</v>
      </c>
      <c r="BN58" s="3">
        <f t="shared" si="15"/>
        <v>88.052603543585306</v>
      </c>
      <c r="BO58" s="3">
        <f t="shared" si="16"/>
        <v>88.543841121318692</v>
      </c>
    </row>
    <row r="59" spans="1:67">
      <c r="A59">
        <v>1980</v>
      </c>
      <c r="B59" s="3">
        <f t="shared" si="17"/>
        <v>174.1466818285723</v>
      </c>
      <c r="C59" s="3">
        <f t="shared" si="0"/>
        <v>37.784321185500851</v>
      </c>
      <c r="D59" s="1">
        <v>121.685</v>
      </c>
      <c r="E59" s="3">
        <v>54.074159999999999</v>
      </c>
      <c r="F59" s="3">
        <f t="shared" si="18"/>
        <v>65.800141596000003</v>
      </c>
      <c r="G59" s="3">
        <v>0.43029499999999993</v>
      </c>
      <c r="H59" s="3">
        <f t="shared" si="19"/>
        <v>28.313471928050816</v>
      </c>
      <c r="I59" s="21">
        <f t="shared" si="1"/>
        <v>28.313471928050816</v>
      </c>
      <c r="J59" s="21">
        <f t="shared" si="2"/>
        <v>12.542868064126511</v>
      </c>
      <c r="K59" s="3"/>
      <c r="L59" s="3"/>
      <c r="M59" s="3"/>
      <c r="N59" s="3"/>
      <c r="R59"/>
      <c r="S59" s="23"/>
      <c r="T59" s="21">
        <f t="shared" si="3"/>
        <v>15.770603863924306</v>
      </c>
      <c r="U59" s="21">
        <f t="shared" si="4"/>
        <v>0</v>
      </c>
      <c r="V59" s="27"/>
      <c r="W59">
        <f>USA!Z67*G59</f>
        <v>14.539668049999998</v>
      </c>
      <c r="X59">
        <v>0</v>
      </c>
      <c r="Y59">
        <v>0</v>
      </c>
      <c r="Z59">
        <v>0</v>
      </c>
      <c r="AA59" s="23"/>
      <c r="AB59" s="3">
        <v>0.44299999999999995</v>
      </c>
      <c r="AC59" s="3">
        <f t="shared" si="5"/>
        <v>8.8498065082937956</v>
      </c>
      <c r="AD59" s="2">
        <v>0.15</v>
      </c>
      <c r="AE59" s="4">
        <f t="shared" si="6"/>
        <v>3.6930615558327151</v>
      </c>
      <c r="AF59" s="3">
        <f t="shared" si="7"/>
        <v>12.542868064126511</v>
      </c>
      <c r="AH59" s="4"/>
      <c r="AQ59">
        <v>1980</v>
      </c>
      <c r="AR59" s="3">
        <f t="shared" si="8"/>
        <v>28.313471928050816</v>
      </c>
      <c r="AS59" s="3">
        <f t="shared" si="20"/>
        <v>8.8498065082937956</v>
      </c>
      <c r="AT59" s="3">
        <f t="shared" si="21"/>
        <v>3.6930615558327151</v>
      </c>
      <c r="AU59" s="3">
        <f t="shared" si="22"/>
        <v>12.542868064126511</v>
      </c>
      <c r="AV59" s="3">
        <f t="shared" si="9"/>
        <v>15.770603863924306</v>
      </c>
      <c r="AX59" s="3">
        <v>34.986140279082285</v>
      </c>
      <c r="AZ59" s="3">
        <f t="shared" si="10"/>
        <v>80.927680796441095</v>
      </c>
      <c r="BA59" s="3">
        <f t="shared" si="23"/>
        <v>80.565606668822369</v>
      </c>
      <c r="BB59" s="3">
        <f t="shared" si="11"/>
        <v>35.8509625928234</v>
      </c>
      <c r="BC59" s="7">
        <f t="shared" si="24"/>
        <v>45.076718203617695</v>
      </c>
      <c r="BD59" s="3">
        <f t="shared" si="13"/>
        <v>44.714644075998969</v>
      </c>
      <c r="BE59" s="3">
        <f t="shared" si="14"/>
        <v>41.558365495644736</v>
      </c>
      <c r="BF59" s="3">
        <v>0</v>
      </c>
      <c r="BG59" s="3">
        <v>0</v>
      </c>
      <c r="BH59" s="24">
        <v>1</v>
      </c>
      <c r="BI59" s="24">
        <v>0.75</v>
      </c>
      <c r="BJ59" s="3">
        <v>0</v>
      </c>
      <c r="BK59" s="3">
        <v>0</v>
      </c>
      <c r="BL59" s="3">
        <v>0</v>
      </c>
      <c r="BN59" s="3">
        <f t="shared" si="15"/>
        <v>95.637627569911416</v>
      </c>
      <c r="BO59" s="3">
        <f t="shared" si="16"/>
        <v>95.209740470848246</v>
      </c>
    </row>
    <row r="60" spans="1:67">
      <c r="A60">
        <v>1981</v>
      </c>
      <c r="B60" s="3">
        <f t="shared" si="17"/>
        <v>162.42002767314372</v>
      </c>
      <c r="C60" s="3">
        <f t="shared" si="0"/>
        <v>41.681969842500045</v>
      </c>
      <c r="D60" s="1">
        <v>113.491</v>
      </c>
      <c r="E60" s="3">
        <v>59.652189999999997</v>
      </c>
      <c r="F60" s="3">
        <f t="shared" si="18"/>
        <v>67.699866952899995</v>
      </c>
      <c r="G60" s="3">
        <v>0.497641</v>
      </c>
      <c r="H60" s="3">
        <f t="shared" si="19"/>
        <v>33.690229490308106</v>
      </c>
      <c r="I60" s="21">
        <f t="shared" si="1"/>
        <v>33.690229490308106</v>
      </c>
      <c r="J60" s="21">
        <f t="shared" si="2"/>
        <v>16.238690614328508</v>
      </c>
      <c r="K60" s="3"/>
      <c r="L60" s="3"/>
      <c r="M60" s="3"/>
      <c r="N60" s="3"/>
      <c r="R60"/>
      <c r="S60" s="23"/>
      <c r="T60" s="21">
        <f t="shared" si="3"/>
        <v>17.451538875979598</v>
      </c>
      <c r="U60" s="21">
        <f t="shared" si="4"/>
        <v>0</v>
      </c>
      <c r="V60" s="27"/>
      <c r="W60">
        <f>USA!Z68*G60</f>
        <v>18.119108809999997</v>
      </c>
      <c r="X60">
        <v>0</v>
      </c>
      <c r="Y60">
        <v>0</v>
      </c>
      <c r="Z60">
        <v>0</v>
      </c>
      <c r="AA60" s="23"/>
      <c r="AB60" s="3">
        <v>0.48200000000000004</v>
      </c>
      <c r="AC60" s="3">
        <f t="shared" si="5"/>
        <v>11.844312854723103</v>
      </c>
      <c r="AD60" s="2">
        <v>0.15</v>
      </c>
      <c r="AE60" s="4">
        <f t="shared" si="6"/>
        <v>4.3943777596054057</v>
      </c>
      <c r="AF60" s="3">
        <f t="shared" si="7"/>
        <v>16.238690614328508</v>
      </c>
      <c r="AH60" s="4"/>
      <c r="AQ60">
        <v>1981</v>
      </c>
      <c r="AR60" s="3">
        <f t="shared" si="8"/>
        <v>33.690229490308106</v>
      </c>
      <c r="AS60" s="3">
        <f t="shared" si="20"/>
        <v>11.844312854723103</v>
      </c>
      <c r="AT60" s="3">
        <f t="shared" si="21"/>
        <v>4.3943777596054057</v>
      </c>
      <c r="AU60" s="3">
        <f t="shared" si="22"/>
        <v>16.238690614328508</v>
      </c>
      <c r="AV60" s="3">
        <f t="shared" si="9"/>
        <v>17.451538875979598</v>
      </c>
      <c r="AX60" s="3">
        <v>39.141311212695825</v>
      </c>
      <c r="AZ60" s="3">
        <f t="shared" si="10"/>
        <v>86.073328783580422</v>
      </c>
      <c r="BA60" s="3">
        <f t="shared" si="23"/>
        <v>85.49682828649216</v>
      </c>
      <c r="BB60" s="3">
        <f t="shared" si="11"/>
        <v>41.487344473685766</v>
      </c>
      <c r="BC60" s="7">
        <f t="shared" si="24"/>
        <v>44.585984309894656</v>
      </c>
      <c r="BD60" s="3">
        <f t="shared" si="13"/>
        <v>44.009483812806394</v>
      </c>
      <c r="BE60" s="3">
        <f t="shared" si="14"/>
        <v>46.291522303736485</v>
      </c>
      <c r="BF60" s="3">
        <v>0</v>
      </c>
      <c r="BG60" s="3">
        <v>0</v>
      </c>
      <c r="BH60" s="24">
        <v>1</v>
      </c>
      <c r="BI60" s="24">
        <v>0.25</v>
      </c>
      <c r="BJ60" s="3">
        <v>0</v>
      </c>
      <c r="BK60" s="3">
        <v>0</v>
      </c>
      <c r="BL60" s="3">
        <v>0</v>
      </c>
      <c r="BN60" s="3">
        <f t="shared" si="15"/>
        <v>101.71858233046767</v>
      </c>
      <c r="BO60" s="3">
        <f t="shared" si="16"/>
        <v>101.03729331672368</v>
      </c>
    </row>
    <row r="61" spans="1:67">
      <c r="A61">
        <v>1982</v>
      </c>
      <c r="B61" s="3">
        <f t="shared" si="17"/>
        <v>144.18174593567957</v>
      </c>
      <c r="C61" s="3">
        <f t="shared" si="0"/>
        <v>44.24984128314113</v>
      </c>
      <c r="D61" s="1">
        <v>100.747</v>
      </c>
      <c r="E61" s="3">
        <v>63.32714</v>
      </c>
      <c r="F61" s="3">
        <f t="shared" si="18"/>
        <v>63.800193735800001</v>
      </c>
      <c r="G61" s="3">
        <v>0.57244700000000004</v>
      </c>
      <c r="H61" s="3">
        <f t="shared" si="19"/>
        <v>36.522229503477504</v>
      </c>
      <c r="I61" s="21">
        <f t="shared" si="1"/>
        <v>36.522229503477504</v>
      </c>
      <c r="J61" s="21">
        <f t="shared" si="2"/>
        <v>19.064603800815259</v>
      </c>
      <c r="K61" s="3"/>
      <c r="L61" s="3"/>
      <c r="M61" s="3"/>
      <c r="N61" s="3"/>
      <c r="R61"/>
      <c r="S61" s="23"/>
      <c r="T61" s="21">
        <f t="shared" si="3"/>
        <v>17.457625702662245</v>
      </c>
      <c r="U61" s="21">
        <f t="shared" si="4"/>
        <v>0</v>
      </c>
      <c r="V61" s="27"/>
      <c r="W61">
        <f>USA!Z69*G61</f>
        <v>19.005240400000002</v>
      </c>
      <c r="X61">
        <v>0</v>
      </c>
      <c r="Y61">
        <v>0</v>
      </c>
      <c r="Z61">
        <v>0</v>
      </c>
      <c r="AA61" s="23"/>
      <c r="AB61" s="3">
        <v>0.52200000000000002</v>
      </c>
      <c r="AC61" s="3">
        <f t="shared" si="5"/>
        <v>14.30083473514428</v>
      </c>
      <c r="AD61" s="2">
        <v>0.15</v>
      </c>
      <c r="AE61" s="4">
        <f t="shared" si="6"/>
        <v>4.7637690656709797</v>
      </c>
      <c r="AF61" s="3">
        <f t="shared" si="7"/>
        <v>19.064603800815259</v>
      </c>
      <c r="AH61" s="4"/>
      <c r="AQ61">
        <v>1982</v>
      </c>
      <c r="AR61" s="3">
        <f t="shared" si="8"/>
        <v>36.522229503477504</v>
      </c>
      <c r="AS61" s="3">
        <f t="shared" si="20"/>
        <v>14.30083473514428</v>
      </c>
      <c r="AT61" s="3">
        <f t="shared" si="21"/>
        <v>4.7637690656709797</v>
      </c>
      <c r="AU61" s="3">
        <f t="shared" si="22"/>
        <v>19.064603800815259</v>
      </c>
      <c r="AV61" s="3">
        <f t="shared" si="9"/>
        <v>17.457625702662245</v>
      </c>
      <c r="AX61" s="3">
        <v>42.507021680170958</v>
      </c>
      <c r="AZ61" s="3">
        <f t="shared" si="10"/>
        <v>85.920462219809451</v>
      </c>
      <c r="BA61" s="3">
        <f t="shared" si="23"/>
        <v>86.230502520677931</v>
      </c>
      <c r="BB61" s="3">
        <f t="shared" si="11"/>
        <v>44.850481278740546</v>
      </c>
      <c r="BC61" s="7">
        <f t="shared" si="24"/>
        <v>41.069980941068906</v>
      </c>
      <c r="BD61" s="3">
        <f t="shared" si="13"/>
        <v>41.380021241937385</v>
      </c>
      <c r="BE61" s="3">
        <f t="shared" si="14"/>
        <v>44.710825761913426</v>
      </c>
      <c r="BF61" s="3">
        <v>0</v>
      </c>
      <c r="BG61" s="3">
        <v>0</v>
      </c>
      <c r="BH61" s="24">
        <v>1</v>
      </c>
      <c r="BI61" s="3">
        <v>0</v>
      </c>
      <c r="BJ61" s="3">
        <v>0</v>
      </c>
      <c r="BK61" s="3">
        <v>0</v>
      </c>
      <c r="BL61" s="3">
        <v>0</v>
      </c>
      <c r="BN61" s="3">
        <f t="shared" si="15"/>
        <v>101.53792973607796</v>
      </c>
      <c r="BO61" s="3">
        <f t="shared" si="16"/>
        <v>101.90432499829616</v>
      </c>
    </row>
    <row r="62" spans="1:67">
      <c r="A62">
        <v>1983</v>
      </c>
      <c r="B62" s="3">
        <f t="shared" si="17"/>
        <v>130.05967150622661</v>
      </c>
      <c r="C62" s="3">
        <f t="shared" si="0"/>
        <v>45.671336429076113</v>
      </c>
      <c r="D62" s="1">
        <v>90.879199999999997</v>
      </c>
      <c r="E62" s="3">
        <v>65.36148</v>
      </c>
      <c r="F62" s="3">
        <f t="shared" si="18"/>
        <v>59.399990132159999</v>
      </c>
      <c r="G62" s="3">
        <v>0.65972500000000001</v>
      </c>
      <c r="H62" s="3">
        <f t="shared" si="19"/>
        <v>39.187658489939253</v>
      </c>
      <c r="I62" s="21">
        <f t="shared" si="1"/>
        <v>39.187658489939253</v>
      </c>
      <c r="J62" s="21">
        <f t="shared" si="2"/>
        <v>21.004584950607441</v>
      </c>
      <c r="K62" s="3"/>
      <c r="L62" s="3"/>
      <c r="M62" s="3"/>
      <c r="N62" s="3"/>
      <c r="R62"/>
      <c r="S62" s="23"/>
      <c r="T62" s="21">
        <f t="shared" si="3"/>
        <v>18.183073539331811</v>
      </c>
      <c r="U62" s="21">
        <f t="shared" si="4"/>
        <v>0</v>
      </c>
      <c r="V62" s="27"/>
      <c r="W62">
        <f>USA!Z70*G62</f>
        <v>19.099038749999998</v>
      </c>
      <c r="X62">
        <v>0</v>
      </c>
      <c r="Y62">
        <v>0</v>
      </c>
      <c r="Z62">
        <v>0</v>
      </c>
      <c r="AA62" s="23"/>
      <c r="AB62" s="3">
        <v>0.53600000000000003</v>
      </c>
      <c r="AC62" s="3">
        <f t="shared" si="5"/>
        <v>15.893151234528407</v>
      </c>
      <c r="AD62" s="2">
        <v>0.15</v>
      </c>
      <c r="AE62" s="4">
        <f t="shared" si="6"/>
        <v>5.1114337160790333</v>
      </c>
      <c r="AF62" s="3">
        <f t="shared" si="7"/>
        <v>21.004584950607441</v>
      </c>
      <c r="AH62" s="4"/>
      <c r="AQ62">
        <v>1983</v>
      </c>
      <c r="AR62" s="3">
        <f t="shared" si="8"/>
        <v>39.187658489939253</v>
      </c>
      <c r="AS62" s="3">
        <f t="shared" si="20"/>
        <v>15.893151234528407</v>
      </c>
      <c r="AT62" s="3">
        <f t="shared" si="21"/>
        <v>5.1114337160790333</v>
      </c>
      <c r="AU62" s="3">
        <f t="shared" si="22"/>
        <v>21.004584950607441</v>
      </c>
      <c r="AV62" s="3">
        <f t="shared" si="9"/>
        <v>18.183073539331811</v>
      </c>
      <c r="AX62" s="3">
        <v>44.466298680615516</v>
      </c>
      <c r="AZ62" s="3">
        <f t="shared" si="10"/>
        <v>88.128896833553156</v>
      </c>
      <c r="BA62" s="3">
        <f t="shared" si="23"/>
        <v>87.602413982461456</v>
      </c>
      <c r="BB62" s="3">
        <f t="shared" si="11"/>
        <v>47.23708870278449</v>
      </c>
      <c r="BC62" s="7">
        <f t="shared" si="24"/>
        <v>40.891808130768666</v>
      </c>
      <c r="BD62" s="3">
        <f t="shared" si="13"/>
        <v>40.365325279676959</v>
      </c>
      <c r="BE62" s="3">
        <f t="shared" si="14"/>
        <v>42.951716955758151</v>
      </c>
      <c r="BF62" s="3">
        <v>0</v>
      </c>
      <c r="BG62" s="3">
        <v>0</v>
      </c>
      <c r="BH62" s="24">
        <v>1</v>
      </c>
      <c r="BI62" s="3">
        <v>0</v>
      </c>
      <c r="BJ62" s="3">
        <v>0</v>
      </c>
      <c r="BK62" s="3">
        <v>0</v>
      </c>
      <c r="BL62" s="3">
        <v>0</v>
      </c>
      <c r="BN62" s="3">
        <f t="shared" si="15"/>
        <v>104.14778392963849</v>
      </c>
      <c r="BO62" s="3">
        <f t="shared" si="16"/>
        <v>103.52560409773027</v>
      </c>
    </row>
    <row r="63" spans="1:67">
      <c r="A63">
        <v>1984</v>
      </c>
      <c r="B63" s="3">
        <f t="shared" si="17"/>
        <v>113.34282081985305</v>
      </c>
      <c r="C63" s="3">
        <f t="shared" si="0"/>
        <v>47.643090239969929</v>
      </c>
      <c r="D63" s="1">
        <v>79.198300000000003</v>
      </c>
      <c r="E63" s="3">
        <v>68.183310000000006</v>
      </c>
      <c r="F63" s="3">
        <f t="shared" si="18"/>
        <v>54.000022403730007</v>
      </c>
      <c r="G63" s="3">
        <v>0.751807</v>
      </c>
      <c r="H63" s="3">
        <f t="shared" si="19"/>
        <v>40.597594843281044</v>
      </c>
      <c r="I63" s="21">
        <f t="shared" si="1"/>
        <v>40.597594843281044</v>
      </c>
      <c r="J63" s="21">
        <f t="shared" si="2"/>
        <v>21.760310835998641</v>
      </c>
      <c r="K63" s="3"/>
      <c r="L63" s="3"/>
      <c r="M63" s="3"/>
      <c r="N63" s="3"/>
      <c r="R63"/>
      <c r="S63" s="23"/>
      <c r="T63" s="21">
        <f t="shared" si="3"/>
        <v>18.837284007282403</v>
      </c>
      <c r="U63" s="21">
        <f t="shared" si="4"/>
        <v>0</v>
      </c>
      <c r="V63" s="27"/>
      <c r="W63">
        <f>USA!Z71*G63</f>
        <v>21.441535640000001</v>
      </c>
      <c r="X63">
        <v>0</v>
      </c>
      <c r="Y63">
        <v>0</v>
      </c>
      <c r="Z63">
        <v>0</v>
      </c>
      <c r="AA63" s="23"/>
      <c r="AB63" s="3">
        <v>0.53600000000000003</v>
      </c>
      <c r="AC63" s="3">
        <f t="shared" si="5"/>
        <v>16.464972378179375</v>
      </c>
      <c r="AD63" s="2">
        <v>0.15</v>
      </c>
      <c r="AE63" s="4">
        <f t="shared" si="6"/>
        <v>5.295338457819267</v>
      </c>
      <c r="AF63" s="3">
        <f t="shared" si="7"/>
        <v>21.760310835998641</v>
      </c>
      <c r="AH63" s="4"/>
      <c r="AQ63">
        <v>1984</v>
      </c>
      <c r="AR63" s="3">
        <f t="shared" si="8"/>
        <v>40.597594843281044</v>
      </c>
      <c r="AS63" s="3">
        <f t="shared" si="20"/>
        <v>16.464972378179375</v>
      </c>
      <c r="AT63" s="3">
        <f t="shared" si="21"/>
        <v>5.295338457819267</v>
      </c>
      <c r="AU63" s="3">
        <f t="shared" si="22"/>
        <v>21.760310835998641</v>
      </c>
      <c r="AV63" s="3">
        <f t="shared" si="9"/>
        <v>18.837284007282403</v>
      </c>
      <c r="AX63" s="3">
        <v>46.672143695220647</v>
      </c>
      <c r="AZ63" s="3">
        <f t="shared" si="10"/>
        <v>86.98463714971453</v>
      </c>
      <c r="BA63" s="3">
        <f t="shared" si="23"/>
        <v>88.713239864469756</v>
      </c>
      <c r="BB63" s="3">
        <f t="shared" si="11"/>
        <v>46.62376551224699</v>
      </c>
      <c r="BC63" s="7">
        <f t="shared" si="24"/>
        <v>40.36087163746754</v>
      </c>
      <c r="BD63" s="3">
        <f t="shared" si="13"/>
        <v>42.089474352222766</v>
      </c>
      <c r="BE63" s="3">
        <f t="shared" si="14"/>
        <v>45.94075596788084</v>
      </c>
      <c r="BF63" s="3">
        <v>0</v>
      </c>
      <c r="BG63" s="3">
        <v>0</v>
      </c>
      <c r="BH63" s="24">
        <v>1</v>
      </c>
      <c r="BI63" s="3">
        <v>0</v>
      </c>
      <c r="BJ63" s="3">
        <v>0</v>
      </c>
      <c r="BK63" s="3">
        <v>0</v>
      </c>
      <c r="BL63" s="3">
        <v>0</v>
      </c>
      <c r="BN63" s="3">
        <f t="shared" si="15"/>
        <v>102.79553609046609</v>
      </c>
      <c r="BO63" s="3">
        <f t="shared" si="16"/>
        <v>104.83834098766719</v>
      </c>
    </row>
    <row r="64" spans="1:67">
      <c r="A64">
        <v>1985</v>
      </c>
      <c r="B64" s="3">
        <f t="shared" si="17"/>
        <v>112.08013751971455</v>
      </c>
      <c r="C64" s="3">
        <f t="shared" si="0"/>
        <v>49.339718212134507</v>
      </c>
      <c r="D64" s="1">
        <v>78.316000000000003</v>
      </c>
      <c r="E64" s="3">
        <v>70.611400000000003</v>
      </c>
      <c r="F64" s="3">
        <f t="shared" si="18"/>
        <v>55.300024024000002</v>
      </c>
      <c r="G64" s="3">
        <v>0.77924599999999999</v>
      </c>
      <c r="H64" s="3">
        <f t="shared" si="19"/>
        <v>43.092322520605904</v>
      </c>
      <c r="I64" s="21">
        <f t="shared" si="1"/>
        <v>43.092322520605904</v>
      </c>
      <c r="J64" s="21">
        <f t="shared" si="2"/>
        <v>22.83893093592113</v>
      </c>
      <c r="K64" s="3"/>
      <c r="L64" s="3"/>
      <c r="M64" s="3"/>
      <c r="N64" s="3"/>
      <c r="R64"/>
      <c r="S64" s="23"/>
      <c r="T64" s="21">
        <f t="shared" si="3"/>
        <v>20.253391584684774</v>
      </c>
      <c r="U64" s="21">
        <f t="shared" si="4"/>
        <v>0</v>
      </c>
      <c r="V64" s="27"/>
      <c r="W64">
        <f>USA!Z72*G64</f>
        <v>20.78249082</v>
      </c>
      <c r="X64">
        <v>0</v>
      </c>
      <c r="Y64">
        <v>0</v>
      </c>
      <c r="Z64">
        <v>0</v>
      </c>
      <c r="AA64" s="23"/>
      <c r="AB64" s="3">
        <v>0.53</v>
      </c>
      <c r="AC64" s="3">
        <f t="shared" si="5"/>
        <v>17.218193215842099</v>
      </c>
      <c r="AD64" s="2">
        <v>0.15</v>
      </c>
      <c r="AE64" s="4">
        <f t="shared" si="6"/>
        <v>5.6207377200790312</v>
      </c>
      <c r="AF64" s="3">
        <f t="shared" si="7"/>
        <v>22.83893093592113</v>
      </c>
      <c r="AH64" s="4"/>
      <c r="AQ64">
        <v>1985</v>
      </c>
      <c r="AR64" s="3">
        <f t="shared" si="8"/>
        <v>43.092322520605904</v>
      </c>
      <c r="AS64" s="3">
        <f t="shared" si="20"/>
        <v>17.218193215842099</v>
      </c>
      <c r="AT64" s="3">
        <f t="shared" si="21"/>
        <v>5.6207377200790312</v>
      </c>
      <c r="AU64" s="3">
        <f t="shared" si="22"/>
        <v>22.83893093592113</v>
      </c>
      <c r="AV64" s="3">
        <f t="shared" si="9"/>
        <v>20.253391584684774</v>
      </c>
      <c r="AX64" s="3">
        <v>49.505793427203656</v>
      </c>
      <c r="AZ64" s="3">
        <f t="shared" si="10"/>
        <v>87.045009356271592</v>
      </c>
      <c r="BA64" s="3">
        <f t="shared" si="23"/>
        <v>85.938622620841159</v>
      </c>
      <c r="BB64" s="3">
        <f t="shared" si="11"/>
        <v>46.133854958823939</v>
      </c>
      <c r="BC64" s="7">
        <f t="shared" si="24"/>
        <v>40.911154397447653</v>
      </c>
      <c r="BD64" s="3">
        <f t="shared" si="13"/>
        <v>39.80476766201722</v>
      </c>
      <c r="BE64" s="3">
        <f t="shared" si="14"/>
        <v>41.97991665472415</v>
      </c>
      <c r="BF64" s="3">
        <v>0</v>
      </c>
      <c r="BG64" s="3">
        <v>0</v>
      </c>
      <c r="BH64" s="24">
        <v>1</v>
      </c>
      <c r="BI64" s="3">
        <v>0</v>
      </c>
      <c r="BJ64" s="3">
        <v>0</v>
      </c>
      <c r="BK64" s="3">
        <v>0</v>
      </c>
      <c r="BL64" s="3">
        <v>0</v>
      </c>
      <c r="BN64" s="3">
        <f t="shared" si="15"/>
        <v>102.86688194579587</v>
      </c>
      <c r="BO64" s="3">
        <f t="shared" si="16"/>
        <v>101.55939109087396</v>
      </c>
    </row>
    <row r="65" spans="1:67">
      <c r="A65">
        <v>1986</v>
      </c>
      <c r="B65" s="3">
        <f t="shared" si="17"/>
        <v>109.03999455872153</v>
      </c>
      <c r="C65" s="3">
        <f t="shared" si="0"/>
        <v>50.256813657899102</v>
      </c>
      <c r="D65" s="1">
        <v>76.191699999999997</v>
      </c>
      <c r="E65" s="3">
        <v>71.923879999999997</v>
      </c>
      <c r="F65" s="3">
        <f t="shared" si="18"/>
        <v>54.800026877960001</v>
      </c>
      <c r="G65" s="3">
        <v>0.68219699999999994</v>
      </c>
      <c r="H65" s="3">
        <f t="shared" si="19"/>
        <v>37.384413936063673</v>
      </c>
      <c r="I65" s="21">
        <f t="shared" si="1"/>
        <v>37.384413936063673</v>
      </c>
      <c r="J65" s="21">
        <f t="shared" si="2"/>
        <v>23.276227904703958</v>
      </c>
      <c r="K65" s="3"/>
      <c r="L65" s="3"/>
      <c r="M65" s="3"/>
      <c r="N65" s="3"/>
      <c r="R65"/>
      <c r="S65" s="23"/>
      <c r="T65" s="21">
        <f t="shared" si="3"/>
        <v>14.108186031359715</v>
      </c>
      <c r="U65" s="21">
        <f t="shared" si="4"/>
        <v>0</v>
      </c>
      <c r="V65" s="27"/>
      <c r="W65">
        <f>USA!Z73*G65</f>
        <v>10.267064849999999</v>
      </c>
      <c r="X65">
        <v>0</v>
      </c>
      <c r="Y65">
        <v>1</v>
      </c>
      <c r="Z65">
        <v>0</v>
      </c>
      <c r="AA65" s="23"/>
      <c r="AB65" s="3">
        <v>0.67</v>
      </c>
      <c r="AC65" s="3">
        <f>AC66</f>
        <v>18.399999999999999</v>
      </c>
      <c r="AD65" s="2">
        <v>0.15</v>
      </c>
      <c r="AE65" s="4">
        <f t="shared" si="6"/>
        <v>4.8762279047039581</v>
      </c>
      <c r="AF65" s="3">
        <f t="shared" ref="AF65:AF96" si="25">AC65+AE65</f>
        <v>23.276227904703958</v>
      </c>
      <c r="AH65" s="4"/>
      <c r="AQ65">
        <v>1986</v>
      </c>
      <c r="AR65" s="3">
        <f t="shared" si="8"/>
        <v>37.384413936063673</v>
      </c>
      <c r="AS65" s="3">
        <f t="shared" si="20"/>
        <v>18.399999999999999</v>
      </c>
      <c r="AT65" s="3">
        <f t="shared" si="21"/>
        <v>4.8762279047039581</v>
      </c>
      <c r="AU65" s="3">
        <f t="shared" si="22"/>
        <v>23.276227904703958</v>
      </c>
      <c r="AV65" s="3">
        <f t="shared" si="9"/>
        <v>14.108186031359715</v>
      </c>
      <c r="AX65" s="3">
        <v>51.202661428583504</v>
      </c>
      <c r="AZ65" s="3">
        <f t="shared" si="10"/>
        <v>73.012638196955322</v>
      </c>
      <c r="BA65" s="3">
        <f t="shared" si="23"/>
        <v>72.615136808671139</v>
      </c>
      <c r="BB65" s="3">
        <f t="shared" si="11"/>
        <v>45.459019619847687</v>
      </c>
      <c r="BC65" s="7">
        <f t="shared" si="24"/>
        <v>27.553618577107635</v>
      </c>
      <c r="BD65" s="3">
        <f t="shared" si="13"/>
        <v>27.156117188823455</v>
      </c>
      <c r="BE65" s="3">
        <f t="shared" si="14"/>
        <v>20.05181872102548</v>
      </c>
      <c r="BF65" s="3">
        <v>0</v>
      </c>
      <c r="BG65" s="3">
        <v>0</v>
      </c>
      <c r="BH65" s="24">
        <v>1</v>
      </c>
      <c r="BI65" s="3">
        <v>0</v>
      </c>
      <c r="BJ65" s="3">
        <v>0</v>
      </c>
      <c r="BK65" s="3">
        <v>0</v>
      </c>
      <c r="BL65" s="3">
        <v>0</v>
      </c>
      <c r="BN65" s="3">
        <f t="shared" si="15"/>
        <v>86.283894843606816</v>
      </c>
      <c r="BO65" s="3">
        <f t="shared" si="16"/>
        <v>85.814140992302612</v>
      </c>
    </row>
    <row r="66" spans="1:67">
      <c r="A66">
        <v>1987</v>
      </c>
      <c r="B66" s="3">
        <f t="shared" si="17"/>
        <v>118.72600480882599</v>
      </c>
      <c r="C66" s="3">
        <f t="shared" si="0"/>
        <v>52.136856526716379</v>
      </c>
      <c r="D66" s="1">
        <v>82.959800000000001</v>
      </c>
      <c r="E66" s="3">
        <v>74.614459999999994</v>
      </c>
      <c r="F66" s="3">
        <f t="shared" si="18"/>
        <v>61.900006787079995</v>
      </c>
      <c r="G66" s="3">
        <v>0.611927</v>
      </c>
      <c r="H66" s="3">
        <f t="shared" si="19"/>
        <v>37.878285453197499</v>
      </c>
      <c r="I66" s="21">
        <f t="shared" si="1"/>
        <v>37.878285453197499</v>
      </c>
      <c r="J66" s="21">
        <f t="shared" si="2"/>
        <v>23.340645928677933</v>
      </c>
      <c r="K66" s="3"/>
      <c r="L66" s="3"/>
      <c r="M66" s="3"/>
      <c r="N66" s="3"/>
      <c r="R66"/>
      <c r="S66" s="23"/>
      <c r="T66" s="21">
        <f t="shared" si="3"/>
        <v>14.537639524519566</v>
      </c>
      <c r="U66" s="21">
        <f t="shared" si="4"/>
        <v>0</v>
      </c>
      <c r="V66" s="27"/>
      <c r="W66">
        <f>USA!Z74*G66</f>
        <v>11.7489984</v>
      </c>
      <c r="X66">
        <v>0</v>
      </c>
      <c r="Y66">
        <v>1</v>
      </c>
      <c r="Z66">
        <v>0</v>
      </c>
      <c r="AA66" s="23"/>
      <c r="AB66" s="3">
        <v>0.64</v>
      </c>
      <c r="AC66" s="6">
        <v>18.399999999999999</v>
      </c>
      <c r="AD66" s="2">
        <v>0.15</v>
      </c>
      <c r="AE66" s="4">
        <f t="shared" si="6"/>
        <v>4.9406459286779354</v>
      </c>
      <c r="AF66" s="3">
        <f t="shared" si="25"/>
        <v>23.340645928677933</v>
      </c>
      <c r="AH66" s="4"/>
      <c r="AQ66">
        <v>1987</v>
      </c>
      <c r="AR66" s="3">
        <f t="shared" si="8"/>
        <v>37.878285453197499</v>
      </c>
      <c r="AS66" s="3">
        <f t="shared" si="20"/>
        <v>18.399999999999999</v>
      </c>
      <c r="AT66" s="3">
        <f t="shared" si="21"/>
        <v>4.9406459286779354</v>
      </c>
      <c r="AU66" s="3">
        <f t="shared" si="22"/>
        <v>23.340645928677933</v>
      </c>
      <c r="AV66" s="3">
        <f t="shared" si="9"/>
        <v>14.537639524519566</v>
      </c>
      <c r="AX66" s="3">
        <v>53.32701786507306</v>
      </c>
      <c r="AZ66" s="3">
        <f t="shared" si="10"/>
        <v>71.030196267558722</v>
      </c>
      <c r="BA66" s="3">
        <f t="shared" si="23"/>
        <v>72.067216036057218</v>
      </c>
      <c r="BB66" s="3">
        <f t="shared" si="11"/>
        <v>43.768894011163276</v>
      </c>
      <c r="BC66" s="7">
        <f t="shared" si="24"/>
        <v>27.261302256395446</v>
      </c>
      <c r="BD66" s="3">
        <f t="shared" si="13"/>
        <v>28.298322024893945</v>
      </c>
      <c r="BE66" s="3">
        <f t="shared" si="14"/>
        <v>22.031980917678684</v>
      </c>
      <c r="BF66" s="3">
        <v>0</v>
      </c>
      <c r="BG66" s="3">
        <v>0</v>
      </c>
      <c r="BH66" s="24">
        <v>1</v>
      </c>
      <c r="BI66" s="3">
        <v>0</v>
      </c>
      <c r="BJ66" s="3">
        <v>0</v>
      </c>
      <c r="BK66" s="3">
        <v>0</v>
      </c>
      <c r="BL66" s="3">
        <v>0</v>
      </c>
      <c r="BN66" s="3">
        <f t="shared" si="15"/>
        <v>83.941111248961334</v>
      </c>
      <c r="BO66" s="3">
        <f t="shared" si="16"/>
        <v>85.166626541457589</v>
      </c>
    </row>
    <row r="67" spans="1:67">
      <c r="A67">
        <v>1988</v>
      </c>
      <c r="B67" s="3">
        <f t="shared" si="17"/>
        <v>122.63240890727091</v>
      </c>
      <c r="C67" s="3">
        <f t="shared" si="0"/>
        <v>54.227069431021505</v>
      </c>
      <c r="D67" s="1">
        <v>85.689400000000006</v>
      </c>
      <c r="E67" s="3">
        <v>77.605819999999994</v>
      </c>
      <c r="F67" s="3">
        <f t="shared" si="18"/>
        <v>66.499961523080003</v>
      </c>
      <c r="G67" s="3">
        <v>0.56216999999999984</v>
      </c>
      <c r="H67" s="3">
        <f t="shared" si="19"/>
        <v>37.384283369429873</v>
      </c>
      <c r="I67" s="21">
        <f t="shared" si="1"/>
        <v>37.384283369429873</v>
      </c>
      <c r="J67" s="21">
        <f t="shared" si="2"/>
        <v>23.27621087427346</v>
      </c>
      <c r="K67" s="3"/>
      <c r="L67" s="3"/>
      <c r="M67" s="3"/>
      <c r="N67" s="3"/>
      <c r="R67"/>
      <c r="S67" s="23"/>
      <c r="T67" s="21">
        <f t="shared" si="3"/>
        <v>14.108072495156414</v>
      </c>
      <c r="U67" s="21">
        <f t="shared" si="4"/>
        <v>0</v>
      </c>
      <c r="V67" s="27"/>
      <c r="W67">
        <f>USA!Z75*G67</f>
        <v>8.977854899999997</v>
      </c>
      <c r="X67">
        <v>0</v>
      </c>
      <c r="Y67">
        <v>1</v>
      </c>
      <c r="Z67">
        <v>0</v>
      </c>
      <c r="AA67" s="23"/>
      <c r="AB67" s="3">
        <v>0.67</v>
      </c>
      <c r="AC67" s="6">
        <v>18.399999999999999</v>
      </c>
      <c r="AD67" s="2">
        <v>0.15</v>
      </c>
      <c r="AE67" s="4">
        <f t="shared" si="6"/>
        <v>4.876210874273462</v>
      </c>
      <c r="AF67" s="3">
        <f t="shared" si="25"/>
        <v>23.27621087427346</v>
      </c>
      <c r="AH67" s="4"/>
      <c r="AQ67">
        <v>1988</v>
      </c>
      <c r="AR67" s="3">
        <f t="shared" si="8"/>
        <v>37.384283369429873</v>
      </c>
      <c r="AS67" s="3">
        <f t="shared" si="20"/>
        <v>18.399999999999999</v>
      </c>
      <c r="AT67" s="3">
        <f t="shared" si="21"/>
        <v>4.876210874273462</v>
      </c>
      <c r="AU67" s="3">
        <f t="shared" si="22"/>
        <v>23.27621087427346</v>
      </c>
      <c r="AV67" s="3">
        <f t="shared" si="9"/>
        <v>14.108072495156414</v>
      </c>
      <c r="AX67" s="3">
        <v>55.456067590395563</v>
      </c>
      <c r="AZ67" s="3">
        <f t="shared" si="10"/>
        <v>67.412431125759184</v>
      </c>
      <c r="BA67" s="3">
        <f t="shared" si="23"/>
        <v>66.900369077202242</v>
      </c>
      <c r="BB67" s="3">
        <f t="shared" si="11"/>
        <v>41.972342947563533</v>
      </c>
      <c r="BC67" s="7">
        <f t="shared" si="24"/>
        <v>25.440088178195651</v>
      </c>
      <c r="BD67" s="3">
        <f t="shared" si="13"/>
        <v>24.928026129638717</v>
      </c>
      <c r="BE67" s="3">
        <f t="shared" si="14"/>
        <v>16.189130044905802</v>
      </c>
      <c r="BF67" s="3">
        <v>0</v>
      </c>
      <c r="BG67" s="3">
        <v>0</v>
      </c>
      <c r="BH67" s="24">
        <v>1</v>
      </c>
      <c r="BI67" s="3">
        <v>0</v>
      </c>
      <c r="BJ67" s="3">
        <v>0</v>
      </c>
      <c r="BK67" s="3">
        <v>0</v>
      </c>
      <c r="BL67" s="3">
        <v>0</v>
      </c>
      <c r="BN67" s="3">
        <f t="shared" si="15"/>
        <v>79.665757354450022</v>
      </c>
      <c r="BO67" s="3">
        <f t="shared" si="16"/>
        <v>79.060619544857332</v>
      </c>
    </row>
    <row r="68" spans="1:67">
      <c r="A68">
        <v>1989</v>
      </c>
      <c r="B68" s="3">
        <f t="shared" si="17"/>
        <v>116.2819262188039</v>
      </c>
      <c r="C68" s="3">
        <f t="shared" si="0"/>
        <v>56.844608024141067</v>
      </c>
      <c r="D68" s="1">
        <v>81.251999999999995</v>
      </c>
      <c r="E68" s="3">
        <v>81.351849999999999</v>
      </c>
      <c r="F68" s="3">
        <f t="shared" si="18"/>
        <v>66.100005162000002</v>
      </c>
      <c r="G68" s="3">
        <v>0.61117299999999986</v>
      </c>
      <c r="H68" s="3">
        <f t="shared" si="19"/>
        <v>40.398538454875016</v>
      </c>
      <c r="I68" s="21">
        <f>H68</f>
        <v>40.398538454875016</v>
      </c>
      <c r="J68" s="21">
        <f t="shared" si="2"/>
        <v>23.069374581070655</v>
      </c>
      <c r="K68" s="3"/>
      <c r="L68" s="3"/>
      <c r="M68" s="3"/>
      <c r="N68" s="3"/>
      <c r="R68"/>
      <c r="S68" s="23"/>
      <c r="T68" s="21">
        <f t="shared" si="3"/>
        <v>17.329163873804362</v>
      </c>
      <c r="U68" s="21">
        <f t="shared" si="4"/>
        <v>0</v>
      </c>
      <c r="V68" s="27"/>
      <c r="W68">
        <f>USA!Z76*G68</f>
        <v>12.003437719999997</v>
      </c>
      <c r="X68">
        <v>0</v>
      </c>
      <c r="Y68">
        <v>1</v>
      </c>
      <c r="Z68">
        <v>0</v>
      </c>
      <c r="AA68" s="23"/>
      <c r="AB68" s="3">
        <v>0.67</v>
      </c>
      <c r="AC68" s="6">
        <v>17.8</v>
      </c>
      <c r="AD68" s="2">
        <v>0.15</v>
      </c>
      <c r="AE68" s="4">
        <f t="shared" si="6"/>
        <v>5.2693745810706547</v>
      </c>
      <c r="AF68" s="3">
        <f t="shared" si="25"/>
        <v>23.069374581070655</v>
      </c>
      <c r="AH68" s="4"/>
      <c r="AQ68">
        <v>1989</v>
      </c>
      <c r="AR68" s="3">
        <f t="shared" si="8"/>
        <v>40.398538454875016</v>
      </c>
      <c r="AS68" s="3">
        <f t="shared" si="20"/>
        <v>17.8</v>
      </c>
      <c r="AT68" s="3">
        <f t="shared" si="21"/>
        <v>5.2693745810706547</v>
      </c>
      <c r="AU68" s="3">
        <f t="shared" si="22"/>
        <v>23.069374581070655</v>
      </c>
      <c r="AV68" s="3">
        <f t="shared" si="9"/>
        <v>17.329163873804362</v>
      </c>
      <c r="AX68" s="3">
        <v>58.360631813706746</v>
      </c>
      <c r="AZ68" s="3">
        <f t="shared" si="10"/>
        <v>69.222243144713346</v>
      </c>
      <c r="BA68" s="3">
        <f t="shared" si="23"/>
        <v>66.982688640776075</v>
      </c>
      <c r="BB68" s="3">
        <f t="shared" si="11"/>
        <v>39.52900073924922</v>
      </c>
      <c r="BC68" s="7">
        <f t="shared" si="24"/>
        <v>29.693242405464126</v>
      </c>
      <c r="BD68" s="3">
        <f t="shared" si="13"/>
        <v>27.453687901526848</v>
      </c>
      <c r="BE68" s="3">
        <f t="shared" si="14"/>
        <v>20.567696659481392</v>
      </c>
      <c r="BF68" s="3">
        <v>0</v>
      </c>
      <c r="BG68" s="3">
        <v>0</v>
      </c>
      <c r="BH68" s="24">
        <v>1</v>
      </c>
      <c r="BI68" s="3">
        <v>0</v>
      </c>
      <c r="BJ68" s="3">
        <v>0</v>
      </c>
      <c r="BK68" s="3">
        <v>0</v>
      </c>
      <c r="BL68" s="3">
        <v>0</v>
      </c>
      <c r="BN68" s="3">
        <f t="shared" si="15"/>
        <v>81.804532692342804</v>
      </c>
      <c r="BO68" s="3">
        <f t="shared" si="16"/>
        <v>79.157902052959784</v>
      </c>
    </row>
    <row r="69" spans="1:67">
      <c r="A69">
        <v>1990</v>
      </c>
      <c r="B69" s="3">
        <f t="shared" si="17"/>
        <v>124.33942474798418</v>
      </c>
      <c r="C69" s="3">
        <f t="shared" si="0"/>
        <v>59.913057002261802</v>
      </c>
      <c r="D69" s="1">
        <v>64.844800000000006</v>
      </c>
      <c r="E69" s="3">
        <v>85.743189999999998</v>
      </c>
      <c r="F69" s="3">
        <f t="shared" si="18"/>
        <v>55.600000069120007</v>
      </c>
      <c r="G69" s="3">
        <v>0.56317700000000004</v>
      </c>
      <c r="H69" s="3">
        <f t="shared" si="19"/>
        <v>31.312641238926801</v>
      </c>
      <c r="I69" s="21">
        <f t="shared" ref="I69:I89" si="26">O69</f>
        <v>41.954180602006694</v>
      </c>
      <c r="J69" s="21">
        <f t="shared" si="2"/>
        <v>24.9722844263487</v>
      </c>
      <c r="K69" s="3"/>
      <c r="L69" s="3"/>
      <c r="M69" s="3"/>
      <c r="N69" s="3"/>
      <c r="O69" s="4">
        <f t="shared" ref="O69:O77" si="27">O$79*P69/P$79</f>
        <v>41.954180602006694</v>
      </c>
      <c r="P69">
        <v>47.1</v>
      </c>
      <c r="Q69">
        <v>0</v>
      </c>
      <c r="R69"/>
      <c r="S69" s="23"/>
      <c r="T69" s="21">
        <f t="shared" si="3"/>
        <v>16.981896175657994</v>
      </c>
      <c r="U69" s="21">
        <f t="shared" si="4"/>
        <v>0</v>
      </c>
      <c r="V69" s="27"/>
      <c r="W69">
        <f>USA!Z77*G69</f>
        <v>13.814731810000001</v>
      </c>
      <c r="X69">
        <v>0</v>
      </c>
      <c r="Y69">
        <v>1</v>
      </c>
      <c r="Z69">
        <v>0</v>
      </c>
      <c r="AA69" s="23"/>
      <c r="AB69" s="3">
        <v>0.63</v>
      </c>
      <c r="AC69" s="6">
        <v>19.5</v>
      </c>
      <c r="AD69" s="2">
        <v>0.15</v>
      </c>
      <c r="AE69" s="4">
        <f t="shared" si="6"/>
        <v>5.4722844263486996</v>
      </c>
      <c r="AF69" s="3">
        <f t="shared" si="25"/>
        <v>24.9722844263487</v>
      </c>
      <c r="AH69" s="4"/>
      <c r="AQ69">
        <v>1990</v>
      </c>
      <c r="AR69" s="3">
        <f t="shared" si="8"/>
        <v>41.954180602006694</v>
      </c>
      <c r="AS69" s="3">
        <f t="shared" si="20"/>
        <v>19.5</v>
      </c>
      <c r="AT69" s="3">
        <f t="shared" si="21"/>
        <v>5.4722844263486996</v>
      </c>
      <c r="AU69" s="3">
        <f t="shared" si="22"/>
        <v>24.9722844263487</v>
      </c>
      <c r="AV69" s="3">
        <f t="shared" si="9"/>
        <v>16.981896175657994</v>
      </c>
      <c r="AX69" s="3">
        <v>62.429933666873673</v>
      </c>
      <c r="AZ69" s="3">
        <f t="shared" si="10"/>
        <v>67.202026556482238</v>
      </c>
      <c r="BA69" s="3">
        <f t="shared" si="23"/>
        <v>68.35442435264568</v>
      </c>
      <c r="BB69" s="3">
        <f t="shared" si="11"/>
        <v>40.000498093752412</v>
      </c>
      <c r="BC69" s="7">
        <f t="shared" si="24"/>
        <v>27.201528462729826</v>
      </c>
      <c r="BD69" s="3">
        <f t="shared" si="13"/>
        <v>28.353926258893267</v>
      </c>
      <c r="BE69" s="3">
        <f t="shared" si="14"/>
        <v>22.128378165056933</v>
      </c>
      <c r="BF69" s="3">
        <v>0</v>
      </c>
      <c r="BG69" s="3">
        <v>0</v>
      </c>
      <c r="BH69" s="24">
        <v>1</v>
      </c>
      <c r="BI69" s="3">
        <v>0</v>
      </c>
      <c r="BJ69" s="3">
        <v>0</v>
      </c>
      <c r="BK69" s="3">
        <v>0</v>
      </c>
      <c r="BL69" s="3">
        <v>0</v>
      </c>
      <c r="BN69" s="3">
        <f t="shared" si="15"/>
        <v>79.417108268778946</v>
      </c>
      <c r="BO69" s="3">
        <f t="shared" si="16"/>
        <v>80.778973457021337</v>
      </c>
    </row>
    <row r="70" spans="1:67">
      <c r="A70">
        <v>1991</v>
      </c>
      <c r="B70" s="3">
        <f t="shared" si="17"/>
        <v>126.52981955087859</v>
      </c>
      <c r="C70" s="3">
        <f t="shared" si="0"/>
        <v>62.450351141377027</v>
      </c>
      <c r="D70" s="1">
        <v>73.566900000000004</v>
      </c>
      <c r="E70" s="3">
        <v>89.374380000000002</v>
      </c>
      <c r="F70" s="3">
        <f t="shared" si="18"/>
        <v>65.749960760220006</v>
      </c>
      <c r="G70" s="3">
        <v>0.56701500000000005</v>
      </c>
      <c r="H70" s="3">
        <f t="shared" si="19"/>
        <v>37.281214000456153</v>
      </c>
      <c r="I70" s="21">
        <f t="shared" si="26"/>
        <v>44.804570791527311</v>
      </c>
      <c r="J70" s="21">
        <f t="shared" si="2"/>
        <v>29.073021181716832</v>
      </c>
      <c r="K70" s="3"/>
      <c r="L70" s="3"/>
      <c r="M70" s="3"/>
      <c r="N70" s="3"/>
      <c r="O70" s="4">
        <f t="shared" si="27"/>
        <v>44.804570791527311</v>
      </c>
      <c r="P70">
        <v>50.3</v>
      </c>
      <c r="R70"/>
      <c r="S70" s="23"/>
      <c r="T70" s="21">
        <f t="shared" si="3"/>
        <v>15.731549609810479</v>
      </c>
      <c r="U70" s="21">
        <f t="shared" si="4"/>
        <v>0</v>
      </c>
      <c r="V70" s="27"/>
      <c r="W70">
        <f>USA!Z78*G70</f>
        <v>12.213503100000001</v>
      </c>
      <c r="X70">
        <v>0</v>
      </c>
      <c r="Y70">
        <v>1</v>
      </c>
      <c r="Z70">
        <v>0</v>
      </c>
      <c r="AA70" s="23"/>
      <c r="AB70" s="3">
        <v>0.68</v>
      </c>
      <c r="AC70" s="6">
        <v>22.4</v>
      </c>
      <c r="AD70" s="2">
        <v>0.17499999999999999</v>
      </c>
      <c r="AE70" s="4">
        <f t="shared" si="6"/>
        <v>6.673021181716833</v>
      </c>
      <c r="AF70" s="3">
        <f t="shared" si="25"/>
        <v>29.073021181716832</v>
      </c>
      <c r="AH70" s="4"/>
      <c r="AQ70">
        <v>1991</v>
      </c>
      <c r="AR70" s="3">
        <f t="shared" si="8"/>
        <v>44.804570791527311</v>
      </c>
      <c r="AS70" s="3">
        <f t="shared" si="20"/>
        <v>22.4</v>
      </c>
      <c r="AT70" s="3">
        <f t="shared" si="21"/>
        <v>6.673021181716833</v>
      </c>
      <c r="AU70" s="3">
        <f t="shared" si="22"/>
        <v>29.073021181716832</v>
      </c>
      <c r="AV70" s="3">
        <f t="shared" si="9"/>
        <v>15.731549609810479</v>
      </c>
      <c r="AX70" s="3">
        <v>67.132561440932093</v>
      </c>
      <c r="AZ70" s="3">
        <f t="shared" si="10"/>
        <v>66.740445813242943</v>
      </c>
      <c r="BA70" s="3">
        <f t="shared" si="23"/>
        <v>66.647277638241832</v>
      </c>
      <c r="BB70" s="3">
        <f t="shared" si="11"/>
        <v>43.306885001397276</v>
      </c>
      <c r="BC70" s="7">
        <f t="shared" si="24"/>
        <v>23.433560811845666</v>
      </c>
      <c r="BD70" s="3">
        <f t="shared" si="13"/>
        <v>23.340392636844559</v>
      </c>
      <c r="BE70" s="3">
        <f t="shared" si="14"/>
        <v>18.193113502374391</v>
      </c>
      <c r="BF70" s="3">
        <v>0</v>
      </c>
      <c r="BG70" s="24">
        <v>0.35</v>
      </c>
      <c r="BH70" s="24">
        <v>1</v>
      </c>
      <c r="BI70" s="3">
        <v>0</v>
      </c>
      <c r="BJ70" s="3">
        <v>0</v>
      </c>
      <c r="BK70" s="3">
        <v>0</v>
      </c>
      <c r="BL70" s="3">
        <v>0</v>
      </c>
      <c r="BN70" s="3">
        <f t="shared" si="15"/>
        <v>78.871627578106484</v>
      </c>
      <c r="BO70" s="3">
        <f t="shared" si="16"/>
        <v>78.761524543712895</v>
      </c>
    </row>
    <row r="71" spans="1:67">
      <c r="A71">
        <v>1992</v>
      </c>
      <c r="B71" s="3">
        <f t="shared" si="17"/>
        <v>124.64517138304649</v>
      </c>
      <c r="C71" s="3">
        <f t="shared" si="0"/>
        <v>64.341860498266513</v>
      </c>
      <c r="D71" s="1">
        <v>82.427099999999996</v>
      </c>
      <c r="E71" s="3">
        <v>92.081370000000007</v>
      </c>
      <c r="F71" s="3">
        <f t="shared" si="18"/>
        <v>75.900002931269995</v>
      </c>
      <c r="G71" s="3">
        <v>0.569774</v>
      </c>
      <c r="H71" s="3">
        <f t="shared" si="19"/>
        <v>43.245848270161432</v>
      </c>
      <c r="I71" s="21">
        <f t="shared" si="26"/>
        <v>45.695317725752503</v>
      </c>
      <c r="J71" s="21">
        <f t="shared" si="2"/>
        <v>30.205685618729095</v>
      </c>
      <c r="K71" s="3"/>
      <c r="L71" s="3"/>
      <c r="M71" s="3"/>
      <c r="N71" s="3"/>
      <c r="O71" s="4">
        <f t="shared" si="27"/>
        <v>45.695317725752503</v>
      </c>
      <c r="P71">
        <v>51.3</v>
      </c>
      <c r="R71"/>
      <c r="S71" s="23"/>
      <c r="T71" s="21">
        <f t="shared" si="3"/>
        <v>15.489632107023407</v>
      </c>
      <c r="U71" s="21">
        <f t="shared" si="4"/>
        <v>0</v>
      </c>
      <c r="V71" s="27"/>
      <c r="W71">
        <f>USA!Z79*G71</f>
        <v>11.725948919999999</v>
      </c>
      <c r="X71">
        <v>0</v>
      </c>
      <c r="Y71">
        <v>1</v>
      </c>
      <c r="Z71">
        <v>0</v>
      </c>
      <c r="AA71" s="23"/>
      <c r="AB71" s="3">
        <v>0.7</v>
      </c>
      <c r="AC71" s="6">
        <v>23.4</v>
      </c>
      <c r="AD71" s="2">
        <v>0.17499999999999999</v>
      </c>
      <c r="AE71" s="4">
        <f t="shared" si="6"/>
        <v>6.8056856187290959</v>
      </c>
      <c r="AF71" s="3">
        <f t="shared" si="25"/>
        <v>30.205685618729095</v>
      </c>
      <c r="AH71" s="4"/>
      <c r="AQ71">
        <v>1992</v>
      </c>
      <c r="AR71" s="3">
        <f t="shared" si="8"/>
        <v>45.695317725752503</v>
      </c>
      <c r="AS71" s="3">
        <f t="shared" si="20"/>
        <v>23.4</v>
      </c>
      <c r="AT71" s="3">
        <f t="shared" si="21"/>
        <v>6.8056856187290959</v>
      </c>
      <c r="AU71" s="3">
        <f t="shared" si="22"/>
        <v>30.205685618729095</v>
      </c>
      <c r="AV71" s="3">
        <f t="shared" si="9"/>
        <v>15.489632107023407</v>
      </c>
      <c r="AX71" s="3">
        <v>69.993448441692522</v>
      </c>
      <c r="AZ71" s="3">
        <f t="shared" si="10"/>
        <v>65.285135599253437</v>
      </c>
      <c r="BA71" s="3">
        <f t="shared" si="23"/>
        <v>65.664675187485486</v>
      </c>
      <c r="BB71" s="3">
        <f t="shared" si="11"/>
        <v>43.155018492754643</v>
      </c>
      <c r="BC71" s="7">
        <f t="shared" si="24"/>
        <v>22.130117106498794</v>
      </c>
      <c r="BD71" s="3">
        <f t="shared" si="13"/>
        <v>22.509656694730843</v>
      </c>
      <c r="BE71" s="3">
        <f t="shared" si="14"/>
        <v>16.752923567936797</v>
      </c>
      <c r="BF71" s="3">
        <v>0</v>
      </c>
      <c r="BG71" s="24">
        <v>0.35</v>
      </c>
      <c r="BH71" s="24">
        <v>1</v>
      </c>
      <c r="BI71" s="3">
        <v>0</v>
      </c>
      <c r="BJ71" s="3">
        <v>0</v>
      </c>
      <c r="BK71" s="3">
        <v>0</v>
      </c>
      <c r="BL71" s="3">
        <v>0</v>
      </c>
      <c r="BN71" s="3">
        <f t="shared" si="15"/>
        <v>77.151790621524171</v>
      </c>
      <c r="BO71" s="3">
        <f t="shared" si="16"/>
        <v>77.600317818030348</v>
      </c>
    </row>
    <row r="72" spans="1:67">
      <c r="A72">
        <v>1993</v>
      </c>
      <c r="B72" s="3">
        <f t="shared" si="17"/>
        <v>111.52825589060697</v>
      </c>
      <c r="C72" s="3">
        <f t="shared" si="0"/>
        <v>66.241014180537462</v>
      </c>
      <c r="D72" s="1">
        <v>85.264300000000006</v>
      </c>
      <c r="E72" s="3">
        <v>94.799300000000002</v>
      </c>
      <c r="F72" s="3">
        <f t="shared" si="18"/>
        <v>80.829959549900011</v>
      </c>
      <c r="G72" s="3">
        <v>0.66675699999999993</v>
      </c>
      <c r="H72" s="3">
        <f t="shared" si="19"/>
        <v>53.893941339612674</v>
      </c>
      <c r="I72" s="21">
        <f t="shared" si="26"/>
        <v>49.25830546265329</v>
      </c>
      <c r="J72" s="21">
        <f t="shared" si="2"/>
        <v>33.136343366778149</v>
      </c>
      <c r="K72" s="3"/>
      <c r="L72" s="3"/>
      <c r="M72" s="3"/>
      <c r="N72" s="3"/>
      <c r="O72" s="4">
        <f t="shared" si="27"/>
        <v>49.25830546265329</v>
      </c>
      <c r="P72">
        <v>55.3</v>
      </c>
      <c r="Q72" s="4"/>
      <c r="R72" s="3"/>
      <c r="S72" s="23"/>
      <c r="T72" s="21">
        <f t="shared" si="3"/>
        <v>16.121962095875141</v>
      </c>
      <c r="U72" s="21">
        <f t="shared" si="4"/>
        <v>0</v>
      </c>
      <c r="V72" s="27"/>
      <c r="W72">
        <f>USA!Z80*G72</f>
        <v>12.288331509999999</v>
      </c>
      <c r="X72">
        <v>0</v>
      </c>
      <c r="Y72">
        <v>1</v>
      </c>
      <c r="Z72">
        <v>0</v>
      </c>
      <c r="AA72" s="23"/>
      <c r="AB72" s="3">
        <v>0.71</v>
      </c>
      <c r="AC72" s="6">
        <v>25.8</v>
      </c>
      <c r="AD72" s="2">
        <v>0.17499999999999999</v>
      </c>
      <c r="AE72" s="4">
        <f t="shared" si="6"/>
        <v>7.3363433667781486</v>
      </c>
      <c r="AF72" s="3">
        <f t="shared" si="25"/>
        <v>33.136343366778149</v>
      </c>
      <c r="AH72" s="4"/>
      <c r="AQ72">
        <v>1993</v>
      </c>
      <c r="AR72" s="3">
        <f t="shared" si="8"/>
        <v>49.25830546265329</v>
      </c>
      <c r="AS72" s="3">
        <f t="shared" si="20"/>
        <v>25.8</v>
      </c>
      <c r="AT72" s="3">
        <f t="shared" si="21"/>
        <v>7.3363433667781486</v>
      </c>
      <c r="AU72" s="3">
        <f t="shared" si="22"/>
        <v>33.136343366778149</v>
      </c>
      <c r="AV72" s="3">
        <f t="shared" si="9"/>
        <v>16.121962095875141</v>
      </c>
      <c r="AX72" s="3">
        <v>71.747834226883541</v>
      </c>
      <c r="AZ72" s="3">
        <f t="shared" si="10"/>
        <v>68.654762883694758</v>
      </c>
      <c r="BA72" s="3">
        <f t="shared" si="23"/>
        <v>68.909948217268706</v>
      </c>
      <c r="BB72" s="3">
        <f t="shared" si="11"/>
        <v>46.184451034428761</v>
      </c>
      <c r="BC72" s="7">
        <f t="shared" si="24"/>
        <v>22.470311849265997</v>
      </c>
      <c r="BD72" s="3">
        <f t="shared" si="13"/>
        <v>22.725497182839948</v>
      </c>
      <c r="BE72" s="3">
        <f t="shared" si="14"/>
        <v>17.127111420731396</v>
      </c>
      <c r="BF72" s="3">
        <v>0</v>
      </c>
      <c r="BG72" s="24">
        <v>0.35</v>
      </c>
      <c r="BH72" s="24">
        <v>1</v>
      </c>
      <c r="BI72" s="3">
        <v>0</v>
      </c>
      <c r="BJ72" s="3">
        <v>0</v>
      </c>
      <c r="BK72" s="3">
        <v>0</v>
      </c>
      <c r="BL72" s="3">
        <v>0</v>
      </c>
      <c r="BN72" s="3">
        <f t="shared" si="15"/>
        <v>81.133903492019073</v>
      </c>
      <c r="BO72" s="3">
        <f t="shared" si="16"/>
        <v>81.435472987814165</v>
      </c>
    </row>
    <row r="73" spans="1:67">
      <c r="A73">
        <v>1994</v>
      </c>
      <c r="B73" s="3">
        <f t="shared" si="17"/>
        <v>115.7250095462561</v>
      </c>
      <c r="C73" s="3">
        <f t="shared" si="0"/>
        <v>67.968212466727536</v>
      </c>
      <c r="D73" s="1">
        <v>90.057500000000005</v>
      </c>
      <c r="E73" s="3">
        <v>97.271140000000003</v>
      </c>
      <c r="F73" s="3">
        <f t="shared" si="18"/>
        <v>87.599956905500008</v>
      </c>
      <c r="G73" s="3">
        <v>0.65342699999999998</v>
      </c>
      <c r="H73" s="3">
        <f t="shared" si="19"/>
        <v>57.240177040890153</v>
      </c>
      <c r="I73" s="21">
        <f t="shared" si="26"/>
        <v>51.396098104793758</v>
      </c>
      <c r="J73" s="21">
        <f t="shared" si="2"/>
        <v>35.954738015607582</v>
      </c>
      <c r="K73" s="3"/>
      <c r="L73" s="3"/>
      <c r="M73" s="3"/>
      <c r="N73" s="3"/>
      <c r="O73" s="4">
        <f t="shared" si="27"/>
        <v>51.396098104793758</v>
      </c>
      <c r="P73">
        <v>57.7</v>
      </c>
      <c r="Q73" s="4"/>
      <c r="R73" s="3"/>
      <c r="S73" s="23"/>
      <c r="T73" s="21">
        <f t="shared" si="3"/>
        <v>15.441360089186176</v>
      </c>
      <c r="U73" s="21">
        <f t="shared" si="4"/>
        <v>0</v>
      </c>
      <c r="V73" s="27"/>
      <c r="W73">
        <f>USA!Z81*G73</f>
        <v>11.238944399999999</v>
      </c>
      <c r="X73">
        <v>0</v>
      </c>
      <c r="Y73">
        <v>1</v>
      </c>
      <c r="Z73">
        <v>0</v>
      </c>
      <c r="AA73" s="23"/>
      <c r="AB73" s="3">
        <v>0.74</v>
      </c>
      <c r="AC73" s="6">
        <v>28.3</v>
      </c>
      <c r="AD73" s="2">
        <v>0.17499999999999999</v>
      </c>
      <c r="AE73" s="4">
        <f t="shared" si="6"/>
        <v>7.654738015607581</v>
      </c>
      <c r="AF73" s="3">
        <f t="shared" si="25"/>
        <v>35.954738015607582</v>
      </c>
      <c r="AH73" s="4"/>
      <c r="AQ73">
        <v>1994</v>
      </c>
      <c r="AR73" s="3">
        <f t="shared" si="8"/>
        <v>51.396098104793758</v>
      </c>
      <c r="AS73" s="3">
        <f t="shared" si="20"/>
        <v>28.3</v>
      </c>
      <c r="AT73" s="3">
        <f t="shared" si="21"/>
        <v>7.654738015607581</v>
      </c>
      <c r="AU73" s="3">
        <f t="shared" si="22"/>
        <v>35.954738015607582</v>
      </c>
      <c r="AV73" s="3">
        <f t="shared" si="9"/>
        <v>15.441360089186176</v>
      </c>
      <c r="AX73" s="3">
        <v>73.167357952279019</v>
      </c>
      <c r="AZ73" s="3">
        <f t="shared" si="10"/>
        <v>70.244572912302175</v>
      </c>
      <c r="BA73" s="3">
        <f t="shared" si="23"/>
        <v>70.846938316256981</v>
      </c>
      <c r="BB73" s="3">
        <f t="shared" si="11"/>
        <v>49.140407719871291</v>
      </c>
      <c r="BC73" s="7">
        <f t="shared" si="24"/>
        <v>21.104165192430884</v>
      </c>
      <c r="BD73" s="3">
        <f t="shared" si="13"/>
        <v>21.706530596385694</v>
      </c>
      <c r="BE73" s="3">
        <f t="shared" si="14"/>
        <v>15.360598926272873</v>
      </c>
      <c r="BF73" s="3">
        <v>0</v>
      </c>
      <c r="BG73" s="24">
        <v>0.35</v>
      </c>
      <c r="BH73" s="24">
        <v>1</v>
      </c>
      <c r="BI73" s="3">
        <v>0</v>
      </c>
      <c r="BJ73" s="3">
        <v>0</v>
      </c>
      <c r="BK73" s="3">
        <v>0</v>
      </c>
      <c r="BL73" s="3">
        <v>0</v>
      </c>
      <c r="BN73" s="3">
        <f t="shared" si="15"/>
        <v>83.012687832883969</v>
      </c>
      <c r="BO73" s="3">
        <f t="shared" si="16"/>
        <v>83.724543128840537</v>
      </c>
    </row>
    <row r="74" spans="1:67">
      <c r="A74">
        <v>1995</v>
      </c>
      <c r="B74" s="3">
        <f t="shared" si="17"/>
        <v>121.70995234777985</v>
      </c>
      <c r="C74" s="3">
        <f t="shared" si="0"/>
        <v>69.875003486879606</v>
      </c>
      <c r="D74" s="1">
        <v>98.73</v>
      </c>
      <c r="E74" s="3">
        <v>100</v>
      </c>
      <c r="F74" s="3">
        <f t="shared" si="18"/>
        <v>98.73</v>
      </c>
      <c r="G74" s="3">
        <v>0.6336679999999999</v>
      </c>
      <c r="H74" s="3">
        <f t="shared" si="19"/>
        <v>62.56204163999999</v>
      </c>
      <c r="I74" s="21">
        <f t="shared" si="26"/>
        <v>53.890189520624311</v>
      </c>
      <c r="J74" s="21">
        <f t="shared" si="2"/>
        <v>39.326198439241921</v>
      </c>
      <c r="K74" s="3"/>
      <c r="L74" s="3"/>
      <c r="M74" s="3"/>
      <c r="N74" s="3"/>
      <c r="O74" s="4">
        <f t="shared" si="27"/>
        <v>53.890189520624311</v>
      </c>
      <c r="P74">
        <v>60.5</v>
      </c>
      <c r="Q74" s="4">
        <f t="shared" ref="Q74:Q87" si="28">G74*R74</f>
        <v>74.772823999999986</v>
      </c>
      <c r="R74" s="6">
        <v>118</v>
      </c>
      <c r="S74" s="23"/>
      <c r="T74" s="21">
        <f t="shared" si="3"/>
        <v>14.56399108138239</v>
      </c>
      <c r="U74" s="21">
        <f t="shared" si="4"/>
        <v>0</v>
      </c>
      <c r="V74" s="27"/>
      <c r="W74">
        <f>USA!Z82*G74</f>
        <v>11.678501239999997</v>
      </c>
      <c r="X74">
        <v>0</v>
      </c>
      <c r="Y74">
        <v>0</v>
      </c>
      <c r="Z74">
        <v>0</v>
      </c>
      <c r="AA74" s="23"/>
      <c r="AB74" s="3">
        <v>0.75900000000000001</v>
      </c>
      <c r="AC74" s="6">
        <v>31.3</v>
      </c>
      <c r="AD74" s="2">
        <v>0.17499999999999999</v>
      </c>
      <c r="AE74" s="4">
        <f t="shared" si="6"/>
        <v>8.0261984392419183</v>
      </c>
      <c r="AF74" s="3">
        <f t="shared" si="25"/>
        <v>39.326198439241921</v>
      </c>
      <c r="AH74" s="4"/>
      <c r="AQ74">
        <v>1995</v>
      </c>
      <c r="AR74" s="3">
        <f t="shared" si="8"/>
        <v>53.890189520624311</v>
      </c>
      <c r="AS74" s="3">
        <f t="shared" si="20"/>
        <v>31.3</v>
      </c>
      <c r="AT74" s="3">
        <f t="shared" si="21"/>
        <v>8.0261984392419183</v>
      </c>
      <c r="AU74" s="3">
        <f t="shared" si="22"/>
        <v>39.326198439241921</v>
      </c>
      <c r="AV74" s="3">
        <f t="shared" si="9"/>
        <v>14.56399108138239</v>
      </c>
      <c r="AX74" s="3">
        <v>75.111013695949495</v>
      </c>
      <c r="AZ74" s="3">
        <f t="shared" si="10"/>
        <v>71.747386793064209</v>
      </c>
      <c r="BA74" s="3">
        <f t="shared" si="23"/>
        <v>71.03672679166273</v>
      </c>
      <c r="BB74" s="3">
        <f t="shared" si="11"/>
        <v>52.357432690810114</v>
      </c>
      <c r="BC74" s="7">
        <f t="shared" si="24"/>
        <v>19.389954102254094</v>
      </c>
      <c r="BD74" s="3">
        <f t="shared" si="13"/>
        <v>18.679294100852612</v>
      </c>
      <c r="BE74" s="3">
        <f t="shared" si="14"/>
        <v>15.548320632809917</v>
      </c>
      <c r="BF74" s="3">
        <v>0</v>
      </c>
      <c r="BG74" s="24">
        <v>0.75</v>
      </c>
      <c r="BH74" s="24">
        <v>1</v>
      </c>
      <c r="BI74" s="3">
        <v>0</v>
      </c>
      <c r="BJ74" s="3">
        <v>0</v>
      </c>
      <c r="BK74" s="3">
        <v>0</v>
      </c>
      <c r="BL74" s="3">
        <v>0</v>
      </c>
      <c r="BN74" s="3">
        <f t="shared" si="15"/>
        <v>84.788663034703092</v>
      </c>
      <c r="BO74" s="3">
        <f t="shared" si="16"/>
        <v>83.948828804017268</v>
      </c>
    </row>
    <row r="75" spans="1:67">
      <c r="A75">
        <v>1996</v>
      </c>
      <c r="B75" s="3">
        <f t="shared" si="17"/>
        <v>123.08221907620988</v>
      </c>
      <c r="C75" s="3">
        <f t="shared" si="0"/>
        <v>71.923179589087013</v>
      </c>
      <c r="D75" s="1">
        <v>95.364699999999999</v>
      </c>
      <c r="E75" s="3">
        <v>102.9312</v>
      </c>
      <c r="F75" s="3">
        <f t="shared" si="18"/>
        <v>98.160030086399999</v>
      </c>
      <c r="G75" s="3">
        <v>0.64095799999999992</v>
      </c>
      <c r="H75" s="3">
        <f t="shared" si="19"/>
        <v>62.916456564118761</v>
      </c>
      <c r="I75" s="21">
        <f t="shared" si="26"/>
        <v>56.740579710144935</v>
      </c>
      <c r="J75" s="21">
        <f t="shared" si="2"/>
        <v>42.750724637681159</v>
      </c>
      <c r="K75" s="3"/>
      <c r="L75" s="3"/>
      <c r="M75" s="3"/>
      <c r="N75" s="3"/>
      <c r="O75" s="4">
        <f t="shared" si="27"/>
        <v>56.740579710144935</v>
      </c>
      <c r="P75">
        <v>63.7</v>
      </c>
      <c r="Q75" s="4">
        <f t="shared" si="28"/>
        <v>74.351127999999989</v>
      </c>
      <c r="R75" s="3">
        <f>R74+(R$77-R$74)/3</f>
        <v>116</v>
      </c>
      <c r="S75" s="23"/>
      <c r="T75" s="21">
        <f t="shared" si="3"/>
        <v>13.989855072463776</v>
      </c>
      <c r="U75" s="21">
        <f t="shared" si="4"/>
        <v>0</v>
      </c>
      <c r="V75" s="27"/>
      <c r="W75">
        <f>USA!Z83*G75</f>
        <v>14.177990959999999</v>
      </c>
      <c r="X75">
        <v>0</v>
      </c>
      <c r="Y75">
        <v>0</v>
      </c>
      <c r="Z75">
        <v>0</v>
      </c>
      <c r="AA75" s="23"/>
      <c r="AB75" s="3">
        <v>0.78700000000000003</v>
      </c>
      <c r="AC75" s="6">
        <v>34.299999999999997</v>
      </c>
      <c r="AD75" s="2">
        <v>0.17499999999999999</v>
      </c>
      <c r="AE75" s="4">
        <f t="shared" si="6"/>
        <v>8.4507246376811604</v>
      </c>
      <c r="AF75" s="3">
        <f t="shared" si="25"/>
        <v>42.750724637681159</v>
      </c>
      <c r="AH75" s="4"/>
      <c r="AQ75">
        <v>1996</v>
      </c>
      <c r="AR75" s="3">
        <f t="shared" si="8"/>
        <v>56.740579710144935</v>
      </c>
      <c r="AS75" s="3">
        <f t="shared" si="20"/>
        <v>34.299999999999997</v>
      </c>
      <c r="AT75" s="3">
        <f t="shared" si="21"/>
        <v>8.4507246376811604</v>
      </c>
      <c r="AU75" s="3">
        <f t="shared" si="22"/>
        <v>42.750724637681159</v>
      </c>
      <c r="AV75" s="3">
        <f t="shared" si="9"/>
        <v>13.989855072463776</v>
      </c>
      <c r="AX75" s="3">
        <v>76.974593807869837</v>
      </c>
      <c r="AZ75" s="3">
        <f t="shared" si="10"/>
        <v>73.713386330781532</v>
      </c>
      <c r="BA75" s="3">
        <f t="shared" si="23"/>
        <v>75.873947520638978</v>
      </c>
      <c r="BB75" s="3">
        <f t="shared" si="11"/>
        <v>55.538746647222126</v>
      </c>
      <c r="BC75" s="7">
        <f t="shared" si="24"/>
        <v>18.174639683559406</v>
      </c>
      <c r="BD75" s="3">
        <f t="shared" si="13"/>
        <v>20.335200873416849</v>
      </c>
      <c r="BE75" s="3">
        <f t="shared" si="14"/>
        <v>18.419052649226774</v>
      </c>
      <c r="BF75" s="3">
        <v>0</v>
      </c>
      <c r="BG75" s="24">
        <v>0.75</v>
      </c>
      <c r="BH75" s="24">
        <v>1</v>
      </c>
      <c r="BI75" s="3">
        <v>0</v>
      </c>
      <c r="BJ75" s="3">
        <v>0</v>
      </c>
      <c r="BK75" s="3">
        <v>0</v>
      </c>
      <c r="BL75" s="3">
        <v>0</v>
      </c>
      <c r="BN75" s="3">
        <f t="shared" si="15"/>
        <v>87.112015560568324</v>
      </c>
      <c r="BO75" s="3">
        <f t="shared" si="16"/>
        <v>89.665294542296891</v>
      </c>
    </row>
    <row r="76" spans="1:67">
      <c r="A76">
        <v>1997</v>
      </c>
      <c r="B76" s="3">
        <f t="shared" si="17"/>
        <v>137.8905532575975</v>
      </c>
      <c r="C76" s="3">
        <f t="shared" si="0"/>
        <v>73.604511922988308</v>
      </c>
      <c r="D76" s="1">
        <v>83.617000000000004</v>
      </c>
      <c r="E76" s="3">
        <v>105.3374</v>
      </c>
      <c r="F76" s="3">
        <f t="shared" si="18"/>
        <v>88.079973758000008</v>
      </c>
      <c r="G76" s="3">
        <v>0.61083600000000005</v>
      </c>
      <c r="H76" s="3">
        <f t="shared" si="19"/>
        <v>53.802418850441697</v>
      </c>
      <c r="I76" s="21">
        <f t="shared" si="26"/>
        <v>61.995986622073573</v>
      </c>
      <c r="J76" s="21">
        <f t="shared" ref="J76:J96" si="29">BZ76+AF76</f>
        <v>47.233444816053506</v>
      </c>
      <c r="K76" s="3"/>
      <c r="L76" s="3"/>
      <c r="M76" s="3"/>
      <c r="N76" s="3"/>
      <c r="O76" s="4">
        <f t="shared" si="27"/>
        <v>61.995986622073573</v>
      </c>
      <c r="P76">
        <v>69.599999999999994</v>
      </c>
      <c r="Q76" s="4">
        <f t="shared" si="28"/>
        <v>69.635304000000005</v>
      </c>
      <c r="R76" s="3">
        <f>R75+(R$77-R$74)/3</f>
        <v>114</v>
      </c>
      <c r="S76" s="23"/>
      <c r="T76" s="21">
        <f t="shared" si="3"/>
        <v>14.762541806020067</v>
      </c>
      <c r="U76" s="21">
        <f t="shared" si="4"/>
        <v>0</v>
      </c>
      <c r="V76" s="27"/>
      <c r="W76">
        <f>USA!Z84*G76</f>
        <v>12.589329960000001</v>
      </c>
      <c r="X76">
        <v>0</v>
      </c>
      <c r="Y76">
        <v>0</v>
      </c>
      <c r="Z76">
        <v>0</v>
      </c>
      <c r="AA76" s="23"/>
      <c r="AB76" s="3">
        <v>0.79500000000000004</v>
      </c>
      <c r="AC76" s="6">
        <v>38</v>
      </c>
      <c r="AD76" s="2">
        <v>0.17499999999999999</v>
      </c>
      <c r="AE76" s="4">
        <f t="shared" ref="AE76:AE96" si="30">AD76*(I76*(1/(1+AD76)))</f>
        <v>9.2334448160535096</v>
      </c>
      <c r="AF76" s="3">
        <f t="shared" si="25"/>
        <v>47.233444816053506</v>
      </c>
      <c r="AH76" s="4"/>
      <c r="AQ76">
        <v>1997</v>
      </c>
      <c r="AR76" s="3">
        <f t="shared" ref="AR76:AR97" si="31">I76</f>
        <v>61.995986622073573</v>
      </c>
      <c r="AS76" s="3">
        <f t="shared" si="20"/>
        <v>38</v>
      </c>
      <c r="AT76" s="3">
        <f t="shared" si="21"/>
        <v>9.2334448160535096</v>
      </c>
      <c r="AU76" s="3">
        <f t="shared" si="22"/>
        <v>47.233444816053506</v>
      </c>
      <c r="AV76" s="3">
        <f t="shared" ref="AV76:AV97" si="32">AR76-AU76</f>
        <v>14.762541806020067</v>
      </c>
      <c r="AX76" s="3">
        <v>78.343160519493111</v>
      </c>
      <c r="AZ76" s="3">
        <f t="shared" ref="AZ76:AZ96" si="33">AR76/$AX76*100</f>
        <v>79.133885090898161</v>
      </c>
      <c r="BA76" s="3">
        <f t="shared" si="23"/>
        <v>79.270355986095893</v>
      </c>
      <c r="BB76" s="3">
        <f t="shared" ref="BB76:BB96" si="34">AU76/$AX76*100</f>
        <v>60.290451014292465</v>
      </c>
      <c r="BC76" s="7">
        <f t="shared" si="24"/>
        <v>18.843434076605696</v>
      </c>
      <c r="BD76" s="3">
        <f t="shared" si="13"/>
        <v>18.979904971803432</v>
      </c>
      <c r="BE76" s="3">
        <f t="shared" ref="BE76:BE97" si="35">W76/AX76*100</f>
        <v>16.069469085138021</v>
      </c>
      <c r="BF76" s="3">
        <v>0</v>
      </c>
      <c r="BG76" s="24">
        <v>0.75</v>
      </c>
      <c r="BH76" s="24">
        <v>1</v>
      </c>
      <c r="BI76" s="3">
        <v>0</v>
      </c>
      <c r="BJ76" s="3">
        <v>0</v>
      </c>
      <c r="BK76" s="3">
        <v>0</v>
      </c>
      <c r="BL76" s="3">
        <v>0</v>
      </c>
      <c r="BN76" s="3">
        <f t="shared" si="15"/>
        <v>93.517779775746462</v>
      </c>
      <c r="BO76" s="3">
        <f t="shared" si="16"/>
        <v>93.679056517160589</v>
      </c>
    </row>
    <row r="77" spans="1:67">
      <c r="A77">
        <v>1998</v>
      </c>
      <c r="B77" s="3">
        <f t="shared" si="17"/>
        <v>143.28033821854083</v>
      </c>
      <c r="C77" s="3">
        <f t="shared" si="0"/>
        <v>74.747038105002289</v>
      </c>
      <c r="D77" s="1">
        <v>77.6648</v>
      </c>
      <c r="E77" s="3">
        <v>106.9725</v>
      </c>
      <c r="F77" s="3">
        <f t="shared" si="18"/>
        <v>83.079978179999998</v>
      </c>
      <c r="G77" s="3">
        <v>0.60382399999999992</v>
      </c>
      <c r="H77" s="3">
        <f t="shared" si="19"/>
        <v>50.165684744560309</v>
      </c>
      <c r="I77" s="21">
        <f t="shared" si="26"/>
        <v>64.668227424749162</v>
      </c>
      <c r="J77" s="21">
        <f t="shared" si="29"/>
        <v>53.631438127090298</v>
      </c>
      <c r="K77" s="3"/>
      <c r="L77" s="3"/>
      <c r="M77" s="3"/>
      <c r="N77" s="3"/>
      <c r="O77" s="4">
        <f t="shared" si="27"/>
        <v>64.668227424749162</v>
      </c>
      <c r="P77">
        <v>72.599999999999994</v>
      </c>
      <c r="Q77" s="4">
        <f t="shared" si="28"/>
        <v>67.628287999999998</v>
      </c>
      <c r="R77" s="6">
        <v>112</v>
      </c>
      <c r="S77" s="23"/>
      <c r="T77" s="21">
        <f t="shared" si="3"/>
        <v>11.036789297658864</v>
      </c>
      <c r="U77" s="21">
        <f t="shared" si="4"/>
        <v>0</v>
      </c>
      <c r="V77" s="27"/>
      <c r="W77">
        <f>USA!Z85*G77</f>
        <v>8.7071420799999988</v>
      </c>
      <c r="X77">
        <v>0</v>
      </c>
      <c r="Y77">
        <v>0</v>
      </c>
      <c r="Z77">
        <v>0</v>
      </c>
      <c r="AA77" s="23"/>
      <c r="AB77" s="3">
        <v>0.82700000000000007</v>
      </c>
      <c r="AC77" s="6">
        <v>44</v>
      </c>
      <c r="AD77" s="2">
        <v>0.17499999999999999</v>
      </c>
      <c r="AE77" s="4">
        <f t="shared" si="30"/>
        <v>9.6314381270903002</v>
      </c>
      <c r="AF77" s="3">
        <f t="shared" si="25"/>
        <v>53.631438127090298</v>
      </c>
      <c r="AH77" s="4"/>
      <c r="AQ77">
        <v>1998</v>
      </c>
      <c r="AR77" s="3">
        <f t="shared" si="31"/>
        <v>64.668227424749162</v>
      </c>
      <c r="AS77" s="3">
        <f t="shared" si="20"/>
        <v>44</v>
      </c>
      <c r="AT77" s="3">
        <f t="shared" si="21"/>
        <v>9.6314381270903002</v>
      </c>
      <c r="AU77" s="3">
        <f t="shared" ref="AU77:AU97" si="36">AF77</f>
        <v>53.631438127090298</v>
      </c>
      <c r="AV77" s="3">
        <f t="shared" si="32"/>
        <v>11.036789297658864</v>
      </c>
      <c r="AX77" s="3">
        <v>79.58797379934586</v>
      </c>
      <c r="AZ77" s="3">
        <f t="shared" si="33"/>
        <v>81.253767796361061</v>
      </c>
      <c r="BA77" s="3">
        <f t="shared" si="23"/>
        <v>81.447922733158634</v>
      </c>
      <c r="BB77" s="3">
        <f t="shared" si="34"/>
        <v>67.386359479767407</v>
      </c>
      <c r="BC77" s="7">
        <f t="shared" si="24"/>
        <v>13.867408316593654</v>
      </c>
      <c r="BD77" s="3">
        <f t="shared" si="13"/>
        <v>14.061563253391226</v>
      </c>
      <c r="BE77" s="3">
        <f t="shared" si="35"/>
        <v>10.940273592027999</v>
      </c>
      <c r="BF77" s="3">
        <v>0</v>
      </c>
      <c r="BG77" s="24">
        <v>1</v>
      </c>
      <c r="BH77" s="24">
        <v>1</v>
      </c>
      <c r="BI77" s="3">
        <v>0</v>
      </c>
      <c r="BJ77" s="3">
        <v>0</v>
      </c>
      <c r="BK77" s="3">
        <v>0</v>
      </c>
      <c r="BL77" s="3">
        <v>0</v>
      </c>
      <c r="BN77" s="3">
        <f t="shared" si="15"/>
        <v>96.022986284591241</v>
      </c>
      <c r="BO77" s="3">
        <f t="shared" si="16"/>
        <v>96.252432097860151</v>
      </c>
    </row>
    <row r="78" spans="1:67">
      <c r="A78">
        <v>1999</v>
      </c>
      <c r="B78" s="3">
        <f t="shared" si="17"/>
        <v>149.45776370068239</v>
      </c>
      <c r="C78" s="3">
        <f t="shared" si="0"/>
        <v>75.889564287016256</v>
      </c>
      <c r="D78" s="19">
        <v>75.685299999999998</v>
      </c>
      <c r="E78" s="3">
        <v>108.60760000000001</v>
      </c>
      <c r="F78" s="3">
        <f t="shared" si="18"/>
        <v>82.199987882800002</v>
      </c>
      <c r="G78" s="3">
        <v>0.61805699999999997</v>
      </c>
      <c r="H78" s="3">
        <f t="shared" si="19"/>
        <v>50.804277910879719</v>
      </c>
      <c r="I78" s="21">
        <f t="shared" si="26"/>
        <v>70.101783723522857</v>
      </c>
      <c r="J78" s="21">
        <f t="shared" si="29"/>
        <v>57.640691192865106</v>
      </c>
      <c r="K78" s="3"/>
      <c r="L78" s="3"/>
      <c r="M78" s="3"/>
      <c r="N78" s="3"/>
      <c r="O78" s="4">
        <f>O$79*P78/P$79</f>
        <v>70.101783723522857</v>
      </c>
      <c r="P78">
        <v>78.7</v>
      </c>
      <c r="Q78" s="4">
        <f t="shared" si="28"/>
        <v>64.277928000000003</v>
      </c>
      <c r="R78" s="3">
        <f>(R77+R79)/2</f>
        <v>104</v>
      </c>
      <c r="S78" s="23"/>
      <c r="T78" s="21">
        <f t="shared" si="3"/>
        <v>12.461092530657751</v>
      </c>
      <c r="U78" s="21">
        <f t="shared" si="4"/>
        <v>0</v>
      </c>
      <c r="V78" s="27"/>
      <c r="W78">
        <f>USA!Z86*G78</f>
        <v>10.80363636</v>
      </c>
      <c r="X78">
        <v>0</v>
      </c>
      <c r="Y78">
        <v>0</v>
      </c>
      <c r="Z78">
        <v>0</v>
      </c>
      <c r="AA78" s="23"/>
      <c r="AB78" s="3">
        <v>0.82</v>
      </c>
      <c r="AC78" s="6">
        <v>47.2</v>
      </c>
      <c r="AD78" s="2">
        <v>0.17499999999999999</v>
      </c>
      <c r="AE78" s="4">
        <f t="shared" si="30"/>
        <v>10.440691192865106</v>
      </c>
      <c r="AF78" s="3">
        <f t="shared" si="25"/>
        <v>57.640691192865106</v>
      </c>
      <c r="AH78" s="4"/>
      <c r="AQ78">
        <v>1999</v>
      </c>
      <c r="AR78" s="3">
        <f t="shared" si="31"/>
        <v>70.101783723522857</v>
      </c>
      <c r="AS78" s="3">
        <f t="shared" si="20"/>
        <v>47.2</v>
      </c>
      <c r="AT78" s="3">
        <f t="shared" si="21"/>
        <v>10.440691192865106</v>
      </c>
      <c r="AU78" s="3">
        <f t="shared" si="36"/>
        <v>57.640691192865106</v>
      </c>
      <c r="AV78" s="3">
        <f t="shared" si="32"/>
        <v>12.461092530657751</v>
      </c>
      <c r="AX78" s="3">
        <v>80.6507971726205</v>
      </c>
      <c r="AZ78" s="3">
        <f t="shared" si="33"/>
        <v>86.920137408537798</v>
      </c>
      <c r="BA78" s="3">
        <f t="shared" si="23"/>
        <v>86.947300981990495</v>
      </c>
      <c r="BB78" s="3">
        <f t="shared" si="34"/>
        <v>71.469462440022951</v>
      </c>
      <c r="BC78" s="7">
        <f t="shared" si="24"/>
        <v>15.450674968514846</v>
      </c>
      <c r="BD78" s="3">
        <f t="shared" si="13"/>
        <v>15.477838541967538</v>
      </c>
      <c r="BE78" s="3">
        <f t="shared" si="35"/>
        <v>13.395572937582372</v>
      </c>
      <c r="BF78" s="3">
        <v>0</v>
      </c>
      <c r="BG78" s="24">
        <v>1</v>
      </c>
      <c r="BH78" s="24">
        <v>1</v>
      </c>
      <c r="BI78" s="3">
        <v>0</v>
      </c>
      <c r="BJ78" s="3">
        <v>0</v>
      </c>
      <c r="BK78" s="3">
        <v>0</v>
      </c>
      <c r="BL78" s="3">
        <v>0</v>
      </c>
      <c r="BN78" s="3">
        <f t="shared" si="15"/>
        <v>102.71931245271558</v>
      </c>
      <c r="BO78" s="3">
        <f t="shared" si="16"/>
        <v>102.75141345568231</v>
      </c>
    </row>
    <row r="79" spans="1:67">
      <c r="A79">
        <v>2000</v>
      </c>
      <c r="B79" s="3">
        <f t="shared" si="17"/>
        <v>153.10635034972597</v>
      </c>
      <c r="C79" s="3">
        <f t="shared" si="0"/>
        <v>78.958238837304293</v>
      </c>
      <c r="D79" s="2">
        <f>F79/E79*100</f>
        <v>106.98306764550512</v>
      </c>
      <c r="E79" s="2">
        <v>112.9992628224058</v>
      </c>
      <c r="F79" s="2">
        <f>I79/G79</f>
        <v>120.8900777842165</v>
      </c>
      <c r="G79" s="3">
        <v>0.66093100000000005</v>
      </c>
      <c r="H79" s="5">
        <f t="shared" ref="H79:H89" si="37">(U79+AC79)+AD79*(U79+AC79)</f>
        <v>57.339999999999996</v>
      </c>
      <c r="I79" s="21">
        <f t="shared" si="26"/>
        <v>79.900000000000006</v>
      </c>
      <c r="J79" s="21">
        <f t="shared" si="29"/>
        <v>60.699999999999996</v>
      </c>
      <c r="K79" s="3"/>
      <c r="L79" s="3"/>
      <c r="M79" s="3"/>
      <c r="N79" s="3"/>
      <c r="O79">
        <v>79.900000000000006</v>
      </c>
      <c r="P79">
        <v>89.7</v>
      </c>
      <c r="Q79" s="4">
        <f t="shared" si="28"/>
        <v>63.449376000000001</v>
      </c>
      <c r="R79" s="6">
        <v>96</v>
      </c>
      <c r="S79" s="23"/>
      <c r="T79" s="21">
        <f t="shared" ref="T79:T89" si="38">O79-AF79</f>
        <v>19.20000000000001</v>
      </c>
      <c r="U79" s="21">
        <f t="shared" si="4"/>
        <v>0</v>
      </c>
      <c r="V79" s="27"/>
      <c r="W79">
        <f>USA!Z87*G79</f>
        <v>18.241695600000003</v>
      </c>
      <c r="X79">
        <v>0</v>
      </c>
      <c r="Y79">
        <v>0</v>
      </c>
      <c r="Z79">
        <v>0</v>
      </c>
      <c r="AA79" s="23"/>
      <c r="AC79" s="6">
        <v>48.8</v>
      </c>
      <c r="AD79" s="2">
        <v>0.17499999999999999</v>
      </c>
      <c r="AE79" s="4">
        <f t="shared" si="30"/>
        <v>11.899999999999999</v>
      </c>
      <c r="AF79" s="3">
        <f t="shared" si="25"/>
        <v>60.699999999999996</v>
      </c>
      <c r="AG79" s="3">
        <v>60.3</v>
      </c>
      <c r="AQ79">
        <v>2000</v>
      </c>
      <c r="AR79" s="3">
        <f t="shared" si="31"/>
        <v>79.900000000000006</v>
      </c>
      <c r="AS79" s="3">
        <f t="shared" si="20"/>
        <v>48.8</v>
      </c>
      <c r="AT79" s="3">
        <f t="shared" si="21"/>
        <v>11.899999999999999</v>
      </c>
      <c r="AU79" s="3">
        <f t="shared" si="36"/>
        <v>60.699999999999996</v>
      </c>
      <c r="AV79" s="3">
        <f t="shared" si="32"/>
        <v>19.20000000000001</v>
      </c>
      <c r="AX79" s="3">
        <v>81.284123203673161</v>
      </c>
      <c r="AZ79" s="3">
        <f t="shared" si="33"/>
        <v>98.297178896541752</v>
      </c>
      <c r="BA79" s="3">
        <f t="shared" si="23"/>
        <v>97.332000890491912</v>
      </c>
      <c r="BB79" s="3">
        <f t="shared" si="34"/>
        <v>74.676329900126191</v>
      </c>
      <c r="BC79" s="7">
        <f t="shared" si="24"/>
        <v>23.62084899641556</v>
      </c>
      <c r="BD79" s="3">
        <f t="shared" si="13"/>
        <v>22.655670990365717</v>
      </c>
      <c r="BE79" s="3">
        <f t="shared" si="35"/>
        <v>22.44189256282176</v>
      </c>
      <c r="BF79" s="3">
        <v>0</v>
      </c>
      <c r="BG79" s="24">
        <v>0.75</v>
      </c>
      <c r="BH79" s="24">
        <v>1</v>
      </c>
      <c r="BI79" s="3">
        <v>0</v>
      </c>
      <c r="BJ79" s="3">
        <v>0</v>
      </c>
      <c r="BK79" s="3">
        <v>0</v>
      </c>
      <c r="BL79" s="3">
        <v>0</v>
      </c>
      <c r="BN79" s="3">
        <f t="shared" si="15"/>
        <v>116.16431972302158</v>
      </c>
      <c r="BO79" s="3">
        <f t="shared" si="16"/>
        <v>115.02370462355461</v>
      </c>
    </row>
    <row r="80" spans="1:67">
      <c r="A80">
        <v>2001</v>
      </c>
      <c r="B80" s="3">
        <f t="shared" si="17"/>
        <v>134.41236636632854</v>
      </c>
      <c r="C80" s="3">
        <f t="shared" si="0"/>
        <v>81.182199298191421</v>
      </c>
      <c r="D80" s="2">
        <f t="shared" ref="D80:D89" si="39">F80/E80*100</f>
        <v>93.920645685269449</v>
      </c>
      <c r="E80" s="2">
        <v>116.1820325539375</v>
      </c>
      <c r="F80" s="2">
        <f t="shared" ref="F80:F89" si="40">I80/G80</f>
        <v>109.11891514492805</v>
      </c>
      <c r="G80" s="3">
        <v>0.69465500000000002</v>
      </c>
      <c r="H80" s="5">
        <f t="shared" si="37"/>
        <v>53.814999999999998</v>
      </c>
      <c r="I80" s="21">
        <f t="shared" si="26"/>
        <v>75.8</v>
      </c>
      <c r="J80" s="21">
        <f t="shared" si="29"/>
        <v>57.089361702127654</v>
      </c>
      <c r="K80" s="3"/>
      <c r="L80" s="3"/>
      <c r="M80" s="3"/>
      <c r="N80" s="3"/>
      <c r="O80">
        <v>75.8</v>
      </c>
      <c r="P80">
        <v>85.3</v>
      </c>
      <c r="Q80" s="4">
        <f t="shared" si="28"/>
        <v>69.465500000000006</v>
      </c>
      <c r="R80" s="3">
        <f>(R79+R81)/2</f>
        <v>100</v>
      </c>
      <c r="S80" s="23"/>
      <c r="T80" s="21">
        <f t="shared" si="38"/>
        <v>18.710638297872343</v>
      </c>
      <c r="U80" s="21">
        <f t="shared" si="4"/>
        <v>0</v>
      </c>
      <c r="V80" s="27"/>
      <c r="W80">
        <f>USA!Z88*G80</f>
        <v>16.0604236</v>
      </c>
      <c r="X80">
        <v>0</v>
      </c>
      <c r="Y80">
        <v>0</v>
      </c>
      <c r="Z80">
        <v>1</v>
      </c>
      <c r="AA80" s="23"/>
      <c r="AC80" s="6">
        <v>45.8</v>
      </c>
      <c r="AD80" s="2">
        <v>0.17499999999999999</v>
      </c>
      <c r="AE80" s="4">
        <f t="shared" si="30"/>
        <v>11.289361702127657</v>
      </c>
      <c r="AF80" s="3">
        <f t="shared" si="25"/>
        <v>57.089361702127654</v>
      </c>
      <c r="AG80" s="3">
        <v>57.7</v>
      </c>
      <c r="AQ80">
        <v>2001</v>
      </c>
      <c r="AR80" s="3">
        <f t="shared" si="31"/>
        <v>75.8</v>
      </c>
      <c r="AS80" s="3">
        <f t="shared" si="20"/>
        <v>45.8</v>
      </c>
      <c r="AT80" s="3">
        <f t="shared" si="21"/>
        <v>11.289361702127657</v>
      </c>
      <c r="AU80" s="3">
        <f t="shared" si="36"/>
        <v>57.089361702127654</v>
      </c>
      <c r="AV80" s="3">
        <f t="shared" si="32"/>
        <v>18.710638297872343</v>
      </c>
      <c r="AX80" s="3">
        <v>82.288709618141212</v>
      </c>
      <c r="AZ80" s="3">
        <f t="shared" si="33"/>
        <v>92.114702432141755</v>
      </c>
      <c r="BA80" s="3">
        <f t="shared" si="23"/>
        <v>90.345525747981824</v>
      </c>
      <c r="BB80" s="3">
        <f t="shared" si="34"/>
        <v>69.376907193039571</v>
      </c>
      <c r="BC80" s="7">
        <f t="shared" si="24"/>
        <v>22.737795239102184</v>
      </c>
      <c r="BD80" s="3">
        <f t="shared" si="13"/>
        <v>20.96861855494225</v>
      </c>
      <c r="BE80" s="3">
        <f t="shared" si="35"/>
        <v>19.517165446545476</v>
      </c>
      <c r="BF80" s="3">
        <v>0</v>
      </c>
      <c r="BG80" s="24">
        <v>0.75</v>
      </c>
      <c r="BH80" s="24">
        <v>1</v>
      </c>
      <c r="BI80" s="3">
        <v>0</v>
      </c>
      <c r="BJ80" s="3">
        <v>0</v>
      </c>
      <c r="BK80" s="3">
        <v>0</v>
      </c>
      <c r="BL80" s="3">
        <v>0</v>
      </c>
      <c r="BN80" s="3">
        <f t="shared" si="15"/>
        <v>108.85807573155861</v>
      </c>
      <c r="BO80" s="3">
        <f t="shared" si="16"/>
        <v>106.76732187379456</v>
      </c>
    </row>
    <row r="81" spans="1:68">
      <c r="A81">
        <v>2002</v>
      </c>
      <c r="B81" s="3">
        <f t="shared" si="17"/>
        <v>133.19777082551664</v>
      </c>
      <c r="C81" s="3">
        <f t="shared" si="0"/>
        <v>82.47759894808965</v>
      </c>
      <c r="D81" s="2">
        <f t="shared" si="39"/>
        <v>93.071947008775652</v>
      </c>
      <c r="E81" s="2">
        <v>118.03591389240708</v>
      </c>
      <c r="F81" s="2">
        <f t="shared" si="40"/>
        <v>109.85832322926517</v>
      </c>
      <c r="G81" s="3">
        <v>0.66722300000000001</v>
      </c>
      <c r="H81" s="5">
        <f t="shared" si="37"/>
        <v>53.814999999999998</v>
      </c>
      <c r="I81" s="21">
        <f t="shared" si="26"/>
        <v>73.3</v>
      </c>
      <c r="J81" s="21">
        <f t="shared" si="29"/>
        <v>56.717021276595744</v>
      </c>
      <c r="K81" s="3"/>
      <c r="L81" s="3"/>
      <c r="M81" s="3"/>
      <c r="N81" s="3"/>
      <c r="O81">
        <v>73.3</v>
      </c>
      <c r="P81">
        <v>82.6</v>
      </c>
      <c r="Q81" s="4">
        <f t="shared" si="28"/>
        <v>69.391192000000004</v>
      </c>
      <c r="R81" s="6">
        <v>104</v>
      </c>
      <c r="S81" s="23"/>
      <c r="T81" s="21">
        <f t="shared" si="38"/>
        <v>16.582978723404253</v>
      </c>
      <c r="U81" s="21">
        <f t="shared" si="4"/>
        <v>0</v>
      </c>
      <c r="V81" s="27"/>
      <c r="W81">
        <f>USA!Z89*G81</f>
        <v>16.253552280000001</v>
      </c>
      <c r="X81">
        <v>0</v>
      </c>
      <c r="Y81">
        <v>0</v>
      </c>
      <c r="Z81">
        <v>1</v>
      </c>
      <c r="AA81" s="23"/>
      <c r="AC81" s="6">
        <v>45.8</v>
      </c>
      <c r="AD81" s="2">
        <v>0.17499999999999999</v>
      </c>
      <c r="AE81" s="4">
        <f t="shared" si="30"/>
        <v>10.917021276595744</v>
      </c>
      <c r="AF81" s="3">
        <f t="shared" si="25"/>
        <v>56.717021276595744</v>
      </c>
      <c r="AG81" s="3">
        <v>56.7</v>
      </c>
      <c r="AQ81">
        <v>2002</v>
      </c>
      <c r="AR81" s="3">
        <f t="shared" si="31"/>
        <v>73.3</v>
      </c>
      <c r="AS81" s="3">
        <f t="shared" si="20"/>
        <v>45.8</v>
      </c>
      <c r="AT81" s="3">
        <f t="shared" si="21"/>
        <v>10.917021276595744</v>
      </c>
      <c r="AU81" s="3">
        <f t="shared" si="36"/>
        <v>56.717021276595744</v>
      </c>
      <c r="AV81" s="3">
        <f t="shared" si="32"/>
        <v>16.582978723404253</v>
      </c>
      <c r="AX81" s="3">
        <v>83.32241380526753</v>
      </c>
      <c r="AZ81" s="3">
        <f t="shared" si="33"/>
        <v>87.971527290734912</v>
      </c>
      <c r="BA81" s="3">
        <f t="shared" si="23"/>
        <v>89.031995315011017</v>
      </c>
      <c r="BB81" s="3">
        <f t="shared" si="34"/>
        <v>68.069344953386562</v>
      </c>
      <c r="BC81" s="7">
        <f t="shared" si="24"/>
        <v>19.90218233734835</v>
      </c>
      <c r="BD81" s="3">
        <f t="shared" si="13"/>
        <v>20.962650361624458</v>
      </c>
      <c r="BE81" s="3">
        <f t="shared" si="35"/>
        <v>19.506818799064213</v>
      </c>
      <c r="BF81" s="3">
        <v>0</v>
      </c>
      <c r="BG81" s="24">
        <v>0.75</v>
      </c>
      <c r="BH81" s="24">
        <v>1</v>
      </c>
      <c r="BI81" s="3">
        <v>0</v>
      </c>
      <c r="BJ81" s="3">
        <v>0</v>
      </c>
      <c r="BK81" s="3">
        <v>0</v>
      </c>
      <c r="BL81" s="3">
        <v>0</v>
      </c>
      <c r="BN81" s="3">
        <f t="shared" si="15"/>
        <v>103.96180986515549</v>
      </c>
      <c r="BO81" s="3">
        <f t="shared" si="16"/>
        <v>105.21503552240154</v>
      </c>
    </row>
    <row r="82" spans="1:68">
      <c r="A82">
        <v>2003</v>
      </c>
      <c r="B82" s="3">
        <f t="shared" si="17"/>
        <v>147.07003878887758</v>
      </c>
      <c r="C82" s="3">
        <f t="shared" si="0"/>
        <v>84.37293294912061</v>
      </c>
      <c r="D82" s="2">
        <f t="shared" si="39"/>
        <v>102.7651947318834</v>
      </c>
      <c r="E82" s="2">
        <v>120.74837744367809</v>
      </c>
      <c r="F82" s="2">
        <f t="shared" si="40"/>
        <v>124.08730521558536</v>
      </c>
      <c r="G82" s="3">
        <v>0.61247200000000002</v>
      </c>
      <c r="H82" s="5">
        <f t="shared" si="37"/>
        <v>53.814999999999998</v>
      </c>
      <c r="I82" s="21">
        <f t="shared" si="26"/>
        <v>76</v>
      </c>
      <c r="J82" s="21">
        <f t="shared" si="29"/>
        <v>57.119148936170212</v>
      </c>
      <c r="K82" s="3"/>
      <c r="L82" s="3"/>
      <c r="M82" s="3"/>
      <c r="N82" s="3"/>
      <c r="O82">
        <v>76</v>
      </c>
      <c r="P82">
        <v>85.9</v>
      </c>
      <c r="Q82" s="4">
        <f t="shared" si="28"/>
        <v>77.783944000000005</v>
      </c>
      <c r="R82" s="3">
        <f>(R81+R83)/2</f>
        <v>127</v>
      </c>
      <c r="S82" s="23"/>
      <c r="T82" s="21">
        <f t="shared" si="38"/>
        <v>18.880851063829788</v>
      </c>
      <c r="U82" s="21">
        <f t="shared" si="4"/>
        <v>0</v>
      </c>
      <c r="V82" s="27"/>
      <c r="W82">
        <f>USA!Z90*G82</f>
        <v>17.210463200000003</v>
      </c>
      <c r="X82">
        <v>0</v>
      </c>
      <c r="Y82">
        <v>0</v>
      </c>
      <c r="Z82">
        <v>1</v>
      </c>
      <c r="AA82" s="23"/>
      <c r="AC82" s="6">
        <v>45.8</v>
      </c>
      <c r="AD82" s="2">
        <v>0.17499999999999999</v>
      </c>
      <c r="AE82" s="4">
        <f t="shared" si="30"/>
        <v>11.319148936170214</v>
      </c>
      <c r="AF82" s="3">
        <f t="shared" si="25"/>
        <v>57.119148936170212</v>
      </c>
      <c r="AG82" s="3">
        <v>57.4</v>
      </c>
      <c r="AQ82">
        <v>2003</v>
      </c>
      <c r="AR82" s="3">
        <f t="shared" si="31"/>
        <v>76</v>
      </c>
      <c r="AS82" s="3">
        <f t="shared" si="20"/>
        <v>45.8</v>
      </c>
      <c r="AT82" s="3">
        <f t="shared" si="21"/>
        <v>11.319148936170214</v>
      </c>
      <c r="AU82" s="3">
        <f t="shared" si="36"/>
        <v>57.119148936170212</v>
      </c>
      <c r="AV82" s="3">
        <f t="shared" si="32"/>
        <v>18.880851063829788</v>
      </c>
      <c r="AX82" s="3">
        <v>84.458033313950565</v>
      </c>
      <c r="AZ82" s="3">
        <f t="shared" si="33"/>
        <v>89.985519456142143</v>
      </c>
      <c r="BA82" s="3">
        <f t="shared" si="23"/>
        <v>89.095113137922723</v>
      </c>
      <c r="BB82" s="3">
        <f t="shared" si="34"/>
        <v>67.630214314658232</v>
      </c>
      <c r="BC82" s="7">
        <f t="shared" si="24"/>
        <v>22.35530514148391</v>
      </c>
      <c r="BD82" s="3">
        <f t="shared" si="13"/>
        <v>21.464898823264495</v>
      </c>
      <c r="BE82" s="3">
        <f t="shared" si="35"/>
        <v>20.377532514905507</v>
      </c>
      <c r="BF82" s="3">
        <v>0</v>
      </c>
      <c r="BG82" s="24">
        <v>0.75</v>
      </c>
      <c r="BH82" s="24">
        <v>1</v>
      </c>
      <c r="BI82" s="3">
        <v>0</v>
      </c>
      <c r="BJ82" s="3">
        <v>0</v>
      </c>
      <c r="BK82" s="3">
        <v>0</v>
      </c>
      <c r="BL82" s="3">
        <v>0</v>
      </c>
      <c r="BN82" s="3">
        <f t="shared" si="15"/>
        <v>106.34187847392262</v>
      </c>
      <c r="BO82" s="3">
        <f t="shared" si="16"/>
        <v>105.28962605534707</v>
      </c>
    </row>
    <row r="83" spans="1:68">
      <c r="A83">
        <v>2004</v>
      </c>
      <c r="B83" s="3">
        <f t="shared" si="17"/>
        <v>169.51265869667267</v>
      </c>
      <c r="C83" s="3">
        <f t="shared" si="0"/>
        <v>86.62364207534489</v>
      </c>
      <c r="D83" s="2">
        <f t="shared" si="39"/>
        <v>118.44697617500238</v>
      </c>
      <c r="E83" s="2">
        <v>123.96942791081244</v>
      </c>
      <c r="F83" s="2">
        <f t="shared" si="40"/>
        <v>146.83803874180674</v>
      </c>
      <c r="G83" s="3">
        <v>0.54618</v>
      </c>
      <c r="H83" s="5">
        <f t="shared" si="37"/>
        <v>55.342500000000001</v>
      </c>
      <c r="I83" s="21">
        <f t="shared" si="26"/>
        <v>80.2</v>
      </c>
      <c r="J83" s="21">
        <f t="shared" si="29"/>
        <v>59.044680851063831</v>
      </c>
      <c r="K83" s="3"/>
      <c r="L83" s="3"/>
      <c r="M83" s="3"/>
      <c r="N83" s="3"/>
      <c r="O83">
        <v>80.2</v>
      </c>
      <c r="P83">
        <v>91</v>
      </c>
      <c r="Q83" s="4">
        <f t="shared" si="28"/>
        <v>81.927000000000007</v>
      </c>
      <c r="R83" s="6">
        <v>150</v>
      </c>
      <c r="S83" s="23"/>
      <c r="T83" s="21">
        <f t="shared" si="38"/>
        <v>21.155319148936172</v>
      </c>
      <c r="U83" s="21">
        <f t="shared" si="4"/>
        <v>0</v>
      </c>
      <c r="V83" s="27"/>
      <c r="W83">
        <f>USA!Z91*G83</f>
        <v>19.689788999999998</v>
      </c>
      <c r="X83">
        <v>0</v>
      </c>
      <c r="Y83">
        <v>0</v>
      </c>
      <c r="Z83">
        <v>0</v>
      </c>
      <c r="AA83" s="23"/>
      <c r="AC83" s="6">
        <v>47.1</v>
      </c>
      <c r="AD83" s="2">
        <v>0.17499999999999999</v>
      </c>
      <c r="AE83" s="4">
        <f t="shared" si="30"/>
        <v>11.944680851063829</v>
      </c>
      <c r="AF83" s="3">
        <f t="shared" si="25"/>
        <v>59.044680851063831</v>
      </c>
      <c r="AG83" s="3">
        <v>59</v>
      </c>
      <c r="AQ83">
        <v>2004</v>
      </c>
      <c r="AR83" s="3">
        <f t="shared" si="31"/>
        <v>80.2</v>
      </c>
      <c r="AS83" s="3">
        <f t="shared" si="20"/>
        <v>47.1</v>
      </c>
      <c r="AT83" s="3">
        <f t="shared" si="21"/>
        <v>11.944680851063829</v>
      </c>
      <c r="AU83" s="3">
        <f t="shared" si="36"/>
        <v>59.044680851063831</v>
      </c>
      <c r="AV83" s="3">
        <f t="shared" si="32"/>
        <v>21.155319148936172</v>
      </c>
      <c r="AX83" s="3">
        <v>85.593652651568618</v>
      </c>
      <c r="AZ83" s="3">
        <f t="shared" si="33"/>
        <v>93.698536650229329</v>
      </c>
      <c r="BA83" s="3">
        <f t="shared" si="23"/>
        <v>93.922035474946156</v>
      </c>
      <c r="BB83" s="3">
        <f t="shared" si="34"/>
        <v>68.982546043946357</v>
      </c>
      <c r="BC83" s="7">
        <f t="shared" si="24"/>
        <v>24.715990606282972</v>
      </c>
      <c r="BD83" s="3">
        <f t="shared" si="13"/>
        <v>24.939489430999803</v>
      </c>
      <c r="BE83" s="3">
        <f t="shared" si="35"/>
        <v>23.003795713862615</v>
      </c>
      <c r="BF83" s="3">
        <v>0</v>
      </c>
      <c r="BG83" s="24">
        <v>0.5</v>
      </c>
      <c r="BH83" s="24">
        <v>1</v>
      </c>
      <c r="BI83" s="3">
        <v>0</v>
      </c>
      <c r="BJ83" s="3">
        <v>0</v>
      </c>
      <c r="BK83" s="3">
        <v>0</v>
      </c>
      <c r="BL83" s="3">
        <v>0</v>
      </c>
      <c r="BN83" s="3">
        <f t="shared" si="15"/>
        <v>110.72979805933602</v>
      </c>
      <c r="BO83" s="3">
        <f t="shared" si="16"/>
        <v>110.99392149831539</v>
      </c>
    </row>
    <row r="84" spans="1:68">
      <c r="A84">
        <v>2005</v>
      </c>
      <c r="B84" s="3">
        <f t="shared" si="17"/>
        <v>176.05345460513172</v>
      </c>
      <c r="C84" s="3">
        <f t="shared" si="0"/>
        <v>89.539246597092159</v>
      </c>
      <c r="D84" s="2">
        <f t="shared" si="39"/>
        <v>123.01735754410778</v>
      </c>
      <c r="E84" s="2">
        <v>128.14202809149756</v>
      </c>
      <c r="F84" s="2">
        <f t="shared" si="40"/>
        <v>157.63693686158859</v>
      </c>
      <c r="G84" s="3">
        <v>0.54999799999999999</v>
      </c>
      <c r="H84" s="5">
        <f t="shared" si="37"/>
        <v>55.342500000000001</v>
      </c>
      <c r="I84" s="21">
        <f t="shared" si="26"/>
        <v>86.7</v>
      </c>
      <c r="J84" s="21">
        <f t="shared" si="29"/>
        <v>60.01276595744681</v>
      </c>
      <c r="K84" s="3">
        <f t="shared" ref="K84:K96" si="41">N84/M84*L84*100</f>
        <v>86.768032377231933</v>
      </c>
      <c r="L84" s="3">
        <f>'Exchange Rates'!E44</f>
        <v>0.54999799999999999</v>
      </c>
      <c r="M84" s="3">
        <f>'Exchange Rates'!AB44</f>
        <v>0.8041058333333333</v>
      </c>
      <c r="N84" s="3">
        <f>'EU petrol prices nominal'!AL3</f>
        <v>1.2685624489795915</v>
      </c>
      <c r="O84">
        <v>86.7</v>
      </c>
      <c r="P84">
        <v>100</v>
      </c>
      <c r="Q84" s="4">
        <f t="shared" si="28"/>
        <v>86.074686999999997</v>
      </c>
      <c r="R84" s="3">
        <f>(R83+R85)/2</f>
        <v>156.5</v>
      </c>
      <c r="S84" s="23"/>
      <c r="T84" s="21">
        <f t="shared" si="38"/>
        <v>26.687234042553193</v>
      </c>
      <c r="U84" s="21">
        <f t="shared" si="4"/>
        <v>0</v>
      </c>
      <c r="V84" s="27"/>
      <c r="W84">
        <f>USA!Z92*G84</f>
        <v>27.851898720000001</v>
      </c>
      <c r="X84">
        <v>0</v>
      </c>
      <c r="Y84">
        <v>0</v>
      </c>
      <c r="Z84">
        <v>0</v>
      </c>
      <c r="AA84" s="23"/>
      <c r="AC84" s="6">
        <v>47.1</v>
      </c>
      <c r="AD84" s="2">
        <v>0.17499999999999999</v>
      </c>
      <c r="AE84" s="4">
        <f t="shared" si="30"/>
        <v>12.912765957446808</v>
      </c>
      <c r="AF84" s="3">
        <f t="shared" si="25"/>
        <v>60.01276595744681</v>
      </c>
      <c r="AG84" s="3">
        <v>60</v>
      </c>
      <c r="AQ84">
        <v>2005</v>
      </c>
      <c r="AR84" s="3">
        <f t="shared" si="31"/>
        <v>86.7</v>
      </c>
      <c r="AS84" s="3">
        <f t="shared" si="20"/>
        <v>47.1</v>
      </c>
      <c r="AT84" s="3">
        <f t="shared" si="21"/>
        <v>12.912765957446808</v>
      </c>
      <c r="AU84" s="3">
        <f t="shared" si="36"/>
        <v>60.01276595744681</v>
      </c>
      <c r="AV84" s="3">
        <f t="shared" si="32"/>
        <v>26.687234042553193</v>
      </c>
      <c r="AX84" s="3">
        <v>87.348038359998966</v>
      </c>
      <c r="AZ84" s="3">
        <f t="shared" si="33"/>
        <v>99.258096263904491</v>
      </c>
      <c r="BA84" s="3">
        <f t="shared" si="23"/>
        <v>98.963322211512917</v>
      </c>
      <c r="BB84" s="3">
        <f t="shared" si="34"/>
        <v>68.705339105737323</v>
      </c>
      <c r="BC84" s="7">
        <f t="shared" si="24"/>
        <v>30.552757158167168</v>
      </c>
      <c r="BD84" s="3">
        <f t="shared" si="13"/>
        <v>30.25798310577559</v>
      </c>
      <c r="BE84" s="3">
        <f t="shared" si="35"/>
        <v>31.886118157811751</v>
      </c>
      <c r="BF84" s="3">
        <v>0</v>
      </c>
      <c r="BG84" s="3">
        <v>0</v>
      </c>
      <c r="BH84" s="3">
        <v>0</v>
      </c>
      <c r="BI84" s="3">
        <v>0</v>
      </c>
      <c r="BJ84" s="24">
        <v>1</v>
      </c>
      <c r="BK84" s="3">
        <v>0</v>
      </c>
      <c r="BL84" s="3">
        <v>0</v>
      </c>
      <c r="BN84" s="3">
        <f t="shared" si="15"/>
        <v>117.2998997421309</v>
      </c>
      <c r="BO84" s="3">
        <f t="shared" si="16"/>
        <v>116.95154562197753</v>
      </c>
    </row>
    <row r="85" spans="1:68">
      <c r="A85">
        <v>2006</v>
      </c>
      <c r="B85" s="3">
        <f t="shared" si="17"/>
        <v>181.75883709629275</v>
      </c>
      <c r="C85" s="3">
        <f t="shared" si="0"/>
        <v>92.424281215596963</v>
      </c>
      <c r="D85" s="2">
        <f t="shared" si="39"/>
        <v>127.00399375874638</v>
      </c>
      <c r="E85" s="2">
        <v>132.27087886006535</v>
      </c>
      <c r="F85" s="2">
        <f t="shared" si="40"/>
        <v>167.98929873207638</v>
      </c>
      <c r="G85" s="3">
        <v>0.54348700000000005</v>
      </c>
      <c r="H85" s="5">
        <f t="shared" si="37"/>
        <v>56.070999999999998</v>
      </c>
      <c r="I85" s="21">
        <f t="shared" si="26"/>
        <v>91.3</v>
      </c>
      <c r="J85" s="21">
        <f t="shared" si="29"/>
        <v>61.317872340425531</v>
      </c>
      <c r="K85" s="3">
        <f t="shared" si="41"/>
        <v>91.454108738507841</v>
      </c>
      <c r="L85" s="3">
        <f>'Exchange Rates'!E45</f>
        <v>0.54348700000000005</v>
      </c>
      <c r="M85" s="3">
        <f>'Exchange Rates'!AB45</f>
        <v>0.7971408333333333</v>
      </c>
      <c r="N85" s="3">
        <f>'EU petrol prices nominal'!AL4</f>
        <v>1.3413716326530609</v>
      </c>
      <c r="O85">
        <v>91.3</v>
      </c>
      <c r="P85">
        <v>106</v>
      </c>
      <c r="Q85" s="4">
        <f t="shared" si="28"/>
        <v>88.588381000000012</v>
      </c>
      <c r="R85" s="6">
        <v>163</v>
      </c>
      <c r="S85" s="23"/>
      <c r="T85" s="21">
        <f t="shared" si="38"/>
        <v>29.982127659574466</v>
      </c>
      <c r="U85" s="21">
        <f t="shared" si="4"/>
        <v>0</v>
      </c>
      <c r="V85" s="27"/>
      <c r="W85">
        <f>USA!Z93*G85</f>
        <v>33.196185960000001</v>
      </c>
      <c r="X85">
        <v>0</v>
      </c>
      <c r="Y85">
        <v>0</v>
      </c>
      <c r="Z85">
        <v>0</v>
      </c>
      <c r="AA85" s="23"/>
      <c r="AC85" s="6">
        <v>47.72</v>
      </c>
      <c r="AD85" s="2">
        <v>0.17499999999999999</v>
      </c>
      <c r="AE85" s="4">
        <f t="shared" si="30"/>
        <v>13.597872340425532</v>
      </c>
      <c r="AF85" s="3">
        <f t="shared" si="25"/>
        <v>61.317872340425531</v>
      </c>
      <c r="AG85" s="3">
        <v>60.8</v>
      </c>
      <c r="AQ85">
        <v>2006</v>
      </c>
      <c r="AR85" s="3">
        <f t="shared" si="31"/>
        <v>91.3</v>
      </c>
      <c r="AS85" s="3">
        <f t="shared" si="20"/>
        <v>47.72</v>
      </c>
      <c r="AT85" s="3">
        <f t="shared" si="21"/>
        <v>13.597872340425532</v>
      </c>
      <c r="AU85" s="3">
        <f t="shared" si="36"/>
        <v>61.317872340425531</v>
      </c>
      <c r="AV85" s="3">
        <f t="shared" si="32"/>
        <v>29.982127659574466</v>
      </c>
      <c r="AX85" s="3">
        <v>89.386329292580285</v>
      </c>
      <c r="AZ85" s="3">
        <f t="shared" si="33"/>
        <v>102.14089863915976</v>
      </c>
      <c r="BA85" s="3">
        <f t="shared" si="23"/>
        <v>101.88603755427226</v>
      </c>
      <c r="BB85" s="3">
        <f t="shared" si="34"/>
        <v>68.598713948437478</v>
      </c>
      <c r="BC85" s="7">
        <f t="shared" si="24"/>
        <v>33.54218469072228</v>
      </c>
      <c r="BD85" s="3">
        <f t="shared" si="13"/>
        <v>33.287323605834786</v>
      </c>
      <c r="BE85" s="3">
        <f t="shared" si="35"/>
        <v>37.137878043231751</v>
      </c>
      <c r="BF85" s="3">
        <v>0</v>
      </c>
      <c r="BG85" s="3">
        <v>0</v>
      </c>
      <c r="BH85" s="3">
        <v>0</v>
      </c>
      <c r="BI85" s="3">
        <v>0</v>
      </c>
      <c r="BJ85" s="24">
        <v>1</v>
      </c>
      <c r="BK85" s="3">
        <v>0</v>
      </c>
      <c r="BL85" s="3">
        <v>0</v>
      </c>
      <c r="BN85" s="3">
        <f t="shared" si="15"/>
        <v>120.70669921060703</v>
      </c>
      <c r="BO85" s="3">
        <f t="shared" si="16"/>
        <v>120.40551290106922</v>
      </c>
    </row>
    <row r="86" spans="1:68">
      <c r="A86">
        <v>2007</v>
      </c>
      <c r="B86" s="3">
        <f t="shared" si="17"/>
        <v>198.67274346465138</v>
      </c>
      <c r="C86" s="3">
        <f t="shared" si="0"/>
        <v>95.074004003893037</v>
      </c>
      <c r="D86" s="2">
        <f t="shared" si="39"/>
        <v>138.82258642340449</v>
      </c>
      <c r="E86" s="2">
        <v>136.06296852886032</v>
      </c>
      <c r="F86" s="2">
        <f t="shared" si="40"/>
        <v>188.88613207622677</v>
      </c>
      <c r="G86" s="3">
        <v>0.49977199999999999</v>
      </c>
      <c r="H86" s="5">
        <f t="shared" si="37"/>
        <v>58.691250000000004</v>
      </c>
      <c r="I86" s="21">
        <f t="shared" si="26"/>
        <v>94.4</v>
      </c>
      <c r="J86" s="21">
        <f t="shared" si="29"/>
        <v>64.009574468085106</v>
      </c>
      <c r="K86" s="3">
        <f t="shared" si="41"/>
        <v>94.407673958309402</v>
      </c>
      <c r="L86" s="3">
        <f>'Exchange Rates'!E46</f>
        <v>0.49977199999999999</v>
      </c>
      <c r="M86" s="3">
        <f>'Exchange Rates'!AB46</f>
        <v>0.73063749999999994</v>
      </c>
      <c r="N86" s="3">
        <f>'EU petrol prices nominal'!AL5</f>
        <v>1.3801851020408162</v>
      </c>
      <c r="O86">
        <v>94.4</v>
      </c>
      <c r="P86">
        <v>108.6</v>
      </c>
      <c r="Q86" s="4">
        <f t="shared" si="28"/>
        <v>81.462835999999996</v>
      </c>
      <c r="R86" s="3">
        <f>(R85+R87)/2</f>
        <v>163</v>
      </c>
      <c r="S86" s="23"/>
      <c r="T86" s="21">
        <f t="shared" si="38"/>
        <v>30.3904255319149</v>
      </c>
      <c r="U86" s="21">
        <f t="shared" si="4"/>
        <v>0</v>
      </c>
      <c r="V86" s="27"/>
      <c r="W86">
        <f>USA!Z94*G86</f>
        <v>34.524249759999996</v>
      </c>
      <c r="X86">
        <v>0</v>
      </c>
      <c r="Y86">
        <v>0</v>
      </c>
      <c r="Z86">
        <v>0</v>
      </c>
      <c r="AA86" s="23"/>
      <c r="AC86" s="6">
        <v>49.95</v>
      </c>
      <c r="AD86" s="2">
        <v>0.17499999999999999</v>
      </c>
      <c r="AE86" s="4">
        <f t="shared" si="30"/>
        <v>14.059574468085106</v>
      </c>
      <c r="AF86" s="3">
        <f t="shared" si="25"/>
        <v>64.009574468085106</v>
      </c>
      <c r="AG86" s="3">
        <v>63</v>
      </c>
      <c r="AQ86">
        <v>2007</v>
      </c>
      <c r="AR86" s="3">
        <f t="shared" si="31"/>
        <v>94.4</v>
      </c>
      <c r="AS86" s="3">
        <f t="shared" si="20"/>
        <v>49.95</v>
      </c>
      <c r="AT86" s="3">
        <f t="shared" si="21"/>
        <v>14.059574468085106</v>
      </c>
      <c r="AU86" s="3">
        <f t="shared" si="36"/>
        <v>64.009574468085106</v>
      </c>
      <c r="AV86" s="3">
        <f t="shared" si="32"/>
        <v>30.3904255319149</v>
      </c>
      <c r="AX86" s="3">
        <v>91.461018174539618</v>
      </c>
      <c r="AZ86" s="3">
        <f t="shared" si="33"/>
        <v>103.21337099030734</v>
      </c>
      <c r="BA86" s="3">
        <f t="shared" si="23"/>
        <v>103.62460445292069</v>
      </c>
      <c r="BB86" s="3">
        <f t="shared" si="34"/>
        <v>69.985635132480638</v>
      </c>
      <c r="BC86" s="7">
        <f t="shared" si="24"/>
        <v>33.227735857826701</v>
      </c>
      <c r="BD86" s="3">
        <f t="shared" si="13"/>
        <v>33.638969320440054</v>
      </c>
      <c r="BE86" s="3">
        <f t="shared" si="35"/>
        <v>37.747502104246919</v>
      </c>
      <c r="BF86" s="3">
        <v>0</v>
      </c>
      <c r="BG86" s="3">
        <v>0</v>
      </c>
      <c r="BH86" s="3">
        <v>0</v>
      </c>
      <c r="BI86" s="3">
        <v>0</v>
      </c>
      <c r="BJ86" s="24">
        <v>1</v>
      </c>
      <c r="BK86" s="3">
        <v>0</v>
      </c>
      <c r="BL86" s="3">
        <v>0</v>
      </c>
      <c r="BN86" s="3">
        <f t="shared" si="15"/>
        <v>121.97411118001799</v>
      </c>
      <c r="BO86" s="3">
        <f t="shared" si="16"/>
        <v>122.46009313767011</v>
      </c>
    </row>
    <row r="87" spans="1:68">
      <c r="A87">
        <v>2008</v>
      </c>
      <c r="B87" s="3">
        <f t="shared" si="17"/>
        <v>199.47465327319497</v>
      </c>
      <c r="C87" s="3">
        <f t="shared" si="0"/>
        <v>98.70291900542351</v>
      </c>
      <c r="D87" s="2">
        <f t="shared" si="39"/>
        <v>139.38292093008599</v>
      </c>
      <c r="E87" s="2">
        <v>141.25640655453694</v>
      </c>
      <c r="F87" s="2">
        <f t="shared" si="40"/>
        <v>196.88730545659104</v>
      </c>
      <c r="G87" s="3">
        <v>0.54396599999999995</v>
      </c>
      <c r="H87" s="5">
        <f t="shared" si="37"/>
        <v>59.22</v>
      </c>
      <c r="I87" s="21">
        <f t="shared" si="26"/>
        <v>107.1</v>
      </c>
      <c r="J87" s="21">
        <f t="shared" si="29"/>
        <v>66.351063829787236</v>
      </c>
      <c r="K87" s="3">
        <f t="shared" si="41"/>
        <v>108.74646698674812</v>
      </c>
      <c r="L87" s="3">
        <f>'Exchange Rates'!E47</f>
        <v>0.54396599999999995</v>
      </c>
      <c r="M87" s="3">
        <f>'Exchange Rates'!AB47</f>
        <v>0.68267416666666658</v>
      </c>
      <c r="N87" s="3">
        <f>'EU petrol prices nominal'!AL6</f>
        <v>1.3647618367346939</v>
      </c>
      <c r="O87">
        <v>107.1</v>
      </c>
      <c r="P87">
        <v>126.8</v>
      </c>
      <c r="Q87" s="4">
        <f t="shared" si="28"/>
        <v>88.666457999999992</v>
      </c>
      <c r="R87" s="6">
        <v>163</v>
      </c>
      <c r="S87" s="23"/>
      <c r="T87" s="21">
        <f t="shared" si="38"/>
        <v>40.748936170212758</v>
      </c>
      <c r="U87" s="21">
        <f t="shared" si="4"/>
        <v>0</v>
      </c>
      <c r="V87" s="27"/>
      <c r="W87">
        <f>USA!Z95*G87</f>
        <v>51.377588699999997</v>
      </c>
      <c r="X87">
        <v>0</v>
      </c>
      <c r="Y87">
        <v>0</v>
      </c>
      <c r="Z87">
        <v>0</v>
      </c>
      <c r="AA87" s="23"/>
      <c r="AC87" s="6">
        <v>50.4</v>
      </c>
      <c r="AD87" s="2">
        <v>0.17499999999999999</v>
      </c>
      <c r="AE87" s="4">
        <f t="shared" si="30"/>
        <v>15.951063829787232</v>
      </c>
      <c r="AF87" s="3">
        <f t="shared" si="25"/>
        <v>66.351063829787236</v>
      </c>
      <c r="AG87" s="3">
        <v>66.3</v>
      </c>
      <c r="AQ87">
        <v>2008</v>
      </c>
      <c r="AR87" s="3">
        <f t="shared" si="31"/>
        <v>107.1</v>
      </c>
      <c r="AS87" s="3">
        <f t="shared" si="20"/>
        <v>50.4</v>
      </c>
      <c r="AT87" s="3">
        <f t="shared" si="21"/>
        <v>15.951063829787232</v>
      </c>
      <c r="AU87" s="3">
        <f t="shared" si="36"/>
        <v>66.351063829787236</v>
      </c>
      <c r="AV87" s="3">
        <f t="shared" si="32"/>
        <v>40.748936170212758</v>
      </c>
      <c r="AX87" s="3">
        <v>94.765961151666431</v>
      </c>
      <c r="AZ87" s="3">
        <f t="shared" si="33"/>
        <v>113.0152627572613</v>
      </c>
      <c r="BA87" s="3">
        <f t="shared" si="23"/>
        <v>113.15366443192704</v>
      </c>
      <c r="BB87" s="3">
        <f t="shared" si="34"/>
        <v>70.015713472896564</v>
      </c>
      <c r="BC87" s="7">
        <f t="shared" si="24"/>
        <v>42.999549284364733</v>
      </c>
      <c r="BD87" s="3">
        <f t="shared" si="13"/>
        <v>43.137950959030469</v>
      </c>
      <c r="BE87" s="3">
        <f t="shared" si="35"/>
        <v>54.21523517054154</v>
      </c>
      <c r="BF87" s="3">
        <v>0</v>
      </c>
      <c r="BG87" s="3">
        <v>0</v>
      </c>
      <c r="BH87" s="3">
        <v>0</v>
      </c>
      <c r="BI87" s="3">
        <v>0</v>
      </c>
      <c r="BJ87" s="24">
        <v>1</v>
      </c>
      <c r="BK87" s="3">
        <v>0</v>
      </c>
      <c r="BL87" s="3">
        <v>0</v>
      </c>
      <c r="BN87" s="3">
        <f t="shared" si="15"/>
        <v>133.55765917080322</v>
      </c>
      <c r="BO87" s="3">
        <f t="shared" si="16"/>
        <v>133.72121764284233</v>
      </c>
      <c r="BP87" s="13"/>
    </row>
    <row r="88" spans="1:68">
      <c r="A88">
        <v>2009</v>
      </c>
      <c r="B88" s="3">
        <f t="shared" si="17"/>
        <v>157.2387424511854</v>
      </c>
      <c r="C88" s="3">
        <f>E88/E$89*100</f>
        <v>98.380597588111073</v>
      </c>
      <c r="D88" s="2">
        <f t="shared" si="39"/>
        <v>109.87057677049144</v>
      </c>
      <c r="E88" s="2">
        <v>140.7951236905254</v>
      </c>
      <c r="F88" s="2">
        <f t="shared" si="40"/>
        <v>154.69241446350708</v>
      </c>
      <c r="G88" s="3">
        <v>0.64191900000000002</v>
      </c>
      <c r="H88" s="5">
        <f t="shared" si="37"/>
        <v>62.617500000000007</v>
      </c>
      <c r="I88" s="21">
        <f t="shared" si="26"/>
        <v>99.3</v>
      </c>
      <c r="J88" s="21">
        <f t="shared" si="29"/>
        <v>67.402173913043484</v>
      </c>
      <c r="K88" s="3">
        <f t="shared" si="41"/>
        <v>99.725655734433232</v>
      </c>
      <c r="L88" s="3">
        <f>'Exchange Rates'!E48</f>
        <v>0.64191900000000002</v>
      </c>
      <c r="M88" s="3">
        <f>'Exchange Rates'!AB48</f>
        <v>0.71984416666666673</v>
      </c>
      <c r="N88" s="3">
        <f>'EU petrol prices nominal'!AL7</f>
        <v>1.1183175999999997</v>
      </c>
      <c r="O88">
        <v>99.3</v>
      </c>
      <c r="P88">
        <v>114.7</v>
      </c>
      <c r="Q88" s="4"/>
      <c r="R88" s="3">
        <v>150</v>
      </c>
      <c r="S88" s="23"/>
      <c r="T88" s="21">
        <f t="shared" si="38"/>
        <v>31.897826086956513</v>
      </c>
      <c r="U88" s="21">
        <f t="shared" si="4"/>
        <v>0</v>
      </c>
      <c r="V88" s="27"/>
      <c r="W88">
        <f>USA!Z96*G88</f>
        <v>39.195574140000005</v>
      </c>
      <c r="X88">
        <v>0</v>
      </c>
      <c r="Y88">
        <v>0</v>
      </c>
      <c r="Z88">
        <v>0</v>
      </c>
      <c r="AA88" s="23"/>
      <c r="AC88" s="6">
        <v>54.45</v>
      </c>
      <c r="AD88" s="2">
        <v>0.15</v>
      </c>
      <c r="AE88" s="4">
        <f t="shared" si="30"/>
        <v>12.952173913043479</v>
      </c>
      <c r="AF88" s="3">
        <f t="shared" si="25"/>
        <v>67.402173913043484</v>
      </c>
      <c r="AG88" s="3">
        <v>67.3</v>
      </c>
      <c r="AQ88">
        <v>2009</v>
      </c>
      <c r="AR88" s="3">
        <f t="shared" si="31"/>
        <v>99.3</v>
      </c>
      <c r="AS88" s="3">
        <f t="shared" si="20"/>
        <v>54.45</v>
      </c>
      <c r="AT88" s="3">
        <f t="shared" si="21"/>
        <v>12.952173913043479</v>
      </c>
      <c r="AU88" s="3">
        <f t="shared" si="36"/>
        <v>67.402173913043484</v>
      </c>
      <c r="AV88" s="3">
        <f t="shared" si="32"/>
        <v>31.897826086956513</v>
      </c>
      <c r="AX88" s="3">
        <v>96.818810779581781</v>
      </c>
      <c r="AZ88" s="3">
        <f t="shared" si="33"/>
        <v>102.56271400199999</v>
      </c>
      <c r="BA88" s="3">
        <f t="shared" si="23"/>
        <v>102.56271400199999</v>
      </c>
      <c r="BB88" s="3">
        <f t="shared" si="34"/>
        <v>69.616816577608702</v>
      </c>
      <c r="BC88" s="7">
        <f t="shared" si="24"/>
        <v>32.945897424391291</v>
      </c>
      <c r="BD88" s="3">
        <f t="shared" si="13"/>
        <v>32.945897424391291</v>
      </c>
      <c r="BE88" s="3">
        <f t="shared" si="35"/>
        <v>40.483428606898357</v>
      </c>
      <c r="BF88" s="3">
        <v>0</v>
      </c>
      <c r="BG88" s="3">
        <v>0</v>
      </c>
      <c r="BH88" s="3">
        <v>0</v>
      </c>
      <c r="BI88" s="3">
        <v>0</v>
      </c>
      <c r="BJ88" s="24">
        <v>1</v>
      </c>
      <c r="BK88" s="24">
        <v>1</v>
      </c>
      <c r="BL88" s="3">
        <v>0</v>
      </c>
      <c r="BN88" s="3">
        <f t="shared" si="15"/>
        <v>121.20518650417043</v>
      </c>
      <c r="BO88" s="3">
        <f t="shared" si="16"/>
        <v>121.20518650417043</v>
      </c>
      <c r="BP88" s="13"/>
    </row>
    <row r="89" spans="1:68">
      <c r="A89">
        <v>2010</v>
      </c>
      <c r="B89" s="3">
        <f t="shared" si="17"/>
        <v>180.6300911215379</v>
      </c>
      <c r="C89" s="3">
        <f>CPIs!AB49</f>
        <v>99.999998509883881</v>
      </c>
      <c r="D89" s="2">
        <f t="shared" si="39"/>
        <v>126.21528058877414</v>
      </c>
      <c r="E89" s="2">
        <v>143.11269411067286</v>
      </c>
      <c r="F89" s="2">
        <f t="shared" si="40"/>
        <v>180.6300884299398</v>
      </c>
      <c r="G89" s="3">
        <v>0.64717899999999995</v>
      </c>
      <c r="H89" s="5">
        <f t="shared" si="37"/>
        <v>67.151250000000005</v>
      </c>
      <c r="I89" s="21">
        <f t="shared" si="26"/>
        <v>116.9</v>
      </c>
      <c r="J89" s="21">
        <f t="shared" si="29"/>
        <v>74.560638297872345</v>
      </c>
      <c r="K89" s="3">
        <f t="shared" si="41"/>
        <v>116.28510793430947</v>
      </c>
      <c r="L89" s="3">
        <f>'Exchange Rates'!E49</f>
        <v>0.64823856585109563</v>
      </c>
      <c r="M89" s="3">
        <f>'Exchange Rates'!AB49</f>
        <v>0.75867129256384003</v>
      </c>
      <c r="N89" s="3">
        <f>'EU petrol prices nominal'!AL8</f>
        <v>1.360952244897959</v>
      </c>
      <c r="O89">
        <v>116.9</v>
      </c>
      <c r="P89">
        <v>134.1</v>
      </c>
      <c r="R89"/>
      <c r="S89" s="23"/>
      <c r="T89" s="21">
        <f t="shared" si="38"/>
        <v>42.339361702127661</v>
      </c>
      <c r="U89" s="21">
        <f t="shared" si="4"/>
        <v>0</v>
      </c>
      <c r="V89" s="27"/>
      <c r="W89">
        <f>USA!Z97*G89</f>
        <v>50.124013550000001</v>
      </c>
      <c r="X89">
        <v>0</v>
      </c>
      <c r="Y89">
        <v>0</v>
      </c>
      <c r="Z89">
        <v>0</v>
      </c>
      <c r="AA89" s="23"/>
      <c r="AC89" s="6">
        <v>57.15</v>
      </c>
      <c r="AD89" s="32">
        <v>0.17499999999999999</v>
      </c>
      <c r="AE89" s="4">
        <f>AD89*(I89*(1/(1+AD89)))</f>
        <v>17.410638297872339</v>
      </c>
      <c r="AF89" s="3">
        <f t="shared" si="25"/>
        <v>74.560638297872345</v>
      </c>
      <c r="AG89" s="3">
        <v>74.599999999999994</v>
      </c>
      <c r="AQ89">
        <v>2010</v>
      </c>
      <c r="AR89" s="3">
        <f t="shared" si="31"/>
        <v>116.9</v>
      </c>
      <c r="AS89" s="3">
        <f t="shared" si="20"/>
        <v>57.15</v>
      </c>
      <c r="AT89" s="3">
        <f t="shared" si="21"/>
        <v>17.410638297872339</v>
      </c>
      <c r="AU89" s="3">
        <f t="shared" si="36"/>
        <v>74.560638297872345</v>
      </c>
      <c r="AV89" s="3">
        <f t="shared" si="32"/>
        <v>42.339361702127661</v>
      </c>
      <c r="AX89" s="3">
        <v>100</v>
      </c>
      <c r="AZ89" s="3">
        <f t="shared" si="33"/>
        <v>116.9</v>
      </c>
      <c r="BA89" s="3">
        <f t="shared" si="23"/>
        <v>117.39279866989108</v>
      </c>
      <c r="BB89" s="3">
        <f t="shared" si="34"/>
        <v>74.560638297872345</v>
      </c>
      <c r="BC89" s="7">
        <f t="shared" si="24"/>
        <v>42.339361702127661</v>
      </c>
      <c r="BD89" s="3">
        <f t="shared" si="13"/>
        <v>42.832160372018727</v>
      </c>
      <c r="BE89" s="3">
        <f t="shared" si="35"/>
        <v>50.124013550000001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N89" s="3">
        <f t="shared" si="15"/>
        <v>138.14851176872355</v>
      </c>
      <c r="BO89" s="3">
        <f t="shared" si="16"/>
        <v>138.73088476142723</v>
      </c>
      <c r="BP89" s="13"/>
    </row>
    <row r="90" spans="1:68">
      <c r="A90">
        <v>2011</v>
      </c>
      <c r="B90" s="3">
        <f t="shared" si="17"/>
        <v>208.3841824046624</v>
      </c>
      <c r="C90" s="3">
        <f>CPIs!AB50</f>
        <v>103.13271097869961</v>
      </c>
      <c r="G90" s="2">
        <f>'Exchange Rates'!E50</f>
        <v>0.62300910466764359</v>
      </c>
      <c r="I90" s="3">
        <f>K90</f>
        <v>133.89229254449327</v>
      </c>
      <c r="J90" s="21">
        <f t="shared" si="29"/>
        <v>80.465382090748875</v>
      </c>
      <c r="K90" s="3">
        <f t="shared" si="41"/>
        <v>133.89229254449327</v>
      </c>
      <c r="L90" s="3">
        <f>'Exchange Rates'!E50</f>
        <v>0.62300910466764359</v>
      </c>
      <c r="M90" s="3">
        <f>'Exchange Rates'!AB50</f>
        <v>0.71544109992713056</v>
      </c>
      <c r="N90" s="3">
        <f>'EU petrol prices nominal'!AL9</f>
        <v>1.5375706122448975</v>
      </c>
      <c r="R90"/>
      <c r="S90" s="23"/>
      <c r="T90" s="21"/>
      <c r="U90" s="12"/>
      <c r="V90" s="23"/>
      <c r="W90">
        <f>USA!Z98*G90</f>
        <v>66.942328296538307</v>
      </c>
      <c r="Z90"/>
      <c r="AA90" s="23"/>
      <c r="AC90" s="7">
        <v>58.15</v>
      </c>
      <c r="AD90" s="32">
        <v>0.2</v>
      </c>
      <c r="AE90" s="4">
        <f t="shared" si="30"/>
        <v>22.315382090748884</v>
      </c>
      <c r="AF90" s="3">
        <f t="shared" si="25"/>
        <v>80.465382090748875</v>
      </c>
      <c r="AQ90">
        <v>2011</v>
      </c>
      <c r="AR90" s="3">
        <f t="shared" si="31"/>
        <v>133.89229254449327</v>
      </c>
      <c r="AS90" s="3">
        <f t="shared" si="20"/>
        <v>58.15</v>
      </c>
      <c r="AT90" s="3">
        <f t="shared" si="21"/>
        <v>22.315382090748884</v>
      </c>
      <c r="AU90" s="3">
        <f t="shared" si="36"/>
        <v>80.465382090748875</v>
      </c>
      <c r="AV90" s="3">
        <f t="shared" si="32"/>
        <v>53.426910453744398</v>
      </c>
      <c r="AX90" s="3">
        <f>CPIs!E50</f>
        <v>104.48423767089844</v>
      </c>
      <c r="AZ90" s="3">
        <f t="shared" si="33"/>
        <v>128.14592471471488</v>
      </c>
      <c r="BA90" s="3">
        <f t="shared" si="23"/>
        <v>127.88812111864823</v>
      </c>
      <c r="BB90" s="3">
        <f t="shared" si="34"/>
        <v>77.011981792121134</v>
      </c>
      <c r="BC90" s="7">
        <f t="shared" si="24"/>
        <v>51.133942922593747</v>
      </c>
      <c r="BD90" s="3">
        <f t="shared" si="13"/>
        <v>50.876139326527102</v>
      </c>
      <c r="BE90" s="3">
        <f t="shared" si="35"/>
        <v>64.069308240915163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N90" s="3">
        <f t="shared" si="15"/>
        <v>151.43856961988666</v>
      </c>
      <c r="BO90" s="3">
        <f t="shared" si="16"/>
        <v>151.1339059490121</v>
      </c>
      <c r="BP90" s="13"/>
    </row>
    <row r="91" spans="1:68">
      <c r="A91">
        <v>2012</v>
      </c>
      <c r="B91" s="3">
        <f t="shared" si="17"/>
        <v>205.98488170288772</v>
      </c>
      <c r="C91" s="3">
        <f>CPIs!AB51</f>
        <v>105.21072267093371</v>
      </c>
      <c r="G91" s="2">
        <f>'Exchange Rates'!E51</f>
        <v>0.62810520407345038</v>
      </c>
      <c r="I91" s="3">
        <f t="shared" ref="I91:I96" si="42">K91</f>
        <v>136.12181832879867</v>
      </c>
      <c r="J91" s="21">
        <f t="shared" si="29"/>
        <v>80.636969721466443</v>
      </c>
      <c r="K91" s="3">
        <f t="shared" si="41"/>
        <v>136.12181832879867</v>
      </c>
      <c r="L91" s="3">
        <f>'Exchange Rates'!E51</f>
        <v>0.62810520407345038</v>
      </c>
      <c r="M91" s="3">
        <f>'Exchange Rates'!AB51</f>
        <v>0.773899446716382</v>
      </c>
      <c r="N91" s="3">
        <f>'EU petrol prices nominal'!AL10</f>
        <v>1.6771808163265303</v>
      </c>
      <c r="R91"/>
      <c r="S91" s="23"/>
      <c r="T91" s="21"/>
      <c r="U91" s="12"/>
      <c r="V91" s="23"/>
      <c r="W91">
        <f>USA!Z99*G91</f>
        <v>68.774918443655949</v>
      </c>
      <c r="Z91"/>
      <c r="AA91" s="23"/>
      <c r="AC91" s="7">
        <v>57.95</v>
      </c>
      <c r="AD91" s="32">
        <v>0.2</v>
      </c>
      <c r="AE91" s="4">
        <f t="shared" si="30"/>
        <v>22.686969721466447</v>
      </c>
      <c r="AF91" s="3">
        <f t="shared" si="25"/>
        <v>80.636969721466443</v>
      </c>
      <c r="AQ91">
        <v>2012</v>
      </c>
      <c r="AR91" s="3">
        <f t="shared" si="31"/>
        <v>136.12181832879867</v>
      </c>
      <c r="AS91" s="3">
        <f t="shared" si="20"/>
        <v>57.95</v>
      </c>
      <c r="AT91" s="3">
        <f t="shared" si="21"/>
        <v>22.686969721466447</v>
      </c>
      <c r="AU91" s="3">
        <f t="shared" si="36"/>
        <v>80.636969721466443</v>
      </c>
      <c r="AV91" s="3">
        <f t="shared" si="32"/>
        <v>55.484848607332225</v>
      </c>
      <c r="AX91" s="3">
        <f>CPIs!E51</f>
        <v>107.43247985839844</v>
      </c>
      <c r="AZ91" s="3">
        <f t="shared" si="33"/>
        <v>126.70452968060894</v>
      </c>
      <c r="BA91" s="3">
        <f t="shared" si="23"/>
        <v>125.90417401493045</v>
      </c>
      <c r="BB91" s="3">
        <f t="shared" si="34"/>
        <v>75.058278304429109</v>
      </c>
      <c r="BC91" s="7">
        <f t="shared" si="24"/>
        <v>51.646251376179833</v>
      </c>
      <c r="BD91" s="3">
        <f t="shared" si="13"/>
        <v>50.845895710501345</v>
      </c>
      <c r="BE91" s="3">
        <f t="shared" si="35"/>
        <v>64.01687695779232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N91" s="3">
        <f t="shared" si="15"/>
        <v>149.73517715767483</v>
      </c>
      <c r="BO91" s="3">
        <f t="shared" si="16"/>
        <v>148.78934358967524</v>
      </c>
      <c r="BP91" s="13"/>
    </row>
    <row r="92" spans="1:68" ht="15.75" thickBot="1">
      <c r="A92">
        <v>2013</v>
      </c>
      <c r="B92" s="3">
        <f t="shared" si="17"/>
        <v>197.29094081641267</v>
      </c>
      <c r="C92" s="3">
        <f>CPIs!AB52</f>
        <v>106.69767516878358</v>
      </c>
      <c r="G92" s="2">
        <f>'Exchange Rates'!E52</f>
        <v>0.63984202074562735</v>
      </c>
      <c r="I92" s="3">
        <f t="shared" si="42"/>
        <v>134.68984678983145</v>
      </c>
      <c r="J92" s="21">
        <f t="shared" si="29"/>
        <v>80.39830779830524</v>
      </c>
      <c r="K92" s="3">
        <f t="shared" si="41"/>
        <v>134.68984678983145</v>
      </c>
      <c r="L92" s="3">
        <f>'Exchange Rates'!E52</f>
        <v>0.63984202074562735</v>
      </c>
      <c r="M92" s="3">
        <f>'Exchange Rates'!AB52</f>
        <v>0.75166876437654617</v>
      </c>
      <c r="N92" s="3">
        <f>'EU petrol prices nominal'!AL11</f>
        <v>1.5822991836734692</v>
      </c>
      <c r="R92"/>
      <c r="S92" s="23"/>
      <c r="U92" s="12"/>
      <c r="V92" s="28"/>
      <c r="W92">
        <f>USA!Z100*G92</f>
        <v>67.78246427021395</v>
      </c>
      <c r="Z92"/>
      <c r="AA92" s="23"/>
      <c r="AC92" s="7">
        <v>57.95</v>
      </c>
      <c r="AD92" s="32">
        <v>0.2</v>
      </c>
      <c r="AE92" s="4">
        <f t="shared" si="30"/>
        <v>22.448307798305244</v>
      </c>
      <c r="AF92" s="3">
        <f t="shared" si="25"/>
        <v>80.39830779830524</v>
      </c>
      <c r="AQ92">
        <v>2013</v>
      </c>
      <c r="AR92" s="3">
        <f t="shared" si="31"/>
        <v>134.68984678983145</v>
      </c>
      <c r="AS92" s="3">
        <f t="shared" si="20"/>
        <v>57.95</v>
      </c>
      <c r="AT92" s="3">
        <f t="shared" si="21"/>
        <v>22.448307798305244</v>
      </c>
      <c r="AU92" s="3">
        <f t="shared" si="36"/>
        <v>80.39830779830524</v>
      </c>
      <c r="AV92" s="3">
        <f t="shared" si="32"/>
        <v>54.29153899152621</v>
      </c>
      <c r="AX92" s="3">
        <f>CPIs!E52</f>
        <v>110.17689514160156</v>
      </c>
      <c r="AZ92" s="3">
        <f t="shared" si="33"/>
        <v>122.24872249006957</v>
      </c>
      <c r="BA92" s="3">
        <f t="shared" si="23"/>
        <v>122.3785168952293</v>
      </c>
      <c r="BB92" s="3">
        <f t="shared" si="34"/>
        <v>72.972021670220172</v>
      </c>
      <c r="BC92" s="7">
        <f t="shared" si="24"/>
        <v>49.276700819849395</v>
      </c>
      <c r="BD92" s="3">
        <f t="shared" si="13"/>
        <v>49.406495225009117</v>
      </c>
      <c r="BE92" s="3">
        <f t="shared" si="35"/>
        <v>61.521487044174336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N92" s="3">
        <f t="shared" si="15"/>
        <v>144.46945318760302</v>
      </c>
      <c r="BO92" s="3">
        <f t="shared" si="16"/>
        <v>144.62283987630042</v>
      </c>
      <c r="BP92" s="14"/>
    </row>
    <row r="93" spans="1:68">
      <c r="A93">
        <v>2014</v>
      </c>
      <c r="B93" s="3">
        <f t="shared" si="17"/>
        <v>193.12022468066797</v>
      </c>
      <c r="C93" s="3">
        <f>CPIs!AB53</f>
        <v>108.45811062912946</v>
      </c>
      <c r="G93" s="2">
        <f>'Exchange Rates'!E53</f>
        <v>0.60778642936596206</v>
      </c>
      <c r="I93" s="3">
        <f t="shared" si="42"/>
        <v>127.30363119389014</v>
      </c>
      <c r="J93" s="21">
        <f t="shared" si="29"/>
        <v>79.16727186564836</v>
      </c>
      <c r="K93" s="3">
        <f t="shared" si="41"/>
        <v>127.30363119389014</v>
      </c>
      <c r="L93" s="3">
        <f>'Exchange Rates'!E53</f>
        <v>0.60778642936596206</v>
      </c>
      <c r="M93" s="3">
        <f>'Exchange Rates'!AB53</f>
        <v>0.757387838338895</v>
      </c>
      <c r="N93" s="3">
        <f>'EU petrol prices nominal'!AL12</f>
        <v>1.5863832653061223</v>
      </c>
      <c r="R93"/>
      <c r="S93" s="23"/>
      <c r="U93" s="12"/>
      <c r="V93" s="28"/>
      <c r="W93">
        <f>USA!Z101*G93</f>
        <v>58.462404308490896</v>
      </c>
      <c r="Z93"/>
      <c r="AA93" s="23"/>
      <c r="AC93" s="7">
        <v>57.95</v>
      </c>
      <c r="AD93" s="32">
        <v>0.2</v>
      </c>
      <c r="AE93" s="4">
        <f t="shared" si="30"/>
        <v>21.217271865648357</v>
      </c>
      <c r="AF93" s="3">
        <f t="shared" si="25"/>
        <v>79.16727186564836</v>
      </c>
      <c r="AQ93">
        <v>2014</v>
      </c>
      <c r="AR93" s="3">
        <f t="shared" si="31"/>
        <v>127.30363119389014</v>
      </c>
      <c r="AS93" s="3">
        <f t="shared" si="20"/>
        <v>57.95</v>
      </c>
      <c r="AT93" s="3">
        <f t="shared" si="21"/>
        <v>21.217271865648357</v>
      </c>
      <c r="AU93" s="3">
        <f t="shared" si="36"/>
        <v>79.16727186564836</v>
      </c>
      <c r="AV93" s="3">
        <f t="shared" si="32"/>
        <v>48.136359328241781</v>
      </c>
      <c r="AX93" s="3">
        <f>CPIs!E53</f>
        <v>111.78569030761719</v>
      </c>
      <c r="AZ93" s="3">
        <f t="shared" si="33"/>
        <v>113.88186702928608</v>
      </c>
      <c r="BA93" s="3">
        <f t="shared" si="23"/>
        <v>114.90711913365985</v>
      </c>
      <c r="BB93" s="3">
        <f t="shared" si="34"/>
        <v>70.820577882367672</v>
      </c>
      <c r="BC93" s="7">
        <f t="shared" si="24"/>
        <v>43.061289146918412</v>
      </c>
      <c r="BD93" s="3">
        <f t="shared" si="13"/>
        <v>44.086541251292168</v>
      </c>
      <c r="BE93" s="3">
        <f t="shared" si="35"/>
        <v>52.298647660189125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N93" s="3">
        <f t="shared" si="15"/>
        <v>134.58178312694216</v>
      </c>
      <c r="BO93" s="3">
        <f t="shared" si="16"/>
        <v>135.79339178739542</v>
      </c>
    </row>
    <row r="94" spans="1:68">
      <c r="A94">
        <v>2015</v>
      </c>
      <c r="B94" s="3">
        <f t="shared" si="17"/>
        <v>155.94025133255434</v>
      </c>
      <c r="C94" s="3">
        <f>CPIs!AB54</f>
        <v>108.69337137051741</v>
      </c>
      <c r="G94" s="2">
        <f>'Exchange Rates'!E54</f>
        <v>0.65543995177387293</v>
      </c>
      <c r="I94" s="3">
        <f t="shared" si="42"/>
        <v>111.09491968663103</v>
      </c>
      <c r="J94" s="21">
        <f t="shared" si="29"/>
        <v>76.465819947771848</v>
      </c>
      <c r="K94" s="3">
        <f t="shared" si="41"/>
        <v>111.09491968663103</v>
      </c>
      <c r="L94" s="3">
        <f>'Exchange Rates'!E54</f>
        <v>0.65543995177387293</v>
      </c>
      <c r="M94" s="3">
        <f>'Exchange Rates'!AB54</f>
        <v>0.90592556207997499</v>
      </c>
      <c r="N94" s="3">
        <f>'EU petrol prices nominal'!AL13</f>
        <v>1.5355140816326531</v>
      </c>
      <c r="R94"/>
      <c r="S94" s="23"/>
      <c r="U94" s="12"/>
      <c r="V94" s="28"/>
      <c r="W94">
        <f>USA!Z102*G94</f>
        <v>32.455207074002537</v>
      </c>
      <c r="Z94"/>
      <c r="AA94" s="23"/>
      <c r="AC94" s="7">
        <v>57.95</v>
      </c>
      <c r="AD94" s="32">
        <v>0.2</v>
      </c>
      <c r="AE94" s="4">
        <f t="shared" si="30"/>
        <v>18.515819947771842</v>
      </c>
      <c r="AF94" s="3">
        <f t="shared" si="25"/>
        <v>76.465819947771848</v>
      </c>
      <c r="AQ94">
        <v>2015</v>
      </c>
      <c r="AR94" s="3">
        <f t="shared" si="31"/>
        <v>111.09491968663103</v>
      </c>
      <c r="AS94" s="3">
        <f t="shared" si="20"/>
        <v>57.95</v>
      </c>
      <c r="AT94" s="3">
        <f t="shared" si="21"/>
        <v>18.515819947771842</v>
      </c>
      <c r="AU94" s="3">
        <f t="shared" si="36"/>
        <v>76.465819947771848</v>
      </c>
      <c r="AV94" s="3">
        <f t="shared" si="32"/>
        <v>34.629099738859182</v>
      </c>
      <c r="AX94" s="3">
        <f>CPIs!E54</f>
        <v>111.84160614013672</v>
      </c>
      <c r="AZ94" s="3">
        <f t="shared" si="33"/>
        <v>99.332371485643634</v>
      </c>
      <c r="BA94" s="3">
        <f t="shared" si="23"/>
        <v>99.027972736804486</v>
      </c>
      <c r="BB94" s="3">
        <f t="shared" si="34"/>
        <v>68.3697441289968</v>
      </c>
      <c r="BC94" s="7">
        <f t="shared" si="24"/>
        <v>30.962627356646834</v>
      </c>
      <c r="BD94" s="3">
        <f t="shared" si="13"/>
        <v>30.658228607807686</v>
      </c>
      <c r="BE94" s="3">
        <f t="shared" si="35"/>
        <v>29.018902887836212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N94" s="3">
        <f t="shared" si="15"/>
        <v>117.38767571599367</v>
      </c>
      <c r="BO94" s="3">
        <f t="shared" si="16"/>
        <v>117.02794745135388</v>
      </c>
    </row>
    <row r="95" spans="1:68">
      <c r="A95">
        <v>2016</v>
      </c>
      <c r="B95" s="3">
        <f t="shared" si="17"/>
        <v>133.33052661243954</v>
      </c>
      <c r="C95" s="3">
        <f>CPIs!AB55</f>
        <v>110.08253978538585</v>
      </c>
      <c r="G95" s="2">
        <f>'Exchange Rates'!E55</f>
        <v>0.74648297817484766</v>
      </c>
      <c r="I95" s="3">
        <f t="shared" si="42"/>
        <v>109.56401644307081</v>
      </c>
      <c r="J95" s="21">
        <f t="shared" si="29"/>
        <v>76.210669407178472</v>
      </c>
      <c r="K95" s="3">
        <f t="shared" si="41"/>
        <v>109.56401644307081</v>
      </c>
      <c r="L95" s="3">
        <f>'Exchange Rates'!E55</f>
        <v>0.74648297817484766</v>
      </c>
      <c r="M95" s="3">
        <f>'Exchange Rates'!AB55</f>
        <v>0.90674707708863456</v>
      </c>
      <c r="N95" s="3">
        <f>'EU petrol prices nominal'!AL14</f>
        <v>1.3308655999999999</v>
      </c>
      <c r="R95"/>
      <c r="S95" s="23"/>
      <c r="U95" s="12"/>
      <c r="V95" s="23"/>
      <c r="W95">
        <f>USA!Z103*G95</f>
        <v>30.369888601299564</v>
      </c>
      <c r="Z95"/>
      <c r="AA95" s="23"/>
      <c r="AC95" s="7">
        <v>57.95</v>
      </c>
      <c r="AD95" s="32">
        <v>0.2</v>
      </c>
      <c r="AE95" s="4">
        <f t="shared" si="30"/>
        <v>18.260669407178469</v>
      </c>
      <c r="AF95" s="3">
        <f t="shared" si="25"/>
        <v>76.210669407178472</v>
      </c>
      <c r="AQ95">
        <v>2016</v>
      </c>
      <c r="AR95" s="3">
        <f t="shared" si="31"/>
        <v>109.56401644307081</v>
      </c>
      <c r="AS95" s="3">
        <f t="shared" si="20"/>
        <v>57.95</v>
      </c>
      <c r="AT95" s="3">
        <f>AE95</f>
        <v>18.260669407178469</v>
      </c>
      <c r="AU95" s="3">
        <f t="shared" si="36"/>
        <v>76.210669407178472</v>
      </c>
      <c r="AV95" s="3">
        <f t="shared" si="32"/>
        <v>33.353347035892341</v>
      </c>
      <c r="AX95" s="3">
        <f>CPIs!E55</f>
        <v>112.55919647216797</v>
      </c>
      <c r="AZ95" s="3">
        <f t="shared" si="33"/>
        <v>97.33901793636403</v>
      </c>
      <c r="BA95" s="3">
        <f t="shared" si="23"/>
        <v>97.190057445422084</v>
      </c>
      <c r="BB95" s="3">
        <f t="shared" si="34"/>
        <v>67.707190345857484</v>
      </c>
      <c r="BC95" s="7">
        <f t="shared" si="24"/>
        <v>29.631827590506546</v>
      </c>
      <c r="BD95" s="3">
        <f t="shared" si="13"/>
        <v>29.482867099564601</v>
      </c>
      <c r="BE95" s="3">
        <f t="shared" si="35"/>
        <v>26.981259242383626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N95" s="3">
        <f t="shared" si="15"/>
        <v>115.03199713377056</v>
      </c>
      <c r="BO95" s="3">
        <f t="shared" si="16"/>
        <v>114.85596060566132</v>
      </c>
    </row>
    <row r="96" spans="1:68">
      <c r="A96">
        <v>2017</v>
      </c>
      <c r="B96" s="3">
        <f t="shared" si="17"/>
        <v>134.47457679742431</v>
      </c>
      <c r="C96" s="3">
        <f>CPIs!AB56</f>
        <v>112.42729788281457</v>
      </c>
      <c r="G96" s="2">
        <f>'Exchange Rates'!E56</f>
        <v>0.77600000000000002</v>
      </c>
      <c r="I96" s="3">
        <f t="shared" si="42"/>
        <v>117.32043923337092</v>
      </c>
      <c r="J96" s="21">
        <f t="shared" si="29"/>
        <v>77.503406538895163</v>
      </c>
      <c r="K96" s="3">
        <f t="shared" si="41"/>
        <v>117.32043923337092</v>
      </c>
      <c r="L96" s="3">
        <f>'Exchange Rates'!E56</f>
        <v>0.77600000000000002</v>
      </c>
      <c r="M96" s="3">
        <f>'Exchange Rates'!AB56</f>
        <v>0.88700000000000001</v>
      </c>
      <c r="N96" s="3">
        <f>'EU petrol prices nominal'!AL15</f>
        <v>1.341021</v>
      </c>
      <c r="R96"/>
      <c r="S96" s="23"/>
      <c r="U96" s="12"/>
      <c r="V96" s="23"/>
      <c r="W96">
        <f>USA!Z104*G96</f>
        <v>40.74776</v>
      </c>
      <c r="Z96"/>
      <c r="AA96" s="23"/>
      <c r="AC96" s="7">
        <v>57.95</v>
      </c>
      <c r="AD96" s="32">
        <v>0.2</v>
      </c>
      <c r="AE96" s="4">
        <f t="shared" si="30"/>
        <v>19.553406538895157</v>
      </c>
      <c r="AF96" s="3">
        <f t="shared" si="25"/>
        <v>77.503406538895163</v>
      </c>
      <c r="AQ96">
        <v>2017</v>
      </c>
      <c r="AR96" s="3">
        <f t="shared" si="31"/>
        <v>117.32043923337092</v>
      </c>
      <c r="AS96" s="3">
        <f t="shared" si="20"/>
        <v>57.95</v>
      </c>
      <c r="AT96" s="3">
        <f>AE96</f>
        <v>19.553406538895157</v>
      </c>
      <c r="AU96" s="3">
        <f t="shared" si="36"/>
        <v>77.503406538895163</v>
      </c>
      <c r="AV96" s="3">
        <f t="shared" si="32"/>
        <v>39.817032694475756</v>
      </c>
      <c r="AX96" s="3">
        <f>CPIs!E56</f>
        <v>115.44071190185548</v>
      </c>
      <c r="AZ96" s="3">
        <f t="shared" si="33"/>
        <v>101.62830538771586</v>
      </c>
      <c r="BA96" s="3">
        <f t="shared" si="23"/>
        <v>101.41688969968931</v>
      </c>
      <c r="BB96" s="3">
        <f t="shared" si="34"/>
        <v>67.136979027629735</v>
      </c>
      <c r="BC96" s="7">
        <f t="shared" si="24"/>
        <v>34.49132636008612</v>
      </c>
      <c r="BD96" s="3">
        <f t="shared" si="13"/>
        <v>34.279910672059579</v>
      </c>
      <c r="BE96" s="3">
        <f t="shared" si="35"/>
        <v>35.29756472278396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N96" s="3">
        <f t="shared" si="15"/>
        <v>120.10093364320183</v>
      </c>
      <c r="BO96" s="3">
        <f t="shared" si="16"/>
        <v>119.85108965119645</v>
      </c>
    </row>
    <row r="97" spans="1:67">
      <c r="A97">
        <v>2018</v>
      </c>
      <c r="G97" s="2">
        <f>'Exchange Rates'!E57</f>
        <v>0.751</v>
      </c>
      <c r="I97" s="3">
        <f>AK171*G97*100</f>
        <v>125.66733333333335</v>
      </c>
      <c r="K97" s="12"/>
      <c r="L97" s="12"/>
      <c r="M97" s="3">
        <f>'Exchange Rates'!AB57</f>
        <v>0.84599999999999997</v>
      </c>
      <c r="N97" s="12"/>
      <c r="R97"/>
      <c r="S97" s="23"/>
      <c r="T97"/>
      <c r="U97" s="12"/>
      <c r="V97" s="23"/>
      <c r="W97">
        <f>USA!Z105*G97</f>
        <v>52.723190995670997</v>
      </c>
      <c r="Z97"/>
      <c r="AA97" s="23"/>
      <c r="AC97" s="7">
        <v>57.95</v>
      </c>
      <c r="AD97" s="32">
        <v>0.2</v>
      </c>
      <c r="AE97" s="4">
        <f t="shared" ref="AE97" si="43">AD97*(I97*(1/(1+AD97)))</f>
        <v>20.94455555555556</v>
      </c>
      <c r="AF97" s="3">
        <f t="shared" ref="AF97" si="44">AC97+AE97</f>
        <v>78.89455555555557</v>
      </c>
      <c r="AQ97">
        <v>2018</v>
      </c>
      <c r="AR97" s="3">
        <f t="shared" si="31"/>
        <v>125.66733333333335</v>
      </c>
      <c r="AS97" s="3">
        <f t="shared" si="20"/>
        <v>57.95</v>
      </c>
      <c r="AT97" s="3">
        <f t="shared" si="21"/>
        <v>20.94455555555556</v>
      </c>
      <c r="AU97" s="3">
        <f t="shared" si="36"/>
        <v>78.89455555555557</v>
      </c>
      <c r="AV97" s="3">
        <f t="shared" si="32"/>
        <v>46.772777777777776</v>
      </c>
      <c r="AX97" s="3">
        <f>CPIs!E57</f>
        <v>118.17665677392947</v>
      </c>
      <c r="AZ97" s="3">
        <f t="shared" ref="AZ97" si="45">AR97/$AX97*100</f>
        <v>106.33854160702265</v>
      </c>
      <c r="BA97" s="3">
        <f t="shared" ref="BA97" si="46">BD97+BB97</f>
        <v>106.41363061715094</v>
      </c>
      <c r="BB97" s="3">
        <f t="shared" ref="BB97" si="47">AU97/$AX97*100</f>
        <v>66.759847256874011</v>
      </c>
      <c r="BC97" s="7">
        <f t="shared" ref="BC97" si="48">AZ97-BB97</f>
        <v>39.578694350148638</v>
      </c>
      <c r="BD97" s="3">
        <f>BA$100+BA$101*BE97+BA$102*BF97+BA$103*BG97+BA$104*BH97+BA$105*BI97+BA$106*BJ97+BA$107*BK97+BA$108*BL97</f>
        <v>39.653783360276925</v>
      </c>
      <c r="BE97" s="3">
        <f t="shared" si="35"/>
        <v>44.613879284578026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N97" s="3">
        <f>AZ97*$AX$97/$AX$89</f>
        <v>125.66733333333333</v>
      </c>
      <c r="BO97" s="3">
        <f>BA97*$AX$97/$AX$89</f>
        <v>125.75607101510759</v>
      </c>
    </row>
    <row r="98" spans="1:67">
      <c r="K98" s="12"/>
      <c r="L98" s="12"/>
      <c r="M98" s="12"/>
      <c r="N98" s="12"/>
      <c r="R98"/>
      <c r="S98" s="23"/>
      <c r="T98" s="13"/>
      <c r="U98" s="13"/>
      <c r="V98" s="23"/>
      <c r="Z98"/>
      <c r="AA98" s="23"/>
      <c r="AQ98">
        <v>2019</v>
      </c>
      <c r="AX98" s="3">
        <f>AX97</f>
        <v>118.17665677392947</v>
      </c>
      <c r="BN98" s="3"/>
    </row>
    <row r="99" spans="1:67">
      <c r="K99" s="12"/>
      <c r="L99" s="12"/>
      <c r="M99" s="12"/>
      <c r="N99" s="12"/>
      <c r="R99"/>
      <c r="S99" s="23"/>
      <c r="T99" s="13"/>
      <c r="U99" s="13"/>
      <c r="V99" s="23"/>
      <c r="Z99"/>
      <c r="AA99" s="23"/>
      <c r="AQ99">
        <v>2020</v>
      </c>
      <c r="AX99" s="3">
        <f t="shared" ref="AX99:AX109" si="49">AX98</f>
        <v>118.17665677392947</v>
      </c>
      <c r="BN99" s="3"/>
    </row>
    <row r="100" spans="1:67">
      <c r="K100" s="12"/>
      <c r="L100" s="12"/>
      <c r="M100" s="12"/>
      <c r="N100" s="12"/>
      <c r="R100"/>
      <c r="S100" s="23"/>
      <c r="U100" s="12"/>
      <c r="V100" s="23"/>
      <c r="Z100"/>
      <c r="AA100" s="23"/>
      <c r="AQ100">
        <v>2021</v>
      </c>
      <c r="AX100" s="3">
        <f t="shared" si="49"/>
        <v>118.17665677392947</v>
      </c>
      <c r="AZ100" s="13" t="s">
        <v>88</v>
      </c>
      <c r="BA100" s="13">
        <v>13.919432527381657</v>
      </c>
      <c r="BN100" s="3"/>
    </row>
    <row r="101" spans="1:67">
      <c r="K101" s="12"/>
      <c r="L101" s="12"/>
      <c r="M101" s="12"/>
      <c r="N101" s="12"/>
      <c r="R101"/>
      <c r="S101" s="23"/>
      <c r="U101" s="12"/>
      <c r="V101" s="23"/>
      <c r="Z101"/>
      <c r="AA101" s="23"/>
      <c r="AQ101">
        <v>2022</v>
      </c>
      <c r="AX101" s="3">
        <f t="shared" si="49"/>
        <v>118.17665677392947</v>
      </c>
      <c r="AZ101" s="3" t="s">
        <v>229</v>
      </c>
      <c r="BA101" s="13">
        <v>0.57682387735762375</v>
      </c>
      <c r="BN101" s="3"/>
    </row>
    <row r="102" spans="1:67">
      <c r="K102" s="12"/>
      <c r="L102" s="12"/>
      <c r="M102" s="12"/>
      <c r="N102" s="12"/>
      <c r="R102"/>
      <c r="S102" s="23"/>
      <c r="U102" s="12"/>
      <c r="V102" s="23"/>
      <c r="Z102"/>
      <c r="AA102" s="23"/>
      <c r="AQ102">
        <v>2023</v>
      </c>
      <c r="AX102" s="3">
        <f t="shared" si="49"/>
        <v>118.17665677392947</v>
      </c>
      <c r="AZ102" s="3" t="s">
        <v>2008</v>
      </c>
      <c r="BA102" s="13">
        <v>16.559415329803993</v>
      </c>
      <c r="BN102" s="3"/>
    </row>
    <row r="103" spans="1:67">
      <c r="K103" s="12"/>
      <c r="L103" s="12"/>
      <c r="M103" s="12"/>
      <c r="N103" s="12"/>
      <c r="R103"/>
      <c r="S103" s="23"/>
      <c r="T103" s="13" t="str">
        <f t="shared" ref="T103:U109" si="50">AZ100</f>
        <v>Intercept</v>
      </c>
      <c r="U103" s="13">
        <f t="shared" si="50"/>
        <v>13.919432527381657</v>
      </c>
      <c r="V103" s="23"/>
      <c r="Z103"/>
      <c r="AA103" s="23"/>
      <c r="AQ103">
        <v>2024</v>
      </c>
      <c r="AX103" s="3">
        <f t="shared" si="49"/>
        <v>118.17665677392947</v>
      </c>
      <c r="AZ103" s="3" t="s">
        <v>2082</v>
      </c>
      <c r="BA103" s="13">
        <v>-7.8387971454049312</v>
      </c>
      <c r="BN103" s="3"/>
    </row>
    <row r="104" spans="1:67">
      <c r="K104" s="12"/>
      <c r="L104" s="12"/>
      <c r="M104" s="12"/>
      <c r="N104" s="12"/>
      <c r="R104"/>
      <c r="S104" s="23"/>
      <c r="T104" s="13" t="str">
        <f t="shared" si="50"/>
        <v>landed oil price</v>
      </c>
      <c r="U104" s="13">
        <f t="shared" si="50"/>
        <v>0.57682387735762375</v>
      </c>
      <c r="V104" s="23"/>
      <c r="Z104"/>
      <c r="AA104" s="23"/>
      <c r="AQ104">
        <v>2025</v>
      </c>
      <c r="AX104" s="3">
        <f t="shared" si="49"/>
        <v>118.17665677392947</v>
      </c>
      <c r="AZ104" s="3" t="s">
        <v>1999</v>
      </c>
      <c r="BA104" s="13">
        <v>1.6703168387076928</v>
      </c>
      <c r="BN104" s="3"/>
    </row>
    <row r="105" spans="1:67">
      <c r="K105" s="12"/>
      <c r="L105" s="12"/>
      <c r="M105" s="12"/>
      <c r="N105" s="12"/>
      <c r="R105"/>
      <c r="S105" s="23"/>
      <c r="T105" s="13" t="str">
        <f t="shared" si="50"/>
        <v>dum7376</v>
      </c>
      <c r="U105" s="13">
        <f t="shared" si="50"/>
        <v>16.559415329803993</v>
      </c>
      <c r="V105" s="23"/>
      <c r="Z105"/>
      <c r="AA105" s="23"/>
      <c r="AQ105">
        <v>2026</v>
      </c>
      <c r="AX105" s="3">
        <f t="shared" si="49"/>
        <v>118.17665677392947</v>
      </c>
      <c r="AZ105" s="3" t="s">
        <v>161</v>
      </c>
      <c r="BA105" s="13">
        <v>6.8707162507553896</v>
      </c>
      <c r="BN105" s="3"/>
    </row>
    <row r="106" spans="1:67">
      <c r="K106" s="12"/>
      <c r="L106" s="12"/>
      <c r="M106" s="12"/>
      <c r="N106" s="12"/>
      <c r="R106"/>
      <c r="S106" s="23"/>
      <c r="T106" s="13" t="str">
        <f t="shared" si="50"/>
        <v>dum9104</v>
      </c>
      <c r="U106" s="13">
        <f t="shared" si="50"/>
        <v>-7.8387971454049312</v>
      </c>
      <c r="V106" s="23"/>
      <c r="Z106"/>
      <c r="AA106" s="23"/>
      <c r="AQ106">
        <v>2027</v>
      </c>
      <c r="AX106" s="3">
        <f t="shared" si="49"/>
        <v>118.17665677392947</v>
      </c>
      <c r="AZ106" s="3" t="s">
        <v>2000</v>
      </c>
      <c r="BA106" s="13">
        <v>-2.0541237312783704</v>
      </c>
      <c r="BN106" s="3"/>
    </row>
    <row r="107" spans="1:67">
      <c r="K107" s="12"/>
      <c r="L107" s="12"/>
      <c r="M107" s="12"/>
      <c r="N107" s="12"/>
      <c r="R107"/>
      <c r="S107" s="23"/>
      <c r="T107" s="13" t="str">
        <f t="shared" si="50"/>
        <v>dum6504</v>
      </c>
      <c r="U107" s="13">
        <f t="shared" si="50"/>
        <v>1.6703168387076928</v>
      </c>
      <c r="V107" s="23"/>
      <c r="Z107"/>
      <c r="AA107" s="23"/>
      <c r="AQ107">
        <v>2028</v>
      </c>
      <c r="AX107" s="3">
        <f t="shared" si="49"/>
        <v>118.17665677392947</v>
      </c>
      <c r="AZ107" s="3" t="s">
        <v>2167</v>
      </c>
      <c r="BA107" s="13">
        <v>-2.2712196294736464</v>
      </c>
      <c r="BN107" s="3"/>
    </row>
    <row r="108" spans="1:67" ht="15.75" thickBot="1">
      <c r="K108" s="12"/>
      <c r="L108" s="12"/>
      <c r="M108" s="12"/>
      <c r="N108" s="12"/>
      <c r="R108"/>
      <c r="S108" s="23"/>
      <c r="T108" s="13" t="str">
        <f t="shared" si="50"/>
        <v>dum7981</v>
      </c>
      <c r="U108" s="13">
        <f t="shared" si="50"/>
        <v>6.8707162507553896</v>
      </c>
      <c r="V108" s="23"/>
      <c r="Z108"/>
      <c r="AA108" s="23"/>
      <c r="AQ108">
        <v>2029</v>
      </c>
      <c r="AX108" s="3">
        <f t="shared" si="49"/>
        <v>118.17665677392947</v>
      </c>
      <c r="AZ108" s="3" t="s">
        <v>2004</v>
      </c>
      <c r="BA108" s="14">
        <v>-3.9297673854890887</v>
      </c>
      <c r="BN108" s="3"/>
    </row>
    <row r="109" spans="1:67">
      <c r="K109" s="12"/>
      <c r="L109" s="12"/>
      <c r="M109" s="12"/>
      <c r="N109" s="12"/>
      <c r="R109"/>
      <c r="S109" s="23"/>
      <c r="T109" s="13" t="str">
        <f t="shared" si="50"/>
        <v>dum0514</v>
      </c>
      <c r="U109" s="13">
        <f t="shared" si="50"/>
        <v>-2.0541237312783704</v>
      </c>
      <c r="V109" s="23"/>
      <c r="Z109"/>
      <c r="AA109" s="23"/>
      <c r="AQ109">
        <v>2030</v>
      </c>
      <c r="AX109" s="3">
        <f t="shared" si="49"/>
        <v>118.17665677392947</v>
      </c>
      <c r="BN109" s="3"/>
    </row>
    <row r="110" spans="1:67">
      <c r="K110" s="12"/>
      <c r="L110" s="12"/>
      <c r="M110" s="12"/>
      <c r="N110" s="12"/>
      <c r="R110"/>
      <c r="S110" s="23"/>
      <c r="T110" s="13"/>
      <c r="U110" s="13"/>
      <c r="V110" s="23"/>
      <c r="Z110"/>
      <c r="AA110" s="23"/>
      <c r="AQ110"/>
      <c r="BN110" s="3"/>
    </row>
    <row r="111" spans="1:67">
      <c r="K111" s="12"/>
      <c r="L111" s="12"/>
      <c r="M111" s="12"/>
      <c r="N111" s="12"/>
      <c r="R111"/>
      <c r="S111" s="23"/>
      <c r="U111" s="12"/>
      <c r="V111" s="23"/>
      <c r="Z111"/>
      <c r="AA111" s="23"/>
      <c r="AQ111"/>
      <c r="BN111" s="3"/>
    </row>
    <row r="112" spans="1:67">
      <c r="K112" s="12"/>
      <c r="L112" s="12"/>
      <c r="M112" s="12"/>
      <c r="N112" s="12"/>
      <c r="R112"/>
      <c r="S112" s="23"/>
      <c r="U112" s="12"/>
      <c r="V112" s="23"/>
      <c r="Z112"/>
      <c r="AA112" s="23"/>
      <c r="AQ112"/>
      <c r="BN112" s="3"/>
    </row>
    <row r="113" spans="1:80">
      <c r="K113" s="12"/>
      <c r="L113" s="12"/>
      <c r="M113" s="12"/>
      <c r="N113" s="12"/>
      <c r="R113"/>
      <c r="S113" s="23"/>
      <c r="U113" s="12"/>
      <c r="V113" s="23"/>
      <c r="Z113"/>
      <c r="AA113" s="23"/>
      <c r="AQ113"/>
      <c r="BN113" s="3"/>
    </row>
    <row r="114" spans="1:80">
      <c r="K114" s="12"/>
      <c r="L114" s="12"/>
      <c r="M114" s="12"/>
      <c r="N114" s="12"/>
      <c r="R114"/>
      <c r="S114" s="23"/>
      <c r="U114" s="12"/>
      <c r="V114" s="23"/>
      <c r="Z114"/>
      <c r="AA114" s="23"/>
      <c r="AQ114"/>
      <c r="BN114" s="3"/>
    </row>
    <row r="115" spans="1:80">
      <c r="K115" s="12"/>
      <c r="L115" s="12"/>
      <c r="M115" s="12"/>
      <c r="N115" s="12"/>
      <c r="R115"/>
      <c r="S115" s="23"/>
      <c r="U115" s="12"/>
      <c r="V115" s="23"/>
      <c r="Z115"/>
      <c r="AA115" s="23"/>
      <c r="AQ115"/>
      <c r="BN115" s="3"/>
    </row>
    <row r="116" spans="1:80">
      <c r="K116" s="12"/>
      <c r="L116" s="12"/>
      <c r="M116" s="12"/>
      <c r="N116" s="12"/>
      <c r="R116"/>
      <c r="S116" s="23"/>
      <c r="U116" s="12"/>
      <c r="V116" s="23"/>
      <c r="Z116"/>
      <c r="AA116" s="23"/>
      <c r="AQ116"/>
      <c r="BN116" s="3"/>
    </row>
    <row r="117" spans="1:80">
      <c r="K117" s="12"/>
      <c r="L117" s="12"/>
      <c r="M117" s="12"/>
      <c r="N117" s="12"/>
      <c r="R117"/>
      <c r="S117" s="23"/>
      <c r="U117" s="12"/>
      <c r="V117" s="23"/>
      <c r="Z117"/>
      <c r="AA117" s="23"/>
      <c r="AQ117"/>
      <c r="BN117" s="3"/>
    </row>
    <row r="118" spans="1:80">
      <c r="K118" s="12"/>
      <c r="L118" s="12"/>
      <c r="M118" s="12"/>
      <c r="N118" s="12"/>
      <c r="R118"/>
      <c r="S118" s="23"/>
      <c r="U118" s="12"/>
      <c r="V118" s="23"/>
      <c r="Z118"/>
      <c r="AA118" s="23"/>
      <c r="AB118" s="23"/>
      <c r="AC118" s="23"/>
      <c r="AD118" s="23"/>
      <c r="AE118" s="23"/>
      <c r="AQ118"/>
      <c r="AR118"/>
      <c r="AS118"/>
      <c r="AT118"/>
      <c r="AU118"/>
      <c r="AV118"/>
      <c r="AW118"/>
      <c r="BN118" s="3"/>
      <c r="BO118" s="3"/>
      <c r="BP118" s="3"/>
      <c r="BQ118" s="3"/>
      <c r="BR118" s="3"/>
      <c r="BS118" s="3"/>
      <c r="BZ118"/>
    </row>
    <row r="119" spans="1:80">
      <c r="K119" s="12"/>
      <c r="L119" s="12"/>
      <c r="M119" s="12"/>
      <c r="N119" s="12"/>
      <c r="O119" s="12"/>
      <c r="R119"/>
      <c r="S119"/>
      <c r="T119" s="23"/>
      <c r="U119" s="12"/>
      <c r="V119" s="12"/>
      <c r="W119" s="23"/>
      <c r="Y119" s="12"/>
      <c r="Z119" s="12"/>
      <c r="AA119" s="12"/>
      <c r="AB119" s="12"/>
      <c r="AC119" s="12"/>
      <c r="AD119" s="12"/>
      <c r="AE119" s="12"/>
      <c r="AF119" s="12"/>
      <c r="AJ119" s="23"/>
      <c r="AK119" t="s">
        <v>1960</v>
      </c>
      <c r="AL119" t="s">
        <v>1960</v>
      </c>
      <c r="AM119" t="s">
        <v>1960</v>
      </c>
      <c r="AQ119"/>
      <c r="AR119"/>
      <c r="AS119"/>
      <c r="AT119"/>
      <c r="AU119"/>
      <c r="AV119"/>
      <c r="AW119"/>
      <c r="AX119"/>
      <c r="AY119"/>
      <c r="AZ119"/>
      <c r="BA119"/>
      <c r="BB119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Z119"/>
    </row>
    <row r="120" spans="1:80">
      <c r="B120" s="76" t="s">
        <v>2551</v>
      </c>
      <c r="C120" s="76"/>
      <c r="D120" s="76"/>
      <c r="E120" s="76"/>
      <c r="F120" s="26" t="s">
        <v>269</v>
      </c>
      <c r="G120" s="76" t="s">
        <v>2558</v>
      </c>
      <c r="H120" s="76"/>
      <c r="I120" s="76"/>
      <c r="J120" s="76"/>
      <c r="K120" s="26" t="s">
        <v>2559</v>
      </c>
      <c r="L120" s="26"/>
      <c r="M120" s="26"/>
      <c r="N120" s="26"/>
      <c r="O120" s="12"/>
      <c r="P120" s="77" t="s">
        <v>111</v>
      </c>
      <c r="Q120" s="26" t="s">
        <v>2594</v>
      </c>
      <c r="R120" s="26"/>
      <c r="S120" s="26"/>
      <c r="T120" s="79">
        <v>0.2</v>
      </c>
      <c r="U120" s="76" t="s">
        <v>2561</v>
      </c>
      <c r="V120" s="76"/>
      <c r="W120" s="76"/>
      <c r="X120" s="76"/>
      <c r="Y120" s="26" t="s">
        <v>2562</v>
      </c>
      <c r="Z120" s="26"/>
      <c r="AA120" s="26"/>
      <c r="AB120" s="79"/>
      <c r="AC120" s="26" t="s">
        <v>2076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Q120"/>
      <c r="AR120"/>
      <c r="AS120"/>
      <c r="AT120"/>
      <c r="AU120"/>
      <c r="AV120"/>
      <c r="BN120" s="3"/>
      <c r="BO120" s="3"/>
      <c r="BP120" s="3"/>
      <c r="BQ120" s="3"/>
      <c r="BZ120"/>
      <c r="CB120" s="3"/>
    </row>
    <row r="121" spans="1:80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2560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Q121"/>
      <c r="AR121"/>
      <c r="AS121"/>
      <c r="AT121"/>
      <c r="AU121"/>
      <c r="AV121"/>
      <c r="BN121" s="3"/>
      <c r="BO121" s="3"/>
      <c r="BP121" s="3"/>
      <c r="BQ121" s="3"/>
      <c r="BZ121"/>
      <c r="CB121" s="3"/>
    </row>
    <row r="122" spans="1:80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1">AL122</f>
        <v>77.45</v>
      </c>
      <c r="E122" s="3">
        <f t="shared" si="51"/>
        <v>77.45</v>
      </c>
      <c r="F122" s="6">
        <f>'Exchange Rates'!E49</f>
        <v>0.64823856585109563</v>
      </c>
      <c r="G122" s="3">
        <f>(B122*USA!$AU97/100)/$AX89*100*$F122</f>
        <v>50.206076925167359</v>
      </c>
      <c r="H122" s="3">
        <f>(C122*USA!$AU97/100)/$AX89*100*$F122</f>
        <v>50.206076925167359</v>
      </c>
      <c r="I122" s="3">
        <f>(D122*USA!$AU97/100)/$AX89*100*$F122</f>
        <v>50.206076925167359</v>
      </c>
      <c r="J122" s="3">
        <f>(E122*USA!$AU97/100)/$AX89*100*$F122</f>
        <v>50.206076925167359</v>
      </c>
      <c r="K122" s="6">
        <f t="shared" ref="K122:K129" si="52">U$103+U$104*G122+U$109*BJ89</f>
        <v>42.879496486271819</v>
      </c>
      <c r="L122" s="6">
        <f t="shared" ref="L122:L129" si="53">U$103+U$104*H122+U$109*BJ89</f>
        <v>42.879496486271819</v>
      </c>
      <c r="M122" s="6">
        <f t="shared" ref="M122:M129" si="54">U$103+U$104*I122+U$109*BJ89</f>
        <v>42.879496486271819</v>
      </c>
      <c r="N122" s="6">
        <f t="shared" ref="N122:N129" si="55">U$103+U$104*J122+U$109*BJ89</f>
        <v>42.879496486271819</v>
      </c>
      <c r="O122">
        <v>2010</v>
      </c>
      <c r="P122" s="24">
        <f t="shared" ref="P122:P130" si="56">AC89/AX89*AX$89</f>
        <v>57.15</v>
      </c>
      <c r="Q122" s="3">
        <f>(K122+$P122)*$AD89</f>
        <v>17.505161885097568</v>
      </c>
      <c r="R122" s="3">
        <f>(L122+$P122)*$AD89</f>
        <v>17.505161885097568</v>
      </c>
      <c r="S122" s="3">
        <f>(M122+$P122)*$AD89</f>
        <v>17.505161885097568</v>
      </c>
      <c r="T122" s="3">
        <f>(N122+$P122)*$AD89</f>
        <v>17.505161885097568</v>
      </c>
      <c r="U122" s="3">
        <f t="shared" ref="U122:U130" si="57">AZ89</f>
        <v>116.9</v>
      </c>
      <c r="V122" s="3">
        <f t="shared" ref="V122:V142" si="58">L122+P122+R122</f>
        <v>117.53465837136939</v>
      </c>
      <c r="W122" s="3">
        <f t="shared" ref="W122:W142" si="59">M122+P122+S122</f>
        <v>117.53465837136939</v>
      </c>
      <c r="X122" s="3">
        <f t="shared" ref="X122:X142" si="60">N122+P122+T122</f>
        <v>117.53465837136939</v>
      </c>
      <c r="Y122" s="3">
        <f t="shared" ref="Y122:Y130" si="61">AZ89*$AX$97/100</f>
        <v>138.14851176872355</v>
      </c>
      <c r="Z122" s="3">
        <f>V122*$AX$97/100</f>
        <v>138.89852981394375</v>
      </c>
      <c r="AA122" s="3">
        <f>W122*$AX$97/100</f>
        <v>138.89852981394375</v>
      </c>
      <c r="AB122" s="3">
        <f>X122*$AX$97/100</f>
        <v>138.89852981394375</v>
      </c>
      <c r="AC122" s="3">
        <f>U122/100*$AX$96/100</f>
        <v>1.3495019221326905</v>
      </c>
      <c r="AD122" s="3">
        <f>V122/100*$AX$96/100</f>
        <v>1.3568284635532259</v>
      </c>
      <c r="AE122" s="3">
        <f>W122/100*$AX$96/100</f>
        <v>1.3568284635532259</v>
      </c>
      <c r="AF122" s="3">
        <f>X122/100*$AX$96/100</f>
        <v>1.3568284635532259</v>
      </c>
      <c r="AK122" s="3">
        <f>USA!AJ135</f>
        <v>77.45</v>
      </c>
      <c r="AL122" s="3">
        <f>USA!AK135</f>
        <v>77.45</v>
      </c>
      <c r="AM122" s="3">
        <f>USA!AL135</f>
        <v>77.45</v>
      </c>
      <c r="AQ122"/>
      <c r="AR122"/>
      <c r="AS122"/>
      <c r="AT122"/>
      <c r="AU122"/>
      <c r="AV122"/>
      <c r="BN122" s="3"/>
      <c r="BO122" s="3"/>
      <c r="BP122" s="3"/>
      <c r="BQ122" s="3"/>
      <c r="BZ122"/>
      <c r="CB122" s="3"/>
    </row>
    <row r="123" spans="1:80">
      <c r="A123">
        <v>2011</v>
      </c>
      <c r="B123" s="3">
        <f>USA!Z98/USA!AU98*100</f>
        <v>104.18614906980585</v>
      </c>
      <c r="C123" s="3">
        <f t="shared" ref="C123:C141" si="62">AK123</f>
        <v>104.18614906980586</v>
      </c>
      <c r="D123" s="3">
        <f t="shared" ref="D123:D142" si="63">AL123</f>
        <v>104.18614906980586</v>
      </c>
      <c r="E123" s="3">
        <f t="shared" ref="E123:E142" si="64">AM123</f>
        <v>104.18614906980586</v>
      </c>
      <c r="F123" s="6">
        <f>'Exchange Rates'!E50</f>
        <v>0.62300910466764359</v>
      </c>
      <c r="G123" s="3">
        <f>(B123*USA!$AU98/100)/$AX90*100*$F123</f>
        <v>64.069308240915149</v>
      </c>
      <c r="H123" s="3">
        <f>(C123*USA!$AU98/100)/$AX90*100*$F123</f>
        <v>64.069308240915163</v>
      </c>
      <c r="I123" s="3">
        <f>(D123*USA!$AU98/100)/$AX90*100*$F123</f>
        <v>64.069308240915163</v>
      </c>
      <c r="J123" s="3">
        <f>(E123*USA!$AU98/100)/$AX90*100*$F123</f>
        <v>64.069308240915163</v>
      </c>
      <c r="K123" s="6">
        <f t="shared" si="52"/>
        <v>50.876139326527088</v>
      </c>
      <c r="L123" s="6">
        <f t="shared" si="53"/>
        <v>50.876139326527102</v>
      </c>
      <c r="M123" s="6">
        <f t="shared" si="54"/>
        <v>50.876139326527102</v>
      </c>
      <c r="N123" s="6">
        <f t="shared" si="55"/>
        <v>50.876139326527102</v>
      </c>
      <c r="O123">
        <v>2011</v>
      </c>
      <c r="P123" s="24">
        <f t="shared" si="56"/>
        <v>55.654327673001994</v>
      </c>
      <c r="Q123" s="3">
        <f t="shared" ref="Q123:Q130" si="65">(K123+P123)*$T$120</f>
        <v>21.306093399905819</v>
      </c>
      <c r="R123" s="3">
        <f t="shared" ref="R123:R142" si="66">(L123+P123)*$T$120</f>
        <v>21.306093399905819</v>
      </c>
      <c r="S123" s="3">
        <f t="shared" ref="S123:S142" si="67">(M123+P123)*$T$120</f>
        <v>21.306093399905819</v>
      </c>
      <c r="T123" s="3">
        <f t="shared" ref="T123:T142" si="68">(N123+P123)*$T$120</f>
        <v>21.306093399905819</v>
      </c>
      <c r="U123" s="3">
        <f t="shared" si="57"/>
        <v>128.14592471471488</v>
      </c>
      <c r="V123" s="3">
        <f t="shared" si="58"/>
        <v>127.83656039943492</v>
      </c>
      <c r="W123" s="3">
        <f t="shared" si="59"/>
        <v>127.83656039943492</v>
      </c>
      <c r="X123" s="3">
        <f t="shared" si="60"/>
        <v>127.83656039943492</v>
      </c>
      <c r="Y123" s="3">
        <f t="shared" si="61"/>
        <v>151.43856961988666</v>
      </c>
      <c r="Z123" s="3">
        <f t="shared" ref="Z123:Z142" si="69">V123*$AX$97/100</f>
        <v>151.07297321483725</v>
      </c>
      <c r="AA123" s="3">
        <f t="shared" ref="AA123:AA142" si="70">W123*$AX$97/100</f>
        <v>151.07297321483725</v>
      </c>
      <c r="AB123" s="3">
        <f t="shared" ref="AB123:AB142" si="71">X123*$AX$97/100</f>
        <v>151.07297321483725</v>
      </c>
      <c r="AC123" s="3">
        <f t="shared" ref="AC123:AC130" si="72">U123/100*$AX$96/100</f>
        <v>1.4793256776388264</v>
      </c>
      <c r="AD123" s="3">
        <f t="shared" ref="AD123:AD142" si="73">V123/100*$AX$96/100</f>
        <v>1.4757543539595313</v>
      </c>
      <c r="AE123" s="3">
        <f t="shared" ref="AE123:AE142" si="74">W123/100*$AX$96/100</f>
        <v>1.4757543539595313</v>
      </c>
      <c r="AF123" s="3">
        <f t="shared" ref="AF123:AF142" si="75">X123/100*$AX$96/100</f>
        <v>1.4757543539595313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Q123"/>
      <c r="AR123"/>
      <c r="AS123"/>
      <c r="AT123"/>
      <c r="AU123"/>
      <c r="AV123"/>
      <c r="BN123" s="3"/>
      <c r="BO123" s="3"/>
      <c r="BP123" s="3"/>
      <c r="BQ123" s="3"/>
      <c r="BZ123"/>
      <c r="CB123" s="3"/>
    </row>
    <row r="124" spans="1:80">
      <c r="A124">
        <v>2012</v>
      </c>
      <c r="B124" s="3">
        <f>USA!Z99/USA!AU99*100</f>
        <v>104.07290773565181</v>
      </c>
      <c r="C124" s="3">
        <f t="shared" si="62"/>
        <v>104.07290773565181</v>
      </c>
      <c r="D124" s="3">
        <f t="shared" si="63"/>
        <v>104.07290773565181</v>
      </c>
      <c r="E124" s="3">
        <f t="shared" si="64"/>
        <v>104.07290773565181</v>
      </c>
      <c r="F124" s="6">
        <f>'Exchange Rates'!E51</f>
        <v>0.62810520407345038</v>
      </c>
      <c r="G124" s="3">
        <f>(B124*USA!$AU99/100)/$AX91*100*$F124</f>
        <v>64.01687695779232</v>
      </c>
      <c r="H124" s="3">
        <f>(C124*USA!$AU99/100)/$AX91*100*$F124</f>
        <v>64.01687695779232</v>
      </c>
      <c r="I124" s="3">
        <f>(D124*USA!$AU99/100)/$AX91*100*$F124</f>
        <v>64.01687695779232</v>
      </c>
      <c r="J124" s="3">
        <f>(E124*USA!$AU99/100)/$AX91*100*$F124</f>
        <v>64.01687695779232</v>
      </c>
      <c r="K124" s="6">
        <f t="shared" si="52"/>
        <v>50.845895710501345</v>
      </c>
      <c r="L124" s="6">
        <f t="shared" si="53"/>
        <v>50.845895710501345</v>
      </c>
      <c r="M124" s="6">
        <f t="shared" si="54"/>
        <v>50.845895710501345</v>
      </c>
      <c r="N124" s="6">
        <f t="shared" si="55"/>
        <v>50.845895710501345</v>
      </c>
      <c r="O124">
        <v>2012</v>
      </c>
      <c r="P124" s="24">
        <f t="shared" si="56"/>
        <v>53.940856690994288</v>
      </c>
      <c r="Q124" s="3">
        <f t="shared" si="65"/>
        <v>20.957350480299127</v>
      </c>
      <c r="R124" s="3">
        <f t="shared" si="66"/>
        <v>20.957350480299127</v>
      </c>
      <c r="S124" s="3">
        <f t="shared" si="67"/>
        <v>20.957350480299127</v>
      </c>
      <c r="T124" s="3">
        <f t="shared" si="68"/>
        <v>20.957350480299127</v>
      </c>
      <c r="U124" s="3">
        <f t="shared" si="57"/>
        <v>126.70452968060894</v>
      </c>
      <c r="V124" s="3">
        <f t="shared" si="58"/>
        <v>125.74410288179476</v>
      </c>
      <c r="W124" s="3">
        <f t="shared" si="59"/>
        <v>125.74410288179476</v>
      </c>
      <c r="X124" s="3">
        <f t="shared" si="60"/>
        <v>125.74410288179476</v>
      </c>
      <c r="Y124" s="3">
        <f t="shared" si="61"/>
        <v>149.73517715767483</v>
      </c>
      <c r="Z124" s="3">
        <f t="shared" si="69"/>
        <v>148.60017687607535</v>
      </c>
      <c r="AA124" s="3">
        <f t="shared" si="70"/>
        <v>148.60017687607535</v>
      </c>
      <c r="AB124" s="3">
        <f t="shared" si="71"/>
        <v>148.60017687607535</v>
      </c>
      <c r="AC124" s="3">
        <f t="shared" si="72"/>
        <v>1.4626861107519276</v>
      </c>
      <c r="AD124" s="3">
        <f t="shared" si="73"/>
        <v>1.4515988754134546</v>
      </c>
      <c r="AE124" s="3">
        <f t="shared" si="74"/>
        <v>1.4515988754134546</v>
      </c>
      <c r="AF124" s="3">
        <f t="shared" si="75"/>
        <v>1.4515988754134546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Q124"/>
      <c r="AR124"/>
      <c r="AS124"/>
      <c r="AT124"/>
      <c r="AU124"/>
      <c r="AV124"/>
      <c r="BN124" s="3"/>
      <c r="BO124" s="3"/>
      <c r="BP124" s="3"/>
      <c r="BQ124" s="3"/>
      <c r="BZ124"/>
      <c r="CB124" s="3"/>
    </row>
    <row r="125" spans="1:80">
      <c r="A125">
        <v>2013</v>
      </c>
      <c r="B125" s="3">
        <f>USA!Z100/USA!AU100*100</f>
        <v>99.286371359470479</v>
      </c>
      <c r="C125" s="3">
        <f t="shared" si="62"/>
        <v>99.286371359470493</v>
      </c>
      <c r="D125" s="3">
        <f t="shared" si="63"/>
        <v>99.286371359470493</v>
      </c>
      <c r="E125" s="3">
        <f t="shared" si="64"/>
        <v>99.286371359470493</v>
      </c>
      <c r="F125" s="6">
        <f>'Exchange Rates'!E52</f>
        <v>0.63984202074562735</v>
      </c>
      <c r="G125" s="3">
        <f>(B125*USA!$AU100/100)/$AX92*100*$F125</f>
        <v>61.521487044174336</v>
      </c>
      <c r="H125" s="3">
        <f>(C125*USA!$AU100/100)/$AX92*100*$F125</f>
        <v>61.52148704417435</v>
      </c>
      <c r="I125" s="3">
        <f>(D125*USA!$AU100/100)/$AX92*100*$F125</f>
        <v>61.52148704417435</v>
      </c>
      <c r="J125" s="3">
        <f>(E125*USA!$AU100/100)/$AX92*100*$F125</f>
        <v>61.52148704417435</v>
      </c>
      <c r="K125" s="6">
        <f t="shared" si="52"/>
        <v>49.406495225009117</v>
      </c>
      <c r="L125" s="6">
        <f t="shared" si="53"/>
        <v>49.406495225009124</v>
      </c>
      <c r="M125" s="6">
        <f t="shared" si="54"/>
        <v>49.406495225009124</v>
      </c>
      <c r="N125" s="6">
        <f t="shared" si="55"/>
        <v>49.406495225009124</v>
      </c>
      <c r="O125">
        <v>2013</v>
      </c>
      <c r="P125" s="24">
        <f t="shared" si="56"/>
        <v>52.597234588541909</v>
      </c>
      <c r="Q125" s="3">
        <f t="shared" si="65"/>
        <v>20.400745962710204</v>
      </c>
      <c r="R125" s="3">
        <f t="shared" si="66"/>
        <v>20.400745962710207</v>
      </c>
      <c r="S125" s="3">
        <f t="shared" si="67"/>
        <v>20.400745962710207</v>
      </c>
      <c r="T125" s="3">
        <f t="shared" si="68"/>
        <v>20.400745962710207</v>
      </c>
      <c r="U125" s="3">
        <f t="shared" si="57"/>
        <v>122.24872249006957</v>
      </c>
      <c r="V125" s="3">
        <f t="shared" si="58"/>
        <v>122.40447577626124</v>
      </c>
      <c r="W125" s="3">
        <f t="shared" si="59"/>
        <v>122.40447577626124</v>
      </c>
      <c r="X125" s="3">
        <f t="shared" si="60"/>
        <v>122.40447577626124</v>
      </c>
      <c r="Y125" s="3">
        <f t="shared" si="61"/>
        <v>144.46945318760302</v>
      </c>
      <c r="Z125" s="3">
        <f t="shared" si="69"/>
        <v>144.65351721403988</v>
      </c>
      <c r="AA125" s="3">
        <f t="shared" si="70"/>
        <v>144.65351721403988</v>
      </c>
      <c r="AB125" s="3">
        <f t="shared" si="71"/>
        <v>144.65351721403988</v>
      </c>
      <c r="AC125" s="3">
        <f t="shared" si="72"/>
        <v>1.4112479553346002</v>
      </c>
      <c r="AD125" s="3">
        <f t="shared" si="73"/>
        <v>1.4130459823585022</v>
      </c>
      <c r="AE125" s="3">
        <f t="shared" si="74"/>
        <v>1.4130459823585022</v>
      </c>
      <c r="AF125" s="3">
        <f t="shared" si="75"/>
        <v>1.4130459823585022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Q125"/>
      <c r="AR125"/>
      <c r="AS125"/>
      <c r="AT125"/>
      <c r="AU125"/>
      <c r="AV125"/>
      <c r="BN125" s="3"/>
      <c r="BO125" s="3"/>
      <c r="BP125" s="3"/>
      <c r="BQ125" s="3"/>
      <c r="BZ125"/>
      <c r="CB125" s="3"/>
    </row>
    <row r="126" spans="1:80">
      <c r="A126">
        <v>2014</v>
      </c>
      <c r="B126" s="3">
        <f>USA!Z101/USA!AU101*100</f>
        <v>88.687750298592292</v>
      </c>
      <c r="C126" s="3">
        <f t="shared" si="62"/>
        <v>88.687750298592292</v>
      </c>
      <c r="D126" s="3">
        <f t="shared" si="63"/>
        <v>88.687750298592292</v>
      </c>
      <c r="E126" s="3">
        <f t="shared" si="64"/>
        <v>88.687750298592292</v>
      </c>
      <c r="F126" s="6">
        <f>'Exchange Rates'!E53</f>
        <v>0.60778642936596206</v>
      </c>
      <c r="G126" s="3">
        <f>(B126*USA!$AU101/100)/$AX93*100*$F126</f>
        <v>52.298647660189118</v>
      </c>
      <c r="H126" s="3">
        <f>(C126*USA!$AU101/100)/$AX93*100*$F126</f>
        <v>52.298647660189118</v>
      </c>
      <c r="I126" s="3">
        <f>(D126*USA!$AU101/100)/$AX93*100*$F126</f>
        <v>52.298647660189118</v>
      </c>
      <c r="J126" s="3">
        <f>(E126*USA!$AU101/100)/$AX93*100*$F126</f>
        <v>52.298647660189118</v>
      </c>
      <c r="K126" s="6">
        <f t="shared" si="52"/>
        <v>44.086541251292161</v>
      </c>
      <c r="L126" s="6">
        <f t="shared" si="53"/>
        <v>44.086541251292161</v>
      </c>
      <c r="M126" s="6">
        <f t="shared" si="54"/>
        <v>44.086541251292161</v>
      </c>
      <c r="N126" s="6">
        <f t="shared" si="55"/>
        <v>44.086541251292161</v>
      </c>
      <c r="O126">
        <v>2014</v>
      </c>
      <c r="P126" s="24">
        <f t="shared" si="56"/>
        <v>51.840266710819996</v>
      </c>
      <c r="Q126" s="3">
        <f t="shared" si="65"/>
        <v>19.185361592422431</v>
      </c>
      <c r="R126" s="3">
        <f t="shared" si="66"/>
        <v>19.185361592422431</v>
      </c>
      <c r="S126" s="3">
        <f t="shared" si="67"/>
        <v>19.185361592422431</v>
      </c>
      <c r="T126" s="3">
        <f t="shared" si="68"/>
        <v>19.185361592422431</v>
      </c>
      <c r="U126" s="3">
        <f t="shared" si="57"/>
        <v>113.88186702928608</v>
      </c>
      <c r="V126" s="3">
        <f t="shared" si="58"/>
        <v>115.11216955453457</v>
      </c>
      <c r="W126" s="3">
        <f t="shared" si="59"/>
        <v>115.11216955453457</v>
      </c>
      <c r="X126" s="3">
        <f t="shared" si="60"/>
        <v>115.11216955453457</v>
      </c>
      <c r="Y126" s="3">
        <f t="shared" si="61"/>
        <v>134.58178312694216</v>
      </c>
      <c r="Z126" s="3">
        <f t="shared" si="69"/>
        <v>136.03571351948605</v>
      </c>
      <c r="AA126" s="3">
        <f t="shared" si="70"/>
        <v>136.03571351948605</v>
      </c>
      <c r="AB126" s="3">
        <f t="shared" si="71"/>
        <v>136.03571351948605</v>
      </c>
      <c r="AC126" s="3">
        <f t="shared" si="72"/>
        <v>1.3146603802573231</v>
      </c>
      <c r="AD126" s="3">
        <f t="shared" si="73"/>
        <v>1.3288630801942565</v>
      </c>
      <c r="AE126" s="3">
        <f t="shared" si="74"/>
        <v>1.3288630801942565</v>
      </c>
      <c r="AF126" s="3">
        <f t="shared" si="75"/>
        <v>1.3288630801942565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Q126"/>
      <c r="AR126"/>
      <c r="AS126"/>
      <c r="AT126"/>
      <c r="AU126"/>
      <c r="AV126"/>
      <c r="BN126" s="3"/>
      <c r="BO126" s="3"/>
      <c r="BP126" s="3"/>
      <c r="BQ126" s="3"/>
      <c r="BZ126"/>
      <c r="CB126" s="3"/>
    </row>
    <row r="127" spans="1:80">
      <c r="A127">
        <v>2015</v>
      </c>
      <c r="B127" s="3">
        <f>USA!Z102/USA!AU102*100</f>
        <v>45.556296925601828</v>
      </c>
      <c r="C127" s="3">
        <f t="shared" si="62"/>
        <v>45.556296925601814</v>
      </c>
      <c r="D127" s="3">
        <f t="shared" si="63"/>
        <v>45.556296925601814</v>
      </c>
      <c r="E127" s="3">
        <f t="shared" si="64"/>
        <v>45.556296925601814</v>
      </c>
      <c r="F127" s="6">
        <f>'Exchange Rates'!E54</f>
        <v>0.65543995177387293</v>
      </c>
      <c r="G127" s="3">
        <f>(B127*USA!$AU102/100)/$AX94*100*$F127</f>
        <v>29.018902887836216</v>
      </c>
      <c r="H127" s="3">
        <f>(C127*USA!$AU102/100)/$AX94*100*$F127</f>
        <v>29.018902887836209</v>
      </c>
      <c r="I127" s="3">
        <f>(D127*USA!$AU102/100)/$AX94*100*$F127</f>
        <v>29.018902887836209</v>
      </c>
      <c r="J127" s="3">
        <f>(E127*USA!$AU102/100)/$AX94*100*$F127</f>
        <v>29.018902887836209</v>
      </c>
      <c r="K127" s="6">
        <f t="shared" si="52"/>
        <v>30.658228607807686</v>
      </c>
      <c r="L127" s="6">
        <f t="shared" si="53"/>
        <v>30.658228607807686</v>
      </c>
      <c r="M127" s="6">
        <f t="shared" si="54"/>
        <v>30.658228607807686</v>
      </c>
      <c r="N127" s="6">
        <f t="shared" si="55"/>
        <v>30.658228607807686</v>
      </c>
      <c r="O127">
        <v>2015</v>
      </c>
      <c r="P127" s="24">
        <f t="shared" si="56"/>
        <v>51.814348881389513</v>
      </c>
      <c r="Q127" s="3">
        <f t="shared" si="65"/>
        <v>16.494515497839441</v>
      </c>
      <c r="R127" s="3">
        <f t="shared" si="66"/>
        <v>16.494515497839441</v>
      </c>
      <c r="S127" s="3">
        <f t="shared" si="67"/>
        <v>16.494515497839441</v>
      </c>
      <c r="T127" s="3">
        <f t="shared" si="68"/>
        <v>16.494515497839441</v>
      </c>
      <c r="U127" s="3">
        <f t="shared" si="57"/>
        <v>99.332371485643634</v>
      </c>
      <c r="V127" s="3">
        <f t="shared" si="58"/>
        <v>98.967092987036636</v>
      </c>
      <c r="W127" s="3">
        <f t="shared" si="59"/>
        <v>98.967092987036636</v>
      </c>
      <c r="X127" s="3">
        <f t="shared" si="60"/>
        <v>98.967092987036636</v>
      </c>
      <c r="Y127" s="3">
        <f t="shared" si="61"/>
        <v>117.38767571599367</v>
      </c>
      <c r="Z127" s="3">
        <f t="shared" si="69"/>
        <v>116.9560017984259</v>
      </c>
      <c r="AA127" s="3">
        <f t="shared" si="70"/>
        <v>116.9560017984259</v>
      </c>
      <c r="AB127" s="3">
        <f t="shared" si="71"/>
        <v>116.9560017984259</v>
      </c>
      <c r="AC127" s="3">
        <f t="shared" si="72"/>
        <v>1.1466999679202272</v>
      </c>
      <c r="AD127" s="3">
        <f t="shared" si="73"/>
        <v>1.1424831669280637</v>
      </c>
      <c r="AE127" s="3">
        <f t="shared" si="74"/>
        <v>1.1424831669280637</v>
      </c>
      <c r="AF127" s="3">
        <f t="shared" si="75"/>
        <v>1.1424831669280637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Q127"/>
      <c r="AR127"/>
      <c r="AS127"/>
      <c r="AT127"/>
      <c r="AU127"/>
      <c r="AV127"/>
      <c r="BN127" s="3"/>
      <c r="BO127" s="3"/>
      <c r="BP127" s="3"/>
      <c r="BQ127" s="3"/>
      <c r="BZ127"/>
      <c r="CB127" s="3"/>
    </row>
    <row r="128" spans="1:80">
      <c r="A128">
        <v>2016</v>
      </c>
      <c r="B128" s="3">
        <f>USA!Z103/USA!AU103*100</f>
        <v>36.957692605914716</v>
      </c>
      <c r="C128" s="3">
        <f t="shared" si="62"/>
        <v>36.957692605914716</v>
      </c>
      <c r="D128" s="3">
        <f t="shared" si="63"/>
        <v>36.957692605914716</v>
      </c>
      <c r="E128" s="3">
        <f t="shared" si="64"/>
        <v>36.957692605914716</v>
      </c>
      <c r="F128" s="6">
        <f>'Exchange Rates'!E55</f>
        <v>0.74648297817484766</v>
      </c>
      <c r="G128" s="3">
        <f>(B128*USA!$AU103/100)/$AX95*100*$F128</f>
        <v>26.981259242383629</v>
      </c>
      <c r="H128" s="3">
        <f>(C128*USA!$AU103/100)/$AX95*100*$F128</f>
        <v>26.981259242383629</v>
      </c>
      <c r="I128" s="3">
        <f>(D128*USA!$AU103/100)/$AX95*100*$F128</f>
        <v>26.981259242383629</v>
      </c>
      <c r="J128" s="3">
        <f>(E128*USA!$AU103/100)/$AX95*100*$F128</f>
        <v>26.981259242383629</v>
      </c>
      <c r="K128" s="6">
        <f t="shared" si="52"/>
        <v>29.482867099564604</v>
      </c>
      <c r="L128" s="6">
        <f t="shared" si="53"/>
        <v>29.482867099564604</v>
      </c>
      <c r="M128" s="6">
        <f t="shared" si="54"/>
        <v>29.482867099564604</v>
      </c>
      <c r="N128" s="6">
        <f t="shared" si="55"/>
        <v>29.482867099564604</v>
      </c>
      <c r="O128">
        <v>2016</v>
      </c>
      <c r="P128" s="24">
        <f t="shared" si="56"/>
        <v>51.484020689796814</v>
      </c>
      <c r="Q128" s="3">
        <f t="shared" si="65"/>
        <v>16.193377557872285</v>
      </c>
      <c r="R128" s="3">
        <f t="shared" si="66"/>
        <v>16.193377557872285</v>
      </c>
      <c r="S128" s="3">
        <f t="shared" si="67"/>
        <v>16.193377557872285</v>
      </c>
      <c r="T128" s="3">
        <f t="shared" si="68"/>
        <v>16.193377557872285</v>
      </c>
      <c r="U128" s="3">
        <f t="shared" si="57"/>
        <v>97.33901793636403</v>
      </c>
      <c r="V128" s="3">
        <f t="shared" si="58"/>
        <v>97.160265347233704</v>
      </c>
      <c r="W128" s="3">
        <f t="shared" si="59"/>
        <v>97.160265347233704</v>
      </c>
      <c r="X128" s="3">
        <f t="shared" si="60"/>
        <v>97.160265347233704</v>
      </c>
      <c r="Y128" s="3">
        <f t="shared" si="61"/>
        <v>115.03199713377056</v>
      </c>
      <c r="Z128" s="3">
        <f t="shared" si="69"/>
        <v>114.8207533000395</v>
      </c>
      <c r="AA128" s="3">
        <f t="shared" si="70"/>
        <v>114.8207533000395</v>
      </c>
      <c r="AB128" s="3">
        <f t="shared" si="71"/>
        <v>114.8207533000395</v>
      </c>
      <c r="AC128" s="3">
        <f t="shared" si="72"/>
        <v>1.1236885526401341</v>
      </c>
      <c r="AD128" s="3">
        <f t="shared" si="73"/>
        <v>1.1216250200257838</v>
      </c>
      <c r="AE128" s="3">
        <f t="shared" si="74"/>
        <v>1.1216250200257838</v>
      </c>
      <c r="AF128" s="3">
        <f t="shared" si="75"/>
        <v>1.1216250200257838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Q128"/>
      <c r="AR128"/>
      <c r="AS128"/>
      <c r="AT128"/>
      <c r="AU128"/>
      <c r="AV128"/>
      <c r="BN128" s="3"/>
      <c r="BO128" s="3"/>
      <c r="BP128" s="3"/>
      <c r="BQ128" s="3"/>
      <c r="BZ128"/>
      <c r="CB128" s="3"/>
    </row>
    <row r="129" spans="1:80">
      <c r="A129">
        <v>2017</v>
      </c>
      <c r="B129" s="3">
        <f>USA!Z104/USA!AU104*100</f>
        <v>46.705738720797434</v>
      </c>
      <c r="C129" s="3">
        <f t="shared" si="62"/>
        <v>46.705738720797434</v>
      </c>
      <c r="D129" s="3">
        <f t="shared" si="63"/>
        <v>46.705738720797434</v>
      </c>
      <c r="E129" s="3">
        <f t="shared" si="64"/>
        <v>46.705738720797434</v>
      </c>
      <c r="F129" s="6">
        <f>'Exchange Rates'!E56</f>
        <v>0.77600000000000002</v>
      </c>
      <c r="G129" s="3">
        <f>(B129*USA!$AU104/100)/$AX96*100*$F129</f>
        <v>35.297564722783953</v>
      </c>
      <c r="H129" s="3">
        <f>(C129*USA!$AU104/100)/$AX96*100*$F129</f>
        <v>35.297564722783953</v>
      </c>
      <c r="I129" s="3">
        <f>(D129*USA!$AU104/100)/$AX96*100*$F129</f>
        <v>35.297564722783953</v>
      </c>
      <c r="J129" s="3">
        <f>(E129*USA!$AU104/100)/$AX96*100*$F129</f>
        <v>35.297564722783953</v>
      </c>
      <c r="K129" s="6">
        <f t="shared" si="52"/>
        <v>34.279910672059572</v>
      </c>
      <c r="L129" s="6">
        <f t="shared" si="53"/>
        <v>34.279910672059572</v>
      </c>
      <c r="M129" s="6">
        <f t="shared" si="54"/>
        <v>34.279910672059572</v>
      </c>
      <c r="N129" s="6">
        <f t="shared" si="55"/>
        <v>34.279910672059572</v>
      </c>
      <c r="O129">
        <v>2017</v>
      </c>
      <c r="P129" s="24">
        <f t="shared" si="56"/>
        <v>50.198928129677078</v>
      </c>
      <c r="Q129" s="3">
        <f t="shared" si="65"/>
        <v>16.895767760347333</v>
      </c>
      <c r="R129" s="3">
        <f t="shared" si="66"/>
        <v>16.895767760347333</v>
      </c>
      <c r="S129" s="3">
        <f t="shared" si="67"/>
        <v>16.895767760347333</v>
      </c>
      <c r="T129" s="3">
        <f t="shared" si="68"/>
        <v>16.895767760347333</v>
      </c>
      <c r="U129" s="3">
        <f t="shared" si="57"/>
        <v>101.62830538771586</v>
      </c>
      <c r="V129" s="3">
        <f t="shared" si="58"/>
        <v>101.37460656208398</v>
      </c>
      <c r="W129" s="3">
        <f t="shared" si="59"/>
        <v>101.37460656208398</v>
      </c>
      <c r="X129" s="3">
        <f t="shared" si="60"/>
        <v>101.37460656208398</v>
      </c>
      <c r="Y129" s="3">
        <f t="shared" si="61"/>
        <v>120.10093364320183</v>
      </c>
      <c r="Z129" s="3">
        <f t="shared" si="69"/>
        <v>119.80112085279538</v>
      </c>
      <c r="AA129" s="3">
        <f t="shared" si="70"/>
        <v>119.80112085279538</v>
      </c>
      <c r="AB129" s="3">
        <f t="shared" si="71"/>
        <v>119.80112085279538</v>
      </c>
      <c r="AC129" s="3">
        <f t="shared" si="72"/>
        <v>1.1732043923337094</v>
      </c>
      <c r="AD129" s="3">
        <f t="shared" si="73"/>
        <v>1.1702756750297487</v>
      </c>
      <c r="AE129" s="3">
        <f t="shared" si="74"/>
        <v>1.1702756750297487</v>
      </c>
      <c r="AF129" s="3">
        <f t="shared" si="75"/>
        <v>1.1702756750297487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Q129"/>
      <c r="AR129"/>
      <c r="AS129"/>
      <c r="AT129"/>
      <c r="AU129"/>
      <c r="AV129"/>
      <c r="BN129" s="3"/>
      <c r="BO129" s="3"/>
      <c r="BP129" s="3"/>
      <c r="BQ129" s="3"/>
      <c r="BZ129"/>
      <c r="CB129" s="3"/>
    </row>
    <row r="130" spans="1:80">
      <c r="A130">
        <v>2018</v>
      </c>
      <c r="B130" s="3">
        <f>USA!Z105/USA!AU105*100</f>
        <v>60.818458312139953</v>
      </c>
      <c r="C130" s="3">
        <f>AK130</f>
        <v>60.818458312139953</v>
      </c>
      <c r="D130" s="3">
        <f t="shared" si="63"/>
        <v>60.818458312139953</v>
      </c>
      <c r="E130" s="3">
        <f t="shared" si="64"/>
        <v>60.818458312139953</v>
      </c>
      <c r="F130" s="6">
        <f>'Exchange Rates'!E57</f>
        <v>0.751</v>
      </c>
      <c r="G130" s="3">
        <f>(B130*USA!$AU105/100)/$AX97*100*$F130</f>
        <v>44.613879284578033</v>
      </c>
      <c r="H130" s="3">
        <f>(C130*USA!$AU105/100)/$AX97*100*$F130</f>
        <v>44.613879284578033</v>
      </c>
      <c r="I130" s="3">
        <f>(D130*USA!$AU105/100)/$AX97*100*$F130</f>
        <v>44.613879284578033</v>
      </c>
      <c r="J130" s="3">
        <f>(E130*USA!$AU105/100)/$AX97*100*$F130</f>
        <v>44.613879284578033</v>
      </c>
      <c r="K130" s="6">
        <f>U$103+U$104*G130</f>
        <v>39.653783360276925</v>
      </c>
      <c r="L130" s="6">
        <f t="shared" ref="L130:L142" si="76">U$103+U$104*H130</f>
        <v>39.653783360276925</v>
      </c>
      <c r="M130" s="6">
        <f t="shared" ref="M130:M142" si="77">U$103+U$104*I130</f>
        <v>39.653783360276925</v>
      </c>
      <c r="N130" s="6">
        <f t="shared" ref="N130:N142" si="78">U$103+U$104*J130</f>
        <v>39.653783360276925</v>
      </c>
      <c r="O130">
        <v>2018</v>
      </c>
      <c r="P130" s="24">
        <f t="shared" si="56"/>
        <v>49.036756989036896</v>
      </c>
      <c r="Q130" s="3">
        <f t="shared" si="65"/>
        <v>17.738108069862765</v>
      </c>
      <c r="R130" s="3">
        <f t="shared" si="66"/>
        <v>17.738108069862765</v>
      </c>
      <c r="S130" s="3">
        <f t="shared" si="67"/>
        <v>17.738108069862765</v>
      </c>
      <c r="T130" s="3">
        <f t="shared" si="68"/>
        <v>17.738108069862765</v>
      </c>
      <c r="U130" s="3">
        <f t="shared" si="57"/>
        <v>106.33854160702265</v>
      </c>
      <c r="V130" s="3">
        <f t="shared" si="58"/>
        <v>106.42864841917658</v>
      </c>
      <c r="W130" s="3">
        <f t="shared" si="59"/>
        <v>106.42864841917658</v>
      </c>
      <c r="X130" s="3">
        <f t="shared" si="60"/>
        <v>106.42864841917658</v>
      </c>
      <c r="Y130" s="3">
        <f t="shared" si="61"/>
        <v>125.66733333333333</v>
      </c>
      <c r="Z130" s="3">
        <f t="shared" si="69"/>
        <v>125.77381855146241</v>
      </c>
      <c r="AA130" s="3">
        <f t="shared" si="70"/>
        <v>125.77381855146241</v>
      </c>
      <c r="AB130" s="3">
        <f t="shared" si="71"/>
        <v>125.77381855146241</v>
      </c>
      <c r="AC130" s="3">
        <f t="shared" si="72"/>
        <v>1.2275796945719775</v>
      </c>
      <c r="AD130" s="3">
        <f t="shared" si="73"/>
        <v>1.2286198940262032</v>
      </c>
      <c r="AE130" s="3">
        <f t="shared" si="74"/>
        <v>1.2286198940262032</v>
      </c>
      <c r="AF130" s="3">
        <f t="shared" si="75"/>
        <v>1.2286198940262032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Q130"/>
      <c r="AR130"/>
      <c r="AS130"/>
      <c r="AT130"/>
      <c r="AU130"/>
      <c r="AV130"/>
      <c r="BN130" s="3"/>
      <c r="BO130" s="3"/>
      <c r="BP130" s="3"/>
      <c r="BQ130" s="3"/>
      <c r="BZ130"/>
      <c r="CB130" s="3"/>
    </row>
    <row r="131" spans="1:80">
      <c r="A131">
        <v>2019</v>
      </c>
      <c r="B131" s="3"/>
      <c r="C131" s="3">
        <f>AK131</f>
        <v>90.611761513694489</v>
      </c>
      <c r="D131" s="3">
        <f t="shared" si="63"/>
        <v>56.019786702864394</v>
      </c>
      <c r="E131" s="3">
        <f t="shared" si="64"/>
        <v>25.889074718198426</v>
      </c>
      <c r="F131" s="6">
        <f>'Exchange Rates'!E58</f>
        <v>0.77300000000000002</v>
      </c>
      <c r="G131" s="3"/>
      <c r="H131" s="3">
        <f>(C131*USA!$AU106/100)/$AX98*100*$F131</f>
        <v>68.416162546649346</v>
      </c>
      <c r="I131" s="3">
        <f>(D131*USA!$AU106/100)/$AX98*100*$F131</f>
        <v>42.297586636283988</v>
      </c>
      <c r="J131" s="3">
        <f>(E131*USA!$AU106/100)/$AX98*100*$F131</f>
        <v>19.547475013328381</v>
      </c>
      <c r="K131" s="6"/>
      <c r="L131" s="6">
        <f>U$103+U$104*H131</f>
        <v>53.383508681469372</v>
      </c>
      <c r="M131" s="6">
        <f t="shared" si="77"/>
        <v>38.317690453792999</v>
      </c>
      <c r="N131" s="6">
        <f t="shared" si="78"/>
        <v>25.194882857121002</v>
      </c>
      <c r="O131">
        <v>2019</v>
      </c>
      <c r="P131" s="3">
        <f t="shared" ref="P131:P142" si="79">P130</f>
        <v>49.036756989036896</v>
      </c>
      <c r="Q131" s="3"/>
      <c r="R131" s="3">
        <f t="shared" si="66"/>
        <v>20.484053134101256</v>
      </c>
      <c r="S131" s="3">
        <f t="shared" si="67"/>
        <v>17.47088948856598</v>
      </c>
      <c r="T131" s="3">
        <f t="shared" si="68"/>
        <v>14.846327969231579</v>
      </c>
      <c r="U131" s="3"/>
      <c r="V131" s="3">
        <f t="shared" si="58"/>
        <v>122.90431880460753</v>
      </c>
      <c r="W131" s="3">
        <f t="shared" si="59"/>
        <v>104.82533693139587</v>
      </c>
      <c r="X131" s="3">
        <f t="shared" si="60"/>
        <v>89.077967815389471</v>
      </c>
      <c r="Y131" s="3"/>
      <c r="Z131" s="3">
        <f t="shared" si="69"/>
        <v>145.2442149940571</v>
      </c>
      <c r="AA131" s="3">
        <f t="shared" si="70"/>
        <v>123.87907863753082</v>
      </c>
      <c r="AB131" s="3">
        <f t="shared" si="71"/>
        <v>105.26936428638417</v>
      </c>
      <c r="AC131" s="3"/>
      <c r="AD131" s="3">
        <f t="shared" si="73"/>
        <v>1.4188162058616496</v>
      </c>
      <c r="AE131" s="3">
        <f t="shared" si="74"/>
        <v>1.2101111520712202</v>
      </c>
      <c r="AF131" s="3">
        <f t="shared" si="75"/>
        <v>1.0283224019379131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Q131"/>
      <c r="AR131"/>
      <c r="AS131"/>
      <c r="AT131"/>
      <c r="AU131"/>
      <c r="AV131"/>
      <c r="BN131" s="3"/>
      <c r="BO131" s="3"/>
      <c r="BP131" s="3"/>
      <c r="BQ131" s="3"/>
      <c r="BZ131"/>
      <c r="CB131" s="3"/>
    </row>
    <row r="132" spans="1:80">
      <c r="A132">
        <v>2020</v>
      </c>
      <c r="B132" s="3"/>
      <c r="C132" s="3">
        <f t="shared" si="62"/>
        <v>105.28223718734027</v>
      </c>
      <c r="D132" s="3">
        <f t="shared" si="63"/>
        <v>56.251630823658907</v>
      </c>
      <c r="E132" s="3">
        <f t="shared" si="64"/>
        <v>26.752043875471706</v>
      </c>
      <c r="F132" s="6">
        <f>'Exchange Rates'!E59</f>
        <v>0.77300000000000002</v>
      </c>
      <c r="G132" s="3"/>
      <c r="H132" s="3">
        <f>(C132*USA!$AU107/100)/$AX99*100*$F132</f>
        <v>79.49306505420212</v>
      </c>
      <c r="I132" s="3">
        <f>(D132*USA!$AU107/100)/$AX99*100*$F132</f>
        <v>42.472639905184032</v>
      </c>
      <c r="J132" s="3">
        <f>(E132*USA!$AU107/100)/$AX99*100*$F132</f>
        <v>20.199057513772662</v>
      </c>
      <c r="K132" s="6"/>
      <c r="L132" s="6">
        <f t="shared" si="76"/>
        <v>59.772930534988348</v>
      </c>
      <c r="M132" s="6">
        <f t="shared" si="77"/>
        <v>38.418665359104047</v>
      </c>
      <c r="N132" s="6">
        <f t="shared" si="78"/>
        <v>25.570731201445646</v>
      </c>
      <c r="O132">
        <v>2020</v>
      </c>
      <c r="P132" s="3">
        <f t="shared" si="79"/>
        <v>49.036756989036896</v>
      </c>
      <c r="Q132" s="3"/>
      <c r="R132" s="3">
        <f t="shared" si="66"/>
        <v>21.761937504805047</v>
      </c>
      <c r="S132" s="3">
        <f t="shared" si="67"/>
        <v>17.491084469628188</v>
      </c>
      <c r="T132" s="3">
        <f t="shared" si="68"/>
        <v>14.921497638096509</v>
      </c>
      <c r="U132" s="3"/>
      <c r="V132" s="3">
        <f t="shared" si="58"/>
        <v>130.57162502883028</v>
      </c>
      <c r="W132" s="3">
        <f t="shared" si="59"/>
        <v>104.94650681776913</v>
      </c>
      <c r="X132" s="3">
        <f t="shared" si="60"/>
        <v>89.528985828579053</v>
      </c>
      <c r="Y132" s="3"/>
      <c r="Z132" s="3">
        <f t="shared" si="69"/>
        <v>154.30518115446296</v>
      </c>
      <c r="AA132" s="3">
        <f t="shared" si="70"/>
        <v>124.02227315826353</v>
      </c>
      <c r="AB132" s="3">
        <f t="shared" si="71"/>
        <v>105.80236229581982</v>
      </c>
      <c r="AC132" s="3"/>
      <c r="AD132" s="3">
        <f t="shared" si="73"/>
        <v>1.5073281347510301</v>
      </c>
      <c r="AE132" s="3">
        <f t="shared" si="74"/>
        <v>1.21150994586562</v>
      </c>
      <c r="AF132" s="3">
        <f t="shared" si="75"/>
        <v>1.0335289859902297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Q132"/>
      <c r="AR132"/>
      <c r="AS132"/>
      <c r="AT132"/>
      <c r="AU132"/>
      <c r="AV132"/>
      <c r="BN132" s="3"/>
      <c r="BO132" s="3"/>
      <c r="BP132" s="3"/>
      <c r="BQ132" s="3"/>
      <c r="BZ132"/>
      <c r="CB132" s="3"/>
    </row>
    <row r="133" spans="1:80">
      <c r="A133">
        <v>2021</v>
      </c>
      <c r="B133" s="3"/>
      <c r="C133" s="3">
        <f t="shared" si="62"/>
        <v>120.81568201825931</v>
      </c>
      <c r="D133" s="3">
        <f t="shared" si="63"/>
        <v>63.082289986431647</v>
      </c>
      <c r="E133" s="3">
        <f t="shared" si="64"/>
        <v>28.477982190018274</v>
      </c>
      <c r="F133" s="6">
        <f>'Exchange Rates'!E60</f>
        <v>0.77300000000000002</v>
      </c>
      <c r="G133" s="3"/>
      <c r="H133" s="3">
        <f>(C133*USA!$AU108/100)/$AX100*100*$F133</f>
        <v>91.221550062199114</v>
      </c>
      <c r="I133" s="3">
        <f>(D133*USA!$AU108/100)/$AX100*100*$F133</f>
        <v>47.63011041203859</v>
      </c>
      <c r="J133" s="3">
        <f>(E133*USA!$AU108/100)/$AX100*100*$F133</f>
        <v>21.502222514661227</v>
      </c>
      <c r="K133" s="6"/>
      <c r="L133" s="6">
        <f t="shared" si="76"/>
        <v>66.538200732831939</v>
      </c>
      <c r="M133" s="6">
        <f t="shared" si="77"/>
        <v>41.393617494225481</v>
      </c>
      <c r="N133" s="6">
        <f t="shared" si="78"/>
        <v>26.322427890094943</v>
      </c>
      <c r="O133">
        <v>2021</v>
      </c>
      <c r="P133" s="3">
        <f t="shared" si="79"/>
        <v>49.036756989036896</v>
      </c>
      <c r="Q133" s="3"/>
      <c r="R133" s="3">
        <f t="shared" si="66"/>
        <v>23.114991544373765</v>
      </c>
      <c r="S133" s="3">
        <f t="shared" si="67"/>
        <v>18.086074896652473</v>
      </c>
      <c r="T133" s="3">
        <f t="shared" si="68"/>
        <v>15.07183697582637</v>
      </c>
      <c r="U133" s="3"/>
      <c r="V133" s="3">
        <f t="shared" si="58"/>
        <v>138.68994926624259</v>
      </c>
      <c r="W133" s="3">
        <f t="shared" si="59"/>
        <v>108.51644937991485</v>
      </c>
      <c r="X133" s="3">
        <f t="shared" si="60"/>
        <v>90.431021854958217</v>
      </c>
      <c r="Y133" s="3"/>
      <c r="Z133" s="3">
        <f t="shared" si="69"/>
        <v>163.89914532430441</v>
      </c>
      <c r="AA133" s="3">
        <f t="shared" si="70"/>
        <v>128.24111192695688</v>
      </c>
      <c r="AB133" s="3">
        <f t="shared" si="71"/>
        <v>106.86835831469112</v>
      </c>
      <c r="AC133" s="3"/>
      <c r="AD133" s="3">
        <f t="shared" si="73"/>
        <v>1.6010466476927263</v>
      </c>
      <c r="AE133" s="3">
        <f t="shared" si="74"/>
        <v>1.2527216169479034</v>
      </c>
      <c r="AF133" s="3">
        <f t="shared" si="75"/>
        <v>1.0439421540948628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Q133"/>
      <c r="AR133"/>
      <c r="AS133"/>
      <c r="AT133"/>
      <c r="AU133"/>
      <c r="AV133"/>
      <c r="BN133" s="3"/>
      <c r="BO133" s="3"/>
      <c r="BP133" s="3"/>
      <c r="BQ133" s="3"/>
      <c r="BZ133"/>
      <c r="CB133" s="3"/>
    </row>
    <row r="134" spans="1:80">
      <c r="A134">
        <v>2022</v>
      </c>
      <c r="B134" s="3"/>
      <c r="C134" s="3">
        <f t="shared" si="62"/>
        <v>127.71943527644558</v>
      </c>
      <c r="D134" s="3">
        <f t="shared" si="63"/>
        <v>68.168185410991157</v>
      </c>
      <c r="E134" s="3">
        <f t="shared" si="64"/>
        <v>29.340951347291547</v>
      </c>
      <c r="F134" s="6">
        <f>'Exchange Rates'!E61</f>
        <v>0.77300000000000002</v>
      </c>
      <c r="G134" s="3"/>
      <c r="H134" s="3">
        <f>(C134*USA!$AU109/100)/$AX101*100*$F134</f>
        <v>96.434210065753376</v>
      </c>
      <c r="I134" s="3">
        <f>(D134*USA!$AU109/100)/$AX101*100*$F134</f>
        <v>51.470201833386092</v>
      </c>
      <c r="J134" s="3">
        <f>(E134*USA!$AU109/100)/$AX101*100*$F134</f>
        <v>22.153805015105505</v>
      </c>
      <c r="K134" s="6"/>
      <c r="L134" s="6">
        <f t="shared" si="76"/>
        <v>69.544987487429111</v>
      </c>
      <c r="M134" s="6">
        <f t="shared" si="77"/>
        <v>43.608673917294894</v>
      </c>
      <c r="N134" s="6">
        <f t="shared" si="78"/>
        <v>26.698276234419584</v>
      </c>
      <c r="O134">
        <v>2022</v>
      </c>
      <c r="P134" s="3">
        <f t="shared" si="79"/>
        <v>49.036756989036896</v>
      </c>
      <c r="Q134" s="3"/>
      <c r="R134" s="3">
        <f t="shared" si="66"/>
        <v>23.716348895293205</v>
      </c>
      <c r="S134" s="3">
        <f t="shared" si="67"/>
        <v>18.529086181266361</v>
      </c>
      <c r="T134" s="3">
        <f t="shared" si="68"/>
        <v>15.147006644691297</v>
      </c>
      <c r="U134" s="3"/>
      <c r="V134" s="3">
        <f t="shared" si="58"/>
        <v>142.29809337175922</v>
      </c>
      <c r="W134" s="3">
        <f t="shared" si="59"/>
        <v>111.17451708759816</v>
      </c>
      <c r="X134" s="3">
        <f t="shared" si="60"/>
        <v>90.882039868147785</v>
      </c>
      <c r="Y134" s="3"/>
      <c r="Z134" s="3">
        <f t="shared" si="69"/>
        <v>168.16312939978957</v>
      </c>
      <c r="AA134" s="3">
        <f t="shared" si="70"/>
        <v>131.38232747868443</v>
      </c>
      <c r="AB134" s="3">
        <f t="shared" si="71"/>
        <v>107.40135632412675</v>
      </c>
      <c r="AC134" s="3"/>
      <c r="AD134" s="3">
        <f t="shared" si="73"/>
        <v>1.642699320111259</v>
      </c>
      <c r="AE134" s="3">
        <f t="shared" si="74"/>
        <v>1.2834065397937329</v>
      </c>
      <c r="AF134" s="3">
        <f t="shared" si="75"/>
        <v>1.0491487381471791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Q134"/>
      <c r="AR134"/>
      <c r="AS134"/>
      <c r="AT134"/>
      <c r="AU134"/>
      <c r="AV134"/>
      <c r="BN134" s="3"/>
      <c r="BO134" s="3"/>
      <c r="BP134" s="3"/>
      <c r="BQ134" s="3"/>
      <c r="BZ134"/>
      <c r="CB134" s="3"/>
    </row>
    <row r="135" spans="1:80">
      <c r="A135">
        <v>2023</v>
      </c>
      <c r="B135" s="3"/>
      <c r="C135" s="3">
        <f t="shared" si="62"/>
        <v>132.89725022008525</v>
      </c>
      <c r="D135" s="3">
        <f t="shared" si="63"/>
        <v>70.508542947524788</v>
      </c>
      <c r="E135" s="3">
        <f t="shared" si="64"/>
        <v>29.340951347291547</v>
      </c>
      <c r="F135" s="6">
        <f>'Exchange Rates'!E62</f>
        <v>0.77300000000000002</v>
      </c>
      <c r="G135" s="3"/>
      <c r="H135" s="3">
        <f>(C135*USA!$AU110/100)/$AX102*100*$F135</f>
        <v>100.34370506841906</v>
      </c>
      <c r="I135" s="3">
        <f>(D135*USA!$AU110/100)/$AX102*100*$F135</f>
        <v>53.237282386307037</v>
      </c>
      <c r="J135" s="3">
        <f>(E135*USA!$AU110/100)/$AX102*100*$F135</f>
        <v>22.153805015105505</v>
      </c>
      <c r="K135" s="6"/>
      <c r="L135" s="6">
        <f t="shared" si="76"/>
        <v>71.80007755337698</v>
      </c>
      <c r="M135" s="6">
        <f t="shared" si="77"/>
        <v>44.627968173434013</v>
      </c>
      <c r="N135" s="6">
        <f t="shared" si="78"/>
        <v>26.698276234419584</v>
      </c>
      <c r="O135">
        <v>2023</v>
      </c>
      <c r="P135" s="3">
        <f t="shared" si="79"/>
        <v>49.036756989036896</v>
      </c>
      <c r="Q135" s="3"/>
      <c r="R135" s="3">
        <f t="shared" si="66"/>
        <v>24.167366908482776</v>
      </c>
      <c r="S135" s="3">
        <f t="shared" si="67"/>
        <v>18.732945032494182</v>
      </c>
      <c r="T135" s="3">
        <f t="shared" si="68"/>
        <v>15.147006644691297</v>
      </c>
      <c r="U135" s="3"/>
      <c r="V135" s="3">
        <f t="shared" si="58"/>
        <v>145.00420145089663</v>
      </c>
      <c r="W135" s="3">
        <f t="shared" si="59"/>
        <v>112.3976701949651</v>
      </c>
      <c r="X135" s="3">
        <f t="shared" si="60"/>
        <v>90.882039868147785</v>
      </c>
      <c r="Y135" s="3"/>
      <c r="Z135" s="3">
        <f t="shared" si="69"/>
        <v>171.36111745640338</v>
      </c>
      <c r="AA135" s="3">
        <f t="shared" si="70"/>
        <v>132.82780892819713</v>
      </c>
      <c r="AB135" s="3">
        <f t="shared" si="71"/>
        <v>107.40135632412675</v>
      </c>
      <c r="AC135" s="3"/>
      <c r="AD135" s="3">
        <f t="shared" si="73"/>
        <v>1.6739388244251572</v>
      </c>
      <c r="AE135" s="3">
        <f t="shared" si="74"/>
        <v>1.2975267063416736</v>
      </c>
      <c r="AF135" s="3">
        <f t="shared" si="75"/>
        <v>1.0491487381471791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Q135"/>
      <c r="AR135"/>
      <c r="AS135"/>
      <c r="AT135"/>
      <c r="AU135"/>
      <c r="AV135"/>
      <c r="BN135" s="3"/>
      <c r="BO135" s="3"/>
      <c r="BP135" s="3"/>
      <c r="BQ135" s="3"/>
      <c r="BZ135"/>
      <c r="CB135" s="3"/>
    </row>
    <row r="136" spans="1:80">
      <c r="A136">
        <v>2024</v>
      </c>
      <c r="B136" s="3"/>
      <c r="C136" s="3">
        <f t="shared" si="62"/>
        <v>137.21209600645167</v>
      </c>
      <c r="D136" s="3">
        <f t="shared" si="63"/>
        <v>71.127304204880986</v>
      </c>
      <c r="E136" s="3">
        <f t="shared" si="64"/>
        <v>29.340951347291547</v>
      </c>
      <c r="F136" s="6">
        <f>'Exchange Rates'!E63</f>
        <v>0.77300000000000002</v>
      </c>
      <c r="G136" s="3"/>
      <c r="H136" s="3">
        <f>(C136*USA!$AU111/100)/$AX103*100*$F136</f>
        <v>103.60161757064046</v>
      </c>
      <c r="I136" s="3">
        <f>(D136*USA!$AU111/100)/$AX103*100*$F136</f>
        <v>53.704476380261703</v>
      </c>
      <c r="J136" s="3">
        <f>(E136*USA!$AU111/100)/$AX103*100*$F136</f>
        <v>22.153805015105505</v>
      </c>
      <c r="K136" s="6"/>
      <c r="L136" s="6">
        <f t="shared" si="76"/>
        <v>73.679319275000211</v>
      </c>
      <c r="M136" s="6">
        <f t="shared" si="77"/>
        <v>44.897456824505134</v>
      </c>
      <c r="N136" s="6">
        <f t="shared" si="78"/>
        <v>26.698276234419584</v>
      </c>
      <c r="O136">
        <v>2024</v>
      </c>
      <c r="P136" s="3">
        <f t="shared" si="79"/>
        <v>49.036756989036896</v>
      </c>
      <c r="Q136" s="3"/>
      <c r="R136" s="3">
        <f t="shared" si="66"/>
        <v>24.543215252807421</v>
      </c>
      <c r="S136" s="3">
        <f t="shared" si="67"/>
        <v>18.786842762708407</v>
      </c>
      <c r="T136" s="3">
        <f t="shared" si="68"/>
        <v>15.147006644691297</v>
      </c>
      <c r="U136" s="3"/>
      <c r="V136" s="3">
        <f t="shared" si="58"/>
        <v>147.25929151684451</v>
      </c>
      <c r="W136" s="3">
        <f t="shared" si="59"/>
        <v>112.72105657625043</v>
      </c>
      <c r="X136" s="3">
        <f t="shared" si="60"/>
        <v>90.882039868147785</v>
      </c>
      <c r="Y136" s="3"/>
      <c r="Z136" s="3">
        <f t="shared" si="69"/>
        <v>174.02610750358158</v>
      </c>
      <c r="AA136" s="3">
        <f t="shared" si="70"/>
        <v>133.20997614206232</v>
      </c>
      <c r="AB136" s="3">
        <f t="shared" si="71"/>
        <v>107.40135632412675</v>
      </c>
      <c r="AC136" s="3"/>
      <c r="AD136" s="3">
        <f t="shared" si="73"/>
        <v>1.6999717446867399</v>
      </c>
      <c r="AE136" s="3">
        <f t="shared" si="74"/>
        <v>1.3012599017491677</v>
      </c>
      <c r="AF136" s="3">
        <f t="shared" si="75"/>
        <v>1.0491487381471791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Q136"/>
      <c r="AR136"/>
      <c r="AS136"/>
      <c r="AT136"/>
      <c r="AU136"/>
      <c r="AV136"/>
      <c r="BN136" s="3"/>
      <c r="BO136" s="3"/>
      <c r="BP136" s="3"/>
      <c r="BQ136" s="3"/>
      <c r="BZ136"/>
      <c r="CB136" s="3"/>
    </row>
    <row r="137" spans="1:80">
      <c r="A137">
        <v>2025</v>
      </c>
      <c r="B137" s="3"/>
      <c r="C137" s="3">
        <f t="shared" si="62"/>
        <v>141.52694179281806</v>
      </c>
      <c r="D137" s="3">
        <f t="shared" si="63"/>
        <v>74.364924740814473</v>
      </c>
      <c r="E137" s="3">
        <f t="shared" si="64"/>
        <v>30.203920504564827</v>
      </c>
      <c r="F137" s="6">
        <f>'Exchange Rates'!E64</f>
        <v>0.77300000000000002</v>
      </c>
      <c r="G137" s="3"/>
      <c r="H137" s="3">
        <f>(C137*USA!$AU112/100)/$AX104*100*$F137</f>
        <v>106.85953007286184</v>
      </c>
      <c r="I137" s="3">
        <f>(D137*USA!$AU112/100)/$AX104*100*$F137</f>
        <v>56.149032905269991</v>
      </c>
      <c r="J137" s="3">
        <f>(E137*USA!$AU112/100)/$AX104*100*$F137</f>
        <v>22.805387515549778</v>
      </c>
      <c r="K137" s="6"/>
      <c r="L137" s="6">
        <f t="shared" si="76"/>
        <v>75.558560996623427</v>
      </c>
      <c r="M137" s="6">
        <f t="shared" si="77"/>
        <v>46.307535397680297</v>
      </c>
      <c r="N137" s="6">
        <f t="shared" si="78"/>
        <v>27.074124578744225</v>
      </c>
      <c r="O137">
        <v>2025</v>
      </c>
      <c r="P137" s="3">
        <f t="shared" si="79"/>
        <v>49.036756989036896</v>
      </c>
      <c r="Q137" s="3"/>
      <c r="R137" s="3">
        <f t="shared" si="66"/>
        <v>24.919063597132066</v>
      </c>
      <c r="S137" s="3">
        <f t="shared" si="67"/>
        <v>19.06885847734344</v>
      </c>
      <c r="T137" s="3">
        <f t="shared" si="68"/>
        <v>15.222176313556226</v>
      </c>
      <c r="U137" s="3"/>
      <c r="V137" s="3">
        <f t="shared" si="58"/>
        <v>149.5143815827924</v>
      </c>
      <c r="W137" s="3">
        <f t="shared" si="59"/>
        <v>114.41315086406064</v>
      </c>
      <c r="X137" s="3">
        <f t="shared" si="60"/>
        <v>91.333057881337339</v>
      </c>
      <c r="Y137" s="3"/>
      <c r="Z137" s="3">
        <f t="shared" si="69"/>
        <v>176.69109755075976</v>
      </c>
      <c r="AA137" s="3">
        <f t="shared" si="70"/>
        <v>135.20963660085906</v>
      </c>
      <c r="AB137" s="3">
        <f t="shared" si="71"/>
        <v>107.93435433356237</v>
      </c>
      <c r="AC137" s="3"/>
      <c r="AD137" s="3">
        <f t="shared" si="73"/>
        <v>1.7260046649483223</v>
      </c>
      <c r="AE137" s="3">
        <f t="shared" si="74"/>
        <v>1.3207935586681552</v>
      </c>
      <c r="AF137" s="3">
        <f t="shared" si="75"/>
        <v>1.0543553221994955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Q137"/>
      <c r="AR137"/>
      <c r="AS137"/>
      <c r="AT137"/>
      <c r="AU137"/>
      <c r="AV137"/>
      <c r="BN137" s="3"/>
      <c r="BO137" s="3"/>
      <c r="BP137" s="3"/>
      <c r="BQ137" s="3"/>
      <c r="BZ137"/>
      <c r="CB137" s="3"/>
    </row>
    <row r="138" spans="1:80">
      <c r="A138">
        <v>2026</v>
      </c>
      <c r="B138" s="3"/>
      <c r="C138" s="3">
        <f t="shared" si="62"/>
        <v>145.84178757918448</v>
      </c>
      <c r="D138" s="3">
        <f t="shared" si="63"/>
        <v>80.055420065999314</v>
      </c>
      <c r="E138" s="3">
        <f t="shared" si="64"/>
        <v>31.066889661838108</v>
      </c>
      <c r="F138" s="6">
        <f>'Exchange Rates'!E65</f>
        <v>0.77300000000000002</v>
      </c>
      <c r="G138" s="3"/>
      <c r="H138" s="3">
        <f>(C138*USA!$AU113/100)/$AX105*100*$F138</f>
        <v>110.11744257508326</v>
      </c>
      <c r="I138" s="3">
        <f>(D138*USA!$AU113/100)/$AX105*100*$F138</f>
        <v>60.44562582692901</v>
      </c>
      <c r="J138" s="3">
        <f>(E138*USA!$AU113/100)/$AX105*100*$F138</f>
        <v>23.45697001599406</v>
      </c>
      <c r="K138" s="6"/>
      <c r="L138" s="6">
        <f t="shared" si="76"/>
        <v>77.437802718246658</v>
      </c>
      <c r="M138" s="6">
        <f t="shared" si="77"/>
        <v>48.785912786178976</v>
      </c>
      <c r="N138" s="6">
        <f t="shared" si="78"/>
        <v>27.44997292306887</v>
      </c>
      <c r="O138">
        <v>2026</v>
      </c>
      <c r="P138" s="3">
        <f t="shared" si="79"/>
        <v>49.036756989036896</v>
      </c>
      <c r="Q138" s="3"/>
      <c r="R138" s="3">
        <f t="shared" si="66"/>
        <v>25.294911941456714</v>
      </c>
      <c r="S138" s="3">
        <f t="shared" si="67"/>
        <v>19.564533955043174</v>
      </c>
      <c r="T138" s="3">
        <f t="shared" si="68"/>
        <v>15.297345982421156</v>
      </c>
      <c r="U138" s="3"/>
      <c r="V138" s="3">
        <f t="shared" si="58"/>
        <v>151.76947164874028</v>
      </c>
      <c r="W138" s="3">
        <f t="shared" si="59"/>
        <v>117.38720373025905</v>
      </c>
      <c r="X138" s="3">
        <f t="shared" si="60"/>
        <v>91.784075894526922</v>
      </c>
      <c r="Y138" s="3"/>
      <c r="Z138" s="3">
        <f t="shared" si="69"/>
        <v>179.35608759793797</v>
      </c>
      <c r="AA138" s="3">
        <f t="shared" si="70"/>
        <v>138.72427284882156</v>
      </c>
      <c r="AB138" s="3">
        <f t="shared" si="71"/>
        <v>108.46735234299803</v>
      </c>
      <c r="AC138" s="3"/>
      <c r="AD138" s="3">
        <f t="shared" si="73"/>
        <v>1.752037585209905</v>
      </c>
      <c r="AE138" s="3">
        <f t="shared" si="74"/>
        <v>1.3551262366789247</v>
      </c>
      <c r="AF138" s="3">
        <f t="shared" si="75"/>
        <v>1.059561906251812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Q138"/>
      <c r="AR138"/>
      <c r="AS138"/>
      <c r="AT138"/>
      <c r="AU138"/>
      <c r="AV138"/>
      <c r="BN138" s="3"/>
      <c r="BO138" s="3"/>
      <c r="BP138" s="3"/>
      <c r="BQ138" s="3"/>
      <c r="BZ138"/>
      <c r="CB138" s="3"/>
    </row>
    <row r="139" spans="1:80">
      <c r="A139">
        <v>2027</v>
      </c>
      <c r="B139" s="3"/>
      <c r="C139" s="3">
        <f t="shared" si="62"/>
        <v>150.15663336555087</v>
      </c>
      <c r="D139" s="3">
        <f t="shared" si="63"/>
        <v>82.98815737026753</v>
      </c>
      <c r="E139" s="3">
        <f t="shared" si="64"/>
        <v>31.929858819111395</v>
      </c>
      <c r="F139" s="6">
        <f>'Exchange Rates'!E66</f>
        <v>0.77300000000000002</v>
      </c>
      <c r="G139" s="3"/>
      <c r="H139" s="3">
        <f>(C139*USA!$AU114/100)/$AX106*100*$F139</f>
        <v>113.37535507730463</v>
      </c>
      <c r="I139" s="3">
        <f>(D139*USA!$AU114/100)/$AX106*100*$F139</f>
        <v>62.659981102266087</v>
      </c>
      <c r="J139" s="3">
        <f>(E139*USA!$AU114/100)/$AX106*100*$F139</f>
        <v>24.108552516438344</v>
      </c>
      <c r="K139" s="6"/>
      <c r="L139" s="6">
        <f t="shared" si="76"/>
        <v>79.317044439869875</v>
      </c>
      <c r="M139" s="6">
        <f t="shared" si="77"/>
        <v>50.063205781946216</v>
      </c>
      <c r="N139" s="6">
        <f t="shared" si="78"/>
        <v>27.825821267393522</v>
      </c>
      <c r="O139">
        <v>2027</v>
      </c>
      <c r="P139" s="3">
        <f t="shared" si="79"/>
        <v>49.036756989036896</v>
      </c>
      <c r="Q139" s="3"/>
      <c r="R139" s="3">
        <f t="shared" si="66"/>
        <v>25.670760285781355</v>
      </c>
      <c r="S139" s="3">
        <f t="shared" si="67"/>
        <v>19.819992554196624</v>
      </c>
      <c r="T139" s="3">
        <f t="shared" si="68"/>
        <v>15.372515651286086</v>
      </c>
      <c r="U139" s="3"/>
      <c r="V139" s="3">
        <f t="shared" si="58"/>
        <v>154.0245617146881</v>
      </c>
      <c r="W139" s="3">
        <f t="shared" si="59"/>
        <v>118.91995532517973</v>
      </c>
      <c r="X139" s="3">
        <f t="shared" si="60"/>
        <v>92.235093907716504</v>
      </c>
      <c r="Y139" s="3"/>
      <c r="Z139" s="3">
        <f t="shared" si="69"/>
        <v>182.02107764511612</v>
      </c>
      <c r="AA139" s="3">
        <f t="shared" si="70"/>
        <v>140.53562744034789</v>
      </c>
      <c r="AB139" s="3">
        <f t="shared" si="71"/>
        <v>109.00035035243366</v>
      </c>
      <c r="AC139" s="3"/>
      <c r="AD139" s="3">
        <f t="shared" si="73"/>
        <v>1.7780705054714869</v>
      </c>
      <c r="AE139" s="3">
        <f t="shared" si="74"/>
        <v>1.3728204302075599</v>
      </c>
      <c r="AF139" s="3">
        <f t="shared" si="75"/>
        <v>1.0647684903041286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Q139"/>
      <c r="AR139"/>
      <c r="AS139"/>
      <c r="AT139"/>
      <c r="AU139"/>
      <c r="AV139"/>
      <c r="BN139" s="3"/>
      <c r="BO139" s="3"/>
      <c r="BP139" s="3"/>
      <c r="BQ139" s="3"/>
      <c r="BZ139"/>
      <c r="CB139" s="3"/>
    </row>
    <row r="140" spans="1:80">
      <c r="A140">
        <v>2028</v>
      </c>
      <c r="B140" s="3"/>
      <c r="C140" s="3">
        <f t="shared" si="62"/>
        <v>153.60850999464401</v>
      </c>
      <c r="D140" s="3">
        <f t="shared" si="63"/>
        <v>84.844653255379882</v>
      </c>
      <c r="E140" s="3">
        <f t="shared" si="64"/>
        <v>31.929858819111395</v>
      </c>
      <c r="F140" s="6">
        <f>'Exchange Rates'!E67</f>
        <v>0.77300000000000002</v>
      </c>
      <c r="G140" s="3"/>
      <c r="H140" s="3">
        <f>(C140*USA!$AU115/100)/$AX107*100*$F140</f>
        <v>115.98168507908176</v>
      </c>
      <c r="I140" s="3">
        <f>(D140*USA!$AU115/100)/$AX107*100*$F140</f>
        <v>64.06172323950328</v>
      </c>
      <c r="J140" s="3">
        <f>(E140*USA!$AU115/100)/$AX107*100*$F140</f>
        <v>24.108552516438344</v>
      </c>
      <c r="K140" s="6"/>
      <c r="L140" s="6">
        <f t="shared" si="76"/>
        <v>80.820437817168454</v>
      </c>
      <c r="M140" s="6">
        <f t="shared" si="77"/>
        <v>50.871764116602932</v>
      </c>
      <c r="N140" s="6">
        <f t="shared" si="78"/>
        <v>27.825821267393522</v>
      </c>
      <c r="O140">
        <v>2028</v>
      </c>
      <c r="P140" s="3">
        <f t="shared" si="79"/>
        <v>49.036756989036896</v>
      </c>
      <c r="Q140" s="3"/>
      <c r="R140" s="3">
        <f t="shared" si="66"/>
        <v>25.97143896124107</v>
      </c>
      <c r="S140" s="3">
        <f t="shared" si="67"/>
        <v>19.98170422112797</v>
      </c>
      <c r="T140" s="3">
        <f t="shared" si="68"/>
        <v>15.372515651286086</v>
      </c>
      <c r="U140" s="3"/>
      <c r="V140" s="3">
        <f t="shared" si="58"/>
        <v>155.82863376744641</v>
      </c>
      <c r="W140" s="3">
        <f t="shared" si="59"/>
        <v>119.8902253267678</v>
      </c>
      <c r="X140" s="3">
        <f t="shared" si="60"/>
        <v>92.235093907716504</v>
      </c>
      <c r="Y140" s="3"/>
      <c r="Z140" s="3">
        <f t="shared" si="69"/>
        <v>184.1530696828587</v>
      </c>
      <c r="AA140" s="3">
        <f t="shared" si="70"/>
        <v>141.68226008990504</v>
      </c>
      <c r="AB140" s="3">
        <f t="shared" si="71"/>
        <v>109.00035035243366</v>
      </c>
      <c r="AC140" s="3"/>
      <c r="AD140" s="3">
        <f t="shared" si="73"/>
        <v>1.7988968416807529</v>
      </c>
      <c r="AE140" s="3">
        <f t="shared" si="74"/>
        <v>1.3840212961795939</v>
      </c>
      <c r="AF140" s="3">
        <f t="shared" si="75"/>
        <v>1.0647684903041286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Q140"/>
      <c r="AR140"/>
      <c r="AS140"/>
      <c r="AT140"/>
      <c r="AU140"/>
      <c r="AV140"/>
      <c r="BN140" s="3"/>
      <c r="BO140" s="3"/>
      <c r="BP140" s="3"/>
      <c r="BQ140" s="3"/>
      <c r="BZ140"/>
      <c r="CB140" s="3"/>
    </row>
    <row r="141" spans="1:80">
      <c r="A141">
        <v>2029</v>
      </c>
      <c r="B141" s="3"/>
      <c r="C141" s="3">
        <f t="shared" si="62"/>
        <v>157.9233557810104</v>
      </c>
      <c r="D141" s="3">
        <f t="shared" si="63"/>
        <v>87.361009569245411</v>
      </c>
      <c r="E141" s="3">
        <f t="shared" si="64"/>
        <v>31.929858819111395</v>
      </c>
      <c r="F141" s="6">
        <f>'Exchange Rates'!E68</f>
        <v>0.77300000000000002</v>
      </c>
      <c r="G141" s="3"/>
      <c r="H141" s="3">
        <f>(C141*USA!$AU116/100)/$AX108*100*$F141</f>
        <v>119.23959758130314</v>
      </c>
      <c r="I141" s="3">
        <f>(D141*USA!$AU116/100)/$AX108*100*$F141</f>
        <v>65.96169118757912</v>
      </c>
      <c r="J141" s="3">
        <f>(E141*USA!$AU116/100)/$AX108*100*$F141</f>
        <v>24.108552516438344</v>
      </c>
      <c r="K141" s="6"/>
      <c r="L141" s="6">
        <f t="shared" si="76"/>
        <v>82.699679538791671</v>
      </c>
      <c r="M141" s="6">
        <f t="shared" si="77"/>
        <v>51.967710995267247</v>
      </c>
      <c r="N141" s="6">
        <f t="shared" si="78"/>
        <v>27.825821267393522</v>
      </c>
      <c r="O141">
        <v>2029</v>
      </c>
      <c r="P141" s="3">
        <f t="shared" si="79"/>
        <v>49.036756989036896</v>
      </c>
      <c r="Q141" s="3"/>
      <c r="R141" s="3">
        <f t="shared" si="66"/>
        <v>26.347287305565715</v>
      </c>
      <c r="S141" s="3">
        <f t="shared" si="67"/>
        <v>20.20089359686083</v>
      </c>
      <c r="T141" s="3">
        <f t="shared" si="68"/>
        <v>15.372515651286086</v>
      </c>
      <c r="U141" s="3"/>
      <c r="V141" s="3">
        <f t="shared" si="58"/>
        <v>158.08372383339429</v>
      </c>
      <c r="W141" s="3">
        <f t="shared" si="59"/>
        <v>121.20536158116496</v>
      </c>
      <c r="X141" s="3">
        <f t="shared" si="60"/>
        <v>92.235093907716504</v>
      </c>
      <c r="Y141" s="3"/>
      <c r="Z141" s="3">
        <f t="shared" si="69"/>
        <v>186.81805973003691</v>
      </c>
      <c r="AA141" s="3">
        <f t="shared" si="70"/>
        <v>143.2364441473735</v>
      </c>
      <c r="AB141" s="3">
        <f t="shared" si="71"/>
        <v>109.00035035243366</v>
      </c>
      <c r="AC141" s="3"/>
      <c r="AD141" s="3">
        <f t="shared" si="73"/>
        <v>1.8249297619423352</v>
      </c>
      <c r="AE141" s="3">
        <f t="shared" si="74"/>
        <v>1.3992033227251488</v>
      </c>
      <c r="AF141" s="3">
        <f t="shared" si="75"/>
        <v>1.0647684903041286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Q141"/>
      <c r="AR141"/>
      <c r="AS141"/>
      <c r="AT141"/>
      <c r="AU141"/>
      <c r="AV141"/>
      <c r="BN141" s="3"/>
      <c r="BO141" s="3"/>
      <c r="BP141" s="3"/>
      <c r="BQ141" s="3"/>
      <c r="BZ141"/>
      <c r="CB141" s="3"/>
    </row>
    <row r="142" spans="1:80">
      <c r="A142">
        <v>2030</v>
      </c>
      <c r="B142" s="3"/>
      <c r="C142" s="3">
        <f>AK142</f>
        <v>160.51226325283022</v>
      </c>
      <c r="D142" s="3">
        <f t="shared" si="63"/>
        <v>89.285088706337618</v>
      </c>
      <c r="E142" s="3">
        <f t="shared" si="64"/>
        <v>32.792827976384679</v>
      </c>
      <c r="F142" s="6">
        <f>'Exchange Rates'!E69</f>
        <v>0.77300000000000002</v>
      </c>
      <c r="G142" s="3"/>
      <c r="H142" s="3">
        <f>(C142*USA!$AU117/100)/$AX109*100*$F142</f>
        <v>121.19434508263596</v>
      </c>
      <c r="I142" s="3">
        <f>(D142*USA!$AU117/100)/$AX109*100*$F142</f>
        <v>67.414461874263353</v>
      </c>
      <c r="J142" s="3">
        <f>(E142*USA!$AU117/100)/$AX109*100*$F142</f>
        <v>24.760135016882625</v>
      </c>
      <c r="K142" s="6"/>
      <c r="L142" s="6">
        <f t="shared" si="76"/>
        <v>83.827224571765598</v>
      </c>
      <c r="M142" s="6">
        <f t="shared" si="77"/>
        <v>52.805703815671947</v>
      </c>
      <c r="N142" s="6">
        <f t="shared" si="78"/>
        <v>28.201669611718167</v>
      </c>
      <c r="O142">
        <v>2030</v>
      </c>
      <c r="P142" s="3">
        <f t="shared" si="79"/>
        <v>49.036756989036896</v>
      </c>
      <c r="Q142" s="3"/>
      <c r="R142" s="3">
        <f t="shared" si="66"/>
        <v>26.572796312160502</v>
      </c>
      <c r="S142" s="3">
        <f t="shared" si="67"/>
        <v>20.36849216094177</v>
      </c>
      <c r="T142" s="3">
        <f t="shared" si="68"/>
        <v>15.447685320151013</v>
      </c>
      <c r="U142" s="3"/>
      <c r="V142" s="3">
        <f t="shared" si="58"/>
        <v>159.43677787296301</v>
      </c>
      <c r="W142" s="3">
        <f t="shared" si="59"/>
        <v>122.21095296565062</v>
      </c>
      <c r="X142" s="3">
        <f t="shared" si="60"/>
        <v>92.686111920906072</v>
      </c>
      <c r="Y142" s="3"/>
      <c r="Z142" s="3">
        <f t="shared" si="69"/>
        <v>188.41705375834383</v>
      </c>
      <c r="AA142" s="3">
        <f t="shared" si="70"/>
        <v>144.42481842636531</v>
      </c>
      <c r="AB142" s="3">
        <f t="shared" si="71"/>
        <v>109.53334836186929</v>
      </c>
      <c r="AC142" s="3"/>
      <c r="AD142" s="3">
        <f t="shared" si="73"/>
        <v>1.8405495140992849</v>
      </c>
      <c r="AE142" s="3">
        <f t="shared" si="74"/>
        <v>1.4108119412558884</v>
      </c>
      <c r="AF142" s="3">
        <f t="shared" si="75"/>
        <v>1.0699750743564449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Q142"/>
      <c r="AR142"/>
      <c r="AS142"/>
      <c r="AT142"/>
      <c r="AU142"/>
      <c r="AV142"/>
      <c r="BN142" s="3"/>
      <c r="BO142" s="3"/>
      <c r="BP142" s="3"/>
      <c r="BQ142" s="3"/>
      <c r="BZ142"/>
      <c r="CB142" s="3"/>
    </row>
    <row r="143" spans="1:80">
      <c r="J143"/>
      <c r="O143" s="12"/>
      <c r="R143"/>
      <c r="S143"/>
      <c r="T143"/>
      <c r="U143"/>
      <c r="Y143" s="12"/>
      <c r="Z143" s="12"/>
      <c r="AA143" s="12"/>
      <c r="AB143" s="12"/>
      <c r="AC143" s="12"/>
      <c r="AD143" s="12"/>
      <c r="AE143" s="12"/>
      <c r="AF143" s="1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 s="3"/>
      <c r="AO143" s="3"/>
      <c r="AQ143"/>
      <c r="AR143"/>
      <c r="AS143"/>
      <c r="AT143"/>
      <c r="AU143"/>
      <c r="AV143"/>
      <c r="AW143"/>
      <c r="AX143"/>
      <c r="BN143" s="3"/>
      <c r="BO143" s="3"/>
      <c r="BP143" s="3"/>
      <c r="BQ143" s="3"/>
      <c r="BR143" s="3"/>
      <c r="BS143" s="3"/>
      <c r="BT143" s="3"/>
      <c r="BZ143"/>
    </row>
    <row r="144" spans="1:80">
      <c r="J144"/>
      <c r="O144" s="12"/>
      <c r="R144"/>
      <c r="S144"/>
      <c r="T144"/>
      <c r="U144"/>
      <c r="Y144" s="12"/>
      <c r="Z144" s="12"/>
      <c r="AA144" s="12"/>
      <c r="AB144" s="12"/>
      <c r="AC144" s="12"/>
      <c r="AD144" s="12"/>
      <c r="AE144" s="12"/>
      <c r="AF144" s="12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 s="3"/>
      <c r="AO144" s="3"/>
      <c r="AQ144"/>
      <c r="AR144"/>
      <c r="AS144"/>
      <c r="AT144"/>
      <c r="AU144"/>
      <c r="AV144"/>
      <c r="AW144"/>
      <c r="AX144"/>
      <c r="BN144" s="3"/>
      <c r="BO144" s="3"/>
      <c r="BP144" s="3"/>
      <c r="BQ144" s="3"/>
      <c r="BR144" s="3"/>
      <c r="BS144" s="3"/>
      <c r="BT144" s="3"/>
      <c r="BZ144"/>
    </row>
    <row r="145" spans="7:78">
      <c r="G145" s="12"/>
      <c r="J145"/>
      <c r="O145" s="12"/>
      <c r="P145" s="23"/>
      <c r="Q145" s="12"/>
      <c r="R145" s="12"/>
      <c r="S145" s="23"/>
      <c r="T145"/>
      <c r="U145"/>
      <c r="X145" s="23"/>
      <c r="Y145" s="12"/>
      <c r="Z145" s="12"/>
      <c r="AA145" s="12"/>
      <c r="AB145" s="12"/>
      <c r="AC145" s="12"/>
      <c r="AD145" s="12"/>
      <c r="AE145" s="12"/>
      <c r="AF145" s="1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Q145"/>
      <c r="AR145"/>
      <c r="AS145"/>
      <c r="AT145"/>
      <c r="AU145"/>
      <c r="AV145"/>
      <c r="AW145"/>
      <c r="AX145"/>
      <c r="BN145" s="3"/>
      <c r="BO145" s="3"/>
      <c r="BP145" s="3"/>
      <c r="BQ145" s="3"/>
      <c r="BR145" s="3"/>
      <c r="BS145" s="3"/>
      <c r="BT145" s="3"/>
      <c r="BZ145"/>
    </row>
    <row r="146" spans="7:78">
      <c r="G146" s="12"/>
      <c r="J146"/>
      <c r="O146" s="12"/>
      <c r="P146" s="23"/>
      <c r="Q146" s="12"/>
      <c r="R146" s="12"/>
      <c r="S146" s="23"/>
      <c r="T146"/>
      <c r="U146"/>
      <c r="X146" s="23"/>
      <c r="Y146" s="12"/>
      <c r="Z146" s="12"/>
      <c r="AA146" s="12"/>
      <c r="AB146" s="12"/>
      <c r="AC146" s="12"/>
      <c r="AD146" s="12"/>
      <c r="AE146" s="12"/>
      <c r="AF146" s="1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Q146"/>
      <c r="AR146"/>
      <c r="AS146"/>
      <c r="AT146"/>
      <c r="AU146"/>
      <c r="AV146"/>
      <c r="AW146"/>
      <c r="AX146"/>
      <c r="BN146" s="3"/>
      <c r="BO146" s="3"/>
      <c r="BP146" s="3"/>
      <c r="BQ146" s="3"/>
      <c r="BR146" s="3"/>
      <c r="BS146" s="3"/>
      <c r="BT146" s="3"/>
      <c r="BZ146"/>
    </row>
    <row r="147" spans="7:78">
      <c r="G147" s="12"/>
      <c r="J147"/>
      <c r="M147">
        <v>134.10324644308946</v>
      </c>
      <c r="O147" s="12"/>
      <c r="P147" s="23"/>
      <c r="Q147" s="12"/>
      <c r="R147" s="12"/>
      <c r="S147" s="23"/>
      <c r="T147"/>
      <c r="U147"/>
      <c r="X147" s="23"/>
      <c r="Y147" s="12"/>
      <c r="Z147" s="12"/>
      <c r="AA147" s="12"/>
      <c r="AB147" s="12"/>
      <c r="AC147" s="12"/>
      <c r="AD147" s="12"/>
      <c r="AE147" s="12"/>
      <c r="AF147" s="1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Q147"/>
      <c r="AR147"/>
      <c r="AS147"/>
      <c r="AT147"/>
      <c r="AU147"/>
      <c r="AV147"/>
      <c r="AW147"/>
      <c r="AX147"/>
      <c r="BN147" s="3"/>
      <c r="BO147" s="3"/>
      <c r="BP147" s="3"/>
      <c r="BQ147" s="3"/>
      <c r="BR147" s="3"/>
      <c r="BS147" s="3"/>
      <c r="BT147" s="3"/>
      <c r="BZ147"/>
    </row>
    <row r="148" spans="7:78">
      <c r="G148" s="12"/>
      <c r="J148"/>
      <c r="M148" s="3">
        <v>104.82533693139587</v>
      </c>
      <c r="O148" s="12"/>
      <c r="P148" s="23"/>
      <c r="Q148" s="12"/>
      <c r="R148" s="12"/>
      <c r="S148" s="23"/>
      <c r="T148"/>
      <c r="U148"/>
      <c r="X148" s="23"/>
      <c r="Y148" s="12"/>
      <c r="Z148" s="12"/>
      <c r="AA148" s="12"/>
      <c r="AB148" s="12"/>
      <c r="AC148" s="12"/>
      <c r="AD148" s="12"/>
      <c r="AE148" s="12"/>
      <c r="AF148" s="1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Q148"/>
      <c r="AR148"/>
      <c r="AS148"/>
      <c r="AT148"/>
      <c r="AU148"/>
      <c r="AV148"/>
      <c r="AW148"/>
      <c r="AX148"/>
      <c r="BN148" s="3"/>
      <c r="BO148" s="3"/>
      <c r="BP148" s="3"/>
      <c r="BQ148" s="3"/>
      <c r="BR148" s="3"/>
      <c r="BS148" s="3"/>
      <c r="BT148" s="3"/>
      <c r="BZ148"/>
    </row>
    <row r="149" spans="7:78">
      <c r="G149" s="12"/>
      <c r="J149"/>
      <c r="M149">
        <f>M147/M148-1</f>
        <v>0.27930184026839666</v>
      </c>
      <c r="P149" s="23"/>
      <c r="Q149" s="12"/>
      <c r="R149" s="12"/>
      <c r="S149" s="23"/>
      <c r="T149"/>
      <c r="U149"/>
      <c r="X149" s="23"/>
      <c r="Y149" s="12"/>
      <c r="Z149" s="12"/>
      <c r="AA149" s="12"/>
      <c r="AB149" s="12"/>
      <c r="AC149" s="12"/>
      <c r="AD149" s="12"/>
      <c r="AE149" s="12"/>
      <c r="AF149" s="1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Q149"/>
      <c r="AR149"/>
      <c r="AS149"/>
      <c r="AT149"/>
      <c r="AU149"/>
      <c r="AV149"/>
      <c r="AW149"/>
      <c r="AX149"/>
      <c r="BN149" s="3"/>
      <c r="BO149" s="3"/>
      <c r="BP149" s="3"/>
      <c r="BQ149" s="3"/>
      <c r="BR149" s="3"/>
      <c r="BS149" s="3"/>
      <c r="BT149" s="3"/>
      <c r="BZ149"/>
    </row>
    <row r="150" spans="7:78">
      <c r="O150" s="12"/>
      <c r="R150"/>
      <c r="S150" s="23"/>
      <c r="U150" s="12"/>
      <c r="V150" s="23"/>
      <c r="Y150" s="12"/>
      <c r="Z150" s="12"/>
      <c r="AA150" s="12"/>
      <c r="AB150" s="12"/>
      <c r="AC150" s="12"/>
      <c r="AD150" s="12"/>
      <c r="AE150" s="12"/>
      <c r="AF150" s="12"/>
      <c r="AI150" s="23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Q150"/>
      <c r="AR150"/>
      <c r="AS150"/>
      <c r="AT150"/>
      <c r="AU150"/>
      <c r="AV150"/>
      <c r="AW150"/>
      <c r="AX150"/>
      <c r="AY150"/>
      <c r="AZ150"/>
      <c r="BA150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Z150"/>
    </row>
    <row r="151" spans="7:78">
      <c r="O151" s="12"/>
      <c r="R151"/>
      <c r="S151" s="23"/>
      <c r="U151" s="12"/>
      <c r="V151" s="23"/>
      <c r="Y151" s="12"/>
      <c r="Z151" s="12"/>
      <c r="AA151" s="12"/>
      <c r="AB151" s="12"/>
      <c r="AC151" s="12"/>
      <c r="AD151" s="12"/>
      <c r="AE151" s="12"/>
      <c r="AF151" s="12"/>
      <c r="AI151" s="23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Q151"/>
      <c r="AR151"/>
      <c r="AS151"/>
      <c r="AT151"/>
      <c r="AU151"/>
      <c r="AV151"/>
      <c r="AW151"/>
      <c r="AX151"/>
      <c r="AY151"/>
      <c r="AZ151"/>
      <c r="BA151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Z151"/>
    </row>
    <row r="152" spans="7:78">
      <c r="O152" s="12"/>
      <c r="R152"/>
      <c r="S152" s="23"/>
      <c r="U152" s="12"/>
      <c r="V152" s="23"/>
      <c r="Y152" s="12"/>
      <c r="Z152" s="12"/>
      <c r="AA152" s="12"/>
      <c r="AB152" s="12"/>
      <c r="AC152" s="12"/>
      <c r="AD152" s="12"/>
      <c r="AE152" s="12"/>
      <c r="AF152" s="12"/>
      <c r="AI152" s="23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Q152"/>
      <c r="AR152"/>
      <c r="AS152"/>
      <c r="AT152"/>
      <c r="AU152"/>
      <c r="AV152"/>
      <c r="AW152"/>
      <c r="AX152"/>
      <c r="AY152"/>
      <c r="AZ152"/>
      <c r="BA152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Z152"/>
    </row>
    <row r="153" spans="7:78">
      <c r="O153" s="12"/>
      <c r="R153"/>
      <c r="S153" s="23"/>
      <c r="U153" s="12"/>
      <c r="V153" s="23"/>
      <c r="Y153" s="12"/>
      <c r="Z153" s="12"/>
      <c r="AA153" s="12"/>
      <c r="AB153" s="12"/>
      <c r="AC153" s="12"/>
      <c r="AD153" s="12"/>
      <c r="AE153" s="12"/>
      <c r="AF153" s="12"/>
      <c r="AI153" s="23"/>
      <c r="AQ153"/>
      <c r="AR153"/>
      <c r="AS153"/>
      <c r="AT153"/>
      <c r="AU153"/>
      <c r="AV153"/>
      <c r="AW153"/>
      <c r="AX153"/>
      <c r="AY153"/>
      <c r="AZ153"/>
      <c r="BA15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Z153"/>
    </row>
    <row r="155" spans="7:78">
      <c r="AJ155" s="3"/>
      <c r="AK155" s="3" t="s">
        <v>2422</v>
      </c>
    </row>
    <row r="156" spans="7:78">
      <c r="AJ156" s="3"/>
      <c r="AK156" s="3"/>
    </row>
    <row r="157" spans="7:78">
      <c r="AK157" t="s">
        <v>2416</v>
      </c>
    </row>
    <row r="158" spans="7:78">
      <c r="AJ158" s="78">
        <v>43101</v>
      </c>
      <c r="AK158">
        <v>1.74</v>
      </c>
    </row>
    <row r="159" spans="7:78">
      <c r="AJ159" s="78">
        <v>43132</v>
      </c>
      <c r="AK159">
        <v>1.65</v>
      </c>
    </row>
    <row r="160" spans="7:78">
      <c r="AJ160" s="78">
        <v>43160</v>
      </c>
      <c r="AK160">
        <v>1.68</v>
      </c>
    </row>
    <row r="161" spans="36:37">
      <c r="AJ161" s="78">
        <v>43191</v>
      </c>
      <c r="AK161">
        <v>1.69</v>
      </c>
    </row>
    <row r="162" spans="36:37">
      <c r="AJ162" s="78">
        <v>43221</v>
      </c>
      <c r="AK162">
        <v>1.71</v>
      </c>
    </row>
    <row r="163" spans="36:37">
      <c r="AJ163" s="78">
        <v>43252</v>
      </c>
      <c r="AK163">
        <v>1.69</v>
      </c>
    </row>
    <row r="164" spans="36:37">
      <c r="AJ164" s="78">
        <v>43282</v>
      </c>
      <c r="AK164">
        <v>1.68</v>
      </c>
    </row>
    <row r="165" spans="36:37">
      <c r="AJ165" s="78">
        <v>43313</v>
      </c>
      <c r="AK165">
        <v>1.69</v>
      </c>
    </row>
    <row r="166" spans="36:37">
      <c r="AJ166" s="78">
        <v>43344</v>
      </c>
      <c r="AK166">
        <v>1.72</v>
      </c>
    </row>
    <row r="167" spans="36:37">
      <c r="AJ167" s="78">
        <v>43374</v>
      </c>
      <c r="AK167">
        <v>1.68</v>
      </c>
    </row>
    <row r="168" spans="36:37">
      <c r="AJ168" s="78">
        <v>43405</v>
      </c>
      <c r="AK168">
        <v>1.6</v>
      </c>
    </row>
    <row r="169" spans="36:37">
      <c r="AJ169" s="78">
        <v>43435</v>
      </c>
      <c r="AK169">
        <v>1.55</v>
      </c>
    </row>
    <row r="171" spans="36:37">
      <c r="AJ171">
        <v>2018</v>
      </c>
      <c r="AK171" s="3">
        <f>AVERAGE(AK158:AK169)</f>
        <v>1.6733333333333336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workbookViewId="0">
      <selection activeCell="A3" sqref="A3:G23"/>
    </sheetView>
  </sheetViews>
  <sheetFormatPr defaultRowHeight="15"/>
  <cols>
    <col min="1" max="1" width="18.140625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0.99769439739804333</v>
      </c>
    </row>
    <row r="5" spans="1:7">
      <c r="A5" s="13" t="s">
        <v>80</v>
      </c>
      <c r="B5" s="13">
        <v>0.99539411059944471</v>
      </c>
    </row>
    <row r="6" spans="1:7">
      <c r="A6" s="13" t="s">
        <v>81</v>
      </c>
      <c r="B6" s="13">
        <v>0.9948061247185227</v>
      </c>
    </row>
    <row r="7" spans="1:7">
      <c r="A7" s="13" t="s">
        <v>82</v>
      </c>
      <c r="B7" s="13">
        <v>1.0731454746562556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6</v>
      </c>
      <c r="C12" s="13">
        <v>11697.595962029922</v>
      </c>
      <c r="D12" s="13">
        <v>1949.5993270049869</v>
      </c>
      <c r="E12" s="13">
        <v>1692.887776554599</v>
      </c>
      <c r="F12" s="13">
        <v>3.7905115156356236E-53</v>
      </c>
    </row>
    <row r="13" spans="1:7">
      <c r="A13" s="13" t="s">
        <v>86</v>
      </c>
      <c r="B13" s="13">
        <v>47</v>
      </c>
      <c r="C13" s="13">
        <v>54.127136859434401</v>
      </c>
      <c r="D13" s="13">
        <v>1.1516412097752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11751.723098889357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27.851005452295414</v>
      </c>
      <c r="C17" s="13">
        <v>0.55055997681396152</v>
      </c>
      <c r="D17" s="13">
        <v>50.586687418628841</v>
      </c>
      <c r="E17" s="13">
        <v>1.2196098817593625E-42</v>
      </c>
      <c r="F17" s="13">
        <v>26.743421641700646</v>
      </c>
      <c r="G17" s="13">
        <v>28.958589262890182</v>
      </c>
    </row>
    <row r="18" spans="1:7">
      <c r="A18" s="13" t="s">
        <v>229</v>
      </c>
      <c r="B18" s="13">
        <v>0.4513093869454326</v>
      </c>
      <c r="C18" s="13">
        <v>6.6723755687305066E-3</v>
      </c>
      <c r="D18" s="13">
        <v>67.63848681726698</v>
      </c>
      <c r="E18" s="13">
        <v>1.7241824166069539E-48</v>
      </c>
      <c r="F18" s="13">
        <v>0.43788629869099677</v>
      </c>
      <c r="G18" s="13">
        <v>0.46473247519986843</v>
      </c>
    </row>
    <row r="19" spans="1:7">
      <c r="A19" s="13" t="s">
        <v>2167</v>
      </c>
      <c r="B19" s="13">
        <v>-3.7079057295911215</v>
      </c>
      <c r="C19" s="13">
        <v>0.80780558550919501</v>
      </c>
      <c r="D19" s="13">
        <v>-4.59009667190388</v>
      </c>
      <c r="E19" s="13">
        <v>3.3132281263379863E-5</v>
      </c>
      <c r="F19" s="13">
        <v>-5.333000953177164</v>
      </c>
      <c r="G19" s="13">
        <v>-2.0828105060050786</v>
      </c>
    </row>
    <row r="20" spans="1:7">
      <c r="A20" s="13" t="s">
        <v>2071</v>
      </c>
      <c r="B20" s="13">
        <v>-14.472984005164308</v>
      </c>
      <c r="C20" s="13">
        <v>0.60888818307058534</v>
      </c>
      <c r="D20" s="13">
        <v>-23.769526831967649</v>
      </c>
      <c r="E20" s="13">
        <v>7.6913025660619925E-28</v>
      </c>
      <c r="F20" s="13">
        <v>-15.697909031378712</v>
      </c>
      <c r="G20" s="13">
        <v>-13.248058978949905</v>
      </c>
    </row>
    <row r="21" spans="1:7">
      <c r="A21" s="13" t="s">
        <v>2073</v>
      </c>
      <c r="B21" s="13">
        <v>-20.738800199413863</v>
      </c>
      <c r="C21" s="13">
        <v>0.75864318599558389</v>
      </c>
      <c r="D21" s="13">
        <v>-27.33669870401312</v>
      </c>
      <c r="E21" s="13">
        <v>1.6633966282489961E-30</v>
      </c>
      <c r="F21" s="13">
        <v>-22.264993432146206</v>
      </c>
      <c r="G21" s="13">
        <v>-19.21260696668152</v>
      </c>
    </row>
    <row r="22" spans="1:7">
      <c r="A22" s="13" t="s">
        <v>2072</v>
      </c>
      <c r="B22" s="13">
        <v>-6.8134803211873285</v>
      </c>
      <c r="C22" s="13">
        <v>0.7248573781512021</v>
      </c>
      <c r="D22" s="13">
        <v>-9.3997530087443852</v>
      </c>
      <c r="E22" s="13">
        <v>2.2710714331877786E-12</v>
      </c>
      <c r="F22" s="13">
        <v>-8.2717052754900404</v>
      </c>
      <c r="G22" s="13">
        <v>-5.3552553668846175</v>
      </c>
    </row>
    <row r="23" spans="1:7" ht="15.75" thickBot="1">
      <c r="A23" s="14" t="s">
        <v>2070</v>
      </c>
      <c r="B23" s="14">
        <v>7.0020591625393891</v>
      </c>
      <c r="C23" s="14">
        <v>0.58783796942206978</v>
      </c>
      <c r="D23" s="14">
        <v>11.911546253848542</v>
      </c>
      <c r="E23" s="14">
        <v>8.4427581819871841E-16</v>
      </c>
      <c r="F23" s="14">
        <v>5.8194817039443709</v>
      </c>
      <c r="G23" s="14">
        <v>8.1846366211344073</v>
      </c>
    </row>
    <row r="43" spans="6:6">
      <c r="F43" t="s">
        <v>1883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R173"/>
  <sheetViews>
    <sheetView zoomScale="75" zoomScaleNormal="75" workbookViewId="0">
      <pane xSplit="1" ySplit="4" topLeftCell="AK54" activePane="bottomRight" state="frozen"/>
      <selection pane="topRight" activeCell="B1" sqref="B1"/>
      <selection pane="bottomLeft" activeCell="A5" sqref="A5"/>
      <selection pane="bottomRight" activeCell="AO42" sqref="AO42:BI97"/>
    </sheetView>
  </sheetViews>
  <sheetFormatPr defaultRowHeight="15"/>
  <cols>
    <col min="1" max="1" width="6.7109375" customWidth="1"/>
    <col min="2" max="2" width="11.85546875" customWidth="1"/>
    <col min="3" max="3" width="11.28515625" customWidth="1"/>
    <col min="4" max="4" width="10.28515625" customWidth="1"/>
    <col min="5" max="5" width="11.42578125" customWidth="1"/>
    <col min="6" max="6" width="10.140625" customWidth="1"/>
    <col min="7" max="7" width="9.28515625" style="2" bestFit="1" customWidth="1"/>
    <col min="8" max="9" width="9.28515625" bestFit="1" customWidth="1"/>
    <col min="10" max="10" width="9.28515625" style="12" bestFit="1" customWidth="1"/>
    <col min="11" max="12" width="9.28515625" bestFit="1" customWidth="1"/>
    <col min="13" max="13" width="9.85546875" customWidth="1"/>
    <col min="14" max="14" width="8.28515625" customWidth="1"/>
    <col min="15" max="15" width="8.42578125" style="23" customWidth="1"/>
    <col min="16" max="16" width="11.5703125" style="12" customWidth="1"/>
    <col min="17" max="17" width="10.28515625" style="12" customWidth="1"/>
    <col min="18" max="18" width="9.5703125" style="23" customWidth="1"/>
    <col min="19" max="22" width="9.28515625" bestFit="1" customWidth="1"/>
    <col min="23" max="23" width="9.28515625" customWidth="1"/>
    <col min="24" max="24" width="9.42578125" style="23" customWidth="1"/>
    <col min="25" max="26" width="9.28515625" bestFit="1" customWidth="1"/>
    <col min="27" max="27" width="10.85546875" customWidth="1"/>
    <col min="28" max="28" width="12" customWidth="1"/>
    <col min="29" max="29" width="9.28515625" bestFit="1" customWidth="1"/>
    <col min="30" max="30" width="10.5703125" customWidth="1"/>
    <col min="31" max="31" width="9.28515625" bestFit="1" customWidth="1"/>
    <col min="39" max="39" width="9.140625" style="9"/>
    <col min="40" max="40" width="6.5703125" style="3" customWidth="1"/>
    <col min="41" max="41" width="7.42578125" style="3" customWidth="1"/>
    <col min="42" max="42" width="7.7109375" style="3" customWidth="1"/>
    <col min="43" max="43" width="9.5703125" style="3" customWidth="1"/>
    <col min="44" max="44" width="6.42578125" style="3" customWidth="1"/>
    <col min="45" max="45" width="6.28515625" style="3" customWidth="1"/>
    <col min="46" max="46" width="7" style="3" customWidth="1"/>
    <col min="47" max="47" width="8.140625" style="3" customWidth="1"/>
    <col min="48" max="48" width="7.7109375" style="3" customWidth="1"/>
    <col min="49" max="49" width="7.42578125" style="3" customWidth="1"/>
    <col min="50" max="50" width="7.5703125" style="3" customWidth="1"/>
    <col min="51" max="51" width="9.28515625" style="3" customWidth="1"/>
    <col min="52" max="52" width="7.5703125" style="3" customWidth="1"/>
    <col min="53" max="53" width="7.42578125" style="3" customWidth="1"/>
    <col min="54" max="54" width="9.140625" style="3"/>
    <col min="55" max="55" width="9.7109375" style="3" customWidth="1"/>
    <col min="56" max="56" width="7.85546875" style="3" customWidth="1"/>
    <col min="57" max="57" width="6.140625" style="3" customWidth="1"/>
    <col min="58" max="58" width="5.85546875" style="3" customWidth="1"/>
    <col min="59" max="59" width="6.85546875" style="3" customWidth="1"/>
    <col min="60" max="60" width="6.42578125" style="3" customWidth="1"/>
    <col min="61" max="61" width="9.140625" style="3"/>
    <col min="63" max="63" width="11.28515625" customWidth="1"/>
    <col min="64" max="64" width="10.42578125" customWidth="1"/>
    <col min="77" max="80" width="9.140625" style="12"/>
    <col min="81" max="81" width="9.140625" style="3"/>
    <col min="82" max="86" width="9.140625" style="12"/>
  </cols>
  <sheetData>
    <row r="1" spans="1:87">
      <c r="A1" s="23"/>
      <c r="B1" s="23"/>
      <c r="C1" s="23"/>
      <c r="G1" s="39" t="s">
        <v>156</v>
      </c>
      <c r="H1" t="s">
        <v>3</v>
      </c>
      <c r="I1" t="s">
        <v>3</v>
      </c>
      <c r="J1" t="s">
        <v>3</v>
      </c>
      <c r="K1" t="s">
        <v>3</v>
      </c>
      <c r="L1" t="s">
        <v>3</v>
      </c>
      <c r="M1" t="s">
        <v>3</v>
      </c>
      <c r="N1" t="s">
        <v>3</v>
      </c>
      <c r="O1" t="s">
        <v>3</v>
      </c>
      <c r="P1" s="23"/>
      <c r="R1" s="12"/>
      <c r="S1" s="23"/>
      <c r="X1"/>
      <c r="Y1" s="23"/>
      <c r="AM1"/>
      <c r="AN1"/>
      <c r="AO1"/>
      <c r="AP1"/>
      <c r="AQ1"/>
      <c r="AR1"/>
      <c r="AS1"/>
      <c r="AT1"/>
      <c r="BJ1" s="3"/>
      <c r="BK1" s="3"/>
      <c r="BL1" s="3"/>
      <c r="BY1"/>
      <c r="CC1" s="12"/>
      <c r="CD1" s="3"/>
      <c r="CI1" s="12"/>
    </row>
    <row r="2" spans="1:87">
      <c r="D2" t="s">
        <v>45</v>
      </c>
      <c r="F2" t="s">
        <v>46</v>
      </c>
      <c r="H2" t="s">
        <v>1873</v>
      </c>
      <c r="I2" t="s">
        <v>1873</v>
      </c>
      <c r="J2" t="s">
        <v>1873</v>
      </c>
      <c r="K2" t="s">
        <v>1873</v>
      </c>
      <c r="L2" t="s">
        <v>1873</v>
      </c>
      <c r="M2" t="s">
        <v>1873</v>
      </c>
      <c r="N2" t="s">
        <v>1873</v>
      </c>
      <c r="O2" t="s">
        <v>1873</v>
      </c>
      <c r="P2" s="23"/>
      <c r="Q2" s="23"/>
      <c r="R2" s="26" t="s">
        <v>142</v>
      </c>
      <c r="S2" s="23"/>
      <c r="T2" s="23"/>
      <c r="X2"/>
      <c r="Y2" s="23"/>
      <c r="Z2" s="23"/>
      <c r="AA2" s="23"/>
      <c r="AB2" s="23"/>
      <c r="AC2" s="23" t="s">
        <v>66</v>
      </c>
      <c r="AD2" s="23" t="s">
        <v>66</v>
      </c>
      <c r="AE2" s="23"/>
      <c r="AF2" s="23"/>
      <c r="AG2" t="s">
        <v>113</v>
      </c>
      <c r="AM2"/>
      <c r="AN2"/>
      <c r="AO2" s="9"/>
      <c r="AP2"/>
      <c r="AQ2"/>
      <c r="AR2"/>
      <c r="AS2"/>
      <c r="AY2"/>
      <c r="BJ2" s="3"/>
      <c r="BL2" s="3"/>
      <c r="BY2"/>
      <c r="CC2" s="12"/>
      <c r="CD2" s="3"/>
      <c r="CI2" s="12"/>
    </row>
    <row r="3" spans="1:87">
      <c r="B3" t="s">
        <v>182</v>
      </c>
      <c r="C3" t="s">
        <v>218</v>
      </c>
      <c r="D3" s="23"/>
      <c r="F3" s="23"/>
      <c r="H3" s="23"/>
      <c r="I3" s="23"/>
      <c r="J3" s="23"/>
      <c r="K3" s="23"/>
      <c r="L3" s="23"/>
      <c r="M3" t="s">
        <v>25</v>
      </c>
      <c r="N3" t="s">
        <v>151</v>
      </c>
      <c r="O3" t="s">
        <v>5</v>
      </c>
      <c r="P3" s="23"/>
      <c r="Q3" s="26" t="s">
        <v>133</v>
      </c>
      <c r="R3" s="26" t="s">
        <v>133</v>
      </c>
      <c r="S3" s="23"/>
      <c r="T3" s="3" t="s">
        <v>128</v>
      </c>
      <c r="U3" s="3"/>
      <c r="V3" s="3"/>
      <c r="W3" s="3"/>
      <c r="X3" s="3"/>
      <c r="Y3" s="23"/>
      <c r="Z3" t="s">
        <v>61</v>
      </c>
      <c r="AA3" t="s">
        <v>61</v>
      </c>
      <c r="AB3" t="s">
        <v>61</v>
      </c>
      <c r="AC3" t="s">
        <v>1891</v>
      </c>
      <c r="AD3" t="s">
        <v>2188</v>
      </c>
      <c r="AE3" t="s">
        <v>61</v>
      </c>
      <c r="AF3" s="26" t="s">
        <v>61</v>
      </c>
      <c r="AG3" t="s">
        <v>61</v>
      </c>
      <c r="AM3"/>
      <c r="AN3"/>
      <c r="AO3" s="46" t="s">
        <v>2103</v>
      </c>
      <c r="AP3" s="46" t="s">
        <v>58</v>
      </c>
      <c r="AQ3" s="46" t="s">
        <v>58</v>
      </c>
      <c r="AR3" s="46" t="s">
        <v>58</v>
      </c>
      <c r="AS3" s="46" t="s">
        <v>58</v>
      </c>
      <c r="AT3" s="46" t="s">
        <v>58</v>
      </c>
      <c r="AU3" s="46" t="s">
        <v>58</v>
      </c>
      <c r="AW3" s="46"/>
      <c r="AY3" s="46" t="s">
        <v>227</v>
      </c>
      <c r="AZ3" s="46" t="s">
        <v>227</v>
      </c>
      <c r="BA3" s="46" t="s">
        <v>227</v>
      </c>
      <c r="BB3" s="46" t="s">
        <v>227</v>
      </c>
      <c r="BC3" s="46" t="s">
        <v>227</v>
      </c>
      <c r="BD3" s="46" t="s">
        <v>1957</v>
      </c>
      <c r="BE3" s="46" t="s">
        <v>2098</v>
      </c>
      <c r="BF3" s="46" t="s">
        <v>2098</v>
      </c>
      <c r="BG3" s="46" t="s">
        <v>2098</v>
      </c>
      <c r="BH3" s="46" t="s">
        <v>2098</v>
      </c>
      <c r="BI3" s="46" t="s">
        <v>2098</v>
      </c>
      <c r="BJ3" s="3"/>
      <c r="BK3" s="46" t="s">
        <v>2440</v>
      </c>
      <c r="BL3" s="46" t="s">
        <v>2440</v>
      </c>
      <c r="BY3"/>
      <c r="BZ3" s="7"/>
      <c r="CA3" s="7"/>
      <c r="CB3" s="7"/>
      <c r="CC3" s="7"/>
      <c r="CD3" s="3"/>
      <c r="CE3" s="7"/>
      <c r="CF3" s="7"/>
      <c r="CG3" s="7"/>
      <c r="CH3" s="7"/>
      <c r="CI3" s="7"/>
    </row>
    <row r="4" spans="1:87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s="2" t="s">
        <v>11</v>
      </c>
      <c r="H4" t="s">
        <v>6</v>
      </c>
      <c r="I4" s="29" t="s">
        <v>110</v>
      </c>
      <c r="J4" s="26" t="s">
        <v>135</v>
      </c>
      <c r="K4" s="12" t="s">
        <v>1875</v>
      </c>
      <c r="L4" s="29" t="s">
        <v>8</v>
      </c>
      <c r="M4" t="s">
        <v>9</v>
      </c>
      <c r="N4" s="29" t="s">
        <v>145</v>
      </c>
      <c r="O4" t="s">
        <v>10</v>
      </c>
      <c r="P4" s="23"/>
      <c r="Q4" s="26" t="s">
        <v>101</v>
      </c>
      <c r="R4" s="26" t="s">
        <v>103</v>
      </c>
      <c r="S4" s="23"/>
      <c r="T4" s="13" t="s">
        <v>229</v>
      </c>
      <c r="U4" s="3" t="s">
        <v>160</v>
      </c>
      <c r="V4" s="3" t="s">
        <v>161</v>
      </c>
      <c r="W4" s="3" t="s">
        <v>162</v>
      </c>
      <c r="X4" s="3" t="s">
        <v>148</v>
      </c>
      <c r="Y4" s="23"/>
      <c r="Z4" t="s">
        <v>109</v>
      </c>
      <c r="AA4" t="s">
        <v>157</v>
      </c>
      <c r="AB4" t="s">
        <v>158</v>
      </c>
      <c r="AC4" t="s">
        <v>152</v>
      </c>
      <c r="AD4" t="s">
        <v>2189</v>
      </c>
      <c r="AE4" t="s">
        <v>2190</v>
      </c>
      <c r="AF4" s="26" t="s">
        <v>87</v>
      </c>
      <c r="AG4" t="s">
        <v>87</v>
      </c>
      <c r="AM4"/>
      <c r="AN4"/>
      <c r="AO4" s="46"/>
      <c r="AP4" s="46" t="s">
        <v>131</v>
      </c>
      <c r="AQ4" s="46" t="s">
        <v>111</v>
      </c>
      <c r="AR4" s="46" t="s">
        <v>2107</v>
      </c>
      <c r="AS4" s="46" t="s">
        <v>112</v>
      </c>
      <c r="AT4" s="46" t="s">
        <v>67</v>
      </c>
      <c r="AU4" s="46" t="s">
        <v>133</v>
      </c>
      <c r="AW4" s="139" t="s">
        <v>237</v>
      </c>
      <c r="AY4" s="46" t="s">
        <v>131</v>
      </c>
      <c r="AZ4" s="46" t="s">
        <v>2097</v>
      </c>
      <c r="BA4" s="46" t="s">
        <v>67</v>
      </c>
      <c r="BB4" s="46" t="s">
        <v>133</v>
      </c>
      <c r="BC4" s="46" t="s">
        <v>2097</v>
      </c>
      <c r="BD4" s="46" t="s">
        <v>1943</v>
      </c>
      <c r="BE4" s="46" t="s">
        <v>293</v>
      </c>
      <c r="BF4" s="46">
        <v>9107</v>
      </c>
      <c r="BG4" s="46">
        <v>6582</v>
      </c>
      <c r="BH4" s="46" t="s">
        <v>2109</v>
      </c>
      <c r="BI4" s="46">
        <v>8490</v>
      </c>
      <c r="BJ4" s="3"/>
      <c r="BK4" s="46" t="s">
        <v>131</v>
      </c>
      <c r="BL4" s="46" t="s">
        <v>2097</v>
      </c>
      <c r="BY4"/>
      <c r="BZ4" s="7"/>
      <c r="CA4" s="7"/>
      <c r="CB4" s="7"/>
      <c r="CC4" s="7"/>
      <c r="CD4" s="3" t="s">
        <v>103</v>
      </c>
      <c r="CE4" s="7"/>
      <c r="CF4" s="7"/>
      <c r="CG4" s="7"/>
      <c r="CH4" s="7"/>
      <c r="CI4" s="7"/>
    </row>
    <row r="5" spans="1:87">
      <c r="A5">
        <v>1926</v>
      </c>
      <c r="K5" s="12"/>
      <c r="O5"/>
      <c r="P5" s="23"/>
      <c r="R5" s="12"/>
      <c r="S5" s="23"/>
      <c r="X5"/>
      <c r="Y5" s="23"/>
      <c r="AM5"/>
      <c r="AN5"/>
      <c r="AO5" s="9">
        <v>1926</v>
      </c>
      <c r="BJ5" s="3"/>
      <c r="BK5" s="3"/>
      <c r="BL5" s="3"/>
      <c r="BY5"/>
      <c r="BZ5" s="7"/>
      <c r="CA5" s="7"/>
      <c r="CB5" s="7"/>
      <c r="CC5" s="7"/>
      <c r="CD5" s="3"/>
      <c r="CE5" s="7"/>
      <c r="CF5" s="7"/>
      <c r="CG5" s="7"/>
      <c r="CH5" s="7"/>
      <c r="CI5" s="7"/>
    </row>
    <row r="6" spans="1:87">
      <c r="A6">
        <v>1927</v>
      </c>
      <c r="K6" s="12"/>
      <c r="O6"/>
      <c r="P6" s="23"/>
      <c r="R6" s="12"/>
      <c r="S6" s="23"/>
      <c r="X6"/>
      <c r="Y6" s="23"/>
      <c r="AM6"/>
      <c r="AN6"/>
      <c r="AO6" s="9">
        <v>1927</v>
      </c>
      <c r="BJ6" s="3"/>
      <c r="BK6" s="3"/>
      <c r="BL6" s="3"/>
      <c r="BY6"/>
      <c r="BZ6" s="7"/>
      <c r="CA6" s="7"/>
      <c r="CB6" s="7"/>
      <c r="CC6" s="7"/>
      <c r="CD6" s="3"/>
      <c r="CE6" s="7"/>
      <c r="CF6" s="7"/>
      <c r="CG6" s="7"/>
      <c r="CH6" s="7"/>
      <c r="CI6" s="7"/>
    </row>
    <row r="7" spans="1:87">
      <c r="A7">
        <v>1928</v>
      </c>
      <c r="K7" s="12"/>
      <c r="O7"/>
      <c r="P7" s="23"/>
      <c r="R7" s="12"/>
      <c r="S7" s="23"/>
      <c r="X7"/>
      <c r="Y7" s="23"/>
      <c r="AM7"/>
      <c r="AN7"/>
      <c r="AO7" s="9">
        <v>1928</v>
      </c>
      <c r="BJ7" s="3"/>
      <c r="BK7" s="3"/>
      <c r="BL7" s="3"/>
      <c r="BY7"/>
      <c r="BZ7" s="7"/>
      <c r="CA7" s="7"/>
      <c r="CB7" s="7"/>
      <c r="CC7" s="7"/>
      <c r="CD7" s="3"/>
      <c r="CE7" s="7"/>
      <c r="CF7" s="7"/>
      <c r="CG7" s="7"/>
      <c r="CH7" s="7"/>
      <c r="CI7" s="7"/>
    </row>
    <row r="8" spans="1:87">
      <c r="A8">
        <v>1929</v>
      </c>
      <c r="K8" s="12"/>
      <c r="O8"/>
      <c r="P8" s="23"/>
      <c r="R8" s="12"/>
      <c r="S8" s="23"/>
      <c r="X8"/>
      <c r="Y8" s="23"/>
      <c r="AM8"/>
      <c r="AN8"/>
      <c r="AO8" s="9">
        <v>1929</v>
      </c>
      <c r="BJ8" s="3"/>
      <c r="BK8" s="3"/>
      <c r="BL8" s="3"/>
      <c r="BY8"/>
      <c r="BZ8" s="7"/>
      <c r="CA8" s="7"/>
      <c r="CB8" s="7"/>
      <c r="CC8" s="7"/>
      <c r="CD8" s="3"/>
      <c r="CE8" s="7"/>
      <c r="CF8" s="7"/>
      <c r="CG8" s="7"/>
      <c r="CH8" s="7"/>
      <c r="CI8" s="7"/>
    </row>
    <row r="9" spans="1:87">
      <c r="A9">
        <v>1930</v>
      </c>
      <c r="K9" s="12"/>
      <c r="O9"/>
      <c r="P9" s="23"/>
      <c r="R9" s="12"/>
      <c r="S9" s="23"/>
      <c r="X9"/>
      <c r="Y9" s="23"/>
      <c r="AM9"/>
      <c r="AN9"/>
      <c r="AO9" s="9">
        <v>1930</v>
      </c>
      <c r="BJ9" s="3"/>
      <c r="BK9" s="3"/>
      <c r="BL9" s="3"/>
      <c r="BY9"/>
      <c r="BZ9" s="7"/>
      <c r="CA9" s="7"/>
      <c r="CB9" s="7"/>
      <c r="CC9" s="7"/>
      <c r="CD9" s="3"/>
      <c r="CE9" s="7"/>
      <c r="CF9" s="7"/>
      <c r="CG9" s="7"/>
      <c r="CH9" s="7"/>
      <c r="CI9" s="7"/>
    </row>
    <row r="10" spans="1:87">
      <c r="A10">
        <v>1931</v>
      </c>
      <c r="K10" s="12"/>
      <c r="O10"/>
      <c r="P10" s="23"/>
      <c r="R10" s="12"/>
      <c r="S10" s="23"/>
      <c r="X10"/>
      <c r="Y10" s="23"/>
      <c r="AM10"/>
      <c r="AN10"/>
      <c r="AO10" s="9">
        <v>1931</v>
      </c>
      <c r="BJ10" s="3"/>
      <c r="BK10" s="3"/>
      <c r="BL10" s="3"/>
      <c r="BY10"/>
      <c r="BZ10" s="7"/>
      <c r="CA10" s="7"/>
      <c r="CB10" s="7"/>
      <c r="CC10" s="7"/>
      <c r="CD10" s="3"/>
      <c r="CE10" s="7"/>
      <c r="CF10" s="7"/>
      <c r="CG10" s="7"/>
      <c r="CH10" s="7"/>
      <c r="CI10" s="7"/>
    </row>
    <row r="11" spans="1:87">
      <c r="A11">
        <v>1932</v>
      </c>
      <c r="K11" s="12"/>
      <c r="O11"/>
      <c r="P11" s="23"/>
      <c r="R11" s="12"/>
      <c r="S11" s="23"/>
      <c r="X11"/>
      <c r="Y11" s="23"/>
      <c r="AM11"/>
      <c r="AN11"/>
      <c r="AO11" s="9">
        <v>1932</v>
      </c>
      <c r="BJ11" s="3"/>
      <c r="BK11" s="3"/>
      <c r="BL11" s="3"/>
      <c r="BY11"/>
      <c r="BZ11" s="7"/>
      <c r="CA11" s="7"/>
      <c r="CB11" s="7"/>
      <c r="CC11" s="7"/>
      <c r="CD11" s="3"/>
      <c r="CE11" s="7"/>
      <c r="CF11" s="7"/>
      <c r="CG11" s="7"/>
      <c r="CH11" s="7"/>
      <c r="CI11" s="7"/>
    </row>
    <row r="12" spans="1:87">
      <c r="A12">
        <v>1933</v>
      </c>
      <c r="K12" s="12"/>
      <c r="O12"/>
      <c r="P12" s="23"/>
      <c r="R12" s="12"/>
      <c r="S12" s="23"/>
      <c r="X12"/>
      <c r="Y12" s="23"/>
      <c r="AM12"/>
      <c r="AN12"/>
      <c r="AO12" s="9">
        <v>1933</v>
      </c>
      <c r="BJ12" s="3"/>
      <c r="BK12" s="3"/>
      <c r="BL12" s="3"/>
      <c r="BY12"/>
      <c r="BZ12" s="7"/>
      <c r="CA12" s="7"/>
      <c r="CB12" s="7"/>
      <c r="CC12" s="7"/>
      <c r="CD12" s="3"/>
      <c r="CE12" s="7"/>
      <c r="CF12" s="7"/>
      <c r="CG12" s="7"/>
      <c r="CH12" s="7"/>
      <c r="CI12" s="7"/>
    </row>
    <row r="13" spans="1:87">
      <c r="A13">
        <v>1934</v>
      </c>
      <c r="K13" s="12"/>
      <c r="O13"/>
      <c r="P13" s="23"/>
      <c r="R13" s="12"/>
      <c r="S13" s="23"/>
      <c r="X13"/>
      <c r="Y13" s="23"/>
      <c r="AM13"/>
      <c r="AN13"/>
      <c r="AO13" s="9">
        <v>1934</v>
      </c>
      <c r="BJ13" s="3"/>
      <c r="BK13" s="3"/>
      <c r="BL13" s="3"/>
      <c r="BY13"/>
      <c r="BZ13" s="7"/>
      <c r="CA13" s="7"/>
      <c r="CB13" s="7"/>
      <c r="CC13" s="7"/>
      <c r="CD13" s="3"/>
      <c r="CE13" s="7"/>
      <c r="CF13" s="7"/>
      <c r="CG13" s="7"/>
      <c r="CH13" s="7"/>
      <c r="CI13" s="7"/>
    </row>
    <row r="14" spans="1:87">
      <c r="A14">
        <v>1935</v>
      </c>
      <c r="K14" s="12"/>
      <c r="O14"/>
      <c r="P14" s="23"/>
      <c r="R14" s="12"/>
      <c r="S14" s="23"/>
      <c r="X14"/>
      <c r="Y14" s="23"/>
      <c r="AM14"/>
      <c r="AN14"/>
      <c r="AO14" s="9">
        <v>1935</v>
      </c>
      <c r="BJ14" s="3"/>
      <c r="BK14" s="3"/>
      <c r="BL14" s="3"/>
      <c r="BY14"/>
      <c r="BZ14" s="7"/>
      <c r="CA14" s="7"/>
      <c r="CB14" s="7"/>
      <c r="CC14" s="7"/>
      <c r="CD14" s="3"/>
      <c r="CE14" s="7"/>
      <c r="CF14" s="7"/>
      <c r="CG14" s="7"/>
      <c r="CH14" s="7"/>
      <c r="CI14" s="7"/>
    </row>
    <row r="15" spans="1:87">
      <c r="A15">
        <v>1936</v>
      </c>
      <c r="K15" s="12"/>
      <c r="O15"/>
      <c r="P15" s="23"/>
      <c r="R15" s="12"/>
      <c r="S15" s="23"/>
      <c r="X15"/>
      <c r="Y15" s="23"/>
      <c r="AM15"/>
      <c r="AN15"/>
      <c r="AO15" s="9">
        <v>1936</v>
      </c>
      <c r="BJ15" s="3"/>
      <c r="BK15" s="3"/>
      <c r="BL15" s="3"/>
      <c r="BY15"/>
      <c r="BZ15" s="7"/>
      <c r="CA15" s="7"/>
      <c r="CB15" s="7"/>
      <c r="CC15" s="7"/>
      <c r="CD15" s="3"/>
      <c r="CE15" s="7"/>
      <c r="CF15" s="7"/>
      <c r="CG15" s="7"/>
      <c r="CH15" s="7"/>
      <c r="CI15" s="7"/>
    </row>
    <row r="16" spans="1:87">
      <c r="A16">
        <v>1937</v>
      </c>
      <c r="K16" s="12"/>
      <c r="O16"/>
      <c r="P16" s="23"/>
      <c r="R16" s="12"/>
      <c r="S16" s="23"/>
      <c r="X16"/>
      <c r="Y16" s="23"/>
      <c r="AM16"/>
      <c r="AN16"/>
      <c r="AO16" s="9">
        <v>1937</v>
      </c>
      <c r="BJ16" s="3"/>
      <c r="BK16" s="3"/>
      <c r="BL16" s="3"/>
      <c r="BY16"/>
      <c r="BZ16" s="7"/>
      <c r="CA16" s="7"/>
      <c r="CB16" s="7"/>
      <c r="CC16" s="7"/>
      <c r="CD16" s="3"/>
      <c r="CE16" s="7"/>
      <c r="CF16" s="7"/>
      <c r="CG16" s="7"/>
      <c r="CH16" s="7"/>
      <c r="CI16" s="7"/>
    </row>
    <row r="17" spans="1:87">
      <c r="A17">
        <v>1938</v>
      </c>
      <c r="K17" s="12"/>
      <c r="O17"/>
      <c r="P17" s="23"/>
      <c r="R17" s="12"/>
      <c r="S17" s="23"/>
      <c r="X17"/>
      <c r="Y17" s="23"/>
      <c r="AM17"/>
      <c r="AN17"/>
      <c r="AO17" s="9">
        <v>1938</v>
      </c>
      <c r="BJ17" s="3"/>
      <c r="BK17" s="3"/>
      <c r="BL17" s="3"/>
      <c r="BY17"/>
      <c r="BZ17" s="7"/>
      <c r="CA17" s="7"/>
      <c r="CB17" s="7"/>
      <c r="CC17" s="7"/>
      <c r="CD17" s="3"/>
      <c r="CE17" s="7"/>
      <c r="CF17" s="7"/>
      <c r="CG17" s="7"/>
      <c r="CH17" s="7"/>
      <c r="CI17" s="7"/>
    </row>
    <row r="18" spans="1:87">
      <c r="A18">
        <v>1939</v>
      </c>
      <c r="K18" s="12"/>
      <c r="O18"/>
      <c r="P18" s="23"/>
      <c r="R18" s="12"/>
      <c r="S18" s="23"/>
      <c r="X18"/>
      <c r="Y18" s="23"/>
      <c r="AM18"/>
      <c r="AN18"/>
      <c r="AO18" s="9">
        <v>1939</v>
      </c>
      <c r="BJ18" s="3"/>
      <c r="BK18" s="3"/>
      <c r="BL18" s="3"/>
      <c r="BY18"/>
      <c r="BZ18" s="7"/>
      <c r="CA18" s="7"/>
      <c r="CB18" s="7"/>
      <c r="CC18" s="7"/>
      <c r="CD18" s="3"/>
      <c r="CE18" s="7"/>
      <c r="CF18" s="7"/>
      <c r="CG18" s="7"/>
      <c r="CH18" s="7"/>
      <c r="CI18" s="7"/>
    </row>
    <row r="19" spans="1:87">
      <c r="A19">
        <v>1940</v>
      </c>
      <c r="K19" s="12"/>
      <c r="O19"/>
      <c r="P19" s="23"/>
      <c r="R19" s="12"/>
      <c r="S19" s="23"/>
      <c r="X19"/>
      <c r="Y19" s="23"/>
      <c r="AM19"/>
      <c r="AN19"/>
      <c r="AO19" s="9">
        <v>1940</v>
      </c>
      <c r="BJ19" s="3"/>
      <c r="BK19" s="3"/>
      <c r="BL19" s="3"/>
      <c r="BY19"/>
      <c r="BZ19" s="7"/>
      <c r="CA19" s="7"/>
      <c r="CB19" s="7"/>
      <c r="CC19" s="7"/>
      <c r="CD19" s="3"/>
      <c r="CE19" s="7"/>
      <c r="CF19" s="7"/>
      <c r="CG19" s="7"/>
      <c r="CH19" s="7"/>
      <c r="CI19" s="7"/>
    </row>
    <row r="20" spans="1:87">
      <c r="A20">
        <v>1941</v>
      </c>
      <c r="K20" s="12"/>
      <c r="O20"/>
      <c r="P20" s="23"/>
      <c r="R20" s="12"/>
      <c r="S20" s="23"/>
      <c r="X20"/>
      <c r="Y20" s="23"/>
      <c r="AM20"/>
      <c r="AN20"/>
      <c r="AO20" s="9">
        <v>1941</v>
      </c>
      <c r="BJ20" s="3"/>
      <c r="BK20" s="3"/>
      <c r="BL20" s="3"/>
      <c r="BY20"/>
      <c r="BZ20" s="7"/>
      <c r="CA20" s="7"/>
      <c r="CB20" s="7"/>
      <c r="CC20" s="7"/>
      <c r="CD20" s="3"/>
      <c r="CE20" s="7"/>
      <c r="CF20" s="7"/>
      <c r="CG20" s="7"/>
      <c r="CH20" s="7"/>
      <c r="CI20" s="7"/>
    </row>
    <row r="21" spans="1:87">
      <c r="A21">
        <v>1942</v>
      </c>
      <c r="K21" s="12"/>
      <c r="O21"/>
      <c r="P21" s="23"/>
      <c r="R21" s="12"/>
      <c r="S21" s="23"/>
      <c r="X21"/>
      <c r="Y21" s="23"/>
      <c r="AM21"/>
      <c r="AN21"/>
      <c r="AO21" s="9">
        <v>1942</v>
      </c>
      <c r="BJ21" s="3"/>
      <c r="BK21" s="3"/>
      <c r="BL21" s="3"/>
      <c r="BY21"/>
      <c r="BZ21" s="7"/>
      <c r="CA21" s="7"/>
      <c r="CB21" s="7"/>
      <c r="CC21" s="7"/>
      <c r="CD21" s="3"/>
      <c r="CE21" s="7"/>
      <c r="CF21" s="7"/>
      <c r="CG21" s="7"/>
      <c r="CH21" s="7"/>
      <c r="CI21" s="7"/>
    </row>
    <row r="22" spans="1:87">
      <c r="A22">
        <v>1943</v>
      </c>
      <c r="K22" s="12"/>
      <c r="O22"/>
      <c r="P22" s="23"/>
      <c r="R22" s="12"/>
      <c r="S22" s="23"/>
      <c r="X22"/>
      <c r="Y22" s="23"/>
      <c r="AM22"/>
      <c r="AN22"/>
      <c r="AO22" s="9">
        <v>1943</v>
      </c>
      <c r="BJ22" s="3"/>
      <c r="BK22" s="3"/>
      <c r="BL22" s="3"/>
      <c r="BY22"/>
      <c r="BZ22" s="7"/>
      <c r="CA22" s="7"/>
      <c r="CB22" s="7"/>
      <c r="CC22" s="7"/>
      <c r="CD22" s="3"/>
      <c r="CE22" s="7"/>
      <c r="CF22" s="7"/>
      <c r="CG22" s="7"/>
      <c r="CH22" s="7"/>
      <c r="CI22" s="7"/>
    </row>
    <row r="23" spans="1:87">
      <c r="A23">
        <v>1944</v>
      </c>
      <c r="K23" s="12"/>
      <c r="O23"/>
      <c r="P23" s="23"/>
      <c r="R23" s="12"/>
      <c r="S23" s="23"/>
      <c r="X23"/>
      <c r="Y23" s="23"/>
      <c r="AM23"/>
      <c r="AN23"/>
      <c r="AO23" s="9">
        <v>1944</v>
      </c>
      <c r="BJ23" s="3"/>
      <c r="BK23" s="3"/>
      <c r="BL23" s="3"/>
      <c r="BY23"/>
      <c r="BZ23" s="7"/>
      <c r="CA23" s="7"/>
      <c r="CB23" s="7"/>
      <c r="CC23" s="7"/>
      <c r="CD23" s="3"/>
      <c r="CE23" s="7"/>
      <c r="CF23" s="7"/>
      <c r="CG23" s="7"/>
      <c r="CH23" s="7"/>
      <c r="CI23" s="7"/>
    </row>
    <row r="24" spans="1:87">
      <c r="A24">
        <v>1945</v>
      </c>
      <c r="K24" s="12"/>
      <c r="O24"/>
      <c r="P24" s="23"/>
      <c r="R24" s="12"/>
      <c r="S24" s="23"/>
      <c r="X24"/>
      <c r="Y24" s="23"/>
      <c r="AM24"/>
      <c r="AN24"/>
      <c r="AO24" s="9">
        <v>1945</v>
      </c>
      <c r="BJ24" s="3"/>
      <c r="BK24" s="3"/>
      <c r="BL24" s="3"/>
      <c r="BY24"/>
      <c r="BZ24" s="7"/>
      <c r="CA24" s="7"/>
      <c r="CB24" s="7"/>
      <c r="CC24" s="7"/>
      <c r="CD24" s="3"/>
      <c r="CE24" s="7"/>
      <c r="CF24" s="7"/>
      <c r="CG24" s="7"/>
      <c r="CH24" s="7"/>
      <c r="CI24" s="7"/>
    </row>
    <row r="25" spans="1:87">
      <c r="A25">
        <v>1946</v>
      </c>
      <c r="K25" s="12"/>
      <c r="O25"/>
      <c r="P25" s="23"/>
      <c r="R25" s="12"/>
      <c r="S25" s="23"/>
      <c r="X25"/>
      <c r="Y25" s="23"/>
      <c r="AM25"/>
      <c r="AN25"/>
      <c r="AO25" s="9">
        <v>1946</v>
      </c>
      <c r="BJ25" s="3"/>
      <c r="BK25" s="3"/>
      <c r="BL25" s="3"/>
      <c r="BY25"/>
      <c r="BZ25" s="7"/>
      <c r="CA25" s="7"/>
      <c r="CB25" s="7"/>
      <c r="CC25" s="7"/>
      <c r="CD25" s="3"/>
      <c r="CE25" s="7"/>
      <c r="CF25" s="7"/>
      <c r="CG25" s="7"/>
      <c r="CH25" s="7"/>
      <c r="CI25" s="7"/>
    </row>
    <row r="26" spans="1:87">
      <c r="A26">
        <v>1947</v>
      </c>
      <c r="K26" s="12"/>
      <c r="O26"/>
      <c r="P26" s="23"/>
      <c r="R26" s="12"/>
      <c r="S26" s="23"/>
      <c r="X26"/>
      <c r="Y26" s="23"/>
      <c r="AM26"/>
      <c r="AN26"/>
      <c r="AO26" s="9">
        <v>1947</v>
      </c>
      <c r="BJ26" s="3"/>
      <c r="BK26" s="3"/>
      <c r="BL26" s="3"/>
      <c r="BY26"/>
      <c r="BZ26" s="7"/>
      <c r="CA26" s="7"/>
      <c r="CB26" s="7"/>
      <c r="CC26" s="7"/>
      <c r="CD26" s="3"/>
      <c r="CE26" s="7"/>
      <c r="CF26" s="7"/>
      <c r="CG26" s="7"/>
      <c r="CH26" s="7"/>
      <c r="CI26" s="7"/>
    </row>
    <row r="27" spans="1:87">
      <c r="A27">
        <v>1948</v>
      </c>
      <c r="K27" s="12"/>
      <c r="O27"/>
      <c r="P27" s="23"/>
      <c r="R27" s="12"/>
      <c r="S27" s="23"/>
      <c r="X27"/>
      <c r="Y27" s="23"/>
      <c r="AM27"/>
      <c r="AN27"/>
      <c r="AO27" s="9">
        <v>1948</v>
      </c>
      <c r="BJ27" s="3"/>
      <c r="BK27" s="3"/>
      <c r="BL27" s="3"/>
      <c r="BY27"/>
      <c r="BZ27" s="7"/>
      <c r="CA27" s="7"/>
      <c r="CB27" s="7"/>
      <c r="CC27" s="7"/>
      <c r="CD27" s="3"/>
      <c r="CE27" s="7"/>
      <c r="CF27" s="7"/>
      <c r="CG27" s="7"/>
      <c r="CH27" s="7"/>
      <c r="CI27" s="7"/>
    </row>
    <row r="28" spans="1:87">
      <c r="A28">
        <v>1949</v>
      </c>
      <c r="K28" s="12"/>
      <c r="O28"/>
      <c r="P28" s="23"/>
      <c r="R28" s="12"/>
      <c r="S28" s="23"/>
      <c r="X28"/>
      <c r="Y28" s="23"/>
      <c r="AM28"/>
      <c r="AN28"/>
      <c r="AO28" s="9">
        <v>1949</v>
      </c>
      <c r="BJ28" s="3"/>
      <c r="BK28" s="3"/>
      <c r="BL28" s="3"/>
      <c r="BY28"/>
      <c r="BZ28" s="7"/>
      <c r="CA28" s="7"/>
      <c r="CB28" s="7"/>
      <c r="CC28" s="7"/>
      <c r="CD28" s="3"/>
      <c r="CE28" s="7"/>
      <c r="CF28" s="7"/>
      <c r="CG28" s="7"/>
      <c r="CH28" s="7"/>
      <c r="CI28" s="7"/>
    </row>
    <row r="29" spans="1:87">
      <c r="A29">
        <v>1950</v>
      </c>
      <c r="K29" s="12"/>
      <c r="O29"/>
      <c r="P29" s="23"/>
      <c r="R29" s="12"/>
      <c r="S29" s="23"/>
      <c r="X29"/>
      <c r="Y29" s="23"/>
      <c r="AM29"/>
      <c r="AN29"/>
      <c r="AO29" s="9">
        <v>1950</v>
      </c>
      <c r="BJ29" s="3"/>
      <c r="BK29" s="3"/>
      <c r="BL29" s="3"/>
      <c r="BY29"/>
      <c r="BZ29" s="7"/>
      <c r="CA29" s="7"/>
      <c r="CB29" s="7"/>
      <c r="CC29" s="7"/>
      <c r="CD29" s="3"/>
      <c r="CE29" s="7"/>
      <c r="CF29" s="7"/>
      <c r="CG29" s="7"/>
      <c r="CH29" s="7"/>
      <c r="CI29" s="7"/>
    </row>
    <row r="30" spans="1:87">
      <c r="A30">
        <v>1951</v>
      </c>
      <c r="K30" s="12"/>
      <c r="O30"/>
      <c r="P30" s="23"/>
      <c r="R30" s="12"/>
      <c r="S30" s="23"/>
      <c r="X30"/>
      <c r="Y30" s="23"/>
      <c r="AM30"/>
      <c r="AN30"/>
      <c r="AO30" s="9">
        <v>1951</v>
      </c>
      <c r="BJ30" s="3"/>
      <c r="BK30" s="3"/>
      <c r="BL30" s="3"/>
      <c r="BY30"/>
      <c r="BZ30" s="7"/>
      <c r="CA30" s="7"/>
      <c r="CB30" s="7"/>
      <c r="CC30" s="7"/>
      <c r="CD30" s="3"/>
      <c r="CE30" s="7"/>
      <c r="CF30" s="7"/>
      <c r="CG30" s="7"/>
      <c r="CH30" s="7"/>
      <c r="CI30" s="7"/>
    </row>
    <row r="31" spans="1:87">
      <c r="A31">
        <v>1952</v>
      </c>
      <c r="K31" s="12"/>
      <c r="O31"/>
      <c r="P31" s="23"/>
      <c r="R31" s="12"/>
      <c r="S31" s="23"/>
      <c r="X31"/>
      <c r="Y31" s="23"/>
      <c r="AM31"/>
      <c r="AN31"/>
      <c r="AO31" s="9">
        <v>1952</v>
      </c>
      <c r="BJ31" s="3"/>
      <c r="BK31" s="3"/>
      <c r="BL31" s="3"/>
      <c r="BY31"/>
      <c r="BZ31" s="7"/>
      <c r="CA31" s="7"/>
      <c r="CB31" s="7"/>
      <c r="CC31" s="7"/>
      <c r="CD31" s="3"/>
      <c r="CE31" s="7"/>
      <c r="CF31" s="7"/>
      <c r="CG31" s="7"/>
      <c r="CH31" s="7"/>
      <c r="CI31" s="7"/>
    </row>
    <row r="32" spans="1:87">
      <c r="A32">
        <v>1953</v>
      </c>
      <c r="K32" s="12"/>
      <c r="O32"/>
      <c r="P32" s="23"/>
      <c r="R32" s="12"/>
      <c r="S32" s="23"/>
      <c r="X32"/>
      <c r="Y32" s="23"/>
      <c r="AM32"/>
      <c r="AN32"/>
      <c r="AO32" s="9">
        <v>1953</v>
      </c>
      <c r="BJ32" s="3"/>
      <c r="BK32" s="3"/>
      <c r="BL32" s="3"/>
      <c r="BY32"/>
      <c r="BZ32" s="7"/>
      <c r="CA32" s="7"/>
      <c r="CB32" s="7"/>
      <c r="CC32" s="7"/>
      <c r="CD32" s="3"/>
      <c r="CE32" s="7"/>
      <c r="CF32" s="7"/>
      <c r="CG32" s="7"/>
      <c r="CH32" s="7"/>
      <c r="CI32" s="7"/>
    </row>
    <row r="33" spans="1:87">
      <c r="A33">
        <v>1954</v>
      </c>
      <c r="K33" s="12"/>
      <c r="O33"/>
      <c r="P33" s="23"/>
      <c r="R33" s="12"/>
      <c r="S33" s="23"/>
      <c r="X33"/>
      <c r="Y33" s="23"/>
      <c r="AM33"/>
      <c r="AN33"/>
      <c r="AO33" s="9">
        <v>1954</v>
      </c>
      <c r="BJ33" s="3"/>
      <c r="BK33" s="3"/>
      <c r="BL33" s="3"/>
      <c r="BY33"/>
      <c r="BZ33" s="7"/>
      <c r="CA33" s="7"/>
      <c r="CB33" s="7"/>
      <c r="CC33" s="7"/>
      <c r="CD33" s="3"/>
      <c r="CE33" s="7"/>
      <c r="CF33" s="7"/>
      <c r="CG33" s="7"/>
      <c r="CH33" s="7"/>
      <c r="CI33" s="7"/>
    </row>
    <row r="34" spans="1:87">
      <c r="A34">
        <v>1955</v>
      </c>
      <c r="K34" s="12"/>
      <c r="O34"/>
      <c r="P34" s="23"/>
      <c r="R34" s="12"/>
      <c r="S34" s="23"/>
      <c r="X34"/>
      <c r="Y34" s="23"/>
      <c r="AM34"/>
      <c r="AN34"/>
      <c r="AO34" s="9">
        <v>1955</v>
      </c>
      <c r="BJ34" s="3"/>
      <c r="BK34" s="3"/>
      <c r="BL34" s="3"/>
      <c r="BY34"/>
      <c r="BZ34" s="7"/>
      <c r="CA34" s="7"/>
      <c r="CB34" s="7"/>
      <c r="CC34" s="7"/>
      <c r="CD34" s="3"/>
      <c r="CE34" s="7"/>
      <c r="CF34" s="7"/>
      <c r="CG34" s="7"/>
      <c r="CH34" s="7"/>
      <c r="CI34" s="7"/>
    </row>
    <row r="35" spans="1:87">
      <c r="A35">
        <v>1956</v>
      </c>
      <c r="K35" s="12"/>
      <c r="O35"/>
      <c r="P35" s="23"/>
      <c r="R35" s="12"/>
      <c r="S35" s="23"/>
      <c r="X35"/>
      <c r="Y35" s="23"/>
      <c r="AM35"/>
      <c r="AN35"/>
      <c r="AO35" s="9">
        <v>1956</v>
      </c>
      <c r="BJ35" s="3"/>
      <c r="BK35" s="3"/>
      <c r="BL35" s="3"/>
      <c r="BY35"/>
      <c r="BZ35" s="7"/>
      <c r="CA35" s="7"/>
      <c r="CB35" s="7"/>
      <c r="CC35" s="7"/>
      <c r="CD35" s="3"/>
      <c r="CE35" s="7"/>
      <c r="CF35" s="7"/>
      <c r="CG35" s="7"/>
      <c r="CH35" s="7"/>
      <c r="CI35" s="7"/>
    </row>
    <row r="36" spans="1:87">
      <c r="A36">
        <v>1957</v>
      </c>
      <c r="K36" s="12"/>
      <c r="O36"/>
      <c r="P36" s="23"/>
      <c r="R36" s="12"/>
      <c r="S36" s="23"/>
      <c r="X36"/>
      <c r="Y36" s="23"/>
      <c r="AM36"/>
      <c r="AN36"/>
      <c r="AO36" s="9">
        <v>1957</v>
      </c>
      <c r="BJ36" s="3"/>
      <c r="BK36" s="3"/>
      <c r="BL36" s="3"/>
      <c r="BY36"/>
      <c r="BZ36" s="7"/>
      <c r="CA36" s="7"/>
      <c r="CB36" s="7"/>
      <c r="CC36" s="7"/>
      <c r="CD36" s="3"/>
      <c r="CE36" s="7"/>
      <c r="CF36" s="7"/>
      <c r="CG36" s="7"/>
      <c r="CH36" s="7"/>
      <c r="CI36" s="7"/>
    </row>
    <row r="37" spans="1:87">
      <c r="A37">
        <v>1958</v>
      </c>
      <c r="K37" s="12"/>
      <c r="O37"/>
      <c r="P37" s="23"/>
      <c r="R37" s="12"/>
      <c r="S37" s="23"/>
      <c r="X37"/>
      <c r="Y37" s="23"/>
      <c r="AM37"/>
      <c r="AN37"/>
      <c r="AO37" s="9">
        <v>1958</v>
      </c>
      <c r="BJ37" s="3"/>
      <c r="BK37" s="3"/>
      <c r="BL37" s="3"/>
      <c r="BY37"/>
      <c r="BZ37" s="7"/>
      <c r="CA37" s="7"/>
      <c r="CB37" s="7"/>
      <c r="CC37" s="7"/>
      <c r="CD37" s="3"/>
      <c r="CE37" s="7"/>
      <c r="CF37" s="7"/>
      <c r="CG37" s="7"/>
      <c r="CH37" s="7"/>
      <c r="CI37" s="7"/>
    </row>
    <row r="38" spans="1:87">
      <c r="A38">
        <v>1959</v>
      </c>
      <c r="K38" s="12"/>
      <c r="O38"/>
      <c r="P38" s="23"/>
      <c r="R38" s="12"/>
      <c r="S38" s="23"/>
      <c r="X38"/>
      <c r="Y38" s="23"/>
      <c r="AM38"/>
      <c r="AN38"/>
      <c r="AO38" s="9">
        <v>1959</v>
      </c>
      <c r="BJ38" s="3"/>
      <c r="BK38" s="3"/>
      <c r="BL38" s="3"/>
      <c r="BY38"/>
      <c r="BZ38" s="7"/>
      <c r="CA38" s="7"/>
      <c r="CB38" s="7"/>
      <c r="CC38" s="7"/>
      <c r="CD38" s="3"/>
      <c r="CE38" s="7"/>
      <c r="CF38" s="7"/>
      <c r="CG38" s="7"/>
      <c r="CH38" s="7"/>
      <c r="CI38" s="7"/>
    </row>
    <row r="39" spans="1:87">
      <c r="A39">
        <v>1960</v>
      </c>
      <c r="K39" s="12"/>
      <c r="O39"/>
      <c r="P39" s="23"/>
      <c r="R39" s="12"/>
      <c r="S39" s="23"/>
      <c r="X39"/>
      <c r="Y39" s="23"/>
      <c r="AM39"/>
      <c r="AN39"/>
      <c r="AO39" s="9">
        <v>1960</v>
      </c>
      <c r="BJ39" s="3"/>
      <c r="BK39" s="3"/>
      <c r="BL39" s="3"/>
      <c r="BY39"/>
      <c r="BZ39" s="7"/>
      <c r="CA39" s="7"/>
      <c r="CB39" s="7"/>
      <c r="CC39" s="7"/>
      <c r="CD39" s="3"/>
      <c r="CE39" s="7"/>
      <c r="CF39" s="7"/>
      <c r="CG39" s="7"/>
      <c r="CH39" s="7"/>
      <c r="CI39" s="7"/>
    </row>
    <row r="40" spans="1:87">
      <c r="A40">
        <v>1961</v>
      </c>
      <c r="K40" s="12"/>
      <c r="O40"/>
      <c r="P40" s="23"/>
      <c r="R40" s="12"/>
      <c r="S40" s="23"/>
      <c r="X40"/>
      <c r="Y40" s="23"/>
      <c r="AM40"/>
      <c r="AN40"/>
      <c r="AO40" s="9">
        <v>1961</v>
      </c>
      <c r="BJ40" s="3"/>
      <c r="BK40" s="3"/>
      <c r="BL40" s="3"/>
      <c r="BY40"/>
      <c r="BZ40" s="7"/>
      <c r="CA40" s="7"/>
      <c r="CB40" s="7"/>
      <c r="CC40" s="7"/>
      <c r="CD40" s="3"/>
      <c r="CE40" s="7"/>
      <c r="CF40" s="7"/>
      <c r="CG40" s="7"/>
      <c r="CH40" s="7"/>
      <c r="CI40" s="7"/>
    </row>
    <row r="41" spans="1:87">
      <c r="A41">
        <v>1962</v>
      </c>
      <c r="K41" s="12"/>
      <c r="O41"/>
      <c r="P41" s="23"/>
      <c r="R41" s="12"/>
      <c r="S41" s="23"/>
      <c r="X41"/>
      <c r="Y41" s="23"/>
      <c r="AM41"/>
      <c r="AN41"/>
      <c r="AO41" s="9">
        <v>1962</v>
      </c>
      <c r="BJ41" s="3"/>
      <c r="BK41" s="3"/>
      <c r="BL41" s="3"/>
      <c r="BY41"/>
      <c r="BZ41" s="7"/>
      <c r="CA41" s="7"/>
      <c r="CB41" s="7"/>
      <c r="CC41" s="7"/>
      <c r="CD41" s="3"/>
      <c r="CE41" s="7"/>
      <c r="CF41" s="7"/>
      <c r="CG41" s="7"/>
      <c r="CH41" s="7"/>
      <c r="CI41" s="7"/>
    </row>
    <row r="42" spans="1:87">
      <c r="A42">
        <v>1963</v>
      </c>
      <c r="K42" s="12"/>
      <c r="O42"/>
      <c r="P42" s="23"/>
      <c r="R42" s="12"/>
      <c r="S42" s="23"/>
      <c r="X42"/>
      <c r="Y42" s="23"/>
      <c r="AM42"/>
      <c r="AN42"/>
      <c r="AO42" s="46" t="s">
        <v>2103</v>
      </c>
      <c r="AP42" s="46" t="s">
        <v>58</v>
      </c>
      <c r="AQ42" s="46" t="s">
        <v>58</v>
      </c>
      <c r="AR42" s="46" t="s">
        <v>58</v>
      </c>
      <c r="AS42" s="46" t="s">
        <v>58</v>
      </c>
      <c r="AT42" s="46" t="s">
        <v>58</v>
      </c>
      <c r="AU42" s="46" t="s">
        <v>58</v>
      </c>
      <c r="AW42" s="46"/>
      <c r="AY42" s="46" t="s">
        <v>227</v>
      </c>
      <c r="AZ42" s="46" t="s">
        <v>227</v>
      </c>
      <c r="BA42" s="46" t="s">
        <v>227</v>
      </c>
      <c r="BB42" s="46" t="s">
        <v>227</v>
      </c>
      <c r="BC42" s="46" t="s">
        <v>227</v>
      </c>
      <c r="BD42" s="46" t="s">
        <v>1957</v>
      </c>
      <c r="BE42" s="46" t="s">
        <v>2098</v>
      </c>
      <c r="BF42" s="46" t="s">
        <v>2098</v>
      </c>
      <c r="BG42" s="46" t="s">
        <v>2098</v>
      </c>
      <c r="BH42" s="46" t="s">
        <v>2098</v>
      </c>
      <c r="BI42" s="46" t="s">
        <v>2098</v>
      </c>
      <c r="BJ42" s="3"/>
      <c r="BK42" s="46" t="s">
        <v>2440</v>
      </c>
      <c r="BL42" s="46" t="s">
        <v>2440</v>
      </c>
      <c r="BY42"/>
      <c r="BZ42" s="7"/>
      <c r="CA42" s="7"/>
      <c r="CB42" s="7"/>
      <c r="CC42" s="7"/>
      <c r="CD42" s="3"/>
      <c r="CE42" s="7"/>
      <c r="CF42" s="7"/>
      <c r="CG42" s="7"/>
      <c r="CH42" s="7"/>
      <c r="CI42" s="7"/>
    </row>
    <row r="43" spans="1:87">
      <c r="A43">
        <v>1964</v>
      </c>
      <c r="K43" s="12"/>
      <c r="O43"/>
      <c r="P43" s="23"/>
      <c r="R43" s="12"/>
      <c r="S43" s="23"/>
      <c r="X43"/>
      <c r="Y43" s="23"/>
      <c r="Z43" s="3"/>
      <c r="AM43"/>
      <c r="AN43"/>
      <c r="AO43" s="46"/>
      <c r="AP43" s="46" t="s">
        <v>131</v>
      </c>
      <c r="AQ43" s="46" t="s">
        <v>111</v>
      </c>
      <c r="AR43" s="46" t="s">
        <v>2107</v>
      </c>
      <c r="AS43" s="46" t="s">
        <v>112</v>
      </c>
      <c r="AT43" s="46" t="s">
        <v>67</v>
      </c>
      <c r="AU43" s="46" t="s">
        <v>133</v>
      </c>
      <c r="AW43" s="139" t="s">
        <v>237</v>
      </c>
      <c r="AY43" s="46" t="s">
        <v>131</v>
      </c>
      <c r="AZ43" s="46" t="s">
        <v>2097</v>
      </c>
      <c r="BA43" s="46" t="s">
        <v>67</v>
      </c>
      <c r="BB43" s="46" t="s">
        <v>133</v>
      </c>
      <c r="BC43" s="46" t="s">
        <v>2097</v>
      </c>
      <c r="BD43" s="46" t="s">
        <v>1943</v>
      </c>
      <c r="BE43" s="46" t="s">
        <v>2108</v>
      </c>
      <c r="BF43" s="46">
        <v>9106</v>
      </c>
      <c r="BG43" s="46">
        <v>6582</v>
      </c>
      <c r="BH43" s="46" t="s">
        <v>2109</v>
      </c>
      <c r="BI43" s="46">
        <v>8490</v>
      </c>
      <c r="BJ43" s="3"/>
      <c r="BK43" s="46" t="s">
        <v>131</v>
      </c>
      <c r="BL43" s="46" t="s">
        <v>2097</v>
      </c>
      <c r="BY43"/>
      <c r="BZ43" s="7"/>
      <c r="CA43" s="7"/>
      <c r="CB43" s="7"/>
      <c r="CC43" s="7"/>
      <c r="CD43" s="3"/>
      <c r="CE43" s="7"/>
      <c r="CF43" s="7"/>
      <c r="CG43" s="7"/>
      <c r="CH43" s="7"/>
      <c r="CI43" s="7"/>
    </row>
    <row r="44" spans="1:87">
      <c r="A44">
        <v>1965</v>
      </c>
      <c r="B44" s="3">
        <f>I44/G44*100/C44</f>
        <v>59.405261701587762</v>
      </c>
      <c r="C44" s="3">
        <f t="shared" ref="C44:C87" si="0">E44/E$89*100</f>
        <v>14.459024846529534</v>
      </c>
      <c r="D44" s="1"/>
      <c r="E44" s="3">
        <v>20.692699999999999</v>
      </c>
      <c r="F44" s="3">
        <f>D44*E44/100</f>
        <v>0</v>
      </c>
      <c r="G44" s="2">
        <v>1.0779833324166701</v>
      </c>
      <c r="H44" s="3">
        <v>9.259253265546155</v>
      </c>
      <c r="I44" s="21">
        <f t="shared" ref="I44:I67" si="1">H44</f>
        <v>9.259253265546155</v>
      </c>
      <c r="J44" s="21">
        <f t="shared" ref="J44:J75" si="2">CD44+AF44</f>
        <v>9.4703980995728561</v>
      </c>
      <c r="K44" s="21"/>
      <c r="O44"/>
      <c r="P44" s="23"/>
      <c r="Q44" s="21">
        <f t="shared" ref="Q44:Q78" si="3">I44-AF44</f>
        <v>4.0682183587514773</v>
      </c>
      <c r="R44" s="21">
        <f t="shared" ref="R44:R88" si="4">R$92+R$93*T44+R$94*U44+R$95*V44+R$96*W44+R$97*X44</f>
        <v>5.7392486782193259</v>
      </c>
      <c r="S44" s="27"/>
      <c r="T44">
        <f>USA!Z52*G44</f>
        <v>3.5573449969750111</v>
      </c>
      <c r="U44">
        <v>1</v>
      </c>
      <c r="V44">
        <v>0</v>
      </c>
      <c r="W44">
        <v>0</v>
      </c>
      <c r="X44">
        <v>0</v>
      </c>
      <c r="Y44" s="23"/>
      <c r="Z44" s="3"/>
      <c r="AA44" s="3">
        <f t="shared" ref="AA44:AA68" si="5">0.135*(I44-AB44)</f>
        <v>0.69236284005459536</v>
      </c>
      <c r="AB44" s="3">
        <v>4.1306396355121153</v>
      </c>
      <c r="AC44" s="3">
        <v>0</v>
      </c>
      <c r="AD44" s="3">
        <f>'Canada Prov''s'!AD5/100</f>
        <v>4.1392789368974142E-2</v>
      </c>
      <c r="AE44" s="4">
        <f>(AC44+AD44)*(I44*(1/(1+(AC44+AD44))))</f>
        <v>0.3680324312279673</v>
      </c>
      <c r="AF44" s="3">
        <f t="shared" ref="AF44:AF75" si="6">AA44+AB44+AE44</f>
        <v>5.1910349067946777</v>
      </c>
      <c r="AH44" s="4"/>
      <c r="AM44"/>
      <c r="AN44"/>
      <c r="AO44" s="9">
        <v>1965</v>
      </c>
      <c r="AP44" s="3">
        <f t="shared" ref="AP44:AP75" si="7">I44</f>
        <v>9.259253265546155</v>
      </c>
      <c r="AQ44" s="3">
        <f t="shared" ref="AQ44:AQ75" si="8">AA44</f>
        <v>0.69236284005459536</v>
      </c>
      <c r="AR44" s="3">
        <f t="shared" ref="AR44:AR75" si="9">AB44</f>
        <v>4.1306396355121153</v>
      </c>
      <c r="AS44" s="3">
        <f>AE44</f>
        <v>0.3680324312279673</v>
      </c>
      <c r="AT44" s="3">
        <f>AF44</f>
        <v>5.1910349067946777</v>
      </c>
      <c r="AU44" s="3">
        <f t="shared" ref="AU44:AU75" si="10">AP44-AT44</f>
        <v>4.0682183587514773</v>
      </c>
      <c r="AW44" s="3">
        <v>14.439039085899688</v>
      </c>
      <c r="AY44" s="3">
        <f t="shared" ref="AY44:AY75" si="11">AP44/$AW44*100</f>
        <v>64.126519849843717</v>
      </c>
      <c r="AZ44" s="3">
        <f>BC44+BA44</f>
        <v>65.588839002597382</v>
      </c>
      <c r="BA44" s="3">
        <f t="shared" ref="BA44:BA75" si="12">AT44/$AW44*100</f>
        <v>35.951387595203173</v>
      </c>
      <c r="BB44" s="3">
        <f t="shared" ref="BB44:BB51" si="13">AY44-BA44</f>
        <v>28.175132254640545</v>
      </c>
      <c r="BC44" s="3">
        <f t="shared" ref="BC44:BC75" si="14">AZ$100+AZ$101*BD44+AZ$102*BE44+AZ$103*BF44+AZ$104*BG44+AZ$105*BH44+AZ$106*BI44</f>
        <v>29.637451407394217</v>
      </c>
      <c r="BD44" s="3">
        <f t="shared" ref="BD44:BD75" si="15">T44/AW44*100</f>
        <v>24.636992640659198</v>
      </c>
      <c r="BE44" s="3">
        <v>0</v>
      </c>
      <c r="BF44" s="3">
        <v>0</v>
      </c>
      <c r="BG44" s="24">
        <v>0.45</v>
      </c>
      <c r="BH44" s="3">
        <v>0</v>
      </c>
      <c r="BI44" s="3">
        <v>0</v>
      </c>
      <c r="BJ44" s="3"/>
      <c r="BK44" s="7">
        <f t="shared" ref="BK44:BK96" si="16">AY44*$AW$97/$AW$89</f>
        <v>73.820236294268213</v>
      </c>
      <c r="BL44" s="7">
        <f t="shared" ref="BL44:BL96" si="17">AZ44*$AW$97/$AW$89</f>
        <v>75.503607630287675</v>
      </c>
      <c r="BY44"/>
      <c r="BZ44" s="7"/>
      <c r="CA44" s="7"/>
      <c r="CB44" s="7"/>
      <c r="CC44" s="7"/>
      <c r="CD44" s="3">
        <f t="shared" ref="CD44:CD75" si="18">BC44*AW44/100</f>
        <v>4.2793631927781783</v>
      </c>
      <c r="CE44" s="7"/>
      <c r="CF44" s="7"/>
      <c r="CG44" s="7"/>
      <c r="CH44" s="7"/>
      <c r="CI44" s="7"/>
    </row>
    <row r="45" spans="1:87">
      <c r="A45">
        <v>1966</v>
      </c>
      <c r="B45" s="3">
        <f t="shared" ref="B45:B96" si="19">I45/G45*100/C45</f>
        <v>59.973954695155605</v>
      </c>
      <c r="C45" s="3">
        <f t="shared" si="0"/>
        <v>14.891495218110531</v>
      </c>
      <c r="D45" s="1"/>
      <c r="E45" s="3">
        <v>21.311620000000001</v>
      </c>
      <c r="F45" s="3">
        <f t="shared" ref="F45:F78" si="20">D45*E45/100</f>
        <v>0</v>
      </c>
      <c r="G45" s="2">
        <v>1.077316666</v>
      </c>
      <c r="H45" s="3">
        <v>9.6215351773320954</v>
      </c>
      <c r="I45" s="21">
        <f t="shared" si="1"/>
        <v>9.6215351773320954</v>
      </c>
      <c r="J45" s="21">
        <f t="shared" si="2"/>
        <v>9.6427883884379533</v>
      </c>
      <c r="K45" s="21"/>
      <c r="O45"/>
      <c r="P45" s="23"/>
      <c r="Q45" s="21">
        <f t="shared" si="3"/>
        <v>4.3591440075103609</v>
      </c>
      <c r="R45" s="21">
        <f t="shared" si="4"/>
        <v>5.737615705808512</v>
      </c>
      <c r="S45" s="27"/>
      <c r="T45">
        <f>USA!Z53*G45</f>
        <v>3.5551449977999998</v>
      </c>
      <c r="U45">
        <v>1</v>
      </c>
      <c r="V45">
        <v>0</v>
      </c>
      <c r="W45">
        <v>0</v>
      </c>
      <c r="X45">
        <v>0</v>
      </c>
      <c r="Y45" s="23"/>
      <c r="Z45" s="3"/>
      <c r="AA45" s="3">
        <f t="shared" si="5"/>
        <v>0.74013609332187791</v>
      </c>
      <c r="AB45" s="3">
        <v>4.1390455971700373</v>
      </c>
      <c r="AC45" s="3">
        <v>0</v>
      </c>
      <c r="AD45" s="3">
        <f>'Canada Prov''s'!AD6/100</f>
        <v>4.1480403685343753E-2</v>
      </c>
      <c r="AE45" s="4">
        <f t="shared" ref="AE45:AE96" si="21">(AC45+AD45)*(I45*(1/(1+(AC45+AD45))))</f>
        <v>0.38320947932981952</v>
      </c>
      <c r="AF45" s="3">
        <f t="shared" si="6"/>
        <v>5.2623911698217345</v>
      </c>
      <c r="AH45" s="4"/>
      <c r="AM45"/>
      <c r="AN45"/>
      <c r="AO45" s="9">
        <v>1966</v>
      </c>
      <c r="AP45" s="3">
        <f t="shared" si="7"/>
        <v>9.6215351773320954</v>
      </c>
      <c r="AQ45" s="3">
        <f t="shared" si="8"/>
        <v>0.74013609332187791</v>
      </c>
      <c r="AR45" s="3">
        <f t="shared" si="9"/>
        <v>4.1390455971700373</v>
      </c>
      <c r="AS45" s="3">
        <f t="shared" ref="AS45:AS97" si="22">AE45</f>
        <v>0.38320947932981952</v>
      </c>
      <c r="AT45" s="3">
        <f t="shared" ref="AT45:AT76" si="23">AF45</f>
        <v>5.2623911698217345</v>
      </c>
      <c r="AU45" s="3">
        <f t="shared" si="10"/>
        <v>4.3591440075103609</v>
      </c>
      <c r="AW45" s="3">
        <v>14.989983580294338</v>
      </c>
      <c r="AY45" s="3">
        <f t="shared" si="11"/>
        <v>64.1864290630742</v>
      </c>
      <c r="AZ45" s="3">
        <f t="shared" ref="AZ45:AZ97" si="24">BC45+BA45</f>
        <v>64.32821181414937</v>
      </c>
      <c r="BA45" s="3">
        <f t="shared" si="12"/>
        <v>35.106050261053085</v>
      </c>
      <c r="BB45" s="3">
        <f t="shared" si="13"/>
        <v>29.080378802021116</v>
      </c>
      <c r="BC45" s="3">
        <f t="shared" si="14"/>
        <v>29.222161553096292</v>
      </c>
      <c r="BD45" s="3">
        <f t="shared" si="15"/>
        <v>23.716803816073242</v>
      </c>
      <c r="BE45" s="3">
        <v>0</v>
      </c>
      <c r="BF45" s="3">
        <v>0</v>
      </c>
      <c r="BG45" s="24">
        <v>0.45</v>
      </c>
      <c r="BH45" s="3">
        <v>0</v>
      </c>
      <c r="BI45" s="3">
        <v>0</v>
      </c>
      <c r="BJ45" s="3"/>
      <c r="BK45" s="7">
        <f t="shared" si="16"/>
        <v>73.889201712744594</v>
      </c>
      <c r="BL45" s="7">
        <f t="shared" si="17"/>
        <v>74.05241712208425</v>
      </c>
      <c r="BY45"/>
      <c r="BZ45" s="7"/>
      <c r="CA45" s="7"/>
      <c r="CB45" s="7"/>
      <c r="CC45" s="7"/>
      <c r="CD45" s="3">
        <f t="shared" si="18"/>
        <v>4.3803972186162188</v>
      </c>
      <c r="CE45" s="7"/>
      <c r="CF45" s="7"/>
      <c r="CG45" s="7"/>
      <c r="CH45" s="7"/>
      <c r="CI45" s="7"/>
    </row>
    <row r="46" spans="1:87">
      <c r="A46">
        <v>1967</v>
      </c>
      <c r="B46" s="3">
        <f t="shared" si="19"/>
        <v>59.730509149707522</v>
      </c>
      <c r="C46" s="3">
        <f t="shared" si="0"/>
        <v>15.30482682623647</v>
      </c>
      <c r="D46" s="1"/>
      <c r="E46" s="3">
        <v>21.90315</v>
      </c>
      <c r="F46" s="3">
        <f t="shared" si="20"/>
        <v>0</v>
      </c>
      <c r="G46" s="2">
        <v>1.07870833258333</v>
      </c>
      <c r="H46" s="3">
        <v>9.8611750940999308</v>
      </c>
      <c r="I46" s="21">
        <f t="shared" si="1"/>
        <v>9.8611750940999308</v>
      </c>
      <c r="J46" s="21">
        <f t="shared" si="2"/>
        <v>9.7860777137471473</v>
      </c>
      <c r="K46" s="21"/>
      <c r="O46"/>
      <c r="P46" s="23"/>
      <c r="Q46" s="21">
        <f t="shared" si="3"/>
        <v>4.556944088107338</v>
      </c>
      <c r="R46" s="21">
        <f t="shared" si="4"/>
        <v>5.7410245367902508</v>
      </c>
      <c r="S46" s="27"/>
      <c r="T46">
        <f>USA!Z54*G46</f>
        <v>3.5597374975249889</v>
      </c>
      <c r="U46">
        <v>1</v>
      </c>
      <c r="V46">
        <v>0</v>
      </c>
      <c r="W46">
        <v>0</v>
      </c>
      <c r="X46">
        <v>0</v>
      </c>
      <c r="Y46" s="23"/>
      <c r="Z46" s="3"/>
      <c r="AA46" s="3">
        <f t="shared" si="5"/>
        <v>0.7724948964138646</v>
      </c>
      <c r="AB46" s="3">
        <v>4.1389906762194526</v>
      </c>
      <c r="AC46" s="3">
        <v>0</v>
      </c>
      <c r="AD46" s="3">
        <f>'Canada Prov''s'!AD7/100</f>
        <v>4.1479468869873123E-2</v>
      </c>
      <c r="AE46" s="4">
        <f t="shared" si="21"/>
        <v>0.39274543335927531</v>
      </c>
      <c r="AF46" s="3">
        <f t="shared" si="6"/>
        <v>5.3042310059925928</v>
      </c>
      <c r="AH46" s="4"/>
      <c r="AM46"/>
      <c r="AN46"/>
      <c r="AO46" s="9">
        <v>1967</v>
      </c>
      <c r="AP46" s="3">
        <f t="shared" si="7"/>
        <v>9.8611750940999308</v>
      </c>
      <c r="AQ46" s="3">
        <f t="shared" si="8"/>
        <v>0.7724948964138646</v>
      </c>
      <c r="AR46" s="3">
        <f t="shared" si="9"/>
        <v>4.1389906762194526</v>
      </c>
      <c r="AS46" s="3">
        <f t="shared" si="22"/>
        <v>0.39274543335927531</v>
      </c>
      <c r="AT46" s="3">
        <f t="shared" si="23"/>
        <v>5.3042310059925928</v>
      </c>
      <c r="AU46" s="3">
        <f t="shared" si="10"/>
        <v>4.556944088107338</v>
      </c>
      <c r="AW46" s="3">
        <v>15.526617797276758</v>
      </c>
      <c r="AY46" s="3">
        <f t="shared" si="11"/>
        <v>63.511417765622468</v>
      </c>
      <c r="AZ46" s="3">
        <f t="shared" si="24"/>
        <v>63.027749130680256</v>
      </c>
      <c r="BA46" s="3">
        <f t="shared" si="12"/>
        <v>34.162179266903266</v>
      </c>
      <c r="BB46" s="3">
        <f t="shared" si="13"/>
        <v>29.349238498719203</v>
      </c>
      <c r="BC46" s="3">
        <f t="shared" si="14"/>
        <v>28.86556986377699</v>
      </c>
      <c r="BD46" s="3">
        <f t="shared" si="15"/>
        <v>22.926676910597603</v>
      </c>
      <c r="BE46" s="3">
        <v>0</v>
      </c>
      <c r="BF46" s="3">
        <v>0</v>
      </c>
      <c r="BG46" s="24">
        <v>0.45</v>
      </c>
      <c r="BH46" s="3">
        <v>0</v>
      </c>
      <c r="BI46" s="3">
        <v>0</v>
      </c>
      <c r="BJ46" s="3"/>
      <c r="BK46" s="7">
        <f t="shared" si="16"/>
        <v>73.112152005449289</v>
      </c>
      <c r="BL46" s="7">
        <f t="shared" si="17"/>
        <v>72.555369366953315</v>
      </c>
      <c r="BY46"/>
      <c r="BZ46" s="7"/>
      <c r="CA46" s="7"/>
      <c r="CB46" s="7"/>
      <c r="CC46" s="7"/>
      <c r="CD46" s="3">
        <f t="shared" si="18"/>
        <v>4.4818467077545545</v>
      </c>
      <c r="CE46" s="7"/>
      <c r="CF46" s="7"/>
      <c r="CG46" s="7"/>
      <c r="CH46" s="7"/>
      <c r="CI46" s="7"/>
    </row>
    <row r="47" spans="1:87">
      <c r="A47">
        <v>1968</v>
      </c>
      <c r="B47" s="3">
        <f t="shared" si="19"/>
        <v>59.039398921551168</v>
      </c>
      <c r="C47" s="3">
        <f t="shared" si="0"/>
        <v>15.950346083448959</v>
      </c>
      <c r="D47" s="1"/>
      <c r="E47" s="3">
        <v>22.826969999999999</v>
      </c>
      <c r="F47" s="3">
        <f t="shared" si="20"/>
        <v>0</v>
      </c>
      <c r="G47" s="2">
        <v>1.0774749994999999</v>
      </c>
      <c r="H47" s="3">
        <v>10.146569629307706</v>
      </c>
      <c r="I47" s="21">
        <f t="shared" si="1"/>
        <v>10.146569629307706</v>
      </c>
      <c r="J47" s="21">
        <f t="shared" si="2"/>
        <v>10.341117319861262</v>
      </c>
      <c r="K47" s="21"/>
      <c r="O47"/>
      <c r="P47" s="23"/>
      <c r="Q47" s="21">
        <f t="shared" si="3"/>
        <v>4.4020643817501757</v>
      </c>
      <c r="R47" s="21">
        <f t="shared" si="4"/>
        <v>5.7380035373097584</v>
      </c>
      <c r="S47" s="27"/>
      <c r="T47">
        <f>USA!Z55*G47</f>
        <v>3.5556674983499996</v>
      </c>
      <c r="U47">
        <v>1</v>
      </c>
      <c r="V47">
        <v>0</v>
      </c>
      <c r="W47">
        <v>0</v>
      </c>
      <c r="X47">
        <v>0</v>
      </c>
      <c r="Y47" s="23"/>
      <c r="Z47" s="3"/>
      <c r="AA47" s="3">
        <f t="shared" si="5"/>
        <v>0.75595643560518122</v>
      </c>
      <c r="AB47" s="3">
        <v>4.5468923285285863</v>
      </c>
      <c r="AC47" s="3">
        <v>0</v>
      </c>
      <c r="AD47" s="3">
        <f>'Canada Prov''s'!AD8/100</f>
        <v>4.5508545701006972E-2</v>
      </c>
      <c r="AE47" s="4">
        <f t="shared" si="21"/>
        <v>0.44165648342376285</v>
      </c>
      <c r="AF47" s="3">
        <f t="shared" si="6"/>
        <v>5.7445052475575302</v>
      </c>
      <c r="AH47" s="4"/>
      <c r="AM47"/>
      <c r="AN47"/>
      <c r="AO47" s="9">
        <v>1968</v>
      </c>
      <c r="AP47" s="3">
        <f t="shared" si="7"/>
        <v>10.146569629307706</v>
      </c>
      <c r="AQ47" s="3">
        <f t="shared" si="8"/>
        <v>0.75595643560518122</v>
      </c>
      <c r="AR47" s="3">
        <f t="shared" si="9"/>
        <v>4.5468923285285863</v>
      </c>
      <c r="AS47" s="3">
        <f t="shared" si="22"/>
        <v>0.44165648342376285</v>
      </c>
      <c r="AT47" s="3">
        <f t="shared" si="23"/>
        <v>5.7445052475575302</v>
      </c>
      <c r="AU47" s="3">
        <f t="shared" si="10"/>
        <v>4.4020643817501757</v>
      </c>
      <c r="AW47" s="3">
        <v>16.156268728809724</v>
      </c>
      <c r="AY47" s="3">
        <f t="shared" si="11"/>
        <v>62.802679254860536</v>
      </c>
      <c r="AZ47" s="3">
        <f t="shared" si="24"/>
        <v>64.006841514223311</v>
      </c>
      <c r="BA47" s="3">
        <f t="shared" si="12"/>
        <v>35.55589068232058</v>
      </c>
      <c r="BB47" s="3">
        <f t="shared" si="13"/>
        <v>27.246788572539955</v>
      </c>
      <c r="BC47" s="3">
        <f t="shared" si="14"/>
        <v>28.450950831902723</v>
      </c>
      <c r="BD47" s="3">
        <f t="shared" si="15"/>
        <v>22.007974477482929</v>
      </c>
      <c r="BE47" s="3">
        <v>0</v>
      </c>
      <c r="BF47" s="3">
        <v>0</v>
      </c>
      <c r="BG47" s="24">
        <v>0.45</v>
      </c>
      <c r="BH47" s="3">
        <v>0</v>
      </c>
      <c r="BI47" s="3">
        <v>0</v>
      </c>
      <c r="BJ47" s="3"/>
      <c r="BK47" s="7">
        <f t="shared" si="16"/>
        <v>72.296276694301852</v>
      </c>
      <c r="BL47" s="7">
        <f t="shared" si="17"/>
        <v>73.682466725055818</v>
      </c>
      <c r="BY47"/>
      <c r="BZ47" s="7"/>
      <c r="CA47" s="7"/>
      <c r="CB47" s="7"/>
      <c r="CC47" s="7"/>
      <c r="CD47" s="3">
        <f t="shared" si="18"/>
        <v>4.5966120723037305</v>
      </c>
      <c r="CE47" s="7"/>
      <c r="CF47" s="7"/>
      <c r="CG47" s="7"/>
      <c r="CH47" s="7"/>
      <c r="CI47" s="7"/>
    </row>
    <row r="48" spans="1:87">
      <c r="A48">
        <v>1969</v>
      </c>
      <c r="B48" s="3">
        <f t="shared" si="19"/>
        <v>58.024318747757803</v>
      </c>
      <c r="C48" s="3">
        <f t="shared" si="0"/>
        <v>16.814008114047141</v>
      </c>
      <c r="D48" s="1"/>
      <c r="E48" s="3">
        <v>24.06298</v>
      </c>
      <c r="F48" s="3">
        <f t="shared" si="20"/>
        <v>0</v>
      </c>
      <c r="G48" s="2">
        <v>1.07677499941667</v>
      </c>
      <c r="H48" s="3">
        <v>10.505246960605827</v>
      </c>
      <c r="I48" s="21">
        <f t="shared" si="1"/>
        <v>10.505246960605827</v>
      </c>
      <c r="J48" s="21">
        <f t="shared" si="2"/>
        <v>10.689010207584749</v>
      </c>
      <c r="K48" s="21"/>
      <c r="O48"/>
      <c r="P48" s="23"/>
      <c r="Q48" s="21">
        <f t="shared" si="3"/>
        <v>4.5482838558076102</v>
      </c>
      <c r="R48" s="21">
        <f t="shared" si="4"/>
        <v>5.7362889154313148</v>
      </c>
      <c r="S48" s="27"/>
      <c r="T48">
        <f>USA!Z56*G48</f>
        <v>3.5533574980750107</v>
      </c>
      <c r="U48">
        <v>1</v>
      </c>
      <c r="V48">
        <v>0</v>
      </c>
      <c r="W48">
        <v>0</v>
      </c>
      <c r="X48">
        <v>0</v>
      </c>
      <c r="Y48" s="23"/>
      <c r="Z48" s="3"/>
      <c r="AA48" s="3">
        <f t="shared" si="5"/>
        <v>0.78361529696953502</v>
      </c>
      <c r="AB48" s="3">
        <v>4.700689205275939</v>
      </c>
      <c r="AC48" s="3">
        <v>0</v>
      </c>
      <c r="AD48" s="3">
        <f>'Canada Prov''s'!AD9/100</f>
        <v>4.7112328910947791E-2</v>
      </c>
      <c r="AE48" s="4">
        <f t="shared" si="21"/>
        <v>0.47265860255274256</v>
      </c>
      <c r="AF48" s="3">
        <f t="shared" si="6"/>
        <v>5.9569631047982172</v>
      </c>
      <c r="AH48" s="4"/>
      <c r="AM48"/>
      <c r="AN48"/>
      <c r="AO48" s="9">
        <v>1969</v>
      </c>
      <c r="AP48" s="3">
        <f t="shared" si="7"/>
        <v>10.505246960605827</v>
      </c>
      <c r="AQ48" s="3">
        <f t="shared" si="8"/>
        <v>0.78361529696953502</v>
      </c>
      <c r="AR48" s="3">
        <f t="shared" si="9"/>
        <v>4.700689205275939</v>
      </c>
      <c r="AS48" s="3">
        <f t="shared" si="22"/>
        <v>0.47265860255274256</v>
      </c>
      <c r="AT48" s="3">
        <f t="shared" si="23"/>
        <v>5.9569631047982172</v>
      </c>
      <c r="AU48" s="3">
        <f t="shared" si="10"/>
        <v>4.5482838558076102</v>
      </c>
      <c r="AW48" s="3">
        <v>16.89324645907293</v>
      </c>
      <c r="AY48" s="3">
        <f t="shared" si="11"/>
        <v>62.186075281958189</v>
      </c>
      <c r="AZ48" s="3">
        <f t="shared" si="24"/>
        <v>63.273866473687512</v>
      </c>
      <c r="BA48" s="3">
        <f t="shared" si="12"/>
        <v>35.26239387574249</v>
      </c>
      <c r="BB48" s="3">
        <f t="shared" si="13"/>
        <v>26.923681406215699</v>
      </c>
      <c r="BC48" s="3">
        <f t="shared" si="14"/>
        <v>28.011472597945023</v>
      </c>
      <c r="BD48" s="3">
        <f t="shared" si="15"/>
        <v>21.03418964900375</v>
      </c>
      <c r="BE48" s="3">
        <v>0</v>
      </c>
      <c r="BF48" s="3">
        <v>0</v>
      </c>
      <c r="BG48" s="24">
        <v>0.45</v>
      </c>
      <c r="BH48" s="3">
        <v>0</v>
      </c>
      <c r="BI48" s="3">
        <v>0</v>
      </c>
      <c r="BJ48" s="3"/>
      <c r="BK48" s="7">
        <f t="shared" si="16"/>
        <v>71.586463483071626</v>
      </c>
      <c r="BL48" s="7">
        <f t="shared" si="17"/>
        <v>72.83869115736789</v>
      </c>
      <c r="BY48"/>
      <c r="BZ48" s="7"/>
      <c r="CA48" s="7"/>
      <c r="CB48" s="7"/>
      <c r="CC48" s="7"/>
      <c r="CD48" s="3">
        <f t="shared" si="18"/>
        <v>4.7320471027865318</v>
      </c>
      <c r="CE48" s="7"/>
      <c r="CF48" s="7"/>
      <c r="CG48" s="7"/>
      <c r="CH48" s="7"/>
      <c r="CI48" s="7"/>
    </row>
    <row r="49" spans="1:87">
      <c r="A49">
        <v>1970</v>
      </c>
      <c r="B49" s="3">
        <f t="shared" si="19"/>
        <v>58.03321289425628</v>
      </c>
      <c r="C49" s="3">
        <f t="shared" si="0"/>
        <v>17.805240938511318</v>
      </c>
      <c r="D49" s="1"/>
      <c r="E49" s="3">
        <v>25.481560000000002</v>
      </c>
      <c r="F49" s="3">
        <f t="shared" si="20"/>
        <v>0</v>
      </c>
      <c r="G49" s="2">
        <v>1.04491499916667</v>
      </c>
      <c r="H49" s="3">
        <v>10.797057972641642</v>
      </c>
      <c r="I49" s="21">
        <f t="shared" si="1"/>
        <v>10.797057972641642</v>
      </c>
      <c r="J49" s="21">
        <f t="shared" si="2"/>
        <v>10.845776638535151</v>
      </c>
      <c r="K49" s="21"/>
      <c r="O49"/>
      <c r="P49" s="23"/>
      <c r="Q49" s="21">
        <f t="shared" si="3"/>
        <v>4.7641346311358124</v>
      </c>
      <c r="R49" s="21">
        <f t="shared" si="4"/>
        <v>5.6970290887040296</v>
      </c>
      <c r="S49" s="27"/>
      <c r="T49">
        <f>USA!Z57*G49</f>
        <v>3.5004652472083446</v>
      </c>
      <c r="U49">
        <v>1</v>
      </c>
      <c r="V49">
        <v>0</v>
      </c>
      <c r="W49">
        <v>0</v>
      </c>
      <c r="X49">
        <v>0</v>
      </c>
      <c r="Y49" s="23"/>
      <c r="Z49" s="3"/>
      <c r="AA49" s="3">
        <f t="shared" si="5"/>
        <v>0.81973377855341711</v>
      </c>
      <c r="AB49" s="3">
        <v>4.7249559092829978</v>
      </c>
      <c r="AC49" s="3">
        <v>0</v>
      </c>
      <c r="AD49" s="3">
        <f>'Canada Prov''s'!AD10/100</f>
        <v>4.7360750223560968E-2</v>
      </c>
      <c r="AE49" s="4">
        <f t="shared" si="21"/>
        <v>0.48823365366941468</v>
      </c>
      <c r="AF49" s="3">
        <f t="shared" si="6"/>
        <v>6.0329233415058301</v>
      </c>
      <c r="AH49" s="4"/>
      <c r="AM49"/>
      <c r="AN49"/>
      <c r="AO49" s="9">
        <v>1970</v>
      </c>
      <c r="AP49" s="3">
        <f t="shared" si="7"/>
        <v>10.797057972641642</v>
      </c>
      <c r="AQ49" s="3">
        <f t="shared" si="8"/>
        <v>0.81973377855341711</v>
      </c>
      <c r="AR49" s="3">
        <f t="shared" si="9"/>
        <v>4.7249559092829978</v>
      </c>
      <c r="AS49" s="3">
        <f t="shared" si="22"/>
        <v>0.48823365366941468</v>
      </c>
      <c r="AT49" s="3">
        <f t="shared" si="23"/>
        <v>6.0329233415058301</v>
      </c>
      <c r="AU49" s="3">
        <f t="shared" si="10"/>
        <v>4.7641346311358124</v>
      </c>
      <c r="AW49" s="3">
        <v>17.458501242892094</v>
      </c>
      <c r="AY49" s="3">
        <f t="shared" si="11"/>
        <v>61.844128670766999</v>
      </c>
      <c r="AZ49" s="3">
        <f t="shared" si="24"/>
        <v>62.123182784380234</v>
      </c>
      <c r="BA49" s="3">
        <f t="shared" si="12"/>
        <v>34.555791803503311</v>
      </c>
      <c r="BB49" s="3">
        <f t="shared" si="13"/>
        <v>27.288336867263688</v>
      </c>
      <c r="BC49" s="3">
        <f t="shared" si="14"/>
        <v>27.567390980876922</v>
      </c>
      <c r="BD49" s="3">
        <f t="shared" si="15"/>
        <v>20.050204759893088</v>
      </c>
      <c r="BE49" s="3">
        <v>0</v>
      </c>
      <c r="BF49" s="3">
        <v>0</v>
      </c>
      <c r="BG49" s="24">
        <v>0.45</v>
      </c>
      <c r="BH49" s="3">
        <v>0</v>
      </c>
      <c r="BI49" s="3">
        <v>0</v>
      </c>
      <c r="BJ49" s="3"/>
      <c r="BK49" s="7">
        <f t="shared" si="16"/>
        <v>71.192826346715805</v>
      </c>
      <c r="BL49" s="7">
        <f t="shared" si="17"/>
        <v>71.514063810623895</v>
      </c>
      <c r="BY49"/>
      <c r="BZ49" s="7"/>
      <c r="CA49" s="7"/>
      <c r="CB49" s="7"/>
      <c r="CC49" s="7"/>
      <c r="CD49" s="3">
        <f t="shared" si="18"/>
        <v>4.8128532970293207</v>
      </c>
      <c r="CE49" s="7"/>
      <c r="CF49" s="7"/>
      <c r="CG49" s="7"/>
      <c r="CH49" s="7"/>
      <c r="CI49" s="7"/>
    </row>
    <row r="50" spans="1:87">
      <c r="A50">
        <v>1971</v>
      </c>
      <c r="B50" s="3">
        <f t="shared" si="19"/>
        <v>59.634716867733275</v>
      </c>
      <c r="C50" s="3">
        <f t="shared" si="0"/>
        <v>18.563021376325832</v>
      </c>
      <c r="D50" s="1"/>
      <c r="E50" s="3">
        <v>26.566040000000001</v>
      </c>
      <c r="F50" s="3">
        <f t="shared" si="20"/>
        <v>0</v>
      </c>
      <c r="G50" s="2">
        <v>1.0097916659166699</v>
      </c>
      <c r="H50" s="3">
        <v>11.178399032873296</v>
      </c>
      <c r="I50" s="21">
        <f t="shared" si="1"/>
        <v>11.178399032873296</v>
      </c>
      <c r="J50" s="21">
        <f t="shared" si="2"/>
        <v>11.043818613083271</v>
      </c>
      <c r="K50" s="21"/>
      <c r="O50"/>
      <c r="P50" s="23"/>
      <c r="Q50" s="21">
        <f t="shared" si="3"/>
        <v>5.8105102757974558</v>
      </c>
      <c r="R50" s="21">
        <f t="shared" si="4"/>
        <v>5.7670933427294333</v>
      </c>
      <c r="S50" s="27"/>
      <c r="T50">
        <f>USA!Z58*G50</f>
        <v>3.594858330663345</v>
      </c>
      <c r="U50">
        <v>1</v>
      </c>
      <c r="V50">
        <v>0</v>
      </c>
      <c r="W50">
        <v>0</v>
      </c>
      <c r="X50">
        <v>0</v>
      </c>
      <c r="Y50" s="23"/>
      <c r="Z50" s="3"/>
      <c r="AA50" s="3">
        <f t="shared" si="5"/>
        <v>0.97356870374253868</v>
      </c>
      <c r="AB50" s="3">
        <v>3.9667790051507867</v>
      </c>
      <c r="AC50" s="3">
        <v>0</v>
      </c>
      <c r="AD50" s="3">
        <f>'Canada Prov''s'!AD11/100</f>
        <v>3.9768086304491509E-2</v>
      </c>
      <c r="AE50" s="4">
        <f t="shared" si="21"/>
        <v>0.42754104818251459</v>
      </c>
      <c r="AF50" s="3">
        <f t="shared" si="6"/>
        <v>5.36788875707584</v>
      </c>
      <c r="AH50" s="4"/>
      <c r="AM50"/>
      <c r="AN50"/>
      <c r="AO50" s="9">
        <v>1971</v>
      </c>
      <c r="AP50" s="3">
        <f t="shared" si="7"/>
        <v>11.178399032873296</v>
      </c>
      <c r="AQ50" s="3">
        <f t="shared" si="8"/>
        <v>0.97356870374253868</v>
      </c>
      <c r="AR50" s="3">
        <f t="shared" si="9"/>
        <v>3.9667790051507867</v>
      </c>
      <c r="AS50" s="3">
        <f t="shared" si="22"/>
        <v>0.42754104818251459</v>
      </c>
      <c r="AT50" s="3">
        <f t="shared" si="23"/>
        <v>5.36788875707584</v>
      </c>
      <c r="AU50" s="3">
        <f t="shared" si="10"/>
        <v>5.8105102757974558</v>
      </c>
      <c r="AW50" s="3">
        <v>17.930739385541305</v>
      </c>
      <c r="AY50" s="3">
        <f t="shared" si="11"/>
        <v>62.342097514880791</v>
      </c>
      <c r="AZ50" s="3">
        <f t="shared" si="24"/>
        <v>61.591540513876438</v>
      </c>
      <c r="BA50" s="3">
        <f t="shared" si="12"/>
        <v>29.936795363856049</v>
      </c>
      <c r="BB50" s="3">
        <f t="shared" si="13"/>
        <v>32.405302151024742</v>
      </c>
      <c r="BC50" s="3">
        <f t="shared" si="14"/>
        <v>31.654745150020389</v>
      </c>
      <c r="BD50" s="3">
        <f t="shared" si="15"/>
        <v>20.048578328912125</v>
      </c>
      <c r="BE50" s="3">
        <v>0</v>
      </c>
      <c r="BF50" s="3">
        <v>0</v>
      </c>
      <c r="BG50" s="24">
        <v>0.45</v>
      </c>
      <c r="BH50" s="24">
        <v>-0.6</v>
      </c>
      <c r="BI50" s="3">
        <v>0</v>
      </c>
      <c r="BJ50" s="3"/>
      <c r="BK50" s="7">
        <f t="shared" si="16"/>
        <v>71.766070892431685</v>
      </c>
      <c r="BL50" s="7">
        <f t="shared" si="17"/>
        <v>70.902055578701948</v>
      </c>
      <c r="BY50"/>
      <c r="BZ50" s="7"/>
      <c r="CA50" s="7"/>
      <c r="CB50" s="7"/>
      <c r="CC50" s="7"/>
      <c r="CD50" s="3">
        <f t="shared" si="18"/>
        <v>5.6759298560074321</v>
      </c>
      <c r="CE50" s="7"/>
      <c r="CF50" s="7"/>
      <c r="CG50" s="7"/>
      <c r="CH50" s="7"/>
      <c r="CI50" s="7"/>
    </row>
    <row r="51" spans="1:87">
      <c r="A51">
        <v>1972</v>
      </c>
      <c r="B51" s="3">
        <f t="shared" si="19"/>
        <v>59.573135114235619</v>
      </c>
      <c r="C51" s="3">
        <f t="shared" si="0"/>
        <v>19.17664269444656</v>
      </c>
      <c r="D51" s="1"/>
      <c r="E51" s="3">
        <v>27.444210000000002</v>
      </c>
      <c r="F51" s="3">
        <f t="shared" si="20"/>
        <v>0</v>
      </c>
      <c r="G51" s="2">
        <v>0.98993333250000004</v>
      </c>
      <c r="H51" s="3">
        <v>11.309124372105186</v>
      </c>
      <c r="I51" s="21">
        <f t="shared" si="1"/>
        <v>11.309124372105186</v>
      </c>
      <c r="J51" s="21">
        <f t="shared" si="2"/>
        <v>11.30442092528407</v>
      </c>
      <c r="K51" s="21"/>
      <c r="O51"/>
      <c r="P51" s="23"/>
      <c r="Q51" s="21">
        <f t="shared" si="3"/>
        <v>5.850919263183628</v>
      </c>
      <c r="R51" s="21">
        <f t="shared" si="4"/>
        <v>5.7146187440902612</v>
      </c>
      <c r="S51" s="27"/>
      <c r="T51">
        <f>USA!Z59*G51</f>
        <v>3.5241626637000003</v>
      </c>
      <c r="U51">
        <v>1</v>
      </c>
      <c r="V51">
        <v>0</v>
      </c>
      <c r="W51">
        <v>0</v>
      </c>
      <c r="X51">
        <v>0</v>
      </c>
      <c r="Y51" s="23"/>
      <c r="Z51" s="3"/>
      <c r="AA51" s="3">
        <f t="shared" si="5"/>
        <v>0.98180452422870779</v>
      </c>
      <c r="AB51" s="3">
        <v>4.0364982667073512</v>
      </c>
      <c r="AC51" s="3">
        <v>0</v>
      </c>
      <c r="AD51" s="3">
        <f>'Canada Prov''s'!AD12/100</f>
        <v>4.0472291006214751E-2</v>
      </c>
      <c r="AE51" s="4">
        <f t="shared" si="21"/>
        <v>0.43990231798549922</v>
      </c>
      <c r="AF51" s="3">
        <f t="shared" si="6"/>
        <v>5.4582051089215584</v>
      </c>
      <c r="AH51" s="4"/>
      <c r="AM51"/>
      <c r="AN51"/>
      <c r="AO51" s="9">
        <v>1972</v>
      </c>
      <c r="AP51" s="3">
        <f t="shared" si="7"/>
        <v>11.309124372105186</v>
      </c>
      <c r="AQ51" s="3">
        <f t="shared" si="8"/>
        <v>0.98180452422870779</v>
      </c>
      <c r="AR51" s="3">
        <f t="shared" si="9"/>
        <v>4.0364982667073512</v>
      </c>
      <c r="AS51" s="3">
        <f t="shared" si="22"/>
        <v>0.43990231798549922</v>
      </c>
      <c r="AT51" s="3">
        <f t="shared" si="23"/>
        <v>5.4582051089215584</v>
      </c>
      <c r="AU51" s="3">
        <f t="shared" si="10"/>
        <v>5.850919263183628</v>
      </c>
      <c r="AW51" s="3">
        <v>18.825129866006524</v>
      </c>
      <c r="AY51" s="3">
        <f t="shared" si="11"/>
        <v>60.074615434800464</v>
      </c>
      <c r="AZ51" s="3">
        <f t="shared" si="24"/>
        <v>60.049630497885843</v>
      </c>
      <c r="BA51" s="3">
        <f t="shared" si="12"/>
        <v>28.994249430266677</v>
      </c>
      <c r="BB51" s="3">
        <f t="shared" si="13"/>
        <v>31.080366004533786</v>
      </c>
      <c r="BC51" s="3">
        <f t="shared" si="14"/>
        <v>31.055381067619166</v>
      </c>
      <c r="BD51" s="3">
        <f t="shared" si="15"/>
        <v>18.720522454741502</v>
      </c>
      <c r="BE51" s="3">
        <v>0</v>
      </c>
      <c r="BF51" s="3">
        <v>0</v>
      </c>
      <c r="BG51" s="24">
        <v>0.45</v>
      </c>
      <c r="BH51" s="24">
        <v>-0.6</v>
      </c>
      <c r="BI51" s="3">
        <v>0</v>
      </c>
      <c r="BJ51" s="3"/>
      <c r="BK51" s="7">
        <f t="shared" si="16"/>
        <v>69.155823785049364</v>
      </c>
      <c r="BL51" s="7">
        <f t="shared" si="17"/>
        <v>69.127061988040055</v>
      </c>
      <c r="BY51"/>
      <c r="BZ51" s="7"/>
      <c r="CA51" s="7"/>
      <c r="CB51" s="7"/>
      <c r="CC51" s="7"/>
      <c r="CD51" s="3">
        <f t="shared" si="18"/>
        <v>5.8462158163625109</v>
      </c>
      <c r="CE51" s="7"/>
      <c r="CF51" s="7"/>
      <c r="CG51" s="7"/>
      <c r="CH51" s="7"/>
      <c r="CI51" s="7"/>
    </row>
    <row r="52" spans="1:87">
      <c r="A52">
        <v>1973</v>
      </c>
      <c r="B52" s="3">
        <f t="shared" si="19"/>
        <v>59.240090417377523</v>
      </c>
      <c r="C52" s="3">
        <f t="shared" si="0"/>
        <v>20.369443941469338</v>
      </c>
      <c r="D52" s="1"/>
      <c r="E52" s="3">
        <v>29.151260000000001</v>
      </c>
      <c r="F52" s="3">
        <f t="shared" si="20"/>
        <v>0</v>
      </c>
      <c r="G52" s="2">
        <v>1.00008333233333</v>
      </c>
      <c r="H52" s="3">
        <v>12.067882569460584</v>
      </c>
      <c r="I52" s="21">
        <f t="shared" si="1"/>
        <v>12.067882569460584</v>
      </c>
      <c r="J52" s="21">
        <f t="shared" si="2"/>
        <v>11.920075907103215</v>
      </c>
      <c r="K52" s="21"/>
      <c r="O52"/>
      <c r="P52" s="23"/>
      <c r="Q52" s="21">
        <f t="shared" si="3"/>
        <v>6.4689015597671045</v>
      </c>
      <c r="R52" s="21">
        <f t="shared" si="4"/>
        <v>5.9715595023008756</v>
      </c>
      <c r="S52" s="27"/>
      <c r="T52">
        <f>USA!Z60*G52</f>
        <v>3.8703224961299871</v>
      </c>
      <c r="U52">
        <v>1</v>
      </c>
      <c r="V52">
        <v>0</v>
      </c>
      <c r="W52">
        <v>0</v>
      </c>
      <c r="X52">
        <v>0</v>
      </c>
      <c r="Y52" s="23"/>
      <c r="Z52" s="3"/>
      <c r="AA52" s="3">
        <f t="shared" si="5"/>
        <v>1.0830228528897874</v>
      </c>
      <c r="AB52" s="3">
        <v>4.0454910665732724</v>
      </c>
      <c r="AC52" s="3">
        <v>0</v>
      </c>
      <c r="AD52" s="3">
        <f>'Canada Prov''s'!AD13/100</f>
        <v>4.0566546147542987E-2</v>
      </c>
      <c r="AE52" s="4">
        <f t="shared" si="21"/>
        <v>0.47046709023041977</v>
      </c>
      <c r="AF52" s="3">
        <f t="shared" si="6"/>
        <v>5.59898100969348</v>
      </c>
      <c r="AH52" s="4"/>
      <c r="AM52"/>
      <c r="AN52"/>
      <c r="AO52" s="9">
        <v>1973</v>
      </c>
      <c r="AP52" s="3">
        <f t="shared" si="7"/>
        <v>12.067882569460584</v>
      </c>
      <c r="AQ52" s="3">
        <f t="shared" si="8"/>
        <v>1.0830228528897874</v>
      </c>
      <c r="AR52" s="3">
        <f t="shared" si="9"/>
        <v>4.0454910665732724</v>
      </c>
      <c r="AS52" s="3">
        <f t="shared" si="22"/>
        <v>0.47046709023041977</v>
      </c>
      <c r="AT52" s="3">
        <f t="shared" si="23"/>
        <v>5.59898100969348</v>
      </c>
      <c r="AU52" s="3">
        <f t="shared" si="10"/>
        <v>6.4689015597671045</v>
      </c>
      <c r="AW52" s="3">
        <v>20.234689137664663</v>
      </c>
      <c r="AY52" s="3">
        <f t="shared" si="11"/>
        <v>59.639574827949978</v>
      </c>
      <c r="AZ52" s="3">
        <f t="shared" si="24"/>
        <v>58.909113087955944</v>
      </c>
      <c r="BA52" s="3">
        <f t="shared" si="12"/>
        <v>27.670210160390301</v>
      </c>
      <c r="BB52" s="3">
        <f>AY52-BA52</f>
        <v>31.969364667559677</v>
      </c>
      <c r="BC52" s="3">
        <f t="shared" si="14"/>
        <v>31.23890292756564</v>
      </c>
      <c r="BD52" s="3">
        <f t="shared" si="15"/>
        <v>19.127165580843073</v>
      </c>
      <c r="BE52" s="3">
        <v>0</v>
      </c>
      <c r="BF52" s="3">
        <v>0</v>
      </c>
      <c r="BG52" s="24">
        <v>0.45</v>
      </c>
      <c r="BH52" s="24">
        <v>-0.6</v>
      </c>
      <c r="BI52" s="3">
        <v>0</v>
      </c>
      <c r="BJ52" s="3"/>
      <c r="BK52" s="7">
        <f t="shared" si="16"/>
        <v>68.655020054073432</v>
      </c>
      <c r="BL52" s="7">
        <f t="shared" si="17"/>
        <v>67.814137711221434</v>
      </c>
      <c r="BY52"/>
      <c r="BZ52" s="7"/>
      <c r="CA52" s="7"/>
      <c r="CB52" s="7"/>
      <c r="CC52" s="7"/>
      <c r="CD52" s="3">
        <f t="shared" si="18"/>
        <v>6.3210948974097336</v>
      </c>
      <c r="CE52" s="7"/>
      <c r="CF52" s="7"/>
      <c r="CG52" s="7"/>
      <c r="CH52" s="7"/>
      <c r="CI52" s="7"/>
    </row>
    <row r="53" spans="1:87">
      <c r="A53">
        <v>1974</v>
      </c>
      <c r="B53" s="3">
        <f t="shared" si="19"/>
        <v>63.420174840331633</v>
      </c>
      <c r="C53" s="3">
        <f t="shared" si="0"/>
        <v>22.617266903639468</v>
      </c>
      <c r="D53" s="1"/>
      <c r="E53" s="3">
        <v>32.368180000000002</v>
      </c>
      <c r="F53" s="3">
        <f t="shared" si="20"/>
        <v>0</v>
      </c>
      <c r="G53" s="2">
        <v>0.97803333233333301</v>
      </c>
      <c r="H53" s="3">
        <v>14.028822305672538</v>
      </c>
      <c r="I53" s="21">
        <f t="shared" si="1"/>
        <v>14.028822305672538</v>
      </c>
      <c r="J53" s="21">
        <f t="shared" si="2"/>
        <v>13.887928250128819</v>
      </c>
      <c r="K53" s="21"/>
      <c r="O53"/>
      <c r="P53" s="23"/>
      <c r="Q53" s="21">
        <f t="shared" si="3"/>
        <v>8.1901819977825383</v>
      </c>
      <c r="R53" s="21">
        <f t="shared" si="4"/>
        <v>12.013505373064914</v>
      </c>
      <c r="S53" s="27"/>
      <c r="T53">
        <f>USA!Z61*G53</f>
        <v>12.010249321053328</v>
      </c>
      <c r="U53">
        <v>1</v>
      </c>
      <c r="V53">
        <v>0</v>
      </c>
      <c r="W53">
        <v>0</v>
      </c>
      <c r="X53">
        <v>0</v>
      </c>
      <c r="Y53" s="23"/>
      <c r="Z53" s="3"/>
      <c r="AA53" s="3">
        <f t="shared" si="5"/>
        <v>1.3615206904776076</v>
      </c>
      <c r="AB53" s="3">
        <v>3.9434838576902611</v>
      </c>
      <c r="AC53" s="3">
        <v>0</v>
      </c>
      <c r="AD53" s="3">
        <f>'Canada Prov''s'!AD14/100</f>
        <v>3.9542673819671165E-2</v>
      </c>
      <c r="AE53" s="4">
        <f t="shared" si="21"/>
        <v>0.53363575972213173</v>
      </c>
      <c r="AF53" s="3">
        <f t="shared" si="6"/>
        <v>5.8386403078900004</v>
      </c>
      <c r="AH53" s="4"/>
      <c r="AM53"/>
      <c r="AN53"/>
      <c r="AO53" s="9">
        <v>1974</v>
      </c>
      <c r="AP53" s="3">
        <f t="shared" si="7"/>
        <v>14.028822305672538</v>
      </c>
      <c r="AQ53" s="3">
        <f t="shared" si="8"/>
        <v>1.3615206904776076</v>
      </c>
      <c r="AR53" s="3">
        <f t="shared" si="9"/>
        <v>3.9434838576902611</v>
      </c>
      <c r="AS53" s="3">
        <f t="shared" si="22"/>
        <v>0.53363575972213173</v>
      </c>
      <c r="AT53" s="3">
        <f t="shared" si="23"/>
        <v>5.8386403078900004</v>
      </c>
      <c r="AU53" s="3">
        <f t="shared" si="10"/>
        <v>8.1901819977825383</v>
      </c>
      <c r="AW53" s="3">
        <v>22.45993230110518</v>
      </c>
      <c r="AY53" s="3">
        <f t="shared" si="11"/>
        <v>62.461552054554616</v>
      </c>
      <c r="AZ53" s="3">
        <f t="shared" si="24"/>
        <v>61.834239141697864</v>
      </c>
      <c r="BA53" s="3">
        <f t="shared" si="12"/>
        <v>25.995805461990194</v>
      </c>
      <c r="BB53" s="3">
        <f t="shared" ref="BB53:BB97" si="25">AY53-BA53</f>
        <v>36.465746592564422</v>
      </c>
      <c r="BC53" s="3">
        <f t="shared" si="14"/>
        <v>35.83843367970767</v>
      </c>
      <c r="BD53" s="3">
        <f t="shared" si="15"/>
        <v>53.474111854123187</v>
      </c>
      <c r="BE53" s="3">
        <v>0</v>
      </c>
      <c r="BF53" s="3">
        <v>0</v>
      </c>
      <c r="BG53" s="24">
        <v>0.45</v>
      </c>
      <c r="BH53" s="24">
        <v>1</v>
      </c>
      <c r="BI53" s="3">
        <v>0</v>
      </c>
      <c r="BJ53" s="3"/>
      <c r="BK53" s="7">
        <f t="shared" si="16"/>
        <v>71.903582835474793</v>
      </c>
      <c r="BL53" s="7">
        <f t="shared" si="17"/>
        <v>71.18144186219314</v>
      </c>
      <c r="BY53"/>
      <c r="BZ53" s="7"/>
      <c r="CA53" s="7"/>
      <c r="CB53" s="7"/>
      <c r="CC53" s="7"/>
      <c r="CD53" s="3">
        <f t="shared" si="18"/>
        <v>8.0492879422388199</v>
      </c>
      <c r="CE53" s="7"/>
      <c r="CF53" s="7"/>
      <c r="CG53" s="7"/>
      <c r="CH53" s="7"/>
      <c r="CI53" s="7"/>
    </row>
    <row r="54" spans="1:87">
      <c r="A54">
        <v>1975</v>
      </c>
      <c r="B54" s="3">
        <f t="shared" si="19"/>
        <v>63.174903158793946</v>
      </c>
      <c r="C54" s="3">
        <f t="shared" si="0"/>
        <v>24.682660206706046</v>
      </c>
      <c r="D54" s="1"/>
      <c r="E54" s="3">
        <v>35.324019999999997</v>
      </c>
      <c r="F54" s="3">
        <f t="shared" si="20"/>
        <v>0</v>
      </c>
      <c r="G54" s="2">
        <v>1.01715833283333</v>
      </c>
      <c r="H54" s="3">
        <v>15.860800799132996</v>
      </c>
      <c r="I54" s="21">
        <f t="shared" si="1"/>
        <v>15.860800799132996</v>
      </c>
      <c r="J54" s="21">
        <f t="shared" si="2"/>
        <v>15.723446897947824</v>
      </c>
      <c r="K54" s="21"/>
      <c r="O54"/>
      <c r="P54" s="23"/>
      <c r="Q54" s="21">
        <f t="shared" si="3"/>
        <v>9.7098828726143971</v>
      </c>
      <c r="R54" s="21">
        <f t="shared" si="4"/>
        <v>12.664576732073799</v>
      </c>
      <c r="S54" s="27"/>
      <c r="T54">
        <f>USA!Z62*G54</f>
        <v>12.887396076998291</v>
      </c>
      <c r="U54">
        <v>1</v>
      </c>
      <c r="V54">
        <v>0</v>
      </c>
      <c r="W54">
        <v>0</v>
      </c>
      <c r="X54">
        <v>0</v>
      </c>
      <c r="Y54" s="23"/>
      <c r="Z54" s="3"/>
      <c r="AA54" s="3">
        <f t="shared" si="5"/>
        <v>1.6094735271287179</v>
      </c>
      <c r="AB54" s="3">
        <v>3.9387746722536034</v>
      </c>
      <c r="AC54" s="3">
        <v>0</v>
      </c>
      <c r="AD54" s="3">
        <f>'Canada Prov''s'!AD15/100</f>
        <v>3.9498266484442379E-2</v>
      </c>
      <c r="AE54" s="4">
        <f t="shared" si="21"/>
        <v>0.60266972713627687</v>
      </c>
      <c r="AF54" s="3">
        <f t="shared" si="6"/>
        <v>6.1509179265185985</v>
      </c>
      <c r="AH54" s="4"/>
      <c r="AM54"/>
      <c r="AN54"/>
      <c r="AO54" s="9">
        <v>1975</v>
      </c>
      <c r="AP54" s="3">
        <f t="shared" si="7"/>
        <v>15.860800799132996</v>
      </c>
      <c r="AQ54" s="3">
        <f t="shared" si="8"/>
        <v>1.6094735271287179</v>
      </c>
      <c r="AR54" s="3">
        <f t="shared" si="9"/>
        <v>3.9387746722536034</v>
      </c>
      <c r="AS54" s="3">
        <f t="shared" si="22"/>
        <v>0.60266972713627687</v>
      </c>
      <c r="AT54" s="3">
        <f t="shared" si="23"/>
        <v>6.1509179265185985</v>
      </c>
      <c r="AU54" s="3">
        <f t="shared" si="10"/>
        <v>9.7098828726143971</v>
      </c>
      <c r="AW54" s="3">
        <v>24.856898950150494</v>
      </c>
      <c r="AY54" s="3">
        <f t="shared" si="11"/>
        <v>63.80844541767334</v>
      </c>
      <c r="AZ54" s="3">
        <f t="shared" si="24"/>
        <v>63.255866829891218</v>
      </c>
      <c r="BA54" s="3">
        <f t="shared" si="12"/>
        <v>24.745314927875821</v>
      </c>
      <c r="BB54" s="3">
        <f t="shared" si="25"/>
        <v>39.063130489797516</v>
      </c>
      <c r="BC54" s="3">
        <f t="shared" si="14"/>
        <v>38.510551902015393</v>
      </c>
      <c r="BD54" s="3">
        <f t="shared" si="15"/>
        <v>51.846355021370293</v>
      </c>
      <c r="BE54" s="3">
        <v>0</v>
      </c>
      <c r="BF54" s="3">
        <v>0</v>
      </c>
      <c r="BG54" s="24">
        <v>0.45</v>
      </c>
      <c r="BH54" s="24">
        <v>0.5</v>
      </c>
      <c r="BI54" s="3">
        <v>0</v>
      </c>
      <c r="BJ54" s="3"/>
      <c r="BK54" s="7">
        <f t="shared" si="16"/>
        <v>73.454079986441698</v>
      </c>
      <c r="BL54" s="7">
        <f t="shared" si="17"/>
        <v>72.817970588695729</v>
      </c>
      <c r="BY54"/>
      <c r="BZ54" s="7"/>
      <c r="CA54" s="7"/>
      <c r="CB54" s="7"/>
      <c r="CC54" s="7"/>
      <c r="CD54" s="3">
        <f t="shared" si="18"/>
        <v>9.5725289714292252</v>
      </c>
      <c r="CE54" s="7"/>
      <c r="CF54" s="7"/>
      <c r="CG54" s="7"/>
      <c r="CH54" s="7"/>
      <c r="CI54" s="7"/>
    </row>
    <row r="55" spans="1:87">
      <c r="A55">
        <v>1976</v>
      </c>
      <c r="B55" s="3">
        <f t="shared" si="19"/>
        <v>68.940922500739561</v>
      </c>
      <c r="C55" s="3">
        <f t="shared" si="0"/>
        <v>26.098712089869402</v>
      </c>
      <c r="D55" s="1"/>
      <c r="E55" s="3">
        <v>37.350569999999998</v>
      </c>
      <c r="F55" s="3">
        <f t="shared" si="20"/>
        <v>0</v>
      </c>
      <c r="G55" s="2">
        <v>0.98602499908333296</v>
      </c>
      <c r="H55" s="3">
        <v>17.741244976138638</v>
      </c>
      <c r="I55" s="21">
        <f t="shared" si="1"/>
        <v>17.741244976138638</v>
      </c>
      <c r="J55" s="21">
        <f t="shared" si="2"/>
        <v>17.389366263673164</v>
      </c>
      <c r="K55" s="21"/>
      <c r="O55"/>
      <c r="P55" s="23"/>
      <c r="Q55" s="21">
        <f t="shared" si="3"/>
        <v>11.229602471491251</v>
      </c>
      <c r="R55" s="21">
        <f t="shared" si="4"/>
        <v>12.847511953299604</v>
      </c>
      <c r="S55" s="27"/>
      <c r="T55">
        <f>USA!Z63*G55</f>
        <v>13.133852987789995</v>
      </c>
      <c r="U55">
        <v>1</v>
      </c>
      <c r="V55">
        <v>0</v>
      </c>
      <c r="W55">
        <v>0</v>
      </c>
      <c r="X55">
        <v>0</v>
      </c>
      <c r="Y55" s="23"/>
      <c r="Z55" s="3"/>
      <c r="AA55" s="3">
        <f t="shared" si="5"/>
        <v>1.8586944175908013</v>
      </c>
      <c r="AB55" s="3">
        <v>3.97313817916974</v>
      </c>
      <c r="AC55" s="3">
        <v>0</v>
      </c>
      <c r="AD55" s="3">
        <f>'Canada Prov''s'!AD16/100</f>
        <v>3.9844825782084904E-2</v>
      </c>
      <c r="AE55" s="4">
        <f t="shared" si="21"/>
        <v>0.67980990788684637</v>
      </c>
      <c r="AF55" s="3">
        <f t="shared" si="6"/>
        <v>6.511642504647388</v>
      </c>
      <c r="AH55" s="4"/>
      <c r="AM55"/>
      <c r="AN55"/>
      <c r="AO55" s="9">
        <v>1976</v>
      </c>
      <c r="AP55" s="3">
        <f t="shared" si="7"/>
        <v>17.741244976138638</v>
      </c>
      <c r="AQ55" s="3">
        <f t="shared" si="8"/>
        <v>1.8586944175908013</v>
      </c>
      <c r="AR55" s="3">
        <f t="shared" si="9"/>
        <v>3.97313817916974</v>
      </c>
      <c r="AS55" s="3">
        <f t="shared" si="22"/>
        <v>0.67980990788684637</v>
      </c>
      <c r="AT55" s="3">
        <f t="shared" si="23"/>
        <v>6.511642504647388</v>
      </c>
      <c r="AU55" s="3">
        <f t="shared" si="10"/>
        <v>11.229602471491251</v>
      </c>
      <c r="AW55" s="3">
        <v>26.731541392464582</v>
      </c>
      <c r="AY55" s="3">
        <f t="shared" si="11"/>
        <v>66.36820793708425</v>
      </c>
      <c r="AZ55" s="3">
        <f t="shared" si="24"/>
        <v>65.051865166948787</v>
      </c>
      <c r="BA55" s="3">
        <f t="shared" si="12"/>
        <v>24.359397795455859</v>
      </c>
      <c r="BB55" s="3">
        <f t="shared" si="25"/>
        <v>42.008810141628388</v>
      </c>
      <c r="BC55" s="3">
        <f t="shared" si="14"/>
        <v>40.692467371492931</v>
      </c>
      <c r="BD55" s="3">
        <f t="shared" si="15"/>
        <v>49.132419245724186</v>
      </c>
      <c r="BE55" s="3">
        <v>0</v>
      </c>
      <c r="BF55" s="3">
        <v>0</v>
      </c>
      <c r="BG55" s="24">
        <v>0.45</v>
      </c>
      <c r="BH55" s="3">
        <v>0</v>
      </c>
      <c r="BI55" s="3">
        <v>0</v>
      </c>
      <c r="BJ55" s="3"/>
      <c r="BK55" s="7">
        <f t="shared" si="16"/>
        <v>76.400790247385089</v>
      </c>
      <c r="BL55" s="7">
        <f t="shared" si="17"/>
        <v>74.885461884592488</v>
      </c>
      <c r="BY55"/>
      <c r="BZ55" s="7"/>
      <c r="CA55" s="7"/>
      <c r="CB55" s="7"/>
      <c r="CC55" s="7"/>
      <c r="CD55" s="3">
        <f t="shared" si="18"/>
        <v>10.877723759025777</v>
      </c>
      <c r="CE55" s="7"/>
      <c r="CF55" s="7"/>
      <c r="CG55" s="7"/>
      <c r="CH55" s="7"/>
      <c r="CI55" s="7"/>
    </row>
    <row r="56" spans="1:87">
      <c r="A56">
        <v>1977</v>
      </c>
      <c r="B56" s="3">
        <f t="shared" si="19"/>
        <v>65.632155557485277</v>
      </c>
      <c r="C56" s="3">
        <f t="shared" si="0"/>
        <v>27.791594761847083</v>
      </c>
      <c r="D56" s="1"/>
      <c r="E56" s="3">
        <v>39.773299999999999</v>
      </c>
      <c r="F56" s="3">
        <f t="shared" si="20"/>
        <v>0</v>
      </c>
      <c r="G56" s="2">
        <v>1.06344999941667</v>
      </c>
      <c r="H56" s="3">
        <v>19.397564826057128</v>
      </c>
      <c r="I56" s="21">
        <f t="shared" si="1"/>
        <v>19.397564826057128</v>
      </c>
      <c r="J56" s="21">
        <f t="shared" si="2"/>
        <v>19.119526072000717</v>
      </c>
      <c r="K56" s="21"/>
      <c r="O56"/>
      <c r="P56" s="23"/>
      <c r="Q56" s="21">
        <f t="shared" si="3"/>
        <v>12.515198471211058</v>
      </c>
      <c r="R56" s="21">
        <f t="shared" si="4"/>
        <v>14.4339370832899</v>
      </c>
      <c r="S56" s="27"/>
      <c r="T56">
        <f>USA!Z64*G56</f>
        <v>15.271141991623381</v>
      </c>
      <c r="U56">
        <v>1</v>
      </c>
      <c r="V56">
        <v>0</v>
      </c>
      <c r="W56">
        <v>0</v>
      </c>
      <c r="X56">
        <v>0</v>
      </c>
      <c r="Y56" s="23"/>
      <c r="Z56" s="3"/>
      <c r="AA56" s="3">
        <f t="shared" si="5"/>
        <v>2.0714858348536977</v>
      </c>
      <c r="AB56" s="3">
        <v>4.0532253086223315</v>
      </c>
      <c r="AC56" s="3">
        <v>0</v>
      </c>
      <c r="AD56" s="3">
        <f>'Canada Prov''s'!AD17/100</f>
        <v>4.0646935904295127E-2</v>
      </c>
      <c r="AE56" s="4">
        <f t="shared" si="21"/>
        <v>0.75765521137004044</v>
      </c>
      <c r="AF56" s="3">
        <f t="shared" si="6"/>
        <v>6.8823663548460692</v>
      </c>
      <c r="AH56" s="4"/>
      <c r="AM56"/>
      <c r="AN56"/>
      <c r="AO56" s="9">
        <v>1977</v>
      </c>
      <c r="AP56" s="3">
        <f t="shared" si="7"/>
        <v>19.397564826057128</v>
      </c>
      <c r="AQ56" s="3">
        <f t="shared" si="8"/>
        <v>2.0714858348536977</v>
      </c>
      <c r="AR56" s="3">
        <f t="shared" si="9"/>
        <v>4.0532253086223315</v>
      </c>
      <c r="AS56" s="3">
        <f t="shared" si="22"/>
        <v>0.75765521137004044</v>
      </c>
      <c r="AT56" s="3">
        <f t="shared" si="23"/>
        <v>6.8823663548460692</v>
      </c>
      <c r="AU56" s="3">
        <f t="shared" si="10"/>
        <v>12.515198471211058</v>
      </c>
      <c r="AW56" s="3">
        <v>28.863768089286754</v>
      </c>
      <c r="AY56" s="3">
        <f t="shared" si="11"/>
        <v>67.20385490228783</v>
      </c>
      <c r="AZ56" s="3">
        <f t="shared" si="24"/>
        <v>66.240575426107426</v>
      </c>
      <c r="BA56" s="3">
        <f t="shared" si="12"/>
        <v>23.844310048349403</v>
      </c>
      <c r="BB56" s="3">
        <f t="shared" si="25"/>
        <v>43.359544853938431</v>
      </c>
      <c r="BC56" s="3">
        <f t="shared" si="14"/>
        <v>42.39626537775802</v>
      </c>
      <c r="BD56" s="3">
        <f t="shared" si="15"/>
        <v>52.907652058400188</v>
      </c>
      <c r="BE56" s="3">
        <v>0</v>
      </c>
      <c r="BF56" s="3">
        <v>0</v>
      </c>
      <c r="BG56" s="24">
        <v>0.45</v>
      </c>
      <c r="BH56" s="3">
        <v>0</v>
      </c>
      <c r="BI56" s="3">
        <v>0</v>
      </c>
      <c r="BJ56" s="3"/>
      <c r="BK56" s="7">
        <f t="shared" si="16"/>
        <v>77.362758190980998</v>
      </c>
      <c r="BL56" s="7">
        <f t="shared" si="17"/>
        <v>76.253864106044489</v>
      </c>
      <c r="BY56"/>
      <c r="BZ56" s="7"/>
      <c r="CA56" s="7"/>
      <c r="CB56" s="7"/>
      <c r="CC56" s="7"/>
      <c r="CD56" s="3">
        <f t="shared" si="18"/>
        <v>12.237159717154647</v>
      </c>
      <c r="CE56" s="7"/>
      <c r="CF56" s="7"/>
      <c r="CG56" s="7"/>
      <c r="CH56" s="7"/>
      <c r="CI56" s="7"/>
    </row>
    <row r="57" spans="1:87">
      <c r="A57">
        <v>1978</v>
      </c>
      <c r="B57" s="3">
        <f t="shared" si="19"/>
        <v>59.351294906992585</v>
      </c>
      <c r="C57" s="3">
        <f t="shared" si="0"/>
        <v>29.916940817905406</v>
      </c>
      <c r="D57" s="1"/>
      <c r="E57" s="3">
        <v>42.81494</v>
      </c>
      <c r="F57" s="3">
        <f t="shared" si="20"/>
        <v>0</v>
      </c>
      <c r="G57" s="2">
        <v>1.1406749993333301</v>
      </c>
      <c r="H57" s="3">
        <v>20.253929970172081</v>
      </c>
      <c r="I57" s="21">
        <f t="shared" si="1"/>
        <v>20.253929970172081</v>
      </c>
      <c r="J57" s="21">
        <f t="shared" si="2"/>
        <v>20.056770316154982</v>
      </c>
      <c r="K57" s="21"/>
      <c r="O57"/>
      <c r="P57" s="23"/>
      <c r="Q57" s="21">
        <f t="shared" si="3"/>
        <v>13.404162373665288</v>
      </c>
      <c r="R57" s="21">
        <f t="shared" si="4"/>
        <v>15.240134008299551</v>
      </c>
      <c r="S57" s="27"/>
      <c r="T57">
        <f>USA!Z65*G57</f>
        <v>16.357279490439954</v>
      </c>
      <c r="U57">
        <v>1</v>
      </c>
      <c r="V57">
        <v>0</v>
      </c>
      <c r="W57">
        <v>0</v>
      </c>
      <c r="X57">
        <v>0</v>
      </c>
      <c r="Y57" s="23"/>
      <c r="Z57" s="3"/>
      <c r="AA57" s="3">
        <f t="shared" si="5"/>
        <v>2.2103905972092868</v>
      </c>
      <c r="AB57" s="3">
        <v>3.8806662871403286</v>
      </c>
      <c r="AC57" s="3">
        <v>0</v>
      </c>
      <c r="AD57" s="3">
        <f>'Canada Prov''s'!AD18/100</f>
        <v>3.8917782976216307E-2</v>
      </c>
      <c r="AE57" s="4">
        <f t="shared" si="21"/>
        <v>0.75871071215717667</v>
      </c>
      <c r="AF57" s="3">
        <f t="shared" si="6"/>
        <v>6.8497675965067923</v>
      </c>
      <c r="AH57" s="4"/>
      <c r="AM57"/>
      <c r="AN57"/>
      <c r="AO57" s="9">
        <v>1978</v>
      </c>
      <c r="AP57" s="3">
        <f t="shared" si="7"/>
        <v>20.253929970172081</v>
      </c>
      <c r="AQ57" s="3">
        <f t="shared" si="8"/>
        <v>2.2103905972092868</v>
      </c>
      <c r="AR57" s="3">
        <f t="shared" si="9"/>
        <v>3.8806662871403286</v>
      </c>
      <c r="AS57" s="3">
        <f t="shared" si="22"/>
        <v>0.75871071215717667</v>
      </c>
      <c r="AT57" s="3">
        <f t="shared" si="23"/>
        <v>6.8497675965067923</v>
      </c>
      <c r="AU57" s="3">
        <f t="shared" si="10"/>
        <v>13.404162373665288</v>
      </c>
      <c r="AW57" s="3">
        <v>31.453922684981737</v>
      </c>
      <c r="AY57" s="3">
        <f t="shared" si="11"/>
        <v>64.392381748438325</v>
      </c>
      <c r="AZ57" s="3">
        <f t="shared" si="24"/>
        <v>63.765561189388507</v>
      </c>
      <c r="BA57" s="3">
        <f t="shared" si="12"/>
        <v>21.777148958839852</v>
      </c>
      <c r="BB57" s="3">
        <f t="shared" si="25"/>
        <v>42.615232789598473</v>
      </c>
      <c r="BC57" s="3">
        <f t="shared" si="14"/>
        <v>41.988412230548654</v>
      </c>
      <c r="BD57" s="3">
        <f t="shared" si="15"/>
        <v>52.003941302526449</v>
      </c>
      <c r="BE57" s="3">
        <v>0</v>
      </c>
      <c r="BF57" s="3">
        <v>0</v>
      </c>
      <c r="BG57" s="24">
        <v>0.45</v>
      </c>
      <c r="BH57" s="3">
        <v>0</v>
      </c>
      <c r="BI57" s="3">
        <v>0</v>
      </c>
      <c r="BJ57" s="3"/>
      <c r="BK57" s="7">
        <f t="shared" si="16"/>
        <v>74.126287335582361</v>
      </c>
      <c r="BL57" s="7">
        <f t="shared" si="17"/>
        <v>73.404713143009431</v>
      </c>
      <c r="BY57"/>
      <c r="BZ57" s="7"/>
      <c r="CA57" s="7"/>
      <c r="CB57" s="7"/>
      <c r="CC57" s="7"/>
      <c r="CD57" s="3">
        <f t="shared" si="18"/>
        <v>13.207002719648189</v>
      </c>
      <c r="CE57" s="7"/>
      <c r="CF57" s="7"/>
      <c r="CG57" s="7"/>
      <c r="CH57" s="7"/>
      <c r="CI57" s="7"/>
    </row>
    <row r="58" spans="1:87">
      <c r="A58">
        <v>1979</v>
      </c>
      <c r="B58" s="3">
        <f t="shared" si="19"/>
        <v>60.536649919109017</v>
      </c>
      <c r="C58" s="3">
        <f t="shared" si="0"/>
        <v>33.287054161079702</v>
      </c>
      <c r="D58" s="1"/>
      <c r="E58" s="3">
        <v>47.637999999999998</v>
      </c>
      <c r="F58" s="3">
        <f t="shared" si="20"/>
        <v>0</v>
      </c>
      <c r="G58" s="2">
        <v>1.1714249994999999</v>
      </c>
      <c r="H58" s="3">
        <v>23.605229887711065</v>
      </c>
      <c r="I58" s="21">
        <f t="shared" si="1"/>
        <v>23.605229887711065</v>
      </c>
      <c r="J58" s="21">
        <f t="shared" si="2"/>
        <v>23.409079821393782</v>
      </c>
      <c r="K58" s="21"/>
      <c r="O58"/>
      <c r="P58" s="23"/>
      <c r="Q58" s="21">
        <f t="shared" si="3"/>
        <v>16.103204164278576</v>
      </c>
      <c r="R58" s="21">
        <f t="shared" si="4"/>
        <v>12.617825895775175</v>
      </c>
      <c r="S58" s="27"/>
      <c r="T58">
        <f>USA!Z66*G58</f>
        <v>25.103637739284999</v>
      </c>
      <c r="U58">
        <v>0</v>
      </c>
      <c r="V58">
        <v>1</v>
      </c>
      <c r="W58">
        <v>0</v>
      </c>
      <c r="X58">
        <v>0</v>
      </c>
      <c r="Y58" s="23"/>
      <c r="Z58" s="3"/>
      <c r="AA58" s="3">
        <f t="shared" si="5"/>
        <v>2.6535636033136916</v>
      </c>
      <c r="AB58" s="3">
        <v>3.9492031964985381</v>
      </c>
      <c r="AC58" s="3">
        <v>0</v>
      </c>
      <c r="AD58" s="3">
        <f>'Canada Prov''s'!AD19/100</f>
        <v>3.9604513061450908E-2</v>
      </c>
      <c r="AE58" s="4">
        <f t="shared" si="21"/>
        <v>0.8992589236202595</v>
      </c>
      <c r="AF58" s="3">
        <f t="shared" si="6"/>
        <v>7.5020257234324887</v>
      </c>
      <c r="AH58" s="4"/>
      <c r="AM58"/>
      <c r="AN58"/>
      <c r="AO58" s="9">
        <v>1979</v>
      </c>
      <c r="AP58" s="3">
        <f t="shared" si="7"/>
        <v>23.605229887711065</v>
      </c>
      <c r="AQ58" s="3">
        <f t="shared" si="8"/>
        <v>2.6535636033136916</v>
      </c>
      <c r="AR58" s="3">
        <f t="shared" si="9"/>
        <v>3.9492031964985381</v>
      </c>
      <c r="AS58" s="3">
        <f t="shared" si="22"/>
        <v>0.8992589236202595</v>
      </c>
      <c r="AT58" s="3">
        <f t="shared" si="23"/>
        <v>7.5020257234324887</v>
      </c>
      <c r="AU58" s="3">
        <f t="shared" si="10"/>
        <v>16.103204164278576</v>
      </c>
      <c r="AW58" s="3">
        <v>34.330282318353042</v>
      </c>
      <c r="AY58" s="3">
        <f t="shared" si="11"/>
        <v>68.759207013837056</v>
      </c>
      <c r="AZ58" s="3">
        <f t="shared" si="24"/>
        <v>68.187845367293221</v>
      </c>
      <c r="BA58" s="3">
        <f t="shared" si="12"/>
        <v>21.852502271505905</v>
      </c>
      <c r="BB58" s="3">
        <f t="shared" si="25"/>
        <v>46.906704742331151</v>
      </c>
      <c r="BC58" s="3">
        <f t="shared" si="14"/>
        <v>46.335343095787323</v>
      </c>
      <c r="BD58" s="3">
        <f t="shared" si="15"/>
        <v>73.123889592555258</v>
      </c>
      <c r="BE58" s="3">
        <v>0</v>
      </c>
      <c r="BF58" s="3">
        <v>0</v>
      </c>
      <c r="BG58" s="24">
        <v>0.7</v>
      </c>
      <c r="BH58" s="3">
        <v>0</v>
      </c>
      <c r="BI58" s="3">
        <v>0</v>
      </c>
      <c r="BJ58" s="3"/>
      <c r="BK58" s="7">
        <f t="shared" si="16"/>
        <v>79.153225858089755</v>
      </c>
      <c r="BL58" s="7">
        <f t="shared" si="17"/>
        <v>78.495494051403369</v>
      </c>
      <c r="BY58"/>
      <c r="BZ58" s="7"/>
      <c r="CA58" s="7"/>
      <c r="CB58" s="7"/>
      <c r="CC58" s="7"/>
      <c r="CD58" s="3">
        <f t="shared" si="18"/>
        <v>15.907054097961293</v>
      </c>
      <c r="CE58" s="7"/>
      <c r="CF58" s="7"/>
      <c r="CG58" s="7"/>
      <c r="CH58" s="7"/>
      <c r="CI58" s="7"/>
    </row>
    <row r="59" spans="1:87">
      <c r="A59">
        <v>1980</v>
      </c>
      <c r="B59" s="3">
        <f t="shared" si="19"/>
        <v>64.238056600798416</v>
      </c>
      <c r="C59" s="3">
        <f t="shared" si="0"/>
        <v>37.784321185500851</v>
      </c>
      <c r="D59" s="1"/>
      <c r="E59" s="3">
        <v>54.074159999999999</v>
      </c>
      <c r="F59" s="3">
        <f t="shared" si="20"/>
        <v>0</v>
      </c>
      <c r="G59" s="2">
        <v>1.1692166660000001</v>
      </c>
      <c r="H59" s="3">
        <v>28.37912593117137</v>
      </c>
      <c r="I59" s="21">
        <f t="shared" si="1"/>
        <v>28.37912593117137</v>
      </c>
      <c r="J59" s="21">
        <f t="shared" si="2"/>
        <v>29.076848566722738</v>
      </c>
      <c r="K59" s="21"/>
      <c r="O59"/>
      <c r="P59" s="23"/>
      <c r="Q59" s="21">
        <f t="shared" si="3"/>
        <v>19.821491661658573</v>
      </c>
      <c r="R59" s="21">
        <f t="shared" si="4"/>
        <v>23.309489191528435</v>
      </c>
      <c r="S59" s="27"/>
      <c r="T59">
        <f>USA!Z67*G59</f>
        <v>39.507831144139999</v>
      </c>
      <c r="U59">
        <v>0</v>
      </c>
      <c r="V59">
        <v>1</v>
      </c>
      <c r="W59">
        <v>0</v>
      </c>
      <c r="X59">
        <v>0</v>
      </c>
      <c r="Y59" s="23"/>
      <c r="Z59" s="3"/>
      <c r="AA59" s="3">
        <f t="shared" si="5"/>
        <v>3.2705949538943568</v>
      </c>
      <c r="AB59" s="3">
        <v>4.1524966430650236</v>
      </c>
      <c r="AC59" s="3">
        <v>0</v>
      </c>
      <c r="AD59" s="3">
        <f>'Canada Prov''s'!AD20/100</f>
        <v>4.1642871237332658E-2</v>
      </c>
      <c r="AE59" s="4">
        <f t="shared" si="21"/>
        <v>1.1345426725534162</v>
      </c>
      <c r="AF59" s="3">
        <f t="shared" si="6"/>
        <v>8.5576342695127963</v>
      </c>
      <c r="AH59" s="4"/>
      <c r="AM59"/>
      <c r="AN59"/>
      <c r="AO59" s="9">
        <v>1980</v>
      </c>
      <c r="AP59" s="3">
        <f t="shared" si="7"/>
        <v>28.37912593117137</v>
      </c>
      <c r="AQ59" s="3">
        <f t="shared" si="8"/>
        <v>3.2705949538943568</v>
      </c>
      <c r="AR59" s="3">
        <f t="shared" si="9"/>
        <v>4.1524966430650236</v>
      </c>
      <c r="AS59" s="3">
        <f t="shared" si="22"/>
        <v>1.1345426725534162</v>
      </c>
      <c r="AT59" s="3">
        <f t="shared" si="23"/>
        <v>8.5576342695127963</v>
      </c>
      <c r="AU59" s="3">
        <f t="shared" si="10"/>
        <v>19.821491661658573</v>
      </c>
      <c r="AW59" s="3">
        <v>37.807672141000126</v>
      </c>
      <c r="AY59" s="3">
        <f t="shared" si="11"/>
        <v>75.061817679052311</v>
      </c>
      <c r="AZ59" s="3">
        <f t="shared" si="24"/>
        <v>76.907270191836702</v>
      </c>
      <c r="BA59" s="3">
        <f t="shared" si="12"/>
        <v>22.634650019175766</v>
      </c>
      <c r="BB59" s="3">
        <f t="shared" si="25"/>
        <v>52.427167659876545</v>
      </c>
      <c r="BC59" s="3">
        <f t="shared" si="14"/>
        <v>54.272620172660936</v>
      </c>
      <c r="BD59" s="3">
        <f t="shared" si="15"/>
        <v>104.49686242728538</v>
      </c>
      <c r="BE59" s="3">
        <v>0</v>
      </c>
      <c r="BF59" s="3">
        <v>0</v>
      </c>
      <c r="BG59" s="24">
        <v>1</v>
      </c>
      <c r="BH59" s="3">
        <v>0</v>
      </c>
      <c r="BI59" s="3">
        <v>0</v>
      </c>
      <c r="BJ59" s="3"/>
      <c r="BK59" s="7">
        <f t="shared" si="16"/>
        <v>86.408573718326082</v>
      </c>
      <c r="BL59" s="7">
        <f t="shared" si="17"/>
        <v>88.532994954385501</v>
      </c>
      <c r="BY59"/>
      <c r="BZ59" s="7"/>
      <c r="CA59" s="7"/>
      <c r="CB59" s="7"/>
      <c r="CC59" s="7"/>
      <c r="CD59" s="3">
        <f t="shared" si="18"/>
        <v>20.519214297209942</v>
      </c>
      <c r="CE59" s="7"/>
      <c r="CF59" s="7"/>
      <c r="CG59" s="7"/>
      <c r="CH59" s="7"/>
      <c r="CI59" s="7"/>
    </row>
    <row r="60" spans="1:87">
      <c r="A60">
        <v>1981</v>
      </c>
      <c r="B60" s="3">
        <f t="shared" si="19"/>
        <v>77.18415111184315</v>
      </c>
      <c r="C60" s="3">
        <f t="shared" si="0"/>
        <v>41.681969842500045</v>
      </c>
      <c r="D60" s="1"/>
      <c r="E60" s="3">
        <v>59.652189999999997</v>
      </c>
      <c r="F60" s="3">
        <f t="shared" si="20"/>
        <v>0</v>
      </c>
      <c r="G60" s="2">
        <v>1.1989083325833301</v>
      </c>
      <c r="H60" s="3">
        <v>38.571128520331058</v>
      </c>
      <c r="I60" s="21">
        <f t="shared" si="1"/>
        <v>38.571128520331058</v>
      </c>
      <c r="J60" s="21">
        <f t="shared" si="2"/>
        <v>38.324818487111997</v>
      </c>
      <c r="K60" s="21"/>
      <c r="O60"/>
      <c r="P60" s="23"/>
      <c r="Q60" s="21">
        <f t="shared" si="3"/>
        <v>26.498792557453385</v>
      </c>
      <c r="R60" s="21">
        <f t="shared" si="4"/>
        <v>26.385729232481602</v>
      </c>
      <c r="S60" s="27"/>
      <c r="T60">
        <f>USA!Z68*G60</f>
        <v>43.652252389359042</v>
      </c>
      <c r="U60">
        <v>0</v>
      </c>
      <c r="V60">
        <v>1</v>
      </c>
      <c r="W60">
        <v>0</v>
      </c>
      <c r="X60">
        <v>0</v>
      </c>
      <c r="Y60" s="23"/>
      <c r="Z60" s="3"/>
      <c r="AA60" s="3">
        <f t="shared" si="5"/>
        <v>4.4544202669962214</v>
      </c>
      <c r="AB60" s="3">
        <v>5.5754228388775706</v>
      </c>
      <c r="AC60" s="3">
        <v>0</v>
      </c>
      <c r="AD60" s="3">
        <f>'Canada Prov''s'!AD21/100</f>
        <v>5.5914841053164126E-2</v>
      </c>
      <c r="AE60" s="4">
        <f t="shared" si="21"/>
        <v>2.0424928570038818</v>
      </c>
      <c r="AF60" s="3">
        <f t="shared" si="6"/>
        <v>12.072335962877673</v>
      </c>
      <c r="AH60" s="4"/>
      <c r="AM60"/>
      <c r="AN60"/>
      <c r="AO60" s="9">
        <v>1981</v>
      </c>
      <c r="AP60" s="3">
        <f t="shared" si="7"/>
        <v>38.571128520331058</v>
      </c>
      <c r="AQ60" s="3">
        <f t="shared" si="8"/>
        <v>4.4544202669962214</v>
      </c>
      <c r="AR60" s="3">
        <f t="shared" si="9"/>
        <v>5.5754228388775706</v>
      </c>
      <c r="AS60" s="3">
        <f t="shared" si="22"/>
        <v>2.0424928570038818</v>
      </c>
      <c r="AT60" s="3">
        <f t="shared" si="23"/>
        <v>12.072335962877673</v>
      </c>
      <c r="AU60" s="3">
        <f t="shared" si="10"/>
        <v>26.498792557453385</v>
      </c>
      <c r="AW60" s="3">
        <v>42.522897560504312</v>
      </c>
      <c r="AY60" s="3">
        <f t="shared" si="11"/>
        <v>90.706726806303777</v>
      </c>
      <c r="AZ60" s="3">
        <f t="shared" si="24"/>
        <v>90.127485862366228</v>
      </c>
      <c r="BA60" s="3">
        <f t="shared" si="12"/>
        <v>28.390200704691814</v>
      </c>
      <c r="BB60" s="3">
        <f t="shared" si="25"/>
        <v>62.316526101611963</v>
      </c>
      <c r="BC60" s="3">
        <f t="shared" si="14"/>
        <v>61.737285157674407</v>
      </c>
      <c r="BD60" s="3">
        <f t="shared" si="15"/>
        <v>102.65587458438787</v>
      </c>
      <c r="BE60" s="3">
        <v>0</v>
      </c>
      <c r="BF60" s="3">
        <v>0</v>
      </c>
      <c r="BG60" s="24">
        <v>0.6</v>
      </c>
      <c r="BH60" s="3">
        <v>0</v>
      </c>
      <c r="BI60" s="3">
        <v>0</v>
      </c>
      <c r="BJ60" s="3"/>
      <c r="BK60" s="7">
        <f t="shared" si="16"/>
        <v>104.41845311425077</v>
      </c>
      <c r="BL60" s="7">
        <f t="shared" si="17"/>
        <v>103.75165093236239</v>
      </c>
      <c r="BY60"/>
      <c r="BZ60" s="7"/>
      <c r="CA60" s="7"/>
      <c r="CB60" s="7"/>
      <c r="CC60" s="7"/>
      <c r="CD60" s="3">
        <f t="shared" si="18"/>
        <v>26.25248252423432</v>
      </c>
      <c r="CE60" s="7"/>
      <c r="CF60" s="7"/>
      <c r="CG60" s="7"/>
      <c r="CH60" s="7"/>
      <c r="CI60" s="7"/>
    </row>
    <row r="61" spans="1:87">
      <c r="A61">
        <v>1982</v>
      </c>
      <c r="B61" s="3">
        <f t="shared" si="19"/>
        <v>85.246984033279958</v>
      </c>
      <c r="C61" s="3">
        <f t="shared" si="0"/>
        <v>44.24984128314113</v>
      </c>
      <c r="D61" s="1"/>
      <c r="E61" s="3">
        <v>63.32714</v>
      </c>
      <c r="F61" s="3">
        <f t="shared" si="20"/>
        <v>0</v>
      </c>
      <c r="G61" s="2">
        <v>1.23373333266667</v>
      </c>
      <c r="H61" s="3">
        <v>46.538463301421324</v>
      </c>
      <c r="I61" s="21">
        <f t="shared" si="1"/>
        <v>46.538463301421324</v>
      </c>
      <c r="J61" s="21">
        <f t="shared" si="2"/>
        <v>46.081475965699383</v>
      </c>
      <c r="K61" s="21"/>
      <c r="O61"/>
      <c r="P61" s="23"/>
      <c r="Q61" s="21">
        <f t="shared" si="3"/>
        <v>29.618918727377466</v>
      </c>
      <c r="R61" s="21">
        <f t="shared" si="4"/>
        <v>39.80411194590215</v>
      </c>
      <c r="S61" s="27"/>
      <c r="T61">
        <f>USA!Z69*G61</f>
        <v>40.959946644533446</v>
      </c>
      <c r="U61">
        <v>0</v>
      </c>
      <c r="V61">
        <v>0</v>
      </c>
      <c r="W61">
        <v>0</v>
      </c>
      <c r="X61">
        <v>0</v>
      </c>
      <c r="Y61" s="23"/>
      <c r="Z61" s="3"/>
      <c r="AA61" s="3">
        <f t="shared" si="5"/>
        <v>5.1749149429018981</v>
      </c>
      <c r="AB61" s="3">
        <v>8.2057600206665278</v>
      </c>
      <c r="AC61" s="3">
        <v>0</v>
      </c>
      <c r="AD61" s="3">
        <f>'Canada Prov''s'!AD22/100</f>
        <v>8.2300070924172117E-2</v>
      </c>
      <c r="AE61" s="4">
        <f t="shared" si="21"/>
        <v>3.5388696104754307</v>
      </c>
      <c r="AF61" s="3">
        <f t="shared" si="6"/>
        <v>16.919544574043858</v>
      </c>
      <c r="AH61" s="4"/>
      <c r="AM61"/>
      <c r="AN61"/>
      <c r="AO61" s="9">
        <v>1982</v>
      </c>
      <c r="AP61" s="3">
        <f t="shared" si="7"/>
        <v>46.538463301421324</v>
      </c>
      <c r="AQ61" s="3">
        <f t="shared" si="8"/>
        <v>5.1749149429018981</v>
      </c>
      <c r="AR61" s="3">
        <f t="shared" si="9"/>
        <v>8.2057600206665278</v>
      </c>
      <c r="AS61" s="3">
        <f t="shared" si="22"/>
        <v>3.5388696104754307</v>
      </c>
      <c r="AT61" s="3">
        <f t="shared" si="23"/>
        <v>16.919544574043858</v>
      </c>
      <c r="AU61" s="3">
        <f t="shared" si="10"/>
        <v>29.618918727377466</v>
      </c>
      <c r="AW61" s="3">
        <v>47.102175641925747</v>
      </c>
      <c r="AY61" s="3">
        <f t="shared" si="11"/>
        <v>98.803213794645487</v>
      </c>
      <c r="AZ61" s="3">
        <f t="shared" si="24"/>
        <v>97.833009489867749</v>
      </c>
      <c r="BA61" s="3">
        <f t="shared" si="12"/>
        <v>35.920940685771072</v>
      </c>
      <c r="BB61" s="3">
        <f t="shared" si="25"/>
        <v>62.882273108874415</v>
      </c>
      <c r="BC61" s="3">
        <f t="shared" si="14"/>
        <v>61.91206880409667</v>
      </c>
      <c r="BD61" s="3">
        <f t="shared" si="15"/>
        <v>86.959776456854172</v>
      </c>
      <c r="BE61" s="3">
        <v>0</v>
      </c>
      <c r="BF61" s="3">
        <v>0</v>
      </c>
      <c r="BG61" s="24">
        <v>0.25</v>
      </c>
      <c r="BH61" s="3">
        <v>0</v>
      </c>
      <c r="BI61" s="3">
        <v>0</v>
      </c>
      <c r="BJ61" s="3"/>
      <c r="BK61" s="7">
        <f t="shared" si="16"/>
        <v>113.73884948118865</v>
      </c>
      <c r="BL61" s="7">
        <f t="shared" si="17"/>
        <v>112.62198377258457</v>
      </c>
      <c r="BY61"/>
      <c r="BZ61" s="7"/>
      <c r="CA61" s="7"/>
      <c r="CB61" s="7"/>
      <c r="CC61" s="7"/>
      <c r="CD61" s="3">
        <f t="shared" si="18"/>
        <v>29.161931391655529</v>
      </c>
      <c r="CE61" s="7"/>
      <c r="CF61" s="7"/>
      <c r="CG61" s="7"/>
      <c r="CH61" s="7"/>
      <c r="CI61" s="7"/>
    </row>
    <row r="62" spans="1:87">
      <c r="A62">
        <v>1983</v>
      </c>
      <c r="B62" s="3">
        <f t="shared" si="19"/>
        <v>87.251952630378085</v>
      </c>
      <c r="C62" s="3">
        <f t="shared" si="0"/>
        <v>45.671336429076113</v>
      </c>
      <c r="D62" s="1"/>
      <c r="E62" s="3">
        <v>65.36148</v>
      </c>
      <c r="F62" s="3">
        <f t="shared" si="20"/>
        <v>0</v>
      </c>
      <c r="G62" s="2">
        <v>1.23241666566667</v>
      </c>
      <c r="H62" s="3">
        <v>49.110735408061466</v>
      </c>
      <c r="I62" s="21">
        <f t="shared" si="1"/>
        <v>49.110735408061466</v>
      </c>
      <c r="J62" s="21">
        <f t="shared" si="2"/>
        <v>48.219728669906715</v>
      </c>
      <c r="K62" s="21"/>
      <c r="O62"/>
      <c r="P62" s="23"/>
      <c r="Q62" s="21">
        <f t="shared" si="3"/>
        <v>30.880671927615467</v>
      </c>
      <c r="R62" s="21">
        <f t="shared" si="4"/>
        <v>35.883875046993197</v>
      </c>
      <c r="S62" s="27"/>
      <c r="T62">
        <f>USA!Z70*G62</f>
        <v>35.678462471050096</v>
      </c>
      <c r="U62">
        <v>0</v>
      </c>
      <c r="V62">
        <v>0</v>
      </c>
      <c r="W62">
        <v>0</v>
      </c>
      <c r="X62">
        <v>0</v>
      </c>
      <c r="Y62" s="23"/>
      <c r="Z62" s="3"/>
      <c r="AA62" s="3">
        <f t="shared" si="5"/>
        <v>5.4414031395974582</v>
      </c>
      <c r="AB62" s="3">
        <v>8.8040454851173315</v>
      </c>
      <c r="AC62" s="3">
        <v>0</v>
      </c>
      <c r="AD62" s="3">
        <f>'Canada Prov''s'!AD23/100</f>
        <v>8.8299521584410776E-2</v>
      </c>
      <c r="AE62" s="4">
        <f t="shared" si="21"/>
        <v>3.9846148557312087</v>
      </c>
      <c r="AF62" s="3">
        <f t="shared" si="6"/>
        <v>18.230063480445999</v>
      </c>
      <c r="AH62" s="4"/>
      <c r="AM62"/>
      <c r="AN62"/>
      <c r="AO62" s="9">
        <v>1983</v>
      </c>
      <c r="AP62" s="3">
        <f t="shared" si="7"/>
        <v>49.110735408061466</v>
      </c>
      <c r="AQ62" s="3">
        <f t="shared" si="8"/>
        <v>5.4414031395974582</v>
      </c>
      <c r="AR62" s="3">
        <f t="shared" si="9"/>
        <v>8.8040454851173315</v>
      </c>
      <c r="AS62" s="3">
        <f t="shared" si="22"/>
        <v>3.9846148557312087</v>
      </c>
      <c r="AT62" s="3">
        <f t="shared" si="23"/>
        <v>18.230063480445999</v>
      </c>
      <c r="AU62" s="3">
        <f t="shared" si="10"/>
        <v>30.880671927615467</v>
      </c>
      <c r="AW62" s="3">
        <v>49.864053160604627</v>
      </c>
      <c r="AY62" s="7">
        <f t="shared" si="11"/>
        <v>98.48925687986727</v>
      </c>
      <c r="AZ62" s="7">
        <f t="shared" si="24"/>
        <v>96.702385011900688</v>
      </c>
      <c r="BA62" s="7">
        <f t="shared" si="12"/>
        <v>36.559530011990205</v>
      </c>
      <c r="BB62" s="7">
        <f t="shared" si="25"/>
        <v>61.929726867877065</v>
      </c>
      <c r="BC62" s="3">
        <f t="shared" si="14"/>
        <v>60.142854999910483</v>
      </c>
      <c r="BD62" s="3">
        <f t="shared" si="15"/>
        <v>71.551468863020673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/>
      <c r="BK62" s="7">
        <f t="shared" si="16"/>
        <v>113.37743311726595</v>
      </c>
      <c r="BL62" s="7">
        <f t="shared" si="17"/>
        <v>111.32044789758238</v>
      </c>
      <c r="BY62"/>
      <c r="BZ62" s="7"/>
      <c r="CA62" s="7"/>
      <c r="CB62" s="7"/>
      <c r="CC62" s="7"/>
      <c r="CD62" s="3">
        <f t="shared" si="18"/>
        <v>29.98966518946072</v>
      </c>
      <c r="CE62" s="7"/>
      <c r="CF62" s="7"/>
      <c r="CG62" s="7"/>
      <c r="CH62" s="7"/>
      <c r="CI62" s="7"/>
    </row>
    <row r="63" spans="1:87">
      <c r="A63">
        <v>1984</v>
      </c>
      <c r="B63" s="3">
        <f t="shared" si="19"/>
        <v>83.146459617176845</v>
      </c>
      <c r="C63" s="3">
        <f t="shared" si="0"/>
        <v>47.643090239969929</v>
      </c>
      <c r="D63" s="1"/>
      <c r="E63" s="3">
        <v>68.183310000000006</v>
      </c>
      <c r="F63" s="3">
        <f t="shared" si="20"/>
        <v>0</v>
      </c>
      <c r="G63" s="2">
        <v>1.2950666663333299</v>
      </c>
      <c r="H63" s="3">
        <v>51.302178798491276</v>
      </c>
      <c r="I63" s="21">
        <f t="shared" si="1"/>
        <v>51.302178798491276</v>
      </c>
      <c r="J63" s="21">
        <f t="shared" si="2"/>
        <v>51.024728030969058</v>
      </c>
      <c r="K63" s="21"/>
      <c r="O63"/>
      <c r="P63" s="23"/>
      <c r="Q63" s="21">
        <f t="shared" si="3"/>
        <v>33.253077347215424</v>
      </c>
      <c r="R63" s="21">
        <f t="shared" si="4"/>
        <v>36.816776838382467</v>
      </c>
      <c r="S63" s="27"/>
      <c r="T63">
        <f>USA!Z71*G63</f>
        <v>36.935301323826565</v>
      </c>
      <c r="U63">
        <v>0</v>
      </c>
      <c r="V63">
        <v>0</v>
      </c>
      <c r="W63">
        <v>0</v>
      </c>
      <c r="X63">
        <v>0</v>
      </c>
      <c r="Y63" s="23"/>
      <c r="Z63" s="3"/>
      <c r="AA63" s="3">
        <f t="shared" si="5"/>
        <v>5.8051676371482399</v>
      </c>
      <c r="AB63" s="3">
        <v>8.3009370418376527</v>
      </c>
      <c r="AC63" s="3">
        <v>0</v>
      </c>
      <c r="AD63" s="3">
        <f>'Canada Prov''s'!AD24/100</f>
        <v>8.3257281979838935E-2</v>
      </c>
      <c r="AE63" s="4">
        <f t="shared" si="21"/>
        <v>3.942996772289963</v>
      </c>
      <c r="AF63" s="3">
        <f t="shared" si="6"/>
        <v>18.049101451275856</v>
      </c>
      <c r="AH63" s="4"/>
      <c r="AM63"/>
      <c r="AN63"/>
      <c r="AO63" s="9">
        <v>1984</v>
      </c>
      <c r="AP63" s="3">
        <f t="shared" si="7"/>
        <v>51.302178798491276</v>
      </c>
      <c r="AQ63" s="3">
        <f t="shared" si="8"/>
        <v>5.8051676371482399</v>
      </c>
      <c r="AR63" s="3">
        <f t="shared" si="9"/>
        <v>8.3009370418376527</v>
      </c>
      <c r="AS63" s="3">
        <f t="shared" si="22"/>
        <v>3.942996772289963</v>
      </c>
      <c r="AT63" s="3">
        <f t="shared" si="23"/>
        <v>18.049101451275856</v>
      </c>
      <c r="AU63" s="3">
        <f t="shared" si="10"/>
        <v>33.253077347215424</v>
      </c>
      <c r="AW63" s="3">
        <v>52.01058995097064</v>
      </c>
      <c r="AY63" s="7">
        <f t="shared" si="11"/>
        <v>98.637948246410645</v>
      </c>
      <c r="AZ63" s="7">
        <f t="shared" si="24"/>
        <v>98.104497716847789</v>
      </c>
      <c r="BA63" s="7">
        <f t="shared" si="12"/>
        <v>34.702743168824632</v>
      </c>
      <c r="BB63" s="7">
        <f t="shared" si="25"/>
        <v>63.935205077586012</v>
      </c>
      <c r="BC63" s="3">
        <f t="shared" si="14"/>
        <v>63.401754548023149</v>
      </c>
      <c r="BD63" s="3">
        <f t="shared" si="15"/>
        <v>71.014963219307347</v>
      </c>
      <c r="BE63" s="3">
        <v>0</v>
      </c>
      <c r="BF63" s="3">
        <v>0</v>
      </c>
      <c r="BG63" s="3">
        <v>0</v>
      </c>
      <c r="BH63" s="3">
        <v>0</v>
      </c>
      <c r="BI63" s="24">
        <v>0.5</v>
      </c>
      <c r="BJ63" s="3"/>
      <c r="BK63" s="7">
        <f t="shared" si="16"/>
        <v>113.54860148627851</v>
      </c>
      <c r="BL63" s="7">
        <f t="shared" si="17"/>
        <v>112.93451164894068</v>
      </c>
      <c r="BY63"/>
      <c r="BZ63" s="7"/>
      <c r="CA63" s="7"/>
      <c r="CB63" s="7"/>
      <c r="CC63" s="7"/>
      <c r="CD63" s="3">
        <f t="shared" si="18"/>
        <v>32.975626579693198</v>
      </c>
      <c r="CE63" s="7"/>
      <c r="CF63" s="7"/>
      <c r="CG63" s="7"/>
      <c r="CH63" s="7"/>
      <c r="CI63" s="7"/>
    </row>
    <row r="64" spans="1:87">
      <c r="A64">
        <v>1985</v>
      </c>
      <c r="B64" s="3">
        <f t="shared" si="19"/>
        <v>80.46155374359266</v>
      </c>
      <c r="C64" s="3">
        <f t="shared" si="0"/>
        <v>49.339718212134507</v>
      </c>
      <c r="D64" s="1"/>
      <c r="E64" s="3">
        <v>70.611400000000003</v>
      </c>
      <c r="F64" s="3">
        <f t="shared" si="20"/>
        <v>0</v>
      </c>
      <c r="G64" s="2">
        <v>1.36548333291667</v>
      </c>
      <c r="H64" s="3">
        <v>54.20901088165818</v>
      </c>
      <c r="I64" s="21">
        <f t="shared" si="1"/>
        <v>54.20901088165818</v>
      </c>
      <c r="J64" s="21">
        <f t="shared" si="2"/>
        <v>54.38870412046667</v>
      </c>
      <c r="K64" s="21"/>
      <c r="O64"/>
      <c r="P64" s="23"/>
      <c r="Q64" s="21">
        <f t="shared" si="3"/>
        <v>35.101332656748255</v>
      </c>
      <c r="R64" s="21">
        <f t="shared" si="4"/>
        <v>36.432389214195268</v>
      </c>
      <c r="S64" s="27"/>
      <c r="T64">
        <f>USA!Z72*G64</f>
        <v>36.417440488887593</v>
      </c>
      <c r="U64">
        <v>0</v>
      </c>
      <c r="V64">
        <v>0</v>
      </c>
      <c r="W64">
        <v>0</v>
      </c>
      <c r="X64">
        <v>0</v>
      </c>
      <c r="Y64" s="23"/>
      <c r="Z64" s="3"/>
      <c r="AA64" s="3">
        <f t="shared" si="5"/>
        <v>6.1525714362351316</v>
      </c>
      <c r="AB64" s="3">
        <v>8.6344076502868425</v>
      </c>
      <c r="AC64" s="3">
        <v>0</v>
      </c>
      <c r="AD64" s="3">
        <f>'Canada Prov''s'!AD25/100</f>
        <v>8.66074434553461E-2</v>
      </c>
      <c r="AE64" s="4">
        <f t="shared" si="21"/>
        <v>4.3206991383879556</v>
      </c>
      <c r="AF64" s="3">
        <f t="shared" si="6"/>
        <v>19.107678224909929</v>
      </c>
      <c r="AH64" s="4"/>
      <c r="AM64"/>
      <c r="AN64"/>
      <c r="AO64" s="9">
        <v>1985</v>
      </c>
      <c r="AP64" s="3">
        <f t="shared" si="7"/>
        <v>54.20901088165818</v>
      </c>
      <c r="AQ64" s="3">
        <f t="shared" si="8"/>
        <v>6.1525714362351316</v>
      </c>
      <c r="AR64" s="3">
        <f t="shared" si="9"/>
        <v>8.6344076502868425</v>
      </c>
      <c r="AS64" s="3">
        <f t="shared" si="22"/>
        <v>4.3206991383879556</v>
      </c>
      <c r="AT64" s="3">
        <f t="shared" si="23"/>
        <v>19.107678224909929</v>
      </c>
      <c r="AU64" s="3">
        <f t="shared" si="10"/>
        <v>35.101332656748255</v>
      </c>
      <c r="AW64" s="3">
        <v>54.071265648110987</v>
      </c>
      <c r="AY64" s="7">
        <f t="shared" si="11"/>
        <v>100.25474756674575</v>
      </c>
      <c r="AZ64" s="7">
        <f t="shared" si="24"/>
        <v>100.58707424091297</v>
      </c>
      <c r="BA64" s="7">
        <f t="shared" si="12"/>
        <v>35.337952599926737</v>
      </c>
      <c r="BB64" s="7">
        <f t="shared" si="25"/>
        <v>64.916794966819012</v>
      </c>
      <c r="BC64" s="3">
        <f t="shared" si="14"/>
        <v>65.249121640986232</v>
      </c>
      <c r="BD64" s="3">
        <f t="shared" si="15"/>
        <v>67.350819427619342</v>
      </c>
      <c r="BE64" s="3">
        <v>0</v>
      </c>
      <c r="BF64" s="3">
        <v>0</v>
      </c>
      <c r="BG64" s="3">
        <v>0</v>
      </c>
      <c r="BH64" s="3">
        <v>0</v>
      </c>
      <c r="BI64" s="24">
        <v>1</v>
      </c>
      <c r="BJ64" s="3"/>
      <c r="BK64" s="7">
        <f t="shared" si="16"/>
        <v>115.40980505926238</v>
      </c>
      <c r="BL64" s="7">
        <f t="shared" si="17"/>
        <v>115.79236805615284</v>
      </c>
      <c r="BY64"/>
      <c r="BZ64" s="7"/>
      <c r="CA64" s="7"/>
      <c r="CB64" s="7"/>
      <c r="CC64" s="7"/>
      <c r="CD64" s="3">
        <f t="shared" si="18"/>
        <v>35.281025895556738</v>
      </c>
      <c r="CE64" s="7"/>
      <c r="CF64" s="7"/>
      <c r="CG64" s="7"/>
      <c r="CH64" s="7"/>
      <c r="CI64" s="7"/>
    </row>
    <row r="65" spans="1:87">
      <c r="A65">
        <v>1986</v>
      </c>
      <c r="B65" s="3">
        <f t="shared" si="19"/>
        <v>69.27592090565895</v>
      </c>
      <c r="C65" s="3">
        <f t="shared" si="0"/>
        <v>50.256813657899102</v>
      </c>
      <c r="D65" s="1"/>
      <c r="E65" s="3">
        <v>71.923879999999997</v>
      </c>
      <c r="F65" s="3">
        <f t="shared" si="20"/>
        <v>0</v>
      </c>
      <c r="G65" s="2">
        <v>1.3894999997499999</v>
      </c>
      <c r="H65" s="3">
        <v>48.376652022353674</v>
      </c>
      <c r="I65" s="21">
        <f t="shared" si="1"/>
        <v>48.376652022353674</v>
      </c>
      <c r="J65" s="21">
        <f t="shared" si="2"/>
        <v>47.03146382053869</v>
      </c>
      <c r="K65" s="21"/>
      <c r="O65"/>
      <c r="P65" s="23"/>
      <c r="Q65" s="21">
        <f t="shared" si="3"/>
        <v>30.418980080051767</v>
      </c>
      <c r="R65" s="21">
        <f t="shared" si="4"/>
        <v>34.712310106293053</v>
      </c>
      <c r="S65" s="27"/>
      <c r="T65">
        <f>USA!Z73*G65</f>
        <v>20.9119749962375</v>
      </c>
      <c r="U65">
        <v>0</v>
      </c>
      <c r="V65">
        <v>0</v>
      </c>
      <c r="W65">
        <v>1</v>
      </c>
      <c r="X65">
        <v>0</v>
      </c>
      <c r="Y65" s="23"/>
      <c r="Z65" s="3"/>
      <c r="AA65" s="3">
        <f t="shared" si="5"/>
        <v>5.3543804318545414</v>
      </c>
      <c r="AB65" s="3">
        <v>8.7145747493570767</v>
      </c>
      <c r="AC65" s="3">
        <v>0</v>
      </c>
      <c r="AD65" s="3">
        <f>'Canada Prov''s'!AD26/100</f>
        <v>8.7410592068458651E-2</v>
      </c>
      <c r="AE65" s="4">
        <f t="shared" si="21"/>
        <v>3.8887167610902909</v>
      </c>
      <c r="AF65" s="3">
        <f t="shared" si="6"/>
        <v>17.957671942301907</v>
      </c>
      <c r="AH65" s="4"/>
      <c r="AM65"/>
      <c r="AN65"/>
      <c r="AO65" s="9">
        <v>1986</v>
      </c>
      <c r="AP65" s="3">
        <f t="shared" si="7"/>
        <v>48.376652022353674</v>
      </c>
      <c r="AQ65" s="3">
        <f t="shared" si="8"/>
        <v>5.3543804318545414</v>
      </c>
      <c r="AR65" s="3">
        <f t="shared" si="9"/>
        <v>8.7145747493570767</v>
      </c>
      <c r="AS65" s="3">
        <f t="shared" si="22"/>
        <v>3.8887167610902909</v>
      </c>
      <c r="AT65" s="3">
        <f t="shared" si="23"/>
        <v>17.957671942301907</v>
      </c>
      <c r="AU65" s="3">
        <f t="shared" si="10"/>
        <v>30.418980080051767</v>
      </c>
      <c r="AW65" s="3">
        <v>56.339439529540762</v>
      </c>
      <c r="AY65" s="7">
        <f t="shared" si="11"/>
        <v>85.866406244577718</v>
      </c>
      <c r="AZ65" s="7">
        <f t="shared" si="24"/>
        <v>83.478757000907734</v>
      </c>
      <c r="BA65" s="7">
        <f t="shared" si="12"/>
        <v>31.874069199580983</v>
      </c>
      <c r="BB65" s="7">
        <f t="shared" si="25"/>
        <v>53.992337044996731</v>
      </c>
      <c r="BC65" s="3">
        <f t="shared" si="14"/>
        <v>51.604687801326754</v>
      </c>
      <c r="BD65" s="3">
        <f t="shared" si="15"/>
        <v>37.117825755566152</v>
      </c>
      <c r="BE65" s="3">
        <v>0</v>
      </c>
      <c r="BF65" s="3">
        <v>0</v>
      </c>
      <c r="BG65" s="3">
        <v>0</v>
      </c>
      <c r="BH65" s="3">
        <v>0</v>
      </c>
      <c r="BI65" s="24">
        <v>1</v>
      </c>
      <c r="BJ65" s="3"/>
      <c r="BK65" s="7">
        <f t="shared" si="16"/>
        <v>98.84644314952331</v>
      </c>
      <c r="BL65" s="7">
        <f t="shared" si="17"/>
        <v>96.097863751042539</v>
      </c>
      <c r="BY65"/>
      <c r="BZ65" s="7"/>
      <c r="CA65" s="7"/>
      <c r="CB65" s="7"/>
      <c r="CC65" s="7"/>
      <c r="CD65" s="3">
        <f t="shared" si="18"/>
        <v>29.073791878236783</v>
      </c>
      <c r="CE65" s="7"/>
      <c r="CF65" s="7"/>
      <c r="CG65" s="7"/>
      <c r="CH65" s="7"/>
      <c r="CI65" s="7"/>
    </row>
    <row r="66" spans="1:87">
      <c r="A66">
        <v>1987</v>
      </c>
      <c r="B66" s="3">
        <f t="shared" si="19"/>
        <v>73.112337792492255</v>
      </c>
      <c r="C66" s="3">
        <f t="shared" si="0"/>
        <v>52.136856526716379</v>
      </c>
      <c r="D66" s="1"/>
      <c r="E66" s="3">
        <v>74.614459999999994</v>
      </c>
      <c r="F66" s="3">
        <f t="shared" si="20"/>
        <v>0</v>
      </c>
      <c r="G66" s="2">
        <v>1.32599166666667</v>
      </c>
      <c r="H66" s="3">
        <v>50.544779742817738</v>
      </c>
      <c r="I66" s="21">
        <f t="shared" si="1"/>
        <v>50.544779742817738</v>
      </c>
      <c r="J66" s="21">
        <f t="shared" si="2"/>
        <v>50.884084655258377</v>
      </c>
      <c r="K66" s="21"/>
      <c r="O66"/>
      <c r="P66" s="23"/>
      <c r="Q66" s="21">
        <f t="shared" si="3"/>
        <v>31.64198657451891</v>
      </c>
      <c r="R66" s="21">
        <f t="shared" si="4"/>
        <v>38.087416690723266</v>
      </c>
      <c r="S66" s="27"/>
      <c r="T66">
        <f>USA!Z74*G66</f>
        <v>25.459040000000062</v>
      </c>
      <c r="U66">
        <v>0</v>
      </c>
      <c r="V66">
        <v>0</v>
      </c>
      <c r="W66">
        <v>1</v>
      </c>
      <c r="X66">
        <v>0</v>
      </c>
      <c r="Y66" s="23"/>
      <c r="Z66" s="3"/>
      <c r="AA66" s="3">
        <f t="shared" si="5"/>
        <v>5.5971374972594683</v>
      </c>
      <c r="AB66" s="7">
        <v>9.0845019853401965</v>
      </c>
      <c r="AC66" s="3">
        <v>0</v>
      </c>
      <c r="AD66" s="3">
        <f>'Canada Prov''s'!AD27/100</f>
        <v>9.1123127548226532E-2</v>
      </c>
      <c r="AE66" s="4">
        <f t="shared" si="21"/>
        <v>4.221153685699166</v>
      </c>
      <c r="AF66" s="3">
        <f t="shared" si="6"/>
        <v>18.902793168298828</v>
      </c>
      <c r="AH66" s="4"/>
      <c r="AM66"/>
      <c r="AN66"/>
      <c r="AO66" s="9">
        <v>1987</v>
      </c>
      <c r="AP66" s="3">
        <f t="shared" si="7"/>
        <v>50.544779742817738</v>
      </c>
      <c r="AQ66" s="3">
        <f t="shared" si="8"/>
        <v>5.5971374972594683</v>
      </c>
      <c r="AR66" s="3">
        <f t="shared" si="9"/>
        <v>9.0845019853401965</v>
      </c>
      <c r="AS66" s="3">
        <f t="shared" si="22"/>
        <v>4.221153685699166</v>
      </c>
      <c r="AT66" s="3">
        <f t="shared" si="23"/>
        <v>18.902793168298828</v>
      </c>
      <c r="AU66" s="3">
        <f t="shared" si="10"/>
        <v>31.64198657451891</v>
      </c>
      <c r="AW66" s="3">
        <v>58.793646925436647</v>
      </c>
      <c r="AY66" s="7">
        <f t="shared" si="11"/>
        <v>85.969798415328285</v>
      </c>
      <c r="AZ66" s="7">
        <f t="shared" si="24"/>
        <v>86.54690994044077</v>
      </c>
      <c r="BA66" s="7">
        <f t="shared" si="12"/>
        <v>32.151081208266859</v>
      </c>
      <c r="BB66" s="7">
        <f t="shared" si="25"/>
        <v>53.818717207061425</v>
      </c>
      <c r="BC66" s="3">
        <f t="shared" si="14"/>
        <v>54.395828732173904</v>
      </c>
      <c r="BD66" s="3">
        <f t="shared" si="15"/>
        <v>43.30236569996714</v>
      </c>
      <c r="BE66" s="3">
        <v>0</v>
      </c>
      <c r="BF66" s="3">
        <v>0</v>
      </c>
      <c r="BG66" s="3">
        <v>0</v>
      </c>
      <c r="BH66" s="3">
        <v>0</v>
      </c>
      <c r="BI66" s="24">
        <v>1</v>
      </c>
      <c r="BJ66" s="3"/>
      <c r="BK66" s="7">
        <f t="shared" si="16"/>
        <v>98.965464647862149</v>
      </c>
      <c r="BL66" s="7">
        <f t="shared" si="17"/>
        <v>99.629815516297015</v>
      </c>
      <c r="BY66"/>
      <c r="BZ66" s="7"/>
      <c r="CA66" s="7"/>
      <c r="CB66" s="7"/>
      <c r="CC66" s="7"/>
      <c r="CD66" s="3">
        <f t="shared" si="18"/>
        <v>31.981291486959549</v>
      </c>
      <c r="CE66" s="7"/>
      <c r="CF66" s="7"/>
      <c r="CG66" s="7"/>
      <c r="CH66" s="7"/>
      <c r="CI66" s="7"/>
    </row>
    <row r="67" spans="1:87">
      <c r="A67">
        <v>1988</v>
      </c>
      <c r="B67" s="3">
        <f t="shared" si="19"/>
        <v>74.669063552245646</v>
      </c>
      <c r="C67" s="3">
        <f t="shared" si="0"/>
        <v>54.227069431021505</v>
      </c>
      <c r="D67" s="1"/>
      <c r="E67" s="3">
        <v>77.605819999999994</v>
      </c>
      <c r="F67" s="3">
        <f t="shared" si="20"/>
        <v>0</v>
      </c>
      <c r="G67" s="2">
        <v>1.23070833333333</v>
      </c>
      <c r="H67" s="3">
        <v>49.832420286405721</v>
      </c>
      <c r="I67" s="21">
        <f t="shared" si="1"/>
        <v>49.832420286405721</v>
      </c>
      <c r="J67" s="21">
        <f t="shared" si="2"/>
        <v>49.702094709634466</v>
      </c>
      <c r="K67" s="21"/>
      <c r="O67"/>
      <c r="P67" s="23"/>
      <c r="Q67" s="21">
        <f t="shared" si="3"/>
        <v>30.317375045725175</v>
      </c>
      <c r="R67" s="21">
        <f t="shared" si="4"/>
        <v>33.778870873696611</v>
      </c>
      <c r="S67" s="27"/>
      <c r="T67">
        <f>USA!Z75*G67</f>
        <v>19.65441208333328</v>
      </c>
      <c r="U67">
        <v>0</v>
      </c>
      <c r="V67">
        <v>0</v>
      </c>
      <c r="W67">
        <v>1</v>
      </c>
      <c r="X67">
        <v>0</v>
      </c>
      <c r="Y67" s="23"/>
      <c r="Z67" s="3"/>
      <c r="AA67" s="3">
        <f t="shared" si="5"/>
        <v>5.4201502682921996</v>
      </c>
      <c r="AB67" s="7">
        <v>9.683159039796843</v>
      </c>
      <c r="AC67" s="3">
        <v>0</v>
      </c>
      <c r="AD67" s="3">
        <f>'Canada Prov''s'!AD28/100</f>
        <v>9.7130547356471711E-2</v>
      </c>
      <c r="AE67" s="4">
        <f t="shared" si="21"/>
        <v>4.4117359325915055</v>
      </c>
      <c r="AF67" s="3">
        <f t="shared" si="6"/>
        <v>19.515045240680546</v>
      </c>
      <c r="AH67" s="4"/>
      <c r="AM67"/>
      <c r="AN67"/>
      <c r="AO67" s="9">
        <v>1988</v>
      </c>
      <c r="AP67" s="3">
        <f t="shared" si="7"/>
        <v>49.832420286405721</v>
      </c>
      <c r="AQ67" s="3">
        <f t="shared" si="8"/>
        <v>5.4201502682921996</v>
      </c>
      <c r="AR67" s="3">
        <f t="shared" si="9"/>
        <v>9.683159039796843</v>
      </c>
      <c r="AS67" s="3">
        <f t="shared" si="22"/>
        <v>4.4117359325915055</v>
      </c>
      <c r="AT67" s="3">
        <f t="shared" si="23"/>
        <v>19.515045240680546</v>
      </c>
      <c r="AU67" s="3">
        <f t="shared" si="10"/>
        <v>30.317375045725175</v>
      </c>
      <c r="AW67" s="3">
        <v>61.161992600727046</v>
      </c>
      <c r="AY67" s="7">
        <f t="shared" si="11"/>
        <v>81.476122944060762</v>
      </c>
      <c r="AZ67" s="7">
        <f t="shared" si="24"/>
        <v>81.263040323254046</v>
      </c>
      <c r="BA67" s="7">
        <f t="shared" si="12"/>
        <v>31.907144307866396</v>
      </c>
      <c r="BB67" s="7">
        <f t="shared" si="25"/>
        <v>49.568978636194366</v>
      </c>
      <c r="BC67" s="3">
        <f t="shared" si="14"/>
        <v>49.355896015387643</v>
      </c>
      <c r="BD67" s="3">
        <f t="shared" si="15"/>
        <v>32.135009419394954</v>
      </c>
      <c r="BE67" s="3">
        <v>0</v>
      </c>
      <c r="BF67" s="3">
        <v>0</v>
      </c>
      <c r="BG67" s="3">
        <v>0</v>
      </c>
      <c r="BH67" s="3">
        <v>0</v>
      </c>
      <c r="BI67" s="24">
        <v>1</v>
      </c>
      <c r="BJ67" s="3"/>
      <c r="BK67" s="7">
        <f t="shared" si="16"/>
        <v>93.792500546652889</v>
      </c>
      <c r="BL67" s="7">
        <f t="shared" si="17"/>
        <v>93.54720718822665</v>
      </c>
      <c r="BY67"/>
      <c r="BZ67" s="7"/>
      <c r="CA67" s="7"/>
      <c r="CB67" s="7"/>
      <c r="CC67" s="7"/>
      <c r="CD67" s="3">
        <f t="shared" si="18"/>
        <v>30.187049468953923</v>
      </c>
      <c r="CE67" s="7"/>
      <c r="CF67" s="7"/>
      <c r="CG67" s="7"/>
      <c r="CH67" s="7"/>
      <c r="CI67" s="7"/>
    </row>
    <row r="68" spans="1:87">
      <c r="A68">
        <v>1989</v>
      </c>
      <c r="B68" s="3">
        <f t="shared" si="19"/>
        <v>77.432732750234379</v>
      </c>
      <c r="C68" s="3">
        <f t="shared" si="0"/>
        <v>56.844608024141067</v>
      </c>
      <c r="D68" s="1"/>
      <c r="E68" s="3">
        <v>81.351849999999999</v>
      </c>
      <c r="F68" s="3">
        <f t="shared" si="20"/>
        <v>0</v>
      </c>
      <c r="G68" s="2">
        <v>1.1839916666666701</v>
      </c>
      <c r="H68" s="3">
        <v>52.114971959695403</v>
      </c>
      <c r="I68" s="21">
        <f>H68</f>
        <v>52.114971959695403</v>
      </c>
      <c r="J68" s="21">
        <f t="shared" si="2"/>
        <v>52.524137401681379</v>
      </c>
      <c r="K68" s="21"/>
      <c r="O68"/>
      <c r="P68" s="23"/>
      <c r="Q68" s="21">
        <f t="shared" si="3"/>
        <v>31.340572972114138</v>
      </c>
      <c r="R68" s="21">
        <f t="shared" si="4"/>
        <v>36.450403049001146</v>
      </c>
      <c r="S68" s="27"/>
      <c r="T68">
        <f>USA!Z76*G68</f>
        <v>23.253596333333402</v>
      </c>
      <c r="U68">
        <v>0</v>
      </c>
      <c r="V68">
        <v>0</v>
      </c>
      <c r="W68">
        <v>1</v>
      </c>
      <c r="X68">
        <v>0</v>
      </c>
      <c r="Y68" s="23"/>
      <c r="Z68" s="3"/>
      <c r="AA68" s="3">
        <f t="shared" si="5"/>
        <v>5.6503285777178611</v>
      </c>
      <c r="AB68" s="7">
        <v>10.260686198822359</v>
      </c>
      <c r="AC68" s="3">
        <v>0</v>
      </c>
      <c r="AD68" s="3">
        <f>'Canada Prov''s'!AD29/100</f>
        <v>0.1029253077570826</v>
      </c>
      <c r="AE68" s="4">
        <f t="shared" si="21"/>
        <v>4.8633842110410432</v>
      </c>
      <c r="AF68" s="3">
        <f t="shared" si="6"/>
        <v>20.774398987581264</v>
      </c>
      <c r="AH68" s="4"/>
      <c r="AM68"/>
      <c r="AN68"/>
      <c r="AO68" s="9">
        <v>1989</v>
      </c>
      <c r="AP68" s="3">
        <f t="shared" si="7"/>
        <v>52.114971959695403</v>
      </c>
      <c r="AQ68" s="3">
        <f t="shared" si="8"/>
        <v>5.6503285777178611</v>
      </c>
      <c r="AR68" s="3">
        <f t="shared" si="9"/>
        <v>10.260686198822359</v>
      </c>
      <c r="AS68" s="3">
        <f t="shared" si="22"/>
        <v>4.8633842110410432</v>
      </c>
      <c r="AT68" s="3">
        <f t="shared" si="23"/>
        <v>20.774398987581264</v>
      </c>
      <c r="AU68" s="3">
        <f t="shared" si="10"/>
        <v>31.340572972114138</v>
      </c>
      <c r="AW68" s="3">
        <v>64.210075119615254</v>
      </c>
      <c r="AY68" s="7">
        <f t="shared" si="11"/>
        <v>81.163231568584521</v>
      </c>
      <c r="AZ68" s="7">
        <f t="shared" si="24"/>
        <v>81.800460914950719</v>
      </c>
      <c r="BA68" s="7">
        <f t="shared" si="12"/>
        <v>32.35379953828302</v>
      </c>
      <c r="BB68" s="7">
        <f t="shared" si="25"/>
        <v>48.809432030301501</v>
      </c>
      <c r="BC68" s="3">
        <f t="shared" si="14"/>
        <v>49.446661376667706</v>
      </c>
      <c r="BD68" s="3">
        <f t="shared" si="15"/>
        <v>36.214871716027261</v>
      </c>
      <c r="BE68" s="3">
        <v>0</v>
      </c>
      <c r="BF68" s="3">
        <v>0</v>
      </c>
      <c r="BG68" s="3">
        <v>0</v>
      </c>
      <c r="BH68" s="3">
        <v>0</v>
      </c>
      <c r="BI68" s="24">
        <v>0.75</v>
      </c>
      <c r="BJ68" s="3"/>
      <c r="BK68" s="7">
        <f t="shared" si="16"/>
        <v>93.432310794797033</v>
      </c>
      <c r="BL68" s="7">
        <f t="shared" si="17"/>
        <v>94.165867224064399</v>
      </c>
      <c r="BY68"/>
      <c r="BZ68" s="7"/>
      <c r="CA68" s="7"/>
      <c r="CB68" s="7"/>
      <c r="CC68" s="7"/>
      <c r="CD68" s="3">
        <f t="shared" si="18"/>
        <v>31.749738414100115</v>
      </c>
      <c r="CE68" s="7"/>
      <c r="CF68" s="7"/>
      <c r="CG68" s="7"/>
      <c r="CH68" s="7"/>
      <c r="CI68" s="7"/>
    </row>
    <row r="69" spans="1:87">
      <c r="A69">
        <v>1990</v>
      </c>
      <c r="B69" s="3">
        <f t="shared" si="19"/>
        <v>81.689238158352055</v>
      </c>
      <c r="C69" s="3">
        <f t="shared" si="0"/>
        <v>59.913057002261802</v>
      </c>
      <c r="D69" s="1"/>
      <c r="E69" s="3">
        <v>85.743189999999998</v>
      </c>
      <c r="F69" s="3">
        <f t="shared" si="20"/>
        <v>0</v>
      </c>
      <c r="G69" s="2">
        <v>1.1667749999999999</v>
      </c>
      <c r="H69" s="3">
        <v>58.871984751518127</v>
      </c>
      <c r="I69" s="21">
        <f t="shared" ref="I69:I89" si="26">L69</f>
        <v>57.104908565928774</v>
      </c>
      <c r="J69" s="21">
        <f t="shared" si="2"/>
        <v>58.432646736375688</v>
      </c>
      <c r="K69" s="21"/>
      <c r="L69" s="4">
        <f t="shared" ref="L69:L77" si="27">L$79*M69/M$79</f>
        <v>57.104908565928774</v>
      </c>
      <c r="M69">
        <v>81.5</v>
      </c>
      <c r="N69">
        <v>0</v>
      </c>
      <c r="O69"/>
      <c r="P69" s="23"/>
      <c r="Q69" s="21">
        <f t="shared" si="3"/>
        <v>33.860454341296659</v>
      </c>
      <c r="R69" s="21">
        <f t="shared" si="4"/>
        <v>37.987153994991559</v>
      </c>
      <c r="S69" s="27"/>
      <c r="T69">
        <f>USA!Z77*G69</f>
        <v>28.620990749999997</v>
      </c>
      <c r="U69">
        <v>0</v>
      </c>
      <c r="V69">
        <v>0</v>
      </c>
      <c r="W69">
        <v>0.75</v>
      </c>
      <c r="X69">
        <v>0</v>
      </c>
      <c r="Y69" s="23"/>
      <c r="Z69" s="3"/>
      <c r="AA69" s="3">
        <f>0.135*(I69-AB69)</f>
        <v>6.1890851890171366</v>
      </c>
      <c r="AB69" s="7">
        <v>11.259833091727762</v>
      </c>
      <c r="AC69" s="3">
        <v>0</v>
      </c>
      <c r="AD69" s="3">
        <f>'Canada Prov''s'!AD30/100</f>
        <v>0.11295277349381498</v>
      </c>
      <c r="AE69" s="4">
        <f t="shared" si="21"/>
        <v>5.7955359438872129</v>
      </c>
      <c r="AF69" s="3">
        <f t="shared" si="6"/>
        <v>23.244454224632111</v>
      </c>
      <c r="AH69" s="4"/>
      <c r="AM69"/>
      <c r="AN69"/>
      <c r="AO69" s="9">
        <v>1990</v>
      </c>
      <c r="AP69" s="3">
        <f t="shared" si="7"/>
        <v>57.104908565928774</v>
      </c>
      <c r="AQ69" s="3">
        <f t="shared" si="8"/>
        <v>6.1890851890171366</v>
      </c>
      <c r="AR69" s="3">
        <f t="shared" si="9"/>
        <v>11.259833091727762</v>
      </c>
      <c r="AS69" s="3">
        <f t="shared" si="22"/>
        <v>5.7955359438872129</v>
      </c>
      <c r="AT69" s="3">
        <f t="shared" si="23"/>
        <v>23.244454224632111</v>
      </c>
      <c r="AU69" s="3">
        <f t="shared" si="10"/>
        <v>33.860454341296659</v>
      </c>
      <c r="AW69" s="3">
        <v>67.279622992391182</v>
      </c>
      <c r="AY69" s="7">
        <f t="shared" si="11"/>
        <v>84.876974670899855</v>
      </c>
      <c r="AZ69" s="7">
        <f t="shared" si="24"/>
        <v>86.850437231171725</v>
      </c>
      <c r="BA69" s="7">
        <f t="shared" si="12"/>
        <v>34.549025679381238</v>
      </c>
      <c r="BB69" s="7">
        <f t="shared" si="25"/>
        <v>50.327948991518618</v>
      </c>
      <c r="BC69" s="3">
        <f t="shared" si="14"/>
        <v>52.301411551790494</v>
      </c>
      <c r="BD69" s="3">
        <f t="shared" si="15"/>
        <v>42.540355425649182</v>
      </c>
      <c r="BE69" s="3">
        <v>0</v>
      </c>
      <c r="BF69" s="3">
        <v>0</v>
      </c>
      <c r="BG69" s="3">
        <v>0</v>
      </c>
      <c r="BH69" s="3">
        <v>0</v>
      </c>
      <c r="BI69" s="24">
        <v>0.75</v>
      </c>
      <c r="BJ69" s="3"/>
      <c r="BK69" s="7">
        <f t="shared" si="16"/>
        <v>97.707443672599595</v>
      </c>
      <c r="BL69" s="7">
        <f t="shared" si="17"/>
        <v>99.979225656999873</v>
      </c>
      <c r="BY69"/>
      <c r="BZ69" s="7"/>
      <c r="CA69" s="7"/>
      <c r="CB69" s="7"/>
      <c r="CC69" s="7"/>
      <c r="CD69" s="3">
        <f t="shared" si="18"/>
        <v>35.188192511743573</v>
      </c>
      <c r="CE69" s="7"/>
      <c r="CF69" s="7"/>
      <c r="CG69" s="7"/>
      <c r="CH69" s="7"/>
      <c r="CI69" s="7"/>
    </row>
    <row r="70" spans="1:87" ht="14.25" customHeight="1">
      <c r="A70">
        <v>1991</v>
      </c>
      <c r="B70" s="3">
        <f t="shared" si="19"/>
        <v>79.516955844198932</v>
      </c>
      <c r="C70" s="3">
        <f t="shared" si="0"/>
        <v>62.450351141377027</v>
      </c>
      <c r="D70" s="1"/>
      <c r="E70" s="3">
        <v>89.374380000000002</v>
      </c>
      <c r="F70" s="3">
        <f t="shared" si="20"/>
        <v>0</v>
      </c>
      <c r="G70" s="2">
        <v>1.14571666666667</v>
      </c>
      <c r="H70" s="3">
        <v>57.662053323785749</v>
      </c>
      <c r="I70" s="21">
        <f t="shared" si="26"/>
        <v>56.894706448508174</v>
      </c>
      <c r="J70" s="21">
        <f t="shared" si="2"/>
        <v>56.115855590394219</v>
      </c>
      <c r="K70" s="21"/>
      <c r="L70" s="4">
        <f t="shared" si="27"/>
        <v>56.894706448508174</v>
      </c>
      <c r="M70">
        <v>81.2</v>
      </c>
      <c r="O70"/>
      <c r="P70" s="23"/>
      <c r="Q70" s="21">
        <f t="shared" si="3"/>
        <v>28.109012208394915</v>
      </c>
      <c r="R70" s="21">
        <f t="shared" si="4"/>
        <v>32.61372116308462</v>
      </c>
      <c r="S70" s="27"/>
      <c r="T70">
        <f>USA!Z78*G70</f>
        <v>24.678737000000073</v>
      </c>
      <c r="U70">
        <v>0</v>
      </c>
      <c r="V70">
        <v>0</v>
      </c>
      <c r="W70">
        <v>0.5</v>
      </c>
      <c r="X70">
        <v>0</v>
      </c>
      <c r="Y70" s="23"/>
      <c r="Z70" s="3"/>
      <c r="AA70" s="7">
        <v>8.5</v>
      </c>
      <c r="AB70" s="7">
        <v>11.6</v>
      </c>
      <c r="AC70" s="3">
        <v>7.0000000000000007E-2</v>
      </c>
      <c r="AD70" s="3">
        <f>'Canada Prov''s'!AD31/100</f>
        <v>0.11016743845667856</v>
      </c>
      <c r="AE70" s="4">
        <f t="shared" si="21"/>
        <v>8.6856942401132571</v>
      </c>
      <c r="AF70" s="3">
        <f t="shared" si="6"/>
        <v>28.785694240113259</v>
      </c>
      <c r="AH70" s="4"/>
      <c r="AM70"/>
      <c r="AN70"/>
      <c r="AO70" s="9">
        <v>1991</v>
      </c>
      <c r="AP70" s="3">
        <f t="shared" si="7"/>
        <v>56.894706448508174</v>
      </c>
      <c r="AQ70" s="3">
        <f t="shared" si="8"/>
        <v>8.5</v>
      </c>
      <c r="AR70" s="3">
        <f t="shared" si="9"/>
        <v>11.6</v>
      </c>
      <c r="AS70" s="3">
        <f t="shared" si="22"/>
        <v>8.6856942401132571</v>
      </c>
      <c r="AT70" s="3">
        <f t="shared" si="23"/>
        <v>28.785694240113259</v>
      </c>
      <c r="AU70" s="3">
        <f t="shared" si="10"/>
        <v>28.109012208394915</v>
      </c>
      <c r="AW70" s="3">
        <v>71.064683081655843</v>
      </c>
      <c r="AY70" s="7">
        <f t="shared" si="11"/>
        <v>80.06045194507395</v>
      </c>
      <c r="AZ70" s="7">
        <f t="shared" si="24"/>
        <v>78.964477370447298</v>
      </c>
      <c r="BA70" s="7">
        <f t="shared" si="12"/>
        <v>40.506328870892837</v>
      </c>
      <c r="BB70" s="7">
        <f t="shared" si="25"/>
        <v>39.554123074181113</v>
      </c>
      <c r="BC70" s="3">
        <f t="shared" si="14"/>
        <v>38.458148499554461</v>
      </c>
      <c r="BD70" s="3">
        <f t="shared" si="15"/>
        <v>34.727147057904034</v>
      </c>
      <c r="BE70" s="3">
        <v>0</v>
      </c>
      <c r="BF70" s="24">
        <v>0.35</v>
      </c>
      <c r="BG70" s="3">
        <v>0</v>
      </c>
      <c r="BH70" s="3">
        <v>0</v>
      </c>
      <c r="BI70" s="3">
        <v>0</v>
      </c>
      <c r="BJ70" s="3"/>
      <c r="BK70" s="7">
        <f t="shared" si="16"/>
        <v>92.162828955166958</v>
      </c>
      <c r="BL70" s="7">
        <f t="shared" si="17"/>
        <v>90.901180852932569</v>
      </c>
      <c r="BY70"/>
      <c r="BZ70" s="7"/>
      <c r="CA70" s="7"/>
      <c r="CB70" s="7"/>
      <c r="CC70" s="7"/>
      <c r="CD70" s="3">
        <f t="shared" si="18"/>
        <v>27.33016135028096</v>
      </c>
      <c r="CE70" s="7"/>
      <c r="CF70" s="7"/>
      <c r="CG70" s="7"/>
      <c r="CH70" s="7"/>
      <c r="CI70" s="7"/>
    </row>
    <row r="71" spans="1:87">
      <c r="A71">
        <v>1992</v>
      </c>
      <c r="B71" s="3">
        <f t="shared" si="19"/>
        <v>70.54341408937087</v>
      </c>
      <c r="C71" s="3">
        <f t="shared" si="0"/>
        <v>64.341860498266513</v>
      </c>
      <c r="D71" s="1"/>
      <c r="E71" s="3">
        <v>92.081370000000007</v>
      </c>
      <c r="F71" s="3">
        <f t="shared" si="20"/>
        <v>0</v>
      </c>
      <c r="G71" s="2">
        <v>1.208725</v>
      </c>
      <c r="H71" s="3">
        <v>55.159963603971562</v>
      </c>
      <c r="I71" s="21">
        <f t="shared" si="26"/>
        <v>54.862752646775739</v>
      </c>
      <c r="J71" s="21">
        <f t="shared" si="2"/>
        <v>54.164120838770785</v>
      </c>
      <c r="K71" s="21"/>
      <c r="L71" s="4">
        <f t="shared" si="27"/>
        <v>54.862752646775739</v>
      </c>
      <c r="M71">
        <v>78.3</v>
      </c>
      <c r="O71"/>
      <c r="P71" s="23"/>
      <c r="Q71" s="21">
        <f t="shared" si="3"/>
        <v>26.318668833515076</v>
      </c>
      <c r="R71" s="21">
        <f t="shared" si="4"/>
        <v>30.312561735754073</v>
      </c>
      <c r="S71" s="27"/>
      <c r="T71">
        <f>USA!Z79*G71</f>
        <v>24.875560499999999</v>
      </c>
      <c r="U71">
        <v>0</v>
      </c>
      <c r="V71">
        <v>0</v>
      </c>
      <c r="W71">
        <v>0.25</v>
      </c>
      <c r="X71">
        <v>0</v>
      </c>
      <c r="Y71" s="23"/>
      <c r="Z71" s="3"/>
      <c r="AA71" s="7">
        <v>8.5</v>
      </c>
      <c r="AB71" s="7">
        <v>11.3</v>
      </c>
      <c r="AC71" s="3">
        <v>7.0000000000000007E-2</v>
      </c>
      <c r="AD71" s="3">
        <f>'Canada Prov''s'!AD32/100</f>
        <v>0.11959965745815754</v>
      </c>
      <c r="AE71" s="4">
        <f t="shared" si="21"/>
        <v>8.744083813260664</v>
      </c>
      <c r="AF71" s="3">
        <f t="shared" si="6"/>
        <v>28.544083813260663</v>
      </c>
      <c r="AH71" s="4"/>
      <c r="AM71"/>
      <c r="AN71"/>
      <c r="AO71" s="9">
        <v>1992</v>
      </c>
      <c r="AP71" s="3">
        <f t="shared" si="7"/>
        <v>54.862752646775739</v>
      </c>
      <c r="AQ71" s="3">
        <f t="shared" si="8"/>
        <v>8.5</v>
      </c>
      <c r="AR71" s="3">
        <f t="shared" si="9"/>
        <v>11.3</v>
      </c>
      <c r="AS71" s="3">
        <f t="shared" si="22"/>
        <v>8.744083813260664</v>
      </c>
      <c r="AT71" s="3">
        <f t="shared" si="23"/>
        <v>28.544083813260663</v>
      </c>
      <c r="AU71" s="3">
        <f t="shared" si="10"/>
        <v>26.318668833515076</v>
      </c>
      <c r="AW71" s="3">
        <v>72.123641375601011</v>
      </c>
      <c r="AY71" s="7">
        <f t="shared" si="11"/>
        <v>76.06764106801667</v>
      </c>
      <c r="AZ71" s="7">
        <f t="shared" si="24"/>
        <v>75.098982532923216</v>
      </c>
      <c r="BA71" s="7">
        <f t="shared" si="12"/>
        <v>39.576598281568401</v>
      </c>
      <c r="BB71" s="7">
        <f t="shared" si="25"/>
        <v>36.491042786448268</v>
      </c>
      <c r="BC71" s="3">
        <f t="shared" si="14"/>
        <v>35.522384251354815</v>
      </c>
      <c r="BD71" s="3">
        <f t="shared" si="15"/>
        <v>34.490161652341712</v>
      </c>
      <c r="BE71" s="3">
        <v>0</v>
      </c>
      <c r="BF71" s="24">
        <v>0.54545454545454541</v>
      </c>
      <c r="BG71" s="3">
        <v>0</v>
      </c>
      <c r="BH71" s="3">
        <v>0</v>
      </c>
      <c r="BI71" s="3">
        <v>0</v>
      </c>
      <c r="BJ71" s="3"/>
      <c r="BK71" s="7">
        <f t="shared" si="16"/>
        <v>87.566442887236406</v>
      </c>
      <c r="BL71" s="7">
        <f t="shared" si="17"/>
        <v>86.451356615339918</v>
      </c>
      <c r="BY71"/>
      <c r="BZ71" s="7"/>
      <c r="CA71" s="7"/>
      <c r="CB71" s="7"/>
      <c r="CC71" s="7"/>
      <c r="CD71" s="3">
        <f t="shared" si="18"/>
        <v>25.620037025510118</v>
      </c>
      <c r="CE71" s="7"/>
      <c r="CF71" s="7"/>
      <c r="CG71" s="7"/>
      <c r="CH71" s="7"/>
      <c r="CI71" s="7"/>
    </row>
    <row r="72" spans="1:87">
      <c r="A72">
        <v>1993</v>
      </c>
      <c r="B72" s="3">
        <f t="shared" si="19"/>
        <v>63.462202519622885</v>
      </c>
      <c r="C72" s="3">
        <f t="shared" si="0"/>
        <v>66.241014180537462</v>
      </c>
      <c r="D72" s="1"/>
      <c r="E72" s="3">
        <v>94.799300000000002</v>
      </c>
      <c r="F72" s="3">
        <f t="shared" si="20"/>
        <v>0</v>
      </c>
      <c r="G72" s="2">
        <v>1.29007416666667</v>
      </c>
      <c r="H72" s="3">
        <v>54.02198735746893</v>
      </c>
      <c r="I72" s="21">
        <f t="shared" si="26"/>
        <v>54.232146294513953</v>
      </c>
      <c r="J72" s="21">
        <f t="shared" si="2"/>
        <v>53.790985840738593</v>
      </c>
      <c r="K72" s="3">
        <v>53.39</v>
      </c>
      <c r="L72" s="4">
        <f t="shared" si="27"/>
        <v>54.232146294513953</v>
      </c>
      <c r="M72">
        <v>77.400000000000006</v>
      </c>
      <c r="N72" s="4"/>
      <c r="O72" s="6">
        <v>47</v>
      </c>
      <c r="P72" s="23"/>
      <c r="Q72" s="21">
        <f t="shared" si="3"/>
        <v>22.595164261647909</v>
      </c>
      <c r="R72" s="21">
        <f t="shared" si="4"/>
        <v>27.04919736870427</v>
      </c>
      <c r="S72" s="27"/>
      <c r="T72">
        <f>USA!Z80*G72</f>
        <v>23.776066891666726</v>
      </c>
      <c r="U72">
        <v>0</v>
      </c>
      <c r="V72">
        <v>0</v>
      </c>
      <c r="W72">
        <v>0</v>
      </c>
      <c r="X72">
        <v>0</v>
      </c>
      <c r="Y72" s="23"/>
      <c r="Z72" s="3"/>
      <c r="AA72" s="7">
        <v>8.5</v>
      </c>
      <c r="AB72" s="7">
        <v>14</v>
      </c>
      <c r="AC72" s="3">
        <v>7.0000000000000007E-2</v>
      </c>
      <c r="AD72" s="3">
        <f>'Canada Prov''s'!AD33/100</f>
        <v>0.13261556161215216</v>
      </c>
      <c r="AE72" s="4">
        <f t="shared" si="21"/>
        <v>9.1369820328660438</v>
      </c>
      <c r="AF72" s="3">
        <f t="shared" si="6"/>
        <v>31.636982032866044</v>
      </c>
      <c r="AH72" s="4"/>
      <c r="AM72"/>
      <c r="AN72"/>
      <c r="AO72" s="9">
        <v>1993</v>
      </c>
      <c r="AP72" s="3">
        <f t="shared" si="7"/>
        <v>54.232146294513953</v>
      </c>
      <c r="AQ72" s="3">
        <f t="shared" si="8"/>
        <v>8.5</v>
      </c>
      <c r="AR72" s="3">
        <f t="shared" si="9"/>
        <v>14</v>
      </c>
      <c r="AS72" s="3">
        <f t="shared" si="22"/>
        <v>9.1369820328660438</v>
      </c>
      <c r="AT72" s="3">
        <f t="shared" si="23"/>
        <v>31.636982032866044</v>
      </c>
      <c r="AU72" s="3">
        <f t="shared" si="10"/>
        <v>22.595164261647909</v>
      </c>
      <c r="AW72" s="3">
        <v>73.468804264932643</v>
      </c>
      <c r="AY72" s="7">
        <f t="shared" si="11"/>
        <v>73.81656314828507</v>
      </c>
      <c r="AZ72" s="7">
        <f t="shared" si="24"/>
        <v>73.216089983941032</v>
      </c>
      <c r="BA72" s="7">
        <f t="shared" si="12"/>
        <v>43.061789761517424</v>
      </c>
      <c r="BB72" s="7">
        <f t="shared" si="25"/>
        <v>30.754773386767646</v>
      </c>
      <c r="BC72" s="3">
        <f t="shared" si="14"/>
        <v>30.154300222423608</v>
      </c>
      <c r="BD72" s="3">
        <f t="shared" si="15"/>
        <v>32.362125843138664</v>
      </c>
      <c r="BE72" s="3">
        <v>0</v>
      </c>
      <c r="BF72" s="24">
        <v>0.85</v>
      </c>
      <c r="BG72" s="3">
        <v>0</v>
      </c>
      <c r="BH72" s="3">
        <v>0</v>
      </c>
      <c r="BI72" s="3">
        <v>0</v>
      </c>
      <c r="BJ72" s="3"/>
      <c r="BK72" s="7">
        <f t="shared" si="16"/>
        <v>84.975079683050282</v>
      </c>
      <c r="BL72" s="7">
        <f t="shared" si="17"/>
        <v>84.283835701869975</v>
      </c>
      <c r="BY72"/>
      <c r="BZ72" s="7"/>
      <c r="CA72" s="7"/>
      <c r="CB72" s="7"/>
      <c r="CC72" s="7"/>
      <c r="CD72" s="3">
        <f t="shared" si="18"/>
        <v>22.154003807872549</v>
      </c>
      <c r="CE72" s="7"/>
      <c r="CF72" s="7"/>
      <c r="CG72" s="7"/>
      <c r="CH72" s="7"/>
      <c r="CI72" s="7"/>
    </row>
    <row r="73" spans="1:87">
      <c r="A73">
        <v>1994</v>
      </c>
      <c r="B73" s="3">
        <f t="shared" si="19"/>
        <v>57.747836700480036</v>
      </c>
      <c r="C73" s="3">
        <f t="shared" si="0"/>
        <v>67.968212466727536</v>
      </c>
      <c r="D73" s="1"/>
      <c r="E73" s="3">
        <v>97.271140000000003</v>
      </c>
      <c r="F73" s="3">
        <f t="shared" si="20"/>
        <v>0</v>
      </c>
      <c r="G73" s="2">
        <v>1.36563833333333</v>
      </c>
      <c r="H73" s="3">
        <v>53.293619753232527</v>
      </c>
      <c r="I73" s="21">
        <f t="shared" si="26"/>
        <v>53.60153994225216</v>
      </c>
      <c r="J73" s="21">
        <f t="shared" si="2"/>
        <v>52.934377962260839</v>
      </c>
      <c r="K73" s="3">
        <v>53.31</v>
      </c>
      <c r="L73" s="4">
        <f t="shared" si="27"/>
        <v>53.60153994225216</v>
      </c>
      <c r="M73">
        <v>76.5</v>
      </c>
      <c r="N73" s="4"/>
      <c r="O73" s="3">
        <f>(O72+O74)/2</f>
        <v>46</v>
      </c>
      <c r="P73" s="23"/>
      <c r="Q73" s="21">
        <f t="shared" si="3"/>
        <v>21.645440509728601</v>
      </c>
      <c r="R73" s="21">
        <f t="shared" si="4"/>
        <v>26.836103624137728</v>
      </c>
      <c r="S73" s="27"/>
      <c r="T73">
        <f>USA!Z81*G73</f>
        <v>23.488979333333273</v>
      </c>
      <c r="U73">
        <v>0</v>
      </c>
      <c r="V73">
        <v>0</v>
      </c>
      <c r="W73">
        <v>0</v>
      </c>
      <c r="X73">
        <v>0</v>
      </c>
      <c r="Y73" s="23"/>
      <c r="Z73" s="3"/>
      <c r="AA73" s="7">
        <v>8.5</v>
      </c>
      <c r="AB73" s="7">
        <v>14.3</v>
      </c>
      <c r="AC73" s="3">
        <v>7.0000000000000007E-2</v>
      </c>
      <c r="AD73" s="3">
        <f>'Canada Prov''s'!AD34/100</f>
        <v>0.13600762029840591</v>
      </c>
      <c r="AE73" s="4">
        <f t="shared" si="21"/>
        <v>9.1560994325235558</v>
      </c>
      <c r="AF73" s="3">
        <f t="shared" si="6"/>
        <v>31.956099432523558</v>
      </c>
      <c r="AH73" s="4"/>
      <c r="AM73"/>
      <c r="AN73"/>
      <c r="AO73" s="9">
        <v>1994</v>
      </c>
      <c r="AP73" s="3">
        <f t="shared" si="7"/>
        <v>53.60153994225216</v>
      </c>
      <c r="AQ73" s="3">
        <f t="shared" si="8"/>
        <v>8.5</v>
      </c>
      <c r="AR73" s="3">
        <f t="shared" si="9"/>
        <v>14.3</v>
      </c>
      <c r="AS73" s="3">
        <f t="shared" si="22"/>
        <v>9.1560994325235558</v>
      </c>
      <c r="AT73" s="3">
        <f t="shared" si="23"/>
        <v>31.956099432523558</v>
      </c>
      <c r="AU73" s="3">
        <f t="shared" si="10"/>
        <v>21.645440509728601</v>
      </c>
      <c r="AW73" s="3">
        <v>73.590441347868989</v>
      </c>
      <c r="AY73" s="7">
        <f t="shared" si="11"/>
        <v>72.837638911380637</v>
      </c>
      <c r="AZ73" s="7">
        <f t="shared" si="24"/>
        <v>71.931051088598593</v>
      </c>
      <c r="BA73" s="7">
        <f t="shared" si="12"/>
        <v>43.424252997021782</v>
      </c>
      <c r="BB73" s="7">
        <f t="shared" si="25"/>
        <v>29.413385914358855</v>
      </c>
      <c r="BC73" s="3">
        <f t="shared" si="14"/>
        <v>28.506798091576819</v>
      </c>
      <c r="BD73" s="3">
        <f t="shared" si="15"/>
        <v>31.918519447788935</v>
      </c>
      <c r="BE73" s="3">
        <v>0</v>
      </c>
      <c r="BF73" s="24">
        <v>0.95</v>
      </c>
      <c r="BG73" s="3">
        <v>0</v>
      </c>
      <c r="BH73" s="3">
        <v>0</v>
      </c>
      <c r="BI73" s="3">
        <v>0</v>
      </c>
      <c r="BJ73" s="3"/>
      <c r="BK73" s="7">
        <f t="shared" si="16"/>
        <v>83.848175889554497</v>
      </c>
      <c r="BL73" s="7">
        <f t="shared" si="17"/>
        <v>82.804543279271186</v>
      </c>
      <c r="BY73"/>
      <c r="BZ73" s="7"/>
      <c r="CA73" s="7"/>
      <c r="CB73" s="7"/>
      <c r="CC73" s="7"/>
      <c r="CD73" s="3">
        <f t="shared" si="18"/>
        <v>20.978278529737278</v>
      </c>
      <c r="CE73" s="7"/>
      <c r="CF73" s="7"/>
      <c r="CG73" s="7"/>
      <c r="CH73" s="7"/>
      <c r="CI73" s="7"/>
    </row>
    <row r="74" spans="1:87">
      <c r="A74">
        <v>1995</v>
      </c>
      <c r="B74" s="3">
        <f t="shared" si="19"/>
        <v>58.085467215173409</v>
      </c>
      <c r="C74" s="3">
        <f t="shared" si="0"/>
        <v>69.875003486879606</v>
      </c>
      <c r="D74" s="1"/>
      <c r="E74" s="3">
        <v>100</v>
      </c>
      <c r="F74" s="3">
        <f t="shared" si="20"/>
        <v>0</v>
      </c>
      <c r="G74" s="2">
        <v>1.37244083333333</v>
      </c>
      <c r="H74" s="3">
        <v>55.985394858446497</v>
      </c>
      <c r="I74" s="21">
        <f t="shared" si="26"/>
        <v>55.703561116458125</v>
      </c>
      <c r="J74" s="21">
        <f t="shared" si="2"/>
        <v>55.379304176733129</v>
      </c>
      <c r="K74" s="3">
        <v>55.970000000000006</v>
      </c>
      <c r="L74" s="4">
        <f t="shared" si="27"/>
        <v>55.703561116458125</v>
      </c>
      <c r="M74">
        <v>79.5</v>
      </c>
      <c r="N74" s="4">
        <f t="shared" ref="N74:N87" si="28">G74*O74</f>
        <v>61.759837499999847</v>
      </c>
      <c r="O74" s="6">
        <v>45</v>
      </c>
      <c r="P74" s="23"/>
      <c r="Q74" s="21">
        <f t="shared" si="3"/>
        <v>21.796204002401304</v>
      </c>
      <c r="R74" s="21">
        <f t="shared" si="4"/>
        <v>28.17596186795997</v>
      </c>
      <c r="S74" s="27"/>
      <c r="T74">
        <f>USA!Z82*G74</f>
        <v>25.294084558333271</v>
      </c>
      <c r="U74">
        <v>0</v>
      </c>
      <c r="V74">
        <v>0</v>
      </c>
      <c r="W74">
        <v>0</v>
      </c>
      <c r="X74">
        <v>0</v>
      </c>
      <c r="Y74" s="23"/>
      <c r="Z74" s="3"/>
      <c r="AA74" s="7">
        <v>10</v>
      </c>
      <c r="AB74" s="7">
        <v>14.4</v>
      </c>
      <c r="AC74" s="3">
        <v>7.0000000000000007E-2</v>
      </c>
      <c r="AD74" s="3">
        <f>'Canada Prov''s'!AD35/100</f>
        <v>0.13580386028173705</v>
      </c>
      <c r="AE74" s="4">
        <f t="shared" si="21"/>
        <v>9.5073571140568198</v>
      </c>
      <c r="AF74" s="3">
        <f t="shared" si="6"/>
        <v>33.907357114056822</v>
      </c>
      <c r="AH74" s="4"/>
      <c r="AM74"/>
      <c r="AN74"/>
      <c r="AO74" s="9">
        <v>1995</v>
      </c>
      <c r="AP74" s="3">
        <f t="shared" si="7"/>
        <v>55.703561116458125</v>
      </c>
      <c r="AQ74" s="3">
        <f t="shared" si="8"/>
        <v>10</v>
      </c>
      <c r="AR74" s="3">
        <f t="shared" si="9"/>
        <v>14.4</v>
      </c>
      <c r="AS74" s="3">
        <f t="shared" si="22"/>
        <v>9.5073571140568198</v>
      </c>
      <c r="AT74" s="3">
        <f t="shared" si="23"/>
        <v>33.907357114056822</v>
      </c>
      <c r="AU74" s="3">
        <f t="shared" si="10"/>
        <v>21.796204002401304</v>
      </c>
      <c r="AW74" s="3">
        <v>75.171723315375459</v>
      </c>
      <c r="AY74" s="7">
        <f t="shared" si="11"/>
        <v>74.101748183634683</v>
      </c>
      <c r="AZ74" s="7">
        <f t="shared" si="24"/>
        <v>73.670393246666421</v>
      </c>
      <c r="BA74" s="7">
        <f t="shared" si="12"/>
        <v>45.106531576776405</v>
      </c>
      <c r="BB74" s="7">
        <f t="shared" si="25"/>
        <v>28.995216606858278</v>
      </c>
      <c r="BC74" s="3">
        <f t="shared" si="14"/>
        <v>28.563861669890017</v>
      </c>
      <c r="BD74" s="3">
        <f t="shared" si="15"/>
        <v>33.648403206368521</v>
      </c>
      <c r="BE74" s="3">
        <v>0</v>
      </c>
      <c r="BF74" s="24">
        <v>1</v>
      </c>
      <c r="BG74" s="3">
        <v>0</v>
      </c>
      <c r="BH74" s="3">
        <v>0</v>
      </c>
      <c r="BI74" s="3">
        <v>0</v>
      </c>
      <c r="BJ74" s="3"/>
      <c r="BK74" s="7">
        <f t="shared" si="16"/>
        <v>85.303374852449664</v>
      </c>
      <c r="BL74" s="7">
        <f t="shared" si="17"/>
        <v>84.806813937429524</v>
      </c>
      <c r="BY74"/>
      <c r="BZ74" s="7"/>
      <c r="CA74" s="7"/>
      <c r="CB74" s="7"/>
      <c r="CC74" s="7"/>
      <c r="CD74" s="3">
        <f t="shared" si="18"/>
        <v>21.471947062676307</v>
      </c>
      <c r="CE74" s="7"/>
      <c r="CF74" s="7"/>
      <c r="CG74" s="7"/>
      <c r="CH74" s="7"/>
      <c r="CI74" s="7"/>
    </row>
    <row r="75" spans="1:87">
      <c r="A75">
        <v>1996</v>
      </c>
      <c r="B75" s="3">
        <f t="shared" si="19"/>
        <v>59.517803989187279</v>
      </c>
      <c r="C75" s="3">
        <f t="shared" si="0"/>
        <v>71.923179589087013</v>
      </c>
      <c r="D75" s="1"/>
      <c r="E75" s="3">
        <v>102.9312</v>
      </c>
      <c r="F75" s="3">
        <f t="shared" si="20"/>
        <v>0</v>
      </c>
      <c r="G75" s="2">
        <v>1.36346833333333</v>
      </c>
      <c r="H75" s="3">
        <v>58.730713988565441</v>
      </c>
      <c r="I75" s="21">
        <f t="shared" si="26"/>
        <v>58.366121270452354</v>
      </c>
      <c r="J75" s="21">
        <f t="shared" si="2"/>
        <v>58.29597283701132</v>
      </c>
      <c r="K75" s="3">
        <v>57.220000000000006</v>
      </c>
      <c r="L75" s="4">
        <f t="shared" si="27"/>
        <v>58.366121270452354</v>
      </c>
      <c r="M75">
        <v>83.3</v>
      </c>
      <c r="N75" s="4">
        <f t="shared" si="28"/>
        <v>61.356074999999848</v>
      </c>
      <c r="O75" s="3">
        <f>O74+(O$38-O$35)/3</f>
        <v>45</v>
      </c>
      <c r="P75" s="23"/>
      <c r="Q75" s="21">
        <f t="shared" si="3"/>
        <v>23.896032777116986</v>
      </c>
      <c r="R75" s="21">
        <f t="shared" si="4"/>
        <v>31.787678799493598</v>
      </c>
      <c r="S75" s="27"/>
      <c r="T75">
        <f>USA!Z83*G75</f>
        <v>30.159919533333259</v>
      </c>
      <c r="U75">
        <v>0</v>
      </c>
      <c r="V75">
        <v>0</v>
      </c>
      <c r="W75">
        <v>0</v>
      </c>
      <c r="X75">
        <v>0</v>
      </c>
      <c r="Y75" s="23"/>
      <c r="Z75" s="3"/>
      <c r="AA75" s="7">
        <v>10</v>
      </c>
      <c r="AB75" s="7">
        <v>14.5</v>
      </c>
      <c r="AC75" s="3">
        <v>7.0000000000000007E-2</v>
      </c>
      <c r="AD75" s="3">
        <f>'Canada Prov''s'!AD36/100</f>
        <v>0.13601045005592921</v>
      </c>
      <c r="AE75" s="4">
        <f t="shared" si="21"/>
        <v>9.9700884933353713</v>
      </c>
      <c r="AF75" s="3">
        <f t="shared" si="6"/>
        <v>34.470088493335368</v>
      </c>
      <c r="AH75" s="4"/>
      <c r="AM75"/>
      <c r="AN75"/>
      <c r="AO75" s="9">
        <v>1996</v>
      </c>
      <c r="AP75" s="3">
        <f t="shared" si="7"/>
        <v>58.366121270452354</v>
      </c>
      <c r="AQ75" s="3">
        <f t="shared" si="8"/>
        <v>10</v>
      </c>
      <c r="AR75" s="3">
        <f t="shared" si="9"/>
        <v>14.5</v>
      </c>
      <c r="AS75" s="3">
        <f t="shared" si="22"/>
        <v>9.9700884933353713</v>
      </c>
      <c r="AT75" s="3">
        <f t="shared" si="23"/>
        <v>34.470088493335368</v>
      </c>
      <c r="AU75" s="3">
        <f t="shared" si="10"/>
        <v>23.896032777116986</v>
      </c>
      <c r="AW75" s="3">
        <v>76.352318533277654</v>
      </c>
      <c r="AY75" s="7">
        <f t="shared" si="11"/>
        <v>76.443155089015221</v>
      </c>
      <c r="AZ75" s="7">
        <f t="shared" si="24"/>
        <v>76.351280428509071</v>
      </c>
      <c r="BA75" s="7">
        <f t="shared" si="12"/>
        <v>45.146092686513256</v>
      </c>
      <c r="BB75" s="7">
        <f t="shared" si="25"/>
        <v>31.297062402501965</v>
      </c>
      <c r="BC75" s="3">
        <f t="shared" si="14"/>
        <v>31.205187741995815</v>
      </c>
      <c r="BD75" s="3">
        <f t="shared" si="15"/>
        <v>39.500987151016581</v>
      </c>
      <c r="BE75" s="3">
        <v>0</v>
      </c>
      <c r="BF75" s="24">
        <v>1</v>
      </c>
      <c r="BG75" s="3">
        <v>0</v>
      </c>
      <c r="BH75" s="3">
        <v>0</v>
      </c>
      <c r="BI75" s="3">
        <v>0</v>
      </c>
      <c r="BJ75" s="3"/>
      <c r="BK75" s="7">
        <f t="shared" si="16"/>
        <v>87.998721667167587</v>
      </c>
      <c r="BL75" s="7">
        <f t="shared" si="17"/>
        <v>87.892958729089855</v>
      </c>
      <c r="BY75"/>
      <c r="BZ75" s="7"/>
      <c r="CA75" s="7"/>
      <c r="CB75" s="7"/>
      <c r="CC75" s="7"/>
      <c r="CD75" s="3">
        <f t="shared" si="18"/>
        <v>23.825884343675956</v>
      </c>
      <c r="CE75" s="7"/>
      <c r="CF75" s="7"/>
      <c r="CG75" s="7"/>
      <c r="CH75" s="7"/>
      <c r="CI75" s="7"/>
    </row>
    <row r="76" spans="1:87">
      <c r="A76">
        <v>1997</v>
      </c>
      <c r="B76" s="3">
        <f t="shared" si="19"/>
        <v>58.576232372945469</v>
      </c>
      <c r="C76" s="3">
        <f t="shared" si="0"/>
        <v>73.604511922988308</v>
      </c>
      <c r="D76" s="1"/>
      <c r="E76" s="3">
        <v>105.3374</v>
      </c>
      <c r="F76" s="3">
        <f t="shared" si="20"/>
        <v>0</v>
      </c>
      <c r="G76" s="2">
        <v>1.3846166666666699</v>
      </c>
      <c r="H76" s="3">
        <v>59.813209471641358</v>
      </c>
      <c r="I76" s="21">
        <f t="shared" si="26"/>
        <v>59.697401347449471</v>
      </c>
      <c r="J76" s="21">
        <f t="shared" ref="J76:J96" si="29">CD76+AF76</f>
        <v>59.092668658218514</v>
      </c>
      <c r="K76" s="3">
        <v>59.54</v>
      </c>
      <c r="L76" s="4">
        <f t="shared" si="27"/>
        <v>59.697401347449471</v>
      </c>
      <c r="M76">
        <v>85.2</v>
      </c>
      <c r="N76" s="4">
        <f t="shared" si="28"/>
        <v>62.307750000000148</v>
      </c>
      <c r="O76" s="3">
        <f>O75+(O$38-O$35)/3</f>
        <v>45</v>
      </c>
      <c r="P76" s="23"/>
      <c r="Q76" s="21">
        <f t="shared" si="3"/>
        <v>24.986714453868295</v>
      </c>
      <c r="R76" s="21">
        <f t="shared" si="4"/>
        <v>30.58301230774493</v>
      </c>
      <c r="S76" s="27"/>
      <c r="T76">
        <f>USA!Z84*G76</f>
        <v>28.536949500000066</v>
      </c>
      <c r="U76">
        <v>0</v>
      </c>
      <c r="V76">
        <v>0</v>
      </c>
      <c r="W76">
        <v>0</v>
      </c>
      <c r="X76">
        <v>0</v>
      </c>
      <c r="Y76" s="23"/>
      <c r="Z76" s="3"/>
      <c r="AA76" s="7">
        <v>10</v>
      </c>
      <c r="AB76" s="7">
        <v>14.6</v>
      </c>
      <c r="AC76" s="3">
        <v>7.0000000000000007E-2</v>
      </c>
      <c r="AD76" s="3">
        <f>'Canada Prov''s'!AD37/100</f>
        <v>0.13389910896370011</v>
      </c>
      <c r="AE76" s="4">
        <f t="shared" si="21"/>
        <v>10.110686893581175</v>
      </c>
      <c r="AF76" s="3">
        <f t="shared" ref="AF76:AF96" si="30">AA76+AB76+AE76</f>
        <v>34.710686893581176</v>
      </c>
      <c r="AH76" s="4"/>
      <c r="AI76">
        <f>0.14*I76</f>
        <v>8.3576361886429265</v>
      </c>
      <c r="AM76"/>
      <c r="AN76"/>
      <c r="AO76" s="9">
        <v>1997</v>
      </c>
      <c r="AP76" s="3">
        <f t="shared" ref="AP76:AP97" si="31">I76</f>
        <v>59.697401347449471</v>
      </c>
      <c r="AQ76" s="3">
        <f t="shared" ref="AQ76:AQ97" si="32">AA76</f>
        <v>10</v>
      </c>
      <c r="AR76" s="3">
        <f t="shared" ref="AR76:AR97" si="33">AB76</f>
        <v>14.6</v>
      </c>
      <c r="AS76" s="3">
        <f t="shared" si="22"/>
        <v>10.110686893581175</v>
      </c>
      <c r="AT76" s="3">
        <f t="shared" si="23"/>
        <v>34.710686893581176</v>
      </c>
      <c r="AU76" s="3">
        <f t="shared" ref="AU76:AU97" si="34">AP76-AT76</f>
        <v>24.986714453868295</v>
      </c>
      <c r="AW76" s="3">
        <v>77.59015453771012</v>
      </c>
      <c r="AY76" s="7">
        <f t="shared" ref="AY76:AY97" si="35">AP76/$AW76*100</f>
        <v>76.939402560972511</v>
      </c>
      <c r="AZ76" s="7">
        <f t="shared" si="24"/>
        <v>76.160008973172594</v>
      </c>
      <c r="BA76" s="7">
        <f t="shared" ref="BA76:BA97" si="36">AT76/$AW76*100</f>
        <v>44.735942466400424</v>
      </c>
      <c r="BB76" s="7">
        <f t="shared" si="25"/>
        <v>32.203460094572087</v>
      </c>
      <c r="BC76" s="3">
        <f t="shared" ref="BC76:BC97" si="37">AZ$100+AZ$101*BD76+AZ$102*BE76+AZ$103*BF76+AZ$104*BG76+AZ$105*BH76+AZ$106*BI76</f>
        <v>31.424066506772171</v>
      </c>
      <c r="BD76" s="3">
        <f t="shared" ref="BD76:BD97" si="38">T76/AW76*100</f>
        <v>36.779085787399261</v>
      </c>
      <c r="BE76" s="3">
        <v>0</v>
      </c>
      <c r="BF76" s="24">
        <v>0.9</v>
      </c>
      <c r="BG76" s="3">
        <v>0</v>
      </c>
      <c r="BH76" s="3">
        <v>0</v>
      </c>
      <c r="BI76" s="3">
        <v>0</v>
      </c>
      <c r="BJ76" s="3"/>
      <c r="BK76" s="7">
        <f t="shared" si="16"/>
        <v>88.569984628670881</v>
      </c>
      <c r="BL76" s="7">
        <f t="shared" si="17"/>
        <v>87.672773631530404</v>
      </c>
      <c r="BY76"/>
      <c r="BZ76" s="7"/>
      <c r="CA76" s="7"/>
      <c r="CB76" s="7"/>
      <c r="CC76" s="7"/>
      <c r="CD76" s="3">
        <f t="shared" ref="CD76:CD96" si="39">BC76*AW76/100</f>
        <v>24.381981764637334</v>
      </c>
      <c r="CE76" s="7"/>
      <c r="CF76" s="7"/>
      <c r="CG76" s="7"/>
      <c r="CH76" s="7"/>
      <c r="CI76" s="7"/>
    </row>
    <row r="77" spans="1:87">
      <c r="A77">
        <v>1998</v>
      </c>
      <c r="B77" s="3">
        <f t="shared" si="19"/>
        <v>49.161451544413261</v>
      </c>
      <c r="C77" s="3">
        <f t="shared" si="0"/>
        <v>74.747038105002289</v>
      </c>
      <c r="D77" s="1"/>
      <c r="E77" s="3">
        <v>106.9725</v>
      </c>
      <c r="F77" s="3">
        <f t="shared" si="20"/>
        <v>0</v>
      </c>
      <c r="G77" s="2">
        <v>1.48346308333333</v>
      </c>
      <c r="H77" s="3">
        <v>54.594415759425871</v>
      </c>
      <c r="I77" s="21">
        <f t="shared" si="26"/>
        <v>54.512415784408077</v>
      </c>
      <c r="J77" s="21">
        <f t="shared" si="29"/>
        <v>55.70119168479556</v>
      </c>
      <c r="K77" s="3">
        <v>54.490000000000009</v>
      </c>
      <c r="L77" s="4">
        <f t="shared" si="27"/>
        <v>54.512415784408077</v>
      </c>
      <c r="M77">
        <v>77.8</v>
      </c>
      <c r="N77" s="4">
        <f t="shared" si="28"/>
        <v>60.821986416666533</v>
      </c>
      <c r="O77" s="6">
        <v>41</v>
      </c>
      <c r="P77" s="23"/>
      <c r="Q77" s="21">
        <f t="shared" si="3"/>
        <v>20.082977580062284</v>
      </c>
      <c r="R77" s="21">
        <f t="shared" si="4"/>
        <v>25.279255593453605</v>
      </c>
      <c r="S77" s="27"/>
      <c r="T77">
        <f>USA!Z85*G77</f>
        <v>21.391537661666618</v>
      </c>
      <c r="U77">
        <v>0</v>
      </c>
      <c r="V77">
        <v>0</v>
      </c>
      <c r="W77">
        <v>0</v>
      </c>
      <c r="X77">
        <v>0</v>
      </c>
      <c r="Y77" s="23"/>
      <c r="Z77" s="3"/>
      <c r="AA77" s="7">
        <v>10</v>
      </c>
      <c r="AB77" s="7">
        <v>15.2</v>
      </c>
      <c r="AC77" s="3">
        <v>7.0000000000000007E-2</v>
      </c>
      <c r="AD77" s="3">
        <f>'Canada Prov''s'!AD38/100</f>
        <v>0.13381694618088544</v>
      </c>
      <c r="AE77" s="4">
        <f t="shared" si="21"/>
        <v>9.2294382043457954</v>
      </c>
      <c r="AF77" s="3">
        <f t="shared" si="30"/>
        <v>34.429438204345793</v>
      </c>
      <c r="AH77" s="4"/>
      <c r="AM77"/>
      <c r="AN77"/>
      <c r="AO77" s="9">
        <v>1998</v>
      </c>
      <c r="AP77" s="3">
        <f t="shared" si="31"/>
        <v>54.512415784408077</v>
      </c>
      <c r="AQ77" s="3">
        <f t="shared" si="32"/>
        <v>10</v>
      </c>
      <c r="AR77" s="3">
        <f t="shared" si="33"/>
        <v>15.2</v>
      </c>
      <c r="AS77" s="3">
        <f t="shared" si="22"/>
        <v>9.2294382043457954</v>
      </c>
      <c r="AT77" s="3">
        <f t="shared" ref="AT77:AT97" si="40">AF77</f>
        <v>34.429438204345793</v>
      </c>
      <c r="AU77" s="3">
        <f t="shared" si="34"/>
        <v>20.082977580062284</v>
      </c>
      <c r="AW77" s="3">
        <v>78.362907862566843</v>
      </c>
      <c r="AY77" s="7">
        <f t="shared" si="35"/>
        <v>69.564054309995939</v>
      </c>
      <c r="AZ77" s="7">
        <f t="shared" si="24"/>
        <v>71.081067821633823</v>
      </c>
      <c r="BA77" s="7">
        <f t="shared" si="36"/>
        <v>43.935886433321578</v>
      </c>
      <c r="BB77" s="7">
        <f t="shared" si="25"/>
        <v>25.628167876674361</v>
      </c>
      <c r="BC77" s="3">
        <f t="shared" si="37"/>
        <v>27.145181388312245</v>
      </c>
      <c r="BD77" s="3">
        <f t="shared" si="38"/>
        <v>27.298039653126676</v>
      </c>
      <c r="BE77" s="3">
        <v>0</v>
      </c>
      <c r="BF77" s="24">
        <v>0.9</v>
      </c>
      <c r="BG77" s="3">
        <v>0</v>
      </c>
      <c r="BH77" s="3">
        <v>0</v>
      </c>
      <c r="BI77" s="3">
        <v>0</v>
      </c>
      <c r="BJ77" s="3"/>
      <c r="BK77" s="7">
        <f t="shared" si="16"/>
        <v>80.079738285746416</v>
      </c>
      <c r="BL77" s="7">
        <f t="shared" si="17"/>
        <v>81.826071879911964</v>
      </c>
      <c r="BY77"/>
      <c r="BZ77" s="7"/>
      <c r="CA77" s="7"/>
      <c r="CB77" s="7"/>
      <c r="CC77" s="7"/>
      <c r="CD77" s="3">
        <f t="shared" si="39"/>
        <v>21.271753480449771</v>
      </c>
      <c r="CE77" s="7"/>
      <c r="CF77" s="7"/>
      <c r="CG77" s="7"/>
      <c r="CH77" s="7"/>
      <c r="CI77" s="7"/>
    </row>
    <row r="78" spans="1:87">
      <c r="A78">
        <v>1999</v>
      </c>
      <c r="B78" s="3">
        <f t="shared" si="19"/>
        <v>52.324547821671018</v>
      </c>
      <c r="C78" s="3">
        <f t="shared" si="0"/>
        <v>75.889564287016256</v>
      </c>
      <c r="D78" s="19"/>
      <c r="E78" s="3">
        <v>108.60760000000001</v>
      </c>
      <c r="F78" s="3">
        <f t="shared" si="20"/>
        <v>0</v>
      </c>
      <c r="G78" s="2">
        <v>1.48573166666667</v>
      </c>
      <c r="H78" s="3">
        <v>59.884080435256664</v>
      </c>
      <c r="I78" s="21">
        <f t="shared" si="26"/>
        <v>58.996727622714147</v>
      </c>
      <c r="J78" s="21">
        <f t="shared" si="29"/>
        <v>58.72680652660074</v>
      </c>
      <c r="K78" s="3">
        <v>58.309999999999988</v>
      </c>
      <c r="L78" s="4">
        <f>L$79*M78/M$79</f>
        <v>58.996727622714147</v>
      </c>
      <c r="M78">
        <v>84.2</v>
      </c>
      <c r="N78" s="4">
        <f t="shared" si="28"/>
        <v>73.54371750000017</v>
      </c>
      <c r="O78" s="3">
        <f>(O77+O79)/2</f>
        <v>49.5</v>
      </c>
      <c r="P78" s="23"/>
      <c r="Q78" s="21">
        <f t="shared" si="3"/>
        <v>23.809789952559846</v>
      </c>
      <c r="R78" s="21">
        <f t="shared" si="4"/>
        <v>28.678104765330772</v>
      </c>
      <c r="S78" s="27"/>
      <c r="T78">
        <f>USA!Z86*G78</f>
        <v>25.970589533333392</v>
      </c>
      <c r="U78">
        <v>0</v>
      </c>
      <c r="V78">
        <v>0</v>
      </c>
      <c r="W78">
        <v>0</v>
      </c>
      <c r="X78">
        <v>0</v>
      </c>
      <c r="Y78" s="23"/>
      <c r="Z78" s="3"/>
      <c r="AA78" s="7">
        <v>10</v>
      </c>
      <c r="AB78" s="7">
        <v>15.2</v>
      </c>
      <c r="AC78" s="3">
        <v>7.0000000000000007E-2</v>
      </c>
      <c r="AD78" s="3">
        <f>'Canada Prov''s'!AD39/100</f>
        <v>0.13377434140855096</v>
      </c>
      <c r="AE78" s="4">
        <f t="shared" si="21"/>
        <v>9.9869376701543011</v>
      </c>
      <c r="AF78" s="3">
        <f t="shared" si="30"/>
        <v>35.1869376701543</v>
      </c>
      <c r="AH78" s="4"/>
      <c r="AM78"/>
      <c r="AN78"/>
      <c r="AO78" s="9">
        <v>1999</v>
      </c>
      <c r="AP78" s="3">
        <f t="shared" si="31"/>
        <v>58.996727622714147</v>
      </c>
      <c r="AQ78" s="3">
        <f t="shared" si="32"/>
        <v>10</v>
      </c>
      <c r="AR78" s="3">
        <f t="shared" si="33"/>
        <v>15.2</v>
      </c>
      <c r="AS78" s="3">
        <f t="shared" si="22"/>
        <v>9.9869376701543011</v>
      </c>
      <c r="AT78" s="3">
        <f t="shared" si="40"/>
        <v>35.1869376701543</v>
      </c>
      <c r="AU78" s="3">
        <f t="shared" si="34"/>
        <v>23.809789952559846</v>
      </c>
      <c r="AW78" s="3">
        <v>79.722381284217036</v>
      </c>
      <c r="AY78" s="7">
        <f t="shared" si="35"/>
        <v>74.002716266572406</v>
      </c>
      <c r="AZ78" s="7">
        <f t="shared" si="24"/>
        <v>73.664139957428901</v>
      </c>
      <c r="BA78" s="7">
        <f t="shared" si="36"/>
        <v>44.136837238604166</v>
      </c>
      <c r="BB78" s="7">
        <f t="shared" si="25"/>
        <v>29.865879027968241</v>
      </c>
      <c r="BC78" s="3">
        <f t="shared" si="37"/>
        <v>29.527302718824735</v>
      </c>
      <c r="BD78" s="3">
        <f t="shared" si="38"/>
        <v>32.576284244127187</v>
      </c>
      <c r="BE78" s="3">
        <v>0</v>
      </c>
      <c r="BF78" s="24">
        <v>0.9</v>
      </c>
      <c r="BG78" s="3">
        <v>0</v>
      </c>
      <c r="BH78" s="3">
        <v>0</v>
      </c>
      <c r="BI78" s="3">
        <v>0</v>
      </c>
      <c r="BJ78" s="3"/>
      <c r="BK78" s="7">
        <f t="shared" si="16"/>
        <v>85.189372727660569</v>
      </c>
      <c r="BL78" s="7">
        <f t="shared" si="17"/>
        <v>84.799615366694482</v>
      </c>
      <c r="BY78"/>
      <c r="BZ78" s="7"/>
      <c r="CA78" s="7"/>
      <c r="CB78" s="7"/>
      <c r="CC78" s="7"/>
      <c r="CD78" s="3">
        <f t="shared" si="39"/>
        <v>23.539868856446436</v>
      </c>
      <c r="CE78" s="7"/>
      <c r="CF78" s="7"/>
      <c r="CG78" s="7"/>
      <c r="CH78" s="7"/>
      <c r="CI78" s="7"/>
    </row>
    <row r="79" spans="1:87">
      <c r="A79">
        <v>2000</v>
      </c>
      <c r="B79" s="3">
        <f t="shared" si="19"/>
        <v>62.083372981587942</v>
      </c>
      <c r="C79" s="3">
        <f t="shared" si="0"/>
        <v>78.958238837304293</v>
      </c>
      <c r="D79" s="2">
        <f>F79/E79*100</f>
        <v>43.380759035657043</v>
      </c>
      <c r="E79" s="2">
        <v>112.9992628224058</v>
      </c>
      <c r="F79" s="2">
        <f>I79/G79</f>
        <v>49.019937917056652</v>
      </c>
      <c r="G79" s="2">
        <v>1.4851099999999999</v>
      </c>
      <c r="H79" s="21">
        <f t="shared" ref="H79:H89" si="41">(R79+AA79)+AC79*(R79+AA79)</f>
        <v>53.313503092128933</v>
      </c>
      <c r="I79" s="21">
        <f t="shared" si="26"/>
        <v>72.8</v>
      </c>
      <c r="J79" s="21">
        <f t="shared" si="29"/>
        <v>73.202969055994473</v>
      </c>
      <c r="K79" s="3">
        <v>72.150000000000006</v>
      </c>
      <c r="L79">
        <v>72.8</v>
      </c>
      <c r="M79">
        <v>103.9</v>
      </c>
      <c r="N79" s="4">
        <f t="shared" si="28"/>
        <v>86.136380000000003</v>
      </c>
      <c r="O79" s="6">
        <v>58</v>
      </c>
      <c r="P79" s="23"/>
      <c r="Q79" s="21">
        <f t="shared" ref="Q79:Q89" si="42">L79-AF79</f>
        <v>34.97707179591638</v>
      </c>
      <c r="R79" s="21">
        <f t="shared" si="4"/>
        <v>39.825703824419563</v>
      </c>
      <c r="S79" s="27"/>
      <c r="T79">
        <f>USA!Z87*G79</f>
        <v>40.989035999999999</v>
      </c>
      <c r="U79">
        <v>0</v>
      </c>
      <c r="V79">
        <v>0</v>
      </c>
      <c r="W79">
        <v>0</v>
      </c>
      <c r="X79">
        <v>0</v>
      </c>
      <c r="Y79" s="23"/>
      <c r="AA79" s="7">
        <v>10</v>
      </c>
      <c r="AB79" s="7">
        <v>15.5</v>
      </c>
      <c r="AC79" s="3">
        <v>7.0000000000000007E-2</v>
      </c>
      <c r="AD79" s="3">
        <f>'Canada Prov''s'!AD40/100</f>
        <v>0.13376198513162307</v>
      </c>
      <c r="AE79" s="4">
        <f t="shared" si="21"/>
        <v>12.322928204083615</v>
      </c>
      <c r="AF79" s="3">
        <f t="shared" si="30"/>
        <v>37.822928204083617</v>
      </c>
      <c r="AG79" s="24"/>
      <c r="AM79"/>
      <c r="AN79"/>
      <c r="AO79" s="9">
        <v>2000</v>
      </c>
      <c r="AP79" s="3">
        <f t="shared" si="31"/>
        <v>72.8</v>
      </c>
      <c r="AQ79" s="3">
        <f t="shared" si="32"/>
        <v>10</v>
      </c>
      <c r="AR79" s="3">
        <f t="shared" si="33"/>
        <v>15.5</v>
      </c>
      <c r="AS79" s="3">
        <f t="shared" si="22"/>
        <v>12.322928204083615</v>
      </c>
      <c r="AT79" s="3">
        <f t="shared" si="40"/>
        <v>37.822928204083617</v>
      </c>
      <c r="AU79" s="3">
        <f t="shared" si="34"/>
        <v>34.97707179591638</v>
      </c>
      <c r="AW79" s="3">
        <v>81.890383609812545</v>
      </c>
      <c r="AY79" s="7">
        <f t="shared" si="35"/>
        <v>88.89932711375981</v>
      </c>
      <c r="AZ79" s="7">
        <f t="shared" si="24"/>
        <v>89.391410601748476</v>
      </c>
      <c r="BA79" s="7">
        <f t="shared" si="36"/>
        <v>46.187264654053308</v>
      </c>
      <c r="BB79" s="7">
        <f t="shared" si="25"/>
        <v>42.712062459706502</v>
      </c>
      <c r="BC79" s="3">
        <f t="shared" si="37"/>
        <v>43.204145947695167</v>
      </c>
      <c r="BD79" s="3">
        <f t="shared" si="38"/>
        <v>50.053540102220829</v>
      </c>
      <c r="BE79" s="3">
        <v>0</v>
      </c>
      <c r="BF79" s="24">
        <v>0.5</v>
      </c>
      <c r="BG79" s="3">
        <v>0</v>
      </c>
      <c r="BH79" s="3">
        <v>0</v>
      </c>
      <c r="BI79" s="3">
        <v>0</v>
      </c>
      <c r="BJ79" s="3"/>
      <c r="BK79" s="7">
        <f t="shared" si="16"/>
        <v>102.33783697144119</v>
      </c>
      <c r="BL79" s="7">
        <f t="shared" si="17"/>
        <v>102.90430649832166</v>
      </c>
      <c r="BY79"/>
      <c r="BZ79" s="7"/>
      <c r="CA79" s="7"/>
      <c r="CB79" s="7"/>
      <c r="CC79" s="7"/>
      <c r="CD79" s="3">
        <f t="shared" si="39"/>
        <v>35.380040851910856</v>
      </c>
      <c r="CE79" s="7"/>
      <c r="CF79" s="7"/>
      <c r="CG79" s="7"/>
      <c r="CH79" s="7"/>
      <c r="CI79" s="7"/>
    </row>
    <row r="80" spans="1:87">
      <c r="A80">
        <v>2001</v>
      </c>
      <c r="B80" s="3">
        <f t="shared" si="19"/>
        <v>55.992194531667081</v>
      </c>
      <c r="C80" s="3">
        <f t="shared" si="0"/>
        <v>81.182199298191421</v>
      </c>
      <c r="D80" s="2">
        <f t="shared" ref="D80:D89" si="43">F80/E80*100</f>
        <v>39.124547881382782</v>
      </c>
      <c r="E80" s="2">
        <v>116.1820325539375</v>
      </c>
      <c r="F80" s="2">
        <f t="shared" ref="F80:F89" si="44">I80/G80</f>
        <v>45.455694956129008</v>
      </c>
      <c r="G80" s="2">
        <v>1.54876083333333</v>
      </c>
      <c r="H80" s="21">
        <f t="shared" si="41"/>
        <v>49.198111556301761</v>
      </c>
      <c r="I80" s="21">
        <f t="shared" si="26"/>
        <v>70.400000000000006</v>
      </c>
      <c r="J80" s="21">
        <f t="shared" si="29"/>
        <v>70.984464045609386</v>
      </c>
      <c r="K80" s="3">
        <v>70.28</v>
      </c>
      <c r="L80">
        <v>70.400000000000006</v>
      </c>
      <c r="M80">
        <v>101.5</v>
      </c>
      <c r="N80" s="4">
        <f t="shared" si="28"/>
        <v>84.407465416666483</v>
      </c>
      <c r="O80" s="3">
        <f>(O79+O81)/2</f>
        <v>54.5</v>
      </c>
      <c r="P80" s="23"/>
      <c r="Q80" s="21">
        <f t="shared" si="42"/>
        <v>32.883306672091209</v>
      </c>
      <c r="R80" s="21">
        <f t="shared" si="4"/>
        <v>35.979543510562394</v>
      </c>
      <c r="S80" s="27"/>
      <c r="T80">
        <f>USA!Z88*G80</f>
        <v>35.807350466666591</v>
      </c>
      <c r="U80">
        <v>0</v>
      </c>
      <c r="V80">
        <v>0</v>
      </c>
      <c r="W80">
        <v>0</v>
      </c>
      <c r="X80">
        <v>0</v>
      </c>
      <c r="Y80" s="23"/>
      <c r="AA80" s="7">
        <v>10</v>
      </c>
      <c r="AB80" s="7">
        <v>15.6</v>
      </c>
      <c r="AC80" s="3">
        <v>7.0000000000000007E-2</v>
      </c>
      <c r="AD80" s="3">
        <f>'Canada Prov''s'!AD41/100</f>
        <v>0.13376230425417363</v>
      </c>
      <c r="AE80" s="4">
        <f t="shared" si="21"/>
        <v>11.916693327908794</v>
      </c>
      <c r="AF80" s="3">
        <f t="shared" si="30"/>
        <v>37.516693327908797</v>
      </c>
      <c r="AG80" s="24"/>
      <c r="AM80"/>
      <c r="AN80"/>
      <c r="AO80" s="9">
        <v>2001</v>
      </c>
      <c r="AP80" s="3">
        <f t="shared" si="31"/>
        <v>70.400000000000006</v>
      </c>
      <c r="AQ80" s="3">
        <f t="shared" si="32"/>
        <v>10</v>
      </c>
      <c r="AR80" s="3">
        <f t="shared" si="33"/>
        <v>15.6</v>
      </c>
      <c r="AS80" s="3">
        <f t="shared" si="22"/>
        <v>11.916693327908794</v>
      </c>
      <c r="AT80" s="3">
        <f t="shared" si="40"/>
        <v>37.516693327908797</v>
      </c>
      <c r="AU80" s="3">
        <f t="shared" si="34"/>
        <v>32.883306672091209</v>
      </c>
      <c r="AW80" s="3">
        <v>83.958214064420645</v>
      </c>
      <c r="AY80" s="7">
        <f t="shared" si="35"/>
        <v>83.851235742082963</v>
      </c>
      <c r="AZ80" s="7">
        <f t="shared" si="24"/>
        <v>84.547372566957449</v>
      </c>
      <c r="BA80" s="7">
        <f t="shared" si="36"/>
        <v>44.684958757129415</v>
      </c>
      <c r="BB80" s="7">
        <f t="shared" si="25"/>
        <v>39.166276984953548</v>
      </c>
      <c r="BC80" s="3">
        <f t="shared" si="37"/>
        <v>39.862413809828027</v>
      </c>
      <c r="BD80" s="3">
        <f t="shared" si="38"/>
        <v>42.649013995452336</v>
      </c>
      <c r="BE80" s="3">
        <v>0</v>
      </c>
      <c r="BF80" s="24">
        <v>0.5</v>
      </c>
      <c r="BG80" s="3">
        <v>0</v>
      </c>
      <c r="BH80" s="3">
        <v>0</v>
      </c>
      <c r="BI80" s="3">
        <v>0</v>
      </c>
      <c r="BJ80" s="3"/>
      <c r="BK80" s="7">
        <f t="shared" si="16"/>
        <v>96.526648421605216</v>
      </c>
      <c r="BL80" s="7">
        <f t="shared" si="17"/>
        <v>97.328017106912114</v>
      </c>
      <c r="BY80"/>
      <c r="BZ80" s="7"/>
      <c r="CA80" s="7"/>
      <c r="CB80" s="7"/>
      <c r="CC80" s="7"/>
      <c r="CD80" s="3">
        <f t="shared" si="39"/>
        <v>33.467770717700589</v>
      </c>
      <c r="CE80" s="7"/>
      <c r="CF80" s="7"/>
      <c r="CG80" s="7"/>
      <c r="CH80" s="7"/>
      <c r="CI80" s="7"/>
    </row>
    <row r="81" spans="1:87">
      <c r="A81">
        <v>2002</v>
      </c>
      <c r="B81" s="3">
        <f t="shared" si="19"/>
        <v>54.313559686608443</v>
      </c>
      <c r="C81" s="3">
        <f t="shared" si="0"/>
        <v>82.47759894808965</v>
      </c>
      <c r="D81" s="2">
        <f t="shared" si="43"/>
        <v>37.951601724866087</v>
      </c>
      <c r="E81" s="2">
        <v>118.03591389240708</v>
      </c>
      <c r="F81" s="2">
        <f t="shared" si="44"/>
        <v>44.796519932752211</v>
      </c>
      <c r="G81" s="2">
        <v>1.56931833333333</v>
      </c>
      <c r="H81" s="21">
        <f t="shared" si="41"/>
        <v>51.121108918528989</v>
      </c>
      <c r="I81" s="21">
        <f t="shared" si="26"/>
        <v>70.3</v>
      </c>
      <c r="J81" s="21">
        <f t="shared" si="29"/>
        <v>72.248940199333845</v>
      </c>
      <c r="K81" s="3">
        <v>69.95</v>
      </c>
      <c r="L81">
        <v>70.3</v>
      </c>
      <c r="M81">
        <v>100</v>
      </c>
      <c r="N81" s="4">
        <f t="shared" si="28"/>
        <v>80.03523499999983</v>
      </c>
      <c r="O81" s="6">
        <v>51</v>
      </c>
      <c r="P81" s="23"/>
      <c r="Q81" s="21">
        <f t="shared" si="42"/>
        <v>33.002434011802862</v>
      </c>
      <c r="R81" s="21">
        <f t="shared" si="4"/>
        <v>37.776737307036441</v>
      </c>
      <c r="S81" s="27"/>
      <c r="T81">
        <f>USA!Z89*G81</f>
        <v>38.228594599999916</v>
      </c>
      <c r="U81">
        <v>0</v>
      </c>
      <c r="V81">
        <v>0</v>
      </c>
      <c r="W81">
        <v>0</v>
      </c>
      <c r="X81">
        <v>0</v>
      </c>
      <c r="Y81" s="23"/>
      <c r="Z81" s="3"/>
      <c r="AA81" s="7">
        <v>10</v>
      </c>
      <c r="AB81" s="7">
        <v>15.4</v>
      </c>
      <c r="AC81" s="3">
        <v>7.0000000000000007E-2</v>
      </c>
      <c r="AD81" s="3">
        <f>'Canada Prov''s'!AD42/100</f>
        <v>0.13371695443023293</v>
      </c>
      <c r="AE81" s="4">
        <f t="shared" si="21"/>
        <v>11.897565988197133</v>
      </c>
      <c r="AF81" s="3">
        <f t="shared" si="30"/>
        <v>37.297565988197135</v>
      </c>
      <c r="AG81" s="24">
        <v>31</v>
      </c>
      <c r="AH81" s="3"/>
      <c r="AM81"/>
      <c r="AN81"/>
      <c r="AO81" s="9">
        <v>2002</v>
      </c>
      <c r="AP81" s="3">
        <f t="shared" si="31"/>
        <v>70.3</v>
      </c>
      <c r="AQ81" s="3">
        <f t="shared" si="32"/>
        <v>10</v>
      </c>
      <c r="AR81" s="3">
        <f t="shared" si="33"/>
        <v>15.4</v>
      </c>
      <c r="AS81" s="3">
        <f t="shared" si="22"/>
        <v>11.897565988197133</v>
      </c>
      <c r="AT81" s="3">
        <f t="shared" si="40"/>
        <v>37.297565988197135</v>
      </c>
      <c r="AU81" s="3">
        <f t="shared" si="34"/>
        <v>33.002434011802862</v>
      </c>
      <c r="AW81" s="3">
        <v>85.854321333358683</v>
      </c>
      <c r="AY81" s="7">
        <f t="shared" si="35"/>
        <v>81.882890585129971</v>
      </c>
      <c r="AZ81" s="7">
        <f t="shared" si="24"/>
        <v>84.152945451403298</v>
      </c>
      <c r="BA81" s="7">
        <f t="shared" si="36"/>
        <v>43.442852274583373</v>
      </c>
      <c r="BB81" s="7">
        <f t="shared" si="25"/>
        <v>38.440038310546598</v>
      </c>
      <c r="BC81" s="3">
        <f t="shared" si="37"/>
        <v>40.710093176819925</v>
      </c>
      <c r="BD81" s="3">
        <f t="shared" si="38"/>
        <v>44.527280638052403</v>
      </c>
      <c r="BE81" s="3">
        <v>0</v>
      </c>
      <c r="BF81" s="24">
        <v>0.5</v>
      </c>
      <c r="BG81" s="3">
        <v>0</v>
      </c>
      <c r="BH81" s="3">
        <v>0</v>
      </c>
      <c r="BI81" s="3">
        <v>0</v>
      </c>
      <c r="BJ81" s="3"/>
      <c r="BK81" s="7">
        <f t="shared" si="16"/>
        <v>94.260757415276075</v>
      </c>
      <c r="BL81" s="7">
        <f t="shared" si="17"/>
        <v>96.873966225322832</v>
      </c>
      <c r="BY81"/>
      <c r="BZ81" s="7"/>
      <c r="CA81" s="7"/>
      <c r="CB81" s="7"/>
      <c r="CC81" s="7"/>
      <c r="CD81" s="3">
        <f t="shared" si="39"/>
        <v>34.951374211136709</v>
      </c>
      <c r="CE81" s="7"/>
      <c r="CF81" s="7"/>
      <c r="CG81" s="7"/>
      <c r="CH81" s="7"/>
      <c r="CI81" s="7"/>
    </row>
    <row r="82" spans="1:87">
      <c r="A82">
        <v>2003</v>
      </c>
      <c r="B82" s="3">
        <f t="shared" si="19"/>
        <v>62.346229027076973</v>
      </c>
      <c r="C82" s="3">
        <f t="shared" si="0"/>
        <v>84.37293294912061</v>
      </c>
      <c r="D82" s="2">
        <f t="shared" si="43"/>
        <v>43.564429706607974</v>
      </c>
      <c r="E82" s="2">
        <v>120.74837744367809</v>
      </c>
      <c r="F82" s="2">
        <f t="shared" si="44"/>
        <v>52.603342013320827</v>
      </c>
      <c r="G82" s="2">
        <v>1.4010516666666699</v>
      </c>
      <c r="H82" s="21">
        <f t="shared" si="41"/>
        <v>52.027278486441936</v>
      </c>
      <c r="I82" s="21">
        <f t="shared" si="26"/>
        <v>73.7</v>
      </c>
      <c r="J82" s="21">
        <f t="shared" si="29"/>
        <v>74.525716865700161</v>
      </c>
      <c r="K82" s="3">
        <v>74.900000000000006</v>
      </c>
      <c r="L82">
        <v>73.7</v>
      </c>
      <c r="M82">
        <v>107.1</v>
      </c>
      <c r="N82" s="4">
        <f t="shared" si="28"/>
        <v>83.36257416666686</v>
      </c>
      <c r="O82" s="3">
        <f>(O81+O83)/2</f>
        <v>59.5</v>
      </c>
      <c r="P82" s="23"/>
      <c r="Q82" s="21">
        <f t="shared" si="42"/>
        <v>35.128804965276402</v>
      </c>
      <c r="R82" s="21">
        <f t="shared" si="4"/>
        <v>38.623624753684055</v>
      </c>
      <c r="S82" s="27"/>
      <c r="T82">
        <f>USA!Z90*G82</f>
        <v>39.369551833333425</v>
      </c>
      <c r="U82">
        <v>0</v>
      </c>
      <c r="V82">
        <v>0</v>
      </c>
      <c r="W82">
        <v>0</v>
      </c>
      <c r="X82">
        <v>0</v>
      </c>
      <c r="Y82" s="23"/>
      <c r="Z82" s="3"/>
      <c r="AA82" s="7">
        <v>10</v>
      </c>
      <c r="AB82" s="7">
        <v>16.100000000000001</v>
      </c>
      <c r="AC82" s="3">
        <v>7.0000000000000007E-2</v>
      </c>
      <c r="AD82" s="3">
        <f>'Canada Prov''s'!AD43/100</f>
        <v>0.13368182984783336</v>
      </c>
      <c r="AE82" s="4">
        <f t="shared" si="21"/>
        <v>12.471195034723603</v>
      </c>
      <c r="AF82" s="3">
        <f t="shared" si="30"/>
        <v>38.571195034723601</v>
      </c>
      <c r="AG82" s="24">
        <v>30.5</v>
      </c>
      <c r="AH82" s="3"/>
      <c r="AM82"/>
      <c r="AN82"/>
      <c r="AO82" s="9">
        <v>2003</v>
      </c>
      <c r="AP82" s="3">
        <f t="shared" si="31"/>
        <v>73.7</v>
      </c>
      <c r="AQ82" s="3">
        <f t="shared" si="32"/>
        <v>10</v>
      </c>
      <c r="AR82" s="3">
        <f t="shared" si="33"/>
        <v>16.100000000000001</v>
      </c>
      <c r="AS82" s="3">
        <f t="shared" si="22"/>
        <v>12.471195034723603</v>
      </c>
      <c r="AT82" s="3">
        <f t="shared" si="40"/>
        <v>38.571195034723601</v>
      </c>
      <c r="AU82" s="3">
        <f t="shared" si="34"/>
        <v>35.128804965276402</v>
      </c>
      <c r="AW82" s="3">
        <v>88.222666875561814</v>
      </c>
      <c r="AY82" s="7">
        <f t="shared" si="35"/>
        <v>83.538621773873544</v>
      </c>
      <c r="AZ82" s="7">
        <f t="shared" si="24"/>
        <v>84.474568163779026</v>
      </c>
      <c r="BA82" s="7">
        <f t="shared" si="36"/>
        <v>43.720277793379701</v>
      </c>
      <c r="BB82" s="7">
        <f t="shared" si="25"/>
        <v>39.818343980493843</v>
      </c>
      <c r="BC82" s="3">
        <f t="shared" si="37"/>
        <v>40.754290370399318</v>
      </c>
      <c r="BD82" s="3">
        <f t="shared" si="38"/>
        <v>44.62521166908752</v>
      </c>
      <c r="BE82" s="3">
        <v>0</v>
      </c>
      <c r="BF82" s="24">
        <v>0.5</v>
      </c>
      <c r="BG82" s="3">
        <v>0</v>
      </c>
      <c r="BH82" s="3">
        <v>0</v>
      </c>
      <c r="BI82" s="3">
        <v>0</v>
      </c>
      <c r="BJ82" s="3"/>
      <c r="BK82" s="7">
        <f t="shared" si="16"/>
        <v>96.166778011420078</v>
      </c>
      <c r="BL82" s="7">
        <f t="shared" si="17"/>
        <v>97.244207190851199</v>
      </c>
      <c r="BY82"/>
      <c r="BZ82" s="7"/>
      <c r="CA82" s="7"/>
      <c r="CB82" s="7"/>
      <c r="CC82" s="7"/>
      <c r="CD82" s="3">
        <f t="shared" si="39"/>
        <v>35.954521830976553</v>
      </c>
      <c r="CE82" s="7"/>
      <c r="CF82" s="7"/>
      <c r="CG82" s="7"/>
      <c r="CH82" s="7"/>
      <c r="CI82" s="7"/>
    </row>
    <row r="83" spans="1:87">
      <c r="A83">
        <v>2004</v>
      </c>
      <c r="B83" s="3">
        <f t="shared" si="19"/>
        <v>72.139048760878254</v>
      </c>
      <c r="C83" s="3">
        <f t="shared" si="0"/>
        <v>86.62364207534489</v>
      </c>
      <c r="D83" s="2">
        <f t="shared" si="43"/>
        <v>50.407162837065457</v>
      </c>
      <c r="E83" s="2">
        <v>123.96942791081244</v>
      </c>
      <c r="F83" s="2">
        <f t="shared" si="44"/>
        <v>62.489471395181695</v>
      </c>
      <c r="G83" s="2">
        <v>1.3010191666666699</v>
      </c>
      <c r="H83" s="21">
        <f t="shared" si="41"/>
        <v>58.009483923623968</v>
      </c>
      <c r="I83" s="21">
        <f t="shared" si="26"/>
        <v>81.3</v>
      </c>
      <c r="J83" s="21">
        <f t="shared" si="29"/>
        <v>81.897577700784822</v>
      </c>
      <c r="K83" s="3">
        <v>83.490000000000009</v>
      </c>
      <c r="L83">
        <v>81.3</v>
      </c>
      <c r="M83">
        <v>118.1</v>
      </c>
      <c r="N83" s="4">
        <f t="shared" si="28"/>
        <v>88.469303333333556</v>
      </c>
      <c r="O83" s="6">
        <v>68</v>
      </c>
      <c r="P83" s="23"/>
      <c r="Q83" s="21">
        <f t="shared" si="42"/>
        <v>41.044904772227795</v>
      </c>
      <c r="R83" s="21">
        <f t="shared" si="4"/>
        <v>44.214470956657912</v>
      </c>
      <c r="S83" s="27"/>
      <c r="T83">
        <f>USA!Z91*G83</f>
        <v>46.901740958333448</v>
      </c>
      <c r="U83">
        <v>0</v>
      </c>
      <c r="V83">
        <v>0</v>
      </c>
      <c r="W83">
        <v>0</v>
      </c>
      <c r="X83">
        <v>0</v>
      </c>
      <c r="Y83" s="23"/>
      <c r="Z83" s="3"/>
      <c r="AA83" s="7">
        <v>10</v>
      </c>
      <c r="AB83" s="7">
        <v>16.5</v>
      </c>
      <c r="AC83" s="3">
        <v>7.0000000000000007E-2</v>
      </c>
      <c r="AD83" s="3">
        <f>'Canada Prov''s'!AD44/100</f>
        <v>0.13364371338084768</v>
      </c>
      <c r="AE83" s="4">
        <f t="shared" si="21"/>
        <v>13.755095227772205</v>
      </c>
      <c r="AF83" s="3">
        <f t="shared" si="30"/>
        <v>40.255095227772202</v>
      </c>
      <c r="AG83" s="24">
        <v>30.9</v>
      </c>
      <c r="AH83" s="3"/>
      <c r="AM83"/>
      <c r="AN83"/>
      <c r="AO83" s="9">
        <v>2004</v>
      </c>
      <c r="AP83" s="3">
        <f t="shared" si="31"/>
        <v>81.3</v>
      </c>
      <c r="AQ83" s="3">
        <f t="shared" si="32"/>
        <v>10</v>
      </c>
      <c r="AR83" s="3">
        <f t="shared" si="33"/>
        <v>16.5</v>
      </c>
      <c r="AS83" s="3">
        <f t="shared" si="22"/>
        <v>13.755095227772205</v>
      </c>
      <c r="AT83" s="3">
        <f t="shared" si="40"/>
        <v>40.255095227772202</v>
      </c>
      <c r="AU83" s="3">
        <f t="shared" si="34"/>
        <v>41.044904772227795</v>
      </c>
      <c r="AW83" s="3">
        <v>89.861190296148209</v>
      </c>
      <c r="AY83" s="7">
        <f t="shared" si="35"/>
        <v>90.472872362436121</v>
      </c>
      <c r="AZ83" s="7">
        <f t="shared" si="24"/>
        <v>91.137873236356711</v>
      </c>
      <c r="BA83" s="7">
        <f t="shared" si="36"/>
        <v>44.796975307256403</v>
      </c>
      <c r="BB83" s="7">
        <f t="shared" si="25"/>
        <v>45.675897055179718</v>
      </c>
      <c r="BC83" s="3">
        <f t="shared" si="37"/>
        <v>46.340897929100301</v>
      </c>
      <c r="BD83" s="3">
        <f t="shared" si="38"/>
        <v>52.193545182033752</v>
      </c>
      <c r="BE83" s="3">
        <v>0</v>
      </c>
      <c r="BF83" s="24">
        <v>0.35</v>
      </c>
      <c r="BG83" s="3">
        <v>0</v>
      </c>
      <c r="BH83" s="3">
        <v>0</v>
      </c>
      <c r="BI83" s="3">
        <v>0</v>
      </c>
      <c r="BJ83" s="3"/>
      <c r="BK83" s="7">
        <f t="shared" si="16"/>
        <v>104.149247950066</v>
      </c>
      <c r="BL83" s="7">
        <f t="shared" si="17"/>
        <v>104.91477400330672</v>
      </c>
      <c r="BY83"/>
      <c r="BZ83" s="7"/>
      <c r="CA83" s="7"/>
      <c r="CB83" s="7"/>
      <c r="CC83" s="7"/>
      <c r="CD83" s="3">
        <f t="shared" si="39"/>
        <v>41.64248247301262</v>
      </c>
      <c r="CE83" s="7"/>
      <c r="CF83" s="7"/>
      <c r="CG83" s="7"/>
      <c r="CH83" s="7"/>
      <c r="CI83" s="7"/>
    </row>
    <row r="84" spans="1:87">
      <c r="A84">
        <v>2005</v>
      </c>
      <c r="B84" s="3">
        <f t="shared" si="19"/>
        <v>85.160995264732946</v>
      </c>
      <c r="C84" s="3">
        <f t="shared" si="0"/>
        <v>89.539246597092159</v>
      </c>
      <c r="D84" s="2">
        <f t="shared" si="43"/>
        <v>59.506248410693516</v>
      </c>
      <c r="E84" s="2">
        <v>128.14202809149756</v>
      </c>
      <c r="F84" s="2">
        <f t="shared" si="44"/>
        <v>76.252513554627214</v>
      </c>
      <c r="G84" s="2">
        <v>1.21176333333333</v>
      </c>
      <c r="H84" s="21">
        <f t="shared" si="41"/>
        <v>69.495438386666478</v>
      </c>
      <c r="I84" s="21">
        <f t="shared" si="26"/>
        <v>92.4</v>
      </c>
      <c r="J84" s="21">
        <f t="shared" si="29"/>
        <v>92.84358373983477</v>
      </c>
      <c r="K84" s="3">
        <v>94.460000000000008</v>
      </c>
      <c r="L84">
        <v>92.4</v>
      </c>
      <c r="M84">
        <v>134.1</v>
      </c>
      <c r="N84" s="4">
        <f t="shared" si="28"/>
        <v>92.094013333333081</v>
      </c>
      <c r="O84" s="3">
        <f>(O83+O85)/2</f>
        <v>76</v>
      </c>
      <c r="P84" s="23"/>
      <c r="Q84" s="21">
        <f t="shared" si="42"/>
        <v>50.172967748479067</v>
      </c>
      <c r="R84" s="21">
        <f t="shared" si="4"/>
        <v>54.949007838006054</v>
      </c>
      <c r="S84" s="27"/>
      <c r="T84">
        <f>USA!Z92*G84</f>
        <v>61.363695199999832</v>
      </c>
      <c r="U84">
        <v>0</v>
      </c>
      <c r="V84">
        <v>0</v>
      </c>
      <c r="W84">
        <v>0</v>
      </c>
      <c r="X84">
        <v>0</v>
      </c>
      <c r="Y84" s="23"/>
      <c r="Z84" s="3"/>
      <c r="AA84" s="7">
        <v>10</v>
      </c>
      <c r="AB84" s="7">
        <v>16.600000000000001</v>
      </c>
      <c r="AC84" s="3">
        <v>7.0000000000000007E-2</v>
      </c>
      <c r="AD84" s="3">
        <f>'Canada Prov''s'!AD45/100</f>
        <v>0.13354862798475733</v>
      </c>
      <c r="AE84" s="4">
        <f t="shared" si="21"/>
        <v>15.627032251520937</v>
      </c>
      <c r="AF84" s="3">
        <f t="shared" si="30"/>
        <v>42.227032251520939</v>
      </c>
      <c r="AG84" s="24">
        <v>31.7</v>
      </c>
      <c r="AH84" s="3"/>
      <c r="AM84"/>
      <c r="AN84"/>
      <c r="AO84" s="9">
        <v>2005</v>
      </c>
      <c r="AP84" s="3">
        <f t="shared" si="31"/>
        <v>92.4</v>
      </c>
      <c r="AQ84" s="3">
        <f t="shared" si="32"/>
        <v>10</v>
      </c>
      <c r="AR84" s="3">
        <f t="shared" si="33"/>
        <v>16.600000000000001</v>
      </c>
      <c r="AS84" s="3">
        <f t="shared" si="22"/>
        <v>15.627032251520937</v>
      </c>
      <c r="AT84" s="3">
        <f t="shared" si="40"/>
        <v>42.227032251520939</v>
      </c>
      <c r="AU84" s="3">
        <f t="shared" si="34"/>
        <v>50.172967748479067</v>
      </c>
      <c r="AW84" s="3">
        <v>91.850314471172396</v>
      </c>
      <c r="AY84" s="7">
        <f t="shared" si="35"/>
        <v>100.59845797152947</v>
      </c>
      <c r="AZ84" s="7">
        <f t="shared" si="24"/>
        <v>101.08139996512926</v>
      </c>
      <c r="BA84" s="7">
        <f t="shared" si="36"/>
        <v>45.973748151699652</v>
      </c>
      <c r="BB84" s="7">
        <f t="shared" si="25"/>
        <v>54.624709819829818</v>
      </c>
      <c r="BC84" s="3">
        <f t="shared" si="37"/>
        <v>55.107651813429612</v>
      </c>
      <c r="BD84" s="3">
        <f t="shared" si="38"/>
        <v>66.808367018992712</v>
      </c>
      <c r="BE84" s="3">
        <v>0</v>
      </c>
      <c r="BF84" s="24">
        <v>0.2</v>
      </c>
      <c r="BG84" s="3">
        <v>0</v>
      </c>
      <c r="BH84" s="3">
        <v>0</v>
      </c>
      <c r="BI84" s="3">
        <v>0</v>
      </c>
      <c r="BJ84" s="3"/>
      <c r="BK84" s="7">
        <f t="shared" si="16"/>
        <v>115.80547261392377</v>
      </c>
      <c r="BL84" s="7">
        <f t="shared" si="17"/>
        <v>116.36141876798671</v>
      </c>
      <c r="BY84"/>
      <c r="BZ84" s="7"/>
      <c r="CA84" s="7"/>
      <c r="CB84" s="7"/>
      <c r="CC84" s="7"/>
      <c r="CD84" s="3">
        <f t="shared" si="39"/>
        <v>50.616551488313831</v>
      </c>
      <c r="CE84" s="7"/>
      <c r="CF84" s="7"/>
      <c r="CG84" s="7"/>
      <c r="CH84" s="7"/>
      <c r="CI84" s="7"/>
    </row>
    <row r="85" spans="1:87">
      <c r="A85">
        <v>2006</v>
      </c>
      <c r="B85" s="3">
        <f t="shared" si="19"/>
        <v>93.187208408744013</v>
      </c>
      <c r="C85" s="3">
        <f t="shared" si="0"/>
        <v>92.424281215596963</v>
      </c>
      <c r="D85" s="2">
        <f t="shared" si="43"/>
        <v>65.114565124935638</v>
      </c>
      <c r="E85" s="2">
        <v>132.27087886006535</v>
      </c>
      <c r="F85" s="2">
        <f t="shared" si="44"/>
        <v>86.127607556661985</v>
      </c>
      <c r="G85" s="2">
        <v>1.1343633333333301</v>
      </c>
      <c r="H85" s="21">
        <f t="shared" si="41"/>
        <v>75.079904645094956</v>
      </c>
      <c r="I85" s="21">
        <f t="shared" si="26"/>
        <v>97.7</v>
      </c>
      <c r="J85" s="21">
        <f t="shared" si="29"/>
        <v>97.485824764039734</v>
      </c>
      <c r="K85" s="3">
        <v>100.16999999999999</v>
      </c>
      <c r="L85">
        <v>97.7</v>
      </c>
      <c r="M85">
        <v>141.19999999999999</v>
      </c>
      <c r="N85" s="4">
        <f t="shared" si="28"/>
        <v>95.286519999999726</v>
      </c>
      <c r="O85" s="6">
        <v>84</v>
      </c>
      <c r="P85" s="23"/>
      <c r="Q85" s="21">
        <f t="shared" si="42"/>
        <v>54.865463999411006</v>
      </c>
      <c r="R85" s="21">
        <f t="shared" si="4"/>
        <v>60.830098721787699</v>
      </c>
      <c r="S85" s="27"/>
      <c r="T85">
        <f>USA!Z93*G85</f>
        <v>69.286912399999792</v>
      </c>
      <c r="U85">
        <v>0</v>
      </c>
      <c r="V85">
        <v>0</v>
      </c>
      <c r="W85">
        <v>0</v>
      </c>
      <c r="X85">
        <v>0</v>
      </c>
      <c r="Y85" s="23"/>
      <c r="Z85" s="3"/>
      <c r="AA85" s="7">
        <v>10</v>
      </c>
      <c r="AB85" s="7">
        <v>17</v>
      </c>
      <c r="AC85" s="3">
        <v>0.06</v>
      </c>
      <c r="AD85" s="3">
        <f>'Canada Prov''s'!AD46/100</f>
        <v>0.13342144082519239</v>
      </c>
      <c r="AE85" s="4">
        <f t="shared" si="21"/>
        <v>15.834536000588994</v>
      </c>
      <c r="AF85" s="3">
        <f t="shared" si="30"/>
        <v>42.834536000588997</v>
      </c>
      <c r="AG85" s="24">
        <v>34.299999999999997</v>
      </c>
      <c r="AH85" s="3"/>
      <c r="AM85"/>
      <c r="AN85"/>
      <c r="AO85" s="9">
        <v>2006</v>
      </c>
      <c r="AP85" s="3">
        <f t="shared" si="31"/>
        <v>97.7</v>
      </c>
      <c r="AQ85" s="3">
        <f t="shared" si="32"/>
        <v>10</v>
      </c>
      <c r="AR85" s="3">
        <f t="shared" si="33"/>
        <v>17</v>
      </c>
      <c r="AS85" s="3">
        <f t="shared" si="22"/>
        <v>15.834536000588994</v>
      </c>
      <c r="AT85" s="3">
        <f t="shared" si="40"/>
        <v>42.834536000588997</v>
      </c>
      <c r="AU85" s="3">
        <f t="shared" si="34"/>
        <v>54.865463999411006</v>
      </c>
      <c r="AW85" s="3">
        <v>93.689180729463885</v>
      </c>
      <c r="AY85" s="7">
        <f t="shared" si="35"/>
        <v>104.28098446299549</v>
      </c>
      <c r="AZ85" s="7">
        <f t="shared" si="24"/>
        <v>104.05238257503714</v>
      </c>
      <c r="BA85" s="7">
        <f t="shared" si="36"/>
        <v>45.719831966806986</v>
      </c>
      <c r="BB85" s="7">
        <f t="shared" si="25"/>
        <v>58.561152496188505</v>
      </c>
      <c r="BC85" s="3">
        <f t="shared" si="37"/>
        <v>58.33255060823015</v>
      </c>
      <c r="BD85" s="3">
        <f t="shared" si="38"/>
        <v>73.95401673974726</v>
      </c>
      <c r="BE85" s="3">
        <v>0</v>
      </c>
      <c r="BF85" s="24">
        <v>0.2</v>
      </c>
      <c r="BG85" s="3">
        <v>0</v>
      </c>
      <c r="BH85" s="3">
        <v>0</v>
      </c>
      <c r="BI85" s="3">
        <v>0</v>
      </c>
      <c r="BJ85" s="3"/>
      <c r="BK85" s="7">
        <f t="shared" si="16"/>
        <v>120.04467000677256</v>
      </c>
      <c r="BL85" s="7">
        <f t="shared" si="17"/>
        <v>119.78151140365617</v>
      </c>
      <c r="BY85"/>
      <c r="BZ85" s="7"/>
      <c r="CA85" s="7"/>
      <c r="CB85" s="7"/>
      <c r="CC85" s="7"/>
      <c r="CD85" s="3">
        <f t="shared" si="39"/>
        <v>54.651288763450729</v>
      </c>
      <c r="CE85" s="7"/>
      <c r="CF85" s="7"/>
      <c r="CG85" s="7"/>
      <c r="CH85" s="7"/>
      <c r="CI85" s="7"/>
    </row>
    <row r="86" spans="1:87">
      <c r="A86">
        <v>2007</v>
      </c>
      <c r="B86" s="3">
        <f t="shared" si="19"/>
        <v>99.7856337523382</v>
      </c>
      <c r="C86" s="3">
        <f t="shared" si="0"/>
        <v>95.074004003893037</v>
      </c>
      <c r="D86" s="2">
        <f t="shared" si="43"/>
        <v>69.725215063851223</v>
      </c>
      <c r="E86" s="2">
        <v>136.06296852886032</v>
      </c>
      <c r="F86" s="2">
        <f t="shared" si="44"/>
        <v>94.870197429008059</v>
      </c>
      <c r="G86" s="2">
        <v>1.0740991666666699</v>
      </c>
      <c r="H86" s="21">
        <f t="shared" si="41"/>
        <v>78.944535355004717</v>
      </c>
      <c r="I86" s="21">
        <f t="shared" si="26"/>
        <v>101.9</v>
      </c>
      <c r="J86" s="21">
        <f t="shared" si="29"/>
        <v>101.58394792475673</v>
      </c>
      <c r="K86" s="3">
        <v>103.67999999999999</v>
      </c>
      <c r="L86">
        <v>101.9</v>
      </c>
      <c r="M86">
        <v>148.1</v>
      </c>
      <c r="N86" s="4">
        <f t="shared" si="28"/>
        <v>104.18761916666698</v>
      </c>
      <c r="O86" s="3">
        <f>(O85+O87)/2</f>
        <v>97</v>
      </c>
      <c r="P86" s="23"/>
      <c r="Q86" s="21">
        <f t="shared" si="42"/>
        <v>59.06905145390656</v>
      </c>
      <c r="R86" s="21">
        <f t="shared" si="4"/>
        <v>64.475976750004449</v>
      </c>
      <c r="S86" s="27"/>
      <c r="T86">
        <f>USA!Z94*G86</f>
        <v>74.198770433333564</v>
      </c>
      <c r="U86">
        <v>0</v>
      </c>
      <c r="V86">
        <v>0</v>
      </c>
      <c r="W86">
        <v>0</v>
      </c>
      <c r="X86">
        <v>0</v>
      </c>
      <c r="Y86" s="23"/>
      <c r="Z86" s="3"/>
      <c r="AA86" s="7">
        <v>10</v>
      </c>
      <c r="AB86" s="7">
        <v>16.600000000000001</v>
      </c>
      <c r="AC86" s="3">
        <v>0.06</v>
      </c>
      <c r="AD86" s="3">
        <f>'Canada Prov''s'!AD47/100</f>
        <v>0.12946105122719093</v>
      </c>
      <c r="AE86" s="4">
        <f t="shared" si="21"/>
        <v>16.230948546093444</v>
      </c>
      <c r="AF86" s="3">
        <f t="shared" si="30"/>
        <v>42.830948546093445</v>
      </c>
      <c r="AG86" s="24">
        <v>33.9</v>
      </c>
      <c r="AH86" s="3"/>
      <c r="AM86"/>
      <c r="AN86"/>
      <c r="AO86" s="9">
        <v>2007</v>
      </c>
      <c r="AP86" s="3">
        <f t="shared" si="31"/>
        <v>101.9</v>
      </c>
      <c r="AQ86" s="3">
        <f t="shared" si="32"/>
        <v>10</v>
      </c>
      <c r="AR86" s="3">
        <f t="shared" si="33"/>
        <v>16.600000000000001</v>
      </c>
      <c r="AS86" s="3">
        <f t="shared" si="22"/>
        <v>16.230948546093444</v>
      </c>
      <c r="AT86" s="3">
        <f t="shared" si="40"/>
        <v>42.830948546093445</v>
      </c>
      <c r="AU86" s="3">
        <f t="shared" si="34"/>
        <v>59.06905145390656</v>
      </c>
      <c r="AW86" s="3">
        <v>95.692615179913815</v>
      </c>
      <c r="AY86" s="7">
        <f t="shared" si="35"/>
        <v>106.48679609018474</v>
      </c>
      <c r="AZ86" s="7">
        <f t="shared" si="24"/>
        <v>106.15651765161448</v>
      </c>
      <c r="BA86" s="7">
        <f t="shared" si="36"/>
        <v>44.758886007625584</v>
      </c>
      <c r="BB86" s="7">
        <f t="shared" si="25"/>
        <v>61.727910082559156</v>
      </c>
      <c r="BC86" s="3">
        <f t="shared" si="37"/>
        <v>61.397631643988902</v>
      </c>
      <c r="BD86" s="3">
        <f t="shared" si="38"/>
        <v>77.538658854532088</v>
      </c>
      <c r="BE86" s="3">
        <v>0</v>
      </c>
      <c r="BF86" s="24">
        <v>0.1</v>
      </c>
      <c r="BG86" s="3">
        <v>0</v>
      </c>
      <c r="BH86" s="3">
        <v>0</v>
      </c>
      <c r="BI86" s="3">
        <v>0</v>
      </c>
      <c r="BJ86" s="3"/>
      <c r="BK86" s="7">
        <f t="shared" si="16"/>
        <v>122.58392421737125</v>
      </c>
      <c r="BL86" s="7">
        <f t="shared" si="17"/>
        <v>122.20371907860417</v>
      </c>
      <c r="BY86"/>
      <c r="BZ86" s="7"/>
      <c r="CA86" s="7"/>
      <c r="CB86" s="7"/>
      <c r="CC86" s="7"/>
      <c r="CD86" s="3">
        <f t="shared" si="39"/>
        <v>58.75299937866329</v>
      </c>
      <c r="CE86" s="7"/>
      <c r="CF86" s="7"/>
      <c r="CG86" s="7"/>
      <c r="CH86" s="7"/>
      <c r="CI86" s="7"/>
    </row>
    <row r="87" spans="1:87">
      <c r="A87">
        <v>2008</v>
      </c>
      <c r="B87" s="3">
        <f t="shared" si="19"/>
        <v>109.38097303833419</v>
      </c>
      <c r="C87" s="3">
        <f t="shared" si="0"/>
        <v>98.70291900542351</v>
      </c>
      <c r="D87" s="2">
        <f t="shared" si="43"/>
        <v>76.429958724518855</v>
      </c>
      <c r="E87" s="2">
        <v>141.25640655453694</v>
      </c>
      <c r="F87" s="2">
        <f t="shared" si="44"/>
        <v>107.96221322537113</v>
      </c>
      <c r="G87" s="2">
        <v>1.06704</v>
      </c>
      <c r="H87" s="21">
        <f t="shared" si="41"/>
        <v>92.847810314080618</v>
      </c>
      <c r="I87" s="21">
        <f t="shared" si="26"/>
        <v>115.2</v>
      </c>
      <c r="J87" s="21">
        <f t="shared" si="29"/>
        <v>116.22242632256294</v>
      </c>
      <c r="K87" s="3">
        <v>116.28</v>
      </c>
      <c r="L87">
        <v>115.2</v>
      </c>
      <c r="M87">
        <v>169.4</v>
      </c>
      <c r="N87" s="4">
        <f t="shared" si="28"/>
        <v>117.37439999999999</v>
      </c>
      <c r="O87" s="6">
        <v>110</v>
      </c>
      <c r="P87" s="23"/>
      <c r="Q87" s="21">
        <f t="shared" si="42"/>
        <v>71.744468639338479</v>
      </c>
      <c r="R87" s="21">
        <f t="shared" si="4"/>
        <v>78.426486013410113</v>
      </c>
      <c r="S87" s="27"/>
      <c r="T87">
        <f>USA!Z95*G87</f>
        <v>100.78192800000001</v>
      </c>
      <c r="U87">
        <v>0</v>
      </c>
      <c r="V87">
        <v>0</v>
      </c>
      <c r="W87">
        <v>0</v>
      </c>
      <c r="X87">
        <v>1</v>
      </c>
      <c r="Y87" s="23"/>
      <c r="Z87" s="3"/>
      <c r="AA87" s="7">
        <v>10</v>
      </c>
      <c r="AB87" s="7">
        <v>16.899999999999999</v>
      </c>
      <c r="AC87" s="3">
        <v>0.05</v>
      </c>
      <c r="AD87" s="3">
        <f>'Canada Prov''s'!AD48/100</f>
        <v>0.11783030603764981</v>
      </c>
      <c r="AE87" s="4">
        <f t="shared" si="21"/>
        <v>16.555531360661526</v>
      </c>
      <c r="AF87" s="3">
        <f t="shared" si="30"/>
        <v>43.455531360661524</v>
      </c>
      <c r="AG87" s="24">
        <v>33.799999999999997</v>
      </c>
      <c r="AH87" s="3"/>
      <c r="AM87"/>
      <c r="AN87"/>
      <c r="AO87" s="9">
        <v>2008</v>
      </c>
      <c r="AP87" s="3">
        <f t="shared" si="31"/>
        <v>115.2</v>
      </c>
      <c r="AQ87" s="3">
        <f t="shared" si="32"/>
        <v>10</v>
      </c>
      <c r="AR87" s="3">
        <f t="shared" si="33"/>
        <v>16.899999999999999</v>
      </c>
      <c r="AS87" s="3">
        <f t="shared" si="22"/>
        <v>16.555531360661526</v>
      </c>
      <c r="AT87" s="3">
        <f t="shared" si="40"/>
        <v>43.455531360661524</v>
      </c>
      <c r="AU87" s="3">
        <f t="shared" si="34"/>
        <v>71.744468639338479</v>
      </c>
      <c r="AW87" s="3">
        <v>97.960789486664908</v>
      </c>
      <c r="AY87" s="7">
        <f t="shared" si="35"/>
        <v>117.59807225285972</v>
      </c>
      <c r="AZ87" s="7">
        <f t="shared" si="24"/>
        <v>118.64178201461303</v>
      </c>
      <c r="BA87" s="7">
        <f t="shared" si="36"/>
        <v>44.360127749457334</v>
      </c>
      <c r="BB87" s="7">
        <f t="shared" si="25"/>
        <v>73.237944503402389</v>
      </c>
      <c r="BC87" s="3">
        <f t="shared" si="37"/>
        <v>74.281654265155694</v>
      </c>
      <c r="BD87" s="3">
        <f t="shared" si="38"/>
        <v>102.87986502366759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/>
      <c r="BK87" s="7">
        <f t="shared" si="16"/>
        <v>135.37484182494097</v>
      </c>
      <c r="BL87" s="7">
        <f t="shared" si="17"/>
        <v>136.57632447854004</v>
      </c>
      <c r="BY87"/>
      <c r="BZ87" s="7"/>
      <c r="CA87" s="7"/>
      <c r="CB87" s="7"/>
      <c r="CC87" s="7"/>
      <c r="CD87" s="3">
        <f t="shared" si="39"/>
        <v>72.766894961901414</v>
      </c>
      <c r="CE87" s="7"/>
      <c r="CF87" s="7"/>
      <c r="CG87" s="7"/>
      <c r="CH87" s="7"/>
      <c r="CI87" s="7"/>
    </row>
    <row r="88" spans="1:87">
      <c r="A88">
        <v>2009</v>
      </c>
      <c r="B88" s="3">
        <f t="shared" si="19"/>
        <v>84.386372812624387</v>
      </c>
      <c r="C88" s="3">
        <f>E88/E$89*100</f>
        <v>98.380597588111073</v>
      </c>
      <c r="D88" s="2">
        <f t="shared" si="43"/>
        <v>58.964980945272508</v>
      </c>
      <c r="E88" s="2">
        <v>140.7951236905254</v>
      </c>
      <c r="F88" s="2">
        <f t="shared" si="44"/>
        <v>83.019817855991164</v>
      </c>
      <c r="G88" s="2">
        <v>1.14310055659983</v>
      </c>
      <c r="H88" s="21">
        <f t="shared" si="41"/>
        <v>74.769713548032968</v>
      </c>
      <c r="I88" s="21">
        <f t="shared" si="26"/>
        <v>94.9</v>
      </c>
      <c r="J88" s="21">
        <f t="shared" si="29"/>
        <v>95.492613422235479</v>
      </c>
      <c r="K88" s="3">
        <v>95.44</v>
      </c>
      <c r="L88">
        <v>94.9</v>
      </c>
      <c r="M88">
        <v>137.5</v>
      </c>
      <c r="N88" s="4"/>
      <c r="O88" s="3">
        <v>90</v>
      </c>
      <c r="P88" s="23"/>
      <c r="Q88" s="21">
        <f t="shared" si="42"/>
        <v>54.629350097115861</v>
      </c>
      <c r="R88" s="21">
        <f t="shared" si="4"/>
        <v>61.209250998126635</v>
      </c>
      <c r="S88" s="27"/>
      <c r="T88">
        <f>USA!Z96*G88</f>
        <v>69.797719985985623</v>
      </c>
      <c r="U88">
        <v>0</v>
      </c>
      <c r="V88">
        <v>0</v>
      </c>
      <c r="W88">
        <v>0</v>
      </c>
      <c r="X88">
        <v>0</v>
      </c>
      <c r="Y88" s="23"/>
      <c r="Z88" s="3"/>
      <c r="AA88" s="7">
        <v>10</v>
      </c>
      <c r="AB88" s="7">
        <v>16.600000000000001</v>
      </c>
      <c r="AC88" s="3">
        <v>0.05</v>
      </c>
      <c r="AD88" s="3">
        <f>'Canada Prov''s'!AD49/100</f>
        <v>0.1182969257606991</v>
      </c>
      <c r="AE88" s="4">
        <f t="shared" si="21"/>
        <v>13.670649902884145</v>
      </c>
      <c r="AF88" s="3">
        <f t="shared" si="30"/>
        <v>40.270649902884145</v>
      </c>
      <c r="AG88" s="24">
        <v>32.799999999999997</v>
      </c>
      <c r="AH88" s="3"/>
      <c r="AM88"/>
      <c r="AN88"/>
      <c r="AO88" s="9">
        <v>2009</v>
      </c>
      <c r="AP88" s="3">
        <f t="shared" si="31"/>
        <v>94.9</v>
      </c>
      <c r="AQ88" s="3">
        <f t="shared" si="32"/>
        <v>10</v>
      </c>
      <c r="AR88" s="3">
        <f t="shared" si="33"/>
        <v>16.600000000000001</v>
      </c>
      <c r="AS88" s="3">
        <f t="shared" si="22"/>
        <v>13.670649902884145</v>
      </c>
      <c r="AT88" s="3">
        <f t="shared" si="40"/>
        <v>40.270649902884145</v>
      </c>
      <c r="AU88" s="3">
        <f t="shared" si="34"/>
        <v>54.629350097115861</v>
      </c>
      <c r="AW88" s="3">
        <v>98.254149528195356</v>
      </c>
      <c r="AY88" s="7">
        <f t="shared" si="35"/>
        <v>96.586251528000005</v>
      </c>
      <c r="AZ88" s="7">
        <f t="shared" si="24"/>
        <v>97.189394932203442</v>
      </c>
      <c r="BA88" s="7">
        <f t="shared" si="36"/>
        <v>40.986207805226528</v>
      </c>
      <c r="BB88" s="7">
        <f t="shared" si="25"/>
        <v>55.600043722773478</v>
      </c>
      <c r="BC88" s="3">
        <f t="shared" si="37"/>
        <v>56.203187126976914</v>
      </c>
      <c r="BD88" s="3">
        <f t="shared" si="38"/>
        <v>71.037936129055012</v>
      </c>
      <c r="BE88" s="24">
        <v>1</v>
      </c>
      <c r="BF88" s="3">
        <v>0</v>
      </c>
      <c r="BG88" s="3">
        <v>0</v>
      </c>
      <c r="BH88" s="3">
        <v>0</v>
      </c>
      <c r="BI88" s="3">
        <v>0</v>
      </c>
      <c r="BJ88" s="3"/>
      <c r="BK88" s="7">
        <f t="shared" si="16"/>
        <v>111.18675903931751</v>
      </c>
      <c r="BL88" s="7">
        <f t="shared" si="17"/>
        <v>111.88107690845938</v>
      </c>
      <c r="BY88"/>
      <c r="BZ88" s="7"/>
      <c r="CA88" s="7"/>
      <c r="CB88" s="7"/>
      <c r="CC88" s="7"/>
      <c r="CD88" s="3">
        <f t="shared" si="39"/>
        <v>55.221963519351341</v>
      </c>
      <c r="CE88" s="7"/>
      <c r="CF88" s="7"/>
      <c r="CG88" s="7"/>
      <c r="CH88" s="7"/>
      <c r="CI88" s="7"/>
    </row>
    <row r="89" spans="1:87">
      <c r="A89">
        <v>2010</v>
      </c>
      <c r="B89" s="3">
        <f t="shared" si="19"/>
        <v>100.08127185559322</v>
      </c>
      <c r="C89" s="3">
        <f>CPIs!AB49</f>
        <v>99.999998509883881</v>
      </c>
      <c r="D89" s="2">
        <f t="shared" si="43"/>
        <v>69.93179115674431</v>
      </c>
      <c r="E89" s="2">
        <v>143.11269411067286</v>
      </c>
      <c r="F89" s="2">
        <f t="shared" si="44"/>
        <v>100.08127036426606</v>
      </c>
      <c r="G89" s="2">
        <v>1.0301627829537601</v>
      </c>
      <c r="H89" s="21">
        <f t="shared" si="41"/>
        <v>82.554397998630094</v>
      </c>
      <c r="I89" s="21">
        <f t="shared" si="26"/>
        <v>103.1</v>
      </c>
      <c r="J89" s="21">
        <f t="shared" si="29"/>
        <v>102.49685659579663</v>
      </c>
      <c r="K89" s="3">
        <v>103.22999999999999</v>
      </c>
      <c r="L89">
        <v>103.1</v>
      </c>
      <c r="M89">
        <v>150.9</v>
      </c>
      <c r="O89"/>
      <c r="P89" s="23"/>
      <c r="Q89" s="21">
        <f t="shared" si="42"/>
        <v>60.754462407443043</v>
      </c>
      <c r="R89" s="21">
        <f>R$92+R$93*T89+R$94*U89+R$95*V89+R$96*W89+R$97*X89</f>
        <v>68.623236189171521</v>
      </c>
      <c r="S89" s="27"/>
      <c r="T89">
        <f>USA!Z97*G89</f>
        <v>79.786107539768722</v>
      </c>
      <c r="U89">
        <v>0</v>
      </c>
      <c r="V89">
        <v>0</v>
      </c>
      <c r="W89">
        <v>0</v>
      </c>
      <c r="X89">
        <v>0</v>
      </c>
      <c r="Y89" s="23"/>
      <c r="Z89" s="3"/>
      <c r="AA89" s="7">
        <v>10</v>
      </c>
      <c r="AB89" s="7">
        <v>17.5</v>
      </c>
      <c r="AC89" s="3">
        <v>0.05</v>
      </c>
      <c r="AD89" s="3">
        <f>'Canada Prov''s'!AD50/100</f>
        <v>0.11821288337829068</v>
      </c>
      <c r="AE89" s="4">
        <f t="shared" si="21"/>
        <v>14.845537592556953</v>
      </c>
      <c r="AF89" s="3">
        <f t="shared" si="30"/>
        <v>42.345537592556951</v>
      </c>
      <c r="AG89" s="24">
        <v>35.700000000000003</v>
      </c>
      <c r="AH89" s="3"/>
      <c r="AM89"/>
      <c r="AN89"/>
      <c r="AO89" s="9">
        <v>2010</v>
      </c>
      <c r="AP89" s="3">
        <f t="shared" si="31"/>
        <v>103.1</v>
      </c>
      <c r="AQ89" s="3">
        <f t="shared" si="32"/>
        <v>10</v>
      </c>
      <c r="AR89" s="3">
        <f t="shared" si="33"/>
        <v>17.5</v>
      </c>
      <c r="AS89" s="3">
        <f t="shared" si="22"/>
        <v>14.845537592556953</v>
      </c>
      <c r="AT89" s="3">
        <f t="shared" si="40"/>
        <v>42.345537592556951</v>
      </c>
      <c r="AU89" s="3">
        <f t="shared" si="34"/>
        <v>60.754462407443043</v>
      </c>
      <c r="AW89" s="3">
        <v>100</v>
      </c>
      <c r="AY89" s="7">
        <f t="shared" si="35"/>
        <v>103.1</v>
      </c>
      <c r="AZ89" s="7">
        <f t="shared" si="24"/>
        <v>102.49685659579663</v>
      </c>
      <c r="BA89" s="7">
        <f>AT89/$AW89*100</f>
        <v>42.345537592556951</v>
      </c>
      <c r="BB89" s="7">
        <f t="shared" si="25"/>
        <v>60.754462407443043</v>
      </c>
      <c r="BC89" s="3">
        <f t="shared" si="37"/>
        <v>60.151319003239678</v>
      </c>
      <c r="BD89" s="3">
        <f t="shared" si="38"/>
        <v>79.786107539768722</v>
      </c>
      <c r="BE89" s="24">
        <v>1</v>
      </c>
      <c r="BF89" s="3">
        <v>0</v>
      </c>
      <c r="BG89" s="3">
        <v>0</v>
      </c>
      <c r="BH89" s="3">
        <v>0</v>
      </c>
      <c r="BI89" s="3">
        <v>0</v>
      </c>
      <c r="BJ89" s="3"/>
      <c r="BK89" s="7">
        <f t="shared" si="16"/>
        <v>118.68516145520411</v>
      </c>
      <c r="BL89" s="7">
        <f t="shared" si="17"/>
        <v>117.99084358606233</v>
      </c>
      <c r="BY89"/>
      <c r="BZ89" s="7"/>
      <c r="CA89" s="7"/>
      <c r="CB89" s="7"/>
      <c r="CC89" s="7"/>
      <c r="CD89" s="3">
        <f t="shared" si="39"/>
        <v>60.151319003239678</v>
      </c>
      <c r="CE89" s="7"/>
      <c r="CF89" s="7"/>
      <c r="CG89" s="7"/>
      <c r="CH89" s="7"/>
      <c r="CI89" s="7"/>
    </row>
    <row r="90" spans="1:87">
      <c r="A90">
        <v>2011</v>
      </c>
      <c r="B90" s="3">
        <f t="shared" si="19"/>
        <v>120.4221513347095</v>
      </c>
      <c r="C90" s="3">
        <f>CPIs!AB50</f>
        <v>103.13271097869961</v>
      </c>
      <c r="G90" s="2">
        <f>'Exchange Rates'!F50</f>
        <v>0.98780438977906948</v>
      </c>
      <c r="I90" s="3">
        <f t="shared" ref="I90:I95" si="45">K90</f>
        <v>122.68000000000002</v>
      </c>
      <c r="J90" s="21">
        <f t="shared" si="29"/>
        <v>122.93256867353671</v>
      </c>
      <c r="K90" s="7">
        <v>122.68000000000002</v>
      </c>
      <c r="O90"/>
      <c r="P90" s="23"/>
      <c r="Q90" s="21"/>
      <c r="R90" s="21"/>
      <c r="S90" s="23"/>
      <c r="T90">
        <f>USA!Z98*G90</f>
        <v>106.13958168176102</v>
      </c>
      <c r="X90"/>
      <c r="Y90" s="23"/>
      <c r="Z90" s="3"/>
      <c r="AA90" s="7">
        <v>10</v>
      </c>
      <c r="AB90" s="7">
        <v>18.5</v>
      </c>
      <c r="AC90" s="3">
        <v>0.05</v>
      </c>
      <c r="AD90" s="3">
        <f>'Canada Prov''s'!AD51/100</f>
        <v>0.12048467777192691</v>
      </c>
      <c r="AE90" s="4">
        <f t="shared" si="21"/>
        <v>17.868717691266841</v>
      </c>
      <c r="AF90" s="3">
        <f t="shared" si="30"/>
        <v>46.368717691266838</v>
      </c>
      <c r="AG90" s="24">
        <v>38.4</v>
      </c>
      <c r="AH90" s="3"/>
      <c r="AM90"/>
      <c r="AN90"/>
      <c r="AO90" s="9">
        <v>2011</v>
      </c>
      <c r="AP90" s="3">
        <f t="shared" si="31"/>
        <v>122.68000000000002</v>
      </c>
      <c r="AQ90" s="3">
        <f t="shared" si="32"/>
        <v>10</v>
      </c>
      <c r="AR90" s="3">
        <f t="shared" si="33"/>
        <v>18.5</v>
      </c>
      <c r="AS90" s="3">
        <f t="shared" si="22"/>
        <v>17.868717691266841</v>
      </c>
      <c r="AT90" s="3">
        <f t="shared" si="40"/>
        <v>46.368717691266838</v>
      </c>
      <c r="AU90" s="3">
        <f t="shared" si="34"/>
        <v>76.311282308733183</v>
      </c>
      <c r="AW90" s="3">
        <f>CPIs!F50</f>
        <v>102.91212463378906</v>
      </c>
      <c r="AY90" s="7">
        <f t="shared" si="35"/>
        <v>119.20849990859152</v>
      </c>
      <c r="AZ90" s="7">
        <f t="shared" si="24"/>
        <v>119.45392159669237</v>
      </c>
      <c r="BA90" s="7">
        <f t="shared" si="36"/>
        <v>45.056612965934853</v>
      </c>
      <c r="BB90" s="7">
        <f t="shared" si="25"/>
        <v>74.15188694265666</v>
      </c>
      <c r="BC90" s="3">
        <f t="shared" si="37"/>
        <v>74.397308630757507</v>
      </c>
      <c r="BD90" s="3">
        <f t="shared" si="38"/>
        <v>103.13612906103803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/>
      <c r="BK90" s="7">
        <f t="shared" si="16"/>
        <v>137.22871055755451</v>
      </c>
      <c r="BL90" s="7">
        <f t="shared" si="17"/>
        <v>137.51123153405169</v>
      </c>
      <c r="BY90"/>
      <c r="BZ90" s="7"/>
      <c r="CA90" s="7"/>
      <c r="CB90" s="7"/>
      <c r="CC90" s="7"/>
      <c r="CD90" s="3">
        <f t="shared" si="39"/>
        <v>76.563850982269869</v>
      </c>
      <c r="CE90" s="7"/>
      <c r="CF90" s="7"/>
      <c r="CG90" s="7"/>
      <c r="CH90" s="7"/>
      <c r="CI90" s="7"/>
    </row>
    <row r="91" spans="1:87">
      <c r="A91">
        <v>2012</v>
      </c>
      <c r="B91" s="3">
        <f t="shared" si="19"/>
        <v>120.28673578303153</v>
      </c>
      <c r="C91" s="3">
        <f>CPIs!AB51</f>
        <v>105.21072267093371</v>
      </c>
      <c r="G91" s="2">
        <f>'Exchange Rates'!F51</f>
        <v>0.99862080025659505</v>
      </c>
      <c r="I91" s="3">
        <f t="shared" si="45"/>
        <v>126.38</v>
      </c>
      <c r="J91" s="21">
        <f t="shared" si="29"/>
        <v>126.35305146762023</v>
      </c>
      <c r="K91" s="3">
        <v>126.38</v>
      </c>
      <c r="O91"/>
      <c r="P91" s="23"/>
      <c r="Q91" s="21"/>
      <c r="R91" s="21"/>
      <c r="S91" s="23"/>
      <c r="T91">
        <f>USA!Z99*G91</f>
        <v>109.34484167361609</v>
      </c>
      <c r="X91"/>
      <c r="Y91" s="23"/>
      <c r="AA91" s="7">
        <v>10</v>
      </c>
      <c r="AB91" s="6">
        <f>AB90+(AB96-AB90)/6</f>
        <v>19.299250880458882</v>
      </c>
      <c r="AC91" s="3">
        <v>0.05</v>
      </c>
      <c r="AD91" s="3">
        <f>'Canada Prov''s'!AD52/100</f>
        <v>0.12267124333185681</v>
      </c>
      <c r="AE91" s="4">
        <f t="shared" si="21"/>
        <v>18.608959549718023</v>
      </c>
      <c r="AF91" s="3">
        <f t="shared" si="30"/>
        <v>47.908210430176908</v>
      </c>
      <c r="AM91"/>
      <c r="AN91"/>
      <c r="AO91" s="9">
        <v>2012</v>
      </c>
      <c r="AP91" s="3">
        <f t="shared" si="31"/>
        <v>126.38</v>
      </c>
      <c r="AQ91" s="3">
        <f t="shared" si="32"/>
        <v>10</v>
      </c>
      <c r="AR91" s="3">
        <f t="shared" si="33"/>
        <v>19.299250880458882</v>
      </c>
      <c r="AS91" s="3">
        <f t="shared" si="22"/>
        <v>18.608959549718023</v>
      </c>
      <c r="AT91" s="3">
        <f t="shared" si="40"/>
        <v>47.908210430176908</v>
      </c>
      <c r="AU91" s="3">
        <f t="shared" si="34"/>
        <v>78.471789569823088</v>
      </c>
      <c r="AW91" s="3">
        <f>CPIs!F51</f>
        <v>104.47194671630859</v>
      </c>
      <c r="AY91" s="7">
        <f t="shared" si="35"/>
        <v>120.970273812531</v>
      </c>
      <c r="AZ91" s="7">
        <f t="shared" si="24"/>
        <v>120.94447881853807</v>
      </c>
      <c r="BA91" s="7">
        <f t="shared" si="36"/>
        <v>45.857488001320256</v>
      </c>
      <c r="BB91" s="7">
        <f t="shared" si="25"/>
        <v>75.112785811210756</v>
      </c>
      <c r="BC91" s="3">
        <f t="shared" si="37"/>
        <v>75.086990817217824</v>
      </c>
      <c r="BD91" s="3">
        <f t="shared" si="38"/>
        <v>104.6643095208513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/>
      <c r="BK91" s="7">
        <f t="shared" si="16"/>
        <v>139.25680386731807</v>
      </c>
      <c r="BL91" s="7">
        <f t="shared" si="17"/>
        <v>139.22710956055971</v>
      </c>
      <c r="BY91"/>
      <c r="BZ91" s="7"/>
      <c r="CA91" s="7"/>
      <c r="CB91" s="7"/>
      <c r="CC91" s="7"/>
      <c r="CD91" s="3">
        <f t="shared" si="39"/>
        <v>78.444841037443325</v>
      </c>
      <c r="CE91" s="7"/>
      <c r="CF91" s="7"/>
      <c r="CG91" s="7"/>
      <c r="CH91" s="7"/>
      <c r="CI91" s="7"/>
    </row>
    <row r="92" spans="1:87">
      <c r="A92">
        <v>2013</v>
      </c>
      <c r="B92" s="3">
        <f t="shared" si="19"/>
        <v>114.92288364547403</v>
      </c>
      <c r="C92" s="3">
        <f>CPIs!AB52</f>
        <v>106.69767516878358</v>
      </c>
      <c r="G92" s="2">
        <f>'Exchange Rates'!F52</f>
        <v>1.0338440171867538</v>
      </c>
      <c r="I92" s="3">
        <f t="shared" si="45"/>
        <v>126.76999999999998</v>
      </c>
      <c r="J92" s="21">
        <f t="shared" si="29"/>
        <v>127.64316202182692</v>
      </c>
      <c r="K92" s="3">
        <v>126.76999999999998</v>
      </c>
      <c r="O92"/>
      <c r="P92" s="23"/>
      <c r="Q92" s="13" t="s">
        <v>88</v>
      </c>
      <c r="R92" s="13">
        <v>9.401162899983083</v>
      </c>
      <c r="S92" s="28"/>
      <c r="T92">
        <f>USA!Z100*G92</f>
        <v>109.52155826570024</v>
      </c>
      <c r="X92"/>
      <c r="Y92" s="23"/>
      <c r="AA92" s="7">
        <v>10</v>
      </c>
      <c r="AB92" s="6">
        <f>AB91+(AB96-AB90)/6</f>
        <v>20.098501760917763</v>
      </c>
      <c r="AC92" s="3">
        <v>0.05</v>
      </c>
      <c r="AD92" s="3">
        <f>'Canada Prov''s'!AD53/100</f>
        <v>0.12354696600498763</v>
      </c>
      <c r="AE92" s="4">
        <f t="shared" si="21"/>
        <v>18.747054457775128</v>
      </c>
      <c r="AF92" s="3">
        <f t="shared" si="30"/>
        <v>48.845556218692892</v>
      </c>
      <c r="AM92"/>
      <c r="AN92"/>
      <c r="AO92" s="9">
        <v>2013</v>
      </c>
      <c r="AP92" s="3">
        <f t="shared" si="31"/>
        <v>126.76999999999998</v>
      </c>
      <c r="AQ92" s="3">
        <f t="shared" si="32"/>
        <v>10</v>
      </c>
      <c r="AR92" s="3">
        <f t="shared" si="33"/>
        <v>20.098501760917763</v>
      </c>
      <c r="AS92" s="3">
        <f t="shared" si="22"/>
        <v>18.747054457775128</v>
      </c>
      <c r="AT92" s="3">
        <f t="shared" si="40"/>
        <v>48.845556218692892</v>
      </c>
      <c r="AU92" s="3">
        <f t="shared" si="34"/>
        <v>77.92444378130709</v>
      </c>
      <c r="AW92" s="3">
        <f>CPIs!F52</f>
        <v>105.45220184326172</v>
      </c>
      <c r="AY92" s="7">
        <f t="shared" si="35"/>
        <v>120.21560269402801</v>
      </c>
      <c r="AZ92" s="7">
        <f t="shared" si="24"/>
        <v>121.04361956476605</v>
      </c>
      <c r="BA92" s="7">
        <f t="shared" si="36"/>
        <v>46.320091344601991</v>
      </c>
      <c r="BB92" s="7">
        <f t="shared" si="25"/>
        <v>73.895511349426016</v>
      </c>
      <c r="BC92" s="3">
        <f t="shared" si="37"/>
        <v>74.723528220164056</v>
      </c>
      <c r="BD92" s="3">
        <f t="shared" si="38"/>
        <v>103.85895823065599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/>
      <c r="BK92" s="7">
        <f t="shared" si="16"/>
        <v>138.38805252352458</v>
      </c>
      <c r="BL92" s="7">
        <f t="shared" si="17"/>
        <v>139.34123696572803</v>
      </c>
      <c r="BY92"/>
      <c r="BZ92" s="7"/>
      <c r="CA92" s="7"/>
      <c r="CB92" s="7"/>
      <c r="CC92" s="7"/>
      <c r="CD92" s="3">
        <f t="shared" si="39"/>
        <v>78.797605803134033</v>
      </c>
      <c r="CE92" s="7"/>
      <c r="CF92" s="7"/>
      <c r="CG92" s="7"/>
      <c r="CH92" s="7"/>
      <c r="CI92" s="7"/>
    </row>
    <row r="93" spans="1:87">
      <c r="A93">
        <v>2014</v>
      </c>
      <c r="B93" s="3">
        <f t="shared" si="19"/>
        <v>106.10132641463333</v>
      </c>
      <c r="C93" s="3">
        <f>CPIs!AB53</f>
        <v>108.45811062912946</v>
      </c>
      <c r="G93" s="2">
        <f>'Exchange Rates'!F53</f>
        <v>1.106664812754913</v>
      </c>
      <c r="I93" s="3">
        <f t="shared" si="45"/>
        <v>127.35</v>
      </c>
      <c r="J93" s="21">
        <f t="shared" si="29"/>
        <v>127.68555389918194</v>
      </c>
      <c r="K93" s="3">
        <v>127.35</v>
      </c>
      <c r="O93"/>
      <c r="P93" s="23"/>
      <c r="Q93" s="13" t="s">
        <v>99</v>
      </c>
      <c r="R93" s="13">
        <v>0.74226046507745336</v>
      </c>
      <c r="S93" s="28"/>
      <c r="T93">
        <f>USA!Z101*G93</f>
        <v>106.44904622952973</v>
      </c>
      <c r="X93"/>
      <c r="Y93" s="23"/>
      <c r="AA93" s="7">
        <v>10</v>
      </c>
      <c r="AB93" s="6">
        <f>AB92+(AB96-AB90)/6</f>
        <v>20.897752641376645</v>
      </c>
      <c r="AC93" s="3">
        <v>0.05</v>
      </c>
      <c r="AD93" s="3">
        <f>'Canada Prov''s'!AD54/100</f>
        <v>0.12337453749274228</v>
      </c>
      <c r="AE93" s="4">
        <f t="shared" si="21"/>
        <v>18.816879559087329</v>
      </c>
      <c r="AF93" s="3">
        <f t="shared" si="30"/>
        <v>49.714632200463974</v>
      </c>
      <c r="AM93"/>
      <c r="AN93"/>
      <c r="AO93" s="9">
        <v>2014</v>
      </c>
      <c r="AP93" s="3">
        <f t="shared" si="31"/>
        <v>127.35</v>
      </c>
      <c r="AQ93" s="3">
        <f t="shared" si="32"/>
        <v>10</v>
      </c>
      <c r="AR93" s="3">
        <f t="shared" si="33"/>
        <v>20.897752641376645</v>
      </c>
      <c r="AS93" s="3">
        <f t="shared" si="22"/>
        <v>18.816879559087329</v>
      </c>
      <c r="AT93" s="3">
        <f t="shared" si="40"/>
        <v>49.714632200463974</v>
      </c>
      <c r="AU93" s="3">
        <f t="shared" si="34"/>
        <v>77.635367799536027</v>
      </c>
      <c r="AW93" s="3">
        <f>CPIs!F53</f>
        <v>107.46279144287109</v>
      </c>
      <c r="AY93" s="7">
        <f t="shared" si="35"/>
        <v>118.50613434669735</v>
      </c>
      <c r="AZ93" s="7">
        <f t="shared" si="24"/>
        <v>118.8183855870351</v>
      </c>
      <c r="BA93" s="7">
        <f t="shared" si="36"/>
        <v>46.26218203804342</v>
      </c>
      <c r="BB93" s="7">
        <f t="shared" si="25"/>
        <v>72.243952308653931</v>
      </c>
      <c r="BC93" s="3">
        <f t="shared" si="37"/>
        <v>72.556203548991675</v>
      </c>
      <c r="BD93" s="3">
        <f t="shared" si="38"/>
        <v>99.056654680443245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/>
      <c r="BK93" s="7">
        <f t="shared" si="16"/>
        <v>136.42017156517832</v>
      </c>
      <c r="BL93" s="7">
        <f t="shared" si="17"/>
        <v>136.77962441555729</v>
      </c>
      <c r="BY93"/>
      <c r="BZ93" s="7"/>
      <c r="CA93" s="7"/>
      <c r="CB93" s="7"/>
      <c r="CC93" s="7"/>
      <c r="CD93" s="3">
        <f t="shared" si="39"/>
        <v>77.970921698717959</v>
      </c>
      <c r="CE93" s="7"/>
      <c r="CF93" s="7"/>
      <c r="CG93" s="7"/>
      <c r="CH93" s="7"/>
      <c r="CI93" s="7"/>
    </row>
    <row r="94" spans="1:87">
      <c r="A94">
        <v>2015</v>
      </c>
      <c r="B94" s="3">
        <f t="shared" si="19"/>
        <v>75.825554760305607</v>
      </c>
      <c r="C94" s="3">
        <f>CPIs!AB54</f>
        <v>108.69337137051741</v>
      </c>
      <c r="G94" s="2">
        <f>'Exchange Rates'!F54</f>
        <v>1.2875929357654781</v>
      </c>
      <c r="I94" s="3">
        <f t="shared" si="45"/>
        <v>106.11999999999998</v>
      </c>
      <c r="J94" s="21">
        <f t="shared" si="29"/>
        <v>106.41093969080714</v>
      </c>
      <c r="K94" s="3">
        <v>106.11999999999998</v>
      </c>
      <c r="O94"/>
      <c r="P94" s="23"/>
      <c r="Q94" s="13" t="s">
        <v>127</v>
      </c>
      <c r="R94" s="13">
        <v>-6.3023907736593809</v>
      </c>
      <c r="S94" s="28"/>
      <c r="T94">
        <f>USA!Z102*G94</f>
        <v>63.75732093259505</v>
      </c>
      <c r="X94"/>
      <c r="Y94" s="23"/>
      <c r="AA94" s="7">
        <v>10</v>
      </c>
      <c r="AB94" s="6">
        <f>AB93+(AB96-AB90)/6</f>
        <v>21.697003521835526</v>
      </c>
      <c r="AC94" s="3">
        <v>0.05</v>
      </c>
      <c r="AD94" s="3">
        <f>'Canada Prov''s'!AD55/100</f>
        <v>0.12328915634423283</v>
      </c>
      <c r="AE94" s="4">
        <f t="shared" si="21"/>
        <v>15.673412791564811</v>
      </c>
      <c r="AF94" s="3">
        <f t="shared" si="30"/>
        <v>47.370416313400341</v>
      </c>
      <c r="AM94"/>
      <c r="AN94"/>
      <c r="AO94" s="9">
        <v>2015</v>
      </c>
      <c r="AP94" s="3">
        <f t="shared" si="31"/>
        <v>106.11999999999998</v>
      </c>
      <c r="AQ94" s="3">
        <f t="shared" si="32"/>
        <v>10</v>
      </c>
      <c r="AR94" s="3">
        <f t="shared" si="33"/>
        <v>21.697003521835526</v>
      </c>
      <c r="AS94" s="3">
        <f t="shared" si="22"/>
        <v>15.673412791564811</v>
      </c>
      <c r="AT94" s="3">
        <f t="shared" si="40"/>
        <v>47.370416313400341</v>
      </c>
      <c r="AU94" s="3">
        <f t="shared" si="34"/>
        <v>58.749583686599635</v>
      </c>
      <c r="AW94" s="3">
        <f>CPIs!F54</f>
        <v>108.67200469970703</v>
      </c>
      <c r="AY94" s="7">
        <f t="shared" si="35"/>
        <v>97.651644775709258</v>
      </c>
      <c r="AZ94" s="7">
        <f t="shared" si="24"/>
        <v>97.919367536148911</v>
      </c>
      <c r="BA94" s="7">
        <f t="shared" si="36"/>
        <v>43.590266365563835</v>
      </c>
      <c r="BB94" s="7">
        <f t="shared" si="25"/>
        <v>54.061378410145423</v>
      </c>
      <c r="BC94" s="3">
        <f t="shared" si="37"/>
        <v>54.329101170585076</v>
      </c>
      <c r="BD94" s="3">
        <f t="shared" si="38"/>
        <v>58.669499204303285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/>
      <c r="BK94" s="7">
        <f t="shared" si="16"/>
        <v>112.41320297353339</v>
      </c>
      <c r="BL94" s="7">
        <f t="shared" si="17"/>
        <v>112.72139617477504</v>
      </c>
      <c r="BY94"/>
      <c r="BZ94" s="7"/>
      <c r="CA94" s="7"/>
      <c r="CB94" s="7"/>
      <c r="CC94" s="7"/>
      <c r="CD94" s="3">
        <f t="shared" si="39"/>
        <v>59.040523377406799</v>
      </c>
      <c r="CE94" s="7"/>
      <c r="CF94" s="7"/>
      <c r="CG94" s="7"/>
      <c r="CH94" s="7"/>
      <c r="CI94" s="7"/>
    </row>
    <row r="95" spans="1:87">
      <c r="A95">
        <v>2016</v>
      </c>
      <c r="B95" s="3">
        <f t="shared" si="19"/>
        <v>69.055402161430166</v>
      </c>
      <c r="C95" s="3">
        <f>CPIs!AB55</f>
        <v>110.08253978538585</v>
      </c>
      <c r="G95" s="2">
        <f>'Exchange Rates'!F55</f>
        <v>1.3227140759340423</v>
      </c>
      <c r="I95" s="3">
        <f t="shared" si="45"/>
        <v>100.55</v>
      </c>
      <c r="J95" s="21">
        <f t="shared" si="29"/>
        <v>102.34039417569562</v>
      </c>
      <c r="K95" s="3">
        <v>100.55</v>
      </c>
      <c r="O95"/>
      <c r="P95" s="23"/>
      <c r="Q95" s="13" t="s">
        <v>136</v>
      </c>
      <c r="R95" s="13">
        <v>-15.416774827705504</v>
      </c>
      <c r="S95" s="23"/>
      <c r="T95">
        <f>USA!Z103*G95</f>
        <v>53.813255374831385</v>
      </c>
      <c r="X95"/>
      <c r="Y95" s="23"/>
      <c r="AA95" s="7">
        <v>10</v>
      </c>
      <c r="AB95" s="6">
        <f>AB94+(AB96-AB90)/6</f>
        <v>22.496254402294408</v>
      </c>
      <c r="AC95" s="3">
        <v>0.05</v>
      </c>
      <c r="AD95" s="3">
        <f>'Canada Prov''s'!AD56/100</f>
        <v>0.12340253740995938</v>
      </c>
      <c r="AE95" s="4">
        <f t="shared" si="21"/>
        <v>14.859031390077702</v>
      </c>
      <c r="AF95" s="3">
        <f t="shared" si="30"/>
        <v>47.355285792372115</v>
      </c>
      <c r="AM95"/>
      <c r="AN95"/>
      <c r="AO95" s="9">
        <v>2016</v>
      </c>
      <c r="AP95" s="3">
        <f t="shared" si="31"/>
        <v>100.55</v>
      </c>
      <c r="AQ95" s="3">
        <f t="shared" si="32"/>
        <v>10</v>
      </c>
      <c r="AR95" s="3">
        <f t="shared" si="33"/>
        <v>22.496254402294408</v>
      </c>
      <c r="AS95" s="3">
        <f t="shared" si="22"/>
        <v>14.859031390077702</v>
      </c>
      <c r="AT95" s="3">
        <f t="shared" si="40"/>
        <v>47.355285792372115</v>
      </c>
      <c r="AU95" s="3">
        <f t="shared" si="34"/>
        <v>53.194714207627882</v>
      </c>
      <c r="AW95" s="3">
        <f>CPIs!F55</f>
        <v>110.22467803955078</v>
      </c>
      <c r="AY95" s="7">
        <f t="shared" si="35"/>
        <v>91.222765889069493</v>
      </c>
      <c r="AZ95" s="7">
        <f t="shared" si="24"/>
        <v>92.847079252954472</v>
      </c>
      <c r="BA95" s="7">
        <f t="shared" si="36"/>
        <v>42.962507702113776</v>
      </c>
      <c r="BB95" s="7">
        <f t="shared" si="25"/>
        <v>48.260258186955717</v>
      </c>
      <c r="BC95" s="3">
        <f t="shared" si="37"/>
        <v>49.884571550840704</v>
      </c>
      <c r="BD95" s="3">
        <f t="shared" si="38"/>
        <v>48.821422146066176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/>
      <c r="BK95" s="7">
        <f t="shared" si="16"/>
        <v>105.01249949499999</v>
      </c>
      <c r="BL95" s="7">
        <f t="shared" si="17"/>
        <v>106.88235297556774</v>
      </c>
      <c r="BY95"/>
      <c r="BZ95" s="7"/>
      <c r="CA95" s="7"/>
      <c r="CB95" s="7"/>
      <c r="CC95" s="7"/>
      <c r="CD95" s="3">
        <f t="shared" si="39"/>
        <v>54.985108383323514</v>
      </c>
      <c r="CE95" s="7"/>
      <c r="CF95" s="7"/>
      <c r="CG95" s="7"/>
      <c r="CH95" s="7"/>
      <c r="CI95" s="7"/>
    </row>
    <row r="96" spans="1:87">
      <c r="A96">
        <v>2017</v>
      </c>
      <c r="B96" s="3">
        <f t="shared" si="19"/>
        <v>76.396999959511788</v>
      </c>
      <c r="C96" s="3">
        <f>CPIs!AB56</f>
        <v>112.42729788281457</v>
      </c>
      <c r="G96" s="2">
        <f>'Exchange Rates'!F56</f>
        <v>1.298</v>
      </c>
      <c r="I96" s="3">
        <v>111.48662536798223</v>
      </c>
      <c r="J96" s="21">
        <f t="shared" si="29"/>
        <v>111.88479215085965</v>
      </c>
      <c r="K96" s="12"/>
      <c r="O96"/>
      <c r="P96" s="23"/>
      <c r="Q96" s="13" t="s">
        <v>141</v>
      </c>
      <c r="R96" s="13">
        <v>9.789014919914651</v>
      </c>
      <c r="S96" s="23"/>
      <c r="T96">
        <f>USA!Z104*G96</f>
        <v>68.157979999999995</v>
      </c>
      <c r="X96"/>
      <c r="Y96" s="23"/>
      <c r="AA96" s="7">
        <v>10</v>
      </c>
      <c r="AB96" s="3">
        <f>'Canada Prov''s'!AD64</f>
        <v>23.295505282753286</v>
      </c>
      <c r="AC96" s="3">
        <v>0.05</v>
      </c>
      <c r="AD96" s="3">
        <f>'Canada Prov''s'!AD57/100</f>
        <v>0.12353072531524795</v>
      </c>
      <c r="AE96" s="4">
        <f t="shared" si="21"/>
        <v>16.485597305394986</v>
      </c>
      <c r="AF96" s="3">
        <f t="shared" si="30"/>
        <v>49.781102588148272</v>
      </c>
      <c r="AG96">
        <v>39</v>
      </c>
      <c r="AH96">
        <v>19.100000000000001</v>
      </c>
      <c r="AM96"/>
      <c r="AN96"/>
      <c r="AO96" s="9">
        <v>2017</v>
      </c>
      <c r="AP96" s="3">
        <f t="shared" si="31"/>
        <v>111.48662536798223</v>
      </c>
      <c r="AQ96" s="3">
        <f t="shared" si="32"/>
        <v>10</v>
      </c>
      <c r="AR96" s="3">
        <f t="shared" si="33"/>
        <v>23.295505282753286</v>
      </c>
      <c r="AS96" s="3">
        <f t="shared" si="22"/>
        <v>16.485597305394986</v>
      </c>
      <c r="AT96" s="3">
        <f t="shared" si="40"/>
        <v>49.781102588148272</v>
      </c>
      <c r="AU96" s="3">
        <f t="shared" si="34"/>
        <v>61.705522779833956</v>
      </c>
      <c r="AW96" s="3">
        <f>CPIs!F56</f>
        <v>112.53939627838133</v>
      </c>
      <c r="AY96" s="7">
        <f t="shared" si="35"/>
        <v>99.064531226207279</v>
      </c>
      <c r="AZ96" s="7">
        <f t="shared" si="24"/>
        <v>99.418333357767068</v>
      </c>
      <c r="BA96" s="7">
        <f t="shared" si="36"/>
        <v>44.23437856820204</v>
      </c>
      <c r="BB96" s="7">
        <f t="shared" si="25"/>
        <v>54.83015265800524</v>
      </c>
      <c r="BC96" s="3">
        <f t="shared" si="37"/>
        <v>55.183954789565028</v>
      </c>
      <c r="BD96" s="3">
        <f t="shared" si="38"/>
        <v>60.563662374198337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/>
      <c r="BK96" s="7">
        <f t="shared" si="16"/>
        <v>114.03966908890904</v>
      </c>
      <c r="BL96" s="7">
        <f t="shared" si="17"/>
        <v>114.44695389111435</v>
      </c>
      <c r="BY96"/>
      <c r="BZ96" s="7"/>
      <c r="CA96" s="7"/>
      <c r="CB96" s="7"/>
      <c r="CC96" s="7"/>
      <c r="CD96" s="3">
        <f t="shared" si="39"/>
        <v>62.103689562711381</v>
      </c>
      <c r="CE96" s="7"/>
      <c r="CF96" s="7"/>
      <c r="CG96" s="7"/>
      <c r="CH96" s="7"/>
      <c r="CI96" s="7"/>
    </row>
    <row r="97" spans="1:87" ht="15.75" thickBot="1">
      <c r="A97">
        <v>2018</v>
      </c>
      <c r="G97" s="2">
        <f>'Exchange Rates'!F57</f>
        <v>1.3009999999999999</v>
      </c>
      <c r="I97" s="3">
        <f>AK173*100*G97</f>
        <v>128.25691666666665</v>
      </c>
      <c r="K97" s="12"/>
      <c r="O97"/>
      <c r="P97" s="23"/>
      <c r="Q97" s="14" t="s">
        <v>159</v>
      </c>
      <c r="R97" s="14">
        <v>-5.7811176352553897</v>
      </c>
      <c r="S97" s="23"/>
      <c r="T97">
        <f>USA!Z105*G97</f>
        <v>91.335381471861467</v>
      </c>
      <c r="X97"/>
      <c r="Y97" s="23"/>
      <c r="AA97" s="7">
        <v>10</v>
      </c>
      <c r="AB97" s="3">
        <f>AB96</f>
        <v>23.295505282753286</v>
      </c>
      <c r="AC97" s="3">
        <v>0.05</v>
      </c>
      <c r="AD97" s="3">
        <f>'Canada Prov''s'!AD58/100</f>
        <v>0.12350900746608075</v>
      </c>
      <c r="AE97" s="4">
        <f t="shared" ref="AE97" si="46">(AC97+AD97)*(I97*(1/(1+(AC97+AD97))))</f>
        <v>18.963408180006137</v>
      </c>
      <c r="AF97" s="3">
        <f t="shared" ref="AF97" si="47">AA97+AB97+AE97</f>
        <v>52.258913462759423</v>
      </c>
      <c r="AM97"/>
      <c r="AN97"/>
      <c r="AO97" s="9">
        <v>2018</v>
      </c>
      <c r="AP97" s="3">
        <f t="shared" si="31"/>
        <v>128.25691666666665</v>
      </c>
      <c r="AQ97" s="3">
        <f t="shared" si="32"/>
        <v>10</v>
      </c>
      <c r="AR97" s="3">
        <f t="shared" si="33"/>
        <v>23.295505282753286</v>
      </c>
      <c r="AS97" s="3">
        <f t="shared" si="22"/>
        <v>18.963408180006137</v>
      </c>
      <c r="AT97" s="3">
        <f t="shared" si="40"/>
        <v>52.258913462759423</v>
      </c>
      <c r="AU97" s="3">
        <f t="shared" si="34"/>
        <v>75.998003203907231</v>
      </c>
      <c r="AW97" s="3">
        <f>CPIs!F57</f>
        <v>115.11654845315627</v>
      </c>
      <c r="AY97" s="7">
        <f t="shared" si="35"/>
        <v>111.41483860494439</v>
      </c>
      <c r="AZ97" s="7">
        <f t="shared" si="24"/>
        <v>109.05516744060546</v>
      </c>
      <c r="BA97" s="7">
        <f t="shared" si="36"/>
        <v>45.396525664617933</v>
      </c>
      <c r="BB97" s="7">
        <f t="shared" si="25"/>
        <v>66.018312940326467</v>
      </c>
      <c r="BC97" s="3">
        <f t="shared" si="37"/>
        <v>63.658641775987533</v>
      </c>
      <c r="BD97" s="3">
        <f t="shared" si="38"/>
        <v>79.341660863840147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/>
      <c r="BK97" s="7">
        <f>AY97*$AW$97/$AW$89</f>
        <v>128.25691666666668</v>
      </c>
      <c r="BL97" s="7">
        <f>AZ97*$AW$97/$AW$89</f>
        <v>125.54054466743528</v>
      </c>
      <c r="BY97"/>
      <c r="CC97" s="12"/>
      <c r="CD97" s="3"/>
      <c r="CI97" s="12"/>
    </row>
    <row r="98" spans="1:87">
      <c r="K98" s="12"/>
      <c r="O98"/>
      <c r="P98" s="23"/>
      <c r="Q98" s="13"/>
      <c r="R98" s="13"/>
      <c r="S98" s="23"/>
      <c r="X98"/>
      <c r="Y98" s="23"/>
      <c r="AM98"/>
      <c r="AN98"/>
      <c r="AO98" s="9">
        <v>2019</v>
      </c>
      <c r="AW98" s="3">
        <f>AW97</f>
        <v>115.11654845315627</v>
      </c>
      <c r="BJ98" s="3"/>
      <c r="BK98" s="3"/>
      <c r="BY98"/>
      <c r="CC98" s="12"/>
      <c r="CD98" s="3"/>
      <c r="CI98" s="12"/>
    </row>
    <row r="99" spans="1:87">
      <c r="K99" s="12"/>
      <c r="O99"/>
      <c r="P99" s="23"/>
      <c r="Q99" s="13"/>
      <c r="R99" s="13"/>
      <c r="S99" s="23"/>
      <c r="X99"/>
      <c r="Y99" s="23"/>
      <c r="AM99"/>
      <c r="AN99"/>
      <c r="AO99" s="9">
        <v>2020</v>
      </c>
      <c r="AW99" s="3">
        <f t="shared" ref="AW99:AW109" si="48">AW98</f>
        <v>115.11654845315627</v>
      </c>
      <c r="BJ99" s="3"/>
      <c r="BK99" s="3"/>
      <c r="BY99"/>
      <c r="CC99" s="12"/>
      <c r="CD99" s="3"/>
      <c r="CI99" s="12"/>
    </row>
    <row r="100" spans="1:87">
      <c r="K100" s="12"/>
      <c r="O100"/>
      <c r="P100" s="23"/>
      <c r="R100" s="12"/>
      <c r="S100" s="23"/>
      <c r="X100"/>
      <c r="Y100" s="23"/>
      <c r="AM100"/>
      <c r="AN100"/>
      <c r="AO100" s="9">
        <v>2021</v>
      </c>
      <c r="AW100" s="3">
        <f t="shared" si="48"/>
        <v>115.11654845315627</v>
      </c>
      <c r="AY100" s="13" t="s">
        <v>88</v>
      </c>
      <c r="AZ100" s="13">
        <v>27.851005452295414</v>
      </c>
      <c r="BJ100" s="3"/>
      <c r="BK100" s="3"/>
      <c r="BY100"/>
      <c r="CC100" s="12"/>
      <c r="CD100" s="3"/>
      <c r="CI100" s="12"/>
    </row>
    <row r="101" spans="1:87">
      <c r="K101" s="12"/>
      <c r="O101"/>
      <c r="P101" s="23"/>
      <c r="R101" s="12"/>
      <c r="S101" s="23"/>
      <c r="X101"/>
      <c r="Y101" s="23"/>
      <c r="AM101"/>
      <c r="AN101"/>
      <c r="AO101" s="9">
        <v>2022</v>
      </c>
      <c r="AW101" s="3">
        <f t="shared" si="48"/>
        <v>115.11654845315627</v>
      </c>
      <c r="AY101" s="3" t="s">
        <v>229</v>
      </c>
      <c r="AZ101" s="13">
        <v>0.4513093869454326</v>
      </c>
      <c r="BJ101" s="3"/>
      <c r="BK101" s="3"/>
      <c r="BY101"/>
      <c r="CC101" s="12"/>
      <c r="CD101" s="3"/>
      <c r="CI101" s="12"/>
    </row>
    <row r="102" spans="1:87">
      <c r="K102" s="12"/>
      <c r="O102"/>
      <c r="P102" s="23"/>
      <c r="R102" s="12"/>
      <c r="S102" s="23"/>
      <c r="X102"/>
      <c r="Y102" s="23"/>
      <c r="AB102">
        <v>2017</v>
      </c>
      <c r="AC102" t="s">
        <v>1878</v>
      </c>
      <c r="AD102" t="s">
        <v>1879</v>
      </c>
      <c r="AE102" t="s">
        <v>1880</v>
      </c>
      <c r="AM102"/>
      <c r="AN102" s="9"/>
      <c r="AO102" s="9">
        <v>2023</v>
      </c>
      <c r="AW102" s="3">
        <f t="shared" si="48"/>
        <v>115.11654845315627</v>
      </c>
      <c r="AY102" s="3" t="s">
        <v>2167</v>
      </c>
      <c r="AZ102" s="13">
        <v>-3.7079057295911215</v>
      </c>
      <c r="BJ102" s="3"/>
    </row>
    <row r="103" spans="1:87">
      <c r="K103" s="12"/>
      <c r="O103"/>
      <c r="P103" s="23"/>
      <c r="Q103" s="13" t="str">
        <f t="shared" ref="Q103:R103" si="49">AY100</f>
        <v>Intercept</v>
      </c>
      <c r="R103" s="13">
        <f t="shared" si="49"/>
        <v>27.851005452295414</v>
      </c>
      <c r="S103" s="23"/>
      <c r="X103"/>
      <c r="Y103" s="23"/>
      <c r="AB103" t="s">
        <v>12</v>
      </c>
      <c r="AC103">
        <v>22.3</v>
      </c>
      <c r="AD103">
        <v>4.6500000000000004</v>
      </c>
      <c r="AE103">
        <f>AC103*AD103/AD$115</f>
        <v>2.9542735042735049</v>
      </c>
      <c r="AM103"/>
      <c r="AN103" s="9"/>
      <c r="AO103" s="9">
        <v>2024</v>
      </c>
      <c r="AW103" s="3">
        <f t="shared" si="48"/>
        <v>115.11654845315627</v>
      </c>
      <c r="AY103" s="3" t="s">
        <v>2071</v>
      </c>
      <c r="AZ103" s="13">
        <v>-14.472984005164308</v>
      </c>
      <c r="BJ103" s="3"/>
    </row>
    <row r="104" spans="1:87">
      <c r="K104" s="12"/>
      <c r="O104"/>
      <c r="P104" s="23"/>
      <c r="Q104" s="13" t="str">
        <f t="shared" ref="Q104:Q109" si="50">AY101</f>
        <v>landed oil price</v>
      </c>
      <c r="R104" s="13">
        <f t="shared" ref="R104:R109" si="51">AZ101</f>
        <v>0.4513093869454326</v>
      </c>
      <c r="S104" s="23"/>
      <c r="X104"/>
      <c r="Y104" s="23"/>
      <c r="AB104" t="s">
        <v>13</v>
      </c>
      <c r="AC104">
        <v>19.7</v>
      </c>
      <c r="AD104">
        <v>4.07</v>
      </c>
      <c r="AE104">
        <f t="shared" ref="AE104:AE114" si="52">AC104*AD104/AD$115</f>
        <v>2.2843019943019947</v>
      </c>
      <c r="AM104"/>
      <c r="AN104" s="9"/>
      <c r="AO104" s="9">
        <v>2025</v>
      </c>
      <c r="AW104" s="3">
        <f t="shared" si="48"/>
        <v>115.11654845315627</v>
      </c>
      <c r="AY104" s="3" t="s">
        <v>2073</v>
      </c>
      <c r="AZ104" s="13">
        <v>-20.738800199413863</v>
      </c>
      <c r="BJ104" s="3"/>
    </row>
    <row r="105" spans="1:87">
      <c r="K105" s="12"/>
      <c r="O105"/>
      <c r="P105" s="23"/>
      <c r="Q105" s="13" t="str">
        <f t="shared" si="50"/>
        <v>dumGFC</v>
      </c>
      <c r="R105" s="13">
        <f t="shared" si="51"/>
        <v>-3.7079057295911215</v>
      </c>
      <c r="S105" s="23"/>
      <c r="X105"/>
      <c r="Y105" s="23"/>
      <c r="AB105" t="s">
        <v>14</v>
      </c>
      <c r="AC105">
        <v>15</v>
      </c>
      <c r="AD105">
        <v>1.1000000000000001</v>
      </c>
      <c r="AE105">
        <f t="shared" si="52"/>
        <v>0.47008547008547014</v>
      </c>
      <c r="AM105"/>
      <c r="AN105" s="9"/>
      <c r="AO105" s="9">
        <v>2026</v>
      </c>
      <c r="AW105" s="3">
        <f t="shared" si="48"/>
        <v>115.11654845315627</v>
      </c>
      <c r="AY105" s="3" t="s">
        <v>2072</v>
      </c>
      <c r="AZ105" s="13">
        <v>-6.8134803211873285</v>
      </c>
      <c r="BJ105" s="3"/>
    </row>
    <row r="106" spans="1:87" ht="16.5" thickBot="1">
      <c r="H106" s="114" t="s">
        <v>1874</v>
      </c>
      <c r="K106" s="12"/>
      <c r="O106"/>
      <c r="P106" s="23"/>
      <c r="Q106" s="13" t="str">
        <f t="shared" si="50"/>
        <v>dum9106</v>
      </c>
      <c r="R106" s="13">
        <f t="shared" si="51"/>
        <v>-14.472984005164308</v>
      </c>
      <c r="S106" s="23"/>
      <c r="X106"/>
      <c r="Y106" s="23"/>
      <c r="AB106" t="s">
        <v>15</v>
      </c>
      <c r="AC106">
        <v>14</v>
      </c>
      <c r="AD106">
        <v>1.28</v>
      </c>
      <c r="AE106">
        <f t="shared" si="52"/>
        <v>0.51054131054131069</v>
      </c>
      <c r="AM106"/>
      <c r="AN106" s="9"/>
      <c r="AO106" s="9">
        <v>2027</v>
      </c>
      <c r="AW106" s="3">
        <f t="shared" si="48"/>
        <v>115.11654845315627</v>
      </c>
      <c r="AY106" s="3" t="s">
        <v>2070</v>
      </c>
      <c r="AZ106" s="14">
        <v>7.0020591625393891</v>
      </c>
      <c r="BJ106" s="3"/>
    </row>
    <row r="107" spans="1:87">
      <c r="K107" s="12"/>
      <c r="O107"/>
      <c r="P107" s="23"/>
      <c r="Q107" s="13" t="str">
        <f t="shared" si="50"/>
        <v>dum6582</v>
      </c>
      <c r="R107" s="13">
        <f t="shared" si="51"/>
        <v>-20.738800199413863</v>
      </c>
      <c r="S107" s="23"/>
      <c r="X107"/>
      <c r="Y107" s="23"/>
      <c r="AB107" t="s">
        <v>16</v>
      </c>
      <c r="AC107">
        <v>19.100000000000001</v>
      </c>
      <c r="AD107">
        <v>13.45</v>
      </c>
      <c r="AE107">
        <f t="shared" si="52"/>
        <v>7.3189458689458693</v>
      </c>
      <c r="AM107"/>
      <c r="AN107" s="9"/>
      <c r="AO107" s="9">
        <v>2028</v>
      </c>
      <c r="AW107" s="3">
        <f t="shared" si="48"/>
        <v>115.11654845315627</v>
      </c>
      <c r="BJ107" s="3"/>
    </row>
    <row r="108" spans="1:87">
      <c r="H108" t="s">
        <v>1876</v>
      </c>
      <c r="K108" s="12"/>
      <c r="O108"/>
      <c r="P108" s="23"/>
      <c r="Q108" s="13" t="str">
        <f t="shared" si="50"/>
        <v>dumswitch</v>
      </c>
      <c r="R108" s="13">
        <f t="shared" si="51"/>
        <v>-6.8134803211873285</v>
      </c>
      <c r="S108" s="23"/>
      <c r="X108"/>
      <c r="Y108" s="23"/>
      <c r="AB108" t="s">
        <v>17</v>
      </c>
      <c r="AC108">
        <v>19.2</v>
      </c>
      <c r="AD108">
        <v>8.16</v>
      </c>
      <c r="AE108">
        <f t="shared" si="52"/>
        <v>4.4635897435897443</v>
      </c>
      <c r="AM108"/>
      <c r="AN108" s="9"/>
      <c r="AO108" s="9">
        <v>2029</v>
      </c>
      <c r="AW108" s="3">
        <f t="shared" si="48"/>
        <v>115.11654845315627</v>
      </c>
      <c r="BJ108" s="3"/>
    </row>
    <row r="109" spans="1:87">
      <c r="K109" s="12"/>
      <c r="O109"/>
      <c r="P109" s="23"/>
      <c r="Q109" s="13" t="str">
        <f t="shared" si="50"/>
        <v>dum8490</v>
      </c>
      <c r="R109" s="13">
        <f t="shared" si="51"/>
        <v>7.0020591625393891</v>
      </c>
      <c r="S109" s="23"/>
      <c r="X109"/>
      <c r="Y109" s="23"/>
      <c r="AB109" t="s">
        <v>18</v>
      </c>
      <c r="AC109">
        <v>15.5</v>
      </c>
      <c r="AD109">
        <v>0.75</v>
      </c>
      <c r="AE109">
        <f t="shared" si="52"/>
        <v>0.33119658119658124</v>
      </c>
      <c r="AM109"/>
      <c r="AN109" s="9"/>
      <c r="AO109" s="9">
        <v>2030</v>
      </c>
      <c r="AW109" s="3">
        <f t="shared" si="48"/>
        <v>115.11654845315627</v>
      </c>
      <c r="BJ109" s="3"/>
    </row>
    <row r="110" spans="1:87">
      <c r="H110" t="s">
        <v>1881</v>
      </c>
      <c r="K110" s="12"/>
      <c r="O110"/>
      <c r="P110" s="23"/>
      <c r="Q110" s="13"/>
      <c r="R110" s="13"/>
      <c r="S110" s="23"/>
      <c r="X110"/>
      <c r="Y110" s="23"/>
      <c r="AB110" t="s">
        <v>19</v>
      </c>
      <c r="AC110">
        <v>15.5</v>
      </c>
      <c r="AD110">
        <v>0.92</v>
      </c>
      <c r="AE110">
        <f t="shared" si="52"/>
        <v>0.40626780626780634</v>
      </c>
      <c r="AM110"/>
      <c r="AN110" s="9"/>
      <c r="BJ110" s="3"/>
    </row>
    <row r="111" spans="1:87">
      <c r="K111" s="12"/>
      <c r="O111"/>
      <c r="P111" s="23"/>
      <c r="R111" s="12"/>
      <c r="S111" s="23"/>
      <c r="X111"/>
      <c r="Y111" s="23"/>
      <c r="AB111" t="s">
        <v>20</v>
      </c>
      <c r="AC111">
        <v>13.1</v>
      </c>
      <c r="AD111">
        <v>0.14000000000000001</v>
      </c>
      <c r="AE111">
        <f t="shared" si="52"/>
        <v>5.2250712250712261E-2</v>
      </c>
      <c r="AM111"/>
      <c r="AN111" s="9"/>
      <c r="BJ111" s="3"/>
    </row>
    <row r="112" spans="1:87">
      <c r="K112" s="12"/>
      <c r="O112"/>
      <c r="P112" s="23"/>
      <c r="R112" s="12"/>
      <c r="S112" s="23"/>
      <c r="X112"/>
      <c r="Y112" s="23"/>
      <c r="AB112" t="s">
        <v>21</v>
      </c>
      <c r="AC112">
        <v>20.5</v>
      </c>
      <c r="AD112">
        <v>0.5</v>
      </c>
      <c r="AE112">
        <f t="shared" si="52"/>
        <v>0.29202279202279208</v>
      </c>
      <c r="AM112"/>
      <c r="AN112" s="9"/>
      <c r="BJ112" s="3"/>
    </row>
    <row r="113" spans="1:96">
      <c r="K113" s="12"/>
      <c r="O113"/>
      <c r="P113" s="23"/>
      <c r="R113" s="12"/>
      <c r="S113" s="23"/>
      <c r="X113"/>
      <c r="Y113" s="23"/>
      <c r="AB113" t="s">
        <v>23</v>
      </c>
      <c r="AC113">
        <v>10.7</v>
      </c>
      <c r="AD113">
        <v>0.04</v>
      </c>
      <c r="AE113">
        <f t="shared" si="52"/>
        <v>1.2193732193732196E-2</v>
      </c>
      <c r="AM113"/>
      <c r="AN113" s="9"/>
      <c r="BJ113" s="3"/>
    </row>
    <row r="114" spans="1:96">
      <c r="K114" s="12"/>
      <c r="O114"/>
      <c r="P114" s="23"/>
      <c r="R114" s="12"/>
      <c r="S114" s="23"/>
      <c r="X114"/>
      <c r="Y114" s="23"/>
      <c r="AB114" t="s">
        <v>22</v>
      </c>
      <c r="AC114">
        <v>6.2</v>
      </c>
      <c r="AD114">
        <v>0.04</v>
      </c>
      <c r="AE114">
        <f t="shared" si="52"/>
        <v>7.0655270655270675E-3</v>
      </c>
      <c r="AM114"/>
      <c r="AN114" s="9"/>
      <c r="BJ114" s="3"/>
    </row>
    <row r="115" spans="1:96">
      <c r="K115" s="12"/>
      <c r="O115"/>
      <c r="P115" s="23"/>
      <c r="R115" s="12"/>
      <c r="S115" s="23"/>
      <c r="X115"/>
      <c r="Y115" s="23"/>
      <c r="AB115" t="s">
        <v>1877</v>
      </c>
      <c r="AD115">
        <f>SUM(AD103:AD114)</f>
        <v>35.099999999999994</v>
      </c>
      <c r="AE115">
        <f>SUM(AE103:AE114)</f>
        <v>19.102735042735045</v>
      </c>
      <c r="AM115"/>
      <c r="AN115" s="9"/>
      <c r="BJ115" s="3"/>
    </row>
    <row r="116" spans="1:96">
      <c r="K116" s="12"/>
      <c r="O116"/>
      <c r="P116" s="23"/>
      <c r="R116" s="12"/>
      <c r="S116" s="23"/>
      <c r="X116"/>
      <c r="Y116" s="23"/>
      <c r="AM116"/>
      <c r="AN116" s="9"/>
      <c r="BJ116" s="3"/>
    </row>
    <row r="117" spans="1:96">
      <c r="K117" s="12"/>
      <c r="O117"/>
      <c r="P117" s="23"/>
      <c r="R117" s="12"/>
      <c r="S117" s="23"/>
      <c r="X117"/>
      <c r="Y117" s="23"/>
      <c r="AM117"/>
      <c r="AN117"/>
      <c r="AO117"/>
      <c r="AP117"/>
      <c r="AQ117"/>
      <c r="AR117"/>
      <c r="AS117"/>
      <c r="AT117"/>
      <c r="BJ117" s="3"/>
      <c r="BK117" s="3"/>
      <c r="BL117" s="3"/>
      <c r="BM117" s="3"/>
      <c r="BN117" s="3"/>
      <c r="BY117"/>
      <c r="BZ117"/>
      <c r="CA117"/>
      <c r="CB117"/>
      <c r="CC117" s="9"/>
      <c r="CI117" s="12"/>
      <c r="CJ117" s="12"/>
      <c r="CK117" s="12"/>
      <c r="CL117" s="12"/>
    </row>
    <row r="118" spans="1:96">
      <c r="K118" s="12"/>
      <c r="O118" s="12"/>
      <c r="P118"/>
      <c r="Q118" s="23"/>
      <c r="R118" s="12"/>
      <c r="S118" s="12"/>
      <c r="T118" s="23"/>
      <c r="X118"/>
      <c r="Z118" s="23"/>
      <c r="AM118"/>
      <c r="AN118"/>
      <c r="AO118"/>
      <c r="AP118"/>
      <c r="AQ118"/>
      <c r="AR118"/>
      <c r="AS118"/>
      <c r="AT118"/>
      <c r="AU118"/>
      <c r="AV118"/>
      <c r="BJ118" s="3"/>
      <c r="BK118" s="3"/>
      <c r="BL118" s="3"/>
      <c r="BM118" s="3"/>
      <c r="BN118" s="3"/>
      <c r="BO118" s="3"/>
      <c r="BP118" s="3"/>
      <c r="BY118"/>
      <c r="BZ118"/>
      <c r="CA118"/>
      <c r="CB118"/>
      <c r="CC118"/>
      <c r="CD118"/>
      <c r="CE118" s="9"/>
      <c r="CI118" s="12"/>
      <c r="CJ118" s="12"/>
      <c r="CK118" s="12"/>
      <c r="CL118" s="12"/>
      <c r="CM118" s="12"/>
      <c r="CN118" s="12"/>
    </row>
    <row r="119" spans="1:96">
      <c r="K119" s="12"/>
      <c r="O119" s="12"/>
      <c r="P119"/>
      <c r="Q119" s="23"/>
      <c r="R119" s="12"/>
      <c r="S119" s="12"/>
      <c r="T119" s="23"/>
      <c r="X119"/>
      <c r="AH119" s="23"/>
      <c r="AK119" t="s">
        <v>1960</v>
      </c>
      <c r="AL119" t="s">
        <v>1960</v>
      </c>
      <c r="AM119" t="s">
        <v>1960</v>
      </c>
      <c r="AN119"/>
      <c r="AO119"/>
      <c r="AP119"/>
      <c r="AQ119"/>
      <c r="AR119"/>
      <c r="AS119"/>
      <c r="AT119"/>
      <c r="AU119"/>
      <c r="AV119"/>
      <c r="AW119"/>
      <c r="AX119"/>
      <c r="AY119"/>
      <c r="AZ119" s="9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Y119"/>
      <c r="BZ119"/>
      <c r="CA119"/>
      <c r="CB119"/>
      <c r="CC119"/>
      <c r="CD119"/>
      <c r="CE119"/>
      <c r="CF119"/>
      <c r="CG119"/>
      <c r="CH119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</row>
    <row r="120" spans="1:96">
      <c r="B120" s="76" t="s">
        <v>2551</v>
      </c>
      <c r="C120" s="76"/>
      <c r="D120" s="76"/>
      <c r="E120" s="76"/>
      <c r="F120" s="26" t="s">
        <v>269</v>
      </c>
      <c r="G120" s="76" t="s">
        <v>2552</v>
      </c>
      <c r="H120" s="76"/>
      <c r="I120" s="76"/>
      <c r="J120" s="76"/>
      <c r="K120" s="26" t="s">
        <v>2553</v>
      </c>
      <c r="L120" s="26"/>
      <c r="M120" s="26"/>
      <c r="N120" s="26"/>
      <c r="O120" s="12"/>
      <c r="P120" s="77" t="s">
        <v>111</v>
      </c>
      <c r="Q120" s="26" t="s">
        <v>2555</v>
      </c>
      <c r="R120" s="26"/>
      <c r="S120" s="26"/>
      <c r="T120" s="79">
        <v>0.17</v>
      </c>
      <c r="U120" s="76" t="s">
        <v>2556</v>
      </c>
      <c r="V120" s="76"/>
      <c r="W120" s="76"/>
      <c r="X120" s="76"/>
      <c r="Y120" s="26" t="s">
        <v>2557</v>
      </c>
      <c r="Z120" s="26"/>
      <c r="AA120" s="26"/>
      <c r="AB120" s="79"/>
      <c r="AC120" s="26" t="s">
        <v>2076</v>
      </c>
      <c r="AD120" s="26"/>
      <c r="AE120" s="26"/>
      <c r="AF120" s="79"/>
      <c r="AH120" s="23"/>
      <c r="AK120" s="3" t="s">
        <v>1957</v>
      </c>
      <c r="AL120" s="3" t="s">
        <v>1957</v>
      </c>
      <c r="AM120" s="3" t="s">
        <v>1957</v>
      </c>
      <c r="AN120"/>
      <c r="AO120"/>
      <c r="AP120"/>
      <c r="AQ120"/>
      <c r="AR120"/>
      <c r="AS120"/>
      <c r="AT120"/>
      <c r="AU120"/>
      <c r="AV120"/>
      <c r="BJ120" s="3"/>
      <c r="BK120" s="3"/>
      <c r="BL120" s="3"/>
      <c r="BM120" s="3"/>
      <c r="BN120" s="3"/>
      <c r="BO120" s="3"/>
      <c r="BP120" s="3"/>
      <c r="BY120"/>
      <c r="BZ120"/>
      <c r="CA120"/>
      <c r="CB120"/>
      <c r="CC120"/>
      <c r="CD120"/>
      <c r="CE120" s="9"/>
      <c r="CI120" s="12"/>
      <c r="CJ120" s="12"/>
      <c r="CK120" s="12"/>
      <c r="CL120" s="12"/>
      <c r="CM120" s="12"/>
      <c r="CN120" s="12"/>
      <c r="CO120" s="12"/>
    </row>
    <row r="121" spans="1:96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2554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H121" s="23"/>
      <c r="AK121" s="3" t="s">
        <v>268</v>
      </c>
      <c r="AL121" s="3" t="s">
        <v>267</v>
      </c>
      <c r="AM121" s="3" t="s">
        <v>266</v>
      </c>
      <c r="AN121"/>
      <c r="AO121"/>
      <c r="AP121"/>
      <c r="AQ121"/>
      <c r="AR121"/>
      <c r="AS121"/>
      <c r="AT121"/>
      <c r="AU121"/>
      <c r="AV121"/>
      <c r="BJ121" s="3"/>
      <c r="BK121" s="3"/>
      <c r="BL121" s="3"/>
      <c r="BM121" s="3"/>
      <c r="BN121" s="3"/>
      <c r="BO121" s="3"/>
      <c r="BP121" s="3"/>
      <c r="BY121"/>
      <c r="BZ121"/>
      <c r="CA121"/>
      <c r="CB121"/>
      <c r="CC121"/>
      <c r="CD121"/>
      <c r="CE121" s="9"/>
      <c r="CI121" s="12"/>
      <c r="CJ121" s="12"/>
      <c r="CK121" s="12"/>
      <c r="CL121" s="12"/>
      <c r="CM121" s="12"/>
      <c r="CN121" s="12"/>
      <c r="CO121" s="12"/>
    </row>
    <row r="122" spans="1:96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3">AL122</f>
        <v>77.45</v>
      </c>
      <c r="E122" s="3">
        <f t="shared" si="53"/>
        <v>77.45</v>
      </c>
      <c r="F122" s="6">
        <f>'Exchange Rates'!F49</f>
        <v>1.0343047113494515</v>
      </c>
      <c r="G122" s="3">
        <f>(B122*USA!$AU97/100)/$AW89*100*$F122</f>
        <v>80.106899894015015</v>
      </c>
      <c r="H122" s="3">
        <f>(C122*USA!$AU97/100)/$AW89*100*$F122</f>
        <v>80.106899894015015</v>
      </c>
      <c r="I122" s="3">
        <f>(D122*USA!$AU97/100)/$AW89*100*$F122</f>
        <v>80.106899894015015</v>
      </c>
      <c r="J122" s="3">
        <f>(E122*USA!$AU97/100)/$AW89*100*$F122</f>
        <v>80.106899894015015</v>
      </c>
      <c r="K122" s="6">
        <f>R$103+R$104*G122+R105</f>
        <v>60.296095603971352</v>
      </c>
      <c r="L122" s="6">
        <f>R$103+R$104*H122+R105</f>
        <v>60.296095603971352</v>
      </c>
      <c r="M122" s="6">
        <f>R$103+R$104*I122+R105</f>
        <v>60.296095603971352</v>
      </c>
      <c r="N122" s="6">
        <f>R$103+R$104*J122+R105</f>
        <v>60.296095603971352</v>
      </c>
      <c r="O122">
        <v>2010</v>
      </c>
      <c r="P122" s="24">
        <f t="shared" ref="P122:P130" si="54">(AA89+AB89)/AW89*AW$89</f>
        <v>27.500000000000004</v>
      </c>
      <c r="Q122" s="3">
        <f t="shared" ref="Q122:Q130" si="55">(K122+P122)*$T$120</f>
        <v>14.92533625267513</v>
      </c>
      <c r="R122" s="3">
        <f t="shared" ref="R122:R142" si="56">(L122+P122)*$T$120</f>
        <v>14.92533625267513</v>
      </c>
      <c r="S122" s="3">
        <f t="shared" ref="S122:S142" si="57">(M122+P122)*$T$120</f>
        <v>14.92533625267513</v>
      </c>
      <c r="T122" s="3">
        <f t="shared" ref="T122:T142" si="58">(N122+P122)*$T$120</f>
        <v>14.92533625267513</v>
      </c>
      <c r="U122" s="3">
        <f t="shared" ref="U122:U130" si="59">AY89</f>
        <v>103.1</v>
      </c>
      <c r="V122" s="3">
        <f t="shared" ref="V122:V142" si="60">L122+P122+R122</f>
        <v>102.72143185664649</v>
      </c>
      <c r="W122" s="3">
        <f t="shared" ref="W122:W142" si="61">M122+P122+S122</f>
        <v>102.72143185664649</v>
      </c>
      <c r="X122" s="3">
        <f t="shared" ref="X122:X142" si="62">N122+P122+T122</f>
        <v>102.72143185664649</v>
      </c>
      <c r="Y122" s="3">
        <f t="shared" ref="Y122:Y130" si="63">AY89*$AW$97/100</f>
        <v>118.68516145520411</v>
      </c>
      <c r="Z122" s="3">
        <f t="shared" ref="Z122:Z142" si="64">V122*$AW$97/100</f>
        <v>118.24936687503235</v>
      </c>
      <c r="AA122" s="3">
        <f t="shared" ref="AA122:AA142" si="65">W122*$AW$97/100</f>
        <v>118.24936687503235</v>
      </c>
      <c r="AB122" s="3">
        <f t="shared" ref="AB122:AB142" si="66">X122*$AW$97/100</f>
        <v>118.24936687503235</v>
      </c>
      <c r="AC122" s="3">
        <f t="shared" ref="AC122:AC130" si="67">U122/100*$AW$96/100</f>
        <v>1.1602811756301115</v>
      </c>
      <c r="AD122" s="3">
        <f>AC122</f>
        <v>1.1602811756301115</v>
      </c>
      <c r="AE122" s="3">
        <f t="shared" ref="AE122:AF122" si="68">AD122</f>
        <v>1.1602811756301115</v>
      </c>
      <c r="AF122" s="3">
        <f t="shared" si="68"/>
        <v>1.1602811756301115</v>
      </c>
      <c r="AH122" s="23"/>
      <c r="AK122" s="3">
        <f>USA!AJ135</f>
        <v>77.45</v>
      </c>
      <c r="AL122" s="3">
        <f>USA!AK135</f>
        <v>77.45</v>
      </c>
      <c r="AM122" s="3">
        <f>USA!AL135</f>
        <v>77.45</v>
      </c>
      <c r="AN122"/>
      <c r="AO122"/>
      <c r="AP122"/>
      <c r="AQ122"/>
      <c r="AR122"/>
      <c r="AS122"/>
      <c r="AT122"/>
      <c r="AU122"/>
      <c r="AV122"/>
      <c r="BJ122" s="3"/>
      <c r="BK122" s="3"/>
      <c r="BL122" s="3"/>
      <c r="BM122" s="3"/>
      <c r="BN122" s="3"/>
      <c r="BO122" s="3"/>
      <c r="BP122" s="3"/>
      <c r="BY122"/>
      <c r="BZ122"/>
      <c r="CA122"/>
      <c r="CB122"/>
      <c r="CC122"/>
      <c r="CD122"/>
      <c r="CE122" s="9"/>
      <c r="CI122" s="12"/>
      <c r="CJ122" s="12"/>
      <c r="CK122" s="12"/>
      <c r="CL122" s="12"/>
      <c r="CM122" s="12"/>
      <c r="CN122" s="12"/>
      <c r="CO122" s="12"/>
    </row>
    <row r="123" spans="1:96">
      <c r="A123">
        <v>2011</v>
      </c>
      <c r="B123" s="3">
        <f>USA!Z98/USA!AU98*100</f>
        <v>104.18614906980585</v>
      </c>
      <c r="C123" s="3">
        <f t="shared" ref="C123:C142" si="69">AK123</f>
        <v>104.18614906980586</v>
      </c>
      <c r="D123" s="3">
        <f t="shared" ref="D123:D142" si="70">AL123</f>
        <v>104.18614906980586</v>
      </c>
      <c r="E123" s="3">
        <f t="shared" ref="E123:E142" si="71">AM123</f>
        <v>104.18614906980586</v>
      </c>
      <c r="F123" s="6">
        <f>'Exchange Rates'!F50</f>
        <v>0.98780438977906948</v>
      </c>
      <c r="G123" s="3">
        <f>(B123*USA!$AU98/100)/$AW90*100*$F123</f>
        <v>103.13612906103805</v>
      </c>
      <c r="H123" s="3">
        <f>(C123*USA!$AU98/100)/$AW90*100*$F123</f>
        <v>103.13612906103806</v>
      </c>
      <c r="I123" s="3">
        <f>(D123*USA!$AU98/100)/$AW90*100*$F123</f>
        <v>103.13612906103806</v>
      </c>
      <c r="J123" s="3">
        <f>(E123*USA!$AU98/100)/$AW90*100*$F123</f>
        <v>103.13612906103806</v>
      </c>
      <c r="K123" s="6">
        <f>R$103+R$104*G123</f>
        <v>74.397308630757507</v>
      </c>
      <c r="L123" s="6">
        <f t="shared" ref="L123:L142" si="72">R$103+R$104*H123</f>
        <v>74.397308630757522</v>
      </c>
      <c r="M123" s="6">
        <f t="shared" ref="M123:M142" si="73">R$103+R$104*I123</f>
        <v>74.397308630757522</v>
      </c>
      <c r="N123" s="6">
        <f t="shared" ref="N123:N142" si="74">R$103+R$104*J123</f>
        <v>74.397308630757522</v>
      </c>
      <c r="O123">
        <v>2011</v>
      </c>
      <c r="P123" s="24">
        <f t="shared" si="54"/>
        <v>27.693529893991343</v>
      </c>
      <c r="Q123" s="3">
        <f t="shared" si="55"/>
        <v>17.355442549207304</v>
      </c>
      <c r="R123" s="3">
        <f t="shared" si="56"/>
        <v>17.355442549207307</v>
      </c>
      <c r="S123" s="3">
        <f t="shared" si="57"/>
        <v>17.355442549207307</v>
      </c>
      <c r="T123" s="3">
        <f t="shared" si="58"/>
        <v>17.355442549207307</v>
      </c>
      <c r="U123" s="3">
        <f t="shared" si="59"/>
        <v>119.20849990859152</v>
      </c>
      <c r="V123" s="3">
        <f t="shared" si="60"/>
        <v>119.44628107395617</v>
      </c>
      <c r="W123" s="3">
        <f t="shared" si="61"/>
        <v>119.44628107395617</v>
      </c>
      <c r="X123" s="3">
        <f t="shared" si="62"/>
        <v>119.44628107395617</v>
      </c>
      <c r="Y123" s="3">
        <f t="shared" si="63"/>
        <v>137.22871055755451</v>
      </c>
      <c r="Z123" s="3">
        <f t="shared" si="64"/>
        <v>137.50243602799398</v>
      </c>
      <c r="AA123" s="3">
        <f t="shared" si="65"/>
        <v>137.50243602799398</v>
      </c>
      <c r="AB123" s="3">
        <f t="shared" si="66"/>
        <v>137.50243602799398</v>
      </c>
      <c r="AC123" s="3">
        <f t="shared" si="67"/>
        <v>1.3415652610964366</v>
      </c>
      <c r="AD123" s="3">
        <f t="shared" ref="AD123:AF123" si="75">AC123</f>
        <v>1.3415652610964366</v>
      </c>
      <c r="AE123" s="3">
        <f t="shared" si="75"/>
        <v>1.3415652610964366</v>
      </c>
      <c r="AF123" s="3">
        <f t="shared" si="75"/>
        <v>1.3415652610964366</v>
      </c>
      <c r="AH123" s="23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/>
      <c r="AO123"/>
      <c r="AP123"/>
      <c r="AQ123"/>
      <c r="AR123"/>
      <c r="AS123"/>
      <c r="AT123"/>
      <c r="AU123"/>
      <c r="AV123"/>
      <c r="BJ123" s="3"/>
      <c r="BK123" s="3"/>
      <c r="BL123" s="3"/>
      <c r="BM123" s="3"/>
      <c r="BN123" s="3"/>
      <c r="BO123" s="3"/>
      <c r="BP123" s="3"/>
      <c r="BY123"/>
      <c r="BZ123"/>
      <c r="CA123"/>
      <c r="CB123"/>
      <c r="CC123"/>
      <c r="CD123"/>
      <c r="CE123" s="9"/>
      <c r="CI123" s="12"/>
      <c r="CJ123" s="12"/>
      <c r="CK123" s="12"/>
      <c r="CL123" s="12"/>
      <c r="CM123" s="12"/>
      <c r="CN123" s="12"/>
      <c r="CO123" s="12"/>
    </row>
    <row r="124" spans="1:96">
      <c r="A124">
        <v>2012</v>
      </c>
      <c r="B124" s="3">
        <f>USA!Z99/USA!AU99*100</f>
        <v>104.07290773565181</v>
      </c>
      <c r="C124" s="3">
        <f t="shared" si="69"/>
        <v>104.07290773565181</v>
      </c>
      <c r="D124" s="3">
        <f t="shared" si="70"/>
        <v>104.07290773565181</v>
      </c>
      <c r="E124" s="3">
        <f t="shared" si="71"/>
        <v>104.07290773565181</v>
      </c>
      <c r="F124" s="6">
        <f>'Exchange Rates'!F51</f>
        <v>0.99862080025659505</v>
      </c>
      <c r="G124" s="3">
        <f>(B124*USA!$AU99/100)/$AW91*100*$F124</f>
        <v>104.66430952085133</v>
      </c>
      <c r="H124" s="3">
        <f>(C124*USA!$AU99/100)/$AW91*100*$F124</f>
        <v>104.66430952085133</v>
      </c>
      <c r="I124" s="3">
        <f>(D124*USA!$AU99/100)/$AW91*100*$F124</f>
        <v>104.66430952085133</v>
      </c>
      <c r="J124" s="3">
        <f>(E124*USA!$AU99/100)/$AW91*100*$F124</f>
        <v>104.66430952085133</v>
      </c>
      <c r="K124" s="6">
        <f t="shared" ref="K124:K130" si="76">R$103+R$104*G124</f>
        <v>75.086990817217838</v>
      </c>
      <c r="L124" s="6">
        <f t="shared" si="72"/>
        <v>75.086990817217838</v>
      </c>
      <c r="M124" s="6">
        <f t="shared" si="73"/>
        <v>75.086990817217838</v>
      </c>
      <c r="N124" s="6">
        <f t="shared" si="74"/>
        <v>75.086990817217838</v>
      </c>
      <c r="O124">
        <v>2012</v>
      </c>
      <c r="P124" s="24">
        <f t="shared" si="54"/>
        <v>28.045089424838988</v>
      </c>
      <c r="Q124" s="3">
        <f t="shared" si="55"/>
        <v>17.532453641149662</v>
      </c>
      <c r="R124" s="3">
        <f t="shared" si="56"/>
        <v>17.532453641149662</v>
      </c>
      <c r="S124" s="3">
        <f t="shared" si="57"/>
        <v>17.532453641149662</v>
      </c>
      <c r="T124" s="3">
        <f t="shared" si="58"/>
        <v>17.532453641149662</v>
      </c>
      <c r="U124" s="3">
        <f t="shared" si="59"/>
        <v>120.970273812531</v>
      </c>
      <c r="V124" s="3">
        <f t="shared" si="60"/>
        <v>120.66453388320649</v>
      </c>
      <c r="W124" s="3">
        <f t="shared" si="61"/>
        <v>120.66453388320649</v>
      </c>
      <c r="X124" s="3">
        <f t="shared" si="62"/>
        <v>120.66453388320649</v>
      </c>
      <c r="Y124" s="3">
        <f t="shared" si="63"/>
        <v>139.25680386731807</v>
      </c>
      <c r="Z124" s="3">
        <f t="shared" si="64"/>
        <v>138.90484661343658</v>
      </c>
      <c r="AA124" s="3">
        <f t="shared" si="65"/>
        <v>138.90484661343658</v>
      </c>
      <c r="AB124" s="3">
        <f t="shared" si="66"/>
        <v>138.90484661343658</v>
      </c>
      <c r="AC124" s="3">
        <f t="shared" si="67"/>
        <v>1.3613921582492723</v>
      </c>
      <c r="AD124" s="3">
        <f t="shared" ref="AD124:AF124" si="77">AC124</f>
        <v>1.3613921582492723</v>
      </c>
      <c r="AE124" s="3">
        <f t="shared" si="77"/>
        <v>1.3613921582492723</v>
      </c>
      <c r="AF124" s="3">
        <f t="shared" si="77"/>
        <v>1.3613921582492723</v>
      </c>
      <c r="AH124" s="23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/>
      <c r="AO124"/>
      <c r="AP124"/>
      <c r="AQ124"/>
      <c r="AR124"/>
      <c r="AS124"/>
      <c r="AT124"/>
      <c r="AU124"/>
      <c r="AV124"/>
      <c r="BJ124" s="3"/>
      <c r="BK124" s="3"/>
      <c r="BL124" s="3"/>
      <c r="BM124" s="3"/>
      <c r="BN124" s="3"/>
      <c r="BO124" s="3"/>
      <c r="BP124" s="3"/>
      <c r="BY124"/>
      <c r="BZ124"/>
      <c r="CA124"/>
      <c r="CB124"/>
      <c r="CC124"/>
      <c r="CD124"/>
      <c r="CE124" s="9"/>
      <c r="CI124" s="12"/>
      <c r="CJ124" s="12"/>
      <c r="CK124" s="12"/>
      <c r="CL124" s="12"/>
      <c r="CM124" s="12"/>
      <c r="CN124" s="12"/>
      <c r="CO124" s="12"/>
    </row>
    <row r="125" spans="1:96">
      <c r="A125">
        <v>2013</v>
      </c>
      <c r="B125" s="3">
        <f>USA!Z100/USA!AU100*100</f>
        <v>99.286371359470479</v>
      </c>
      <c r="C125" s="3">
        <f t="shared" si="69"/>
        <v>99.286371359470493</v>
      </c>
      <c r="D125" s="3">
        <f t="shared" si="70"/>
        <v>99.286371359470493</v>
      </c>
      <c r="E125" s="3">
        <f t="shared" si="71"/>
        <v>99.286371359470493</v>
      </c>
      <c r="F125" s="6">
        <f>'Exchange Rates'!F52</f>
        <v>1.0338440171867538</v>
      </c>
      <c r="G125" s="3">
        <f>(B125*USA!$AU100/100)/$AW92*100*$F125</f>
        <v>103.858958230656</v>
      </c>
      <c r="H125" s="3">
        <f>(C125*USA!$AU100/100)/$AW92*100*$F125</f>
        <v>103.858958230656</v>
      </c>
      <c r="I125" s="3">
        <f>(D125*USA!$AU100/100)/$AW92*100*$F125</f>
        <v>103.858958230656</v>
      </c>
      <c r="J125" s="3">
        <f>(E125*USA!$AU100/100)/$AW92*100*$F125</f>
        <v>103.858958230656</v>
      </c>
      <c r="K125" s="6">
        <f t="shared" si="76"/>
        <v>74.72352822016407</v>
      </c>
      <c r="L125" s="6">
        <f t="shared" si="72"/>
        <v>74.72352822016407</v>
      </c>
      <c r="M125" s="6">
        <f t="shared" si="73"/>
        <v>74.72352822016407</v>
      </c>
      <c r="N125" s="6">
        <f t="shared" si="74"/>
        <v>74.72352822016407</v>
      </c>
      <c r="O125">
        <v>2013</v>
      </c>
      <c r="P125" s="24">
        <f t="shared" si="54"/>
        <v>28.542317025920898</v>
      </c>
      <c r="Q125" s="3">
        <f t="shared" si="55"/>
        <v>17.555193691834447</v>
      </c>
      <c r="R125" s="3">
        <f t="shared" si="56"/>
        <v>17.555193691834447</v>
      </c>
      <c r="S125" s="3">
        <f t="shared" si="57"/>
        <v>17.555193691834447</v>
      </c>
      <c r="T125" s="3">
        <f t="shared" si="58"/>
        <v>17.555193691834447</v>
      </c>
      <c r="U125" s="3">
        <f t="shared" si="59"/>
        <v>120.21560269402801</v>
      </c>
      <c r="V125" s="3">
        <f t="shared" si="60"/>
        <v>120.82103893791941</v>
      </c>
      <c r="W125" s="3">
        <f t="shared" si="61"/>
        <v>120.82103893791941</v>
      </c>
      <c r="X125" s="3">
        <f t="shared" si="62"/>
        <v>120.82103893791941</v>
      </c>
      <c r="Y125" s="3">
        <f t="shared" si="63"/>
        <v>138.38805252352458</v>
      </c>
      <c r="Z125" s="3">
        <f t="shared" si="64"/>
        <v>139.08500983057681</v>
      </c>
      <c r="AA125" s="3">
        <f t="shared" si="65"/>
        <v>139.08500983057681</v>
      </c>
      <c r="AB125" s="3">
        <f t="shared" si="66"/>
        <v>139.08500983057681</v>
      </c>
      <c r="AC125" s="3">
        <f t="shared" si="67"/>
        <v>1.3528991350427662</v>
      </c>
      <c r="AD125" s="3">
        <f t="shared" ref="AD125:AF125" si="78">AC125</f>
        <v>1.3528991350427662</v>
      </c>
      <c r="AE125" s="3">
        <f t="shared" si="78"/>
        <v>1.3528991350427662</v>
      </c>
      <c r="AF125" s="3">
        <f t="shared" si="78"/>
        <v>1.3528991350427662</v>
      </c>
      <c r="AH125" s="23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/>
      <c r="AO125"/>
      <c r="AP125"/>
      <c r="AQ125"/>
      <c r="AR125"/>
      <c r="AS125"/>
      <c r="AT125"/>
      <c r="AU125"/>
      <c r="AV125"/>
      <c r="BJ125" s="3"/>
      <c r="BK125" s="3"/>
      <c r="BL125" s="3"/>
      <c r="BM125" s="3"/>
      <c r="BN125" s="3"/>
      <c r="BO125" s="3"/>
      <c r="BP125" s="3"/>
      <c r="BY125"/>
      <c r="BZ125"/>
      <c r="CA125"/>
      <c r="CB125"/>
      <c r="CC125"/>
      <c r="CD125"/>
      <c r="CE125" s="9"/>
      <c r="CI125" s="12"/>
      <c r="CJ125" s="12"/>
      <c r="CK125" s="12"/>
      <c r="CL125" s="12"/>
      <c r="CM125" s="12"/>
      <c r="CN125" s="12"/>
      <c r="CO125" s="12"/>
    </row>
    <row r="126" spans="1:96">
      <c r="A126">
        <v>2014</v>
      </c>
      <c r="B126" s="3">
        <f>USA!Z101/USA!AU101*100</f>
        <v>88.687750298592292</v>
      </c>
      <c r="C126" s="3">
        <f t="shared" si="69"/>
        <v>88.687750298592292</v>
      </c>
      <c r="D126" s="3">
        <f t="shared" si="70"/>
        <v>88.687750298592292</v>
      </c>
      <c r="E126" s="3">
        <f t="shared" si="71"/>
        <v>88.687750298592292</v>
      </c>
      <c r="F126" s="6">
        <f>'Exchange Rates'!F53</f>
        <v>1.106664812754913</v>
      </c>
      <c r="G126" s="3">
        <f>(B126*USA!$AU101/100)/$AW93*100*$F126</f>
        <v>99.056654680443231</v>
      </c>
      <c r="H126" s="3">
        <f>(C126*USA!$AU101/100)/$AW93*100*$F126</f>
        <v>99.056654680443231</v>
      </c>
      <c r="I126" s="3">
        <f>(D126*USA!$AU101/100)/$AW93*100*$F126</f>
        <v>99.056654680443231</v>
      </c>
      <c r="J126" s="3">
        <f>(E126*USA!$AU101/100)/$AW93*100*$F126</f>
        <v>99.056654680443231</v>
      </c>
      <c r="K126" s="6">
        <f t="shared" si="76"/>
        <v>72.556203548991661</v>
      </c>
      <c r="L126" s="6">
        <f t="shared" si="72"/>
        <v>72.556203548991661</v>
      </c>
      <c r="M126" s="6">
        <f t="shared" si="73"/>
        <v>72.556203548991661</v>
      </c>
      <c r="N126" s="6">
        <f t="shared" si="74"/>
        <v>72.556203548991661</v>
      </c>
      <c r="O126">
        <v>2014</v>
      </c>
      <c r="P126" s="24">
        <f t="shared" si="54"/>
        <v>28.752047314723235</v>
      </c>
      <c r="Q126" s="3">
        <f t="shared" si="55"/>
        <v>17.222402646831537</v>
      </c>
      <c r="R126" s="3">
        <f t="shared" si="56"/>
        <v>17.222402646831537</v>
      </c>
      <c r="S126" s="3">
        <f t="shared" si="57"/>
        <v>17.222402646831537</v>
      </c>
      <c r="T126" s="3">
        <f t="shared" si="58"/>
        <v>17.222402646831537</v>
      </c>
      <c r="U126" s="3">
        <f t="shared" si="59"/>
        <v>118.50613434669735</v>
      </c>
      <c r="V126" s="3">
        <f t="shared" si="60"/>
        <v>118.53065351054644</v>
      </c>
      <c r="W126" s="3">
        <f t="shared" si="61"/>
        <v>118.53065351054644</v>
      </c>
      <c r="X126" s="3">
        <f t="shared" si="62"/>
        <v>118.53065351054644</v>
      </c>
      <c r="Y126" s="3">
        <f t="shared" si="63"/>
        <v>136.42017156517832</v>
      </c>
      <c r="Z126" s="3">
        <f t="shared" si="64"/>
        <v>136.44839718031096</v>
      </c>
      <c r="AA126" s="3">
        <f t="shared" si="65"/>
        <v>136.44839718031096</v>
      </c>
      <c r="AB126" s="3">
        <f t="shared" si="66"/>
        <v>136.44839718031096</v>
      </c>
      <c r="AC126" s="3">
        <f t="shared" si="67"/>
        <v>1.3336608814662068</v>
      </c>
      <c r="AD126" s="3">
        <f t="shared" ref="AD126:AF126" si="79">AC126</f>
        <v>1.3336608814662068</v>
      </c>
      <c r="AE126" s="3">
        <f t="shared" si="79"/>
        <v>1.3336608814662068</v>
      </c>
      <c r="AF126" s="3">
        <f t="shared" si="79"/>
        <v>1.3336608814662068</v>
      </c>
      <c r="AH126" s="23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/>
      <c r="AO126"/>
      <c r="AP126"/>
      <c r="AQ126"/>
      <c r="AR126"/>
      <c r="AS126"/>
      <c r="AT126"/>
      <c r="AU126"/>
      <c r="AV126"/>
      <c r="BJ126" s="3"/>
      <c r="BK126" s="3"/>
      <c r="BL126" s="3"/>
      <c r="BM126" s="3"/>
      <c r="BN126" s="3"/>
      <c r="BO126" s="3"/>
      <c r="BP126" s="3"/>
      <c r="BY126"/>
      <c r="BZ126"/>
      <c r="CA126"/>
      <c r="CB126"/>
      <c r="CC126"/>
      <c r="CD126"/>
      <c r="CE126" s="9"/>
      <c r="CI126" s="12"/>
      <c r="CJ126" s="12"/>
      <c r="CK126" s="12"/>
      <c r="CL126" s="12"/>
      <c r="CM126" s="12"/>
      <c r="CN126" s="12"/>
      <c r="CO126" s="12"/>
    </row>
    <row r="127" spans="1:96">
      <c r="A127">
        <v>2015</v>
      </c>
      <c r="B127" s="3">
        <f>USA!Z102/USA!AU102*100</f>
        <v>45.556296925601828</v>
      </c>
      <c r="C127" s="3">
        <f t="shared" si="69"/>
        <v>45.556296925601814</v>
      </c>
      <c r="D127" s="3">
        <f t="shared" si="70"/>
        <v>45.556296925601814</v>
      </c>
      <c r="E127" s="3">
        <f t="shared" si="71"/>
        <v>45.556296925601814</v>
      </c>
      <c r="F127" s="6">
        <f>'Exchange Rates'!F54</f>
        <v>1.2875929357654781</v>
      </c>
      <c r="G127" s="3">
        <f>(B127*USA!$AU102/100)/$AW94*100*$F127</f>
        <v>58.669499204303307</v>
      </c>
      <c r="H127" s="3">
        <f>(C127*USA!$AU102/100)/$AW94*100*$F127</f>
        <v>58.669499204303271</v>
      </c>
      <c r="I127" s="3">
        <f>(D127*USA!$AU102/100)/$AW94*100*$F127</f>
        <v>58.669499204303271</v>
      </c>
      <c r="J127" s="3">
        <f>(E127*USA!$AU102/100)/$AW94*100*$F127</f>
        <v>58.669499204303271</v>
      </c>
      <c r="K127" s="6">
        <f t="shared" si="76"/>
        <v>54.329101170585091</v>
      </c>
      <c r="L127" s="6">
        <f t="shared" si="72"/>
        <v>54.329101170585069</v>
      </c>
      <c r="M127" s="6">
        <f t="shared" si="73"/>
        <v>54.329101170585069</v>
      </c>
      <c r="N127" s="6">
        <f t="shared" si="74"/>
        <v>54.329101170585069</v>
      </c>
      <c r="O127">
        <v>2015</v>
      </c>
      <c r="P127" s="24">
        <f t="shared" si="54"/>
        <v>29.167588846293711</v>
      </c>
      <c r="Q127" s="3">
        <f t="shared" si="55"/>
        <v>14.194437302869398</v>
      </c>
      <c r="R127" s="3">
        <f t="shared" si="56"/>
        <v>14.194437302869392</v>
      </c>
      <c r="S127" s="3">
        <f t="shared" si="57"/>
        <v>14.194437302869392</v>
      </c>
      <c r="T127" s="3">
        <f t="shared" si="58"/>
        <v>14.194437302869392</v>
      </c>
      <c r="U127" s="3">
        <f t="shared" si="59"/>
        <v>97.651644775709258</v>
      </c>
      <c r="V127" s="3">
        <f t="shared" si="60"/>
        <v>97.691127319748162</v>
      </c>
      <c r="W127" s="3">
        <f t="shared" si="61"/>
        <v>97.691127319748162</v>
      </c>
      <c r="X127" s="3">
        <f t="shared" si="62"/>
        <v>97.691127319748162</v>
      </c>
      <c r="Y127" s="3">
        <f t="shared" si="63"/>
        <v>112.41320297353339</v>
      </c>
      <c r="Z127" s="3">
        <f t="shared" si="64"/>
        <v>112.45865391547248</v>
      </c>
      <c r="AA127" s="3">
        <f t="shared" si="65"/>
        <v>112.45865391547248</v>
      </c>
      <c r="AB127" s="3">
        <f t="shared" si="66"/>
        <v>112.45865391547248</v>
      </c>
      <c r="AC127" s="3">
        <f t="shared" si="67"/>
        <v>1.098965714864927</v>
      </c>
      <c r="AD127" s="3">
        <f t="shared" ref="AD127:AF127" si="80">AC127</f>
        <v>1.098965714864927</v>
      </c>
      <c r="AE127" s="3">
        <f t="shared" si="80"/>
        <v>1.098965714864927</v>
      </c>
      <c r="AF127" s="3">
        <f t="shared" si="80"/>
        <v>1.098965714864927</v>
      </c>
      <c r="AH127" s="23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/>
      <c r="AO127"/>
      <c r="AP127"/>
      <c r="AQ127"/>
      <c r="AR127"/>
      <c r="AS127"/>
      <c r="AT127"/>
      <c r="AU127"/>
      <c r="AV127"/>
      <c r="BJ127" s="3"/>
      <c r="BK127" s="3"/>
      <c r="BL127" s="3"/>
      <c r="BM127" s="3"/>
      <c r="BN127" s="3"/>
      <c r="BO127" s="3"/>
      <c r="BP127" s="3"/>
      <c r="BY127"/>
      <c r="BZ127"/>
      <c r="CA127"/>
      <c r="CB127"/>
      <c r="CC127"/>
      <c r="CD127"/>
      <c r="CE127" s="9"/>
      <c r="CI127" s="12"/>
      <c r="CJ127" s="12"/>
      <c r="CK127" s="12"/>
      <c r="CL127" s="12"/>
      <c r="CM127" s="12"/>
      <c r="CN127" s="12"/>
      <c r="CO127" s="12"/>
    </row>
    <row r="128" spans="1:96">
      <c r="A128">
        <v>2016</v>
      </c>
      <c r="B128" s="3">
        <f>USA!Z103/USA!AU103*100</f>
        <v>36.957692605914716</v>
      </c>
      <c r="C128" s="3">
        <f t="shared" si="69"/>
        <v>36.957692605914716</v>
      </c>
      <c r="D128" s="3">
        <f t="shared" si="70"/>
        <v>36.957692605914716</v>
      </c>
      <c r="E128" s="3">
        <f t="shared" si="71"/>
        <v>36.957692605914716</v>
      </c>
      <c r="F128" s="6">
        <f>'Exchange Rates'!F55</f>
        <v>1.3227140759340423</v>
      </c>
      <c r="G128" s="3">
        <f>(B128*USA!$AU103/100)/$AW95*100*$F128</f>
        <v>48.821422146066176</v>
      </c>
      <c r="H128" s="3">
        <f>(C128*USA!$AU103/100)/$AW95*100*$F128</f>
        <v>48.821422146066176</v>
      </c>
      <c r="I128" s="3">
        <f>(D128*USA!$AU103/100)/$AW95*100*$F128</f>
        <v>48.821422146066176</v>
      </c>
      <c r="J128" s="3">
        <f>(E128*USA!$AU103/100)/$AW95*100*$F128</f>
        <v>48.821422146066176</v>
      </c>
      <c r="K128" s="6">
        <f t="shared" si="76"/>
        <v>49.884571550840704</v>
      </c>
      <c r="L128" s="6">
        <f t="shared" si="72"/>
        <v>49.884571550840704</v>
      </c>
      <c r="M128" s="6">
        <f t="shared" si="73"/>
        <v>49.884571550840704</v>
      </c>
      <c r="N128" s="6">
        <f t="shared" si="74"/>
        <v>49.884571550840704</v>
      </c>
      <c r="O128">
        <v>2016</v>
      </c>
      <c r="P128" s="24">
        <f t="shared" si="54"/>
        <v>29.481832000120807</v>
      </c>
      <c r="Q128" s="3">
        <f t="shared" si="55"/>
        <v>13.492288603663457</v>
      </c>
      <c r="R128" s="3">
        <f t="shared" si="56"/>
        <v>13.492288603663457</v>
      </c>
      <c r="S128" s="3">
        <f t="shared" si="57"/>
        <v>13.492288603663457</v>
      </c>
      <c r="T128" s="3">
        <f t="shared" si="58"/>
        <v>13.492288603663457</v>
      </c>
      <c r="U128" s="3">
        <f t="shared" si="59"/>
        <v>91.222765889069493</v>
      </c>
      <c r="V128" s="3">
        <f t="shared" si="60"/>
        <v>92.858692154624961</v>
      </c>
      <c r="W128" s="3">
        <f t="shared" si="61"/>
        <v>92.858692154624961</v>
      </c>
      <c r="X128" s="3">
        <f t="shared" si="62"/>
        <v>92.858692154624961</v>
      </c>
      <c r="Y128" s="3">
        <f t="shared" si="63"/>
        <v>105.01249949499999</v>
      </c>
      <c r="Z128" s="3">
        <f t="shared" si="64"/>
        <v>106.89572134714606</v>
      </c>
      <c r="AA128" s="3">
        <f t="shared" si="65"/>
        <v>106.89572134714606</v>
      </c>
      <c r="AB128" s="3">
        <f t="shared" si="66"/>
        <v>106.89572134714606</v>
      </c>
      <c r="AC128" s="3">
        <f t="shared" si="67"/>
        <v>1.0266154999999999</v>
      </c>
      <c r="AD128" s="3">
        <f t="shared" ref="AD128:AF128" si="81">AC128</f>
        <v>1.0266154999999999</v>
      </c>
      <c r="AE128" s="3">
        <f t="shared" si="81"/>
        <v>1.0266154999999999</v>
      </c>
      <c r="AF128" s="3">
        <f t="shared" si="81"/>
        <v>1.0266154999999999</v>
      </c>
      <c r="AH128" s="23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/>
      <c r="AO128"/>
      <c r="AP128"/>
      <c r="AQ128"/>
      <c r="AR128"/>
      <c r="AS128"/>
      <c r="AT128"/>
      <c r="AU128"/>
      <c r="AV128"/>
      <c r="BJ128" s="3"/>
      <c r="BK128" s="3"/>
      <c r="BL128" s="3"/>
      <c r="BM128" s="3"/>
      <c r="BN128" s="3"/>
      <c r="BO128" s="3"/>
      <c r="BP128" s="3"/>
      <c r="BY128"/>
      <c r="BZ128"/>
      <c r="CA128"/>
      <c r="CB128"/>
      <c r="CC128"/>
      <c r="CD128"/>
      <c r="CE128" s="9"/>
      <c r="CI128" s="12"/>
      <c r="CJ128" s="12"/>
      <c r="CK128" s="12"/>
      <c r="CL128" s="12"/>
      <c r="CM128" s="12"/>
      <c r="CN128" s="12"/>
      <c r="CO128" s="12"/>
    </row>
    <row r="129" spans="1:93">
      <c r="A129">
        <v>2017</v>
      </c>
      <c r="B129" s="3">
        <f>USA!Z104/USA!AU104*100</f>
        <v>46.705738720797434</v>
      </c>
      <c r="C129" s="3">
        <f t="shared" si="69"/>
        <v>46.705738720797434</v>
      </c>
      <c r="D129" s="3">
        <f t="shared" si="70"/>
        <v>46.705738720797434</v>
      </c>
      <c r="E129" s="3">
        <f t="shared" si="71"/>
        <v>46.705738720797434</v>
      </c>
      <c r="F129" s="6">
        <f>'Exchange Rates'!F56</f>
        <v>1.298</v>
      </c>
      <c r="G129" s="3">
        <f>(B129*USA!$AU104/100)/$AW96*100*$F129</f>
        <v>60.563662374198344</v>
      </c>
      <c r="H129" s="3">
        <f>(C129*USA!$AU104/100)/$AW96*100*$F129</f>
        <v>60.563662374198344</v>
      </c>
      <c r="I129" s="3">
        <f>(D129*USA!$AU104/100)/$AW96*100*$F129</f>
        <v>60.563662374198344</v>
      </c>
      <c r="J129" s="3">
        <f>(E129*USA!$AU104/100)/$AW96*100*$F129</f>
        <v>60.563662374198344</v>
      </c>
      <c r="K129" s="6">
        <f t="shared" si="76"/>
        <v>55.183954789565036</v>
      </c>
      <c r="L129" s="6">
        <f t="shared" si="72"/>
        <v>55.183954789565036</v>
      </c>
      <c r="M129" s="6">
        <f t="shared" si="73"/>
        <v>55.183954789565036</v>
      </c>
      <c r="N129" s="6">
        <f t="shared" si="74"/>
        <v>55.183954789565036</v>
      </c>
      <c r="O129">
        <v>2017</v>
      </c>
      <c r="P129" s="24">
        <f t="shared" si="54"/>
        <v>29.585644124473866</v>
      </c>
      <c r="Q129" s="3">
        <f t="shared" si="55"/>
        <v>14.410831815386615</v>
      </c>
      <c r="R129" s="3">
        <f t="shared" si="56"/>
        <v>14.410831815386615</v>
      </c>
      <c r="S129" s="3">
        <f t="shared" si="57"/>
        <v>14.410831815386615</v>
      </c>
      <c r="T129" s="3">
        <f t="shared" si="58"/>
        <v>14.410831815386615</v>
      </c>
      <c r="U129" s="3">
        <f t="shared" si="59"/>
        <v>99.064531226207279</v>
      </c>
      <c r="V129" s="3">
        <f t="shared" si="60"/>
        <v>99.180430729425524</v>
      </c>
      <c r="W129" s="3">
        <f t="shared" si="61"/>
        <v>99.180430729425524</v>
      </c>
      <c r="X129" s="3">
        <f t="shared" si="62"/>
        <v>99.180430729425524</v>
      </c>
      <c r="Y129" s="3">
        <f t="shared" si="63"/>
        <v>114.03966908890904</v>
      </c>
      <c r="Z129" s="3">
        <f t="shared" si="64"/>
        <v>114.17308859668823</v>
      </c>
      <c r="AA129" s="3">
        <f t="shared" si="65"/>
        <v>114.17308859668823</v>
      </c>
      <c r="AB129" s="3">
        <f t="shared" si="66"/>
        <v>114.17308859668823</v>
      </c>
      <c r="AC129" s="3">
        <f t="shared" si="67"/>
        <v>1.1148662536798222</v>
      </c>
      <c r="AD129" s="3">
        <f t="shared" ref="AD129:AF129" si="82">AC129</f>
        <v>1.1148662536798222</v>
      </c>
      <c r="AE129" s="3">
        <f t="shared" si="82"/>
        <v>1.1148662536798222</v>
      </c>
      <c r="AF129" s="3">
        <f t="shared" si="82"/>
        <v>1.1148662536798222</v>
      </c>
      <c r="AH129" s="23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/>
      <c r="AO129"/>
      <c r="AP129"/>
      <c r="AQ129"/>
      <c r="AR129"/>
      <c r="AS129"/>
      <c r="AT129"/>
      <c r="AU129"/>
      <c r="AV129"/>
      <c r="BJ129" s="3"/>
      <c r="BK129" s="3"/>
      <c r="BL129" s="3"/>
      <c r="BM129" s="3"/>
      <c r="BN129" s="3"/>
      <c r="BO129" s="3"/>
      <c r="BP129" s="3"/>
      <c r="BY129"/>
      <c r="BZ129"/>
      <c r="CA129"/>
      <c r="CB129"/>
      <c r="CC129"/>
      <c r="CD129"/>
      <c r="CE129" s="9"/>
      <c r="CI129" s="12"/>
      <c r="CJ129" s="12"/>
      <c r="CK129" s="12"/>
      <c r="CL129" s="12"/>
      <c r="CM129" s="12"/>
      <c r="CN129" s="12"/>
      <c r="CO129" s="12"/>
    </row>
    <row r="130" spans="1:93">
      <c r="A130">
        <v>2018</v>
      </c>
      <c r="B130" s="3">
        <f>USA!Z105/USA!AU105*100</f>
        <v>60.818458312139953</v>
      </c>
      <c r="C130" s="3">
        <f t="shared" si="69"/>
        <v>60.818458312139953</v>
      </c>
      <c r="D130" s="3">
        <f t="shared" si="70"/>
        <v>60.818458312139953</v>
      </c>
      <c r="E130" s="3">
        <f t="shared" si="71"/>
        <v>60.818458312139953</v>
      </c>
      <c r="F130" s="6">
        <f>'Exchange Rates'!F57</f>
        <v>1.3009999999999999</v>
      </c>
      <c r="G130" s="3">
        <f>(B130*USA!$AU105/100)/$AW97*100*$F130</f>
        <v>79.341660863840147</v>
      </c>
      <c r="H130" s="3">
        <f>(C130*USA!$AU105/100)/$AW97*100*$F130</f>
        <v>79.341660863840147</v>
      </c>
      <c r="I130" s="3">
        <f>(D130*USA!$AU105/100)/$AW97*100*$F130</f>
        <v>79.341660863840147</v>
      </c>
      <c r="J130" s="3">
        <f>(E130*USA!$AU105/100)/$AW97*100*$F130</f>
        <v>79.341660863840147</v>
      </c>
      <c r="K130" s="6">
        <f t="shared" si="76"/>
        <v>63.658641775987533</v>
      </c>
      <c r="L130" s="6">
        <f t="shared" si="72"/>
        <v>63.658641775987533</v>
      </c>
      <c r="M130" s="6">
        <f t="shared" si="73"/>
        <v>63.658641775987533</v>
      </c>
      <c r="N130" s="6">
        <f t="shared" si="74"/>
        <v>63.658641775987533</v>
      </c>
      <c r="O130">
        <v>2018</v>
      </c>
      <c r="P130" s="24">
        <f t="shared" si="54"/>
        <v>28.923300542060669</v>
      </c>
      <c r="Q130" s="3">
        <f t="shared" si="55"/>
        <v>15.738930194068196</v>
      </c>
      <c r="R130" s="3">
        <f t="shared" si="56"/>
        <v>15.738930194068196</v>
      </c>
      <c r="S130" s="3">
        <f t="shared" si="57"/>
        <v>15.738930194068196</v>
      </c>
      <c r="T130" s="3">
        <f t="shared" si="58"/>
        <v>15.738930194068196</v>
      </c>
      <c r="U130" s="3">
        <f t="shared" si="59"/>
        <v>111.41483860494439</v>
      </c>
      <c r="V130" s="3">
        <f t="shared" si="60"/>
        <v>108.32087251211641</v>
      </c>
      <c r="W130" s="3">
        <f t="shared" si="61"/>
        <v>108.32087251211641</v>
      </c>
      <c r="X130" s="3">
        <f t="shared" si="62"/>
        <v>108.32087251211641</v>
      </c>
      <c r="Y130" s="3">
        <f t="shared" si="63"/>
        <v>128.25691666666668</v>
      </c>
      <c r="Z130" s="3">
        <f t="shared" si="64"/>
        <v>124.69524969029212</v>
      </c>
      <c r="AA130" s="3">
        <f t="shared" si="65"/>
        <v>124.69524969029212</v>
      </c>
      <c r="AB130" s="3">
        <f t="shared" si="66"/>
        <v>124.69524969029212</v>
      </c>
      <c r="AC130" s="3">
        <f t="shared" si="67"/>
        <v>1.2538558673053735</v>
      </c>
      <c r="AD130" s="3">
        <f t="shared" ref="AD130:AD142" si="83">V130/100*$AW$96/100</f>
        <v>1.2190365596861092</v>
      </c>
      <c r="AE130" s="3">
        <f t="shared" ref="AE130:AE142" si="84">W130/100*$AW$96/100</f>
        <v>1.2190365596861092</v>
      </c>
      <c r="AF130" s="3">
        <f t="shared" ref="AF130:AF142" si="85">X130/100*$AW$96/100</f>
        <v>1.2190365596861092</v>
      </c>
      <c r="AH130" s="23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/>
      <c r="AO130"/>
      <c r="AP130"/>
      <c r="AQ130"/>
      <c r="AR130"/>
      <c r="AS130"/>
      <c r="AT130"/>
      <c r="AU130"/>
      <c r="AV130"/>
      <c r="BJ130" s="3"/>
      <c r="BK130" s="3"/>
      <c r="BL130" s="3"/>
      <c r="BM130" s="3"/>
      <c r="BN130" s="3"/>
      <c r="BO130" s="3"/>
      <c r="BP130" s="3"/>
      <c r="BY130"/>
      <c r="BZ130"/>
      <c r="CA130"/>
      <c r="CB130"/>
      <c r="CC130"/>
      <c r="CD130"/>
      <c r="CE130" s="9"/>
      <c r="CI130" s="12"/>
      <c r="CJ130" s="12"/>
      <c r="CK130" s="12"/>
      <c r="CL130" s="12"/>
      <c r="CM130" s="12"/>
      <c r="CN130" s="12"/>
      <c r="CO130" s="12"/>
    </row>
    <row r="131" spans="1:93">
      <c r="A131">
        <v>2019</v>
      </c>
      <c r="B131" s="3"/>
      <c r="C131" s="3">
        <f>AK131</f>
        <v>90.611761513694489</v>
      </c>
      <c r="D131" s="3">
        <f t="shared" si="70"/>
        <v>56.019786702864394</v>
      </c>
      <c r="E131" s="3">
        <f t="shared" si="71"/>
        <v>25.889074718198426</v>
      </c>
      <c r="F131" s="6">
        <f>'Exchange Rates'!F58</f>
        <v>1.3169999999999999</v>
      </c>
      <c r="G131" s="3"/>
      <c r="H131" s="3">
        <f>(C131*USA!$AU106/100)/$AW98*100*$F131</f>
        <v>119.66273698248332</v>
      </c>
      <c r="I131" s="3">
        <f>(D131*USA!$AU106/100)/$AW98*100*$F131</f>
        <v>73.980252563863431</v>
      </c>
      <c r="J131" s="3">
        <f>(E131*USA!$AU106/100)/$AW98*100*$F131</f>
        <v>34.189353423566658</v>
      </c>
      <c r="K131" s="6"/>
      <c r="L131" s="6">
        <f t="shared" si="72"/>
        <v>81.855921920072504</v>
      </c>
      <c r="M131" s="6">
        <f t="shared" si="73"/>
        <v>61.238987882960885</v>
      </c>
      <c r="N131" s="6">
        <f t="shared" si="74"/>
        <v>43.280981585946009</v>
      </c>
      <c r="O131">
        <v>2019</v>
      </c>
      <c r="P131" s="3">
        <f t="shared" ref="P131:P142" si="86">P130</f>
        <v>28.923300542060669</v>
      </c>
      <c r="Q131" s="3"/>
      <c r="R131" s="3">
        <f t="shared" si="56"/>
        <v>18.832467818562641</v>
      </c>
      <c r="S131" s="3">
        <f t="shared" si="57"/>
        <v>15.327589032253666</v>
      </c>
      <c r="T131" s="3">
        <f t="shared" si="58"/>
        <v>12.274727961761137</v>
      </c>
      <c r="U131" s="3"/>
      <c r="V131" s="3">
        <f t="shared" si="60"/>
        <v>129.61169028069583</v>
      </c>
      <c r="W131" s="3">
        <f t="shared" si="61"/>
        <v>105.48987745727523</v>
      </c>
      <c r="X131" s="3">
        <f t="shared" si="62"/>
        <v>84.479010089767826</v>
      </c>
      <c r="Y131" s="3"/>
      <c r="Z131" s="3">
        <f t="shared" si="64"/>
        <v>149.20450424293205</v>
      </c>
      <c r="AA131" s="3">
        <f t="shared" si="65"/>
        <v>121.43630589627941</v>
      </c>
      <c r="AB131" s="3">
        <f t="shared" si="66"/>
        <v>97.249320582734342</v>
      </c>
      <c r="AC131" s="3"/>
      <c r="AD131" s="3">
        <f t="shared" si="83"/>
        <v>1.4586421374810055</v>
      </c>
      <c r="AE131" s="3">
        <f t="shared" si="84"/>
        <v>1.1871767122522181</v>
      </c>
      <c r="AF131" s="3">
        <f t="shared" si="85"/>
        <v>0.9507216793697757</v>
      </c>
      <c r="AH131" s="23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/>
      <c r="AO131"/>
      <c r="AP131"/>
      <c r="AQ131"/>
      <c r="AR131"/>
      <c r="AS131"/>
      <c r="AT131"/>
      <c r="AU131"/>
      <c r="AV131"/>
      <c r="BJ131" s="3"/>
      <c r="BK131" s="3"/>
      <c r="BL131" s="3"/>
      <c r="BM131" s="3"/>
      <c r="BN131" s="3"/>
      <c r="BO131" s="3"/>
      <c r="BP131" s="3"/>
      <c r="BY131"/>
      <c r="BZ131"/>
      <c r="CA131"/>
      <c r="CB131"/>
      <c r="CC131"/>
      <c r="CD131"/>
      <c r="CE131" s="9"/>
      <c r="CI131" s="12"/>
      <c r="CJ131" s="12"/>
      <c r="CK131" s="12"/>
      <c r="CL131" s="12"/>
      <c r="CM131" s="12"/>
      <c r="CN131" s="12"/>
      <c r="CO131" s="12"/>
    </row>
    <row r="132" spans="1:93">
      <c r="A132">
        <v>2020</v>
      </c>
      <c r="B132" s="3"/>
      <c r="C132" s="3">
        <f t="shared" si="69"/>
        <v>105.28223718734027</v>
      </c>
      <c r="D132" s="3">
        <f t="shared" si="70"/>
        <v>56.251630823658907</v>
      </c>
      <c r="E132" s="3">
        <f t="shared" si="71"/>
        <v>26.752043875471706</v>
      </c>
      <c r="F132" s="6">
        <f>'Exchange Rates'!F59</f>
        <v>1.3169999999999999</v>
      </c>
      <c r="G132" s="3"/>
      <c r="H132" s="3">
        <f>(C132*USA!$AU107/100)/$AW99*100*$F132</f>
        <v>139.03670392250444</v>
      </c>
      <c r="I132" s="3">
        <f>(D132*USA!$AU107/100)/$AW99*100*$F132</f>
        <v>74.286428071149828</v>
      </c>
      <c r="J132" s="3">
        <f>(E132*USA!$AU107/100)/$AW99*100*$F132</f>
        <v>35.32899853768555</v>
      </c>
      <c r="K132" s="6"/>
      <c r="L132" s="6">
        <f t="shared" si="72"/>
        <v>90.599575062474514</v>
      </c>
      <c r="M132" s="6">
        <f t="shared" si="73"/>
        <v>61.377167763452022</v>
      </c>
      <c r="N132" s="6">
        <f t="shared" si="74"/>
        <v>43.795314123734364</v>
      </c>
      <c r="O132">
        <v>2020</v>
      </c>
      <c r="P132" s="3">
        <f t="shared" si="86"/>
        <v>28.923300542060669</v>
      </c>
      <c r="Q132" s="3"/>
      <c r="R132" s="3">
        <f t="shared" si="56"/>
        <v>20.318888852770982</v>
      </c>
      <c r="S132" s="3">
        <f t="shared" si="57"/>
        <v>15.351079611937159</v>
      </c>
      <c r="T132" s="3">
        <f t="shared" si="58"/>
        <v>12.362164493185157</v>
      </c>
      <c r="U132" s="3"/>
      <c r="V132" s="3">
        <f t="shared" si="60"/>
        <v>139.84176445730617</v>
      </c>
      <c r="W132" s="3">
        <f t="shared" si="61"/>
        <v>105.65154791744985</v>
      </c>
      <c r="X132" s="3">
        <f t="shared" si="62"/>
        <v>85.080779158980192</v>
      </c>
      <c r="Y132" s="3"/>
      <c r="Z132" s="3">
        <f t="shared" si="64"/>
        <v>160.98101253924352</v>
      </c>
      <c r="AA132" s="3">
        <f t="shared" si="65"/>
        <v>121.62241534990076</v>
      </c>
      <c r="AB132" s="3">
        <f t="shared" si="66"/>
        <v>97.942056364870311</v>
      </c>
      <c r="AC132" s="3"/>
      <c r="AD132" s="3">
        <f t="shared" si="83"/>
        <v>1.5737707746528842</v>
      </c>
      <c r="AE132" s="3">
        <f t="shared" si="84"/>
        <v>1.1889961418506281</v>
      </c>
      <c r="AF132" s="3">
        <f t="shared" si="85"/>
        <v>0.95749395214459199</v>
      </c>
      <c r="AH132" s="23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/>
      <c r="AO132"/>
      <c r="AP132"/>
      <c r="AQ132"/>
      <c r="AR132"/>
      <c r="AS132"/>
      <c r="AT132"/>
      <c r="AU132"/>
      <c r="AV132"/>
      <c r="BJ132" s="3"/>
      <c r="BK132" s="3"/>
      <c r="BL132" s="3"/>
      <c r="BM132" s="3"/>
      <c r="BN132" s="3"/>
      <c r="BO132" s="3"/>
      <c r="BP132" s="3"/>
      <c r="BY132"/>
      <c r="BZ132"/>
      <c r="CA132"/>
      <c r="CB132"/>
      <c r="CC132"/>
      <c r="CD132"/>
      <c r="CE132" s="9"/>
      <c r="CI132" s="12"/>
      <c r="CJ132" s="12"/>
      <c r="CK132" s="12"/>
      <c r="CL132" s="12"/>
      <c r="CM132" s="12"/>
      <c r="CN132" s="12"/>
      <c r="CO132" s="12"/>
    </row>
    <row r="133" spans="1:93">
      <c r="A133">
        <v>2021</v>
      </c>
      <c r="B133" s="3"/>
      <c r="C133" s="3">
        <f t="shared" si="69"/>
        <v>120.81568201825931</v>
      </c>
      <c r="D133" s="3">
        <f t="shared" si="70"/>
        <v>63.082289986431647</v>
      </c>
      <c r="E133" s="3">
        <f t="shared" si="71"/>
        <v>28.477982190018274</v>
      </c>
      <c r="F133" s="6">
        <f>'Exchange Rates'!F60</f>
        <v>1.3169999999999999</v>
      </c>
      <c r="G133" s="3"/>
      <c r="H133" s="3">
        <f>(C133*USA!$AU108/100)/$AW100*100*$F133</f>
        <v>159.55031597664441</v>
      </c>
      <c r="I133" s="3">
        <f>(D133*USA!$AU108/100)/$AW100*100*$F133</f>
        <v>83.307060240278659</v>
      </c>
      <c r="J133" s="3">
        <f>(E133*USA!$AU108/100)/$AW100*100*$F133</f>
        <v>37.608288765923334</v>
      </c>
      <c r="K133" s="6"/>
      <c r="L133" s="6">
        <f t="shared" si="72"/>
        <v>99.857560742664859</v>
      </c>
      <c r="M133" s="6">
        <f t="shared" si="73"/>
        <v>65.448263737561803</v>
      </c>
      <c r="N133" s="6">
        <f t="shared" si="74"/>
        <v>44.823979199311069</v>
      </c>
      <c r="O133">
        <v>2021</v>
      </c>
      <c r="P133" s="3">
        <f t="shared" si="86"/>
        <v>28.923300542060669</v>
      </c>
      <c r="Q133" s="3"/>
      <c r="R133" s="3">
        <f t="shared" si="56"/>
        <v>21.892746418403341</v>
      </c>
      <c r="S133" s="3">
        <f t="shared" si="57"/>
        <v>16.043165927535821</v>
      </c>
      <c r="T133" s="3">
        <f t="shared" si="58"/>
        <v>12.537037556033196</v>
      </c>
      <c r="U133" s="3"/>
      <c r="V133" s="3">
        <f t="shared" si="60"/>
        <v>150.67360770312885</v>
      </c>
      <c r="W133" s="3">
        <f t="shared" si="61"/>
        <v>110.4147302071583</v>
      </c>
      <c r="X133" s="3">
        <f t="shared" si="62"/>
        <v>86.284317297404939</v>
      </c>
      <c r="Y133" s="3"/>
      <c r="Z133" s="3">
        <f t="shared" si="64"/>
        <v>173.45025661769094</v>
      </c>
      <c r="AA133" s="3">
        <f t="shared" si="65"/>
        <v>127.10562639834515</v>
      </c>
      <c r="AB133" s="3">
        <f t="shared" si="66"/>
        <v>99.327527929142249</v>
      </c>
      <c r="AC133" s="3"/>
      <c r="AD133" s="3">
        <f t="shared" si="83"/>
        <v>1.6956716845995787</v>
      </c>
      <c r="AE133" s="3">
        <f t="shared" si="84"/>
        <v>1.2426007077753951</v>
      </c>
      <c r="AF133" s="3">
        <f t="shared" si="85"/>
        <v>0.97103849769422479</v>
      </c>
      <c r="AH133" s="23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/>
      <c r="AO133"/>
      <c r="AP133"/>
      <c r="AQ133"/>
      <c r="AR133"/>
      <c r="AS133"/>
      <c r="AT133"/>
      <c r="AU133"/>
      <c r="AV133"/>
      <c r="BJ133" s="3"/>
      <c r="BK133" s="3"/>
      <c r="BL133" s="3"/>
      <c r="BM133" s="3"/>
      <c r="BN133" s="3"/>
      <c r="BO133" s="3"/>
      <c r="BP133" s="3"/>
      <c r="BY133"/>
      <c r="BZ133"/>
      <c r="CA133"/>
      <c r="CB133"/>
      <c r="CC133"/>
      <c r="CD133"/>
      <c r="CE133" s="9"/>
      <c r="CI133" s="12"/>
      <c r="CJ133" s="12"/>
      <c r="CK133" s="12"/>
      <c r="CL133" s="12"/>
      <c r="CM133" s="12"/>
      <c r="CN133" s="12"/>
      <c r="CO133" s="12"/>
    </row>
    <row r="134" spans="1:93">
      <c r="A134">
        <v>2022</v>
      </c>
      <c r="B134" s="3"/>
      <c r="C134" s="3">
        <f t="shared" si="69"/>
        <v>127.71943527644558</v>
      </c>
      <c r="D134" s="3">
        <f t="shared" si="70"/>
        <v>68.168185410991157</v>
      </c>
      <c r="E134" s="3">
        <f t="shared" si="71"/>
        <v>29.340951347291547</v>
      </c>
      <c r="F134" s="6">
        <f>'Exchange Rates'!F61</f>
        <v>1.3169999999999999</v>
      </c>
      <c r="G134" s="3"/>
      <c r="H134" s="3">
        <f>(C134*USA!$AU109/100)/$AW101*100*$F134</f>
        <v>168.66747688959558</v>
      </c>
      <c r="I134" s="3">
        <f>(D134*USA!$AU109/100)/$AW101*100*$F134</f>
        <v>90.023541151175678</v>
      </c>
      <c r="J134" s="3">
        <f>(E134*USA!$AU109/100)/$AW101*100*$F134</f>
        <v>38.747933880042218</v>
      </c>
      <c r="K134" s="6"/>
      <c r="L134" s="6">
        <f t="shared" si="72"/>
        <v>103.97222104497172</v>
      </c>
      <c r="M134" s="6">
        <f t="shared" si="73"/>
        <v>68.47947461988943</v>
      </c>
      <c r="N134" s="6">
        <f t="shared" si="74"/>
        <v>45.338311737099424</v>
      </c>
      <c r="O134">
        <v>2022</v>
      </c>
      <c r="P134" s="3">
        <f t="shared" si="86"/>
        <v>28.923300542060669</v>
      </c>
      <c r="Q134" s="3"/>
      <c r="R134" s="3">
        <f t="shared" si="56"/>
        <v>22.59223866979551</v>
      </c>
      <c r="S134" s="3">
        <f t="shared" si="57"/>
        <v>16.558471777531519</v>
      </c>
      <c r="T134" s="3">
        <f t="shared" si="58"/>
        <v>12.624474087457216</v>
      </c>
      <c r="U134" s="3"/>
      <c r="V134" s="3">
        <f t="shared" si="60"/>
        <v>155.4877602568279</v>
      </c>
      <c r="W134" s="3">
        <f t="shared" si="61"/>
        <v>113.96124693948163</v>
      </c>
      <c r="X134" s="3">
        <f t="shared" si="62"/>
        <v>86.886086366617306</v>
      </c>
      <c r="Y134" s="3"/>
      <c r="Z134" s="3">
        <f t="shared" si="64"/>
        <v>178.99214287477872</v>
      </c>
      <c r="AA134" s="3">
        <f t="shared" si="65"/>
        <v>131.18825405090945</v>
      </c>
      <c r="AB134" s="3">
        <f t="shared" si="66"/>
        <v>100.02026371127822</v>
      </c>
      <c r="AC134" s="3"/>
      <c r="AD134" s="3">
        <f t="shared" si="83"/>
        <v>1.7498498667981104</v>
      </c>
      <c r="AE134" s="3">
        <f t="shared" si="84"/>
        <v>1.2825129929700794</v>
      </c>
      <c r="AF134" s="3">
        <f t="shared" si="85"/>
        <v>0.97781077046904119</v>
      </c>
      <c r="AH134" s="23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/>
      <c r="AO134"/>
      <c r="AP134"/>
      <c r="AQ134"/>
      <c r="AR134"/>
      <c r="AS134"/>
      <c r="AT134"/>
      <c r="AU134"/>
      <c r="AV134"/>
      <c r="BJ134" s="3"/>
      <c r="BK134" s="3"/>
      <c r="BL134" s="3"/>
      <c r="BM134" s="3"/>
      <c r="BN134" s="3"/>
      <c r="BO134" s="3"/>
      <c r="BP134" s="3"/>
      <c r="BY134"/>
      <c r="BZ134"/>
      <c r="CA134"/>
      <c r="CB134"/>
      <c r="CC134"/>
      <c r="CD134"/>
      <c r="CE134" s="9"/>
      <c r="CI134" s="12"/>
      <c r="CJ134" s="12"/>
      <c r="CK134" s="12"/>
      <c r="CL134" s="12"/>
      <c r="CM134" s="12"/>
      <c r="CN134" s="12"/>
      <c r="CO134" s="12"/>
    </row>
    <row r="135" spans="1:93">
      <c r="A135">
        <v>2023</v>
      </c>
      <c r="B135" s="3"/>
      <c r="C135" s="3">
        <f t="shared" si="69"/>
        <v>132.89725022008525</v>
      </c>
      <c r="D135" s="3">
        <f t="shared" si="70"/>
        <v>70.508542947524788</v>
      </c>
      <c r="E135" s="3">
        <f t="shared" si="71"/>
        <v>29.340951347291547</v>
      </c>
      <c r="F135" s="6">
        <f>'Exchange Rates'!F62</f>
        <v>1.3169999999999999</v>
      </c>
      <c r="G135" s="3"/>
      <c r="H135" s="3">
        <f>(C135*USA!$AU110/100)/$AW102*100*$F135</f>
        <v>175.5053475743089</v>
      </c>
      <c r="I135" s="3">
        <f>(D135*USA!$AU110/100)/$AW102*100*$F135</f>
        <v>93.114239131888368</v>
      </c>
      <c r="J135" s="3">
        <f>(E135*USA!$AU110/100)/$AW102*100*$F135</f>
        <v>38.747933880042218</v>
      </c>
      <c r="K135" s="6"/>
      <c r="L135" s="6">
        <f t="shared" si="72"/>
        <v>107.05821627170182</v>
      </c>
      <c r="M135" s="6">
        <f t="shared" si="73"/>
        <v>69.87433563079837</v>
      </c>
      <c r="N135" s="6">
        <f t="shared" si="74"/>
        <v>45.338311737099424</v>
      </c>
      <c r="O135">
        <v>2023</v>
      </c>
      <c r="P135" s="3">
        <f t="shared" si="86"/>
        <v>28.923300542060669</v>
      </c>
      <c r="Q135" s="3"/>
      <c r="R135" s="3">
        <f t="shared" si="56"/>
        <v>23.116857858339625</v>
      </c>
      <c r="S135" s="3">
        <f t="shared" si="57"/>
        <v>16.795598149386038</v>
      </c>
      <c r="T135" s="3">
        <f t="shared" si="58"/>
        <v>12.624474087457216</v>
      </c>
      <c r="U135" s="3"/>
      <c r="V135" s="3">
        <f t="shared" si="60"/>
        <v>159.0983746721021</v>
      </c>
      <c r="W135" s="3">
        <f t="shared" si="61"/>
        <v>115.59323432224508</v>
      </c>
      <c r="X135" s="3">
        <f t="shared" si="62"/>
        <v>86.886086366617306</v>
      </c>
      <c r="Y135" s="3"/>
      <c r="Z135" s="3">
        <f t="shared" si="64"/>
        <v>183.14855756759451</v>
      </c>
      <c r="AA135" s="3">
        <f t="shared" si="65"/>
        <v>133.06694159713771</v>
      </c>
      <c r="AB135" s="3">
        <f t="shared" si="66"/>
        <v>100.02026371127822</v>
      </c>
      <c r="AC135" s="3"/>
      <c r="AD135" s="3">
        <f t="shared" si="83"/>
        <v>1.7904835034470088</v>
      </c>
      <c r="AE135" s="3">
        <f t="shared" si="84"/>
        <v>1.300879280449093</v>
      </c>
      <c r="AF135" s="3">
        <f t="shared" si="85"/>
        <v>0.97781077046904119</v>
      </c>
      <c r="AH135" s="23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/>
      <c r="AO135"/>
      <c r="AP135"/>
      <c r="AQ135"/>
      <c r="AR135"/>
      <c r="AS135"/>
      <c r="AT135"/>
      <c r="AU135"/>
      <c r="AV135"/>
      <c r="BJ135" s="3"/>
      <c r="BK135" s="3"/>
      <c r="BL135" s="3"/>
      <c r="BM135" s="3"/>
      <c r="BN135" s="3"/>
      <c r="BO135" s="3"/>
      <c r="BP135" s="3"/>
      <c r="BY135"/>
      <c r="BZ135"/>
      <c r="CA135"/>
      <c r="CB135"/>
      <c r="CC135"/>
      <c r="CD135"/>
      <c r="CE135" s="9"/>
      <c r="CI135" s="12"/>
      <c r="CJ135" s="12"/>
      <c r="CK135" s="12"/>
      <c r="CL135" s="12"/>
      <c r="CM135" s="12"/>
      <c r="CN135" s="12"/>
      <c r="CO135" s="12"/>
    </row>
    <row r="136" spans="1:93">
      <c r="A136">
        <v>2024</v>
      </c>
      <c r="B136" s="3"/>
      <c r="C136" s="3">
        <f t="shared" si="69"/>
        <v>137.21209600645167</v>
      </c>
      <c r="D136" s="3">
        <f t="shared" si="70"/>
        <v>71.127304204880986</v>
      </c>
      <c r="E136" s="3">
        <f t="shared" si="71"/>
        <v>29.340951347291547</v>
      </c>
      <c r="F136" s="6">
        <f>'Exchange Rates'!F63</f>
        <v>1.3169999999999999</v>
      </c>
      <c r="G136" s="3"/>
      <c r="H136" s="3">
        <f>(C136*USA!$AU111/100)/$AW103*100*$F136</f>
        <v>181.20357314490334</v>
      </c>
      <c r="I136" s="3">
        <f>(D136*USA!$AU111/100)/$AW103*100*$F136</f>
        <v>93.931381016750322</v>
      </c>
      <c r="J136" s="3">
        <f>(E136*USA!$AU111/100)/$AW103*100*$F136</f>
        <v>38.747933880042218</v>
      </c>
      <c r="K136" s="6"/>
      <c r="L136" s="6">
        <f t="shared" si="72"/>
        <v>109.62987896064359</v>
      </c>
      <c r="M136" s="6">
        <f t="shared" si="73"/>
        <v>70.243119433902848</v>
      </c>
      <c r="N136" s="6">
        <f t="shared" si="74"/>
        <v>45.338311737099424</v>
      </c>
      <c r="O136">
        <v>2024</v>
      </c>
      <c r="P136" s="3">
        <f t="shared" si="86"/>
        <v>28.923300542060669</v>
      </c>
      <c r="Q136" s="3"/>
      <c r="R136" s="3">
        <f t="shared" si="56"/>
        <v>23.554040515459729</v>
      </c>
      <c r="S136" s="3">
        <f t="shared" si="57"/>
        <v>16.858291395913799</v>
      </c>
      <c r="T136" s="3">
        <f t="shared" si="58"/>
        <v>12.624474087457216</v>
      </c>
      <c r="U136" s="3"/>
      <c r="V136" s="3">
        <f t="shared" si="60"/>
        <v>162.10722001816399</v>
      </c>
      <c r="W136" s="3">
        <f t="shared" si="61"/>
        <v>116.02471137187732</v>
      </c>
      <c r="X136" s="3">
        <f t="shared" si="62"/>
        <v>86.886086366617306</v>
      </c>
      <c r="Y136" s="3"/>
      <c r="Z136" s="3">
        <f t="shared" si="64"/>
        <v>186.61223647827438</v>
      </c>
      <c r="AA136" s="3">
        <f t="shared" si="65"/>
        <v>133.56364308404187</v>
      </c>
      <c r="AB136" s="3">
        <f t="shared" si="66"/>
        <v>100.02026371127822</v>
      </c>
      <c r="AC136" s="3"/>
      <c r="AD136" s="3">
        <f t="shared" si="83"/>
        <v>1.8243448673210907</v>
      </c>
      <c r="AE136" s="3">
        <f t="shared" si="84"/>
        <v>1.3057350971164519</v>
      </c>
      <c r="AF136" s="3">
        <f t="shared" si="85"/>
        <v>0.97781077046904119</v>
      </c>
      <c r="AH136" s="23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/>
      <c r="AO136"/>
      <c r="AP136"/>
      <c r="AQ136"/>
      <c r="AR136"/>
      <c r="AS136"/>
      <c r="AT136"/>
      <c r="AU136"/>
      <c r="AV136"/>
      <c r="BJ136" s="3"/>
      <c r="BK136" s="3"/>
      <c r="BL136" s="3"/>
      <c r="BM136" s="3"/>
      <c r="BN136" s="3"/>
      <c r="BO136" s="3"/>
      <c r="BP136" s="3"/>
      <c r="BY136"/>
      <c r="BZ136"/>
      <c r="CA136"/>
      <c r="CB136"/>
      <c r="CC136"/>
      <c r="CD136"/>
      <c r="CE136" s="9"/>
      <c r="CI136" s="12"/>
      <c r="CJ136" s="12"/>
      <c r="CK136" s="12"/>
      <c r="CL136" s="12"/>
      <c r="CM136" s="12"/>
      <c r="CN136" s="12"/>
      <c r="CO136" s="12"/>
    </row>
    <row r="137" spans="1:93">
      <c r="A137">
        <v>2025</v>
      </c>
      <c r="B137" s="3"/>
      <c r="C137" s="3">
        <f t="shared" si="69"/>
        <v>141.52694179281806</v>
      </c>
      <c r="D137" s="3">
        <f t="shared" si="70"/>
        <v>74.364924740814473</v>
      </c>
      <c r="E137" s="3">
        <f t="shared" si="71"/>
        <v>30.203920504564827</v>
      </c>
      <c r="F137" s="6">
        <f>'Exchange Rates'!F64</f>
        <v>1.3169999999999999</v>
      </c>
      <c r="G137" s="3"/>
      <c r="H137" s="3">
        <f>(C137*USA!$AU112/100)/$AW104*100*$F137</f>
        <v>186.90179871549776</v>
      </c>
      <c r="I137" s="3">
        <f>(D137*USA!$AU112/100)/$AW104*100*$F137</f>
        <v>98.207012879198402</v>
      </c>
      <c r="J137" s="3">
        <f>(E137*USA!$AU112/100)/$AW104*100*$F137</f>
        <v>39.887578994161103</v>
      </c>
      <c r="K137" s="6"/>
      <c r="L137" s="6">
        <f t="shared" si="72"/>
        <v>112.20154164958535</v>
      </c>
      <c r="M137" s="6">
        <f t="shared" si="73"/>
        <v>72.172752228548646</v>
      </c>
      <c r="N137" s="6">
        <f t="shared" si="74"/>
        <v>45.85264427488778</v>
      </c>
      <c r="O137">
        <v>2025</v>
      </c>
      <c r="P137" s="3">
        <f t="shared" si="86"/>
        <v>28.923300542060669</v>
      </c>
      <c r="Q137" s="3"/>
      <c r="R137" s="3">
        <f t="shared" si="56"/>
        <v>23.991223172579826</v>
      </c>
      <c r="S137" s="3">
        <f t="shared" si="57"/>
        <v>17.186328971003586</v>
      </c>
      <c r="T137" s="3">
        <f t="shared" si="58"/>
        <v>12.711910618881237</v>
      </c>
      <c r="U137" s="3"/>
      <c r="V137" s="3">
        <f t="shared" si="60"/>
        <v>165.11606536422585</v>
      </c>
      <c r="W137" s="3">
        <f t="shared" si="61"/>
        <v>118.28238174161291</v>
      </c>
      <c r="X137" s="3">
        <f t="shared" si="62"/>
        <v>87.487855435829687</v>
      </c>
      <c r="Y137" s="3"/>
      <c r="Z137" s="3">
        <f t="shared" si="64"/>
        <v>190.07591538895423</v>
      </c>
      <c r="AA137" s="3">
        <f t="shared" si="65"/>
        <v>136.1625952891311</v>
      </c>
      <c r="AB137" s="3">
        <f t="shared" si="66"/>
        <v>100.71299949341419</v>
      </c>
      <c r="AC137" s="3"/>
      <c r="AD137" s="3">
        <f t="shared" si="83"/>
        <v>1.8582062311951728</v>
      </c>
      <c r="AE137" s="3">
        <f t="shared" si="84"/>
        <v>1.3311427831570155</v>
      </c>
      <c r="AF137" s="3">
        <f t="shared" si="85"/>
        <v>0.98458304324385748</v>
      </c>
      <c r="AH137" s="23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/>
      <c r="AO137"/>
      <c r="AP137"/>
      <c r="AQ137"/>
      <c r="AR137"/>
      <c r="AS137"/>
      <c r="AT137"/>
      <c r="AU137"/>
      <c r="AV137"/>
      <c r="BJ137" s="3"/>
      <c r="BK137" s="3"/>
      <c r="BL137" s="3"/>
      <c r="BM137" s="3"/>
      <c r="BN137" s="3"/>
      <c r="BO137" s="3"/>
      <c r="BP137" s="3"/>
      <c r="BY137"/>
      <c r="BZ137"/>
      <c r="CA137"/>
      <c r="CB137"/>
      <c r="CC137"/>
      <c r="CD137"/>
      <c r="CE137" s="9"/>
      <c r="CI137" s="12"/>
      <c r="CJ137" s="12"/>
      <c r="CK137" s="12"/>
      <c r="CL137" s="12"/>
      <c r="CM137" s="12"/>
      <c r="CN137" s="12"/>
      <c r="CO137" s="12"/>
    </row>
    <row r="138" spans="1:93">
      <c r="A138">
        <v>2026</v>
      </c>
      <c r="B138" s="3"/>
      <c r="C138" s="3">
        <f t="shared" si="69"/>
        <v>145.84178757918448</v>
      </c>
      <c r="D138" s="3">
        <f t="shared" si="70"/>
        <v>80.055420065999314</v>
      </c>
      <c r="E138" s="3">
        <f t="shared" si="71"/>
        <v>31.066889661838108</v>
      </c>
      <c r="F138" s="6">
        <f>'Exchange Rates'!F65</f>
        <v>1.3169999999999999</v>
      </c>
      <c r="G138" s="3"/>
      <c r="H138" s="3">
        <f>(C138*USA!$AU113/100)/$AW105*100*$F138</f>
        <v>192.60002428609224</v>
      </c>
      <c r="I138" s="3">
        <f>(D138*USA!$AU113/100)/$AW105*100*$F138</f>
        <v>105.72193405523946</v>
      </c>
      <c r="J138" s="3">
        <f>(E138*USA!$AU113/100)/$AW105*100*$F138</f>
        <v>41.027224108279988</v>
      </c>
      <c r="K138" s="6"/>
      <c r="L138" s="6">
        <f t="shared" si="72"/>
        <v>114.77320433852712</v>
      </c>
      <c r="M138" s="6">
        <f t="shared" si="73"/>
        <v>75.564306697450988</v>
      </c>
      <c r="N138" s="6">
        <f t="shared" si="74"/>
        <v>46.366976812676128</v>
      </c>
      <c r="O138">
        <v>2026</v>
      </c>
      <c r="P138" s="3">
        <f t="shared" si="86"/>
        <v>28.923300542060669</v>
      </c>
      <c r="Q138" s="3"/>
      <c r="R138" s="3">
        <f t="shared" si="56"/>
        <v>24.428405829699926</v>
      </c>
      <c r="S138" s="3">
        <f t="shared" si="57"/>
        <v>17.762893230716983</v>
      </c>
      <c r="T138" s="3">
        <f t="shared" si="58"/>
        <v>12.799347150305257</v>
      </c>
      <c r="U138" s="3"/>
      <c r="V138" s="3">
        <f t="shared" si="60"/>
        <v>168.12491071028771</v>
      </c>
      <c r="W138" s="3">
        <f t="shared" si="61"/>
        <v>122.25050047022864</v>
      </c>
      <c r="X138" s="3">
        <f t="shared" si="62"/>
        <v>88.089624505042053</v>
      </c>
      <c r="Y138" s="3"/>
      <c r="Z138" s="3">
        <f t="shared" si="64"/>
        <v>193.53959429963408</v>
      </c>
      <c r="AA138" s="3">
        <f t="shared" si="65"/>
        <v>140.73055660803678</v>
      </c>
      <c r="AB138" s="3">
        <f t="shared" si="66"/>
        <v>101.40573527555016</v>
      </c>
      <c r="AC138" s="3"/>
      <c r="AD138" s="3">
        <f t="shared" si="83"/>
        <v>1.8920675950692547</v>
      </c>
      <c r="AE138" s="3">
        <f t="shared" si="84"/>
        <v>1.3757997517649505</v>
      </c>
      <c r="AF138" s="3">
        <f t="shared" si="85"/>
        <v>0.99135531601867388</v>
      </c>
      <c r="AH138" s="23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/>
      <c r="AO138"/>
      <c r="AP138"/>
      <c r="AQ138"/>
      <c r="AR138"/>
      <c r="AS138"/>
      <c r="AT138"/>
      <c r="AU138"/>
      <c r="AV138"/>
      <c r="BJ138" s="3"/>
      <c r="BK138" s="3"/>
      <c r="BL138" s="3"/>
      <c r="BM138" s="3"/>
      <c r="BN138" s="3"/>
      <c r="BO138" s="3"/>
      <c r="BP138" s="3"/>
      <c r="BY138"/>
      <c r="BZ138"/>
      <c r="CA138"/>
      <c r="CB138"/>
      <c r="CC138"/>
      <c r="CD138"/>
      <c r="CE138" s="9"/>
      <c r="CI138" s="12"/>
      <c r="CJ138" s="12"/>
      <c r="CK138" s="12"/>
      <c r="CL138" s="12"/>
      <c r="CM138" s="12"/>
      <c r="CN138" s="12"/>
      <c r="CO138" s="12"/>
    </row>
    <row r="139" spans="1:93">
      <c r="A139">
        <v>2027</v>
      </c>
      <c r="B139" s="3"/>
      <c r="C139" s="3">
        <f t="shared" si="69"/>
        <v>150.15663336555087</v>
      </c>
      <c r="D139" s="3">
        <f t="shared" si="70"/>
        <v>82.98815737026753</v>
      </c>
      <c r="E139" s="3">
        <f t="shared" si="71"/>
        <v>31.929858819111395</v>
      </c>
      <c r="F139" s="6">
        <f>'Exchange Rates'!F66</f>
        <v>1.3169999999999999</v>
      </c>
      <c r="G139" s="3"/>
      <c r="H139" s="3">
        <f>(C139*USA!$AU114/100)/$AW106*100*$F139</f>
        <v>198.29824985668665</v>
      </c>
      <c r="I139" s="3">
        <f>(D139*USA!$AU114/100)/$AW106*100*$F139</f>
        <v>109.5949342796786</v>
      </c>
      <c r="J139" s="3">
        <f>(E139*USA!$AU114/100)/$AW106*100*$F139</f>
        <v>42.166869222398894</v>
      </c>
      <c r="K139" s="6"/>
      <c r="L139" s="6">
        <f t="shared" si="72"/>
        <v>117.34486702746888</v>
      </c>
      <c r="M139" s="6">
        <f t="shared" si="73"/>
        <v>77.312228054382132</v>
      </c>
      <c r="N139" s="6">
        <f t="shared" si="74"/>
        <v>46.881309350464491</v>
      </c>
      <c r="O139">
        <v>2027</v>
      </c>
      <c r="P139" s="3">
        <f t="shared" si="86"/>
        <v>28.923300542060669</v>
      </c>
      <c r="Q139" s="3"/>
      <c r="R139" s="3">
        <f t="shared" si="56"/>
        <v>24.865588486820023</v>
      </c>
      <c r="S139" s="3">
        <f t="shared" si="57"/>
        <v>18.060039861395278</v>
      </c>
      <c r="T139" s="3">
        <f t="shared" si="58"/>
        <v>12.886783681729279</v>
      </c>
      <c r="U139" s="3"/>
      <c r="V139" s="3">
        <f t="shared" si="60"/>
        <v>171.13375605634957</v>
      </c>
      <c r="W139" s="3">
        <f t="shared" si="61"/>
        <v>124.29556845783809</v>
      </c>
      <c r="X139" s="3">
        <f t="shared" si="62"/>
        <v>88.691393574254448</v>
      </c>
      <c r="Y139" s="3"/>
      <c r="Z139" s="3">
        <f t="shared" si="64"/>
        <v>197.00327321031389</v>
      </c>
      <c r="AA139" s="3">
        <f t="shared" si="65"/>
        <v>143.0847682888932</v>
      </c>
      <c r="AB139" s="3">
        <f t="shared" si="66"/>
        <v>102.09847105768614</v>
      </c>
      <c r="AC139" s="3"/>
      <c r="AD139" s="3">
        <f t="shared" si="83"/>
        <v>1.9259289589433366</v>
      </c>
      <c r="AE139" s="3">
        <f t="shared" si="84"/>
        <v>1.3988148234323317</v>
      </c>
      <c r="AF139" s="3">
        <f t="shared" si="85"/>
        <v>0.99812758879349051</v>
      </c>
      <c r="AH139" s="23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/>
      <c r="AO139"/>
      <c r="AP139"/>
      <c r="AQ139"/>
      <c r="AR139"/>
      <c r="AS139"/>
      <c r="AT139"/>
      <c r="AU139"/>
      <c r="AV139"/>
      <c r="BJ139" s="3"/>
      <c r="BK139" s="3"/>
      <c r="BL139" s="3"/>
      <c r="BM139" s="3"/>
      <c r="BN139" s="3"/>
      <c r="BO139" s="3"/>
      <c r="BP139" s="3"/>
      <c r="BY139"/>
      <c r="BZ139"/>
      <c r="CA139"/>
      <c r="CB139"/>
      <c r="CC139"/>
      <c r="CD139"/>
      <c r="CE139" s="9"/>
      <c r="CI139" s="12"/>
      <c r="CJ139" s="12"/>
      <c r="CK139" s="12"/>
      <c r="CL139" s="12"/>
      <c r="CM139" s="12"/>
      <c r="CN139" s="12"/>
      <c r="CO139" s="12"/>
    </row>
    <row r="140" spans="1:93">
      <c r="A140">
        <v>2028</v>
      </c>
      <c r="B140" s="3"/>
      <c r="C140" s="3">
        <f t="shared" si="69"/>
        <v>153.60850999464401</v>
      </c>
      <c r="D140" s="3">
        <f t="shared" si="70"/>
        <v>84.844653255379882</v>
      </c>
      <c r="E140" s="3">
        <f t="shared" si="71"/>
        <v>31.929858819111395</v>
      </c>
      <c r="F140" s="6">
        <f>'Exchange Rates'!F67</f>
        <v>1.3169999999999999</v>
      </c>
      <c r="G140" s="3"/>
      <c r="H140" s="3">
        <f>(C140*USA!$AU115/100)/$AW107*100*$F140</f>
        <v>202.85683031316219</v>
      </c>
      <c r="I140" s="3">
        <f>(D140*USA!$AU115/100)/$AW107*100*$F140</f>
        <v>112.04664005272755</v>
      </c>
      <c r="J140" s="3">
        <f>(E140*USA!$AU115/100)/$AW107*100*$F140</f>
        <v>42.166869222398894</v>
      </c>
      <c r="K140" s="6"/>
      <c r="L140" s="6">
        <f t="shared" si="72"/>
        <v>119.40219717862229</v>
      </c>
      <c r="M140" s="6">
        <f t="shared" si="73"/>
        <v>78.418705883787439</v>
      </c>
      <c r="N140" s="6">
        <f t="shared" si="74"/>
        <v>46.881309350464491</v>
      </c>
      <c r="O140">
        <v>2028</v>
      </c>
      <c r="P140" s="3">
        <f t="shared" si="86"/>
        <v>28.923300542060669</v>
      </c>
      <c r="Q140" s="3"/>
      <c r="R140" s="3">
        <f t="shared" si="56"/>
        <v>25.215334612516106</v>
      </c>
      <c r="S140" s="3">
        <f t="shared" si="57"/>
        <v>18.248141092394182</v>
      </c>
      <c r="T140" s="3">
        <f t="shared" si="58"/>
        <v>12.886783681729279</v>
      </c>
      <c r="U140" s="3"/>
      <c r="V140" s="3">
        <f t="shared" si="60"/>
        <v>173.54083233319906</v>
      </c>
      <c r="W140" s="3">
        <f t="shared" si="61"/>
        <v>125.59014751824229</v>
      </c>
      <c r="X140" s="3">
        <f t="shared" si="62"/>
        <v>88.691393574254448</v>
      </c>
      <c r="Y140" s="3"/>
      <c r="Z140" s="3">
        <f t="shared" si="64"/>
        <v>199.77421633885777</v>
      </c>
      <c r="AA140" s="3">
        <f t="shared" si="65"/>
        <v>144.57504302022781</v>
      </c>
      <c r="AB140" s="3">
        <f t="shared" si="66"/>
        <v>102.09847105768614</v>
      </c>
      <c r="AC140" s="3"/>
      <c r="AD140" s="3">
        <f t="shared" si="83"/>
        <v>1.9530180500426022</v>
      </c>
      <c r="AE140" s="3">
        <f t="shared" si="84"/>
        <v>1.4133839380215838</v>
      </c>
      <c r="AF140" s="3">
        <f t="shared" si="85"/>
        <v>0.99812758879349051</v>
      </c>
      <c r="AH140" s="23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/>
      <c r="AO140"/>
      <c r="AP140"/>
      <c r="AQ140"/>
      <c r="AR140"/>
      <c r="AS140"/>
      <c r="AT140"/>
      <c r="AU140"/>
      <c r="AV140"/>
      <c r="BJ140" s="3"/>
      <c r="BK140" s="3"/>
      <c r="BL140" s="3"/>
      <c r="BM140" s="3"/>
      <c r="BN140" s="3"/>
      <c r="BO140" s="3"/>
      <c r="BP140" s="3"/>
      <c r="BY140"/>
      <c r="BZ140"/>
      <c r="CA140"/>
      <c r="CB140"/>
      <c r="CC140"/>
      <c r="CD140"/>
      <c r="CE140" s="9"/>
      <c r="CI140" s="12"/>
      <c r="CJ140" s="12"/>
      <c r="CK140" s="12"/>
      <c r="CL140" s="12"/>
      <c r="CM140" s="12"/>
      <c r="CN140" s="12"/>
      <c r="CO140" s="12"/>
    </row>
    <row r="141" spans="1:93">
      <c r="A141">
        <v>2029</v>
      </c>
      <c r="B141" s="3"/>
      <c r="C141" s="3">
        <f t="shared" si="69"/>
        <v>157.9233557810104</v>
      </c>
      <c r="D141" s="3">
        <f t="shared" si="70"/>
        <v>87.361009569245411</v>
      </c>
      <c r="E141" s="3">
        <f t="shared" si="71"/>
        <v>31.929858819111395</v>
      </c>
      <c r="F141" s="6">
        <f>'Exchange Rates'!F68</f>
        <v>1.3169999999999999</v>
      </c>
      <c r="G141" s="3"/>
      <c r="H141" s="3">
        <f>(C141*USA!$AU116/100)/$AW108*100*$F141</f>
        <v>208.55505588375667</v>
      </c>
      <c r="I141" s="3">
        <f>(D141*USA!$AU116/100)/$AW108*100*$F141</f>
        <v>115.36976365953213</v>
      </c>
      <c r="J141" s="3">
        <f>(E141*USA!$AU116/100)/$AW108*100*$F141</f>
        <v>42.166869222398894</v>
      </c>
      <c r="K141" s="6"/>
      <c r="L141" s="6">
        <f t="shared" si="72"/>
        <v>121.97385986756407</v>
      </c>
      <c r="M141" s="6">
        <f t="shared" si="73"/>
        <v>79.918462761518313</v>
      </c>
      <c r="N141" s="6">
        <f t="shared" si="74"/>
        <v>46.881309350464491</v>
      </c>
      <c r="O141">
        <v>2029</v>
      </c>
      <c r="P141" s="3">
        <f t="shared" si="86"/>
        <v>28.923300542060669</v>
      </c>
      <c r="Q141" s="3"/>
      <c r="R141" s="3">
        <f t="shared" si="56"/>
        <v>25.65251726963621</v>
      </c>
      <c r="S141" s="3">
        <f t="shared" si="57"/>
        <v>18.503099761608429</v>
      </c>
      <c r="T141" s="3">
        <f t="shared" si="58"/>
        <v>12.886783681729279</v>
      </c>
      <c r="U141" s="3"/>
      <c r="V141" s="3">
        <f t="shared" si="60"/>
        <v>176.54967767926095</v>
      </c>
      <c r="W141" s="3">
        <f t="shared" si="61"/>
        <v>127.34486306518741</v>
      </c>
      <c r="X141" s="3">
        <f t="shared" si="62"/>
        <v>88.691393574254448</v>
      </c>
      <c r="Y141" s="3"/>
      <c r="Z141" s="3">
        <f t="shared" si="64"/>
        <v>203.23789524953764</v>
      </c>
      <c r="AA141" s="3">
        <f t="shared" si="65"/>
        <v>146.59501099304197</v>
      </c>
      <c r="AB141" s="3">
        <f t="shared" si="66"/>
        <v>102.09847105768614</v>
      </c>
      <c r="AC141" s="3"/>
      <c r="AD141" s="3">
        <f t="shared" si="83"/>
        <v>1.9868794139166843</v>
      </c>
      <c r="AE141" s="3">
        <f t="shared" si="84"/>
        <v>1.4331314008509333</v>
      </c>
      <c r="AF141" s="3">
        <f t="shared" si="85"/>
        <v>0.99812758879349051</v>
      </c>
      <c r="AH141" s="23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/>
      <c r="AO141"/>
      <c r="AP141"/>
      <c r="AQ141"/>
      <c r="AR141"/>
      <c r="AS141"/>
      <c r="AT141"/>
      <c r="AU141"/>
      <c r="AV141"/>
      <c r="BJ141" s="3"/>
      <c r="BK141" s="3"/>
      <c r="BL141" s="3"/>
      <c r="BM141" s="3"/>
      <c r="BN141" s="3"/>
      <c r="BO141" s="3"/>
      <c r="BP141" s="3"/>
      <c r="BY141"/>
      <c r="BZ141"/>
      <c r="CA141"/>
      <c r="CB141"/>
      <c r="CC141"/>
      <c r="CD141"/>
      <c r="CE141" s="9"/>
      <c r="CI141" s="12"/>
      <c r="CJ141" s="12"/>
      <c r="CK141" s="12"/>
      <c r="CL141" s="12"/>
      <c r="CM141" s="12"/>
      <c r="CN141" s="12"/>
      <c r="CO141" s="12"/>
    </row>
    <row r="142" spans="1:93">
      <c r="A142">
        <v>2030</v>
      </c>
      <c r="B142" s="3"/>
      <c r="C142" s="3">
        <f t="shared" si="69"/>
        <v>160.51226325283022</v>
      </c>
      <c r="D142" s="3">
        <f t="shared" si="70"/>
        <v>89.285088706337618</v>
      </c>
      <c r="E142" s="3">
        <f t="shared" si="71"/>
        <v>32.792827976384679</v>
      </c>
      <c r="F142" s="6">
        <f>'Exchange Rates'!F69</f>
        <v>1.3169999999999999</v>
      </c>
      <c r="G142" s="3"/>
      <c r="H142" s="3">
        <f>(C142*USA!$AU117/100)/$AW109*100*$F142</f>
        <v>211.9739912261133</v>
      </c>
      <c r="I142" s="3">
        <f>(D142*USA!$AU117/100)/$AW109*100*$F142</f>
        <v>117.91072050519008</v>
      </c>
      <c r="J142" s="3">
        <f>(E142*USA!$AU117/100)/$AW109*100*$F142</f>
        <v>43.306514336517779</v>
      </c>
      <c r="K142" s="6"/>
      <c r="L142" s="6">
        <f t="shared" si="72"/>
        <v>123.51685748092912</v>
      </c>
      <c r="M142" s="6">
        <f t="shared" si="73"/>
        <v>81.065220437787005</v>
      </c>
      <c r="N142" s="6">
        <f t="shared" si="74"/>
        <v>47.39564188825284</v>
      </c>
      <c r="O142">
        <v>2030</v>
      </c>
      <c r="P142" s="3">
        <f t="shared" si="86"/>
        <v>28.923300542060669</v>
      </c>
      <c r="Q142" s="3"/>
      <c r="R142" s="3">
        <f t="shared" si="56"/>
        <v>25.914826863908264</v>
      </c>
      <c r="S142" s="3">
        <f t="shared" si="57"/>
        <v>18.698048566574105</v>
      </c>
      <c r="T142" s="3">
        <f t="shared" si="58"/>
        <v>12.974220213153298</v>
      </c>
      <c r="U142" s="3"/>
      <c r="V142" s="3">
        <f t="shared" si="60"/>
        <v>178.35498488689805</v>
      </c>
      <c r="W142" s="3">
        <f t="shared" si="61"/>
        <v>128.68656954642179</v>
      </c>
      <c r="X142" s="3">
        <f t="shared" si="62"/>
        <v>89.293162643466815</v>
      </c>
      <c r="Y142" s="3"/>
      <c r="Z142" s="3">
        <f t="shared" si="64"/>
        <v>205.31610259594552</v>
      </c>
      <c r="AA142" s="3">
        <f t="shared" si="65"/>
        <v>148.1395371846113</v>
      </c>
      <c r="AB142" s="3">
        <f t="shared" si="66"/>
        <v>102.79120683982211</v>
      </c>
      <c r="AC142" s="3"/>
      <c r="AD142" s="3">
        <f t="shared" si="83"/>
        <v>2.0071962322411334</v>
      </c>
      <c r="AE142" s="3">
        <f t="shared" si="84"/>
        <v>1.4482308845890242</v>
      </c>
      <c r="AF142" s="3">
        <f t="shared" si="85"/>
        <v>1.0048998615683069</v>
      </c>
      <c r="AH142" s="23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/>
      <c r="AO142"/>
      <c r="AP142"/>
      <c r="AQ142"/>
      <c r="AR142"/>
      <c r="AS142"/>
      <c r="AT142"/>
      <c r="AU142"/>
      <c r="AV142"/>
      <c r="BJ142" s="3"/>
      <c r="BK142" s="3"/>
      <c r="BL142" s="3"/>
      <c r="BM142" s="3"/>
      <c r="BN142" s="3"/>
      <c r="BO142" s="3"/>
      <c r="BP142" s="3"/>
      <c r="BY142"/>
      <c r="BZ142"/>
      <c r="CA142"/>
      <c r="CB142"/>
      <c r="CC142"/>
      <c r="CD142"/>
      <c r="CE142" s="9"/>
      <c r="CI142" s="12"/>
      <c r="CJ142" s="12"/>
      <c r="CK142" s="12"/>
      <c r="CL142" s="12"/>
      <c r="CM142" s="12"/>
      <c r="CN142" s="12"/>
      <c r="CO142" s="12"/>
    </row>
    <row r="143" spans="1:93">
      <c r="G143"/>
      <c r="J143"/>
      <c r="O143" s="12"/>
      <c r="P143"/>
      <c r="Q143"/>
      <c r="R143"/>
      <c r="X143"/>
      <c r="AH143" s="2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/>
      <c r="AO143"/>
      <c r="AP143"/>
      <c r="AQ143"/>
      <c r="AR143"/>
      <c r="AS143"/>
      <c r="AT143"/>
      <c r="AU143"/>
      <c r="AV143"/>
      <c r="BJ143" s="3"/>
      <c r="BK143" s="3"/>
      <c r="BL143" s="3"/>
      <c r="BM143" s="3"/>
      <c r="BN143" s="3"/>
      <c r="BO143" s="3"/>
      <c r="BP143" s="3"/>
      <c r="BY143"/>
      <c r="BZ143"/>
      <c r="CA143"/>
      <c r="CB143"/>
      <c r="CC143"/>
      <c r="CD143"/>
      <c r="CE143" s="9"/>
      <c r="CI143" s="12"/>
      <c r="CJ143" s="12"/>
      <c r="CK143" s="12"/>
      <c r="CL143" s="12"/>
      <c r="CM143" s="12"/>
      <c r="CN143" s="12"/>
      <c r="CO143" s="12"/>
    </row>
    <row r="144" spans="1:93">
      <c r="G144"/>
      <c r="J144"/>
      <c r="O144" s="12"/>
      <c r="P144"/>
      <c r="Q144"/>
      <c r="R144"/>
      <c r="X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/>
      <c r="AO144"/>
      <c r="AP144"/>
      <c r="AQ144"/>
      <c r="AR144"/>
      <c r="AS144"/>
      <c r="AT144"/>
      <c r="AU144"/>
      <c r="AV144"/>
      <c r="BJ144" s="3"/>
      <c r="BK144" s="3"/>
      <c r="BL144" s="3"/>
      <c r="BM144" s="3"/>
      <c r="BN144" s="3"/>
      <c r="BO144" s="3"/>
      <c r="BP144" s="3"/>
      <c r="BY144"/>
      <c r="BZ144"/>
      <c r="CA144"/>
      <c r="CB144"/>
      <c r="CC144"/>
      <c r="CD144"/>
      <c r="CE144" s="9"/>
      <c r="CI144" s="12"/>
      <c r="CJ144" s="12"/>
      <c r="CK144" s="12"/>
      <c r="CL144" s="12"/>
      <c r="CM144" s="12"/>
      <c r="CN144" s="12"/>
      <c r="CO144" s="12"/>
    </row>
    <row r="145" spans="4:96">
      <c r="D145" s="2"/>
      <c r="G145" s="12"/>
      <c r="J145"/>
      <c r="L145" s="23"/>
      <c r="M145" s="12"/>
      <c r="N145" s="12"/>
      <c r="O145" s="12"/>
      <c r="P145" s="23"/>
      <c r="Q145"/>
      <c r="R145"/>
      <c r="V145" s="23"/>
      <c r="X145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/>
      <c r="AO145"/>
      <c r="AP145"/>
      <c r="AQ145"/>
      <c r="AR145"/>
      <c r="AS145"/>
      <c r="AT145"/>
      <c r="AU145"/>
      <c r="AV145"/>
      <c r="BJ145" s="3"/>
      <c r="BK145" s="3"/>
      <c r="BL145" s="3"/>
      <c r="BM145" s="3"/>
      <c r="BN145" s="3"/>
      <c r="BO145" s="3"/>
      <c r="BP145" s="3"/>
      <c r="BY145"/>
      <c r="BZ145"/>
      <c r="CA145"/>
      <c r="CB145"/>
      <c r="CC145"/>
      <c r="CD145"/>
      <c r="CE145" s="9"/>
      <c r="CI145" s="12"/>
      <c r="CJ145" s="12"/>
      <c r="CK145" s="12"/>
      <c r="CL145" s="12"/>
      <c r="CM145" s="12"/>
      <c r="CN145" s="12"/>
      <c r="CO145" s="12"/>
    </row>
    <row r="146" spans="4:96">
      <c r="D146" s="2"/>
      <c r="G146" s="12"/>
      <c r="J146"/>
      <c r="L146" s="23"/>
      <c r="M146" s="12"/>
      <c r="N146" s="12"/>
      <c r="O146" s="12"/>
      <c r="P146" s="23"/>
      <c r="Q146"/>
      <c r="R146"/>
      <c r="V146" s="23"/>
      <c r="X146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/>
      <c r="AO146"/>
      <c r="AP146"/>
      <c r="AQ146"/>
      <c r="AR146"/>
      <c r="AS146"/>
      <c r="AT146"/>
      <c r="AU146"/>
      <c r="AV146"/>
      <c r="BJ146" s="3"/>
      <c r="BK146" s="3"/>
      <c r="BL146" s="3"/>
      <c r="BM146" s="3"/>
      <c r="BN146" s="3"/>
      <c r="BO146" s="3"/>
      <c r="BP146" s="3"/>
      <c r="BY146"/>
      <c r="BZ146"/>
      <c r="CA146"/>
      <c r="CB146"/>
      <c r="CC146"/>
      <c r="CD146"/>
      <c r="CE146" s="9"/>
      <c r="CI146" s="12"/>
      <c r="CJ146" s="12"/>
      <c r="CK146" s="12"/>
      <c r="CL146" s="12"/>
      <c r="CM146" s="12"/>
      <c r="CN146" s="12"/>
      <c r="CO146" s="12"/>
    </row>
    <row r="147" spans="4:96">
      <c r="O147" s="12"/>
      <c r="P147" s="23"/>
      <c r="R147" s="12"/>
      <c r="S147" s="23"/>
      <c r="X147"/>
      <c r="AG147" s="23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/>
      <c r="AO147"/>
      <c r="AP147"/>
      <c r="AQ147"/>
      <c r="AR147"/>
      <c r="AS147"/>
      <c r="AT147"/>
      <c r="AU147"/>
      <c r="AV147"/>
      <c r="AW147"/>
      <c r="AX147"/>
      <c r="AY147" s="9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Y147"/>
      <c r="BZ147"/>
      <c r="CA147"/>
      <c r="CB147"/>
      <c r="CC147"/>
      <c r="CD147"/>
      <c r="CE147"/>
      <c r="CF147"/>
      <c r="CG147"/>
      <c r="CH147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</row>
    <row r="148" spans="4:96">
      <c r="N148">
        <v>144.55381690115382</v>
      </c>
      <c r="O148" s="12"/>
      <c r="P148" s="23"/>
      <c r="R148" s="12"/>
      <c r="S148" s="23"/>
      <c r="X148"/>
      <c r="AG148" s="23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/>
      <c r="AO148"/>
      <c r="AP148"/>
      <c r="AQ148"/>
      <c r="AR148"/>
      <c r="AS148"/>
      <c r="AT148"/>
      <c r="AU148"/>
      <c r="AV148"/>
      <c r="AW148"/>
      <c r="AX148"/>
      <c r="AY148" s="9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Y148"/>
      <c r="BZ148"/>
      <c r="CA148"/>
      <c r="CB148"/>
      <c r="CC148"/>
      <c r="CD148"/>
      <c r="CE148"/>
      <c r="CF148"/>
      <c r="CG148"/>
      <c r="CH148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</row>
    <row r="149" spans="4:96">
      <c r="N149">
        <v>105.48987745727523</v>
      </c>
      <c r="O149" s="12"/>
      <c r="P149" s="23"/>
      <c r="R149" s="12"/>
      <c r="S149" s="23"/>
      <c r="X149"/>
      <c r="AG149" s="23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/>
      <c r="AO149"/>
      <c r="AP149"/>
      <c r="AQ149"/>
      <c r="AR149"/>
      <c r="AS149"/>
      <c r="AT149"/>
      <c r="AU149"/>
      <c r="AV149"/>
      <c r="AW149"/>
      <c r="AX149"/>
      <c r="AY149" s="9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Y149"/>
      <c r="BZ149"/>
      <c r="CA149"/>
      <c r="CB149"/>
      <c r="CC149"/>
      <c r="CD149"/>
      <c r="CE149"/>
      <c r="CF149"/>
      <c r="CG149"/>
      <c r="CH149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</row>
    <row r="150" spans="4:96">
      <c r="N150">
        <f>N148/N149-1</f>
        <v>0.37030983811408813</v>
      </c>
      <c r="O150" s="12"/>
      <c r="P150" s="23"/>
      <c r="R150" s="12"/>
      <c r="S150" s="23"/>
      <c r="X150"/>
      <c r="AG150" s="23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/>
      <c r="AO150"/>
      <c r="AP150"/>
      <c r="AQ150"/>
      <c r="AR150"/>
      <c r="AS150"/>
      <c r="AT150"/>
      <c r="AU150"/>
      <c r="AV150"/>
      <c r="AW150"/>
      <c r="AX150"/>
      <c r="AY150" s="9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Y150"/>
      <c r="BZ150"/>
      <c r="CA150"/>
      <c r="CB150"/>
      <c r="CC150"/>
      <c r="CD150"/>
      <c r="CE150"/>
      <c r="CF150"/>
      <c r="CG150"/>
      <c r="CH150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</row>
    <row r="151" spans="4:96">
      <c r="O151" s="12"/>
      <c r="P151" s="23"/>
      <c r="R151" s="12"/>
      <c r="S151" s="23"/>
      <c r="X151"/>
      <c r="AG151" s="23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/>
      <c r="AO151"/>
      <c r="AP151"/>
      <c r="AQ151"/>
      <c r="AR151"/>
      <c r="AS151"/>
      <c r="AT151"/>
      <c r="AU151"/>
      <c r="AV151"/>
      <c r="AW151"/>
      <c r="AX151"/>
      <c r="AY151" s="9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Y151"/>
      <c r="BZ151"/>
      <c r="CA151"/>
      <c r="CB151"/>
      <c r="CC151"/>
      <c r="CD151"/>
      <c r="CE151"/>
      <c r="CF151"/>
      <c r="CG151"/>
      <c r="CH151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</row>
    <row r="152" spans="4:96">
      <c r="O152" s="12"/>
      <c r="P152" s="23"/>
      <c r="R152" s="12"/>
      <c r="S152" s="23"/>
      <c r="X152"/>
      <c r="AG152" s="23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/>
      <c r="AO152"/>
      <c r="AP152"/>
      <c r="AQ152"/>
      <c r="AR152"/>
      <c r="AS152"/>
      <c r="AT152"/>
      <c r="AU152"/>
      <c r="AV152"/>
      <c r="AW152"/>
      <c r="AX152"/>
      <c r="AY152" s="9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Y152"/>
      <c r="BZ152"/>
      <c r="CA152"/>
      <c r="CB152"/>
      <c r="CC152"/>
      <c r="CD152"/>
      <c r="CE152"/>
      <c r="CF152"/>
      <c r="CG152"/>
      <c r="CH15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</row>
    <row r="153" spans="4:96">
      <c r="O153" s="12"/>
      <c r="P153" s="23"/>
      <c r="R153" s="12"/>
      <c r="S153" s="23"/>
      <c r="X153"/>
      <c r="AG153" s="23"/>
      <c r="AM153"/>
      <c r="AN153"/>
      <c r="AO153"/>
      <c r="AP153"/>
      <c r="AQ153"/>
      <c r="AR153"/>
      <c r="AS153"/>
      <c r="AT153"/>
      <c r="AU153"/>
      <c r="AV153"/>
      <c r="AW153"/>
      <c r="AX153"/>
      <c r="AY153" s="9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Y153"/>
      <c r="BZ153"/>
      <c r="CA153"/>
      <c r="CB153"/>
      <c r="CC153"/>
      <c r="CD153"/>
      <c r="CE153"/>
      <c r="CF153"/>
      <c r="CG153"/>
      <c r="CH153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</row>
    <row r="154" spans="4:96">
      <c r="O154" s="12"/>
      <c r="P154" s="23"/>
      <c r="R154" s="12"/>
      <c r="S154" s="23"/>
      <c r="X154"/>
      <c r="Y154" s="23"/>
      <c r="AM154"/>
      <c r="AN154"/>
      <c r="AO154"/>
      <c r="AP154"/>
      <c r="AQ154"/>
      <c r="AR154"/>
      <c r="AS154"/>
      <c r="AT154"/>
      <c r="AU154" s="9"/>
      <c r="BJ154" s="3"/>
      <c r="BK154" s="3"/>
      <c r="BL154" s="3"/>
      <c r="BM154" s="3"/>
      <c r="BN154" s="3"/>
      <c r="BY154"/>
      <c r="BZ154"/>
      <c r="CA154"/>
      <c r="CB154"/>
      <c r="CC154"/>
      <c r="CD154" s="3"/>
      <c r="CI154" s="12"/>
      <c r="CJ154" s="12"/>
      <c r="CK154" s="12"/>
      <c r="CL154" s="12"/>
      <c r="CM154" s="12"/>
    </row>
    <row r="155" spans="4:96">
      <c r="O155" s="12"/>
      <c r="P155" s="23"/>
      <c r="R155" s="12"/>
      <c r="S155" s="23"/>
      <c r="X155"/>
      <c r="Y155" s="23"/>
      <c r="AM155"/>
      <c r="AN155" s="9"/>
      <c r="BJ155" s="3"/>
      <c r="BY155"/>
      <c r="CC155" s="12"/>
      <c r="CD155" s="3"/>
      <c r="CI155" s="12"/>
    </row>
    <row r="157" spans="4:96">
      <c r="AJ157" s="3"/>
      <c r="AK157" s="3" t="s">
        <v>331</v>
      </c>
    </row>
    <row r="158" spans="4:96">
      <c r="AJ158" s="3"/>
      <c r="AK158" s="3"/>
    </row>
    <row r="159" spans="4:96">
      <c r="AK159" t="s">
        <v>2416</v>
      </c>
    </row>
    <row r="160" spans="4:96">
      <c r="AJ160" s="78">
        <v>43101</v>
      </c>
      <c r="AK160">
        <v>1.03</v>
      </c>
    </row>
    <row r="161" spans="36:37">
      <c r="AJ161" s="78">
        <v>43132</v>
      </c>
      <c r="AK161">
        <v>0.96</v>
      </c>
    </row>
    <row r="162" spans="36:37">
      <c r="AJ162" s="78">
        <v>43160</v>
      </c>
      <c r="AK162">
        <v>1.01</v>
      </c>
    </row>
    <row r="163" spans="36:37">
      <c r="AJ163" s="78">
        <v>43191</v>
      </c>
      <c r="AK163">
        <v>1.06</v>
      </c>
    </row>
    <row r="164" spans="36:37">
      <c r="AJ164" s="78">
        <v>43221</v>
      </c>
      <c r="AK164">
        <v>1.08</v>
      </c>
    </row>
    <row r="165" spans="36:37">
      <c r="AJ165" s="78">
        <v>43252</v>
      </c>
      <c r="AK165">
        <v>1.02</v>
      </c>
    </row>
    <row r="166" spans="36:37">
      <c r="AJ166" s="78">
        <v>43282</v>
      </c>
      <c r="AK166">
        <v>1.03</v>
      </c>
    </row>
    <row r="167" spans="36:37">
      <c r="AJ167" s="78">
        <v>43313</v>
      </c>
      <c r="AK167">
        <v>1.04</v>
      </c>
    </row>
    <row r="168" spans="36:37">
      <c r="AJ168" s="78">
        <v>43344</v>
      </c>
      <c r="AK168">
        <v>1.01</v>
      </c>
    </row>
    <row r="169" spans="36:37">
      <c r="AJ169" s="78">
        <v>43374</v>
      </c>
      <c r="AK169">
        <v>0.94</v>
      </c>
    </row>
    <row r="170" spans="36:37">
      <c r="AJ170" s="78">
        <v>43405</v>
      </c>
      <c r="AK170">
        <v>0.85</v>
      </c>
    </row>
    <row r="171" spans="36:37">
      <c r="AJ171" s="78">
        <v>43435</v>
      </c>
      <c r="AK171">
        <v>0.8</v>
      </c>
    </row>
    <row r="173" spans="36:37">
      <c r="AJ173">
        <v>2018</v>
      </c>
      <c r="AK173" s="3">
        <f>AVERAGE(AK160:AK171)</f>
        <v>0.98583333333333334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2"/>
  <sheetViews>
    <sheetView workbookViewId="0">
      <pane xSplit="1" ySplit="4" topLeftCell="I29" activePane="bottomRight" state="frozen"/>
      <selection activeCell="BN97" sqref="BN97"/>
      <selection pane="topRight" activeCell="BN97" sqref="BN97"/>
      <selection pane="bottomLeft" activeCell="BN97" sqref="BN97"/>
      <selection pane="bottomRight" activeCell="BN97" sqref="BN97"/>
    </sheetView>
  </sheetViews>
  <sheetFormatPr defaultRowHeight="15"/>
  <cols>
    <col min="15" max="15" width="3.140625" customWidth="1"/>
    <col min="17" max="17" width="2.7109375" customWidth="1"/>
    <col min="32" max="32" width="3.140625" customWidth="1"/>
    <col min="58" max="58" width="9.140625" style="3"/>
  </cols>
  <sheetData>
    <row r="1" spans="1:80">
      <c r="B1" t="s">
        <v>1</v>
      </c>
      <c r="C1" t="s">
        <v>1</v>
      </c>
      <c r="D1" t="s">
        <v>1</v>
      </c>
      <c r="E1" t="s">
        <v>1</v>
      </c>
      <c r="F1" t="s">
        <v>1</v>
      </c>
      <c r="G1" t="s">
        <v>1</v>
      </c>
      <c r="H1" t="s">
        <v>1</v>
      </c>
      <c r="I1" t="s">
        <v>1</v>
      </c>
      <c r="J1" t="s">
        <v>1</v>
      </c>
      <c r="K1" t="s">
        <v>1</v>
      </c>
      <c r="L1" t="s">
        <v>1</v>
      </c>
      <c r="M1" t="s">
        <v>1</v>
      </c>
      <c r="N1" t="s">
        <v>1</v>
      </c>
      <c r="R1" t="s">
        <v>2183</v>
      </c>
      <c r="AG1" t="s">
        <v>1</v>
      </c>
      <c r="AH1" t="s">
        <v>1</v>
      </c>
      <c r="AI1" t="s">
        <v>1</v>
      </c>
      <c r="AJ1" t="s">
        <v>1</v>
      </c>
      <c r="AK1" t="s">
        <v>1</v>
      </c>
      <c r="AL1" t="s">
        <v>1</v>
      </c>
      <c r="AM1" t="s">
        <v>1</v>
      </c>
      <c r="AN1" t="s">
        <v>1</v>
      </c>
      <c r="AO1" t="s">
        <v>1</v>
      </c>
      <c r="AP1" t="s">
        <v>1</v>
      </c>
      <c r="AQ1" t="s">
        <v>1</v>
      </c>
      <c r="AR1" t="s">
        <v>1</v>
      </c>
      <c r="AS1" t="s">
        <v>1</v>
      </c>
    </row>
    <row r="2" spans="1:80"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AG2" t="s">
        <v>2182</v>
      </c>
      <c r="AH2" t="s">
        <v>3</v>
      </c>
      <c r="AI2" t="s">
        <v>3</v>
      </c>
      <c r="AJ2" t="s">
        <v>3</v>
      </c>
      <c r="AK2" t="s">
        <v>3</v>
      </c>
      <c r="AL2" t="s">
        <v>3</v>
      </c>
      <c r="AM2" t="s">
        <v>3</v>
      </c>
      <c r="AN2" t="s">
        <v>3</v>
      </c>
      <c r="AO2" t="s">
        <v>3</v>
      </c>
      <c r="AP2" t="s">
        <v>3</v>
      </c>
      <c r="AQ2" t="s">
        <v>3</v>
      </c>
      <c r="AR2" t="s">
        <v>3</v>
      </c>
      <c r="AS2" t="s">
        <v>3</v>
      </c>
      <c r="AU2" t="s">
        <v>26</v>
      </c>
      <c r="BN2" t="s">
        <v>27</v>
      </c>
      <c r="BQ2" t="s">
        <v>2185</v>
      </c>
    </row>
    <row r="3" spans="1:80">
      <c r="B3" t="s">
        <v>12</v>
      </c>
      <c r="C3" t="s">
        <v>13</v>
      </c>
      <c r="D3" t="s">
        <v>14</v>
      </c>
      <c r="E3" t="s">
        <v>15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  <c r="N3" t="s">
        <v>24</v>
      </c>
      <c r="P3" t="s">
        <v>73</v>
      </c>
      <c r="R3" t="s">
        <v>12</v>
      </c>
      <c r="S3" t="s">
        <v>13</v>
      </c>
      <c r="T3" t="s">
        <v>14</v>
      </c>
      <c r="U3" t="s">
        <v>15</v>
      </c>
      <c r="V3" t="s">
        <v>16</v>
      </c>
      <c r="W3" t="s">
        <v>17</v>
      </c>
      <c r="X3" t="s">
        <v>18</v>
      </c>
      <c r="Y3" t="s">
        <v>19</v>
      </c>
      <c r="Z3" t="s">
        <v>20</v>
      </c>
      <c r="AA3" t="s">
        <v>21</v>
      </c>
      <c r="AB3" t="s">
        <v>22</v>
      </c>
      <c r="AC3" t="s">
        <v>23</v>
      </c>
      <c r="AD3" t="s">
        <v>24</v>
      </c>
      <c r="AE3" t="s">
        <v>24</v>
      </c>
      <c r="AG3" t="s">
        <v>12</v>
      </c>
      <c r="AH3" t="s">
        <v>13</v>
      </c>
      <c r="AI3" t="s">
        <v>14</v>
      </c>
      <c r="AJ3" t="s">
        <v>15</v>
      </c>
      <c r="AK3" t="s">
        <v>16</v>
      </c>
      <c r="AL3" t="s">
        <v>17</v>
      </c>
      <c r="AM3" t="s">
        <v>18</v>
      </c>
      <c r="AN3" t="s">
        <v>19</v>
      </c>
      <c r="AO3" t="s">
        <v>20</v>
      </c>
      <c r="AP3" t="s">
        <v>21</v>
      </c>
      <c r="AQ3" t="s">
        <v>22</v>
      </c>
      <c r="AR3" t="s">
        <v>23</v>
      </c>
      <c r="AS3" t="s">
        <v>24</v>
      </c>
      <c r="AT3" t="s">
        <v>4</v>
      </c>
      <c r="AU3" t="s">
        <v>25</v>
      </c>
      <c r="AV3" t="s">
        <v>4</v>
      </c>
      <c r="AX3" t="s">
        <v>5</v>
      </c>
      <c r="AZ3" t="s">
        <v>57</v>
      </c>
      <c r="BA3" t="s">
        <v>11</v>
      </c>
      <c r="BB3" t="s">
        <v>71</v>
      </c>
      <c r="BD3" t="s">
        <v>76</v>
      </c>
      <c r="BE3" t="s">
        <v>76</v>
      </c>
      <c r="BF3" s="3" t="s">
        <v>74</v>
      </c>
      <c r="BG3" t="s">
        <v>100</v>
      </c>
    </row>
    <row r="4" spans="1:80">
      <c r="B4" t="s">
        <v>6</v>
      </c>
      <c r="C4" t="s">
        <v>6</v>
      </c>
      <c r="D4" t="s">
        <v>6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6</v>
      </c>
      <c r="K4" t="s">
        <v>6</v>
      </c>
      <c r="L4" t="s">
        <v>6</v>
      </c>
      <c r="M4" t="s">
        <v>6</v>
      </c>
      <c r="N4" t="s">
        <v>6</v>
      </c>
      <c r="P4" t="s">
        <v>7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6</v>
      </c>
      <c r="X4" t="s">
        <v>6</v>
      </c>
      <c r="Y4" t="s">
        <v>6</v>
      </c>
      <c r="Z4" t="s">
        <v>6</v>
      </c>
      <c r="AA4" t="s">
        <v>6</v>
      </c>
      <c r="AB4" t="s">
        <v>6</v>
      </c>
      <c r="AC4" t="s">
        <v>6</v>
      </c>
      <c r="AE4" t="s">
        <v>6</v>
      </c>
      <c r="AG4" t="s">
        <v>6</v>
      </c>
      <c r="AH4" t="s">
        <v>6</v>
      </c>
      <c r="AI4" t="s">
        <v>6</v>
      </c>
      <c r="AJ4" t="s">
        <v>6</v>
      </c>
      <c r="AK4" t="s">
        <v>6</v>
      </c>
      <c r="AL4" t="s">
        <v>6</v>
      </c>
      <c r="AM4" t="s">
        <v>6</v>
      </c>
      <c r="AN4" t="s">
        <v>6</v>
      </c>
      <c r="AO4" t="s">
        <v>6</v>
      </c>
      <c r="AP4" t="s">
        <v>6</v>
      </c>
      <c r="AQ4" t="s">
        <v>6</v>
      </c>
      <c r="AR4" t="s">
        <v>6</v>
      </c>
      <c r="AS4" t="s">
        <v>6</v>
      </c>
      <c r="AT4" t="s">
        <v>8</v>
      </c>
      <c r="AU4" t="s">
        <v>9</v>
      </c>
      <c r="AV4" t="s">
        <v>10</v>
      </c>
      <c r="AW4" t="s">
        <v>11</v>
      </c>
      <c r="AX4" t="s">
        <v>10</v>
      </c>
      <c r="AZ4" t="s">
        <v>72</v>
      </c>
      <c r="BB4" t="s">
        <v>56</v>
      </c>
      <c r="BC4" t="s">
        <v>102</v>
      </c>
      <c r="BD4" t="s">
        <v>101</v>
      </c>
      <c r="BE4" t="s">
        <v>103</v>
      </c>
      <c r="BF4" s="3" t="s">
        <v>75</v>
      </c>
      <c r="BG4" t="s">
        <v>59</v>
      </c>
      <c r="BM4" t="s">
        <v>28</v>
      </c>
      <c r="BN4" t="s">
        <v>29</v>
      </c>
      <c r="BO4" t="s">
        <v>30</v>
      </c>
      <c r="BP4" t="s">
        <v>31</v>
      </c>
      <c r="BQ4" t="s">
        <v>32</v>
      </c>
      <c r="BR4" t="s">
        <v>33</v>
      </c>
      <c r="BS4" t="s">
        <v>34</v>
      </c>
      <c r="BT4" t="s">
        <v>35</v>
      </c>
      <c r="BU4" t="s">
        <v>36</v>
      </c>
      <c r="BV4" t="s">
        <v>37</v>
      </c>
      <c r="BW4" t="s">
        <v>38</v>
      </c>
      <c r="BX4" t="s">
        <v>39</v>
      </c>
      <c r="BY4" t="s">
        <v>40</v>
      </c>
      <c r="BZ4" t="s">
        <v>41</v>
      </c>
      <c r="CA4" t="s">
        <v>23</v>
      </c>
    </row>
    <row r="5" spans="1:80">
      <c r="A5">
        <v>1965</v>
      </c>
      <c r="B5">
        <v>46.31</v>
      </c>
      <c r="C5">
        <v>44.43</v>
      </c>
      <c r="D5">
        <v>47.87</v>
      </c>
      <c r="E5">
        <v>47.4</v>
      </c>
      <c r="F5">
        <v>48.34</v>
      </c>
      <c r="G5">
        <v>47.76</v>
      </c>
      <c r="H5">
        <v>52.03</v>
      </c>
      <c r="I5">
        <v>53.07</v>
      </c>
      <c r="J5">
        <v>54.79</v>
      </c>
      <c r="K5">
        <v>56.45</v>
      </c>
      <c r="L5" s="5">
        <f t="shared" ref="L5:L28" si="0">F5*L$30/F$30</f>
        <v>51.600669811320763</v>
      </c>
      <c r="M5" s="5">
        <f t="shared" ref="M5:M28" si="1">F5*M6/F6</f>
        <v>54.906943396226389</v>
      </c>
      <c r="N5" s="3">
        <f t="shared" ref="N5:N39" si="2">(B5*BX5+C5*BW5+D5*BV5+E5*BU5+F5*BT5+G5*BS5+H5*BR5+I5*BQ5+J5*BP5+K5*BO5+L5*BZ5+M5*CA5)/BN5</f>
        <v>48.175095034059083</v>
      </c>
      <c r="P5">
        <v>19.22</v>
      </c>
      <c r="R5">
        <v>3.4350000000000001</v>
      </c>
      <c r="S5">
        <v>3.1709999999999998</v>
      </c>
      <c r="T5">
        <v>3.6989999999999998</v>
      </c>
      <c r="U5">
        <v>4.492</v>
      </c>
      <c r="V5">
        <v>4.2279999999999998</v>
      </c>
      <c r="W5">
        <v>4.2279999999999998</v>
      </c>
      <c r="X5">
        <v>4.7560000000000002</v>
      </c>
      <c r="Y5">
        <v>5.0209999999999999</v>
      </c>
      <c r="Z5">
        <v>4.7560000000000002</v>
      </c>
      <c r="AA5">
        <v>5.0209999999999999</v>
      </c>
      <c r="AB5">
        <v>2.3780000000000001</v>
      </c>
      <c r="AC5">
        <v>2.3780000000000001</v>
      </c>
      <c r="AD5" s="3">
        <f>(R5*BX5+S5*BW5+T5*BV5+U5*BU5+V5*BT5+W5*BS5+X5*BR5+Y5*BQ5+Z5*BP5+AA5*BO5+AB5*BZ5+AC5*CA5)/BY5</f>
        <v>4.1392789368974139</v>
      </c>
      <c r="AE5" s="3">
        <f t="shared" ref="AE5:AE39" si="3">(R5*BX5+S5*BW5+T5*BV5+U5*BU5+V5*BT5+W5*BS5+X5*BR5+Y5*BQ5+Z5*BP5+AA5*BO5+AB5*BZ5+AC5*CA5)/BN5</f>
        <v>4.1306396355121153</v>
      </c>
      <c r="AG5" s="3">
        <f>B5*$P5/100</f>
        <v>8.9007819999999995</v>
      </c>
      <c r="AH5" s="3">
        <f t="shared" ref="AH5:AS5" si="4">C5*$P5/100</f>
        <v>8.5394459999999999</v>
      </c>
      <c r="AI5" s="3">
        <f t="shared" si="4"/>
        <v>9.2006139999999998</v>
      </c>
      <c r="AJ5" s="3">
        <f t="shared" si="4"/>
        <v>9.1102799999999995</v>
      </c>
      <c r="AK5" s="3">
        <f t="shared" si="4"/>
        <v>9.2909480000000002</v>
      </c>
      <c r="AL5" s="3">
        <f t="shared" si="4"/>
        <v>9.1794719999999987</v>
      </c>
      <c r="AM5" s="3">
        <f t="shared" si="4"/>
        <v>10.000166</v>
      </c>
      <c r="AN5" s="3">
        <f t="shared" si="4"/>
        <v>10.200054</v>
      </c>
      <c r="AO5" s="3">
        <f t="shared" si="4"/>
        <v>10.530638</v>
      </c>
      <c r="AP5" s="3">
        <f t="shared" si="4"/>
        <v>10.849690000000001</v>
      </c>
      <c r="AQ5" s="3">
        <f t="shared" si="4"/>
        <v>9.9176487377358509</v>
      </c>
      <c r="AR5" s="3">
        <f t="shared" si="4"/>
        <v>10.553114520754711</v>
      </c>
      <c r="AS5" s="3">
        <f t="shared" si="4"/>
        <v>9.259253265546155</v>
      </c>
      <c r="AT5">
        <v>0</v>
      </c>
      <c r="AV5">
        <v>0</v>
      </c>
      <c r="AW5" s="2">
        <v>1.0779833324166701</v>
      </c>
      <c r="AX5">
        <v>0</v>
      </c>
      <c r="AZ5" s="9">
        <f>'[1]Real petrol price'!EM19</f>
        <v>5.4686940000000002</v>
      </c>
      <c r="BA5">
        <v>1.08108</v>
      </c>
      <c r="BB5" s="3">
        <f>AZ5*BA5</f>
        <v>5.91209570952</v>
      </c>
      <c r="BC5" s="3">
        <f>BD5-BB5</f>
        <v>-0.78348207948596027</v>
      </c>
      <c r="BD5" s="3">
        <f>AS5-AE5</f>
        <v>5.1286136300340397</v>
      </c>
      <c r="BF5" s="3">
        <v>15.7298545580561</v>
      </c>
      <c r="BG5" s="3">
        <v>0</v>
      </c>
      <c r="BM5">
        <v>1965</v>
      </c>
      <c r="BN5">
        <f t="shared" ref="BN5:BN13" si="5">CB5</f>
        <v>19644000</v>
      </c>
      <c r="BO5">
        <v>488000</v>
      </c>
      <c r="BP5">
        <v>109000</v>
      </c>
      <c r="BQ5">
        <v>756000</v>
      </c>
      <c r="BR5">
        <v>615000</v>
      </c>
      <c r="BS5">
        <v>5685000</v>
      </c>
      <c r="BT5">
        <v>6788000</v>
      </c>
      <c r="BU5">
        <v>965000</v>
      </c>
      <c r="BV5">
        <v>950000</v>
      </c>
      <c r="BW5">
        <v>1450000</v>
      </c>
      <c r="BX5">
        <v>1797000</v>
      </c>
      <c r="BY5">
        <f t="shared" ref="BY5:BY14" si="6">SUM(BO5:BX5)</f>
        <v>19603000</v>
      </c>
      <c r="BZ5">
        <v>14000</v>
      </c>
      <c r="CA5">
        <v>27000</v>
      </c>
      <c r="CB5">
        <f>SUM(BO5:BX5)+BZ5+CA5</f>
        <v>19644000</v>
      </c>
    </row>
    <row r="6" spans="1:80">
      <c r="A6">
        <v>1966</v>
      </c>
      <c r="B6">
        <v>45.64</v>
      </c>
      <c r="C6">
        <v>44.24</v>
      </c>
      <c r="D6">
        <v>47.5</v>
      </c>
      <c r="E6">
        <v>48</v>
      </c>
      <c r="F6">
        <v>49.78</v>
      </c>
      <c r="G6">
        <v>47.05</v>
      </c>
      <c r="H6">
        <v>51.46</v>
      </c>
      <c r="I6">
        <v>51.16</v>
      </c>
      <c r="J6">
        <v>52.81</v>
      </c>
      <c r="K6">
        <v>54.47</v>
      </c>
      <c r="L6" s="5">
        <f t="shared" si="0"/>
        <v>53.137801886792452</v>
      </c>
      <c r="M6" s="5">
        <f t="shared" si="1"/>
        <v>56.542566037735824</v>
      </c>
      <c r="N6" s="3">
        <f t="shared" si="2"/>
        <v>48.252433186219129</v>
      </c>
      <c r="P6">
        <v>19.940000000000001</v>
      </c>
      <c r="R6">
        <v>3.4350000000000001</v>
      </c>
      <c r="S6">
        <v>3.1709999999999998</v>
      </c>
      <c r="T6">
        <v>3.919</v>
      </c>
      <c r="U6">
        <v>4.492</v>
      </c>
      <c r="V6">
        <v>4.2279999999999998</v>
      </c>
      <c r="W6">
        <v>4.2279999999999998</v>
      </c>
      <c r="X6">
        <v>4.7560000000000002</v>
      </c>
      <c r="Y6">
        <v>5.0209999999999999</v>
      </c>
      <c r="Z6">
        <v>4.7560000000000002</v>
      </c>
      <c r="AA6">
        <v>5.0209999999999999</v>
      </c>
      <c r="AB6">
        <v>2.3780000000000001</v>
      </c>
      <c r="AC6">
        <v>2.3780000000000001</v>
      </c>
      <c r="AD6" s="3">
        <f t="shared" ref="AD6:AD38" si="7">(R6*BX6+S6*BW6+T6*BV6+U6*BU6+V6*BT6+W6*BS6+X6*BR6+Y6*BQ6+Z6*BP6+AA6*BO6+AB6*BZ6+AC6*CA6)/BY6</f>
        <v>4.1480403685343754</v>
      </c>
      <c r="AE6" s="3">
        <f t="shared" si="3"/>
        <v>4.1390455971700373</v>
      </c>
      <c r="AG6" s="3">
        <f t="shared" ref="AG6:AG39" si="8">B6*$P6/100</f>
        <v>9.1006160000000005</v>
      </c>
      <c r="AH6" s="3">
        <f t="shared" ref="AH6:AH39" si="9">C6*$P6/100</f>
        <v>8.8214560000000013</v>
      </c>
      <c r="AI6" s="3">
        <f t="shared" ref="AI6:AI39" si="10">D6*$P6/100</f>
        <v>9.4715000000000007</v>
      </c>
      <c r="AJ6" s="3">
        <f t="shared" ref="AJ6:AJ39" si="11">E6*$P6/100</f>
        <v>9.571200000000001</v>
      </c>
      <c r="AK6" s="3">
        <f t="shared" ref="AK6:AK39" si="12">F6*$P6/100</f>
        <v>9.9261320000000008</v>
      </c>
      <c r="AL6" s="3">
        <f t="shared" ref="AL6:AL39" si="13">G6*$P6/100</f>
        <v>9.3817699999999995</v>
      </c>
      <c r="AM6" s="3">
        <f t="shared" ref="AM6:AM39" si="14">H6*$P6/100</f>
        <v>10.261124000000001</v>
      </c>
      <c r="AN6" s="3">
        <f t="shared" ref="AN6:AN39" si="15">I6*$P6/100</f>
        <v>10.201304</v>
      </c>
      <c r="AO6" s="3">
        <f t="shared" ref="AO6:AO39" si="16">J6*$P6/100</f>
        <v>10.530314000000001</v>
      </c>
      <c r="AP6" s="3">
        <f t="shared" ref="AP6:AP39" si="17">K6*$P6/100</f>
        <v>10.861318000000001</v>
      </c>
      <c r="AQ6" s="3">
        <f t="shared" ref="AQ6:AQ39" si="18">L6*$P6/100</f>
        <v>10.595677696226417</v>
      </c>
      <c r="AR6" s="3">
        <f t="shared" ref="AR6:AR39" si="19">M6*$P6/100</f>
        <v>11.274587667924525</v>
      </c>
      <c r="AS6" s="3">
        <f t="shared" ref="AS6:AS39" si="20">N6*$P6/100</f>
        <v>9.6215351773320954</v>
      </c>
      <c r="AW6" s="2">
        <v>1.077316666</v>
      </c>
      <c r="AZ6" s="9">
        <f>'[1]Real petrol price'!EM20</f>
        <v>5.6912486400000004</v>
      </c>
      <c r="BA6">
        <v>1.08108</v>
      </c>
      <c r="BB6" s="3">
        <f t="shared" ref="BB6:BB49" si="21">AZ6*BA6</f>
        <v>6.1526950797312008</v>
      </c>
      <c r="BC6" s="3">
        <f t="shared" ref="BC6:BC39" si="22">BD6-BB6</f>
        <v>-0.67020549956914266</v>
      </c>
      <c r="BD6" s="3">
        <f t="shared" ref="BD6:BD50" si="23">AS6-AE6</f>
        <v>5.4824895801620581</v>
      </c>
      <c r="BF6" s="3">
        <v>16.3177495259952</v>
      </c>
      <c r="BG6" s="3"/>
      <c r="BM6">
        <v>1966</v>
      </c>
      <c r="BN6">
        <f t="shared" si="5"/>
        <v>20014400</v>
      </c>
      <c r="BO6">
        <v>493000</v>
      </c>
      <c r="BP6">
        <v>108000</v>
      </c>
      <c r="BQ6">
        <v>756000</v>
      </c>
      <c r="BR6">
        <v>617000</v>
      </c>
      <c r="BS6">
        <v>5781000</v>
      </c>
      <c r="BT6">
        <v>6961000</v>
      </c>
      <c r="BU6">
        <v>963000</v>
      </c>
      <c r="BV6">
        <v>955000</v>
      </c>
      <c r="BW6">
        <v>1463000</v>
      </c>
      <c r="BX6">
        <v>1874000</v>
      </c>
      <c r="BY6">
        <f t="shared" si="6"/>
        <v>19971000</v>
      </c>
      <c r="BZ6">
        <v>14400</v>
      </c>
      <c r="CA6">
        <v>29000</v>
      </c>
      <c r="CB6">
        <f t="shared" ref="CB6:CB58" si="24">SUM(BO6:BX6)+BZ6+CA6</f>
        <v>20014400</v>
      </c>
    </row>
    <row r="7" spans="1:80">
      <c r="A7">
        <v>1967</v>
      </c>
      <c r="B7">
        <v>45.86</v>
      </c>
      <c r="C7">
        <v>44.45</v>
      </c>
      <c r="D7">
        <v>47.8</v>
      </c>
      <c r="E7">
        <v>47.99</v>
      </c>
      <c r="F7">
        <v>49.49</v>
      </c>
      <c r="G7">
        <v>45.62</v>
      </c>
      <c r="H7">
        <v>50.6</v>
      </c>
      <c r="I7">
        <v>51.33</v>
      </c>
      <c r="J7">
        <v>54.62</v>
      </c>
      <c r="K7">
        <v>53.61</v>
      </c>
      <c r="L7" s="5">
        <f t="shared" si="0"/>
        <v>52.828240566037735</v>
      </c>
      <c r="M7" s="5">
        <f t="shared" si="1"/>
        <v>56.213169811320732</v>
      </c>
      <c r="N7" s="3">
        <f t="shared" si="2"/>
        <v>47.753874547699425</v>
      </c>
      <c r="P7">
        <v>20.65</v>
      </c>
      <c r="R7">
        <v>3.4350000000000001</v>
      </c>
      <c r="S7">
        <v>3.1709999999999998</v>
      </c>
      <c r="T7">
        <v>3.964</v>
      </c>
      <c r="U7">
        <v>4.492</v>
      </c>
      <c r="V7">
        <v>4.2279999999999998</v>
      </c>
      <c r="W7">
        <v>4.2279999999999998</v>
      </c>
      <c r="X7">
        <v>4.7560000000000002</v>
      </c>
      <c r="Y7">
        <v>5.0209999999999999</v>
      </c>
      <c r="Z7">
        <v>4.7560000000000002</v>
      </c>
      <c r="AA7">
        <v>5.0209999999999999</v>
      </c>
      <c r="AB7">
        <v>2.3780000000000001</v>
      </c>
      <c r="AC7">
        <v>2.3780000000000001</v>
      </c>
      <c r="AD7" s="3">
        <f t="shared" si="7"/>
        <v>4.1479468869873122</v>
      </c>
      <c r="AE7" s="3">
        <f t="shared" si="3"/>
        <v>4.1389906762194526</v>
      </c>
      <c r="AG7" s="3">
        <f t="shared" si="8"/>
        <v>9.470089999999999</v>
      </c>
      <c r="AH7" s="3">
        <f t="shared" si="9"/>
        <v>9.1789249999999996</v>
      </c>
      <c r="AI7" s="3">
        <f t="shared" si="10"/>
        <v>9.8706999999999976</v>
      </c>
      <c r="AJ7" s="3">
        <f t="shared" si="11"/>
        <v>9.9099349999999991</v>
      </c>
      <c r="AK7" s="3">
        <f t="shared" si="12"/>
        <v>10.219685</v>
      </c>
      <c r="AL7" s="3">
        <f t="shared" si="13"/>
        <v>9.4205299999999994</v>
      </c>
      <c r="AM7" s="3">
        <f t="shared" si="14"/>
        <v>10.448899999999998</v>
      </c>
      <c r="AN7" s="3">
        <f t="shared" si="15"/>
        <v>10.599644999999999</v>
      </c>
      <c r="AO7" s="3">
        <f t="shared" si="16"/>
        <v>11.279029999999999</v>
      </c>
      <c r="AP7" s="3">
        <f t="shared" si="17"/>
        <v>11.070464999999999</v>
      </c>
      <c r="AQ7" s="3">
        <f t="shared" si="18"/>
        <v>10.909031676886791</v>
      </c>
      <c r="AR7" s="3">
        <f t="shared" si="19"/>
        <v>11.608019566037731</v>
      </c>
      <c r="AS7" s="3">
        <f t="shared" si="20"/>
        <v>9.8611750940999308</v>
      </c>
      <c r="AW7" s="2">
        <v>1.07870833258333</v>
      </c>
      <c r="AZ7" s="9">
        <f>'[1]Real petrol price'!EM21</f>
        <v>5.9528831999999987</v>
      </c>
      <c r="BA7">
        <v>1.08108</v>
      </c>
      <c r="BB7" s="3">
        <f t="shared" si="21"/>
        <v>6.4355429698559989</v>
      </c>
      <c r="BC7" s="3">
        <f t="shared" si="22"/>
        <v>-0.71335855197552078</v>
      </c>
      <c r="BD7" s="3">
        <f t="shared" si="23"/>
        <v>5.7221844178804782</v>
      </c>
      <c r="BF7" s="3">
        <v>16.900758940184101</v>
      </c>
      <c r="BG7" s="3"/>
      <c r="BM7">
        <v>1967</v>
      </c>
      <c r="BN7">
        <f t="shared" si="5"/>
        <v>20378000</v>
      </c>
      <c r="BO7">
        <v>499000</v>
      </c>
      <c r="BP7">
        <v>109000</v>
      </c>
      <c r="BQ7">
        <v>760000</v>
      </c>
      <c r="BR7">
        <v>620000</v>
      </c>
      <c r="BS7">
        <v>5864000</v>
      </c>
      <c r="BT7">
        <v>7127000</v>
      </c>
      <c r="BU7">
        <v>963000</v>
      </c>
      <c r="BV7">
        <v>957000</v>
      </c>
      <c r="BW7">
        <v>1490000</v>
      </c>
      <c r="BX7">
        <v>1945000</v>
      </c>
      <c r="BY7">
        <f t="shared" si="6"/>
        <v>20334000</v>
      </c>
      <c r="BZ7">
        <v>15000</v>
      </c>
      <c r="CA7">
        <v>29000</v>
      </c>
      <c r="CB7">
        <f t="shared" si="24"/>
        <v>20378000</v>
      </c>
    </row>
    <row r="8" spans="1:80">
      <c r="A8">
        <v>1968</v>
      </c>
      <c r="B8">
        <v>45.5</v>
      </c>
      <c r="C8">
        <v>45.13</v>
      </c>
      <c r="D8">
        <v>47.45</v>
      </c>
      <c r="E8">
        <v>46.52</v>
      </c>
      <c r="F8">
        <v>49.32</v>
      </c>
      <c r="G8">
        <v>44.43</v>
      </c>
      <c r="H8">
        <v>50.01</v>
      </c>
      <c r="I8">
        <v>49.32</v>
      </c>
      <c r="J8">
        <v>52.48</v>
      </c>
      <c r="K8">
        <v>55.6</v>
      </c>
      <c r="L8" s="5">
        <f t="shared" si="0"/>
        <v>52.64677358490566</v>
      </c>
      <c r="M8" s="5">
        <f t="shared" si="1"/>
        <v>56.020075471698085</v>
      </c>
      <c r="N8" s="3">
        <f t="shared" si="2"/>
        <v>47.215307721301571</v>
      </c>
      <c r="P8">
        <v>21.49</v>
      </c>
      <c r="R8">
        <v>3.4350000000000001</v>
      </c>
      <c r="S8">
        <v>3.5670000000000002</v>
      </c>
      <c r="T8">
        <v>4.4050000000000002</v>
      </c>
      <c r="U8">
        <v>4.492</v>
      </c>
      <c r="V8">
        <v>4.6680000000000001</v>
      </c>
      <c r="W8">
        <v>4.8230000000000004</v>
      </c>
      <c r="X8">
        <v>4.7560000000000002</v>
      </c>
      <c r="Y8">
        <v>5.0209999999999999</v>
      </c>
      <c r="Z8">
        <v>5.351</v>
      </c>
      <c r="AA8">
        <v>6.21</v>
      </c>
      <c r="AB8">
        <v>2.863</v>
      </c>
      <c r="AC8">
        <v>2.7749999999999999</v>
      </c>
      <c r="AD8" s="3">
        <f t="shared" si="7"/>
        <v>4.5508545701006975</v>
      </c>
      <c r="AE8" s="3">
        <f t="shared" si="3"/>
        <v>4.5468923285285863</v>
      </c>
      <c r="AG8" s="3">
        <f t="shared" si="8"/>
        <v>9.7779499999999988</v>
      </c>
      <c r="AH8" s="3">
        <f t="shared" si="9"/>
        <v>9.6984370000000002</v>
      </c>
      <c r="AI8" s="3">
        <f t="shared" si="10"/>
        <v>10.197005000000001</v>
      </c>
      <c r="AJ8" s="3">
        <f t="shared" si="11"/>
        <v>9.9971479999999993</v>
      </c>
      <c r="AK8" s="3">
        <f t="shared" si="12"/>
        <v>10.598868</v>
      </c>
      <c r="AL8" s="3">
        <f t="shared" si="13"/>
        <v>9.5480069999999984</v>
      </c>
      <c r="AM8" s="3">
        <f t="shared" si="14"/>
        <v>10.747149</v>
      </c>
      <c r="AN8" s="3">
        <f t="shared" si="15"/>
        <v>10.598868</v>
      </c>
      <c r="AO8" s="3">
        <f t="shared" si="16"/>
        <v>11.277951999999997</v>
      </c>
      <c r="AP8" s="3">
        <f t="shared" si="17"/>
        <v>11.94844</v>
      </c>
      <c r="AQ8" s="3">
        <f t="shared" si="18"/>
        <v>11.313791643396225</v>
      </c>
      <c r="AR8" s="3">
        <f t="shared" si="19"/>
        <v>12.038714218867916</v>
      </c>
      <c r="AS8" s="3">
        <f t="shared" si="20"/>
        <v>10.146569629307706</v>
      </c>
      <c r="AW8" s="2">
        <v>1.0774749994999999</v>
      </c>
      <c r="AZ8" s="9">
        <f>'[1]Real petrol price'!EM22</f>
        <v>6.0994400000000004</v>
      </c>
      <c r="BA8">
        <v>1.08108</v>
      </c>
      <c r="BB8" s="3">
        <f t="shared" si="21"/>
        <v>6.5939825952000009</v>
      </c>
      <c r="BC8" s="3">
        <f t="shared" si="22"/>
        <v>-0.99430529442088122</v>
      </c>
      <c r="BD8" s="3">
        <f t="shared" si="23"/>
        <v>5.5996773007791196</v>
      </c>
      <c r="BF8" s="3">
        <v>17.5912505369452</v>
      </c>
      <c r="BG8" s="3"/>
      <c r="BM8">
        <v>1968</v>
      </c>
      <c r="BN8">
        <f t="shared" si="5"/>
        <v>20674000</v>
      </c>
      <c r="BO8">
        <v>506000</v>
      </c>
      <c r="BP8">
        <v>110000</v>
      </c>
      <c r="BQ8">
        <v>767000</v>
      </c>
      <c r="BR8">
        <v>625000</v>
      </c>
      <c r="BS8">
        <v>5928000</v>
      </c>
      <c r="BT8">
        <v>7262000</v>
      </c>
      <c r="BU8">
        <v>971000</v>
      </c>
      <c r="BV8">
        <v>960000</v>
      </c>
      <c r="BW8">
        <v>1524000</v>
      </c>
      <c r="BX8">
        <v>2003000</v>
      </c>
      <c r="BY8">
        <f t="shared" si="6"/>
        <v>20656000</v>
      </c>
      <c r="BZ8">
        <v>15000</v>
      </c>
      <c r="CA8">
        <v>3000</v>
      </c>
      <c r="CB8">
        <f t="shared" si="24"/>
        <v>20674000</v>
      </c>
    </row>
    <row r="9" spans="1:80">
      <c r="A9">
        <v>1969</v>
      </c>
      <c r="B9">
        <v>43.85</v>
      </c>
      <c r="C9">
        <v>44.87</v>
      </c>
      <c r="D9">
        <v>47.05</v>
      </c>
      <c r="E9">
        <v>45.76</v>
      </c>
      <c r="F9">
        <v>48.48</v>
      </c>
      <c r="G9">
        <v>44.83</v>
      </c>
      <c r="H9">
        <v>49.41</v>
      </c>
      <c r="I9">
        <v>48.66</v>
      </c>
      <c r="J9">
        <v>52.26</v>
      </c>
      <c r="K9">
        <v>55.87</v>
      </c>
      <c r="L9" s="5">
        <f t="shared" si="0"/>
        <v>51.750113207547166</v>
      </c>
      <c r="M9" s="5">
        <f t="shared" si="1"/>
        <v>55.065962264150919</v>
      </c>
      <c r="N9" s="3">
        <f t="shared" si="2"/>
        <v>46.773138738227196</v>
      </c>
      <c r="P9">
        <v>22.46</v>
      </c>
      <c r="R9">
        <v>3.4350000000000001</v>
      </c>
      <c r="S9">
        <v>3.964</v>
      </c>
      <c r="T9">
        <v>4.492</v>
      </c>
      <c r="U9">
        <v>4.492</v>
      </c>
      <c r="V9">
        <v>4.7560000000000002</v>
      </c>
      <c r="W9">
        <v>5.0209999999999999</v>
      </c>
      <c r="X9">
        <v>5.1529999999999996</v>
      </c>
      <c r="Y9">
        <v>5.4169999999999998</v>
      </c>
      <c r="Z9">
        <v>5.5490000000000004</v>
      </c>
      <c r="AA9">
        <v>6.6059999999999999</v>
      </c>
      <c r="AB9">
        <v>2.907</v>
      </c>
      <c r="AC9">
        <v>3.105</v>
      </c>
      <c r="AD9" s="3">
        <f t="shared" si="7"/>
        <v>4.7112328910947792</v>
      </c>
      <c r="AE9" s="3">
        <f t="shared" si="3"/>
        <v>4.700689205275939</v>
      </c>
      <c r="AG9" s="3">
        <f t="shared" si="8"/>
        <v>9.8487100000000005</v>
      </c>
      <c r="AH9" s="3">
        <f t="shared" si="9"/>
        <v>10.077802</v>
      </c>
      <c r="AI9" s="3">
        <f t="shared" si="10"/>
        <v>10.56743</v>
      </c>
      <c r="AJ9" s="3">
        <f t="shared" si="11"/>
        <v>10.277696000000001</v>
      </c>
      <c r="AK9" s="3">
        <f t="shared" si="12"/>
        <v>10.888608</v>
      </c>
      <c r="AL9" s="3">
        <f t="shared" si="13"/>
        <v>10.068818</v>
      </c>
      <c r="AM9" s="3">
        <f t="shared" si="14"/>
        <v>11.097485999999998</v>
      </c>
      <c r="AN9" s="3">
        <f t="shared" si="15"/>
        <v>10.929035999999998</v>
      </c>
      <c r="AO9" s="3">
        <f t="shared" si="16"/>
        <v>11.737596000000002</v>
      </c>
      <c r="AP9" s="3">
        <f t="shared" si="17"/>
        <v>12.548402000000001</v>
      </c>
      <c r="AQ9" s="3">
        <f t="shared" si="18"/>
        <v>11.623075426415094</v>
      </c>
      <c r="AR9" s="3">
        <f t="shared" si="19"/>
        <v>12.367815124528297</v>
      </c>
      <c r="AS9" s="3">
        <f t="shared" si="20"/>
        <v>10.505246960605827</v>
      </c>
      <c r="AW9" s="2">
        <v>1.07677499941667</v>
      </c>
      <c r="AZ9" s="9">
        <f>'[1]Real petrol price'!EM23</f>
        <v>6.2820700800000004</v>
      </c>
      <c r="BA9">
        <v>1.08108</v>
      </c>
      <c r="BB9" s="3">
        <f t="shared" si="21"/>
        <v>6.7914203220864007</v>
      </c>
      <c r="BC9" s="3">
        <f t="shared" si="22"/>
        <v>-0.98686256675651229</v>
      </c>
      <c r="BD9" s="3">
        <f t="shared" si="23"/>
        <v>5.8045577553298884</v>
      </c>
      <c r="BF9" s="3">
        <v>18.384338762397899</v>
      </c>
      <c r="BG9" s="3"/>
      <c r="BM9">
        <v>1969</v>
      </c>
      <c r="BN9">
        <f t="shared" si="5"/>
        <v>21001000</v>
      </c>
      <c r="BO9">
        <v>514000</v>
      </c>
      <c r="BP9">
        <v>111000</v>
      </c>
      <c r="BQ9">
        <v>775000</v>
      </c>
      <c r="BR9">
        <v>628000</v>
      </c>
      <c r="BS9">
        <v>5985000</v>
      </c>
      <c r="BT9">
        <v>7385000</v>
      </c>
      <c r="BU9">
        <v>979000</v>
      </c>
      <c r="BV9">
        <v>958000</v>
      </c>
      <c r="BW9">
        <v>1559000</v>
      </c>
      <c r="BX9">
        <v>2060000</v>
      </c>
      <c r="BY9">
        <f t="shared" si="6"/>
        <v>20954000</v>
      </c>
      <c r="BZ9">
        <v>16000</v>
      </c>
      <c r="CA9">
        <v>31000</v>
      </c>
      <c r="CB9">
        <f t="shared" si="24"/>
        <v>21001000</v>
      </c>
    </row>
    <row r="10" spans="1:80">
      <c r="A10">
        <v>1970</v>
      </c>
      <c r="B10">
        <v>43.58</v>
      </c>
      <c r="C10">
        <v>44.27</v>
      </c>
      <c r="D10">
        <v>47.68</v>
      </c>
      <c r="E10">
        <v>46.08</v>
      </c>
      <c r="F10">
        <v>48.58</v>
      </c>
      <c r="G10">
        <v>44.06</v>
      </c>
      <c r="H10">
        <v>48.88</v>
      </c>
      <c r="I10">
        <v>48.24</v>
      </c>
      <c r="J10">
        <v>51.47</v>
      </c>
      <c r="K10">
        <v>54.7</v>
      </c>
      <c r="L10" s="5">
        <f t="shared" si="0"/>
        <v>51.856858490566033</v>
      </c>
      <c r="M10" s="5">
        <f t="shared" si="1"/>
        <v>55.1795471698113</v>
      </c>
      <c r="N10" s="3">
        <f t="shared" si="2"/>
        <v>46.49895767718192</v>
      </c>
      <c r="P10">
        <v>23.22</v>
      </c>
      <c r="R10">
        <v>3.4350000000000001</v>
      </c>
      <c r="S10">
        <v>3.964</v>
      </c>
      <c r="T10">
        <v>4.9340000000000002</v>
      </c>
      <c r="U10">
        <v>4.492</v>
      </c>
      <c r="V10">
        <v>4.7560000000000002</v>
      </c>
      <c r="W10">
        <v>5.0209999999999999</v>
      </c>
      <c r="X10">
        <v>5.2850000000000001</v>
      </c>
      <c r="Y10">
        <v>5.5490000000000004</v>
      </c>
      <c r="Z10">
        <v>5.5490000000000004</v>
      </c>
      <c r="AA10">
        <v>6.6059999999999999</v>
      </c>
      <c r="AB10">
        <v>2.907</v>
      </c>
      <c r="AC10">
        <v>3.1709999999999998</v>
      </c>
      <c r="AD10" s="3">
        <f t="shared" si="7"/>
        <v>4.736075022356097</v>
      </c>
      <c r="AE10" s="3">
        <f t="shared" si="3"/>
        <v>4.7249559092829978</v>
      </c>
      <c r="AG10" s="3">
        <f t="shared" si="8"/>
        <v>10.119275999999999</v>
      </c>
      <c r="AH10" s="3">
        <f t="shared" si="9"/>
        <v>10.279494</v>
      </c>
      <c r="AI10" s="3">
        <f t="shared" si="10"/>
        <v>11.071296</v>
      </c>
      <c r="AJ10" s="3">
        <f t="shared" si="11"/>
        <v>10.699776</v>
      </c>
      <c r="AK10" s="3">
        <f t="shared" si="12"/>
        <v>11.280275999999999</v>
      </c>
      <c r="AL10" s="3">
        <f t="shared" si="13"/>
        <v>10.230732</v>
      </c>
      <c r="AM10" s="3">
        <f t="shared" si="14"/>
        <v>11.349936</v>
      </c>
      <c r="AN10" s="3">
        <f t="shared" si="15"/>
        <v>11.201328</v>
      </c>
      <c r="AO10" s="3">
        <f t="shared" si="16"/>
        <v>11.951333999999999</v>
      </c>
      <c r="AP10" s="3">
        <f t="shared" si="17"/>
        <v>12.70134</v>
      </c>
      <c r="AQ10" s="3">
        <f t="shared" si="18"/>
        <v>12.041162541509431</v>
      </c>
      <c r="AR10" s="3">
        <f t="shared" si="19"/>
        <v>12.812690852830183</v>
      </c>
      <c r="AS10" s="3">
        <f t="shared" si="20"/>
        <v>10.797057972641642</v>
      </c>
      <c r="AW10" s="2">
        <v>1.04491499916667</v>
      </c>
      <c r="AZ10" s="9">
        <f>'[1]Real petrol price'!EM24</f>
        <v>6.5012903999999994</v>
      </c>
      <c r="BA10">
        <v>1.04766</v>
      </c>
      <c r="BB10" s="3">
        <f t="shared" si="21"/>
        <v>6.8111419004639995</v>
      </c>
      <c r="BC10" s="3">
        <f t="shared" si="22"/>
        <v>-0.73903983710535481</v>
      </c>
      <c r="BD10" s="3">
        <f t="shared" si="23"/>
        <v>6.0721020633586447</v>
      </c>
      <c r="BF10" s="3">
        <v>19.003175570739501</v>
      </c>
      <c r="BG10" s="3"/>
      <c r="BM10">
        <v>1970</v>
      </c>
      <c r="BN10">
        <f t="shared" si="5"/>
        <v>21297000</v>
      </c>
      <c r="BO10">
        <v>517000</v>
      </c>
      <c r="BP10">
        <v>110000</v>
      </c>
      <c r="BQ10">
        <v>782000</v>
      </c>
      <c r="BR10">
        <v>627000</v>
      </c>
      <c r="BS10">
        <v>6013000</v>
      </c>
      <c r="BT10">
        <v>7551000</v>
      </c>
      <c r="BU10">
        <v>983000</v>
      </c>
      <c r="BV10">
        <v>941000</v>
      </c>
      <c r="BW10">
        <v>1595000</v>
      </c>
      <c r="BX10">
        <v>2128000</v>
      </c>
      <c r="BY10">
        <f t="shared" si="6"/>
        <v>21247000</v>
      </c>
      <c r="BZ10">
        <v>17000</v>
      </c>
      <c r="CA10">
        <v>33000</v>
      </c>
      <c r="CB10">
        <f t="shared" si="24"/>
        <v>21297000</v>
      </c>
    </row>
    <row r="11" spans="1:80">
      <c r="A11">
        <v>1971</v>
      </c>
      <c r="B11">
        <v>45.65</v>
      </c>
      <c r="C11">
        <v>44.1</v>
      </c>
      <c r="D11">
        <v>48.16</v>
      </c>
      <c r="E11">
        <v>46.65</v>
      </c>
      <c r="F11">
        <v>48.33</v>
      </c>
      <c r="G11">
        <v>44.56</v>
      </c>
      <c r="H11">
        <v>48.79</v>
      </c>
      <c r="I11">
        <v>48.16</v>
      </c>
      <c r="J11">
        <v>51.85</v>
      </c>
      <c r="K11">
        <v>55.49</v>
      </c>
      <c r="L11" s="5">
        <f t="shared" si="0"/>
        <v>51.589995283018865</v>
      </c>
      <c r="M11" s="5">
        <f t="shared" si="1"/>
        <v>54.895584905660364</v>
      </c>
      <c r="N11" s="3">
        <f t="shared" si="2"/>
        <v>46.810716218062382</v>
      </c>
      <c r="P11">
        <v>23.88</v>
      </c>
      <c r="R11">
        <v>3.26</v>
      </c>
      <c r="S11">
        <v>3.29</v>
      </c>
      <c r="T11">
        <v>4.17</v>
      </c>
      <c r="U11">
        <v>3.73</v>
      </c>
      <c r="V11">
        <v>3.95</v>
      </c>
      <c r="W11">
        <v>4.17</v>
      </c>
      <c r="X11">
        <v>4.3899999999999997</v>
      </c>
      <c r="Y11">
        <v>4.6100000000000003</v>
      </c>
      <c r="Z11">
        <v>4.6100000000000003</v>
      </c>
      <c r="AA11">
        <v>5.49</v>
      </c>
      <c r="AB11">
        <v>3.5009999999999999</v>
      </c>
      <c r="AC11">
        <v>3.5670000000000002</v>
      </c>
      <c r="AD11" s="3">
        <f t="shared" si="7"/>
        <v>3.9768086304491508</v>
      </c>
      <c r="AE11" s="3">
        <f t="shared" si="3"/>
        <v>3.9667790051507867</v>
      </c>
      <c r="AG11" s="3">
        <f t="shared" si="8"/>
        <v>10.901219999999999</v>
      </c>
      <c r="AH11" s="3">
        <f t="shared" si="9"/>
        <v>10.531079999999999</v>
      </c>
      <c r="AI11" s="3">
        <f t="shared" si="10"/>
        <v>11.500608</v>
      </c>
      <c r="AJ11" s="3">
        <f t="shared" si="11"/>
        <v>11.14002</v>
      </c>
      <c r="AK11" s="3">
        <f t="shared" si="12"/>
        <v>11.541204</v>
      </c>
      <c r="AL11" s="3">
        <f t="shared" si="13"/>
        <v>10.640927999999999</v>
      </c>
      <c r="AM11" s="3">
        <f t="shared" si="14"/>
        <v>11.651052</v>
      </c>
      <c r="AN11" s="3">
        <f t="shared" si="15"/>
        <v>11.500608</v>
      </c>
      <c r="AO11" s="3">
        <f t="shared" si="16"/>
        <v>12.381779999999999</v>
      </c>
      <c r="AP11" s="3">
        <f t="shared" si="17"/>
        <v>13.251012000000001</v>
      </c>
      <c r="AQ11" s="3">
        <f t="shared" si="18"/>
        <v>12.319690873584905</v>
      </c>
      <c r="AR11" s="3">
        <f t="shared" si="19"/>
        <v>13.109065675471696</v>
      </c>
      <c r="AS11" s="3">
        <f t="shared" si="20"/>
        <v>11.178399032873296</v>
      </c>
      <c r="AW11" s="2">
        <v>1.0097916659166699</v>
      </c>
      <c r="AZ11" s="9">
        <f>'[1]Real petrol price'!EM25</f>
        <v>6.6553238400000003</v>
      </c>
      <c r="BA11">
        <v>1.00979</v>
      </c>
      <c r="BB11" s="3">
        <f t="shared" si="21"/>
        <v>6.7204794603935998</v>
      </c>
      <c r="BC11" s="3">
        <f t="shared" si="22"/>
        <v>0.49114056732890887</v>
      </c>
      <c r="BD11" s="3">
        <f t="shared" si="23"/>
        <v>7.2116200277225087</v>
      </c>
      <c r="BF11" s="3">
        <v>19.542215001240599</v>
      </c>
      <c r="BG11" s="3"/>
      <c r="BM11">
        <v>1971</v>
      </c>
      <c r="BN11">
        <f t="shared" si="5"/>
        <v>21962082</v>
      </c>
      <c r="BO11">
        <v>530872</v>
      </c>
      <c r="BP11">
        <v>112591</v>
      </c>
      <c r="BQ11">
        <v>797291</v>
      </c>
      <c r="BR11">
        <v>642469</v>
      </c>
      <c r="BS11">
        <v>6137368</v>
      </c>
      <c r="BT11">
        <v>7849002</v>
      </c>
      <c r="BU11">
        <v>998874</v>
      </c>
      <c r="BV11">
        <v>932037</v>
      </c>
      <c r="BW11">
        <v>1665717</v>
      </c>
      <c r="BX11">
        <v>2240472</v>
      </c>
      <c r="BY11">
        <f t="shared" si="6"/>
        <v>21906693</v>
      </c>
      <c r="BZ11">
        <v>18991</v>
      </c>
      <c r="CA11">
        <v>36398</v>
      </c>
      <c r="CB11">
        <f t="shared" si="24"/>
        <v>21962082</v>
      </c>
    </row>
    <row r="12" spans="1:80">
      <c r="A12">
        <v>1972</v>
      </c>
      <c r="B12">
        <v>44.77</v>
      </c>
      <c r="C12">
        <v>43.01</v>
      </c>
      <c r="D12">
        <v>45.97</v>
      </c>
      <c r="E12">
        <v>45.09</v>
      </c>
      <c r="F12">
        <v>46.69</v>
      </c>
      <c r="G12">
        <v>42.36</v>
      </c>
      <c r="H12">
        <v>47.96</v>
      </c>
      <c r="I12">
        <v>47.96</v>
      </c>
      <c r="J12">
        <v>50.96</v>
      </c>
      <c r="K12">
        <v>53.96</v>
      </c>
      <c r="L12" s="5">
        <f t="shared" si="0"/>
        <v>49.839372641509428</v>
      </c>
      <c r="M12" s="5">
        <f t="shared" si="1"/>
        <v>53.032792452830179</v>
      </c>
      <c r="N12" s="3">
        <f t="shared" si="2"/>
        <v>45.200337218645828</v>
      </c>
      <c r="P12">
        <v>25.02</v>
      </c>
      <c r="R12">
        <v>3.29</v>
      </c>
      <c r="S12">
        <v>3.29</v>
      </c>
      <c r="T12">
        <v>4.17</v>
      </c>
      <c r="U12">
        <v>3.73</v>
      </c>
      <c r="V12">
        <v>4.1399999999999997</v>
      </c>
      <c r="W12">
        <v>4.17</v>
      </c>
      <c r="X12">
        <v>4.3899999999999997</v>
      </c>
      <c r="Y12">
        <v>4.6100000000000003</v>
      </c>
      <c r="Z12">
        <v>4.6100000000000003</v>
      </c>
      <c r="AA12">
        <v>5.49</v>
      </c>
      <c r="AB12">
        <v>3.6989999999999998</v>
      </c>
      <c r="AC12">
        <v>3.6989999999999998</v>
      </c>
      <c r="AD12" s="3">
        <f t="shared" si="7"/>
        <v>4.0472291006214753</v>
      </c>
      <c r="AE12" s="3">
        <f t="shared" si="3"/>
        <v>4.0364982667073512</v>
      </c>
      <c r="AG12" s="3">
        <f t="shared" si="8"/>
        <v>11.201454000000002</v>
      </c>
      <c r="AH12" s="3">
        <f t="shared" si="9"/>
        <v>10.761101999999999</v>
      </c>
      <c r="AI12" s="3">
        <f t="shared" si="10"/>
        <v>11.501694000000001</v>
      </c>
      <c r="AJ12" s="3">
        <f t="shared" si="11"/>
        <v>11.281518</v>
      </c>
      <c r="AK12" s="3">
        <f t="shared" si="12"/>
        <v>11.681838000000001</v>
      </c>
      <c r="AL12" s="3">
        <f t="shared" si="13"/>
        <v>10.598471999999999</v>
      </c>
      <c r="AM12" s="3">
        <f t="shared" si="14"/>
        <v>11.999592</v>
      </c>
      <c r="AN12" s="3">
        <f t="shared" si="15"/>
        <v>11.999592</v>
      </c>
      <c r="AO12" s="3">
        <f t="shared" si="16"/>
        <v>12.750192</v>
      </c>
      <c r="AP12" s="3">
        <f t="shared" si="17"/>
        <v>13.500791999999999</v>
      </c>
      <c r="AQ12" s="3">
        <f t="shared" si="18"/>
        <v>12.469811034905659</v>
      </c>
      <c r="AR12" s="3">
        <f t="shared" si="19"/>
        <v>13.26880467169811</v>
      </c>
      <c r="AS12" s="3">
        <f t="shared" si="20"/>
        <v>11.309124372105186</v>
      </c>
      <c r="AW12" s="2">
        <v>0.98993333250000004</v>
      </c>
      <c r="AZ12" s="9">
        <f>'[1]Real petrol price'!EM26</f>
        <v>6.60051744</v>
      </c>
      <c r="BA12">
        <v>0.98992999999999987</v>
      </c>
      <c r="BB12" s="3">
        <f t="shared" si="21"/>
        <v>6.5340502293791989</v>
      </c>
      <c r="BC12" s="3">
        <f t="shared" si="22"/>
        <v>0.73857587601863628</v>
      </c>
      <c r="BD12" s="3">
        <f t="shared" si="23"/>
        <v>7.2726261053978352</v>
      </c>
      <c r="BF12" s="3">
        <v>20.475355767470599</v>
      </c>
      <c r="BG12" s="3"/>
      <c r="BM12">
        <v>1972</v>
      </c>
      <c r="BN12">
        <f t="shared" si="5"/>
        <v>22219560</v>
      </c>
      <c r="BO12">
        <v>539400</v>
      </c>
      <c r="BP12">
        <v>113461</v>
      </c>
      <c r="BQ12">
        <v>802257</v>
      </c>
      <c r="BR12">
        <v>648770</v>
      </c>
      <c r="BS12">
        <v>6175026</v>
      </c>
      <c r="BT12">
        <v>7963125</v>
      </c>
      <c r="BU12">
        <v>1001653</v>
      </c>
      <c r="BV12">
        <v>920780</v>
      </c>
      <c r="BW12">
        <v>1694090</v>
      </c>
      <c r="BX12">
        <v>2302085</v>
      </c>
      <c r="BY12">
        <f t="shared" si="6"/>
        <v>22160647</v>
      </c>
      <c r="BZ12">
        <v>20142</v>
      </c>
      <c r="CA12">
        <v>38771</v>
      </c>
      <c r="CB12">
        <f t="shared" si="24"/>
        <v>22219560</v>
      </c>
    </row>
    <row r="13" spans="1:80">
      <c r="A13">
        <v>1973</v>
      </c>
      <c r="B13">
        <v>43.83</v>
      </c>
      <c r="C13">
        <v>41.6</v>
      </c>
      <c r="D13">
        <v>43.16</v>
      </c>
      <c r="E13">
        <v>43.76</v>
      </c>
      <c r="F13">
        <v>45.76</v>
      </c>
      <c r="G13">
        <v>43.46</v>
      </c>
      <c r="H13">
        <v>48.29</v>
      </c>
      <c r="I13">
        <v>48.51</v>
      </c>
      <c r="J13">
        <v>52.56</v>
      </c>
      <c r="K13">
        <v>53.97</v>
      </c>
      <c r="L13" s="5">
        <f t="shared" si="0"/>
        <v>48.846641509433965</v>
      </c>
      <c r="M13" s="5">
        <f t="shared" si="1"/>
        <v>51.97645283018867</v>
      </c>
      <c r="N13" s="3">
        <f t="shared" si="2"/>
        <v>44.828687107951652</v>
      </c>
      <c r="P13">
        <v>26.92</v>
      </c>
      <c r="R13">
        <v>3.29</v>
      </c>
      <c r="S13">
        <v>3.29</v>
      </c>
      <c r="T13">
        <v>4.17</v>
      </c>
      <c r="U13">
        <v>3.73</v>
      </c>
      <c r="V13">
        <v>4.17</v>
      </c>
      <c r="W13">
        <v>4.17</v>
      </c>
      <c r="X13">
        <v>4.3899999999999997</v>
      </c>
      <c r="Y13">
        <v>4.6100000000000003</v>
      </c>
      <c r="Z13">
        <v>4.6100000000000003</v>
      </c>
      <c r="AA13">
        <v>5.49</v>
      </c>
      <c r="AB13">
        <v>3.6989999999999998</v>
      </c>
      <c r="AC13">
        <v>3.6989999999999998</v>
      </c>
      <c r="AD13" s="3">
        <f t="shared" si="7"/>
        <v>4.056654614754299</v>
      </c>
      <c r="AE13" s="3">
        <f t="shared" si="3"/>
        <v>4.0454910665732724</v>
      </c>
      <c r="AG13" s="3">
        <f t="shared" si="8"/>
        <v>11.799036000000001</v>
      </c>
      <c r="AH13" s="3">
        <f t="shared" si="9"/>
        <v>11.198720000000002</v>
      </c>
      <c r="AI13" s="3">
        <f t="shared" si="10"/>
        <v>11.618671999999998</v>
      </c>
      <c r="AJ13" s="3">
        <f t="shared" si="11"/>
        <v>11.780192</v>
      </c>
      <c r="AK13" s="3">
        <f t="shared" si="12"/>
        <v>12.318592000000001</v>
      </c>
      <c r="AL13" s="3">
        <f t="shared" si="13"/>
        <v>11.699432000000002</v>
      </c>
      <c r="AM13" s="3">
        <f t="shared" si="14"/>
        <v>12.999668000000002</v>
      </c>
      <c r="AN13" s="3">
        <f t="shared" si="15"/>
        <v>13.058892</v>
      </c>
      <c r="AO13" s="3">
        <f t="shared" si="16"/>
        <v>14.149152000000001</v>
      </c>
      <c r="AP13" s="3">
        <f t="shared" si="17"/>
        <v>14.528724</v>
      </c>
      <c r="AQ13" s="3">
        <f t="shared" si="18"/>
        <v>13.149515894339624</v>
      </c>
      <c r="AR13" s="3">
        <f t="shared" si="19"/>
        <v>13.99206110188679</v>
      </c>
      <c r="AS13" s="3">
        <f t="shared" si="20"/>
        <v>12.067882569460584</v>
      </c>
      <c r="AW13" s="2">
        <v>1.00008333233333</v>
      </c>
      <c r="AZ13" s="9">
        <f>'[1]Real petrol price'!EM27</f>
        <v>7.3220799999999997</v>
      </c>
      <c r="BA13">
        <v>1.0000800000000001</v>
      </c>
      <c r="BB13" s="3">
        <f t="shared" si="21"/>
        <v>7.3226657664000001</v>
      </c>
      <c r="BC13" s="3">
        <f t="shared" si="22"/>
        <v>0.69972573648731284</v>
      </c>
      <c r="BD13" s="3">
        <f t="shared" si="23"/>
        <v>8.022391502887313</v>
      </c>
      <c r="BF13" s="3">
        <v>22.033847413872302</v>
      </c>
      <c r="BG13" s="3"/>
      <c r="BM13">
        <v>1973</v>
      </c>
      <c r="BN13">
        <f t="shared" si="5"/>
        <v>22493832</v>
      </c>
      <c r="BO13">
        <v>546088</v>
      </c>
      <c r="BP13">
        <v>114620</v>
      </c>
      <c r="BQ13">
        <v>812384</v>
      </c>
      <c r="BR13">
        <v>656719</v>
      </c>
      <c r="BS13">
        <v>6214706</v>
      </c>
      <c r="BT13">
        <v>8075523</v>
      </c>
      <c r="BU13">
        <v>1007356</v>
      </c>
      <c r="BV13">
        <v>911936</v>
      </c>
      <c r="BW13">
        <v>1725327</v>
      </c>
      <c r="BX13">
        <v>2367272</v>
      </c>
      <c r="BY13">
        <f t="shared" si="6"/>
        <v>22431931</v>
      </c>
      <c r="BZ13">
        <v>21148</v>
      </c>
      <c r="CA13">
        <v>40753</v>
      </c>
      <c r="CB13">
        <f t="shared" si="24"/>
        <v>22493832</v>
      </c>
    </row>
    <row r="14" spans="1:80">
      <c r="A14">
        <v>1974</v>
      </c>
      <c r="B14">
        <v>45.63</v>
      </c>
      <c r="C14">
        <v>40.94</v>
      </c>
      <c r="D14">
        <v>43.29</v>
      </c>
      <c r="E14">
        <v>44.39</v>
      </c>
      <c r="F14">
        <v>48.31</v>
      </c>
      <c r="G14">
        <v>47.14</v>
      </c>
      <c r="H14">
        <v>49.59</v>
      </c>
      <c r="I14">
        <v>48.65</v>
      </c>
      <c r="J14">
        <v>51.03</v>
      </c>
      <c r="K14">
        <v>54.95</v>
      </c>
      <c r="L14" s="5">
        <f t="shared" si="0"/>
        <v>51.568646226415098</v>
      </c>
      <c r="M14" s="5">
        <f t="shared" si="1"/>
        <v>54.8728679245283</v>
      </c>
      <c r="N14" s="3">
        <f t="shared" si="2"/>
        <v>46.997729667244684</v>
      </c>
      <c r="P14">
        <v>29.85</v>
      </c>
      <c r="R14">
        <v>3.29</v>
      </c>
      <c r="S14">
        <v>2.56</v>
      </c>
      <c r="T14">
        <v>3.15</v>
      </c>
      <c r="U14">
        <v>3.66</v>
      </c>
      <c r="V14">
        <v>4.17</v>
      </c>
      <c r="W14">
        <v>4.17</v>
      </c>
      <c r="X14">
        <v>4.3899999999999997</v>
      </c>
      <c r="Y14">
        <v>4.6100000000000003</v>
      </c>
      <c r="Z14">
        <v>4.6100000000000003</v>
      </c>
      <c r="AA14">
        <v>5.49</v>
      </c>
      <c r="AB14">
        <v>3.6989999999999998</v>
      </c>
      <c r="AC14">
        <v>3.6989999999999998</v>
      </c>
      <c r="AD14" s="3">
        <f t="shared" si="7"/>
        <v>3.9542673819671168</v>
      </c>
      <c r="AE14" s="3">
        <f t="shared" si="3"/>
        <v>3.9434838576902611</v>
      </c>
      <c r="AG14" s="3">
        <f t="shared" si="8"/>
        <v>13.620555000000001</v>
      </c>
      <c r="AH14" s="3">
        <f t="shared" si="9"/>
        <v>12.22059</v>
      </c>
      <c r="AI14" s="3">
        <f t="shared" si="10"/>
        <v>12.922065</v>
      </c>
      <c r="AJ14" s="3">
        <f t="shared" si="11"/>
        <v>13.250415</v>
      </c>
      <c r="AK14" s="3">
        <f t="shared" si="12"/>
        <v>14.420535000000003</v>
      </c>
      <c r="AL14" s="3">
        <f t="shared" si="13"/>
        <v>14.071290000000001</v>
      </c>
      <c r="AM14" s="3">
        <f t="shared" si="14"/>
        <v>14.802615000000001</v>
      </c>
      <c r="AN14" s="3">
        <f t="shared" si="15"/>
        <v>14.522025000000001</v>
      </c>
      <c r="AO14" s="3">
        <f t="shared" si="16"/>
        <v>15.232455</v>
      </c>
      <c r="AP14" s="3">
        <f t="shared" si="17"/>
        <v>16.402575000000002</v>
      </c>
      <c r="AQ14" s="3">
        <f t="shared" si="18"/>
        <v>15.393240898584907</v>
      </c>
      <c r="AR14" s="3">
        <f t="shared" si="19"/>
        <v>16.379551075471696</v>
      </c>
      <c r="AS14" s="3">
        <f t="shared" si="20"/>
        <v>14.028822305672538</v>
      </c>
      <c r="AW14" s="2">
        <v>0.97803333233333301</v>
      </c>
      <c r="AZ14" s="9">
        <f>'[1]Real petrol price'!EM28</f>
        <v>10.936240000000002</v>
      </c>
      <c r="BA14">
        <v>0.97802999999999984</v>
      </c>
      <c r="BB14" s="3">
        <f t="shared" si="21"/>
        <v>10.6959708072</v>
      </c>
      <c r="BC14" s="3">
        <f t="shared" si="22"/>
        <v>-0.61063235921772296</v>
      </c>
      <c r="BD14" s="3">
        <f t="shared" si="23"/>
        <v>10.085338447982277</v>
      </c>
      <c r="BF14" s="3">
        <v>24.427768751465202</v>
      </c>
      <c r="BG14" s="3"/>
      <c r="BM14">
        <v>1974</v>
      </c>
      <c r="BN14">
        <f>CB14</f>
        <v>22808446</v>
      </c>
      <c r="BO14">
        <v>549713</v>
      </c>
      <c r="BP14">
        <v>115961</v>
      </c>
      <c r="BQ14">
        <v>818745</v>
      </c>
      <c r="BR14">
        <v>664741</v>
      </c>
      <c r="BS14">
        <v>6268986</v>
      </c>
      <c r="BT14">
        <v>8204240</v>
      </c>
      <c r="BU14">
        <v>1018202</v>
      </c>
      <c r="BV14">
        <v>908455</v>
      </c>
      <c r="BW14">
        <v>1754622</v>
      </c>
      <c r="BX14">
        <v>2442581</v>
      </c>
      <c r="BY14">
        <f t="shared" si="6"/>
        <v>22746246</v>
      </c>
      <c r="BZ14">
        <v>21069</v>
      </c>
      <c r="CA14">
        <v>41131</v>
      </c>
      <c r="CB14">
        <f t="shared" si="24"/>
        <v>22808446</v>
      </c>
    </row>
    <row r="15" spans="1:80">
      <c r="A15">
        <v>1975</v>
      </c>
      <c r="B15">
        <v>46.32</v>
      </c>
      <c r="C15">
        <v>44.2</v>
      </c>
      <c r="D15">
        <v>44.41</v>
      </c>
      <c r="E15">
        <v>45.35</v>
      </c>
      <c r="F15">
        <v>49.1</v>
      </c>
      <c r="G15">
        <v>47.62</v>
      </c>
      <c r="H15">
        <v>49.58</v>
      </c>
      <c r="I15">
        <v>50.31</v>
      </c>
      <c r="J15">
        <v>52.61</v>
      </c>
      <c r="K15">
        <v>57.26</v>
      </c>
      <c r="L15" s="5">
        <f t="shared" si="0"/>
        <v>52.411933962264158</v>
      </c>
      <c r="M15" s="5">
        <f t="shared" si="1"/>
        <v>55.77018867924528</v>
      </c>
      <c r="N15" s="3">
        <f t="shared" si="2"/>
        <v>47.946798062675327</v>
      </c>
      <c r="P15">
        <v>33.08</v>
      </c>
      <c r="R15">
        <v>3.7</v>
      </c>
      <c r="S15">
        <v>2.19</v>
      </c>
      <c r="T15">
        <v>2.63</v>
      </c>
      <c r="U15">
        <v>3.73</v>
      </c>
      <c r="V15">
        <v>4.17</v>
      </c>
      <c r="W15">
        <v>4.17</v>
      </c>
      <c r="X15">
        <v>4.3899999999999997</v>
      </c>
      <c r="Y15">
        <v>4.6100000000000003</v>
      </c>
      <c r="Z15">
        <v>4.6100000000000003</v>
      </c>
      <c r="AA15">
        <v>5.49</v>
      </c>
      <c r="AB15">
        <v>3.6989999999999998</v>
      </c>
      <c r="AC15">
        <v>3.6989999999999998</v>
      </c>
      <c r="AD15" s="3">
        <f t="shared" si="7"/>
        <v>3.9498266484442377</v>
      </c>
      <c r="AE15" s="3">
        <f t="shared" si="3"/>
        <v>3.9387746722536034</v>
      </c>
      <c r="AG15" s="3">
        <f t="shared" si="8"/>
        <v>15.322656</v>
      </c>
      <c r="AH15" s="3">
        <f t="shared" si="9"/>
        <v>14.621359999999999</v>
      </c>
      <c r="AI15" s="3">
        <f t="shared" si="10"/>
        <v>14.690828</v>
      </c>
      <c r="AJ15" s="3">
        <f t="shared" si="11"/>
        <v>15.001779999999998</v>
      </c>
      <c r="AK15" s="3">
        <f t="shared" si="12"/>
        <v>16.242280000000001</v>
      </c>
      <c r="AL15" s="3">
        <f t="shared" si="13"/>
        <v>15.752695999999998</v>
      </c>
      <c r="AM15" s="3">
        <f t="shared" si="14"/>
        <v>16.401063999999998</v>
      </c>
      <c r="AN15" s="3">
        <f t="shared" si="15"/>
        <v>16.642547999999998</v>
      </c>
      <c r="AO15" s="3">
        <f t="shared" si="16"/>
        <v>17.403388</v>
      </c>
      <c r="AP15" s="3">
        <f t="shared" si="17"/>
        <v>18.941607999999999</v>
      </c>
      <c r="AQ15" s="3">
        <f t="shared" si="18"/>
        <v>17.337867754716981</v>
      </c>
      <c r="AR15" s="3">
        <f t="shared" si="19"/>
        <v>18.448778415094338</v>
      </c>
      <c r="AS15" s="3">
        <f t="shared" si="20"/>
        <v>15.860800799132996</v>
      </c>
      <c r="AW15" s="2">
        <v>1.01715833283333</v>
      </c>
      <c r="AZ15" s="9">
        <f>'[1]Real petrol price'!EM29</f>
        <v>12.206080000000002</v>
      </c>
      <c r="BA15">
        <v>1.0171600000000001</v>
      </c>
      <c r="BB15" s="3">
        <f t="shared" si="21"/>
        <v>12.415536332800002</v>
      </c>
      <c r="BC15" s="3">
        <f t="shared" si="22"/>
        <v>-0.4935102059206109</v>
      </c>
      <c r="BD15" s="3">
        <f t="shared" si="23"/>
        <v>11.922026126879391</v>
      </c>
      <c r="BF15" s="3">
        <v>27.0692248124565</v>
      </c>
      <c r="BG15" s="3"/>
      <c r="BM15">
        <v>1975</v>
      </c>
      <c r="BN15">
        <v>23143275</v>
      </c>
      <c r="BO15">
        <v>556496</v>
      </c>
      <c r="BP15">
        <v>117724</v>
      </c>
      <c r="BQ15">
        <v>826549</v>
      </c>
      <c r="BR15">
        <v>677008</v>
      </c>
      <c r="BS15">
        <v>6330303</v>
      </c>
      <c r="BT15">
        <v>8319795</v>
      </c>
      <c r="BU15">
        <v>1024975</v>
      </c>
      <c r="BV15">
        <v>917415</v>
      </c>
      <c r="BW15">
        <v>1808689</v>
      </c>
      <c r="BX15">
        <v>2499564</v>
      </c>
      <c r="BY15">
        <f>SUM(BO15:BX15)</f>
        <v>23078518</v>
      </c>
      <c r="BZ15">
        <v>21908</v>
      </c>
      <c r="CA15">
        <v>42849</v>
      </c>
      <c r="CB15">
        <f t="shared" si="24"/>
        <v>23143275</v>
      </c>
    </row>
    <row r="16" spans="1:80">
      <c r="A16">
        <v>1976</v>
      </c>
      <c r="B16">
        <v>48.12</v>
      </c>
      <c r="C16">
        <v>45.56</v>
      </c>
      <c r="D16">
        <v>48.15</v>
      </c>
      <c r="E16">
        <v>49.41</v>
      </c>
      <c r="F16">
        <v>51.04</v>
      </c>
      <c r="G16">
        <v>49.13</v>
      </c>
      <c r="H16">
        <v>50.93</v>
      </c>
      <c r="I16">
        <v>53.35</v>
      </c>
      <c r="J16">
        <v>56.25</v>
      </c>
      <c r="K16">
        <v>58.92</v>
      </c>
      <c r="L16" s="5">
        <f t="shared" si="0"/>
        <v>54.482792452830182</v>
      </c>
      <c r="M16" s="5">
        <f t="shared" si="1"/>
        <v>57.973735849056595</v>
      </c>
      <c r="N16" s="3">
        <f t="shared" si="2"/>
        <v>49.8910151185001</v>
      </c>
      <c r="P16">
        <v>35.56</v>
      </c>
      <c r="R16">
        <v>3.73</v>
      </c>
      <c r="S16">
        <v>2.19</v>
      </c>
      <c r="T16">
        <v>3.07</v>
      </c>
      <c r="U16">
        <v>3.95</v>
      </c>
      <c r="V16">
        <v>4.17</v>
      </c>
      <c r="W16">
        <v>4.17</v>
      </c>
      <c r="X16">
        <v>4.3899999999999997</v>
      </c>
      <c r="Y16">
        <v>4.6100000000000003</v>
      </c>
      <c r="Z16">
        <v>4.6100000000000003</v>
      </c>
      <c r="AA16">
        <v>5.79</v>
      </c>
      <c r="AB16">
        <v>3.6989999999999998</v>
      </c>
      <c r="AC16">
        <v>3.6989999999999998</v>
      </c>
      <c r="AD16" s="3">
        <f t="shared" si="7"/>
        <v>3.9844825782084907</v>
      </c>
      <c r="AE16" s="3">
        <f t="shared" si="3"/>
        <v>3.97313817916974</v>
      </c>
      <c r="AG16" s="3">
        <f t="shared" si="8"/>
        <v>17.111472000000003</v>
      </c>
      <c r="AH16" s="3">
        <f t="shared" si="9"/>
        <v>16.201136000000002</v>
      </c>
      <c r="AI16" s="3">
        <f t="shared" si="10"/>
        <v>17.122140000000002</v>
      </c>
      <c r="AJ16" s="3">
        <f t="shared" si="11"/>
        <v>17.570195999999999</v>
      </c>
      <c r="AK16" s="3">
        <f t="shared" si="12"/>
        <v>18.149824000000002</v>
      </c>
      <c r="AL16" s="3">
        <f t="shared" si="13"/>
        <v>17.470628000000001</v>
      </c>
      <c r="AM16" s="3">
        <f t="shared" si="14"/>
        <v>18.110708000000002</v>
      </c>
      <c r="AN16" s="3">
        <f t="shared" si="15"/>
        <v>18.971260000000001</v>
      </c>
      <c r="AO16" s="3">
        <f t="shared" si="16"/>
        <v>20.002500000000001</v>
      </c>
      <c r="AP16" s="3">
        <f t="shared" si="17"/>
        <v>20.951952000000002</v>
      </c>
      <c r="AQ16" s="3">
        <f t="shared" si="18"/>
        <v>19.374080996226414</v>
      </c>
      <c r="AR16" s="3">
        <f t="shared" si="19"/>
        <v>20.615460467924528</v>
      </c>
      <c r="AS16" s="3">
        <f t="shared" si="20"/>
        <v>17.741244976138638</v>
      </c>
      <c r="AW16" s="2">
        <v>0.98602499908333296</v>
      </c>
      <c r="AZ16" s="9">
        <f>'[1]Real petrol price'!EM30</f>
        <v>12.874065600000002</v>
      </c>
      <c r="BA16">
        <v>0.98602000000000001</v>
      </c>
      <c r="BB16" s="3">
        <f t="shared" si="21"/>
        <v>12.694086162912001</v>
      </c>
      <c r="BC16" s="3">
        <f t="shared" si="22"/>
        <v>1.0740206340568967</v>
      </c>
      <c r="BD16" s="3">
        <f t="shared" si="23"/>
        <v>13.768106796968897</v>
      </c>
      <c r="BF16" s="3">
        <v>29.101615172688302</v>
      </c>
      <c r="BG16" s="3"/>
      <c r="BM16">
        <v>1976</v>
      </c>
      <c r="BN16">
        <v>23449808</v>
      </c>
      <c r="BO16">
        <v>562639</v>
      </c>
      <c r="BP16">
        <v>118648</v>
      </c>
      <c r="BQ16">
        <v>835166</v>
      </c>
      <c r="BR16">
        <v>689494</v>
      </c>
      <c r="BS16">
        <v>6396761</v>
      </c>
      <c r="BT16">
        <v>8413779</v>
      </c>
      <c r="BU16">
        <v>1031758</v>
      </c>
      <c r="BV16">
        <v>931612</v>
      </c>
      <c r="BW16">
        <v>1869287</v>
      </c>
      <c r="BX16">
        <v>2533899</v>
      </c>
      <c r="BY16">
        <f t="shared" ref="BY16:BY58" si="25">SUM(BO16:BX16)</f>
        <v>23383043</v>
      </c>
      <c r="BZ16">
        <v>22469</v>
      </c>
      <c r="CA16">
        <v>44322</v>
      </c>
      <c r="CB16">
        <f t="shared" si="24"/>
        <v>23449834</v>
      </c>
    </row>
    <row r="17" spans="1:80">
      <c r="A17">
        <v>1977</v>
      </c>
      <c r="B17">
        <v>49.3</v>
      </c>
      <c r="C17">
        <v>45.68</v>
      </c>
      <c r="D17">
        <v>49.82</v>
      </c>
      <c r="E17">
        <v>49.11</v>
      </c>
      <c r="F17">
        <v>51.67</v>
      </c>
      <c r="G17">
        <v>49.56</v>
      </c>
      <c r="H17">
        <v>52.16</v>
      </c>
      <c r="I17">
        <v>54.32</v>
      </c>
      <c r="J17">
        <v>56.74</v>
      </c>
      <c r="K17">
        <v>60.03</v>
      </c>
      <c r="L17" s="5">
        <f t="shared" si="0"/>
        <v>55.155287735849058</v>
      </c>
      <c r="M17" s="5">
        <f t="shared" si="1"/>
        <v>58.689320754716974</v>
      </c>
      <c r="N17" s="3">
        <f t="shared" si="2"/>
        <v>50.514491734523773</v>
      </c>
      <c r="P17">
        <v>38.4</v>
      </c>
      <c r="R17">
        <v>3.73</v>
      </c>
      <c r="S17">
        <v>2.19</v>
      </c>
      <c r="T17">
        <v>4.03</v>
      </c>
      <c r="U17">
        <v>4.95</v>
      </c>
      <c r="V17">
        <v>4.17</v>
      </c>
      <c r="W17">
        <v>4.17</v>
      </c>
      <c r="X17">
        <v>4.3899999999999997</v>
      </c>
      <c r="Y17">
        <v>4.6100000000000003</v>
      </c>
      <c r="Z17">
        <v>4.6100000000000003</v>
      </c>
      <c r="AA17">
        <v>5.93</v>
      </c>
      <c r="AB17">
        <v>3.6989999999999998</v>
      </c>
      <c r="AC17">
        <v>3.6989999999999998</v>
      </c>
      <c r="AD17" s="3">
        <f t="shared" si="7"/>
        <v>4.0646935904295125</v>
      </c>
      <c r="AE17" s="3">
        <f t="shared" si="3"/>
        <v>4.0532253086223315</v>
      </c>
      <c r="AG17" s="3">
        <f t="shared" si="8"/>
        <v>18.9312</v>
      </c>
      <c r="AH17" s="3">
        <f t="shared" si="9"/>
        <v>17.541119999999999</v>
      </c>
      <c r="AI17" s="3">
        <f t="shared" si="10"/>
        <v>19.130880000000001</v>
      </c>
      <c r="AJ17" s="3">
        <f t="shared" si="11"/>
        <v>18.858239999999999</v>
      </c>
      <c r="AK17" s="3">
        <f t="shared" si="12"/>
        <v>19.841279999999998</v>
      </c>
      <c r="AL17" s="3">
        <f t="shared" si="13"/>
        <v>19.031040000000001</v>
      </c>
      <c r="AM17" s="3">
        <f t="shared" si="14"/>
        <v>20.029439999999997</v>
      </c>
      <c r="AN17" s="3">
        <f t="shared" si="15"/>
        <v>20.858879999999999</v>
      </c>
      <c r="AO17" s="3">
        <f t="shared" si="16"/>
        <v>21.788159999999998</v>
      </c>
      <c r="AP17" s="3">
        <f t="shared" si="17"/>
        <v>23.05152</v>
      </c>
      <c r="AQ17" s="3">
        <f t="shared" si="18"/>
        <v>21.179630490566037</v>
      </c>
      <c r="AR17" s="3">
        <f t="shared" si="19"/>
        <v>22.536699169811317</v>
      </c>
      <c r="AS17" s="3">
        <f t="shared" si="20"/>
        <v>19.397564826057128</v>
      </c>
      <c r="AW17" s="2">
        <v>1.06344999941667</v>
      </c>
      <c r="AZ17" s="9">
        <f>'[1]Real petrol price'!EM31</f>
        <v>13.258080000000003</v>
      </c>
      <c r="BA17">
        <v>1.06345</v>
      </c>
      <c r="BB17" s="3">
        <f t="shared" si="21"/>
        <v>14.099305176000003</v>
      </c>
      <c r="BC17" s="3">
        <f t="shared" si="22"/>
        <v>1.2450343414347937</v>
      </c>
      <c r="BD17" s="3">
        <f t="shared" si="23"/>
        <v>15.344339517434797</v>
      </c>
      <c r="BF17" s="3">
        <v>31.427138757809299</v>
      </c>
      <c r="BG17" s="3"/>
      <c r="BM17">
        <v>1977</v>
      </c>
      <c r="BN17">
        <v>23725843</v>
      </c>
      <c r="BO17">
        <v>565348</v>
      </c>
      <c r="BP17">
        <v>119902</v>
      </c>
      <c r="BQ17">
        <v>840028</v>
      </c>
      <c r="BR17">
        <v>695843</v>
      </c>
      <c r="BS17">
        <v>6433133</v>
      </c>
      <c r="BT17">
        <v>8504080</v>
      </c>
      <c r="BU17">
        <v>1037369</v>
      </c>
      <c r="BV17">
        <v>944621</v>
      </c>
      <c r="BW17">
        <v>1948263</v>
      </c>
      <c r="BX17">
        <v>2570315</v>
      </c>
      <c r="BY17">
        <f t="shared" si="25"/>
        <v>23658902</v>
      </c>
      <c r="BZ17">
        <v>22839</v>
      </c>
      <c r="CA17">
        <v>44665</v>
      </c>
      <c r="CB17">
        <f t="shared" si="24"/>
        <v>23726406</v>
      </c>
    </row>
    <row r="18" spans="1:80">
      <c r="A18">
        <v>1978</v>
      </c>
      <c r="B18">
        <v>47.85</v>
      </c>
      <c r="C18">
        <v>41.89</v>
      </c>
      <c r="D18">
        <v>50.4</v>
      </c>
      <c r="E18">
        <v>47.32</v>
      </c>
      <c r="F18">
        <v>49.14</v>
      </c>
      <c r="G18">
        <v>47.7</v>
      </c>
      <c r="H18">
        <v>51.43</v>
      </c>
      <c r="I18">
        <v>52.34</v>
      </c>
      <c r="J18">
        <v>56.02</v>
      </c>
      <c r="K18">
        <v>58.77</v>
      </c>
      <c r="L18" s="5">
        <f t="shared" si="0"/>
        <v>52.454632075471693</v>
      </c>
      <c r="M18" s="5">
        <f t="shared" si="1"/>
        <v>55.815622641509428</v>
      </c>
      <c r="N18" s="3">
        <f t="shared" si="2"/>
        <v>48.431205093668297</v>
      </c>
      <c r="P18">
        <v>41.82</v>
      </c>
      <c r="R18">
        <v>3.74</v>
      </c>
      <c r="S18">
        <v>0.55000000000000004</v>
      </c>
      <c r="T18">
        <v>4.18</v>
      </c>
      <c r="U18">
        <v>3.96</v>
      </c>
      <c r="V18">
        <v>4.18</v>
      </c>
      <c r="W18">
        <v>4.18</v>
      </c>
      <c r="X18">
        <v>4.4000000000000004</v>
      </c>
      <c r="Y18">
        <v>4.62</v>
      </c>
      <c r="Z18">
        <v>4.62</v>
      </c>
      <c r="AA18">
        <v>5.94</v>
      </c>
      <c r="AB18">
        <v>3.6989999999999998</v>
      </c>
      <c r="AC18">
        <v>3.6989999999999998</v>
      </c>
      <c r="AD18" s="3">
        <f t="shared" si="7"/>
        <v>3.8917782976216309</v>
      </c>
      <c r="AE18" s="3">
        <f t="shared" si="3"/>
        <v>3.8806662871403286</v>
      </c>
      <c r="AG18" s="3">
        <f t="shared" si="8"/>
        <v>20.010870000000001</v>
      </c>
      <c r="AH18" s="3">
        <f t="shared" si="9"/>
        <v>17.518398000000001</v>
      </c>
      <c r="AI18" s="3">
        <f t="shared" si="10"/>
        <v>21.077280000000002</v>
      </c>
      <c r="AJ18" s="3">
        <f t="shared" si="11"/>
        <v>19.789224000000001</v>
      </c>
      <c r="AK18" s="3">
        <f t="shared" si="12"/>
        <v>20.550348</v>
      </c>
      <c r="AL18" s="3">
        <f t="shared" si="13"/>
        <v>19.948140000000002</v>
      </c>
      <c r="AM18" s="3">
        <f t="shared" si="14"/>
        <v>21.508026000000001</v>
      </c>
      <c r="AN18" s="3">
        <f t="shared" si="15"/>
        <v>21.888587999999999</v>
      </c>
      <c r="AO18" s="3">
        <f t="shared" si="16"/>
        <v>23.427564000000004</v>
      </c>
      <c r="AP18" s="3">
        <f t="shared" si="17"/>
        <v>24.577614000000004</v>
      </c>
      <c r="AQ18" s="3">
        <f t="shared" si="18"/>
        <v>21.936527133962262</v>
      </c>
      <c r="AR18" s="3">
        <f t="shared" si="19"/>
        <v>23.342093388679242</v>
      </c>
      <c r="AS18" s="3">
        <f t="shared" si="20"/>
        <v>20.253929970172081</v>
      </c>
      <c r="AW18" s="2">
        <v>1.1406749993333301</v>
      </c>
      <c r="AZ18" s="9">
        <f>'[1]Real petrol price'!EM32</f>
        <v>13.471920000000003</v>
      </c>
      <c r="BA18">
        <v>1.1406799999999999</v>
      </c>
      <c r="BB18" s="3">
        <f t="shared" si="21"/>
        <v>15.367149705600001</v>
      </c>
      <c r="BC18" s="3">
        <f t="shared" si="22"/>
        <v>1.0061139774317507</v>
      </c>
      <c r="BD18" s="3">
        <f t="shared" si="23"/>
        <v>16.373263683031752</v>
      </c>
      <c r="BF18" s="3">
        <v>34.228189574611903</v>
      </c>
      <c r="BG18" s="3"/>
      <c r="BM18">
        <v>1978</v>
      </c>
      <c r="BN18">
        <v>23963203</v>
      </c>
      <c r="BO18">
        <v>567639</v>
      </c>
      <c r="BP18">
        <v>121684</v>
      </c>
      <c r="BQ18">
        <v>844628</v>
      </c>
      <c r="BR18">
        <v>699514</v>
      </c>
      <c r="BS18">
        <v>6440459</v>
      </c>
      <c r="BT18">
        <v>8590144</v>
      </c>
      <c r="BU18">
        <v>1040881</v>
      </c>
      <c r="BV18">
        <v>952430</v>
      </c>
      <c r="BW18">
        <v>2022241</v>
      </c>
      <c r="BX18">
        <v>2615162</v>
      </c>
      <c r="BY18">
        <f t="shared" si="25"/>
        <v>23894782</v>
      </c>
      <c r="BZ18">
        <v>23742</v>
      </c>
      <c r="CA18">
        <v>45274</v>
      </c>
      <c r="CB18">
        <f t="shared" si="24"/>
        <v>23963798</v>
      </c>
    </row>
    <row r="19" spans="1:80">
      <c r="A19">
        <v>1979</v>
      </c>
      <c r="B19">
        <v>50.85</v>
      </c>
      <c r="C19">
        <v>42.96</v>
      </c>
      <c r="D19">
        <v>51.42</v>
      </c>
      <c r="E19">
        <v>49.58</v>
      </c>
      <c r="F19">
        <v>52.97</v>
      </c>
      <c r="G19">
        <v>52.27</v>
      </c>
      <c r="H19">
        <v>53.41</v>
      </c>
      <c r="I19">
        <v>53.72</v>
      </c>
      <c r="J19">
        <v>56.56</v>
      </c>
      <c r="K19">
        <v>59.64</v>
      </c>
      <c r="L19" s="5">
        <f t="shared" si="0"/>
        <v>56.542976415094337</v>
      </c>
      <c r="M19" s="5">
        <f t="shared" si="1"/>
        <v>60.165924528301872</v>
      </c>
      <c r="N19" s="3">
        <f t="shared" si="2"/>
        <v>51.709156380528079</v>
      </c>
      <c r="P19">
        <v>45.65</v>
      </c>
      <c r="R19">
        <v>3.75</v>
      </c>
      <c r="S19">
        <v>0</v>
      </c>
      <c r="T19">
        <v>4.1900000000000004</v>
      </c>
      <c r="U19">
        <v>4</v>
      </c>
      <c r="V19">
        <v>4.5</v>
      </c>
      <c r="W19">
        <v>4.2</v>
      </c>
      <c r="X19">
        <v>4.4000000000000004</v>
      </c>
      <c r="Y19">
        <v>4.6500000000000004</v>
      </c>
      <c r="Z19">
        <v>4.5999999999999996</v>
      </c>
      <c r="AA19">
        <v>6</v>
      </c>
      <c r="AB19">
        <v>3.2</v>
      </c>
      <c r="AC19">
        <v>3.6989999999999998</v>
      </c>
      <c r="AD19" s="3">
        <f t="shared" si="7"/>
        <v>3.960451306145091</v>
      </c>
      <c r="AE19" s="3">
        <f t="shared" si="3"/>
        <v>3.9492031964985381</v>
      </c>
      <c r="AG19" s="3">
        <f t="shared" si="8"/>
        <v>23.213024999999998</v>
      </c>
      <c r="AH19" s="3">
        <f t="shared" si="9"/>
        <v>19.611239999999999</v>
      </c>
      <c r="AI19" s="3">
        <f t="shared" si="10"/>
        <v>23.473229999999997</v>
      </c>
      <c r="AJ19" s="3">
        <f t="shared" si="11"/>
        <v>22.633269999999996</v>
      </c>
      <c r="AK19" s="3">
        <f t="shared" si="12"/>
        <v>24.180804999999999</v>
      </c>
      <c r="AL19" s="3">
        <f t="shared" si="13"/>
        <v>23.861255</v>
      </c>
      <c r="AM19" s="3">
        <f t="shared" si="14"/>
        <v>24.381664999999998</v>
      </c>
      <c r="AN19" s="3">
        <f t="shared" si="15"/>
        <v>24.523179999999996</v>
      </c>
      <c r="AO19" s="3">
        <f t="shared" si="16"/>
        <v>25.81964</v>
      </c>
      <c r="AP19" s="3">
        <f t="shared" si="17"/>
        <v>27.225659999999998</v>
      </c>
      <c r="AQ19" s="3">
        <f t="shared" si="18"/>
        <v>25.811868733490563</v>
      </c>
      <c r="AR19" s="3">
        <f t="shared" si="19"/>
        <v>27.465744547169802</v>
      </c>
      <c r="AS19" s="3">
        <f t="shared" si="20"/>
        <v>23.605229887711065</v>
      </c>
      <c r="AW19" s="2">
        <v>1.1714249994999999</v>
      </c>
      <c r="AZ19" s="9">
        <f>'[1]Real petrol price'!EM33</f>
        <v>19.504000000000001</v>
      </c>
      <c r="BA19">
        <v>1.17143</v>
      </c>
      <c r="BB19" s="3">
        <f t="shared" si="21"/>
        <v>22.84757072</v>
      </c>
      <c r="BC19" s="3">
        <f t="shared" si="22"/>
        <v>-3.1915440287874723</v>
      </c>
      <c r="BD19" s="3">
        <f t="shared" si="23"/>
        <v>19.656026691212528</v>
      </c>
      <c r="BF19" s="3">
        <v>37.358201010667997</v>
      </c>
      <c r="BG19" s="3"/>
      <c r="BM19">
        <v>1979</v>
      </c>
      <c r="BN19">
        <v>24201544</v>
      </c>
      <c r="BO19">
        <v>570075</v>
      </c>
      <c r="BP19">
        <v>122885</v>
      </c>
      <c r="BQ19">
        <v>849396</v>
      </c>
      <c r="BR19">
        <v>703158</v>
      </c>
      <c r="BS19">
        <v>6465996</v>
      </c>
      <c r="BT19">
        <v>8662088</v>
      </c>
      <c r="BU19">
        <v>1037272</v>
      </c>
      <c r="BV19">
        <v>959735</v>
      </c>
      <c r="BW19">
        <v>2096966</v>
      </c>
      <c r="BX19">
        <v>2665238</v>
      </c>
      <c r="BY19">
        <f t="shared" si="25"/>
        <v>24132809</v>
      </c>
      <c r="BZ19">
        <v>23991</v>
      </c>
      <c r="CA19">
        <v>45725</v>
      </c>
      <c r="CB19">
        <f t="shared" si="24"/>
        <v>24202525</v>
      </c>
    </row>
    <row r="20" spans="1:80">
      <c r="A20">
        <v>1980</v>
      </c>
      <c r="B20">
        <v>56.51</v>
      </c>
      <c r="C20">
        <v>46.57</v>
      </c>
      <c r="D20">
        <v>55.43</v>
      </c>
      <c r="E20">
        <v>54.12</v>
      </c>
      <c r="F20">
        <v>57.66</v>
      </c>
      <c r="G20">
        <v>57.62</v>
      </c>
      <c r="H20">
        <v>55.63</v>
      </c>
      <c r="I20">
        <v>57.38</v>
      </c>
      <c r="J20">
        <v>60.92</v>
      </c>
      <c r="K20">
        <v>64.42</v>
      </c>
      <c r="L20" s="5">
        <f t="shared" si="0"/>
        <v>61.549330188679242</v>
      </c>
      <c r="M20" s="5">
        <f t="shared" si="1"/>
        <v>65.493056603773567</v>
      </c>
      <c r="N20" s="3">
        <f t="shared" si="2"/>
        <v>56.419733461573301</v>
      </c>
      <c r="P20">
        <v>50.3</v>
      </c>
      <c r="R20">
        <v>3.7</v>
      </c>
      <c r="S20">
        <v>0</v>
      </c>
      <c r="T20">
        <v>4.2699999999999996</v>
      </c>
      <c r="U20">
        <v>4.0999999999999996</v>
      </c>
      <c r="V20">
        <v>4.74</v>
      </c>
      <c r="W20">
        <v>4.67</v>
      </c>
      <c r="X20">
        <v>4.4000000000000004</v>
      </c>
      <c r="Y20">
        <v>4.7</v>
      </c>
      <c r="Z20">
        <v>5.31</v>
      </c>
      <c r="AA20">
        <v>6</v>
      </c>
      <c r="AB20">
        <v>3.2</v>
      </c>
      <c r="AC20">
        <v>3.1</v>
      </c>
      <c r="AD20" s="3">
        <f t="shared" si="7"/>
        <v>4.1642871237332661</v>
      </c>
      <c r="AE20" s="3">
        <f t="shared" si="3"/>
        <v>4.1524966430650236</v>
      </c>
      <c r="AG20" s="3">
        <f t="shared" si="8"/>
        <v>28.424529999999994</v>
      </c>
      <c r="AH20" s="3">
        <f t="shared" si="9"/>
        <v>23.424710000000001</v>
      </c>
      <c r="AI20" s="3">
        <f t="shared" si="10"/>
        <v>27.88129</v>
      </c>
      <c r="AJ20" s="3">
        <f t="shared" si="11"/>
        <v>27.222359999999998</v>
      </c>
      <c r="AK20" s="3">
        <f t="shared" si="12"/>
        <v>29.002979999999997</v>
      </c>
      <c r="AL20" s="3">
        <f t="shared" si="13"/>
        <v>28.982859999999995</v>
      </c>
      <c r="AM20" s="3">
        <f t="shared" si="14"/>
        <v>27.98189</v>
      </c>
      <c r="AN20" s="3">
        <f t="shared" si="15"/>
        <v>28.86214</v>
      </c>
      <c r="AO20" s="3">
        <f t="shared" si="16"/>
        <v>30.642759999999999</v>
      </c>
      <c r="AP20" s="3">
        <f t="shared" si="17"/>
        <v>32.403260000000003</v>
      </c>
      <c r="AQ20" s="3">
        <f t="shared" si="18"/>
        <v>30.959313084905656</v>
      </c>
      <c r="AR20" s="3">
        <f t="shared" si="19"/>
        <v>32.943007471698103</v>
      </c>
      <c r="AS20" s="3">
        <f t="shared" si="20"/>
        <v>28.37912593117137</v>
      </c>
      <c r="AW20" s="2">
        <v>1.1692166660000001</v>
      </c>
      <c r="AZ20" s="9">
        <f>'[1]Real petrol price'!EM34</f>
        <v>29.598748001812488</v>
      </c>
      <c r="BA20">
        <v>1.1692199999999999</v>
      </c>
      <c r="BB20" s="3">
        <f t="shared" si="21"/>
        <v>34.607448138679196</v>
      </c>
      <c r="BC20" s="3">
        <f t="shared" si="22"/>
        <v>-10.380818850572851</v>
      </c>
      <c r="BD20" s="3">
        <f t="shared" si="23"/>
        <v>24.226629288106345</v>
      </c>
      <c r="BF20" s="3">
        <v>41.162418864268602</v>
      </c>
      <c r="BG20" s="3"/>
      <c r="BM20">
        <v>1980</v>
      </c>
      <c r="BN20">
        <v>24515667</v>
      </c>
      <c r="BO20">
        <v>572759</v>
      </c>
      <c r="BP20">
        <v>123735</v>
      </c>
      <c r="BQ20">
        <v>852659</v>
      </c>
      <c r="BR20">
        <v>706219</v>
      </c>
      <c r="BS20">
        <v>6505997</v>
      </c>
      <c r="BT20">
        <v>8746013</v>
      </c>
      <c r="BU20">
        <v>1034435</v>
      </c>
      <c r="BV20">
        <v>967548</v>
      </c>
      <c r="BW20">
        <v>2191029</v>
      </c>
      <c r="BX20">
        <v>2745861</v>
      </c>
      <c r="BY20">
        <f t="shared" si="25"/>
        <v>24446255</v>
      </c>
      <c r="BZ20">
        <v>24329</v>
      </c>
      <c r="CA20">
        <v>46296</v>
      </c>
      <c r="CB20">
        <f t="shared" si="24"/>
        <v>24516880</v>
      </c>
    </row>
    <row r="21" spans="1:80">
      <c r="A21">
        <v>1981</v>
      </c>
      <c r="B21">
        <v>69.23</v>
      </c>
      <c r="C21">
        <v>56.31</v>
      </c>
      <c r="D21">
        <v>67.25</v>
      </c>
      <c r="E21">
        <v>64.209999999999994</v>
      </c>
      <c r="F21">
        <v>69.13</v>
      </c>
      <c r="G21">
        <v>70.930000000000007</v>
      </c>
      <c r="H21">
        <v>66.23</v>
      </c>
      <c r="I21">
        <v>66.83</v>
      </c>
      <c r="J21">
        <v>74.75</v>
      </c>
      <c r="K21">
        <v>75.7</v>
      </c>
      <c r="L21" s="5">
        <f t="shared" si="0"/>
        <v>73.793014150943392</v>
      </c>
      <c r="M21" s="5">
        <f t="shared" si="1"/>
        <v>78.521245283018843</v>
      </c>
      <c r="N21" s="3">
        <f t="shared" si="2"/>
        <v>68.195064569185035</v>
      </c>
      <c r="P21">
        <v>56.56</v>
      </c>
      <c r="R21">
        <v>5.1100000000000003</v>
      </c>
      <c r="S21">
        <v>0</v>
      </c>
      <c r="T21">
        <v>5.65</v>
      </c>
      <c r="U21">
        <v>5.39</v>
      </c>
      <c r="V21">
        <v>5.68</v>
      </c>
      <c r="W21">
        <v>7.65</v>
      </c>
      <c r="X21">
        <v>4.93</v>
      </c>
      <c r="Y21">
        <v>4.7</v>
      </c>
      <c r="Z21">
        <v>7.36</v>
      </c>
      <c r="AA21">
        <v>7.02</v>
      </c>
      <c r="AB21">
        <v>3.95</v>
      </c>
      <c r="AC21">
        <v>3.37</v>
      </c>
      <c r="AD21" s="3">
        <f t="shared" si="7"/>
        <v>5.5914841053164128</v>
      </c>
      <c r="AE21" s="3">
        <f t="shared" si="3"/>
        <v>5.5754228388775706</v>
      </c>
      <c r="AG21" s="3">
        <f t="shared" si="8"/>
        <v>39.156488000000003</v>
      </c>
      <c r="AH21" s="3">
        <f t="shared" si="9"/>
        <v>31.848936000000002</v>
      </c>
      <c r="AI21" s="3">
        <f t="shared" si="10"/>
        <v>38.0366</v>
      </c>
      <c r="AJ21" s="3">
        <f t="shared" si="11"/>
        <v>36.317175999999996</v>
      </c>
      <c r="AK21" s="3">
        <f t="shared" si="12"/>
        <v>39.099927999999998</v>
      </c>
      <c r="AL21" s="3">
        <f t="shared" si="13"/>
        <v>40.118008000000003</v>
      </c>
      <c r="AM21" s="3">
        <f t="shared" si="14"/>
        <v>37.459688000000007</v>
      </c>
      <c r="AN21" s="3">
        <f t="shared" si="15"/>
        <v>37.799047999999999</v>
      </c>
      <c r="AO21" s="3">
        <f t="shared" si="16"/>
        <v>42.278600000000004</v>
      </c>
      <c r="AP21" s="3">
        <f t="shared" si="17"/>
        <v>42.815920000000006</v>
      </c>
      <c r="AQ21" s="3">
        <f t="shared" si="18"/>
        <v>41.737328803773579</v>
      </c>
      <c r="AR21" s="3">
        <f t="shared" si="19"/>
        <v>44.411616332075454</v>
      </c>
      <c r="AS21" s="3">
        <f t="shared" si="20"/>
        <v>38.571128520331058</v>
      </c>
      <c r="AT21">
        <v>0</v>
      </c>
      <c r="AW21" s="2">
        <v>1.1989083325833301</v>
      </c>
      <c r="AZ21" s="9">
        <f>'[1]Real petrol price'!EM35</f>
        <v>33.113333297827211</v>
      </c>
      <c r="BA21">
        <v>1.1989099999999999</v>
      </c>
      <c r="BB21" s="3">
        <f t="shared" si="21"/>
        <v>39.699906424098018</v>
      </c>
      <c r="BC21" s="3">
        <f t="shared" si="22"/>
        <v>-6.7042007426445309</v>
      </c>
      <c r="BD21" s="3">
        <f t="shared" si="23"/>
        <v>32.995705681453487</v>
      </c>
      <c r="BF21" s="3">
        <v>46.2922503020582</v>
      </c>
      <c r="BG21" s="3"/>
      <c r="BM21">
        <v>1981</v>
      </c>
      <c r="BN21">
        <v>24819915</v>
      </c>
      <c r="BO21">
        <v>575302</v>
      </c>
      <c r="BP21">
        <v>123551</v>
      </c>
      <c r="BQ21">
        <v>854871</v>
      </c>
      <c r="BR21">
        <v>706438</v>
      </c>
      <c r="BS21">
        <v>6547207</v>
      </c>
      <c r="BT21">
        <v>8812286</v>
      </c>
      <c r="BU21">
        <v>1035545</v>
      </c>
      <c r="BV21">
        <v>975759</v>
      </c>
      <c r="BW21">
        <v>2291104</v>
      </c>
      <c r="BX21">
        <v>2826558</v>
      </c>
      <c r="BY21">
        <f t="shared" si="25"/>
        <v>24748621</v>
      </c>
      <c r="BZ21">
        <v>23903</v>
      </c>
      <c r="CA21">
        <v>47555</v>
      </c>
      <c r="CB21">
        <f t="shared" si="24"/>
        <v>24820079</v>
      </c>
    </row>
    <row r="22" spans="1:80">
      <c r="A22">
        <v>1982</v>
      </c>
      <c r="B22">
        <v>71.260000000000005</v>
      </c>
      <c r="C22">
        <v>59.42</v>
      </c>
      <c r="D22">
        <v>62.55</v>
      </c>
      <c r="E22">
        <v>65.63</v>
      </c>
      <c r="F22">
        <v>73.010000000000005</v>
      </c>
      <c r="G22">
        <v>85.33</v>
      </c>
      <c r="H22">
        <v>71.400000000000006</v>
      </c>
      <c r="I22">
        <v>74</v>
      </c>
      <c r="J22">
        <v>79.89</v>
      </c>
      <c r="K22">
        <v>80.7</v>
      </c>
      <c r="L22" s="5">
        <f t="shared" si="0"/>
        <v>77.93473113207547</v>
      </c>
      <c r="M22" s="5">
        <f t="shared" si="1"/>
        <v>82.928339622641488</v>
      </c>
      <c r="N22" s="3">
        <f t="shared" si="2"/>
        <v>74.259555291880204</v>
      </c>
      <c r="P22">
        <v>62.67</v>
      </c>
      <c r="R22">
        <v>6.35</v>
      </c>
      <c r="S22">
        <v>0</v>
      </c>
      <c r="T22">
        <v>3.2</v>
      </c>
      <c r="U22">
        <v>6.33</v>
      </c>
      <c r="V22">
        <v>7.13</v>
      </c>
      <c r="W22">
        <v>14.87</v>
      </c>
      <c r="X22">
        <v>6.05</v>
      </c>
      <c r="Y22">
        <v>6.97</v>
      </c>
      <c r="Z22">
        <v>8.8800000000000008</v>
      </c>
      <c r="AA22">
        <v>8.5</v>
      </c>
      <c r="AB22">
        <v>4.2</v>
      </c>
      <c r="AC22">
        <v>5.3250000000000002</v>
      </c>
      <c r="AD22" s="3">
        <f t="shared" si="7"/>
        <v>8.2300070924172122</v>
      </c>
      <c r="AE22" s="3">
        <f t="shared" si="3"/>
        <v>8.2057600206665278</v>
      </c>
      <c r="AG22" s="3">
        <f t="shared" si="8"/>
        <v>44.658642000000007</v>
      </c>
      <c r="AH22" s="3">
        <f t="shared" si="9"/>
        <v>37.238514000000002</v>
      </c>
      <c r="AI22" s="3">
        <f t="shared" si="10"/>
        <v>39.200085000000001</v>
      </c>
      <c r="AJ22" s="3">
        <f t="shared" si="11"/>
        <v>41.130320999999995</v>
      </c>
      <c r="AK22" s="3">
        <f t="shared" si="12"/>
        <v>45.755367000000007</v>
      </c>
      <c r="AL22" s="3">
        <f t="shared" si="13"/>
        <v>53.476310999999995</v>
      </c>
      <c r="AM22" s="3">
        <f t="shared" si="14"/>
        <v>44.746380000000009</v>
      </c>
      <c r="AN22" s="3">
        <f t="shared" si="15"/>
        <v>46.375799999999998</v>
      </c>
      <c r="AO22" s="3">
        <f t="shared" si="16"/>
        <v>50.067062999999997</v>
      </c>
      <c r="AP22" s="3">
        <f t="shared" si="17"/>
        <v>50.574690000000004</v>
      </c>
      <c r="AQ22" s="3">
        <f t="shared" si="18"/>
        <v>48.8416960004717</v>
      </c>
      <c r="AR22" s="3">
        <f t="shared" si="19"/>
        <v>51.971190441509428</v>
      </c>
      <c r="AS22" s="3">
        <f t="shared" si="20"/>
        <v>46.538463301421324</v>
      </c>
      <c r="AW22" s="2">
        <v>1.23373333266667</v>
      </c>
      <c r="AZ22" s="9">
        <f>'[1]Real petrol price'!EM36</f>
        <v>29.880602160469969</v>
      </c>
      <c r="BA22">
        <v>1.23373</v>
      </c>
      <c r="BB22" s="3">
        <f t="shared" si="21"/>
        <v>36.864595303436616</v>
      </c>
      <c r="BC22" s="3">
        <f t="shared" si="22"/>
        <v>1.4681079773181835</v>
      </c>
      <c r="BD22" s="3">
        <f t="shared" si="23"/>
        <v>38.332703280754799</v>
      </c>
      <c r="BF22" s="3">
        <v>51.293366285915504</v>
      </c>
      <c r="BG22" s="3"/>
      <c r="BM22">
        <v>1982</v>
      </c>
      <c r="BN22">
        <v>25116942</v>
      </c>
      <c r="BO22">
        <v>573795</v>
      </c>
      <c r="BP22">
        <v>123588</v>
      </c>
      <c r="BQ22">
        <v>859038</v>
      </c>
      <c r="BR22">
        <v>707457</v>
      </c>
      <c r="BS22">
        <v>6580631</v>
      </c>
      <c r="BT22">
        <v>8920288</v>
      </c>
      <c r="BU22">
        <v>1045224</v>
      </c>
      <c r="BV22">
        <v>986582</v>
      </c>
      <c r="BW22">
        <v>2369827</v>
      </c>
      <c r="BX22">
        <v>2876513</v>
      </c>
      <c r="BY22">
        <f t="shared" si="25"/>
        <v>25042943</v>
      </c>
      <c r="BZ22">
        <v>24471</v>
      </c>
      <c r="CA22">
        <v>49515</v>
      </c>
      <c r="CB22">
        <f t="shared" si="24"/>
        <v>25116929</v>
      </c>
    </row>
    <row r="23" spans="1:80">
      <c r="A23">
        <v>1983</v>
      </c>
      <c r="B23">
        <v>73.34</v>
      </c>
      <c r="C23">
        <v>62.82</v>
      </c>
      <c r="D23">
        <v>61.04</v>
      </c>
      <c r="E23">
        <v>71.58</v>
      </c>
      <c r="F23">
        <v>70.010000000000005</v>
      </c>
      <c r="G23">
        <v>84.64</v>
      </c>
      <c r="H23">
        <v>76.150000000000006</v>
      </c>
      <c r="I23">
        <v>77.319999999999993</v>
      </c>
      <c r="J23">
        <v>82</v>
      </c>
      <c r="K23">
        <v>83.66</v>
      </c>
      <c r="L23" s="5">
        <f t="shared" si="0"/>
        <v>74.732372641509428</v>
      </c>
      <c r="M23" s="5">
        <f t="shared" si="1"/>
        <v>79.520792452830165</v>
      </c>
      <c r="N23" s="3">
        <f t="shared" si="2"/>
        <v>74.051169191890025</v>
      </c>
      <c r="P23">
        <v>66.319999999999993</v>
      </c>
      <c r="R23">
        <v>6.8</v>
      </c>
      <c r="S23">
        <v>0</v>
      </c>
      <c r="T23">
        <v>0</v>
      </c>
      <c r="U23">
        <v>7.22</v>
      </c>
      <c r="V23">
        <v>7.97</v>
      </c>
      <c r="W23">
        <v>15.7</v>
      </c>
      <c r="X23">
        <v>7.88</v>
      </c>
      <c r="Y23">
        <v>8.56</v>
      </c>
      <c r="Z23">
        <v>9.64</v>
      </c>
      <c r="AA23">
        <v>9.5</v>
      </c>
      <c r="AB23">
        <v>4.2</v>
      </c>
      <c r="AC23">
        <v>6.2750000000000004</v>
      </c>
      <c r="AD23" s="3">
        <f t="shared" si="7"/>
        <v>8.8299521584410776</v>
      </c>
      <c r="AE23" s="3">
        <f t="shared" si="3"/>
        <v>8.8040454851173315</v>
      </c>
      <c r="AG23" s="3">
        <f t="shared" si="8"/>
        <v>48.639088000000001</v>
      </c>
      <c r="AH23" s="3">
        <f t="shared" si="9"/>
        <v>41.662223999999995</v>
      </c>
      <c r="AI23" s="3">
        <f t="shared" si="10"/>
        <v>40.481727999999997</v>
      </c>
      <c r="AJ23" s="3">
        <f t="shared" si="11"/>
        <v>47.471855999999995</v>
      </c>
      <c r="AK23" s="3">
        <f t="shared" si="12"/>
        <v>46.430631999999996</v>
      </c>
      <c r="AL23" s="3">
        <f t="shared" si="13"/>
        <v>56.133247999999995</v>
      </c>
      <c r="AM23" s="3">
        <f t="shared" si="14"/>
        <v>50.502679999999998</v>
      </c>
      <c r="AN23" s="3">
        <f t="shared" si="15"/>
        <v>51.278623999999994</v>
      </c>
      <c r="AO23" s="3">
        <f t="shared" si="16"/>
        <v>54.382399999999997</v>
      </c>
      <c r="AP23" s="3">
        <f t="shared" si="17"/>
        <v>55.483311999999998</v>
      </c>
      <c r="AQ23" s="3">
        <f t="shared" si="18"/>
        <v>49.562509535849046</v>
      </c>
      <c r="AR23" s="3">
        <f t="shared" si="19"/>
        <v>52.738189554716968</v>
      </c>
      <c r="AS23" s="3">
        <f t="shared" si="20"/>
        <v>49.110735408061466</v>
      </c>
      <c r="AW23" s="2">
        <v>1.23241666566667</v>
      </c>
      <c r="AZ23" s="9">
        <f>'[1]Real petrol price'!EM37</f>
        <v>26.953524326241887</v>
      </c>
      <c r="BA23">
        <v>1.2324200000000001</v>
      </c>
      <c r="BB23" s="3">
        <f t="shared" si="21"/>
        <v>33.218062450147031</v>
      </c>
      <c r="BC23" s="3">
        <f t="shared" si="22"/>
        <v>7.0886274727970999</v>
      </c>
      <c r="BD23" s="3">
        <f t="shared" si="23"/>
        <v>40.30668992294413</v>
      </c>
      <c r="BF23" s="3">
        <v>54.276667342680199</v>
      </c>
      <c r="BG23" s="3"/>
      <c r="BM23">
        <v>1983</v>
      </c>
      <c r="BN23">
        <v>25366451</v>
      </c>
      <c r="BO23">
        <v>579164</v>
      </c>
      <c r="BP23">
        <v>125102</v>
      </c>
      <c r="BQ23">
        <v>868289</v>
      </c>
      <c r="BR23">
        <v>714842</v>
      </c>
      <c r="BS23">
        <v>6602976</v>
      </c>
      <c r="BT23">
        <v>9039564</v>
      </c>
      <c r="BU23">
        <v>1059752</v>
      </c>
      <c r="BV23">
        <v>1001249</v>
      </c>
      <c r="BW23">
        <v>2393587</v>
      </c>
      <c r="BX23">
        <v>2907502</v>
      </c>
      <c r="BY23">
        <f t="shared" si="25"/>
        <v>25292027</v>
      </c>
      <c r="BZ23">
        <v>23617</v>
      </c>
      <c r="CA23">
        <v>51024</v>
      </c>
      <c r="CB23">
        <f t="shared" si="24"/>
        <v>25366668</v>
      </c>
    </row>
    <row r="24" spans="1:80">
      <c r="A24">
        <v>1984</v>
      </c>
      <c r="B24">
        <v>75.12</v>
      </c>
      <c r="C24">
        <v>63.17</v>
      </c>
      <c r="D24">
        <v>63.37</v>
      </c>
      <c r="E24">
        <v>70.05</v>
      </c>
      <c r="F24">
        <v>70.290000000000006</v>
      </c>
      <c r="G24">
        <v>83.65</v>
      </c>
      <c r="H24">
        <v>74.69</v>
      </c>
      <c r="I24">
        <v>77.94</v>
      </c>
      <c r="J24">
        <v>82.63</v>
      </c>
      <c r="K24">
        <v>83.92</v>
      </c>
      <c r="L24" s="5">
        <f t="shared" si="0"/>
        <v>75.031259433962276</v>
      </c>
      <c r="M24" s="5">
        <f t="shared" si="1"/>
        <v>79.838830188679225</v>
      </c>
      <c r="N24" s="3">
        <f t="shared" si="2"/>
        <v>74.136096529611663</v>
      </c>
      <c r="P24">
        <v>69.2</v>
      </c>
      <c r="R24">
        <v>7.63</v>
      </c>
      <c r="S24">
        <v>0</v>
      </c>
      <c r="T24">
        <v>0</v>
      </c>
      <c r="U24">
        <v>7.5</v>
      </c>
      <c r="V24">
        <v>8.3000000000000007</v>
      </c>
      <c r="W24">
        <v>12.72</v>
      </c>
      <c r="X24">
        <v>8.52</v>
      </c>
      <c r="Y24">
        <v>9.0399999999999991</v>
      </c>
      <c r="Z24">
        <v>10.1</v>
      </c>
      <c r="AA24">
        <v>10.01</v>
      </c>
      <c r="AB24">
        <v>4.2</v>
      </c>
      <c r="AC24">
        <v>6.5</v>
      </c>
      <c r="AD24" s="3">
        <f t="shared" si="7"/>
        <v>8.325728197983894</v>
      </c>
      <c r="AE24" s="3">
        <f t="shared" si="3"/>
        <v>8.3009370418376527</v>
      </c>
      <c r="AG24" s="3">
        <f t="shared" si="8"/>
        <v>51.983040000000003</v>
      </c>
      <c r="AH24" s="3">
        <f t="shared" si="9"/>
        <v>43.713640000000005</v>
      </c>
      <c r="AI24" s="3">
        <f t="shared" si="10"/>
        <v>43.852039999999995</v>
      </c>
      <c r="AJ24" s="3">
        <f t="shared" si="11"/>
        <v>48.474600000000002</v>
      </c>
      <c r="AK24" s="3">
        <f t="shared" si="12"/>
        <v>48.640680000000003</v>
      </c>
      <c r="AL24" s="3">
        <f t="shared" si="13"/>
        <v>57.88580000000001</v>
      </c>
      <c r="AM24" s="3">
        <f t="shared" si="14"/>
        <v>51.685479999999998</v>
      </c>
      <c r="AN24" s="3">
        <f t="shared" si="15"/>
        <v>53.934480000000001</v>
      </c>
      <c r="AO24" s="3">
        <f t="shared" si="16"/>
        <v>57.179960000000001</v>
      </c>
      <c r="AP24" s="3">
        <f t="shared" si="17"/>
        <v>58.07264</v>
      </c>
      <c r="AQ24" s="3">
        <f t="shared" si="18"/>
        <v>51.921631528301894</v>
      </c>
      <c r="AR24" s="3">
        <f t="shared" si="19"/>
        <v>55.248470490566021</v>
      </c>
      <c r="AS24" s="3">
        <f t="shared" si="20"/>
        <v>51.302178798491276</v>
      </c>
      <c r="AW24" s="2">
        <v>1.2950666663333299</v>
      </c>
      <c r="AZ24" s="9">
        <f>'[1]Real petrol price'!EM38</f>
        <v>25.889493154083407</v>
      </c>
      <c r="BA24">
        <v>1.2950699999999999</v>
      </c>
      <c r="BB24" s="3">
        <f t="shared" si="21"/>
        <v>33.528705899058799</v>
      </c>
      <c r="BC24" s="3">
        <f t="shared" si="22"/>
        <v>9.4725358575948277</v>
      </c>
      <c r="BD24" s="3">
        <f t="shared" si="23"/>
        <v>43.001241756653627</v>
      </c>
      <c r="BF24" s="3">
        <v>56.631636156325001</v>
      </c>
      <c r="BG24" s="3"/>
      <c r="BM24">
        <v>1984</v>
      </c>
      <c r="BN24">
        <v>25607053</v>
      </c>
      <c r="BO24">
        <v>580065</v>
      </c>
      <c r="BP24">
        <v>126563</v>
      </c>
      <c r="BQ24">
        <v>877471</v>
      </c>
      <c r="BR24">
        <v>720488</v>
      </c>
      <c r="BS24">
        <v>6631220</v>
      </c>
      <c r="BT24">
        <v>9167484</v>
      </c>
      <c r="BU24">
        <v>1071810</v>
      </c>
      <c r="BV24">
        <v>1014615</v>
      </c>
      <c r="BW24">
        <v>2393907</v>
      </c>
      <c r="BX24">
        <v>2947181</v>
      </c>
      <c r="BY24">
        <f t="shared" si="25"/>
        <v>25530804</v>
      </c>
      <c r="BZ24">
        <v>23913</v>
      </c>
      <c r="CA24">
        <v>52564</v>
      </c>
      <c r="CB24">
        <f t="shared" si="24"/>
        <v>25607281</v>
      </c>
    </row>
    <row r="25" spans="1:80">
      <c r="A25">
        <v>1985</v>
      </c>
      <c r="B25">
        <v>77.42</v>
      </c>
      <c r="C25">
        <v>64.94</v>
      </c>
      <c r="D25">
        <v>64.97</v>
      </c>
      <c r="E25">
        <v>71.97</v>
      </c>
      <c r="F25">
        <v>70.87</v>
      </c>
      <c r="G25">
        <v>84.36</v>
      </c>
      <c r="H25">
        <v>78.06</v>
      </c>
      <c r="I25">
        <v>81.31</v>
      </c>
      <c r="J25">
        <v>80.08</v>
      </c>
      <c r="K25">
        <v>87.36</v>
      </c>
      <c r="L25" s="5">
        <f t="shared" si="0"/>
        <v>75.650382075471697</v>
      </c>
      <c r="M25" s="5">
        <f t="shared" si="1"/>
        <v>80.497622641509423</v>
      </c>
      <c r="N25" s="3">
        <f t="shared" si="2"/>
        <v>75.363563021907652</v>
      </c>
      <c r="P25">
        <v>71.930000000000007</v>
      </c>
      <c r="R25">
        <v>8.15</v>
      </c>
      <c r="S25">
        <v>0</v>
      </c>
      <c r="T25">
        <v>0</v>
      </c>
      <c r="U25">
        <v>7.88</v>
      </c>
      <c r="V25">
        <v>8.4</v>
      </c>
      <c r="W25">
        <v>13.3</v>
      </c>
      <c r="X25">
        <v>9.6300000000000008</v>
      </c>
      <c r="Y25">
        <v>9.77</v>
      </c>
      <c r="Z25">
        <v>10.029999999999999</v>
      </c>
      <c r="AA25">
        <v>10.82</v>
      </c>
      <c r="AB25">
        <v>4.2</v>
      </c>
      <c r="AC25">
        <v>6.5</v>
      </c>
      <c r="AD25" s="3">
        <f t="shared" si="7"/>
        <v>8.66074434553461</v>
      </c>
      <c r="AE25" s="3">
        <f t="shared" si="3"/>
        <v>8.6344076502868425</v>
      </c>
      <c r="AG25" s="3">
        <f t="shared" si="8"/>
        <v>55.688206000000008</v>
      </c>
      <c r="AH25" s="3">
        <f t="shared" si="9"/>
        <v>46.711342000000002</v>
      </c>
      <c r="AI25" s="3">
        <f t="shared" si="10"/>
        <v>46.732921000000005</v>
      </c>
      <c r="AJ25" s="3">
        <f t="shared" si="11"/>
        <v>51.768021000000005</v>
      </c>
      <c r="AK25" s="3">
        <f t="shared" si="12"/>
        <v>50.976791000000013</v>
      </c>
      <c r="AL25" s="3">
        <f t="shared" si="13"/>
        <v>60.68014800000001</v>
      </c>
      <c r="AM25" s="3">
        <f t="shared" si="14"/>
        <v>56.148558000000001</v>
      </c>
      <c r="AN25" s="3">
        <f t="shared" si="15"/>
        <v>58.486283</v>
      </c>
      <c r="AO25" s="3">
        <f t="shared" si="16"/>
        <v>57.601544000000004</v>
      </c>
      <c r="AP25" s="3">
        <f t="shared" si="17"/>
        <v>62.838048000000008</v>
      </c>
      <c r="AQ25" s="3">
        <f t="shared" si="18"/>
        <v>54.415319826886801</v>
      </c>
      <c r="AR25" s="3">
        <f t="shared" si="19"/>
        <v>57.901939966037737</v>
      </c>
      <c r="AS25" s="3">
        <f t="shared" si="20"/>
        <v>54.20901088165818</v>
      </c>
      <c r="AT25">
        <v>0</v>
      </c>
      <c r="AW25" s="2">
        <v>1.36548333291667</v>
      </c>
      <c r="AZ25" s="9">
        <f>'[1]Real petrol price'!EM39</f>
        <v>25.653020480062214</v>
      </c>
      <c r="BA25">
        <v>1.36548</v>
      </c>
      <c r="BB25" s="3">
        <f t="shared" si="21"/>
        <v>35.028686405115351</v>
      </c>
      <c r="BC25" s="3">
        <f t="shared" si="22"/>
        <v>10.54591682625599</v>
      </c>
      <c r="BD25" s="3">
        <f t="shared" si="23"/>
        <v>45.574603231371341</v>
      </c>
      <c r="BF25" s="3">
        <v>58.869111948898599</v>
      </c>
      <c r="BG25" s="3"/>
      <c r="BM25">
        <v>1985</v>
      </c>
      <c r="BN25">
        <v>25842116</v>
      </c>
      <c r="BO25">
        <v>579275</v>
      </c>
      <c r="BP25">
        <v>127619</v>
      </c>
      <c r="BQ25">
        <v>885848</v>
      </c>
      <c r="BR25">
        <v>723287</v>
      </c>
      <c r="BS25">
        <v>6665802</v>
      </c>
      <c r="BT25">
        <v>9294657</v>
      </c>
      <c r="BU25">
        <v>1082495</v>
      </c>
      <c r="BV25">
        <v>1024928</v>
      </c>
      <c r="BW25">
        <v>2404490</v>
      </c>
      <c r="BX25">
        <v>2975131</v>
      </c>
      <c r="BY25">
        <f t="shared" si="25"/>
        <v>25763532</v>
      </c>
      <c r="BZ25">
        <v>24363</v>
      </c>
      <c r="CA25">
        <v>54402</v>
      </c>
      <c r="CB25">
        <f t="shared" si="24"/>
        <v>25842297</v>
      </c>
    </row>
    <row r="26" spans="1:80">
      <c r="A26">
        <v>1986</v>
      </c>
      <c r="B26">
        <v>63.15</v>
      </c>
      <c r="C26">
        <v>55.01</v>
      </c>
      <c r="D26">
        <v>50.98</v>
      </c>
      <c r="E26">
        <v>65.38</v>
      </c>
      <c r="F26">
        <v>60.99</v>
      </c>
      <c r="G26">
        <v>73.08</v>
      </c>
      <c r="H26">
        <v>70.66</v>
      </c>
      <c r="I26">
        <v>69.290000000000006</v>
      </c>
      <c r="J26">
        <v>71.56</v>
      </c>
      <c r="K26">
        <v>77.3</v>
      </c>
      <c r="L26" s="5">
        <f t="shared" si="0"/>
        <v>65.103948113207551</v>
      </c>
      <c r="M26" s="5">
        <f t="shared" si="1"/>
        <v>69.275433962264145</v>
      </c>
      <c r="N26" s="3">
        <f t="shared" si="2"/>
        <v>64.56246099339873</v>
      </c>
      <c r="P26">
        <v>74.930000000000007</v>
      </c>
      <c r="R26">
        <v>7.4</v>
      </c>
      <c r="S26">
        <v>0</v>
      </c>
      <c r="T26">
        <v>0</v>
      </c>
      <c r="U26">
        <v>8</v>
      </c>
      <c r="V26">
        <v>8.3000000000000007</v>
      </c>
      <c r="W26">
        <v>14.31</v>
      </c>
      <c r="X26">
        <v>9.23</v>
      </c>
      <c r="Y26">
        <v>8.94</v>
      </c>
      <c r="Z26">
        <v>8.9700000000000006</v>
      </c>
      <c r="AA26">
        <v>10.09</v>
      </c>
      <c r="AB26">
        <v>4.2</v>
      </c>
      <c r="AC26">
        <v>8.4</v>
      </c>
      <c r="AD26" s="3">
        <f t="shared" si="7"/>
        <v>8.7410592068458648</v>
      </c>
      <c r="AE26" s="3">
        <f t="shared" si="3"/>
        <v>8.7145747493570767</v>
      </c>
      <c r="AG26" s="3">
        <f t="shared" si="8"/>
        <v>47.318295000000006</v>
      </c>
      <c r="AH26" s="3">
        <f t="shared" si="9"/>
        <v>41.218992999999998</v>
      </c>
      <c r="AI26" s="3">
        <f t="shared" si="10"/>
        <v>38.199314000000001</v>
      </c>
      <c r="AJ26" s="3">
        <f t="shared" si="11"/>
        <v>48.989233999999996</v>
      </c>
      <c r="AK26" s="3">
        <f t="shared" si="12"/>
        <v>45.699807000000007</v>
      </c>
      <c r="AL26" s="3">
        <f t="shared" si="13"/>
        <v>54.758844000000011</v>
      </c>
      <c r="AM26" s="3">
        <f t="shared" si="14"/>
        <v>52.945538000000006</v>
      </c>
      <c r="AN26" s="3">
        <f t="shared" si="15"/>
        <v>51.918997000000012</v>
      </c>
      <c r="AO26" s="3">
        <f t="shared" si="16"/>
        <v>53.619908000000002</v>
      </c>
      <c r="AP26" s="3">
        <f t="shared" si="17"/>
        <v>57.92089</v>
      </c>
      <c r="AQ26" s="3">
        <f t="shared" si="18"/>
        <v>48.782388321226428</v>
      </c>
      <c r="AR26" s="3">
        <f t="shared" si="19"/>
        <v>51.908082667924525</v>
      </c>
      <c r="AS26" s="3">
        <f t="shared" si="20"/>
        <v>48.376652022353674</v>
      </c>
      <c r="AW26" s="2">
        <v>1.3894999997499999</v>
      </c>
      <c r="AZ26" s="9">
        <f>'[1]Real petrol price'!EM40</f>
        <v>18.505412988196149</v>
      </c>
      <c r="BA26">
        <v>1.3895</v>
      </c>
      <c r="BB26" s="3">
        <f t="shared" si="21"/>
        <v>25.713271347098548</v>
      </c>
      <c r="BC26" s="3">
        <f t="shared" si="22"/>
        <v>13.94880592589805</v>
      </c>
      <c r="BD26" s="3">
        <f t="shared" si="23"/>
        <v>39.662077272996598</v>
      </c>
      <c r="BF26" s="3">
        <v>61.3262486069533</v>
      </c>
      <c r="BG26" s="3"/>
      <c r="BM26">
        <v>1986</v>
      </c>
      <c r="BN26">
        <v>26100278</v>
      </c>
      <c r="BO26">
        <v>576306</v>
      </c>
      <c r="BP26">
        <v>128436</v>
      </c>
      <c r="BQ26">
        <v>889087</v>
      </c>
      <c r="BR26">
        <v>725019</v>
      </c>
      <c r="BS26">
        <v>6708170</v>
      </c>
      <c r="BT26">
        <v>9437359</v>
      </c>
      <c r="BU26">
        <v>1091552</v>
      </c>
      <c r="BV26">
        <v>1028717</v>
      </c>
      <c r="BW26">
        <v>2432930</v>
      </c>
      <c r="BX26">
        <v>3003621</v>
      </c>
      <c r="BY26">
        <f t="shared" si="25"/>
        <v>26021197</v>
      </c>
      <c r="BZ26">
        <v>24479</v>
      </c>
      <c r="CA26">
        <v>54696</v>
      </c>
      <c r="CB26">
        <f t="shared" si="24"/>
        <v>26100372</v>
      </c>
    </row>
    <row r="27" spans="1:80">
      <c r="A27">
        <v>1987</v>
      </c>
      <c r="B27">
        <v>64.34</v>
      </c>
      <c r="C27">
        <v>55.98</v>
      </c>
      <c r="D27">
        <v>57.26</v>
      </c>
      <c r="E27">
        <v>61.37</v>
      </c>
      <c r="F27">
        <v>61.86</v>
      </c>
      <c r="G27">
        <v>72.989999999999995</v>
      </c>
      <c r="H27">
        <v>62.44</v>
      </c>
      <c r="I27">
        <v>64.260000000000005</v>
      </c>
      <c r="J27">
        <v>68.599999999999994</v>
      </c>
      <c r="K27">
        <v>72.27</v>
      </c>
      <c r="L27" s="5">
        <f t="shared" si="0"/>
        <v>66.032632075471696</v>
      </c>
      <c r="M27" s="5">
        <f t="shared" si="1"/>
        <v>70.263622641509428</v>
      </c>
      <c r="N27" s="3">
        <f t="shared" si="2"/>
        <v>64.635268213321908</v>
      </c>
      <c r="P27">
        <v>78.2</v>
      </c>
      <c r="R27">
        <v>7.08</v>
      </c>
      <c r="S27">
        <v>2.92</v>
      </c>
      <c r="T27">
        <v>4.08</v>
      </c>
      <c r="U27">
        <v>8</v>
      </c>
      <c r="V27">
        <v>8.3000000000000007</v>
      </c>
      <c r="W27">
        <v>14.4</v>
      </c>
      <c r="X27">
        <v>8.1999999999999993</v>
      </c>
      <c r="Y27">
        <v>8.52</v>
      </c>
      <c r="Z27">
        <v>8.8800000000000008</v>
      </c>
      <c r="AA27">
        <v>9.6999999999999993</v>
      </c>
      <c r="AB27">
        <v>4.2</v>
      </c>
      <c r="AC27">
        <v>8.625</v>
      </c>
      <c r="AD27" s="3">
        <f t="shared" si="7"/>
        <v>9.1123127548226535</v>
      </c>
      <c r="AE27" s="3">
        <f t="shared" si="3"/>
        <v>9.0845019853401965</v>
      </c>
      <c r="AG27" s="3">
        <f t="shared" si="8"/>
        <v>50.313880000000012</v>
      </c>
      <c r="AH27" s="3">
        <f t="shared" si="9"/>
        <v>43.776359999999997</v>
      </c>
      <c r="AI27" s="3">
        <f t="shared" si="10"/>
        <v>44.777320000000003</v>
      </c>
      <c r="AJ27" s="3">
        <f t="shared" si="11"/>
        <v>47.991340000000001</v>
      </c>
      <c r="AK27" s="3">
        <f t="shared" si="12"/>
        <v>48.374520000000004</v>
      </c>
      <c r="AL27" s="3">
        <f t="shared" si="13"/>
        <v>57.078180000000003</v>
      </c>
      <c r="AM27" s="3">
        <f t="shared" si="14"/>
        <v>48.82808</v>
      </c>
      <c r="AN27" s="3">
        <f t="shared" si="15"/>
        <v>50.251320000000007</v>
      </c>
      <c r="AO27" s="3">
        <f t="shared" si="16"/>
        <v>53.645199999999996</v>
      </c>
      <c r="AP27" s="3">
        <f t="shared" si="17"/>
        <v>56.515140000000002</v>
      </c>
      <c r="AQ27" s="3">
        <f t="shared" si="18"/>
        <v>51.637518283018871</v>
      </c>
      <c r="AR27" s="3">
        <f t="shared" si="19"/>
        <v>54.946152905660377</v>
      </c>
      <c r="AS27" s="3">
        <f t="shared" si="20"/>
        <v>50.544779742817738</v>
      </c>
      <c r="AW27" s="2">
        <v>1.32599166666667</v>
      </c>
      <c r="AZ27" s="9">
        <f>'[1]Real petrol price'!EM41</f>
        <v>18.825311419827834</v>
      </c>
      <c r="BA27">
        <v>1.32599</v>
      </c>
      <c r="BB27" s="3">
        <f t="shared" si="21"/>
        <v>24.962174689577509</v>
      </c>
      <c r="BC27" s="3">
        <f t="shared" si="22"/>
        <v>16.498103067900033</v>
      </c>
      <c r="BD27" s="3">
        <f t="shared" si="23"/>
        <v>41.460277757477542</v>
      </c>
      <c r="BF27" s="3">
        <v>64.0030461304884</v>
      </c>
      <c r="BG27" s="3"/>
      <c r="BM27">
        <v>1987</v>
      </c>
      <c r="BN27">
        <v>26446601</v>
      </c>
      <c r="BO27">
        <v>575242</v>
      </c>
      <c r="BP27">
        <v>128641</v>
      </c>
      <c r="BQ27">
        <v>893606</v>
      </c>
      <c r="BR27">
        <v>727768</v>
      </c>
      <c r="BS27">
        <v>6781984</v>
      </c>
      <c r="BT27">
        <v>9637945</v>
      </c>
      <c r="BU27">
        <v>1098373</v>
      </c>
      <c r="BV27">
        <v>1032799</v>
      </c>
      <c r="BW27">
        <v>2440877</v>
      </c>
      <c r="BX27">
        <v>3048651</v>
      </c>
      <c r="BY27">
        <f t="shared" si="25"/>
        <v>26365886</v>
      </c>
      <c r="BZ27">
        <v>25707</v>
      </c>
      <c r="CA27">
        <v>55038</v>
      </c>
      <c r="CB27">
        <f t="shared" si="24"/>
        <v>26446631</v>
      </c>
    </row>
    <row r="28" spans="1:80">
      <c r="A28">
        <v>1988</v>
      </c>
      <c r="B28">
        <v>59.14</v>
      </c>
      <c r="C28">
        <v>50.63</v>
      </c>
      <c r="D28">
        <v>56.58</v>
      </c>
      <c r="E28">
        <v>56.07</v>
      </c>
      <c r="F28">
        <v>59.1</v>
      </c>
      <c r="G28">
        <v>69.86</v>
      </c>
      <c r="H28">
        <v>61.67</v>
      </c>
      <c r="I28">
        <v>61.87</v>
      </c>
      <c r="J28">
        <v>64.72</v>
      </c>
      <c r="K28">
        <v>68.14</v>
      </c>
      <c r="L28" s="5">
        <f t="shared" si="0"/>
        <v>63.086462264150938</v>
      </c>
      <c r="M28" s="5">
        <f t="shared" si="1"/>
        <v>67.12867924528301</v>
      </c>
      <c r="N28" s="3">
        <f t="shared" si="2"/>
        <v>61.2568165782492</v>
      </c>
      <c r="P28">
        <v>81.349999999999994</v>
      </c>
      <c r="R28">
        <v>7.5</v>
      </c>
      <c r="S28">
        <v>5</v>
      </c>
      <c r="T28">
        <v>7</v>
      </c>
      <c r="U28">
        <v>8</v>
      </c>
      <c r="V28">
        <v>8.9700000000000006</v>
      </c>
      <c r="W28">
        <v>14.4</v>
      </c>
      <c r="X28">
        <v>8.35</v>
      </c>
      <c r="Y28">
        <v>8.56</v>
      </c>
      <c r="Z28">
        <v>8.65</v>
      </c>
      <c r="AA28">
        <v>9.7100000000000009</v>
      </c>
      <c r="AB28">
        <v>4.2</v>
      </c>
      <c r="AC28">
        <v>8.4749999999999996</v>
      </c>
      <c r="AD28" s="3">
        <f t="shared" si="7"/>
        <v>9.7130547356471713</v>
      </c>
      <c r="AE28" s="3">
        <f t="shared" si="3"/>
        <v>9.683159039796843</v>
      </c>
      <c r="AG28" s="3">
        <f t="shared" si="8"/>
        <v>48.110389999999995</v>
      </c>
      <c r="AH28" s="3">
        <f t="shared" si="9"/>
        <v>41.187505000000002</v>
      </c>
      <c r="AI28" s="3">
        <f t="shared" si="10"/>
        <v>46.027829999999994</v>
      </c>
      <c r="AJ28" s="3">
        <f t="shared" si="11"/>
        <v>45.612944999999996</v>
      </c>
      <c r="AK28" s="3">
        <f t="shared" si="12"/>
        <v>48.077849999999998</v>
      </c>
      <c r="AL28" s="3">
        <f t="shared" si="13"/>
        <v>56.831109999999995</v>
      </c>
      <c r="AM28" s="3">
        <f t="shared" si="14"/>
        <v>50.168544999999995</v>
      </c>
      <c r="AN28" s="3">
        <f t="shared" si="15"/>
        <v>50.331244999999988</v>
      </c>
      <c r="AO28" s="3">
        <f t="shared" si="16"/>
        <v>52.649719999999995</v>
      </c>
      <c r="AP28" s="3">
        <f t="shared" si="17"/>
        <v>55.431889999999996</v>
      </c>
      <c r="AQ28" s="3">
        <f t="shared" si="18"/>
        <v>51.320837051886784</v>
      </c>
      <c r="AR28" s="3">
        <f t="shared" si="19"/>
        <v>54.609180566037722</v>
      </c>
      <c r="AS28" s="3">
        <f t="shared" si="20"/>
        <v>49.832420286405721</v>
      </c>
      <c r="AW28" s="2">
        <v>1.23070833333333</v>
      </c>
      <c r="AZ28" s="9">
        <f>'[1]Real petrol price'!EM42</f>
        <v>18.598076045575858</v>
      </c>
      <c r="BA28">
        <v>1.23071</v>
      </c>
      <c r="BB28" s="3">
        <f t="shared" si="21"/>
        <v>22.888838170050665</v>
      </c>
      <c r="BC28" s="3">
        <f t="shared" si="22"/>
        <v>17.260423076558215</v>
      </c>
      <c r="BD28" s="3">
        <f t="shared" si="23"/>
        <v>40.14926124660888</v>
      </c>
      <c r="BF28" s="3">
        <v>66.577675809614107</v>
      </c>
      <c r="BG28" s="3"/>
      <c r="BM28">
        <v>1988</v>
      </c>
      <c r="BN28">
        <v>26791747</v>
      </c>
      <c r="BO28">
        <v>574982</v>
      </c>
      <c r="BP28">
        <v>129289</v>
      </c>
      <c r="BQ28">
        <v>897216</v>
      </c>
      <c r="BR28">
        <v>730349</v>
      </c>
      <c r="BS28">
        <v>6837077</v>
      </c>
      <c r="BT28">
        <v>9838620</v>
      </c>
      <c r="BU28">
        <v>1102152</v>
      </c>
      <c r="BV28">
        <v>1028225</v>
      </c>
      <c r="BW28">
        <v>2456614</v>
      </c>
      <c r="BX28">
        <v>3114761</v>
      </c>
      <c r="BY28">
        <f t="shared" si="25"/>
        <v>26709285</v>
      </c>
      <c r="BZ28">
        <v>26621</v>
      </c>
      <c r="CA28">
        <v>55697</v>
      </c>
      <c r="CB28">
        <f t="shared" si="24"/>
        <v>26791603</v>
      </c>
    </row>
    <row r="29" spans="1:80">
      <c r="A29">
        <v>1989</v>
      </c>
      <c r="B29">
        <v>61.95</v>
      </c>
      <c r="C29">
        <v>52.66</v>
      </c>
      <c r="D29">
        <v>57.95</v>
      </c>
      <c r="E29">
        <v>57.01</v>
      </c>
      <c r="F29">
        <v>59.21</v>
      </c>
      <c r="G29">
        <v>66.930000000000007</v>
      </c>
      <c r="H29">
        <v>61.09</v>
      </c>
      <c r="I29">
        <v>59.62</v>
      </c>
      <c r="J29">
        <v>61.71</v>
      </c>
      <c r="K29">
        <v>67.06</v>
      </c>
      <c r="L29" s="5">
        <f>F29*L$30/F$30</f>
        <v>63.203882075471697</v>
      </c>
      <c r="M29" s="5">
        <f>F29*M30/F30</f>
        <v>67.253622641509423</v>
      </c>
      <c r="N29" s="3">
        <f t="shared" si="2"/>
        <v>61.017412433784578</v>
      </c>
      <c r="P29">
        <v>85.41</v>
      </c>
      <c r="R29">
        <v>8.19</v>
      </c>
      <c r="S29">
        <v>5</v>
      </c>
      <c r="T29">
        <v>9.5</v>
      </c>
      <c r="U29">
        <v>8.33</v>
      </c>
      <c r="V29">
        <v>9.8800000000000008</v>
      </c>
      <c r="W29">
        <v>14.4</v>
      </c>
      <c r="X29">
        <v>10.130000000000001</v>
      </c>
      <c r="Y29">
        <v>8.64</v>
      </c>
      <c r="Z29">
        <v>8.73</v>
      </c>
      <c r="AA29">
        <v>10.07</v>
      </c>
      <c r="AB29">
        <v>4.2</v>
      </c>
      <c r="AC29">
        <v>8.2750000000000004</v>
      </c>
      <c r="AD29" s="3">
        <f t="shared" si="7"/>
        <v>10.29253077570826</v>
      </c>
      <c r="AE29" s="3">
        <f t="shared" si="3"/>
        <v>10.260686198822359</v>
      </c>
      <c r="AG29" s="3">
        <f t="shared" si="8"/>
        <v>52.911495000000002</v>
      </c>
      <c r="AH29" s="3">
        <f t="shared" si="9"/>
        <v>44.976906</v>
      </c>
      <c r="AI29" s="3">
        <f t="shared" si="10"/>
        <v>49.495094999999999</v>
      </c>
      <c r="AJ29" s="3">
        <f t="shared" si="11"/>
        <v>48.692240999999996</v>
      </c>
      <c r="AK29" s="3">
        <f t="shared" si="12"/>
        <v>50.571260999999993</v>
      </c>
      <c r="AL29" s="3">
        <f t="shared" si="13"/>
        <v>57.164913000000006</v>
      </c>
      <c r="AM29" s="3">
        <f t="shared" si="14"/>
        <v>52.176969</v>
      </c>
      <c r="AN29" s="3">
        <f t="shared" si="15"/>
        <v>50.921441999999999</v>
      </c>
      <c r="AO29" s="3">
        <f t="shared" si="16"/>
        <v>52.706510999999999</v>
      </c>
      <c r="AP29" s="3">
        <f t="shared" si="17"/>
        <v>57.275946000000005</v>
      </c>
      <c r="AQ29" s="3">
        <f t="shared" si="18"/>
        <v>53.982435680660373</v>
      </c>
      <c r="AR29" s="3">
        <f t="shared" si="19"/>
        <v>57.441319098113198</v>
      </c>
      <c r="AS29" s="3">
        <f t="shared" si="20"/>
        <v>52.114971959695403</v>
      </c>
      <c r="AW29" s="2">
        <v>1.1839916666666701</v>
      </c>
      <c r="AZ29" s="9">
        <f>'[1]Real petrol price'!EM43</f>
        <v>19.985522357590856</v>
      </c>
      <c r="BA29">
        <v>1.1839900000000001</v>
      </c>
      <c r="BB29" s="3">
        <f t="shared" si="21"/>
        <v>23.662658616163998</v>
      </c>
      <c r="BC29" s="3">
        <f t="shared" si="22"/>
        <v>18.191627144709042</v>
      </c>
      <c r="BD29" s="3">
        <f t="shared" si="23"/>
        <v>41.85428576087304</v>
      </c>
      <c r="BF29" s="3">
        <v>69.903239145151502</v>
      </c>
      <c r="BG29" s="3"/>
      <c r="BM29">
        <v>1989</v>
      </c>
      <c r="BN29">
        <v>27276781</v>
      </c>
      <c r="BO29">
        <v>576551</v>
      </c>
      <c r="BP29">
        <v>130153</v>
      </c>
      <c r="BQ29">
        <v>903841</v>
      </c>
      <c r="BR29">
        <v>735129</v>
      </c>
      <c r="BS29">
        <v>6925128</v>
      </c>
      <c r="BT29">
        <v>10103305</v>
      </c>
      <c r="BU29">
        <v>1103792</v>
      </c>
      <c r="BV29">
        <v>1019439</v>
      </c>
      <c r="BW29">
        <v>2498325</v>
      </c>
      <c r="BX29">
        <v>3196725</v>
      </c>
      <c r="BY29">
        <f t="shared" si="25"/>
        <v>27192388</v>
      </c>
      <c r="BZ29">
        <v>27120</v>
      </c>
      <c r="CA29">
        <v>57025</v>
      </c>
      <c r="CB29">
        <f t="shared" si="24"/>
        <v>27276533</v>
      </c>
    </row>
    <row r="30" spans="1:80">
      <c r="A30">
        <v>1990</v>
      </c>
      <c r="B30">
        <v>68.819999999999993</v>
      </c>
      <c r="C30">
        <v>60.6</v>
      </c>
      <c r="D30">
        <v>61.61</v>
      </c>
      <c r="E30">
        <v>62.35</v>
      </c>
      <c r="F30">
        <v>63.6</v>
      </c>
      <c r="G30">
        <v>70.44</v>
      </c>
      <c r="H30">
        <v>64.27</v>
      </c>
      <c r="I30">
        <v>64.36</v>
      </c>
      <c r="J30">
        <v>65.8</v>
      </c>
      <c r="K30">
        <v>71.63</v>
      </c>
      <c r="L30">
        <v>67.89</v>
      </c>
      <c r="M30">
        <v>72.239999999999995</v>
      </c>
      <c r="N30" s="3">
        <f t="shared" si="2"/>
        <v>65.793456360659505</v>
      </c>
      <c r="P30">
        <v>89.48</v>
      </c>
      <c r="R30">
        <v>9.57</v>
      </c>
      <c r="S30">
        <v>6.67</v>
      </c>
      <c r="T30">
        <v>10</v>
      </c>
      <c r="U30">
        <v>9</v>
      </c>
      <c r="V30">
        <v>11.3</v>
      </c>
      <c r="W30">
        <v>14.4</v>
      </c>
      <c r="X30">
        <v>10.85</v>
      </c>
      <c r="Y30">
        <v>10.43</v>
      </c>
      <c r="Z30">
        <v>10.76</v>
      </c>
      <c r="AA30">
        <v>11.45</v>
      </c>
      <c r="AB30">
        <v>4.2</v>
      </c>
      <c r="AC30">
        <v>8.75</v>
      </c>
      <c r="AD30" s="3">
        <f t="shared" si="7"/>
        <v>11.295277349381498</v>
      </c>
      <c r="AE30" s="3">
        <f t="shared" si="3"/>
        <v>11.259833091727762</v>
      </c>
      <c r="AG30" s="3">
        <f t="shared" si="8"/>
        <v>61.580135999999996</v>
      </c>
      <c r="AH30" s="3">
        <f t="shared" si="9"/>
        <v>54.224880000000006</v>
      </c>
      <c r="AI30" s="3">
        <f t="shared" si="10"/>
        <v>55.128627999999999</v>
      </c>
      <c r="AJ30" s="3">
        <f t="shared" si="11"/>
        <v>55.790780000000005</v>
      </c>
      <c r="AK30" s="3">
        <f t="shared" si="12"/>
        <v>56.90928000000001</v>
      </c>
      <c r="AL30" s="3">
        <f t="shared" si="13"/>
        <v>63.029711999999996</v>
      </c>
      <c r="AM30" s="3">
        <f t="shared" si="14"/>
        <v>57.508796000000004</v>
      </c>
      <c r="AN30" s="3">
        <f t="shared" si="15"/>
        <v>57.589328000000002</v>
      </c>
      <c r="AO30" s="3">
        <f t="shared" si="16"/>
        <v>58.877839999999999</v>
      </c>
      <c r="AP30" s="3">
        <f t="shared" si="17"/>
        <v>64.094524000000007</v>
      </c>
      <c r="AQ30" s="3">
        <f t="shared" si="18"/>
        <v>60.747971999999997</v>
      </c>
      <c r="AR30" s="3">
        <f t="shared" si="19"/>
        <v>64.640352000000007</v>
      </c>
      <c r="AS30" s="3">
        <f t="shared" si="20"/>
        <v>58.871984751518127</v>
      </c>
      <c r="AT30" s="5">
        <f t="shared" ref="AT30:AT38" si="26">AU30*AT$40/AU$40</f>
        <v>57.104908565928774</v>
      </c>
      <c r="AU30">
        <v>81.5</v>
      </c>
      <c r="AW30" s="2">
        <v>1.1667749999999999</v>
      </c>
      <c r="AZ30" s="9">
        <f>'[1]Real petrol price'!EM44</f>
        <v>20.972217975323936</v>
      </c>
      <c r="BA30">
        <v>1.1667799999999999</v>
      </c>
      <c r="BB30" s="3">
        <f t="shared" si="21"/>
        <v>24.469964489248461</v>
      </c>
      <c r="BC30" s="3">
        <f t="shared" si="22"/>
        <v>23.142187170541902</v>
      </c>
      <c r="BD30" s="3">
        <f t="shared" si="23"/>
        <v>47.612151659790364</v>
      </c>
      <c r="BF30" s="3">
        <v>73.233910872909803</v>
      </c>
      <c r="BG30" s="3"/>
      <c r="BM30">
        <v>1990</v>
      </c>
      <c r="BN30">
        <v>27691138</v>
      </c>
      <c r="BO30">
        <v>577368</v>
      </c>
      <c r="BP30">
        <v>130404</v>
      </c>
      <c r="BQ30">
        <v>910451</v>
      </c>
      <c r="BR30">
        <v>740156</v>
      </c>
      <c r="BS30">
        <v>6996986</v>
      </c>
      <c r="BT30">
        <v>10295832</v>
      </c>
      <c r="BU30">
        <v>1105421</v>
      </c>
      <c r="BV30">
        <v>1007727</v>
      </c>
      <c r="BW30">
        <v>2547788</v>
      </c>
      <c r="BX30">
        <v>3292111</v>
      </c>
      <c r="BY30">
        <f t="shared" si="25"/>
        <v>27604244</v>
      </c>
      <c r="BZ30">
        <v>27778</v>
      </c>
      <c r="CA30">
        <v>58904</v>
      </c>
      <c r="CB30">
        <f t="shared" si="24"/>
        <v>27690926</v>
      </c>
    </row>
    <row r="31" spans="1:80">
      <c r="A31">
        <v>1991</v>
      </c>
      <c r="B31">
        <v>61.56</v>
      </c>
      <c r="C31">
        <v>53.44</v>
      </c>
      <c r="D31">
        <v>50.63</v>
      </c>
      <c r="E31">
        <v>56.57</v>
      </c>
      <c r="F31">
        <v>58.2</v>
      </c>
      <c r="G31">
        <v>67.92</v>
      </c>
      <c r="H31">
        <v>63.19</v>
      </c>
      <c r="I31">
        <v>66.069999999999993</v>
      </c>
      <c r="J31">
        <v>68.150000000000006</v>
      </c>
      <c r="K31">
        <v>70.540000000000006</v>
      </c>
      <c r="L31">
        <v>67.17</v>
      </c>
      <c r="M31">
        <v>72.989999999999995</v>
      </c>
      <c r="N31" s="3">
        <f t="shared" si="2"/>
        <v>61.011589592409003</v>
      </c>
      <c r="P31">
        <v>94.51</v>
      </c>
      <c r="R31">
        <v>9.85</v>
      </c>
      <c r="S31">
        <v>8.5</v>
      </c>
      <c r="T31">
        <v>10</v>
      </c>
      <c r="U31">
        <v>10</v>
      </c>
      <c r="V31">
        <v>12.43</v>
      </c>
      <c r="W31">
        <v>10</v>
      </c>
      <c r="X31">
        <v>12.4</v>
      </c>
      <c r="Y31">
        <v>12.93</v>
      </c>
      <c r="Z31">
        <v>12.28</v>
      </c>
      <c r="AA31">
        <v>13.48</v>
      </c>
      <c r="AB31">
        <v>4.2</v>
      </c>
      <c r="AC31">
        <v>9.125</v>
      </c>
      <c r="AD31" s="3">
        <f t="shared" si="7"/>
        <v>11.016743845667856</v>
      </c>
      <c r="AE31" s="3">
        <f t="shared" si="3"/>
        <v>10.981478769801216</v>
      </c>
      <c r="AG31" s="3">
        <f t="shared" si="8"/>
        <v>58.180356000000003</v>
      </c>
      <c r="AH31" s="3">
        <f t="shared" si="9"/>
        <v>50.506144000000006</v>
      </c>
      <c r="AI31" s="3">
        <f t="shared" si="10"/>
        <v>47.85041300000001</v>
      </c>
      <c r="AJ31" s="3">
        <f t="shared" si="11"/>
        <v>53.464306999999998</v>
      </c>
      <c r="AK31" s="3">
        <f t="shared" si="12"/>
        <v>55.004820000000009</v>
      </c>
      <c r="AL31" s="3">
        <f t="shared" si="13"/>
        <v>64.191192000000001</v>
      </c>
      <c r="AM31" s="3">
        <f t="shared" si="14"/>
        <v>59.720869</v>
      </c>
      <c r="AN31" s="3">
        <f t="shared" si="15"/>
        <v>62.442757</v>
      </c>
      <c r="AO31" s="3">
        <f t="shared" si="16"/>
        <v>64.40856500000001</v>
      </c>
      <c r="AP31" s="3">
        <f t="shared" si="17"/>
        <v>66.667354000000017</v>
      </c>
      <c r="AQ31" s="3">
        <f t="shared" si="18"/>
        <v>63.482367000000004</v>
      </c>
      <c r="AR31" s="3">
        <f t="shared" si="19"/>
        <v>68.982849000000002</v>
      </c>
      <c r="AS31" s="3">
        <f t="shared" si="20"/>
        <v>57.662053323785749</v>
      </c>
      <c r="AT31" s="5">
        <f t="shared" si="26"/>
        <v>56.894706448508174</v>
      </c>
      <c r="AU31">
        <v>81.2</v>
      </c>
      <c r="AW31" s="2">
        <v>1.14571666666667</v>
      </c>
      <c r="AZ31" s="9">
        <f>'[1]Real petrol price'!EM45</f>
        <v>20.908682983510761</v>
      </c>
      <c r="BA31">
        <v>1.1457200000000001</v>
      </c>
      <c r="BB31" s="3">
        <f t="shared" si="21"/>
        <v>23.95549626786795</v>
      </c>
      <c r="BC31" s="3">
        <f t="shared" si="22"/>
        <v>22.725078286116585</v>
      </c>
      <c r="BD31" s="3">
        <f t="shared" si="23"/>
        <v>46.680574553984535</v>
      </c>
      <c r="BF31" s="3">
        <v>77.346166610402094</v>
      </c>
      <c r="BG31" s="3"/>
      <c r="BM31">
        <v>1991</v>
      </c>
      <c r="BN31">
        <v>28037420</v>
      </c>
      <c r="BO31">
        <v>579644</v>
      </c>
      <c r="BP31">
        <v>130369</v>
      </c>
      <c r="BQ31">
        <v>914969</v>
      </c>
      <c r="BR31">
        <v>745567</v>
      </c>
      <c r="BS31">
        <v>7067396</v>
      </c>
      <c r="BT31">
        <v>10431316</v>
      </c>
      <c r="BU31">
        <v>1109604</v>
      </c>
      <c r="BV31">
        <v>1002713</v>
      </c>
      <c r="BW31">
        <v>2592306</v>
      </c>
      <c r="BX31">
        <v>3373787</v>
      </c>
      <c r="BY31">
        <f t="shared" si="25"/>
        <v>27947671</v>
      </c>
      <c r="BZ31">
        <v>28915</v>
      </c>
      <c r="CA31">
        <v>60930</v>
      </c>
      <c r="CB31">
        <f t="shared" si="24"/>
        <v>28037516</v>
      </c>
    </row>
    <row r="32" spans="1:80">
      <c r="A32">
        <v>1992</v>
      </c>
      <c r="B32">
        <v>56.75</v>
      </c>
      <c r="C32">
        <v>48.92</v>
      </c>
      <c r="D32">
        <v>51.36</v>
      </c>
      <c r="E32">
        <v>52.5</v>
      </c>
      <c r="F32">
        <v>55.94</v>
      </c>
      <c r="G32">
        <v>63.25</v>
      </c>
      <c r="H32">
        <v>59.24</v>
      </c>
      <c r="I32">
        <v>62.36</v>
      </c>
      <c r="J32">
        <v>64.680000000000007</v>
      </c>
      <c r="K32">
        <v>65.95</v>
      </c>
      <c r="L32">
        <v>62.38</v>
      </c>
      <c r="M32">
        <v>69.67</v>
      </c>
      <c r="N32" s="3">
        <f t="shared" si="2"/>
        <v>57.500222666498026</v>
      </c>
      <c r="P32">
        <v>95.93</v>
      </c>
      <c r="R32">
        <v>9.94</v>
      </c>
      <c r="S32">
        <v>9</v>
      </c>
      <c r="T32">
        <v>11.75</v>
      </c>
      <c r="U32">
        <v>10.5</v>
      </c>
      <c r="V32">
        <v>14.7</v>
      </c>
      <c r="W32">
        <v>10</v>
      </c>
      <c r="X32">
        <v>11.2</v>
      </c>
      <c r="Y32">
        <v>12.38</v>
      </c>
      <c r="Z32">
        <v>11.65</v>
      </c>
      <c r="AA32">
        <v>13.87</v>
      </c>
      <c r="AB32">
        <v>4.2</v>
      </c>
      <c r="AC32">
        <v>9.4499999999999993</v>
      </c>
      <c r="AD32" s="3">
        <f t="shared" si="7"/>
        <v>11.959965745815754</v>
      </c>
      <c r="AE32" s="3">
        <f t="shared" si="3"/>
        <v>11.921021498724906</v>
      </c>
      <c r="AG32" s="3">
        <f t="shared" si="8"/>
        <v>54.440275</v>
      </c>
      <c r="AH32" s="3">
        <f t="shared" si="9"/>
        <v>46.928956000000007</v>
      </c>
      <c r="AI32" s="3">
        <f t="shared" si="10"/>
        <v>49.269648000000004</v>
      </c>
      <c r="AJ32" s="3">
        <f t="shared" si="11"/>
        <v>50.363250000000008</v>
      </c>
      <c r="AK32" s="3">
        <f t="shared" si="12"/>
        <v>53.663241999999997</v>
      </c>
      <c r="AL32" s="3">
        <f t="shared" si="13"/>
        <v>60.675725</v>
      </c>
      <c r="AM32" s="3">
        <f t="shared" si="14"/>
        <v>56.828932000000002</v>
      </c>
      <c r="AN32" s="3">
        <f t="shared" si="15"/>
        <v>59.821947999999999</v>
      </c>
      <c r="AO32" s="3">
        <f t="shared" si="16"/>
        <v>62.04752400000001</v>
      </c>
      <c r="AP32" s="3">
        <f t="shared" si="17"/>
        <v>63.26583500000001</v>
      </c>
      <c r="AQ32" s="3">
        <f t="shared" si="18"/>
        <v>59.841134000000011</v>
      </c>
      <c r="AR32" s="3">
        <f t="shared" si="19"/>
        <v>66.834431000000009</v>
      </c>
      <c r="AS32" s="3">
        <f t="shared" si="20"/>
        <v>55.159963603971562</v>
      </c>
      <c r="AT32" s="5">
        <f t="shared" si="26"/>
        <v>54.862752646775739</v>
      </c>
      <c r="AU32">
        <v>78.3</v>
      </c>
      <c r="AW32" s="2">
        <v>1.208725</v>
      </c>
      <c r="AZ32" s="9">
        <f>'[1]Real petrol price'!EM46</f>
        <v>18.79503223890617</v>
      </c>
      <c r="BA32">
        <v>1.2087300000000001</v>
      </c>
      <c r="BB32" s="3">
        <f t="shared" si="21"/>
        <v>22.718119318133056</v>
      </c>
      <c r="BC32" s="3">
        <f t="shared" si="22"/>
        <v>20.520822787113602</v>
      </c>
      <c r="BD32" s="3">
        <f t="shared" si="23"/>
        <v>43.238942105246657</v>
      </c>
      <c r="BF32" s="3">
        <v>78.5108800366732</v>
      </c>
      <c r="BG32" s="3"/>
      <c r="BM32">
        <v>1992</v>
      </c>
      <c r="BN32">
        <v>28371264</v>
      </c>
      <c r="BO32">
        <v>580109</v>
      </c>
      <c r="BP32">
        <v>130827</v>
      </c>
      <c r="BQ32">
        <v>919451</v>
      </c>
      <c r="BR32">
        <v>748121</v>
      </c>
      <c r="BS32">
        <v>7110010</v>
      </c>
      <c r="BT32">
        <v>10572205</v>
      </c>
      <c r="BU32">
        <v>1112689</v>
      </c>
      <c r="BV32">
        <v>1003995</v>
      </c>
      <c r="BW32">
        <v>2632672</v>
      </c>
      <c r="BX32">
        <v>3468802</v>
      </c>
      <c r="BY32">
        <f t="shared" si="25"/>
        <v>28278881</v>
      </c>
      <c r="BZ32">
        <v>30243</v>
      </c>
      <c r="CA32">
        <v>62412</v>
      </c>
      <c r="CB32">
        <f t="shared" si="24"/>
        <v>28371536</v>
      </c>
    </row>
    <row r="33" spans="1:80">
      <c r="A33">
        <v>1993</v>
      </c>
      <c r="B33">
        <v>56.46</v>
      </c>
      <c r="C33">
        <v>48.48</v>
      </c>
      <c r="D33">
        <v>55</v>
      </c>
      <c r="E33">
        <v>54.16</v>
      </c>
      <c r="F33">
        <v>53.61</v>
      </c>
      <c r="G33">
        <v>59.15</v>
      </c>
      <c r="H33">
        <v>57.26</v>
      </c>
      <c r="I33">
        <v>54.86</v>
      </c>
      <c r="J33">
        <v>59.16</v>
      </c>
      <c r="K33">
        <v>61.08</v>
      </c>
      <c r="L33">
        <v>59.73</v>
      </c>
      <c r="M33">
        <v>69.12</v>
      </c>
      <c r="N33" s="3">
        <f t="shared" si="2"/>
        <v>55.293743456979456</v>
      </c>
      <c r="P33">
        <v>97.7</v>
      </c>
      <c r="R33">
        <v>10.33</v>
      </c>
      <c r="S33">
        <v>9</v>
      </c>
      <c r="T33">
        <v>14.5</v>
      </c>
      <c r="U33">
        <v>11.25</v>
      </c>
      <c r="V33">
        <v>14.7</v>
      </c>
      <c r="W33">
        <v>14.5</v>
      </c>
      <c r="X33">
        <v>10.7</v>
      </c>
      <c r="Y33">
        <v>11.74</v>
      </c>
      <c r="Z33">
        <v>11.2</v>
      </c>
      <c r="AA33">
        <v>15.7</v>
      </c>
      <c r="AB33">
        <v>5.2</v>
      </c>
      <c r="AC33">
        <v>9.6</v>
      </c>
      <c r="AD33" s="3">
        <f t="shared" si="7"/>
        <v>13.261556161215214</v>
      </c>
      <c r="AE33" s="3">
        <f t="shared" si="3"/>
        <v>13.218229327597045</v>
      </c>
      <c r="AG33" s="3">
        <f t="shared" si="8"/>
        <v>55.16142</v>
      </c>
      <c r="AH33" s="3">
        <f t="shared" si="9"/>
        <v>47.364960000000004</v>
      </c>
      <c r="AI33" s="3">
        <f t="shared" si="10"/>
        <v>53.734999999999999</v>
      </c>
      <c r="AJ33" s="3">
        <f t="shared" si="11"/>
        <v>52.914319999999996</v>
      </c>
      <c r="AK33" s="3">
        <f t="shared" si="12"/>
        <v>52.37697</v>
      </c>
      <c r="AL33" s="3">
        <f t="shared" si="13"/>
        <v>57.789549999999998</v>
      </c>
      <c r="AM33" s="3">
        <f t="shared" si="14"/>
        <v>55.943019999999997</v>
      </c>
      <c r="AN33" s="3">
        <f t="shared" si="15"/>
        <v>53.598219999999998</v>
      </c>
      <c r="AO33" s="3">
        <f t="shared" si="16"/>
        <v>57.799319999999994</v>
      </c>
      <c r="AP33" s="3">
        <f t="shared" si="17"/>
        <v>59.675159999999998</v>
      </c>
      <c r="AQ33" s="3">
        <f t="shared" si="18"/>
        <v>58.356210000000004</v>
      </c>
      <c r="AR33" s="3">
        <f t="shared" si="19"/>
        <v>67.530240000000006</v>
      </c>
      <c r="AS33" s="3">
        <f t="shared" si="20"/>
        <v>54.02198735746893</v>
      </c>
      <c r="AT33" s="5">
        <f t="shared" si="26"/>
        <v>54.232146294513953</v>
      </c>
      <c r="AU33">
        <v>77.400000000000006</v>
      </c>
      <c r="AV33" s="3">
        <f>AX33*AW33</f>
        <v>60.633485833333488</v>
      </c>
      <c r="AW33" s="2">
        <v>1.29007416666667</v>
      </c>
      <c r="AX33" s="3">
        <v>47</v>
      </c>
      <c r="AY33" s="3"/>
      <c r="AZ33" s="9">
        <f>'[1]Real petrol price'!EM47</f>
        <v>18.143880510663731</v>
      </c>
      <c r="BA33" s="3">
        <v>1.2900700000000001</v>
      </c>
      <c r="BB33" s="3">
        <f t="shared" si="21"/>
        <v>23.406875930391962</v>
      </c>
      <c r="BC33" s="3">
        <f t="shared" si="22"/>
        <v>17.396882099479924</v>
      </c>
      <c r="BD33" s="3">
        <f t="shared" si="23"/>
        <v>40.803758029871886</v>
      </c>
      <c r="BE33" s="3"/>
      <c r="BF33" s="3">
        <v>79.956555035071005</v>
      </c>
      <c r="BG33" s="3"/>
      <c r="BH33" s="3"/>
      <c r="BI33" s="3"/>
      <c r="BJ33" s="3"/>
      <c r="BK33" s="3"/>
      <c r="BM33">
        <v>1993</v>
      </c>
      <c r="BN33">
        <v>28684764</v>
      </c>
      <c r="BO33">
        <v>579977</v>
      </c>
      <c r="BP33">
        <v>132177</v>
      </c>
      <c r="BQ33">
        <v>923925</v>
      </c>
      <c r="BR33">
        <v>748812</v>
      </c>
      <c r="BS33">
        <v>7156537</v>
      </c>
      <c r="BT33">
        <v>10690038</v>
      </c>
      <c r="BU33">
        <v>1117618</v>
      </c>
      <c r="BV33">
        <v>1006900</v>
      </c>
      <c r="BW33">
        <v>2667292</v>
      </c>
      <c r="BX33">
        <v>3567772</v>
      </c>
      <c r="BY33">
        <f t="shared" si="25"/>
        <v>28591048</v>
      </c>
      <c r="BZ33">
        <v>30619</v>
      </c>
      <c r="CA33">
        <v>63549</v>
      </c>
      <c r="CB33">
        <f t="shared" si="24"/>
        <v>28685216</v>
      </c>
    </row>
    <row r="34" spans="1:80">
      <c r="A34">
        <v>1994</v>
      </c>
      <c r="B34">
        <v>57.35</v>
      </c>
      <c r="C34">
        <v>48.51</v>
      </c>
      <c r="D34">
        <v>57.33</v>
      </c>
      <c r="E34">
        <v>54.64</v>
      </c>
      <c r="F34">
        <v>51.87</v>
      </c>
      <c r="G34">
        <v>57.41</v>
      </c>
      <c r="H34">
        <v>56.15</v>
      </c>
      <c r="I34">
        <v>55.49</v>
      </c>
      <c r="J34">
        <v>57.44</v>
      </c>
      <c r="K34">
        <v>63.07</v>
      </c>
      <c r="L34">
        <v>59.96</v>
      </c>
      <c r="M34">
        <v>70.39</v>
      </c>
      <c r="N34" s="3">
        <f t="shared" si="2"/>
        <v>54.447915563171769</v>
      </c>
      <c r="P34">
        <v>97.88</v>
      </c>
      <c r="R34">
        <v>11</v>
      </c>
      <c r="S34">
        <v>9</v>
      </c>
      <c r="T34">
        <v>15</v>
      </c>
      <c r="U34">
        <v>11.5</v>
      </c>
      <c r="V34">
        <v>14.7</v>
      </c>
      <c r="W34">
        <v>15.2</v>
      </c>
      <c r="X34">
        <v>10.7</v>
      </c>
      <c r="Y34">
        <v>13.17</v>
      </c>
      <c r="Z34">
        <v>11.68</v>
      </c>
      <c r="AA34">
        <v>16.3</v>
      </c>
      <c r="AB34">
        <v>6.2</v>
      </c>
      <c r="AC34">
        <v>9.6999999999999993</v>
      </c>
      <c r="AD34" s="3">
        <f t="shared" si="7"/>
        <v>13.60076202984059</v>
      </c>
      <c r="AE34" s="3">
        <f t="shared" si="3"/>
        <v>13.556364060711299</v>
      </c>
      <c r="AG34" s="3">
        <f t="shared" si="8"/>
        <v>56.134179999999994</v>
      </c>
      <c r="AH34" s="3">
        <f t="shared" si="9"/>
        <v>47.481587999999995</v>
      </c>
      <c r="AI34" s="3">
        <f t="shared" si="10"/>
        <v>56.114604</v>
      </c>
      <c r="AJ34" s="3">
        <f t="shared" si="11"/>
        <v>53.481631999999998</v>
      </c>
      <c r="AK34" s="3">
        <f t="shared" si="12"/>
        <v>50.770355999999992</v>
      </c>
      <c r="AL34" s="3">
        <f t="shared" si="13"/>
        <v>56.192907999999996</v>
      </c>
      <c r="AM34" s="3">
        <f t="shared" si="14"/>
        <v>54.959619999999994</v>
      </c>
      <c r="AN34" s="3">
        <f t="shared" si="15"/>
        <v>54.313612000000006</v>
      </c>
      <c r="AO34" s="3">
        <f t="shared" si="16"/>
        <v>56.222271999999997</v>
      </c>
      <c r="AP34" s="3">
        <f t="shared" si="17"/>
        <v>61.732915999999996</v>
      </c>
      <c r="AQ34" s="3">
        <f t="shared" si="18"/>
        <v>58.688848</v>
      </c>
      <c r="AR34" s="3">
        <f t="shared" si="19"/>
        <v>68.897731999999991</v>
      </c>
      <c r="AS34" s="3">
        <f t="shared" si="20"/>
        <v>53.293619753232527</v>
      </c>
      <c r="AT34" s="5">
        <f t="shared" si="26"/>
        <v>53.60153994225216</v>
      </c>
      <c r="AU34">
        <v>76.5</v>
      </c>
      <c r="AV34" s="3">
        <f t="shared" ref="AV34:AV49" si="27">AX34*AW34</f>
        <v>62.819363333333179</v>
      </c>
      <c r="AW34" s="2">
        <v>1.36563833333333</v>
      </c>
      <c r="AX34" s="3">
        <f>(AX33+AX35)/2</f>
        <v>46</v>
      </c>
      <c r="AY34" s="3"/>
      <c r="AZ34" s="9">
        <f>'[1]Real petrol price'!EM48</f>
        <v>18.77686538183816</v>
      </c>
      <c r="BA34" s="3">
        <v>1.36564</v>
      </c>
      <c r="BB34" s="3">
        <f t="shared" si="21"/>
        <v>25.642438440053464</v>
      </c>
      <c r="BC34" s="3">
        <f t="shared" si="22"/>
        <v>14.094817252467767</v>
      </c>
      <c r="BD34" s="3">
        <f t="shared" si="23"/>
        <v>39.737255692521231</v>
      </c>
      <c r="BE34" s="3">
        <f>BB34+BC34</f>
        <v>39.737255692521231</v>
      </c>
      <c r="BF34" s="3">
        <v>80.104698409465399</v>
      </c>
      <c r="BG34" s="3"/>
      <c r="BH34" s="3"/>
      <c r="BI34" s="3"/>
      <c r="BJ34" s="3"/>
      <c r="BK34" s="3"/>
      <c r="BM34">
        <v>1994</v>
      </c>
      <c r="BN34">
        <v>29000663</v>
      </c>
      <c r="BO34">
        <v>574466</v>
      </c>
      <c r="BP34">
        <v>133437</v>
      </c>
      <c r="BQ34">
        <v>926871</v>
      </c>
      <c r="BR34">
        <v>750185</v>
      </c>
      <c r="BS34">
        <v>7192403</v>
      </c>
      <c r="BT34">
        <v>10819146</v>
      </c>
      <c r="BU34">
        <v>1123230</v>
      </c>
      <c r="BV34">
        <v>1009575</v>
      </c>
      <c r="BW34">
        <v>2700606</v>
      </c>
      <c r="BX34">
        <v>3676075</v>
      </c>
      <c r="BY34">
        <f t="shared" si="25"/>
        <v>28905994</v>
      </c>
      <c r="BZ34">
        <v>30047</v>
      </c>
      <c r="CA34">
        <v>65157</v>
      </c>
      <c r="CB34">
        <f t="shared" si="24"/>
        <v>29001198</v>
      </c>
    </row>
    <row r="35" spans="1:80">
      <c r="A35">
        <v>1995</v>
      </c>
      <c r="B35">
        <v>59.72</v>
      </c>
      <c r="C35">
        <v>50.34</v>
      </c>
      <c r="D35">
        <v>57.67</v>
      </c>
      <c r="E35">
        <v>55.71</v>
      </c>
      <c r="F35">
        <v>54.03</v>
      </c>
      <c r="G35">
        <v>57.72</v>
      </c>
      <c r="H35">
        <v>57.18</v>
      </c>
      <c r="I35">
        <v>56.38</v>
      </c>
      <c r="J35">
        <v>60.42</v>
      </c>
      <c r="K35">
        <v>65.83</v>
      </c>
      <c r="L35">
        <v>63.95</v>
      </c>
      <c r="M35">
        <v>72.459999999999994</v>
      </c>
      <c r="N35" s="3">
        <f t="shared" si="2"/>
        <v>55.985394858446497</v>
      </c>
      <c r="P35">
        <v>100</v>
      </c>
      <c r="R35">
        <v>11</v>
      </c>
      <c r="S35">
        <v>9</v>
      </c>
      <c r="T35">
        <v>15</v>
      </c>
      <c r="U35">
        <v>11.5</v>
      </c>
      <c r="V35">
        <v>14.7</v>
      </c>
      <c r="W35">
        <v>15.2</v>
      </c>
      <c r="X35">
        <v>10.7</v>
      </c>
      <c r="Y35">
        <v>13.5</v>
      </c>
      <c r="Z35">
        <v>12</v>
      </c>
      <c r="AA35">
        <v>15</v>
      </c>
      <c r="AB35">
        <v>6.2</v>
      </c>
      <c r="AC35">
        <v>10.25</v>
      </c>
      <c r="AD35" s="3">
        <f>(R35*BX35+S35*BW35+T35*BV35+U35*BU35+V35*BT35+W35*BS35+X35*BR35+Y35*BQ35+Z35*BP35+AA35*BO35+AB35*BZ35+AC35*CA35)/BY35</f>
        <v>13.580386028173704</v>
      </c>
      <c r="AE35" s="3">
        <f t="shared" si="3"/>
        <v>13.535499208577779</v>
      </c>
      <c r="AG35" s="3">
        <f t="shared" si="8"/>
        <v>59.72</v>
      </c>
      <c r="AH35" s="3">
        <f t="shared" si="9"/>
        <v>50.34</v>
      </c>
      <c r="AI35" s="3">
        <f t="shared" si="10"/>
        <v>57.67</v>
      </c>
      <c r="AJ35" s="3">
        <f t="shared" si="11"/>
        <v>55.71</v>
      </c>
      <c r="AK35" s="3">
        <f t="shared" si="12"/>
        <v>54.03</v>
      </c>
      <c r="AL35" s="3">
        <f t="shared" si="13"/>
        <v>57.72</v>
      </c>
      <c r="AM35" s="3">
        <f t="shared" si="14"/>
        <v>57.18</v>
      </c>
      <c r="AN35" s="3">
        <f t="shared" si="15"/>
        <v>56.38</v>
      </c>
      <c r="AO35" s="3">
        <f t="shared" si="16"/>
        <v>60.42</v>
      </c>
      <c r="AP35" s="3">
        <f t="shared" si="17"/>
        <v>65.83</v>
      </c>
      <c r="AQ35" s="3">
        <f t="shared" si="18"/>
        <v>63.95</v>
      </c>
      <c r="AR35" s="3">
        <f t="shared" si="19"/>
        <v>72.459999999999994</v>
      </c>
      <c r="AS35" s="3">
        <f t="shared" si="20"/>
        <v>55.985394858446497</v>
      </c>
      <c r="AT35" s="5">
        <f t="shared" si="26"/>
        <v>55.703561116458125</v>
      </c>
      <c r="AU35">
        <v>79.5</v>
      </c>
      <c r="AV35" s="3">
        <f t="shared" si="27"/>
        <v>61.759837499999847</v>
      </c>
      <c r="AW35" s="2">
        <v>1.37244083333333</v>
      </c>
      <c r="AX35" s="3">
        <v>45</v>
      </c>
      <c r="AY35" s="3"/>
      <c r="AZ35" s="9">
        <f>'[1]Real petrol price'!EM49</f>
        <v>19.35297081547019</v>
      </c>
      <c r="BA35" s="3">
        <v>1.3724400000000001</v>
      </c>
      <c r="BB35" s="3">
        <f t="shared" si="21"/>
        <v>26.560791265983909</v>
      </c>
      <c r="BC35" s="3">
        <f t="shared" si="22"/>
        <v>15.889104383884813</v>
      </c>
      <c r="BD35" s="3">
        <f t="shared" si="23"/>
        <v>42.449895649868722</v>
      </c>
      <c r="BE35" s="3">
        <f t="shared" ref="BE35:BE49" si="28">BB35+BC35</f>
        <v>42.449895649868722</v>
      </c>
      <c r="BF35" s="3">
        <v>81.841551764430903</v>
      </c>
      <c r="BG35" s="3"/>
      <c r="BH35" s="3"/>
      <c r="BI35" s="3"/>
      <c r="BJ35" s="3"/>
      <c r="BK35" s="3"/>
      <c r="BM35">
        <v>1995</v>
      </c>
      <c r="BN35">
        <v>29302311</v>
      </c>
      <c r="BO35">
        <v>567397</v>
      </c>
      <c r="BP35">
        <v>134415</v>
      </c>
      <c r="BQ35">
        <v>928120</v>
      </c>
      <c r="BR35">
        <v>750943</v>
      </c>
      <c r="BS35">
        <v>7219219</v>
      </c>
      <c r="BT35">
        <v>10950119</v>
      </c>
      <c r="BU35">
        <v>1129150</v>
      </c>
      <c r="BV35">
        <v>1014187</v>
      </c>
      <c r="BW35">
        <v>2734519</v>
      </c>
      <c r="BX35">
        <v>3777390</v>
      </c>
      <c r="BY35">
        <f t="shared" si="25"/>
        <v>29205459</v>
      </c>
      <c r="BZ35">
        <v>30887</v>
      </c>
      <c r="CA35">
        <v>66575</v>
      </c>
      <c r="CB35">
        <f t="shared" si="24"/>
        <v>29302921</v>
      </c>
    </row>
    <row r="36" spans="1:80">
      <c r="A36">
        <v>1996</v>
      </c>
      <c r="B36">
        <v>59.95</v>
      </c>
      <c r="C36">
        <v>51.2</v>
      </c>
      <c r="D36">
        <v>58.72</v>
      </c>
      <c r="E36">
        <v>56.88</v>
      </c>
      <c r="F36">
        <v>56.68</v>
      </c>
      <c r="G36">
        <v>60.9</v>
      </c>
      <c r="H36">
        <v>55.16</v>
      </c>
      <c r="I36">
        <v>55.78</v>
      </c>
      <c r="J36">
        <v>59.28</v>
      </c>
      <c r="K36">
        <v>62.98</v>
      </c>
      <c r="L36">
        <v>66.34</v>
      </c>
      <c r="M36">
        <v>73.88</v>
      </c>
      <c r="N36" s="3">
        <f t="shared" si="2"/>
        <v>57.82004822895933</v>
      </c>
      <c r="P36">
        <v>101.575</v>
      </c>
      <c r="R36">
        <v>11</v>
      </c>
      <c r="S36">
        <v>9</v>
      </c>
      <c r="T36">
        <v>15</v>
      </c>
      <c r="U36">
        <v>11.5</v>
      </c>
      <c r="V36">
        <v>14.7</v>
      </c>
      <c r="W36">
        <v>15.2</v>
      </c>
      <c r="X36">
        <v>10.7</v>
      </c>
      <c r="Y36">
        <v>13.5</v>
      </c>
      <c r="Z36">
        <v>12</v>
      </c>
      <c r="AA36">
        <v>16.5</v>
      </c>
      <c r="AB36">
        <v>6.2</v>
      </c>
      <c r="AC36">
        <v>10.5</v>
      </c>
      <c r="AD36" s="3">
        <f t="shared" si="7"/>
        <v>13.601045005592921</v>
      </c>
      <c r="AE36" s="3">
        <f t="shared" si="3"/>
        <v>13.555663967080555</v>
      </c>
      <c r="AG36" s="3">
        <f t="shared" si="8"/>
        <v>60.894212500000002</v>
      </c>
      <c r="AH36" s="3">
        <f t="shared" si="9"/>
        <v>52.006400000000006</v>
      </c>
      <c r="AI36" s="3">
        <f t="shared" si="10"/>
        <v>59.644840000000002</v>
      </c>
      <c r="AJ36" s="3">
        <f t="shared" si="11"/>
        <v>57.775860000000002</v>
      </c>
      <c r="AK36" s="3">
        <f t="shared" si="12"/>
        <v>57.572710000000001</v>
      </c>
      <c r="AL36" s="3">
        <f t="shared" si="13"/>
        <v>61.859175000000008</v>
      </c>
      <c r="AM36" s="3">
        <f t="shared" si="14"/>
        <v>56.028769999999994</v>
      </c>
      <c r="AN36" s="3">
        <f t="shared" si="15"/>
        <v>56.658535000000001</v>
      </c>
      <c r="AO36" s="3">
        <f t="shared" si="16"/>
        <v>60.213659999999997</v>
      </c>
      <c r="AP36" s="3">
        <f t="shared" si="17"/>
        <v>63.971935000000002</v>
      </c>
      <c r="AQ36" s="3">
        <f t="shared" si="18"/>
        <v>67.384855000000002</v>
      </c>
      <c r="AR36" s="3">
        <f t="shared" si="19"/>
        <v>75.043610000000001</v>
      </c>
      <c r="AS36" s="3">
        <f t="shared" si="20"/>
        <v>58.730713988565441</v>
      </c>
      <c r="AT36" s="5">
        <f t="shared" si="26"/>
        <v>58.366121270452354</v>
      </c>
      <c r="AU36">
        <v>83.3</v>
      </c>
      <c r="AV36" s="3">
        <f t="shared" si="27"/>
        <v>59.53811722222207</v>
      </c>
      <c r="AW36" s="2">
        <v>1.36346833333333</v>
      </c>
      <c r="AX36" s="3">
        <f>AX35+(AX$38-AX$35)/3</f>
        <v>43.666666666666664</v>
      </c>
      <c r="AY36" s="3"/>
      <c r="AZ36" s="9">
        <f>'[1]Real petrol price'!EM50</f>
        <v>22.191792531573224</v>
      </c>
      <c r="BA36" s="3">
        <v>1.36347</v>
      </c>
      <c r="BB36" s="3">
        <f t="shared" si="21"/>
        <v>30.257843363024143</v>
      </c>
      <c r="BC36" s="3">
        <f t="shared" si="22"/>
        <v>14.917206658460742</v>
      </c>
      <c r="BD36" s="3">
        <f t="shared" si="23"/>
        <v>45.175050021484886</v>
      </c>
      <c r="BE36" s="3">
        <f t="shared" si="28"/>
        <v>45.175050021484886</v>
      </c>
      <c r="BF36" s="3">
        <v>83.126898808132694</v>
      </c>
      <c r="BG36" s="3"/>
      <c r="BH36" s="3"/>
      <c r="BI36" s="3"/>
      <c r="BJ36" s="3"/>
      <c r="BK36" s="3"/>
      <c r="BM36">
        <v>1996</v>
      </c>
      <c r="BN36">
        <v>29610218</v>
      </c>
      <c r="BO36">
        <v>559698</v>
      </c>
      <c r="BP36">
        <v>135737</v>
      </c>
      <c r="BQ36">
        <v>931327</v>
      </c>
      <c r="BR36">
        <v>752268</v>
      </c>
      <c r="BS36">
        <v>7246897</v>
      </c>
      <c r="BT36">
        <v>11082903</v>
      </c>
      <c r="BU36">
        <v>1134196</v>
      </c>
      <c r="BV36">
        <v>1018945</v>
      </c>
      <c r="BW36">
        <v>2775133</v>
      </c>
      <c r="BX36">
        <v>3874317</v>
      </c>
      <c r="BY36">
        <f t="shared" si="25"/>
        <v>29511421</v>
      </c>
      <c r="BZ36">
        <v>31938</v>
      </c>
      <c r="CA36">
        <v>67570</v>
      </c>
      <c r="CB36">
        <f t="shared" si="24"/>
        <v>29610929</v>
      </c>
    </row>
    <row r="37" spans="1:80">
      <c r="A37">
        <v>1997</v>
      </c>
      <c r="B37">
        <v>58.71</v>
      </c>
      <c r="C37">
        <v>52.15</v>
      </c>
      <c r="D37">
        <v>58.49</v>
      </c>
      <c r="E37">
        <v>56.32</v>
      </c>
      <c r="F37">
        <v>55.98</v>
      </c>
      <c r="G37">
        <v>61.44</v>
      </c>
      <c r="H37">
        <v>59.99</v>
      </c>
      <c r="I37">
        <v>61.01</v>
      </c>
      <c r="J37">
        <v>59.77</v>
      </c>
      <c r="K37">
        <v>67.72</v>
      </c>
      <c r="L37">
        <v>66.63</v>
      </c>
      <c r="M37">
        <v>72.56</v>
      </c>
      <c r="N37" s="3">
        <f t="shared" si="2"/>
        <v>57.946183441166959</v>
      </c>
      <c r="P37">
        <v>103.22199999999999</v>
      </c>
      <c r="R37">
        <v>14</v>
      </c>
      <c r="S37">
        <v>7</v>
      </c>
      <c r="T37">
        <v>12</v>
      </c>
      <c r="U37">
        <v>14</v>
      </c>
      <c r="V37">
        <v>15</v>
      </c>
      <c r="W37">
        <v>12.5</v>
      </c>
      <c r="X37">
        <v>15</v>
      </c>
      <c r="Y37">
        <v>15</v>
      </c>
      <c r="Z37">
        <v>17</v>
      </c>
      <c r="AA37">
        <v>15</v>
      </c>
      <c r="AB37">
        <v>7</v>
      </c>
      <c r="AC37">
        <v>7</v>
      </c>
      <c r="AD37" s="3">
        <f t="shared" si="7"/>
        <v>13.38991089637001</v>
      </c>
      <c r="AE37" s="3">
        <f t="shared" si="3"/>
        <v>13.345448219865828</v>
      </c>
      <c r="AG37" s="3">
        <f t="shared" si="8"/>
        <v>60.601636199999994</v>
      </c>
      <c r="AH37" s="3">
        <f t="shared" si="9"/>
        <v>53.830272999999998</v>
      </c>
      <c r="AI37" s="3">
        <f t="shared" si="10"/>
        <v>60.374547800000002</v>
      </c>
      <c r="AJ37" s="3">
        <f t="shared" si="11"/>
        <v>58.134630399999999</v>
      </c>
      <c r="AK37" s="3">
        <f t="shared" si="12"/>
        <v>57.783675599999995</v>
      </c>
      <c r="AL37" s="3">
        <f t="shared" si="13"/>
        <v>63.419596799999994</v>
      </c>
      <c r="AM37" s="3">
        <f t="shared" si="14"/>
        <v>61.922877799999995</v>
      </c>
      <c r="AN37" s="3">
        <f t="shared" si="15"/>
        <v>62.975742199999992</v>
      </c>
      <c r="AO37" s="3">
        <f t="shared" si="16"/>
        <v>61.695789400000002</v>
      </c>
      <c r="AP37" s="3">
        <f t="shared" si="17"/>
        <v>69.901938400000006</v>
      </c>
      <c r="AQ37" s="3">
        <f t="shared" si="18"/>
        <v>68.776818599999984</v>
      </c>
      <c r="AR37" s="3">
        <f t="shared" si="19"/>
        <v>74.897883199999995</v>
      </c>
      <c r="AS37" s="3">
        <f t="shared" si="20"/>
        <v>59.813209471641358</v>
      </c>
      <c r="AT37" s="5">
        <f t="shared" si="26"/>
        <v>59.697401347449471</v>
      </c>
      <c r="AU37">
        <v>85.2</v>
      </c>
      <c r="AV37" s="3">
        <f t="shared" si="27"/>
        <v>58.615438888889024</v>
      </c>
      <c r="AW37" s="2">
        <v>1.3846166666666699</v>
      </c>
      <c r="AX37" s="3">
        <f>AX36+(AX$38-AX$35)/3</f>
        <v>42.333333333333329</v>
      </c>
      <c r="AY37" s="3"/>
      <c r="AZ37" s="9">
        <f>'[1]Real petrol price'!EM51</f>
        <v>21.523322448549237</v>
      </c>
      <c r="BA37" s="3">
        <v>1.38462</v>
      </c>
      <c r="BB37" s="3">
        <f t="shared" si="21"/>
        <v>29.801622728710242</v>
      </c>
      <c r="BC37" s="3">
        <f t="shared" si="22"/>
        <v>16.666138523065285</v>
      </c>
      <c r="BD37" s="3">
        <f t="shared" si="23"/>
        <v>46.467761251775528</v>
      </c>
      <c r="BE37" s="3">
        <f t="shared" si="28"/>
        <v>46.467761251775528</v>
      </c>
      <c r="BF37" s="3">
        <v>84.474565708498901</v>
      </c>
      <c r="BG37" s="3"/>
      <c r="BH37" s="3"/>
      <c r="BI37" s="3"/>
      <c r="BJ37" s="3"/>
      <c r="BK37" s="3"/>
      <c r="BM37">
        <v>1997</v>
      </c>
      <c r="BN37">
        <v>29905948</v>
      </c>
      <c r="BO37">
        <v>550911</v>
      </c>
      <c r="BP37">
        <v>136095</v>
      </c>
      <c r="BQ37">
        <v>932402</v>
      </c>
      <c r="BR37">
        <v>752511</v>
      </c>
      <c r="BS37">
        <v>7274611</v>
      </c>
      <c r="BT37">
        <v>11227651</v>
      </c>
      <c r="BU37">
        <v>1136128</v>
      </c>
      <c r="BV37">
        <v>1017902</v>
      </c>
      <c r="BW37">
        <v>2829848</v>
      </c>
      <c r="BX37">
        <v>3948583</v>
      </c>
      <c r="BY37">
        <f t="shared" si="25"/>
        <v>29806642</v>
      </c>
      <c r="BZ37">
        <v>32240</v>
      </c>
      <c r="CA37">
        <v>67787</v>
      </c>
      <c r="CB37">
        <f t="shared" si="24"/>
        <v>29906669</v>
      </c>
    </row>
    <row r="38" spans="1:80">
      <c r="A38">
        <v>1998</v>
      </c>
      <c r="B38">
        <v>50.09</v>
      </c>
      <c r="C38">
        <v>47.37</v>
      </c>
      <c r="D38">
        <v>53.75</v>
      </c>
      <c r="E38">
        <v>51.92</v>
      </c>
      <c r="F38">
        <v>51.17</v>
      </c>
      <c r="G38">
        <v>55.45</v>
      </c>
      <c r="H38">
        <v>54.46</v>
      </c>
      <c r="I38">
        <v>57</v>
      </c>
      <c r="J38">
        <v>52.82</v>
      </c>
      <c r="K38">
        <v>64.290000000000006</v>
      </c>
      <c r="L38">
        <v>65.040000000000006</v>
      </c>
      <c r="M38">
        <v>69.34</v>
      </c>
      <c r="N38" s="3">
        <f t="shared" si="2"/>
        <v>52.373265566740415</v>
      </c>
      <c r="P38">
        <v>104.241</v>
      </c>
      <c r="R38">
        <v>14</v>
      </c>
      <c r="S38">
        <v>7</v>
      </c>
      <c r="T38">
        <v>12</v>
      </c>
      <c r="U38">
        <v>14</v>
      </c>
      <c r="V38">
        <v>15</v>
      </c>
      <c r="W38">
        <v>12.5</v>
      </c>
      <c r="X38">
        <v>15</v>
      </c>
      <c r="Y38">
        <v>15</v>
      </c>
      <c r="Z38">
        <v>17</v>
      </c>
      <c r="AA38">
        <v>15</v>
      </c>
      <c r="AB38">
        <v>7</v>
      </c>
      <c r="AC38">
        <v>7</v>
      </c>
      <c r="AD38" s="3">
        <f t="shared" si="7"/>
        <v>13.381694618088543</v>
      </c>
      <c r="AE38" s="3">
        <f t="shared" si="3"/>
        <v>13.33806224557226</v>
      </c>
      <c r="AG38" s="3">
        <f t="shared" si="8"/>
        <v>52.2143169</v>
      </c>
      <c r="AH38" s="3">
        <f t="shared" si="9"/>
        <v>49.378961699999998</v>
      </c>
      <c r="AI38" s="3">
        <f t="shared" si="10"/>
        <v>56.029537499999996</v>
      </c>
      <c r="AJ38" s="3">
        <f t="shared" si="11"/>
        <v>54.121927200000002</v>
      </c>
      <c r="AK38" s="3">
        <f t="shared" si="12"/>
        <v>53.340119700000002</v>
      </c>
      <c r="AL38" s="3">
        <f t="shared" si="13"/>
        <v>57.801634499999999</v>
      </c>
      <c r="AM38" s="3">
        <f t="shared" si="14"/>
        <v>56.769648600000004</v>
      </c>
      <c r="AN38" s="3">
        <f t="shared" si="15"/>
        <v>59.417369999999998</v>
      </c>
      <c r="AO38" s="3">
        <f t="shared" si="16"/>
        <v>55.060096199999997</v>
      </c>
      <c r="AP38" s="3">
        <f t="shared" si="17"/>
        <v>67.0165389</v>
      </c>
      <c r="AQ38" s="3">
        <f t="shared" si="18"/>
        <v>67.798346400000014</v>
      </c>
      <c r="AR38" s="3">
        <f t="shared" si="19"/>
        <v>72.280709400000006</v>
      </c>
      <c r="AS38" s="3">
        <f t="shared" si="20"/>
        <v>54.594415759425871</v>
      </c>
      <c r="AT38" s="5">
        <f t="shared" si="26"/>
        <v>54.512415784408077</v>
      </c>
      <c r="AU38">
        <v>77.8</v>
      </c>
      <c r="AV38" s="3">
        <f t="shared" si="27"/>
        <v>60.821986416666533</v>
      </c>
      <c r="AW38" s="2">
        <v>1.48346308333333</v>
      </c>
      <c r="AX38" s="3">
        <v>41</v>
      </c>
      <c r="AY38" s="3"/>
      <c r="AZ38" s="9">
        <f>'[1]Real petrol price'!EM52</f>
        <v>17.178454997654764</v>
      </c>
      <c r="BA38" s="3">
        <v>1.48346</v>
      </c>
      <c r="BB38" s="3">
        <f t="shared" si="21"/>
        <v>25.483550850820937</v>
      </c>
      <c r="BC38" s="3">
        <f t="shared" si="22"/>
        <v>15.772802663032675</v>
      </c>
      <c r="BD38" s="3">
        <f t="shared" si="23"/>
        <v>41.256353513853611</v>
      </c>
      <c r="BE38" s="3">
        <f t="shared" si="28"/>
        <v>41.256353513853611</v>
      </c>
      <c r="BF38" s="3">
        <v>85.315883773467306</v>
      </c>
      <c r="BG38" s="3"/>
      <c r="BH38" s="3"/>
      <c r="BI38" s="3"/>
      <c r="BJ38" s="3"/>
      <c r="BK38" s="3"/>
      <c r="BM38">
        <v>1998</v>
      </c>
      <c r="BN38">
        <v>30155173</v>
      </c>
      <c r="BO38">
        <v>539843</v>
      </c>
      <c r="BP38">
        <v>135804</v>
      </c>
      <c r="BQ38">
        <v>931836</v>
      </c>
      <c r="BR38">
        <v>750530</v>
      </c>
      <c r="BS38">
        <v>7295935</v>
      </c>
      <c r="BT38">
        <v>11365901</v>
      </c>
      <c r="BU38">
        <v>1137489</v>
      </c>
      <c r="BV38">
        <v>1017332</v>
      </c>
      <c r="BW38">
        <v>2899066</v>
      </c>
      <c r="BX38">
        <v>3983113</v>
      </c>
      <c r="BY38">
        <f t="shared" si="25"/>
        <v>30056849</v>
      </c>
      <c r="BZ38">
        <v>31547</v>
      </c>
      <c r="CA38">
        <v>67338</v>
      </c>
      <c r="CB38">
        <f t="shared" si="24"/>
        <v>30155734</v>
      </c>
    </row>
    <row r="39" spans="1:80">
      <c r="A39">
        <v>1999</v>
      </c>
      <c r="B39">
        <v>53.47</v>
      </c>
      <c r="C39">
        <v>50.45</v>
      </c>
      <c r="D39">
        <v>57.95</v>
      </c>
      <c r="E39">
        <v>55.58</v>
      </c>
      <c r="F39">
        <v>56.54</v>
      </c>
      <c r="G39">
        <v>60.89</v>
      </c>
      <c r="H39">
        <v>57.38</v>
      </c>
      <c r="I39">
        <v>59.68</v>
      </c>
      <c r="J39">
        <v>51.9</v>
      </c>
      <c r="K39">
        <v>65.42</v>
      </c>
      <c r="L39">
        <v>64.14</v>
      </c>
      <c r="M39">
        <v>70.12</v>
      </c>
      <c r="N39" s="3">
        <f t="shared" si="2"/>
        <v>56.89158316098866</v>
      </c>
      <c r="P39">
        <v>105.26</v>
      </c>
      <c r="R39">
        <v>14</v>
      </c>
      <c r="S39">
        <v>7</v>
      </c>
      <c r="T39">
        <v>12</v>
      </c>
      <c r="U39">
        <v>14</v>
      </c>
      <c r="V39">
        <v>15</v>
      </c>
      <c r="W39">
        <v>12.5</v>
      </c>
      <c r="X39">
        <v>15</v>
      </c>
      <c r="Y39">
        <v>15</v>
      </c>
      <c r="Z39">
        <v>17</v>
      </c>
      <c r="AA39">
        <v>15</v>
      </c>
      <c r="AB39">
        <v>7</v>
      </c>
      <c r="AC39">
        <v>7</v>
      </c>
      <c r="AD39" s="3">
        <f>(R39*BX39+S39*BW39+T39*BV39+U39*BU39+V39*BT39+W39*BS39+X39*BR39+Y39*BQ39+Z39*BP39+AA39*BO39+AB39*BZ39+AC39*CA39)/BY39</f>
        <v>13.377434140855096</v>
      </c>
      <c r="AE39" s="3">
        <f t="shared" si="3"/>
        <v>13.334204414905344</v>
      </c>
      <c r="AG39" s="3">
        <f t="shared" si="8"/>
        <v>56.282522</v>
      </c>
      <c r="AH39" s="3">
        <f t="shared" si="9"/>
        <v>53.103670000000001</v>
      </c>
      <c r="AI39" s="3">
        <f t="shared" si="10"/>
        <v>60.998170000000009</v>
      </c>
      <c r="AJ39" s="3">
        <f t="shared" si="11"/>
        <v>58.503508000000004</v>
      </c>
      <c r="AK39" s="3">
        <f t="shared" si="12"/>
        <v>59.514004000000007</v>
      </c>
      <c r="AL39" s="3">
        <f t="shared" si="13"/>
        <v>64.092814000000004</v>
      </c>
      <c r="AM39" s="3">
        <f t="shared" si="14"/>
        <v>60.398188000000012</v>
      </c>
      <c r="AN39" s="3">
        <f t="shared" si="15"/>
        <v>62.819167999999998</v>
      </c>
      <c r="AO39" s="3">
        <f t="shared" si="16"/>
        <v>54.629939999999998</v>
      </c>
      <c r="AP39" s="3">
        <f t="shared" si="17"/>
        <v>68.861092000000014</v>
      </c>
      <c r="AQ39" s="3">
        <f t="shared" si="18"/>
        <v>67.513763999999995</v>
      </c>
      <c r="AR39" s="3">
        <f t="shared" si="19"/>
        <v>73.808312000000001</v>
      </c>
      <c r="AS39" s="3">
        <f t="shared" si="20"/>
        <v>59.884080435256664</v>
      </c>
      <c r="AT39" s="5">
        <f>AU39*AT$40/AU$40</f>
        <v>58.996727622714147</v>
      </c>
      <c r="AU39">
        <v>84.2</v>
      </c>
      <c r="AV39" s="3">
        <f t="shared" si="27"/>
        <v>73.54371750000017</v>
      </c>
      <c r="AW39" s="2">
        <v>1.48573166666667</v>
      </c>
      <c r="AX39" s="3">
        <f>(AX38+AX40)/2</f>
        <v>49.5</v>
      </c>
      <c r="AY39" s="3"/>
      <c r="AZ39" s="9">
        <f>'[1]Real petrol price'!EM53</f>
        <v>20.077904527117798</v>
      </c>
      <c r="BA39" s="3">
        <v>1.48573</v>
      </c>
      <c r="BB39" s="3">
        <f t="shared" si="21"/>
        <v>29.830345093074726</v>
      </c>
      <c r="BC39" s="3">
        <f t="shared" si="22"/>
        <v>16.719530927276594</v>
      </c>
      <c r="BD39" s="3">
        <f t="shared" si="23"/>
        <v>46.54987602035132</v>
      </c>
      <c r="BE39" s="3">
        <f t="shared" si="28"/>
        <v>46.54987602035132</v>
      </c>
      <c r="BF39" s="3">
        <v>86.7959803692452</v>
      </c>
      <c r="BG39" s="3"/>
      <c r="BH39" s="3"/>
      <c r="BI39" s="3"/>
      <c r="BJ39" s="3"/>
      <c r="BK39" s="3"/>
      <c r="BM39">
        <v>1999</v>
      </c>
      <c r="BN39">
        <v>30401286</v>
      </c>
      <c r="BO39">
        <v>533329</v>
      </c>
      <c r="BP39">
        <v>136281</v>
      </c>
      <c r="BQ39">
        <v>933784</v>
      </c>
      <c r="BR39">
        <v>750601</v>
      </c>
      <c r="BS39">
        <v>7323250</v>
      </c>
      <c r="BT39">
        <v>11504759</v>
      </c>
      <c r="BU39">
        <v>1142448</v>
      </c>
      <c r="BV39">
        <v>1014524</v>
      </c>
      <c r="BW39">
        <v>2952692</v>
      </c>
      <c r="BX39">
        <v>4011375</v>
      </c>
      <c r="BY39">
        <f t="shared" si="25"/>
        <v>30303043</v>
      </c>
      <c r="BZ39">
        <v>31084</v>
      </c>
      <c r="CA39">
        <v>66889</v>
      </c>
      <c r="CB39">
        <f t="shared" si="24"/>
        <v>30401016</v>
      </c>
    </row>
    <row r="40" spans="1:80">
      <c r="A40">
        <v>2000</v>
      </c>
      <c r="R40">
        <v>14</v>
      </c>
      <c r="S40">
        <v>7</v>
      </c>
      <c r="T40">
        <v>12</v>
      </c>
      <c r="U40">
        <v>14</v>
      </c>
      <c r="V40">
        <v>15</v>
      </c>
      <c r="W40">
        <v>12.5</v>
      </c>
      <c r="X40">
        <v>15</v>
      </c>
      <c r="Y40">
        <v>15</v>
      </c>
      <c r="Z40">
        <v>17</v>
      </c>
      <c r="AA40">
        <v>15</v>
      </c>
      <c r="AB40">
        <v>7</v>
      </c>
      <c r="AC40">
        <v>7</v>
      </c>
      <c r="AD40" s="3">
        <f t="shared" ref="AD40:AD57" si="29">(R40*BX40+S40*BW40+T40*BV40+U40*BU40+V40*BT40+W40*BS40+X40*BR40+Y40*BQ40+Z40*BP40+AA40*BO40+AB40*BZ40+AC40*CA40)/BY40</f>
        <v>13.376198513162306</v>
      </c>
      <c r="AE40" s="6">
        <f>AE$39*BF40/BF$39</f>
        <v>13.696820097701625</v>
      </c>
      <c r="AS40" s="6">
        <f>AT40</f>
        <v>72.8</v>
      </c>
      <c r="AT40">
        <v>72.8</v>
      </c>
      <c r="AU40">
        <v>103.9</v>
      </c>
      <c r="AV40" s="3">
        <f t="shared" si="27"/>
        <v>86.136380000000003</v>
      </c>
      <c r="AW40" s="2">
        <v>1.4851099999999999</v>
      </c>
      <c r="AX40" s="3">
        <v>58</v>
      </c>
      <c r="AY40" s="3"/>
      <c r="AZ40" s="9">
        <f>'[1]Real petrol price'!EM54</f>
        <v>29.271519479398165</v>
      </c>
      <c r="BA40" s="3">
        <v>1.4851099999999999</v>
      </c>
      <c r="BB40" s="3">
        <f t="shared" si="21"/>
        <v>43.47142629404901</v>
      </c>
      <c r="BC40" s="6">
        <f>BC$39*BF40/BF$39</f>
        <v>17.174208531922492</v>
      </c>
      <c r="BD40" s="3">
        <f t="shared" si="23"/>
        <v>59.103179902298372</v>
      </c>
      <c r="BE40" s="3">
        <f t="shared" si="28"/>
        <v>60.645634825971499</v>
      </c>
      <c r="BF40" s="3">
        <v>89.156344940406598</v>
      </c>
      <c r="BG40" s="3">
        <f>BE40+AE40</f>
        <v>74.342454923673131</v>
      </c>
      <c r="BH40" s="3"/>
      <c r="BI40" s="3"/>
      <c r="BJ40" s="3"/>
      <c r="BK40" s="3"/>
      <c r="BM40">
        <v>2000</v>
      </c>
      <c r="BN40">
        <v>30685730</v>
      </c>
      <c r="BO40">
        <v>527966</v>
      </c>
      <c r="BP40">
        <v>136470</v>
      </c>
      <c r="BQ40">
        <v>933821</v>
      </c>
      <c r="BR40">
        <v>750517</v>
      </c>
      <c r="BS40">
        <v>7356951</v>
      </c>
      <c r="BT40">
        <v>11683290</v>
      </c>
      <c r="BU40">
        <v>1147313</v>
      </c>
      <c r="BV40">
        <v>1007565</v>
      </c>
      <c r="BW40">
        <v>3004198</v>
      </c>
      <c r="BX40">
        <v>4039230</v>
      </c>
      <c r="BY40">
        <f t="shared" si="25"/>
        <v>30587321</v>
      </c>
      <c r="BZ40" s="48">
        <f>BZ39+(BZ50-BZ39)/11</f>
        <v>31420.81818181818</v>
      </c>
      <c r="CA40" s="48">
        <f>CA39+(CA50-CA39)/11</f>
        <v>67796.636363636368</v>
      </c>
      <c r="CB40">
        <f t="shared" si="24"/>
        <v>30686538.454545453</v>
      </c>
    </row>
    <row r="41" spans="1:80">
      <c r="A41">
        <v>2001</v>
      </c>
      <c r="R41">
        <v>14</v>
      </c>
      <c r="S41">
        <v>7</v>
      </c>
      <c r="T41">
        <v>12</v>
      </c>
      <c r="U41">
        <v>14</v>
      </c>
      <c r="V41">
        <v>15</v>
      </c>
      <c r="W41">
        <v>12.5</v>
      </c>
      <c r="X41">
        <v>15</v>
      </c>
      <c r="Y41">
        <v>15</v>
      </c>
      <c r="Z41">
        <v>17</v>
      </c>
      <c r="AA41">
        <v>15</v>
      </c>
      <c r="AB41">
        <v>7</v>
      </c>
      <c r="AC41">
        <v>7</v>
      </c>
      <c r="AD41" s="3">
        <f t="shared" si="29"/>
        <v>13.376230425417363</v>
      </c>
      <c r="AE41" s="6">
        <f t="shared" ref="AE41:AE49" si="30">AE$39*BF41/BF$39</f>
        <v>14.042681260500745</v>
      </c>
      <c r="AS41" s="6">
        <f t="shared" ref="AS41:AS50" si="31">AT41</f>
        <v>70.400000000000006</v>
      </c>
      <c r="AT41">
        <v>70.400000000000006</v>
      </c>
      <c r="AU41">
        <v>101.5</v>
      </c>
      <c r="AV41" s="3">
        <f t="shared" si="27"/>
        <v>84.407465416666483</v>
      </c>
      <c r="AW41" s="2">
        <v>1.54876083333333</v>
      </c>
      <c r="AX41" s="3">
        <f>(AX40+AX42)/2</f>
        <v>54.5</v>
      </c>
      <c r="AY41" s="3"/>
      <c r="AZ41" s="9">
        <f>'[1]Real petrol price'!EM55</f>
        <v>27.625958925895674</v>
      </c>
      <c r="BA41" s="3">
        <v>1.5487599999999999</v>
      </c>
      <c r="BB41" s="3">
        <f t="shared" si="21"/>
        <v>42.78598014607018</v>
      </c>
      <c r="BC41" s="6">
        <f t="shared" ref="BC41:BC50" si="32">BC$39*BF41/BF$39</f>
        <v>17.607877930413171</v>
      </c>
      <c r="BD41" s="3">
        <f t="shared" si="23"/>
        <v>56.357318739499263</v>
      </c>
      <c r="BE41" s="3">
        <f t="shared" si="28"/>
        <v>60.393858076483355</v>
      </c>
      <c r="BF41" s="3">
        <v>91.407649762405597</v>
      </c>
      <c r="BG41" s="3">
        <f t="shared" ref="BG41:BG50" si="33">BE41+AE41</f>
        <v>74.436539336984097</v>
      </c>
      <c r="BH41" s="3"/>
      <c r="BI41" s="3"/>
      <c r="BJ41" s="3"/>
      <c r="BK41" s="3"/>
      <c r="BM41">
        <v>2001</v>
      </c>
      <c r="BN41">
        <v>31019020</v>
      </c>
      <c r="BO41">
        <v>522033</v>
      </c>
      <c r="BP41">
        <v>136663</v>
      </c>
      <c r="BQ41">
        <v>932454</v>
      </c>
      <c r="BR41">
        <v>749801</v>
      </c>
      <c r="BS41">
        <v>7396331</v>
      </c>
      <c r="BT41">
        <v>11896663</v>
      </c>
      <c r="BU41">
        <v>1151439</v>
      </c>
      <c r="BV41">
        <v>1000221</v>
      </c>
      <c r="BW41">
        <v>3058017</v>
      </c>
      <c r="BX41">
        <v>4076264</v>
      </c>
      <c r="BY41">
        <f t="shared" si="25"/>
        <v>30919886</v>
      </c>
      <c r="BZ41" s="48">
        <f>BZ40+(BZ50-BZ39)/11</f>
        <v>31757.63636363636</v>
      </c>
      <c r="CA41" s="48">
        <f>CA40+(CA50-CA39)/11</f>
        <v>68704.272727272735</v>
      </c>
      <c r="CB41">
        <f t="shared" si="24"/>
        <v>31020347.90909091</v>
      </c>
    </row>
    <row r="42" spans="1:80">
      <c r="A42">
        <v>2002</v>
      </c>
      <c r="R42">
        <v>14</v>
      </c>
      <c r="S42">
        <v>7</v>
      </c>
      <c r="T42">
        <v>12</v>
      </c>
      <c r="U42">
        <v>14</v>
      </c>
      <c r="V42">
        <v>15</v>
      </c>
      <c r="W42">
        <v>12.5</v>
      </c>
      <c r="X42">
        <v>15</v>
      </c>
      <c r="Y42">
        <v>15</v>
      </c>
      <c r="Z42">
        <v>17</v>
      </c>
      <c r="AA42">
        <v>15</v>
      </c>
      <c r="AB42">
        <v>7</v>
      </c>
      <c r="AC42">
        <v>7</v>
      </c>
      <c r="AD42" s="3">
        <f t="shared" si="29"/>
        <v>13.371695443023293</v>
      </c>
      <c r="AE42" s="6">
        <f t="shared" si="30"/>
        <v>14.359820389018955</v>
      </c>
      <c r="AS42" s="6">
        <f t="shared" si="31"/>
        <v>70.3</v>
      </c>
      <c r="AT42">
        <v>70.3</v>
      </c>
      <c r="AU42">
        <v>100</v>
      </c>
      <c r="AV42" s="3">
        <f t="shared" si="27"/>
        <v>80.03523499999983</v>
      </c>
      <c r="AW42" s="2">
        <v>1.56931833333333</v>
      </c>
      <c r="AX42" s="3">
        <v>51</v>
      </c>
      <c r="AY42" s="3"/>
      <c r="AZ42" s="9">
        <f>'[1]Real petrol price'!EM56</f>
        <v>25.482252315210701</v>
      </c>
      <c r="BA42" s="3">
        <v>1.56932</v>
      </c>
      <c r="BB42" s="3">
        <f t="shared" si="21"/>
        <v>39.98980820330646</v>
      </c>
      <c r="BC42" s="6">
        <f t="shared" si="32"/>
        <v>18.005533261209102</v>
      </c>
      <c r="BD42" s="3">
        <f t="shared" si="23"/>
        <v>55.940179610981041</v>
      </c>
      <c r="BE42" s="3">
        <f t="shared" si="28"/>
        <v>57.995341464515562</v>
      </c>
      <c r="BF42" s="3">
        <v>93.471995014411505</v>
      </c>
      <c r="BG42" s="3">
        <f t="shared" si="33"/>
        <v>72.355161853534511</v>
      </c>
      <c r="BH42" s="3"/>
      <c r="BI42" s="3"/>
      <c r="BJ42" s="3"/>
      <c r="BK42" s="3"/>
      <c r="BM42">
        <v>2002</v>
      </c>
      <c r="BN42">
        <v>31353656</v>
      </c>
      <c r="BO42">
        <v>519531</v>
      </c>
      <c r="BP42">
        <v>136876</v>
      </c>
      <c r="BQ42">
        <v>935015</v>
      </c>
      <c r="BR42">
        <v>749331</v>
      </c>
      <c r="BS42">
        <v>7441076</v>
      </c>
      <c r="BT42">
        <v>12091029</v>
      </c>
      <c r="BU42">
        <v>1156613</v>
      </c>
      <c r="BV42">
        <v>996801</v>
      </c>
      <c r="BW42">
        <v>3128364</v>
      </c>
      <c r="BX42">
        <v>4098178</v>
      </c>
      <c r="BY42">
        <f t="shared" si="25"/>
        <v>31252814</v>
      </c>
      <c r="BZ42" s="48">
        <f>BZ41+(BZ50-BZ39)/11</f>
        <v>32094.45454545454</v>
      </c>
      <c r="CA42" s="48">
        <f>CA41+(CA50-CA39)/11</f>
        <v>69611.909090909103</v>
      </c>
      <c r="CB42">
        <f t="shared" si="24"/>
        <v>31354520.363636363</v>
      </c>
    </row>
    <row r="43" spans="1:80">
      <c r="A43">
        <v>2003</v>
      </c>
      <c r="R43">
        <v>14</v>
      </c>
      <c r="S43">
        <v>7</v>
      </c>
      <c r="T43">
        <v>12</v>
      </c>
      <c r="U43">
        <v>14</v>
      </c>
      <c r="V43">
        <v>15</v>
      </c>
      <c r="W43">
        <v>12.5</v>
      </c>
      <c r="X43">
        <v>15</v>
      </c>
      <c r="Y43">
        <v>15</v>
      </c>
      <c r="Z43">
        <v>17</v>
      </c>
      <c r="AA43">
        <v>15</v>
      </c>
      <c r="AB43">
        <v>7</v>
      </c>
      <c r="AC43">
        <v>7</v>
      </c>
      <c r="AD43" s="3">
        <f t="shared" si="29"/>
        <v>13.368182984783337</v>
      </c>
      <c r="AE43" s="6">
        <f t="shared" si="30"/>
        <v>14.755945111809618</v>
      </c>
      <c r="AS43" s="6">
        <f t="shared" si="31"/>
        <v>73.7</v>
      </c>
      <c r="AT43">
        <v>73.7</v>
      </c>
      <c r="AU43">
        <v>107.1</v>
      </c>
      <c r="AV43" s="3">
        <f t="shared" si="27"/>
        <v>83.36257416666686</v>
      </c>
      <c r="AW43" s="2">
        <v>1.4010516666666699</v>
      </c>
      <c r="AX43" s="3">
        <f>(AX42+AX44)/2</f>
        <v>59.5</v>
      </c>
      <c r="AY43" s="3"/>
      <c r="AZ43" s="9">
        <f>'[1]Real petrol price'!EM57</f>
        <v>31.137566872943239</v>
      </c>
      <c r="BA43" s="3">
        <v>1.4010499999999999</v>
      </c>
      <c r="BB43" s="3">
        <f t="shared" si="21"/>
        <v>43.625288067337124</v>
      </c>
      <c r="BC43" s="6">
        <f t="shared" si="32"/>
        <v>18.502227278165524</v>
      </c>
      <c r="BD43" s="3">
        <f t="shared" si="23"/>
        <v>58.944054888190387</v>
      </c>
      <c r="BE43" s="3">
        <f t="shared" si="28"/>
        <v>62.127515345502644</v>
      </c>
      <c r="BF43" s="3">
        <v>96.050479083898097</v>
      </c>
      <c r="BG43" s="3">
        <f t="shared" si="33"/>
        <v>76.883460457312268</v>
      </c>
      <c r="BH43" s="3"/>
      <c r="BI43" s="3"/>
      <c r="BJ43" s="3"/>
      <c r="BK43" s="3"/>
      <c r="BM43">
        <v>2003</v>
      </c>
      <c r="BN43">
        <v>31639670</v>
      </c>
      <c r="BO43">
        <v>518520</v>
      </c>
      <c r="BP43">
        <v>137221</v>
      </c>
      <c r="BQ43">
        <v>937491</v>
      </c>
      <c r="BR43">
        <v>749389</v>
      </c>
      <c r="BS43">
        <v>7485838</v>
      </c>
      <c r="BT43">
        <v>12242273</v>
      </c>
      <c r="BU43">
        <v>1163819</v>
      </c>
      <c r="BV43">
        <v>996483</v>
      </c>
      <c r="BW43">
        <v>3183396</v>
      </c>
      <c r="BX43">
        <v>4122396</v>
      </c>
      <c r="BY43">
        <f t="shared" si="25"/>
        <v>31536826</v>
      </c>
      <c r="BZ43" s="48">
        <f>BZ42+(BZ50-BZ39)/11</f>
        <v>32431.272727272721</v>
      </c>
      <c r="CA43" s="48">
        <f>CA42+(CA50-CA39)/11</f>
        <v>70519.54545454547</v>
      </c>
      <c r="CB43">
        <f t="shared" si="24"/>
        <v>31639776.81818182</v>
      </c>
    </row>
    <row r="44" spans="1:80">
      <c r="A44">
        <v>2004</v>
      </c>
      <c r="R44">
        <v>14</v>
      </c>
      <c r="S44">
        <v>7</v>
      </c>
      <c r="T44">
        <v>12</v>
      </c>
      <c r="U44">
        <v>14</v>
      </c>
      <c r="V44">
        <v>15</v>
      </c>
      <c r="W44">
        <v>12.5</v>
      </c>
      <c r="X44">
        <v>15</v>
      </c>
      <c r="Y44">
        <v>15</v>
      </c>
      <c r="Z44">
        <v>17</v>
      </c>
      <c r="AA44">
        <v>15</v>
      </c>
      <c r="AB44">
        <v>7</v>
      </c>
      <c r="AC44">
        <v>7</v>
      </c>
      <c r="AD44" s="3">
        <f t="shared" si="29"/>
        <v>13.364371338084768</v>
      </c>
      <c r="AE44" s="6">
        <f t="shared" si="30"/>
        <v>15.0300011889065</v>
      </c>
      <c r="AS44" s="6">
        <f t="shared" si="31"/>
        <v>81.3</v>
      </c>
      <c r="AT44">
        <v>81.3</v>
      </c>
      <c r="AU44">
        <v>118.1</v>
      </c>
      <c r="AV44" s="3">
        <f t="shared" si="27"/>
        <v>88.469303333333556</v>
      </c>
      <c r="AW44" s="2">
        <v>1.3010191666666699</v>
      </c>
      <c r="AX44" s="3">
        <v>68</v>
      </c>
      <c r="AY44" s="3"/>
      <c r="AZ44" s="9">
        <f>'[1]Real petrol price'!EM58</f>
        <v>38.872375655962969</v>
      </c>
      <c r="BA44" s="3">
        <v>1.3010200000000001</v>
      </c>
      <c r="BB44" s="3">
        <f t="shared" si="21"/>
        <v>50.573738175920944</v>
      </c>
      <c r="BC44" s="6">
        <f t="shared" si="32"/>
        <v>18.845861507419382</v>
      </c>
      <c r="BD44" s="3">
        <f t="shared" si="23"/>
        <v>66.269998811093501</v>
      </c>
      <c r="BE44" s="3">
        <f t="shared" si="28"/>
        <v>69.419599683340323</v>
      </c>
      <c r="BF44" s="3">
        <v>97.834384980914606</v>
      </c>
      <c r="BG44" s="3">
        <f t="shared" si="33"/>
        <v>84.449600872246819</v>
      </c>
      <c r="BH44" s="3"/>
      <c r="BI44" s="3"/>
      <c r="BJ44" s="3"/>
      <c r="BK44" s="3"/>
      <c r="BM44">
        <v>2004</v>
      </c>
      <c r="BN44">
        <v>31940676</v>
      </c>
      <c r="BO44">
        <v>517447</v>
      </c>
      <c r="BP44">
        <v>137674</v>
      </c>
      <c r="BQ44">
        <v>939376</v>
      </c>
      <c r="BR44">
        <v>749369</v>
      </c>
      <c r="BS44">
        <v>7535929</v>
      </c>
      <c r="BT44">
        <v>12390599</v>
      </c>
      <c r="BU44">
        <v>1173566</v>
      </c>
      <c r="BV44">
        <v>997447</v>
      </c>
      <c r="BW44">
        <v>3239471</v>
      </c>
      <c r="BX44">
        <v>4155170</v>
      </c>
      <c r="BY44">
        <f t="shared" si="25"/>
        <v>31836048</v>
      </c>
      <c r="BZ44" s="48">
        <f>BZ43+(BZ50-BZ39)/11</f>
        <v>32768.090909090904</v>
      </c>
      <c r="CA44" s="48">
        <f>CA43+(CA50-CA39)/11</f>
        <v>71427.181818181838</v>
      </c>
      <c r="CB44">
        <f t="shared" si="24"/>
        <v>31940243.272727273</v>
      </c>
    </row>
    <row r="45" spans="1:80">
      <c r="A45">
        <v>2005</v>
      </c>
      <c r="R45">
        <v>14</v>
      </c>
      <c r="S45">
        <v>7</v>
      </c>
      <c r="T45">
        <v>12</v>
      </c>
      <c r="U45">
        <v>14</v>
      </c>
      <c r="V45">
        <v>15</v>
      </c>
      <c r="W45">
        <v>12.5</v>
      </c>
      <c r="X45">
        <v>15</v>
      </c>
      <c r="Y45">
        <v>15</v>
      </c>
      <c r="Z45">
        <v>17</v>
      </c>
      <c r="AA45">
        <v>15</v>
      </c>
      <c r="AB45">
        <v>7</v>
      </c>
      <c r="AC45">
        <v>7</v>
      </c>
      <c r="AD45" s="3">
        <f t="shared" si="29"/>
        <v>13.354862798475734</v>
      </c>
      <c r="AE45" s="6">
        <f t="shared" si="30"/>
        <v>15.36269808599352</v>
      </c>
      <c r="AS45" s="6">
        <f t="shared" si="31"/>
        <v>92.4</v>
      </c>
      <c r="AT45">
        <v>92.4</v>
      </c>
      <c r="AU45">
        <v>134.1</v>
      </c>
      <c r="AV45" s="3">
        <f t="shared" si="27"/>
        <v>92.094013333333081</v>
      </c>
      <c r="AW45" s="2">
        <v>1.21176333333333</v>
      </c>
      <c r="AX45" s="3">
        <f>(AX44+AX46)/2</f>
        <v>76</v>
      </c>
      <c r="AY45" s="3"/>
      <c r="AZ45" s="9">
        <f>'[1]Real petrol price'!EM59</f>
        <v>49.9495483910096</v>
      </c>
      <c r="BA45" s="3">
        <v>1.2117599999999999</v>
      </c>
      <c r="BB45" s="3">
        <f t="shared" si="21"/>
        <v>60.52686475828979</v>
      </c>
      <c r="BC45" s="6">
        <f t="shared" si="32"/>
        <v>19.263024458216613</v>
      </c>
      <c r="BD45" s="3">
        <f t="shared" si="23"/>
        <v>77.037301914006491</v>
      </c>
      <c r="BE45" s="3">
        <f t="shared" si="28"/>
        <v>79.789889216506396</v>
      </c>
      <c r="BF45" s="3">
        <v>100</v>
      </c>
      <c r="BG45" s="3">
        <f t="shared" si="33"/>
        <v>95.15258730249991</v>
      </c>
      <c r="BH45" s="3"/>
      <c r="BI45" s="3"/>
      <c r="BJ45" s="3"/>
      <c r="BK45" s="3"/>
      <c r="BM45">
        <v>2005</v>
      </c>
      <c r="BN45">
        <v>32245209</v>
      </c>
      <c r="BO45">
        <v>514363</v>
      </c>
      <c r="BP45">
        <v>138055</v>
      </c>
      <c r="BQ45">
        <v>937941</v>
      </c>
      <c r="BR45">
        <v>747960</v>
      </c>
      <c r="BS45">
        <v>7581911</v>
      </c>
      <c r="BT45">
        <v>12528480</v>
      </c>
      <c r="BU45">
        <v>1178301</v>
      </c>
      <c r="BV45">
        <v>993579</v>
      </c>
      <c r="BW45">
        <v>3322200</v>
      </c>
      <c r="BX45">
        <v>4196788</v>
      </c>
      <c r="BY45">
        <f t="shared" si="25"/>
        <v>32139578</v>
      </c>
      <c r="BZ45" s="48">
        <f>BZ44+(BZ50-BZ39)/11</f>
        <v>33104.909090909088</v>
      </c>
      <c r="CA45" s="48">
        <f>CA44+(CA50-CA39)/11</f>
        <v>72334.818181818206</v>
      </c>
      <c r="CB45">
        <f t="shared" si="24"/>
        <v>32245017.727272727</v>
      </c>
    </row>
    <row r="46" spans="1:80">
      <c r="A46">
        <v>2006</v>
      </c>
      <c r="R46">
        <v>14</v>
      </c>
      <c r="S46">
        <v>7</v>
      </c>
      <c r="T46">
        <v>12</v>
      </c>
      <c r="U46">
        <v>14</v>
      </c>
      <c r="V46">
        <v>15</v>
      </c>
      <c r="W46">
        <v>12.5</v>
      </c>
      <c r="X46">
        <v>15</v>
      </c>
      <c r="Y46">
        <v>15</v>
      </c>
      <c r="Z46">
        <v>17</v>
      </c>
      <c r="AA46">
        <v>15</v>
      </c>
      <c r="AB46">
        <v>7</v>
      </c>
      <c r="AC46">
        <v>7</v>
      </c>
      <c r="AD46" s="3">
        <f t="shared" si="29"/>
        <v>13.342144082519239</v>
      </c>
      <c r="AE46" s="6">
        <f t="shared" si="30"/>
        <v>15.670263203084831</v>
      </c>
      <c r="AS46" s="6">
        <f t="shared" si="31"/>
        <v>97.7</v>
      </c>
      <c r="AT46">
        <v>97.7</v>
      </c>
      <c r="AU46">
        <v>141.19999999999999</v>
      </c>
      <c r="AV46" s="3">
        <f t="shared" si="27"/>
        <v>95.286519999999726</v>
      </c>
      <c r="AW46" s="2">
        <v>1.1343633333333301</v>
      </c>
      <c r="AX46" s="3">
        <v>84</v>
      </c>
      <c r="AY46" s="3"/>
      <c r="AZ46" s="9">
        <f>'[1]Real petrol price'!EM60</f>
        <v>58.003288322453784</v>
      </c>
      <c r="BA46" s="3">
        <v>1.13436</v>
      </c>
      <c r="BB46" s="3">
        <f t="shared" si="21"/>
        <v>65.796610141458672</v>
      </c>
      <c r="BC46" s="6">
        <f t="shared" si="32"/>
        <v>19.648675099781052</v>
      </c>
      <c r="BD46" s="3">
        <f t="shared" si="23"/>
        <v>82.029736796915174</v>
      </c>
      <c r="BE46" s="3">
        <f t="shared" si="28"/>
        <v>85.445285241239731</v>
      </c>
      <c r="BF46" s="3">
        <v>102.002025395342</v>
      </c>
      <c r="BG46" s="3">
        <f t="shared" si="33"/>
        <v>101.11554844432456</v>
      </c>
      <c r="BH46" s="3"/>
      <c r="BI46" s="3"/>
      <c r="BJ46" s="3"/>
      <c r="BK46" s="3"/>
      <c r="BM46">
        <v>2006</v>
      </c>
      <c r="BN46">
        <v>32576074</v>
      </c>
      <c r="BO46">
        <v>510313</v>
      </c>
      <c r="BP46">
        <v>137920</v>
      </c>
      <c r="BQ46">
        <v>938010</v>
      </c>
      <c r="BR46">
        <v>745674</v>
      </c>
      <c r="BS46">
        <v>7631552</v>
      </c>
      <c r="BT46">
        <v>12665346</v>
      </c>
      <c r="BU46">
        <v>1184031</v>
      </c>
      <c r="BV46">
        <v>992122</v>
      </c>
      <c r="BW46">
        <v>3421253</v>
      </c>
      <c r="BX46">
        <v>4243580</v>
      </c>
      <c r="BY46">
        <f t="shared" si="25"/>
        <v>32469801</v>
      </c>
      <c r="BZ46" s="48">
        <f>BZ45+(BZ50-BZ39)/11</f>
        <v>33441.727272727272</v>
      </c>
      <c r="CA46" s="48">
        <f>CA45+(CA50-CA39)/11</f>
        <v>73242.454545454573</v>
      </c>
      <c r="CB46">
        <f t="shared" si="24"/>
        <v>32576485.18181818</v>
      </c>
    </row>
    <row r="47" spans="1:80">
      <c r="A47">
        <v>2007</v>
      </c>
      <c r="R47">
        <v>13.5</v>
      </c>
      <c r="S47">
        <v>6.5</v>
      </c>
      <c r="T47">
        <v>11.5</v>
      </c>
      <c r="U47">
        <v>13.5</v>
      </c>
      <c r="V47">
        <v>14.5</v>
      </c>
      <c r="W47">
        <v>12.5</v>
      </c>
      <c r="X47">
        <v>14.5</v>
      </c>
      <c r="Y47">
        <v>14.5</v>
      </c>
      <c r="Z47">
        <v>16.5</v>
      </c>
      <c r="AA47">
        <v>14.5</v>
      </c>
      <c r="AB47">
        <v>6.5</v>
      </c>
      <c r="AC47">
        <v>6.5</v>
      </c>
      <c r="AD47" s="3">
        <f t="shared" si="29"/>
        <v>12.946105122719093</v>
      </c>
      <c r="AE47" s="6">
        <f t="shared" si="30"/>
        <v>16.005353603028517</v>
      </c>
      <c r="AS47" s="6">
        <f t="shared" si="31"/>
        <v>101.9</v>
      </c>
      <c r="AT47">
        <v>101.9</v>
      </c>
      <c r="AU47">
        <v>148.1</v>
      </c>
      <c r="AV47" s="3">
        <f t="shared" si="27"/>
        <v>104.18761916666698</v>
      </c>
      <c r="AW47" s="2">
        <v>1.0740991666666699</v>
      </c>
      <c r="AX47" s="3">
        <f>(AX46+AX48)/2</f>
        <v>97</v>
      </c>
      <c r="AY47" s="3"/>
      <c r="AZ47" s="9">
        <f>'[1]Real petrol price'!EM61</f>
        <v>64.074945162345202</v>
      </c>
      <c r="BA47" s="3">
        <v>1.0741000000000001</v>
      </c>
      <c r="BB47" s="3">
        <f t="shared" si="21"/>
        <v>68.822898598874986</v>
      </c>
      <c r="BC47" s="6">
        <f t="shared" si="32"/>
        <v>20.068839222886087</v>
      </c>
      <c r="BD47" s="3">
        <f t="shared" si="23"/>
        <v>85.894646396971496</v>
      </c>
      <c r="BE47" s="3">
        <f t="shared" si="28"/>
        <v>88.891737821761069</v>
      </c>
      <c r="BF47" s="3">
        <v>104.18322037859301</v>
      </c>
      <c r="BG47" s="3">
        <f t="shared" si="33"/>
        <v>104.89709142478958</v>
      </c>
      <c r="BH47" s="3"/>
      <c r="BI47" s="3"/>
      <c r="BJ47" s="3"/>
      <c r="BK47" s="3"/>
      <c r="BM47">
        <v>2007</v>
      </c>
      <c r="BN47">
        <v>32929733</v>
      </c>
      <c r="BO47">
        <v>506379</v>
      </c>
      <c r="BP47">
        <v>138161</v>
      </c>
      <c r="BQ47">
        <v>935794</v>
      </c>
      <c r="BR47">
        <v>745515</v>
      </c>
      <c r="BS47">
        <v>7687423</v>
      </c>
      <c r="BT47">
        <v>12792937</v>
      </c>
      <c r="BU47">
        <v>1193558</v>
      </c>
      <c r="BV47">
        <v>1000257</v>
      </c>
      <c r="BW47">
        <v>3512691</v>
      </c>
      <c r="BX47">
        <v>4309632</v>
      </c>
      <c r="BY47">
        <f t="shared" si="25"/>
        <v>32822347</v>
      </c>
      <c r="BZ47" s="48">
        <f>BZ46+(BZ50-BZ39)/11</f>
        <v>33778.545454545456</v>
      </c>
      <c r="CA47" s="48">
        <f>CA46+(CA50-CA39)/11</f>
        <v>74150.090909090941</v>
      </c>
      <c r="CB47">
        <f t="shared" si="24"/>
        <v>32930275.636363637</v>
      </c>
    </row>
    <row r="48" spans="1:80">
      <c r="A48">
        <v>2008</v>
      </c>
      <c r="R48">
        <v>12</v>
      </c>
      <c r="S48">
        <v>5</v>
      </c>
      <c r="T48">
        <v>10</v>
      </c>
      <c r="U48">
        <v>12</v>
      </c>
      <c r="V48">
        <v>13</v>
      </c>
      <c r="W48">
        <v>12.5</v>
      </c>
      <c r="X48">
        <v>13</v>
      </c>
      <c r="Y48">
        <v>13</v>
      </c>
      <c r="Z48">
        <v>15</v>
      </c>
      <c r="AA48">
        <v>13</v>
      </c>
      <c r="AB48">
        <v>5</v>
      </c>
      <c r="AC48">
        <v>5</v>
      </c>
      <c r="AD48" s="3">
        <f t="shared" si="29"/>
        <v>11.783030603764981</v>
      </c>
      <c r="AE48" s="6">
        <f t="shared" si="30"/>
        <v>16.384723805821992</v>
      </c>
      <c r="AS48" s="6">
        <f t="shared" si="31"/>
        <v>115.2</v>
      </c>
      <c r="AT48">
        <v>115.2</v>
      </c>
      <c r="AU48">
        <v>169.4</v>
      </c>
      <c r="AV48" s="3">
        <f t="shared" si="27"/>
        <v>117.37439999999999</v>
      </c>
      <c r="AW48" s="2">
        <v>1.06704</v>
      </c>
      <c r="AX48" s="3">
        <v>110</v>
      </c>
      <c r="AY48" s="3"/>
      <c r="AZ48" s="9">
        <f>'[1]Real petrol price'!EM62</f>
        <v>75.972274723168326</v>
      </c>
      <c r="BA48" s="3">
        <v>1.06704</v>
      </c>
      <c r="BB48" s="3">
        <f t="shared" si="21"/>
        <v>81.065456020609531</v>
      </c>
      <c r="BC48" s="6">
        <f t="shared" si="32"/>
        <v>20.544525033687247</v>
      </c>
      <c r="BD48" s="3">
        <f t="shared" si="23"/>
        <v>98.815276194178011</v>
      </c>
      <c r="BE48" s="3">
        <f t="shared" si="28"/>
        <v>101.60998105429678</v>
      </c>
      <c r="BF48" s="3">
        <v>106.652644698917</v>
      </c>
      <c r="BG48" s="3">
        <f t="shared" si="33"/>
        <v>117.99470486011877</v>
      </c>
      <c r="BH48" s="3"/>
      <c r="BI48" s="3"/>
      <c r="BJ48" s="3"/>
      <c r="BK48" s="3"/>
      <c r="BM48">
        <v>2008</v>
      </c>
      <c r="BN48">
        <v>33315976</v>
      </c>
      <c r="BO48">
        <v>506193</v>
      </c>
      <c r="BP48">
        <v>139545</v>
      </c>
      <c r="BQ48">
        <v>936737</v>
      </c>
      <c r="BR48">
        <v>746902</v>
      </c>
      <c r="BS48">
        <v>7751332</v>
      </c>
      <c r="BT48">
        <v>12932297</v>
      </c>
      <c r="BU48">
        <v>1205517</v>
      </c>
      <c r="BV48">
        <v>1013792</v>
      </c>
      <c r="BW48">
        <v>3591391</v>
      </c>
      <c r="BX48">
        <v>4383860</v>
      </c>
      <c r="BY48">
        <f t="shared" si="25"/>
        <v>33207566</v>
      </c>
      <c r="BZ48" s="48">
        <f>BZ47+(BZ50-BZ39)/11</f>
        <v>34115.36363636364</v>
      </c>
      <c r="CA48" s="48">
        <f>CA47+(CA50-CA39)/11</f>
        <v>75057.727272727308</v>
      </c>
      <c r="CB48">
        <f t="shared" si="24"/>
        <v>33316739.09090909</v>
      </c>
    </row>
    <row r="49" spans="1:80">
      <c r="A49">
        <v>2009</v>
      </c>
      <c r="R49">
        <v>12</v>
      </c>
      <c r="S49">
        <v>5</v>
      </c>
      <c r="T49">
        <v>10</v>
      </c>
      <c r="U49">
        <v>12</v>
      </c>
      <c r="V49">
        <v>13</v>
      </c>
      <c r="W49">
        <v>12.5</v>
      </c>
      <c r="X49">
        <v>13</v>
      </c>
      <c r="Y49">
        <v>15</v>
      </c>
      <c r="Z49">
        <v>15</v>
      </c>
      <c r="AA49">
        <v>13</v>
      </c>
      <c r="AB49">
        <v>5</v>
      </c>
      <c r="AC49">
        <v>5</v>
      </c>
      <c r="AD49" s="3">
        <f t="shared" si="29"/>
        <v>11.82969257606991</v>
      </c>
      <c r="AE49" s="6">
        <f t="shared" si="30"/>
        <v>16.433790614385234</v>
      </c>
      <c r="AS49" s="6">
        <f t="shared" si="31"/>
        <v>94.9</v>
      </c>
      <c r="AT49">
        <v>94.9</v>
      </c>
      <c r="AU49">
        <v>137.5</v>
      </c>
      <c r="AV49" s="3">
        <f t="shared" si="27"/>
        <v>102.8790500939847</v>
      </c>
      <c r="AW49" s="2">
        <v>1.14310055659983</v>
      </c>
      <c r="AX49" s="3">
        <v>90</v>
      </c>
      <c r="AY49" s="3"/>
      <c r="AZ49" s="9">
        <f>'[1]Real petrol price'!EM63</f>
        <v>52.022536155980333</v>
      </c>
      <c r="BA49" s="3">
        <v>1.1431</v>
      </c>
      <c r="BB49" s="3">
        <f t="shared" si="21"/>
        <v>59.466961079901118</v>
      </c>
      <c r="BC49" s="6">
        <f t="shared" si="32"/>
        <v>20.60604906599913</v>
      </c>
      <c r="BD49" s="3">
        <f t="shared" si="23"/>
        <v>78.466209385614775</v>
      </c>
      <c r="BE49" s="3">
        <f t="shared" si="28"/>
        <v>80.073010145900241</v>
      </c>
      <c r="BF49" s="3">
        <v>106.97203396432199</v>
      </c>
      <c r="BG49" s="3">
        <f t="shared" si="33"/>
        <v>96.506800760285472</v>
      </c>
      <c r="BH49" s="3"/>
      <c r="BI49" s="3"/>
      <c r="BJ49" s="3"/>
      <c r="BK49" s="3"/>
      <c r="BM49">
        <v>2009</v>
      </c>
      <c r="BN49">
        <v>33720184</v>
      </c>
      <c r="BO49">
        <v>508143</v>
      </c>
      <c r="BP49">
        <v>141097</v>
      </c>
      <c r="BQ49">
        <v>939124</v>
      </c>
      <c r="BR49">
        <v>749324</v>
      </c>
      <c r="BS49">
        <v>7828357</v>
      </c>
      <c r="BT49">
        <v>13064900</v>
      </c>
      <c r="BU49">
        <v>1219562</v>
      </c>
      <c r="BV49">
        <v>1029124</v>
      </c>
      <c r="BW49">
        <v>3670742</v>
      </c>
      <c r="BX49">
        <v>4460292</v>
      </c>
      <c r="BY49">
        <f t="shared" si="25"/>
        <v>33610665</v>
      </c>
      <c r="BZ49" s="48">
        <f>BZ48+(BZ50-BZ39)/11</f>
        <v>34452.181818181823</v>
      </c>
      <c r="CA49" s="48">
        <f>CA48+(CA50-CA39)/11</f>
        <v>75965.363636363676</v>
      </c>
      <c r="CB49">
        <f t="shared" si="24"/>
        <v>33721082.545454547</v>
      </c>
    </row>
    <row r="50" spans="1:80">
      <c r="A50">
        <v>2010</v>
      </c>
      <c r="R50">
        <v>12</v>
      </c>
      <c r="S50">
        <v>5</v>
      </c>
      <c r="T50">
        <v>10</v>
      </c>
      <c r="U50">
        <v>12</v>
      </c>
      <c r="V50">
        <v>13</v>
      </c>
      <c r="W50">
        <v>12.5</v>
      </c>
      <c r="X50">
        <v>13</v>
      </c>
      <c r="Y50">
        <v>15</v>
      </c>
      <c r="Z50">
        <v>15</v>
      </c>
      <c r="AA50">
        <v>13</v>
      </c>
      <c r="AB50">
        <v>5</v>
      </c>
      <c r="AC50">
        <v>5</v>
      </c>
      <c r="AD50" s="3">
        <f t="shared" si="29"/>
        <v>11.821288337829069</v>
      </c>
      <c r="AE50" s="6">
        <f>AE$39*BF50/BF$39</f>
        <v>16.725797962907652</v>
      </c>
      <c r="AS50" s="6">
        <f t="shared" si="31"/>
        <v>103.1</v>
      </c>
      <c r="AT50">
        <v>103.1</v>
      </c>
      <c r="AU50">
        <v>150.9</v>
      </c>
      <c r="AV50" s="3"/>
      <c r="AW50" s="2">
        <v>1.0301627829537601</v>
      </c>
      <c r="AZ50" s="9">
        <f>'[1]Real petrol price'!EM64</f>
        <v>63.430995453433596</v>
      </c>
      <c r="BA50">
        <v>1.03016</v>
      </c>
      <c r="BB50" s="3">
        <f>AZ50*BA50</f>
        <v>65.344074276309158</v>
      </c>
      <c r="BC50" s="6">
        <f t="shared" si="32"/>
        <v>20.972192087562167</v>
      </c>
      <c r="BD50" s="3">
        <f t="shared" si="23"/>
        <v>86.374202037092346</v>
      </c>
      <c r="BE50" s="3">
        <f>BB50+BC50</f>
        <v>86.316266363871321</v>
      </c>
      <c r="BF50" s="3">
        <v>108.872789592584</v>
      </c>
      <c r="BG50" s="3">
        <f t="shared" si="33"/>
        <v>103.04206432677897</v>
      </c>
      <c r="BM50">
        <v>2010</v>
      </c>
      <c r="BN50">
        <v>34131683</v>
      </c>
      <c r="BO50">
        <v>522865</v>
      </c>
      <c r="BP50">
        <v>142732</v>
      </c>
      <c r="BQ50">
        <v>944179</v>
      </c>
      <c r="BR50">
        <v>754287</v>
      </c>
      <c r="BS50">
        <v>7955007</v>
      </c>
      <c r="BT50">
        <v>13189339</v>
      </c>
      <c r="BU50">
        <v>1224662</v>
      </c>
      <c r="BV50">
        <v>1056115</v>
      </c>
      <c r="BW50">
        <v>3747226</v>
      </c>
      <c r="BX50">
        <v>4483609</v>
      </c>
      <c r="BY50">
        <f t="shared" si="25"/>
        <v>34020021</v>
      </c>
      <c r="BZ50" s="12">
        <v>34789</v>
      </c>
      <c r="CA50" s="12">
        <f>BZ64+CA64</f>
        <v>76873</v>
      </c>
      <c r="CB50">
        <f t="shared" si="24"/>
        <v>34131683</v>
      </c>
    </row>
    <row r="51" spans="1:80">
      <c r="A51">
        <v>2011</v>
      </c>
      <c r="R51">
        <v>12</v>
      </c>
      <c r="S51">
        <v>5</v>
      </c>
      <c r="T51">
        <v>10</v>
      </c>
      <c r="U51">
        <v>12</v>
      </c>
      <c r="V51">
        <v>13</v>
      </c>
      <c r="W51">
        <v>13.5</v>
      </c>
      <c r="X51">
        <v>13</v>
      </c>
      <c r="Y51">
        <v>15</v>
      </c>
      <c r="Z51">
        <v>15</v>
      </c>
      <c r="AA51">
        <v>13</v>
      </c>
      <c r="AB51">
        <v>5</v>
      </c>
      <c r="AC51">
        <v>5</v>
      </c>
      <c r="AD51" s="3">
        <f t="shared" si="29"/>
        <v>12.048467777192691</v>
      </c>
      <c r="BC51" s="6"/>
      <c r="BM51">
        <v>2011</v>
      </c>
      <c r="BN51">
        <v>34457998</v>
      </c>
      <c r="BO51">
        <v>525936</v>
      </c>
      <c r="BP51">
        <v>144378</v>
      </c>
      <c r="BQ51">
        <v>945016</v>
      </c>
      <c r="BR51">
        <v>756420</v>
      </c>
      <c r="BS51">
        <v>8021860</v>
      </c>
      <c r="BT51">
        <v>13308659</v>
      </c>
      <c r="BU51">
        <v>1238019</v>
      </c>
      <c r="BV51">
        <v>1070687</v>
      </c>
      <c r="BW51">
        <v>3807726</v>
      </c>
      <c r="BX51">
        <v>4525684</v>
      </c>
      <c r="BY51">
        <f t="shared" si="25"/>
        <v>34344385</v>
      </c>
      <c r="BZ51" s="12">
        <v>35668</v>
      </c>
      <c r="CA51" s="12">
        <f t="shared" ref="CA51:CA58" si="34">BZ65+CA65</f>
        <v>77945</v>
      </c>
      <c r="CB51">
        <f t="shared" si="24"/>
        <v>34457998</v>
      </c>
    </row>
    <row r="52" spans="1:80">
      <c r="A52">
        <v>2012</v>
      </c>
      <c r="R52">
        <v>12</v>
      </c>
      <c r="S52">
        <v>5</v>
      </c>
      <c r="T52">
        <v>10</v>
      </c>
      <c r="U52">
        <v>12</v>
      </c>
      <c r="V52">
        <v>13</v>
      </c>
      <c r="W52">
        <v>14.5</v>
      </c>
      <c r="X52">
        <v>13</v>
      </c>
      <c r="Y52">
        <v>15</v>
      </c>
      <c r="Z52">
        <v>15</v>
      </c>
      <c r="AA52">
        <v>13</v>
      </c>
      <c r="AB52">
        <v>5</v>
      </c>
      <c r="AC52">
        <v>5</v>
      </c>
      <c r="AD52" s="3">
        <f t="shared" si="29"/>
        <v>12.267124333185681</v>
      </c>
      <c r="BC52" s="6"/>
      <c r="BM52">
        <v>2012</v>
      </c>
      <c r="BN52">
        <v>34836008</v>
      </c>
      <c r="BO52">
        <v>527180</v>
      </c>
      <c r="BP52">
        <v>144520</v>
      </c>
      <c r="BQ52">
        <v>943341</v>
      </c>
      <c r="BR52">
        <v>758673</v>
      </c>
      <c r="BS52">
        <v>8078388</v>
      </c>
      <c r="BT52">
        <v>13434943</v>
      </c>
      <c r="BU52">
        <v>1254178</v>
      </c>
      <c r="BV52">
        <v>1088959</v>
      </c>
      <c r="BW52">
        <v>3900333</v>
      </c>
      <c r="BX52">
        <v>4590545</v>
      </c>
      <c r="BY52">
        <f t="shared" si="25"/>
        <v>34721060</v>
      </c>
      <c r="BZ52" s="12">
        <v>36425</v>
      </c>
      <c r="CA52" s="12">
        <f t="shared" si="34"/>
        <v>78523</v>
      </c>
      <c r="CB52">
        <f t="shared" si="24"/>
        <v>34836008</v>
      </c>
    </row>
    <row r="53" spans="1:80">
      <c r="A53">
        <v>2013</v>
      </c>
      <c r="R53">
        <v>12</v>
      </c>
      <c r="S53">
        <v>5</v>
      </c>
      <c r="T53">
        <v>10</v>
      </c>
      <c r="U53">
        <v>12</v>
      </c>
      <c r="V53">
        <v>13</v>
      </c>
      <c r="W53">
        <v>14.975</v>
      </c>
      <c r="X53">
        <v>13</v>
      </c>
      <c r="Y53">
        <v>15</v>
      </c>
      <c r="Z53">
        <v>14.2</v>
      </c>
      <c r="AA53">
        <v>13</v>
      </c>
      <c r="AB53">
        <v>5</v>
      </c>
      <c r="AC53">
        <v>5</v>
      </c>
      <c r="AD53" s="3">
        <f t="shared" si="29"/>
        <v>12.354696600498762</v>
      </c>
      <c r="BC53" s="6"/>
      <c r="BM53">
        <v>2013</v>
      </c>
      <c r="BN53">
        <v>35211866</v>
      </c>
      <c r="BO53">
        <v>528117</v>
      </c>
      <c r="BP53">
        <v>144103</v>
      </c>
      <c r="BQ53">
        <v>940105</v>
      </c>
      <c r="BR53">
        <v>758670</v>
      </c>
      <c r="BS53">
        <v>8124660</v>
      </c>
      <c r="BT53">
        <v>13558528</v>
      </c>
      <c r="BU53">
        <v>1268428</v>
      </c>
      <c r="BV53">
        <v>1103730</v>
      </c>
      <c r="BW53">
        <v>4010903</v>
      </c>
      <c r="BX53">
        <v>4658875</v>
      </c>
      <c r="BY53">
        <f t="shared" si="25"/>
        <v>35096119</v>
      </c>
      <c r="BZ53" s="12">
        <v>36448</v>
      </c>
      <c r="CA53" s="12">
        <f t="shared" si="34"/>
        <v>79299</v>
      </c>
      <c r="CB53">
        <f t="shared" si="24"/>
        <v>35211866</v>
      </c>
    </row>
    <row r="54" spans="1:80">
      <c r="A54">
        <v>2014</v>
      </c>
      <c r="R54">
        <v>12</v>
      </c>
      <c r="S54">
        <v>5</v>
      </c>
      <c r="T54">
        <v>10</v>
      </c>
      <c r="U54">
        <v>12</v>
      </c>
      <c r="V54">
        <v>13</v>
      </c>
      <c r="W54">
        <v>14.975</v>
      </c>
      <c r="X54">
        <v>13</v>
      </c>
      <c r="Y54">
        <v>15</v>
      </c>
      <c r="Z54">
        <v>14</v>
      </c>
      <c r="AA54">
        <v>13</v>
      </c>
      <c r="AB54">
        <v>5</v>
      </c>
      <c r="AC54">
        <v>5</v>
      </c>
      <c r="AD54" s="3">
        <f t="shared" si="29"/>
        <v>12.337453749274228</v>
      </c>
      <c r="BC54" s="6"/>
      <c r="BF54" s="17"/>
      <c r="BM54">
        <v>2014</v>
      </c>
      <c r="BN54">
        <v>35559047</v>
      </c>
      <c r="BO54">
        <v>528461</v>
      </c>
      <c r="BP54">
        <v>144538</v>
      </c>
      <c r="BQ54">
        <v>938972</v>
      </c>
      <c r="BR54">
        <v>759524</v>
      </c>
      <c r="BS54">
        <v>8165447</v>
      </c>
      <c r="BT54">
        <v>13661314</v>
      </c>
      <c r="BU54">
        <v>1283366</v>
      </c>
      <c r="BV54">
        <v>1116203</v>
      </c>
      <c r="BW54">
        <v>4106056</v>
      </c>
      <c r="BX54">
        <v>4737725</v>
      </c>
      <c r="BY54">
        <f t="shared" si="25"/>
        <v>35441606</v>
      </c>
      <c r="BZ54" s="12">
        <v>37272</v>
      </c>
      <c r="CA54" s="12">
        <f t="shared" si="34"/>
        <v>80169</v>
      </c>
      <c r="CB54">
        <f t="shared" si="24"/>
        <v>35559047</v>
      </c>
    </row>
    <row r="55" spans="1:80">
      <c r="A55">
        <v>2015</v>
      </c>
      <c r="R55">
        <v>12</v>
      </c>
      <c r="S55">
        <v>5</v>
      </c>
      <c r="T55">
        <v>10</v>
      </c>
      <c r="U55">
        <v>12</v>
      </c>
      <c r="V55">
        <v>13</v>
      </c>
      <c r="W55">
        <v>14.975</v>
      </c>
      <c r="X55">
        <v>13</v>
      </c>
      <c r="Y55">
        <v>15</v>
      </c>
      <c r="Z55">
        <v>14</v>
      </c>
      <c r="AA55">
        <v>13</v>
      </c>
      <c r="AB55">
        <v>5</v>
      </c>
      <c r="AC55">
        <v>5</v>
      </c>
      <c r="AD55" s="3">
        <f t="shared" si="29"/>
        <v>12.328915634423284</v>
      </c>
      <c r="BC55" s="6"/>
      <c r="BF55" s="18"/>
      <c r="BM55">
        <v>2015</v>
      </c>
      <c r="BN55">
        <v>35822894</v>
      </c>
      <c r="BO55">
        <v>528696</v>
      </c>
      <c r="BP55">
        <v>144894</v>
      </c>
      <c r="BQ55">
        <v>938320</v>
      </c>
      <c r="BR55">
        <v>759778</v>
      </c>
      <c r="BS55">
        <v>8190014</v>
      </c>
      <c r="BT55">
        <v>13757688</v>
      </c>
      <c r="BU55">
        <v>1297329</v>
      </c>
      <c r="BV55">
        <v>1124919</v>
      </c>
      <c r="BW55">
        <v>4159519</v>
      </c>
      <c r="BX55">
        <v>4802955</v>
      </c>
      <c r="BY55">
        <f t="shared" si="25"/>
        <v>35704112</v>
      </c>
      <c r="BZ55" s="12">
        <v>37751</v>
      </c>
      <c r="CA55" s="12">
        <f t="shared" si="34"/>
        <v>81031</v>
      </c>
      <c r="CB55">
        <f t="shared" si="24"/>
        <v>35822894</v>
      </c>
    </row>
    <row r="56" spans="1:80">
      <c r="A56">
        <v>2016</v>
      </c>
      <c r="R56">
        <v>12</v>
      </c>
      <c r="S56">
        <v>5</v>
      </c>
      <c r="T56">
        <v>10</v>
      </c>
      <c r="U56">
        <v>12</v>
      </c>
      <c r="V56">
        <v>13</v>
      </c>
      <c r="W56">
        <v>14.975</v>
      </c>
      <c r="X56">
        <v>13</v>
      </c>
      <c r="Y56">
        <v>15</v>
      </c>
      <c r="Z56">
        <v>14</v>
      </c>
      <c r="AA56">
        <v>14</v>
      </c>
      <c r="AB56">
        <v>5</v>
      </c>
      <c r="AC56">
        <v>5</v>
      </c>
      <c r="AD56" s="3">
        <f t="shared" si="29"/>
        <v>12.340253740995937</v>
      </c>
      <c r="BC56" s="6"/>
      <c r="BF56" s="13"/>
      <c r="BM56">
        <v>2016</v>
      </c>
      <c r="BN56">
        <v>36256107</v>
      </c>
      <c r="BO56">
        <v>529968</v>
      </c>
      <c r="BP56">
        <v>147948</v>
      </c>
      <c r="BQ56">
        <v>946103</v>
      </c>
      <c r="BR56">
        <v>764878</v>
      </c>
      <c r="BS56">
        <v>8249071</v>
      </c>
      <c r="BT56">
        <v>13945524</v>
      </c>
      <c r="BU56">
        <v>1320057</v>
      </c>
      <c r="BV56">
        <v>1140773</v>
      </c>
      <c r="BW56">
        <v>4210052</v>
      </c>
      <c r="BX56">
        <v>4881391</v>
      </c>
      <c r="BY56">
        <f t="shared" si="25"/>
        <v>36135765</v>
      </c>
      <c r="BZ56" s="12">
        <v>38745</v>
      </c>
      <c r="CA56" s="12">
        <f t="shared" si="34"/>
        <v>81597</v>
      </c>
      <c r="CB56">
        <f t="shared" si="24"/>
        <v>36256107</v>
      </c>
    </row>
    <row r="57" spans="1:80">
      <c r="A57">
        <v>2017</v>
      </c>
      <c r="R57">
        <v>12</v>
      </c>
      <c r="S57">
        <v>5</v>
      </c>
      <c r="T57">
        <v>10</v>
      </c>
      <c r="U57">
        <v>12</v>
      </c>
      <c r="V57">
        <v>13</v>
      </c>
      <c r="W57">
        <v>14.975</v>
      </c>
      <c r="X57">
        <v>13</v>
      </c>
      <c r="Y57">
        <v>15</v>
      </c>
      <c r="Z57">
        <v>14</v>
      </c>
      <c r="AA57">
        <v>15</v>
      </c>
      <c r="AB57">
        <v>5</v>
      </c>
      <c r="AC57">
        <v>5</v>
      </c>
      <c r="AD57" s="3">
        <f t="shared" si="29"/>
        <v>12.353072531524795</v>
      </c>
      <c r="BC57" s="6"/>
      <c r="BF57" s="13"/>
      <c r="BM57">
        <v>2017</v>
      </c>
      <c r="BN57">
        <v>36712658</v>
      </c>
      <c r="BO57">
        <v>528463</v>
      </c>
      <c r="BP57">
        <v>151477</v>
      </c>
      <c r="BQ57">
        <v>954374</v>
      </c>
      <c r="BR57">
        <v>768212</v>
      </c>
      <c r="BS57">
        <v>8329664</v>
      </c>
      <c r="BT57">
        <v>14153806</v>
      </c>
      <c r="BU57">
        <v>1340776</v>
      </c>
      <c r="BV57">
        <v>1155034</v>
      </c>
      <c r="BW57">
        <v>4262642</v>
      </c>
      <c r="BX57">
        <v>4945559</v>
      </c>
      <c r="BY57">
        <f t="shared" si="25"/>
        <v>36590007</v>
      </c>
      <c r="BZ57" s="12">
        <v>39781</v>
      </c>
      <c r="CA57" s="12">
        <f t="shared" si="34"/>
        <v>82870</v>
      </c>
      <c r="CB57">
        <f t="shared" si="24"/>
        <v>36712658</v>
      </c>
    </row>
    <row r="58" spans="1:80">
      <c r="A58">
        <v>2018</v>
      </c>
      <c r="R58">
        <v>12</v>
      </c>
      <c r="S58">
        <v>5</v>
      </c>
      <c r="T58">
        <v>10</v>
      </c>
      <c r="U58">
        <v>12</v>
      </c>
      <c r="V58">
        <v>13</v>
      </c>
      <c r="W58">
        <v>14.975</v>
      </c>
      <c r="X58">
        <v>13</v>
      </c>
      <c r="Y58">
        <v>15</v>
      </c>
      <c r="Z58">
        <v>14</v>
      </c>
      <c r="AA58">
        <v>15</v>
      </c>
      <c r="AB58">
        <v>5</v>
      </c>
      <c r="AC58">
        <v>5</v>
      </c>
      <c r="AD58" s="3">
        <f>(R58*BX58+S58*BW58+T58*BV58+U58*BU58+V58*BT58+W58*BS58+X58*BR58+Y58*BQ58+Z58*BP58+AA58*BO58+AB58*BZ58+AC58*CA58)/BY58</f>
        <v>12.350900746608074</v>
      </c>
      <c r="BC58" s="6"/>
      <c r="BF58" s="17"/>
      <c r="BM58">
        <v>2018</v>
      </c>
      <c r="BN58">
        <v>37058856</v>
      </c>
      <c r="BO58">
        <v>525355</v>
      </c>
      <c r="BP58">
        <v>153244</v>
      </c>
      <c r="BQ58">
        <v>959942</v>
      </c>
      <c r="BR58">
        <v>770633</v>
      </c>
      <c r="BS58">
        <v>8390499</v>
      </c>
      <c r="BT58">
        <v>14322757</v>
      </c>
      <c r="BU58">
        <v>1352154</v>
      </c>
      <c r="BV58">
        <v>1162062</v>
      </c>
      <c r="BW58">
        <v>4307110</v>
      </c>
      <c r="BX58">
        <v>4991687</v>
      </c>
      <c r="BY58">
        <f t="shared" si="25"/>
        <v>36935443</v>
      </c>
      <c r="BZ58" s="12">
        <v>40476</v>
      </c>
      <c r="CA58" s="12">
        <f t="shared" si="34"/>
        <v>82937</v>
      </c>
      <c r="CB58">
        <f t="shared" si="24"/>
        <v>37058856</v>
      </c>
    </row>
    <row r="59" spans="1:80">
      <c r="BC59" s="6"/>
    </row>
    <row r="60" spans="1:80">
      <c r="BC60" s="6"/>
    </row>
    <row r="61" spans="1:80">
      <c r="R61">
        <f>111*R58/100</f>
        <v>13.32</v>
      </c>
      <c r="S61">
        <f t="shared" ref="S61:AC61" si="35">111*S58/100</f>
        <v>5.55</v>
      </c>
      <c r="T61">
        <f t="shared" si="35"/>
        <v>11.1</v>
      </c>
      <c r="U61">
        <f t="shared" si="35"/>
        <v>13.32</v>
      </c>
      <c r="V61">
        <f t="shared" si="35"/>
        <v>14.43</v>
      </c>
      <c r="W61">
        <f t="shared" si="35"/>
        <v>16.622249999999998</v>
      </c>
      <c r="X61">
        <f t="shared" si="35"/>
        <v>14.43</v>
      </c>
      <c r="Y61">
        <f t="shared" si="35"/>
        <v>16.649999999999999</v>
      </c>
      <c r="Z61">
        <f t="shared" si="35"/>
        <v>15.54</v>
      </c>
      <c r="AA61">
        <f t="shared" si="35"/>
        <v>16.649999999999999</v>
      </c>
      <c r="AB61">
        <f t="shared" si="35"/>
        <v>5.55</v>
      </c>
      <c r="AC61">
        <f t="shared" si="35"/>
        <v>5.55</v>
      </c>
      <c r="BC61" s="6"/>
    </row>
    <row r="62" spans="1:80">
      <c r="P62" s="127" t="s">
        <v>2184</v>
      </c>
      <c r="Q62" s="127"/>
      <c r="R62" s="127">
        <v>14.5</v>
      </c>
      <c r="S62" s="127">
        <v>13</v>
      </c>
      <c r="T62" s="127">
        <v>15</v>
      </c>
      <c r="U62" s="127">
        <v>14</v>
      </c>
      <c r="V62" s="127">
        <v>14.7</v>
      </c>
      <c r="W62" s="127">
        <v>19.2</v>
      </c>
      <c r="X62" s="127">
        <v>15.5</v>
      </c>
      <c r="Y62" s="127">
        <v>15.5</v>
      </c>
      <c r="Z62" s="127">
        <v>13.1</v>
      </c>
      <c r="AA62" s="127">
        <v>33</v>
      </c>
      <c r="AB62" s="127">
        <v>6.2</v>
      </c>
      <c r="AC62" s="127">
        <v>6.4</v>
      </c>
      <c r="BC62" s="6"/>
    </row>
    <row r="63" spans="1:80">
      <c r="BC63" s="6"/>
      <c r="BN63" t="s">
        <v>29</v>
      </c>
      <c r="BO63" t="s">
        <v>30</v>
      </c>
      <c r="BP63" t="s">
        <v>31</v>
      </c>
      <c r="BQ63" t="s">
        <v>32</v>
      </c>
      <c r="BR63" t="s">
        <v>33</v>
      </c>
      <c r="BS63" t="s">
        <v>34</v>
      </c>
      <c r="BT63" t="s">
        <v>35</v>
      </c>
      <c r="BU63" t="s">
        <v>36</v>
      </c>
      <c r="BV63" t="s">
        <v>37</v>
      </c>
      <c r="BW63" t="s">
        <v>38</v>
      </c>
      <c r="BX63" t="s">
        <v>39</v>
      </c>
      <c r="BY63" t="s">
        <v>41</v>
      </c>
      <c r="BZ63" t="s">
        <v>2186</v>
      </c>
      <c r="CA63" t="s">
        <v>2187</v>
      </c>
    </row>
    <row r="64" spans="1:80">
      <c r="R64" s="127">
        <v>27.7</v>
      </c>
      <c r="S64" s="127">
        <v>17.5</v>
      </c>
      <c r="T64" s="127">
        <v>15</v>
      </c>
      <c r="U64" s="127">
        <v>14</v>
      </c>
      <c r="V64" s="127">
        <v>20.86</v>
      </c>
      <c r="W64" s="127">
        <v>28.4</v>
      </c>
      <c r="X64" s="127">
        <v>23.2</v>
      </c>
      <c r="Y64" s="127">
        <v>23.2</v>
      </c>
      <c r="Z64" s="127">
        <v>16.95</v>
      </c>
      <c r="AA64" s="127">
        <v>40.700000000000003</v>
      </c>
      <c r="AB64" s="127">
        <v>6.2</v>
      </c>
      <c r="AC64" s="127">
        <v>10</v>
      </c>
      <c r="AD64" s="3">
        <f>(R64*BX39+S64*BW39+T64*BV39+U64*BU39+V64*BT39+W64*BS39+X64*BR39+Y64*BQ39+Z64*BP39+AA64*BO39+AB64*BZ39+AC64*CA39)/BY39</f>
        <v>23.295505282753286</v>
      </c>
      <c r="AE64" s="3">
        <f>(R64*BX39+S64*BW39+T64*BV397+U64*BU39+V64*BT39+W64*BS39+X64*BR39+Y64*BQ39+Z64*BP39+AA64*BO39+AB64*BZ39+AC64*CA39)/BN39</f>
        <v>22.719658579245628</v>
      </c>
      <c r="BC64" s="6"/>
      <c r="BM64">
        <v>2010</v>
      </c>
      <c r="BN64">
        <v>34131683</v>
      </c>
      <c r="BO64">
        <v>522865</v>
      </c>
      <c r="BP64">
        <v>142732</v>
      </c>
      <c r="BQ64">
        <v>944179</v>
      </c>
      <c r="BR64">
        <v>754287</v>
      </c>
      <c r="BS64">
        <v>7955007</v>
      </c>
      <c r="BT64">
        <v>13189339</v>
      </c>
      <c r="BU64">
        <v>1224662</v>
      </c>
      <c r="BV64">
        <v>1056115</v>
      </c>
      <c r="BW64">
        <v>3747226</v>
      </c>
      <c r="BX64">
        <v>4483609</v>
      </c>
      <c r="BY64">
        <v>34789</v>
      </c>
      <c r="BZ64">
        <v>43303</v>
      </c>
      <c r="CA64">
        <v>33570</v>
      </c>
    </row>
    <row r="65" spans="19:79">
      <c r="S65" s="127" t="s">
        <v>2074</v>
      </c>
      <c r="T65" s="127"/>
      <c r="U65" s="127"/>
      <c r="V65" s="127"/>
      <c r="W65" s="127"/>
      <c r="BM65">
        <v>2011</v>
      </c>
      <c r="BN65">
        <v>34457998</v>
      </c>
      <c r="BO65">
        <v>525936</v>
      </c>
      <c r="BP65">
        <v>144378</v>
      </c>
      <c r="BQ65">
        <v>945016</v>
      </c>
      <c r="BR65">
        <v>756420</v>
      </c>
      <c r="BS65">
        <v>8021860</v>
      </c>
      <c r="BT65">
        <v>13308659</v>
      </c>
      <c r="BU65">
        <v>1238019</v>
      </c>
      <c r="BV65">
        <v>1070687</v>
      </c>
      <c r="BW65">
        <v>3807726</v>
      </c>
      <c r="BX65">
        <v>4525684</v>
      </c>
      <c r="BY65">
        <v>35668</v>
      </c>
      <c r="BZ65">
        <v>43593</v>
      </c>
      <c r="CA65">
        <v>34352</v>
      </c>
    </row>
    <row r="66" spans="19:79">
      <c r="BM66">
        <v>2012</v>
      </c>
      <c r="BN66">
        <v>34836008</v>
      </c>
      <c r="BO66">
        <v>527180</v>
      </c>
      <c r="BP66">
        <v>144520</v>
      </c>
      <c r="BQ66">
        <v>943341</v>
      </c>
      <c r="BR66">
        <v>758673</v>
      </c>
      <c r="BS66">
        <v>8078388</v>
      </c>
      <c r="BT66">
        <v>13434943</v>
      </c>
      <c r="BU66">
        <v>1254178</v>
      </c>
      <c r="BV66">
        <v>1088959</v>
      </c>
      <c r="BW66">
        <v>3900333</v>
      </c>
      <c r="BX66">
        <v>4590545</v>
      </c>
      <c r="BY66">
        <v>36425</v>
      </c>
      <c r="BZ66">
        <v>43681</v>
      </c>
      <c r="CA66">
        <v>34842</v>
      </c>
    </row>
    <row r="67" spans="19:79">
      <c r="BM67">
        <v>2013</v>
      </c>
      <c r="BN67">
        <v>35211866</v>
      </c>
      <c r="BO67">
        <v>528117</v>
      </c>
      <c r="BP67">
        <v>144103</v>
      </c>
      <c r="BQ67">
        <v>940105</v>
      </c>
      <c r="BR67">
        <v>758670</v>
      </c>
      <c r="BS67">
        <v>8124660</v>
      </c>
      <c r="BT67">
        <v>13558528</v>
      </c>
      <c r="BU67">
        <v>1268428</v>
      </c>
      <c r="BV67">
        <v>1103730</v>
      </c>
      <c r="BW67">
        <v>4010903</v>
      </c>
      <c r="BX67">
        <v>4658875</v>
      </c>
      <c r="BY67">
        <v>36448</v>
      </c>
      <c r="BZ67">
        <v>43756</v>
      </c>
      <c r="CA67">
        <v>35543</v>
      </c>
    </row>
    <row r="68" spans="19:79">
      <c r="BM68">
        <v>2014</v>
      </c>
      <c r="BN68">
        <v>35559047</v>
      </c>
      <c r="BO68">
        <v>528461</v>
      </c>
      <c r="BP68">
        <v>144538</v>
      </c>
      <c r="BQ68">
        <v>938972</v>
      </c>
      <c r="BR68">
        <v>759524</v>
      </c>
      <c r="BS68">
        <v>8165447</v>
      </c>
      <c r="BT68">
        <v>13661314</v>
      </c>
      <c r="BU68">
        <v>1283366</v>
      </c>
      <c r="BV68">
        <v>1116203</v>
      </c>
      <c r="BW68">
        <v>4106056</v>
      </c>
      <c r="BX68">
        <v>4737725</v>
      </c>
      <c r="BY68">
        <v>37272</v>
      </c>
      <c r="BZ68">
        <v>44064</v>
      </c>
      <c r="CA68">
        <v>36105</v>
      </c>
    </row>
    <row r="69" spans="19:79">
      <c r="BM69">
        <v>2015</v>
      </c>
      <c r="BN69">
        <v>35822894</v>
      </c>
      <c r="BO69">
        <v>528696</v>
      </c>
      <c r="BP69">
        <v>144894</v>
      </c>
      <c r="BQ69">
        <v>938320</v>
      </c>
      <c r="BR69">
        <v>759778</v>
      </c>
      <c r="BS69">
        <v>8190014</v>
      </c>
      <c r="BT69">
        <v>13757688</v>
      </c>
      <c r="BU69">
        <v>1297329</v>
      </c>
      <c r="BV69">
        <v>1124919</v>
      </c>
      <c r="BW69">
        <v>4159519</v>
      </c>
      <c r="BX69">
        <v>4802955</v>
      </c>
      <c r="BY69">
        <v>37751</v>
      </c>
      <c r="BZ69">
        <v>44428</v>
      </c>
      <c r="CA69">
        <v>36603</v>
      </c>
    </row>
    <row r="70" spans="19:79">
      <c r="BM70">
        <v>2016</v>
      </c>
      <c r="BN70">
        <v>36256107</v>
      </c>
      <c r="BO70">
        <v>529968</v>
      </c>
      <c r="BP70">
        <v>147948</v>
      </c>
      <c r="BQ70">
        <v>946103</v>
      </c>
      <c r="BR70">
        <v>764878</v>
      </c>
      <c r="BS70">
        <v>8249071</v>
      </c>
      <c r="BT70">
        <v>13945524</v>
      </c>
      <c r="BU70">
        <v>1320057</v>
      </c>
      <c r="BV70">
        <v>1140773</v>
      </c>
      <c r="BW70">
        <v>4210052</v>
      </c>
      <c r="BX70">
        <v>4881391</v>
      </c>
      <c r="BY70">
        <v>38745</v>
      </c>
      <c r="BZ70">
        <v>44556</v>
      </c>
      <c r="CA70">
        <v>37041</v>
      </c>
    </row>
    <row r="71" spans="19:79">
      <c r="BM71">
        <v>2017</v>
      </c>
      <c r="BN71">
        <v>36712658</v>
      </c>
      <c r="BO71">
        <v>528463</v>
      </c>
      <c r="BP71">
        <v>151477</v>
      </c>
      <c r="BQ71">
        <v>954374</v>
      </c>
      <c r="BR71">
        <v>768212</v>
      </c>
      <c r="BS71">
        <v>8329664</v>
      </c>
      <c r="BT71">
        <v>14153806</v>
      </c>
      <c r="BU71">
        <v>1340776</v>
      </c>
      <c r="BV71">
        <v>1155034</v>
      </c>
      <c r="BW71">
        <v>4262642</v>
      </c>
      <c r="BX71">
        <v>4945559</v>
      </c>
      <c r="BY71">
        <v>39781</v>
      </c>
      <c r="BZ71">
        <v>45097</v>
      </c>
      <c r="CA71">
        <v>37773</v>
      </c>
    </row>
    <row r="72" spans="19:79">
      <c r="BM72">
        <v>2018</v>
      </c>
      <c r="BN72">
        <v>37058856</v>
      </c>
      <c r="BO72">
        <v>525355</v>
      </c>
      <c r="BP72">
        <v>153244</v>
      </c>
      <c r="BQ72">
        <v>959942</v>
      </c>
      <c r="BR72">
        <v>770633</v>
      </c>
      <c r="BS72">
        <v>8390499</v>
      </c>
      <c r="BT72">
        <v>14322757</v>
      </c>
      <c r="BU72">
        <v>1352154</v>
      </c>
      <c r="BV72">
        <v>1162062</v>
      </c>
      <c r="BW72">
        <v>4307110</v>
      </c>
      <c r="BX72">
        <v>4991687</v>
      </c>
      <c r="BY72">
        <v>40476</v>
      </c>
      <c r="BZ72">
        <v>44541</v>
      </c>
      <c r="CA72">
        <v>38396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A3" sqref="A3:G22"/>
    </sheetView>
  </sheetViews>
  <sheetFormatPr defaultRowHeight="15"/>
  <cols>
    <col min="1" max="1" width="18.14062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0.99211814770598472</v>
      </c>
    </row>
    <row r="5" spans="1:7">
      <c r="A5" s="13" t="s">
        <v>80</v>
      </c>
      <c r="B5" s="13">
        <v>0.9842984190075541</v>
      </c>
    </row>
    <row r="6" spans="1:7">
      <c r="A6" s="13" t="s">
        <v>81</v>
      </c>
      <c r="B6" s="13">
        <v>0.9799368687318748</v>
      </c>
    </row>
    <row r="7" spans="1:7">
      <c r="A7" s="13" t="s">
        <v>82</v>
      </c>
      <c r="B7" s="13">
        <v>0.1589634712134817</v>
      </c>
    </row>
    <row r="8" spans="1:7" ht="15.75" thickBot="1">
      <c r="A8" s="14" t="s">
        <v>83</v>
      </c>
      <c r="B8" s="14">
        <v>24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5</v>
      </c>
      <c r="C12" s="13">
        <v>28.513503582539926</v>
      </c>
      <c r="D12" s="13">
        <v>5.7027007165079855</v>
      </c>
      <c r="E12" s="13">
        <v>225.67627490072368</v>
      </c>
      <c r="F12" s="13">
        <v>1.4007028155137119E-15</v>
      </c>
    </row>
    <row r="13" spans="1:7">
      <c r="A13" s="13" t="s">
        <v>86</v>
      </c>
      <c r="B13" s="13">
        <v>18</v>
      </c>
      <c r="C13" s="13">
        <v>0.45484893324430964</v>
      </c>
      <c r="D13" s="13">
        <v>2.5269385180239426E-2</v>
      </c>
      <c r="E13" s="13"/>
      <c r="F13" s="13"/>
    </row>
    <row r="14" spans="1:7" ht="15.75" thickBot="1">
      <c r="A14" s="14" t="s">
        <v>87</v>
      </c>
      <c r="B14" s="14">
        <v>23</v>
      </c>
      <c r="C14" s="14">
        <v>28.968352515784236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0.22065804870224937</v>
      </c>
      <c r="C17" s="13">
        <v>0.13829648527087518</v>
      </c>
      <c r="D17" s="13">
        <v>1.5955434317080166</v>
      </c>
      <c r="E17" s="13">
        <v>0.12799793178138674</v>
      </c>
      <c r="F17" s="13">
        <v>-6.9892085291202333E-2</v>
      </c>
      <c r="G17" s="13">
        <v>0.51120818269570112</v>
      </c>
    </row>
    <row r="18" spans="1:7">
      <c r="A18" s="13" t="s">
        <v>229</v>
      </c>
      <c r="B18" s="13">
        <v>6.7145809703468258E-3</v>
      </c>
      <c r="C18" s="13">
        <v>2.3690473767171334E-4</v>
      </c>
      <c r="D18" s="13">
        <v>28.342957748913577</v>
      </c>
      <c r="E18" s="13">
        <v>2.1848772640967069E-16</v>
      </c>
      <c r="F18" s="13">
        <v>6.2168625855348022E-3</v>
      </c>
      <c r="G18" s="13">
        <v>7.2122993551588495E-3</v>
      </c>
    </row>
    <row r="19" spans="1:7">
      <c r="A19" s="13" t="s">
        <v>278</v>
      </c>
      <c r="B19" s="13">
        <v>0.69819480203717643</v>
      </c>
      <c r="C19" s="13">
        <v>8.8317171849163462E-2</v>
      </c>
      <c r="D19" s="13">
        <v>7.9055384974240397</v>
      </c>
      <c r="E19" s="13">
        <v>2.9012135718353378E-7</v>
      </c>
      <c r="F19" s="13">
        <v>0.51264730916751355</v>
      </c>
      <c r="G19" s="13">
        <v>0.88374229490683931</v>
      </c>
    </row>
    <row r="20" spans="1:7">
      <c r="A20" s="13" t="s">
        <v>234</v>
      </c>
      <c r="B20" s="13">
        <v>0.57575169088522682</v>
      </c>
      <c r="C20" s="13">
        <v>0.12174393894386476</v>
      </c>
      <c r="D20" s="13">
        <v>4.7292020931793717</v>
      </c>
      <c r="E20" s="13">
        <v>1.6739619088465278E-4</v>
      </c>
      <c r="F20" s="13">
        <v>0.31997716629230211</v>
      </c>
      <c r="G20" s="13">
        <v>0.83152621547815153</v>
      </c>
    </row>
    <row r="21" spans="1:7">
      <c r="A21" s="13" t="s">
        <v>2043</v>
      </c>
      <c r="B21" s="13">
        <v>0.66914492104654033</v>
      </c>
      <c r="C21" s="13">
        <v>0.16765874063414865</v>
      </c>
      <c r="D21" s="13">
        <v>3.9911126524962648</v>
      </c>
      <c r="E21" s="13">
        <v>8.5661903130277177E-4</v>
      </c>
      <c r="F21" s="13">
        <v>0.31690697760920178</v>
      </c>
      <c r="G21" s="13">
        <v>1.0213828644838789</v>
      </c>
    </row>
    <row r="22" spans="1:7" ht="15.75" thickBot="1">
      <c r="A22" s="14" t="s">
        <v>2439</v>
      </c>
      <c r="B22" s="14">
        <v>0.51100516494251691</v>
      </c>
      <c r="C22" s="14">
        <v>0.12366501478988129</v>
      </c>
      <c r="D22" s="14">
        <v>4.1321724322013278</v>
      </c>
      <c r="E22" s="14">
        <v>6.2579584573313734E-4</v>
      </c>
      <c r="F22" s="14">
        <v>0.25119460976372138</v>
      </c>
      <c r="G22" s="14">
        <v>0.77081572012131239</v>
      </c>
    </row>
    <row r="44" spans="5:5">
      <c r="E44" t="s">
        <v>2001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T172"/>
  <sheetViews>
    <sheetView zoomScale="75" zoomScaleNormal="75" workbookViewId="0">
      <pane xSplit="1" ySplit="4" topLeftCell="AL62" activePane="bottomRight" state="frozen"/>
      <selection activeCell="BN97" sqref="BN97"/>
      <selection pane="topRight" activeCell="BN97" sqref="BN97"/>
      <selection pane="bottomLeft" activeCell="BN97" sqref="BN97"/>
      <selection pane="bottomRight" activeCell="AN72" sqref="AN72:BF97"/>
    </sheetView>
  </sheetViews>
  <sheetFormatPr defaultRowHeight="15"/>
  <cols>
    <col min="1" max="1" width="6.7109375" customWidth="1"/>
    <col min="2" max="2" width="11.140625" customWidth="1"/>
    <col min="3" max="3" width="10.7109375" customWidth="1"/>
    <col min="4" max="4" width="11.140625" customWidth="1"/>
    <col min="5" max="5" width="10" customWidth="1"/>
    <col min="6" max="6" width="12.140625" customWidth="1"/>
    <col min="7" max="7" width="12.140625" style="2" customWidth="1"/>
    <col min="8" max="8" width="10.42578125" style="3" customWidth="1"/>
    <col min="9" max="9" width="10.140625" style="3" customWidth="1"/>
    <col min="10" max="10" width="9.28515625" style="7" bestFit="1" customWidth="1"/>
    <col min="11" max="11" width="9.28515625" style="7" customWidth="1"/>
    <col min="12" max="13" width="9.28515625" style="3" bestFit="1" customWidth="1"/>
    <col min="14" max="14" width="9.85546875" customWidth="1"/>
    <col min="15" max="15" width="8.28515625" customWidth="1"/>
    <col min="16" max="16" width="9.42578125" style="23" customWidth="1"/>
    <col min="17" max="17" width="9.28515625" style="32" customWidth="1"/>
    <col min="18" max="18" width="9.85546875" style="32" customWidth="1"/>
    <col min="19" max="19" width="9.85546875" style="23" customWidth="1"/>
    <col min="20" max="20" width="9.85546875" customWidth="1"/>
    <col min="21" max="23" width="9.28515625" bestFit="1" customWidth="1"/>
    <col min="24" max="24" width="9.5703125" style="23" customWidth="1"/>
    <col min="25" max="29" width="9.28515625" style="2" bestFit="1" customWidth="1"/>
    <col min="30" max="30" width="9.28515625" bestFit="1" customWidth="1"/>
    <col min="40" max="40" width="6.7109375" style="9" customWidth="1"/>
    <col min="41" max="44" width="6.85546875" style="3" customWidth="1"/>
    <col min="45" max="45" width="7.28515625" style="3" customWidth="1"/>
    <col min="46" max="46" width="3" style="3" customWidth="1"/>
    <col min="47" max="47" width="9.140625" style="3"/>
    <col min="48" max="48" width="3.5703125" style="3" customWidth="1"/>
    <col min="49" max="49" width="9.85546875" style="3" customWidth="1"/>
    <col min="50" max="50" width="9.5703125" style="3" customWidth="1"/>
    <col min="51" max="51" width="8.140625" style="3" customWidth="1"/>
    <col min="52" max="52" width="8" style="3" customWidth="1"/>
    <col min="53" max="54" width="9.85546875" style="3" customWidth="1"/>
    <col min="55" max="55" width="6.140625" style="3" customWidth="1"/>
    <col min="56" max="56" width="6.28515625" style="3" customWidth="1"/>
    <col min="57" max="57" width="5.85546875" style="3" customWidth="1"/>
    <col min="58" max="58" width="6.85546875" style="3" customWidth="1"/>
    <col min="59" max="59" width="9.140625" style="7"/>
    <col min="60" max="60" width="9.140625" style="3"/>
    <col min="61" max="61" width="12.42578125" style="3" customWidth="1"/>
    <col min="62" max="62" width="11.28515625" style="3" customWidth="1"/>
  </cols>
  <sheetData>
    <row r="1" spans="1:61">
      <c r="A1" s="23" t="s">
        <v>328</v>
      </c>
      <c r="B1" s="23"/>
      <c r="C1" s="23"/>
      <c r="E1" s="8"/>
      <c r="G1" s="39" t="s">
        <v>2084</v>
      </c>
      <c r="H1" s="3" t="s">
        <v>3</v>
      </c>
      <c r="I1" s="3" t="s">
        <v>3</v>
      </c>
      <c r="J1" s="3" t="s">
        <v>3</v>
      </c>
      <c r="K1" s="3"/>
      <c r="N1" s="3"/>
    </row>
    <row r="2" spans="1:61">
      <c r="D2" t="s">
        <v>45</v>
      </c>
      <c r="F2" t="s">
        <v>1954</v>
      </c>
      <c r="H2" s="3" t="s">
        <v>2083</v>
      </c>
      <c r="I2" s="3" t="s">
        <v>2083</v>
      </c>
      <c r="J2" s="3" t="s">
        <v>2083</v>
      </c>
      <c r="K2" s="3"/>
      <c r="O2" s="23"/>
      <c r="Q2" s="23" t="s">
        <v>328</v>
      </c>
      <c r="R2" s="38" t="s">
        <v>142</v>
      </c>
      <c r="T2" s="23" t="s">
        <v>328</v>
      </c>
      <c r="Y2" s="23" t="s">
        <v>328</v>
      </c>
      <c r="Z2" s="23" t="s">
        <v>328</v>
      </c>
      <c r="AA2" s="23" t="s">
        <v>328</v>
      </c>
      <c r="AB2" s="23" t="s">
        <v>328</v>
      </c>
      <c r="AC2" s="23" t="s">
        <v>328</v>
      </c>
      <c r="AD2" t="s">
        <v>113</v>
      </c>
    </row>
    <row r="3" spans="1:61">
      <c r="B3" t="s">
        <v>182</v>
      </c>
      <c r="C3" t="s">
        <v>218</v>
      </c>
      <c r="D3" s="23" t="s">
        <v>328</v>
      </c>
      <c r="F3" s="23" t="s">
        <v>328</v>
      </c>
      <c r="H3" s="23" t="s">
        <v>328</v>
      </c>
      <c r="I3" s="23" t="s">
        <v>328</v>
      </c>
      <c r="J3" s="23" t="s">
        <v>328</v>
      </c>
      <c r="K3" s="3"/>
      <c r="L3" s="23"/>
      <c r="N3" s="3"/>
      <c r="Q3" s="38" t="s">
        <v>133</v>
      </c>
      <c r="R3" s="38" t="s">
        <v>133</v>
      </c>
      <c r="T3" s="3" t="s">
        <v>128</v>
      </c>
      <c r="U3" s="3"/>
      <c r="V3" s="3"/>
      <c r="W3" s="3"/>
      <c r="Y3" s="2" t="s">
        <v>61</v>
      </c>
      <c r="Z3" s="2" t="s">
        <v>61</v>
      </c>
      <c r="AA3" s="2" t="s">
        <v>61</v>
      </c>
      <c r="AB3" s="2" t="s">
        <v>61</v>
      </c>
      <c r="AC3" s="38" t="s">
        <v>61</v>
      </c>
      <c r="AD3" t="s">
        <v>61</v>
      </c>
      <c r="AN3" s="46" t="s">
        <v>2103</v>
      </c>
      <c r="AO3" s="46" t="s">
        <v>2083</v>
      </c>
      <c r="AP3" s="46"/>
      <c r="AQ3" s="46"/>
      <c r="AR3" s="46" t="s">
        <v>2083</v>
      </c>
      <c r="AS3" s="46" t="s">
        <v>2083</v>
      </c>
      <c r="AU3" s="46"/>
      <c r="AW3" s="46" t="s">
        <v>2110</v>
      </c>
      <c r="AX3" s="46" t="s">
        <v>2110</v>
      </c>
      <c r="AY3" s="46" t="s">
        <v>2110</v>
      </c>
      <c r="AZ3" s="46" t="s">
        <v>2110</v>
      </c>
      <c r="BA3" s="46" t="s">
        <v>2110</v>
      </c>
      <c r="BB3" s="46" t="s">
        <v>2111</v>
      </c>
      <c r="BC3" s="46" t="s">
        <v>2098</v>
      </c>
      <c r="BD3" s="46" t="s">
        <v>2098</v>
      </c>
      <c r="BE3" s="46" t="s">
        <v>2098</v>
      </c>
      <c r="BF3" s="46" t="s">
        <v>2098</v>
      </c>
      <c r="BH3" s="46" t="s">
        <v>2442</v>
      </c>
      <c r="BI3" s="46" t="s">
        <v>2442</v>
      </c>
    </row>
    <row r="4" spans="1:61">
      <c r="A4" t="s">
        <v>2103</v>
      </c>
      <c r="B4" t="s">
        <v>227</v>
      </c>
      <c r="C4" s="8" t="s">
        <v>42</v>
      </c>
      <c r="D4" t="s">
        <v>6</v>
      </c>
      <c r="E4" t="s">
        <v>42</v>
      </c>
      <c r="G4" s="2" t="s">
        <v>11</v>
      </c>
      <c r="I4" s="35" t="s">
        <v>110</v>
      </c>
      <c r="J4" s="30" t="s">
        <v>135</v>
      </c>
      <c r="K4" s="3"/>
      <c r="L4" s="35"/>
      <c r="N4" s="29"/>
      <c r="Q4" s="38" t="s">
        <v>101</v>
      </c>
      <c r="R4" s="38" t="s">
        <v>103</v>
      </c>
      <c r="T4" s="13" t="s">
        <v>229</v>
      </c>
      <c r="U4" s="3" t="s">
        <v>231</v>
      </c>
      <c r="V4" s="3" t="s">
        <v>233</v>
      </c>
      <c r="W4" s="3" t="s">
        <v>148</v>
      </c>
      <c r="Y4" s="2" t="s">
        <v>109</v>
      </c>
      <c r="Z4" s="2" t="s">
        <v>111</v>
      </c>
      <c r="AA4" s="2" t="s">
        <v>152</v>
      </c>
      <c r="AB4" s="2" t="s">
        <v>112</v>
      </c>
      <c r="AC4" s="38" t="s">
        <v>87</v>
      </c>
      <c r="AD4" t="s">
        <v>87</v>
      </c>
      <c r="AN4" s="46"/>
      <c r="AO4" s="46" t="s">
        <v>131</v>
      </c>
      <c r="AP4" s="46"/>
      <c r="AQ4" s="46"/>
      <c r="AR4" s="46" t="s">
        <v>67</v>
      </c>
      <c r="AS4" s="46" t="s">
        <v>133</v>
      </c>
      <c r="AU4" s="139" t="s">
        <v>237</v>
      </c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>
        <v>9504</v>
      </c>
      <c r="BD4" s="46" t="s">
        <v>2108</v>
      </c>
      <c r="BE4" s="46" t="s">
        <v>2112</v>
      </c>
      <c r="BF4" s="46">
        <v>9516</v>
      </c>
      <c r="BH4" s="46" t="s">
        <v>131</v>
      </c>
      <c r="BI4" s="46" t="s">
        <v>2097</v>
      </c>
    </row>
    <row r="5" spans="1:61">
      <c r="A5">
        <v>1926</v>
      </c>
      <c r="AN5" s="9">
        <v>1926</v>
      </c>
    </row>
    <row r="6" spans="1:61">
      <c r="A6">
        <v>1927</v>
      </c>
      <c r="AN6" s="9">
        <v>1927</v>
      </c>
    </row>
    <row r="7" spans="1:61">
      <c r="A7">
        <v>1928</v>
      </c>
      <c r="AN7" s="9">
        <v>1928</v>
      </c>
    </row>
    <row r="8" spans="1:61">
      <c r="A8">
        <v>1929</v>
      </c>
      <c r="AN8" s="9">
        <v>1929</v>
      </c>
    </row>
    <row r="9" spans="1:61">
      <c r="A9">
        <v>1930</v>
      </c>
      <c r="AN9" s="9">
        <v>1930</v>
      </c>
    </row>
    <row r="10" spans="1:61">
      <c r="A10">
        <v>1931</v>
      </c>
      <c r="AN10" s="9">
        <v>1931</v>
      </c>
    </row>
    <row r="11" spans="1:61">
      <c r="A11">
        <v>1932</v>
      </c>
      <c r="AN11" s="9">
        <v>1932</v>
      </c>
    </row>
    <row r="12" spans="1:61">
      <c r="A12">
        <v>1933</v>
      </c>
      <c r="AN12" s="9">
        <v>1933</v>
      </c>
    </row>
    <row r="13" spans="1:61">
      <c r="A13">
        <v>1934</v>
      </c>
      <c r="AN13" s="9">
        <v>1934</v>
      </c>
    </row>
    <row r="14" spans="1:61">
      <c r="A14">
        <v>1935</v>
      </c>
      <c r="AN14" s="9">
        <v>1935</v>
      </c>
    </row>
    <row r="15" spans="1:61">
      <c r="A15">
        <v>1936</v>
      </c>
      <c r="AN15" s="9">
        <v>1936</v>
      </c>
    </row>
    <row r="16" spans="1:61">
      <c r="A16">
        <v>1937</v>
      </c>
      <c r="AN16" s="9">
        <v>1937</v>
      </c>
    </row>
    <row r="17" spans="1:40">
      <c r="A17">
        <v>1938</v>
      </c>
      <c r="AN17" s="9">
        <v>1938</v>
      </c>
    </row>
    <row r="18" spans="1:40">
      <c r="A18">
        <v>1939</v>
      </c>
      <c r="AN18" s="9">
        <v>1939</v>
      </c>
    </row>
    <row r="19" spans="1:40">
      <c r="A19">
        <v>1940</v>
      </c>
      <c r="AN19" s="9">
        <v>1940</v>
      </c>
    </row>
    <row r="20" spans="1:40">
      <c r="A20">
        <v>1941</v>
      </c>
      <c r="AN20" s="9">
        <v>1941</v>
      </c>
    </row>
    <row r="21" spans="1:40">
      <c r="A21">
        <v>1942</v>
      </c>
      <c r="AN21" s="9">
        <v>1942</v>
      </c>
    </row>
    <row r="22" spans="1:40">
      <c r="A22">
        <v>1943</v>
      </c>
      <c r="AN22" s="9">
        <v>1943</v>
      </c>
    </row>
    <row r="23" spans="1:40">
      <c r="A23">
        <v>1944</v>
      </c>
      <c r="AN23" s="9">
        <v>1944</v>
      </c>
    </row>
    <row r="24" spans="1:40">
      <c r="A24">
        <v>1945</v>
      </c>
      <c r="AN24" s="9">
        <v>1945</v>
      </c>
    </row>
    <row r="25" spans="1:40">
      <c r="A25">
        <v>1946</v>
      </c>
      <c r="AN25" s="9">
        <v>1946</v>
      </c>
    </row>
    <row r="26" spans="1:40">
      <c r="A26">
        <v>1947</v>
      </c>
      <c r="AN26" s="9">
        <v>1947</v>
      </c>
    </row>
    <row r="27" spans="1:40">
      <c r="A27">
        <v>1948</v>
      </c>
      <c r="AN27" s="9">
        <v>1948</v>
      </c>
    </row>
    <row r="28" spans="1:40">
      <c r="A28">
        <v>1949</v>
      </c>
      <c r="AN28" s="9">
        <v>1949</v>
      </c>
    </row>
    <row r="29" spans="1:40">
      <c r="A29">
        <v>1950</v>
      </c>
      <c r="AN29" s="9">
        <v>1950</v>
      </c>
    </row>
    <row r="30" spans="1:40">
      <c r="A30">
        <v>1951</v>
      </c>
      <c r="AN30" s="9">
        <v>1951</v>
      </c>
    </row>
    <row r="31" spans="1:40">
      <c r="A31">
        <v>1952</v>
      </c>
      <c r="AN31" s="9">
        <v>1952</v>
      </c>
    </row>
    <row r="32" spans="1:40">
      <c r="A32">
        <v>1953</v>
      </c>
      <c r="AN32" s="9">
        <v>1953</v>
      </c>
    </row>
    <row r="33" spans="1:40">
      <c r="A33">
        <v>1954</v>
      </c>
      <c r="AN33" s="9">
        <v>1954</v>
      </c>
    </row>
    <row r="34" spans="1:40">
      <c r="A34">
        <v>1955</v>
      </c>
      <c r="AN34" s="9">
        <v>1955</v>
      </c>
    </row>
    <row r="35" spans="1:40">
      <c r="A35">
        <v>1956</v>
      </c>
      <c r="AN35" s="9">
        <v>1956</v>
      </c>
    </row>
    <row r="36" spans="1:40">
      <c r="A36">
        <v>1957</v>
      </c>
      <c r="AN36" s="9">
        <v>1957</v>
      </c>
    </row>
    <row r="37" spans="1:40">
      <c r="A37">
        <v>1958</v>
      </c>
      <c r="AN37" s="9">
        <v>1958</v>
      </c>
    </row>
    <row r="38" spans="1:40">
      <c r="A38">
        <v>1959</v>
      </c>
      <c r="AN38" s="9">
        <v>1959</v>
      </c>
    </row>
    <row r="39" spans="1:40">
      <c r="A39">
        <v>1960</v>
      </c>
      <c r="AN39" s="9">
        <v>1960</v>
      </c>
    </row>
    <row r="40" spans="1:40">
      <c r="A40">
        <v>1961</v>
      </c>
      <c r="AN40" s="9">
        <v>1961</v>
      </c>
    </row>
    <row r="41" spans="1:40">
      <c r="A41">
        <v>1962</v>
      </c>
      <c r="AN41" s="9">
        <v>1962</v>
      </c>
    </row>
    <row r="42" spans="1:40">
      <c r="A42">
        <v>1963</v>
      </c>
      <c r="AN42" s="9">
        <v>1963</v>
      </c>
    </row>
    <row r="43" spans="1:40">
      <c r="A43">
        <v>1964</v>
      </c>
      <c r="AN43" s="9">
        <v>1964</v>
      </c>
    </row>
    <row r="44" spans="1:40">
      <c r="A44">
        <v>1965</v>
      </c>
      <c r="C44" s="3"/>
      <c r="I44" s="7"/>
      <c r="M44" s="2"/>
      <c r="S44" s="27"/>
      <c r="T44">
        <f>USA!Z52*G44</f>
        <v>0</v>
      </c>
      <c r="U44">
        <v>1</v>
      </c>
      <c r="V44">
        <v>0</v>
      </c>
      <c r="W44">
        <v>0</v>
      </c>
      <c r="AE44" s="3"/>
      <c r="AN44" s="9">
        <v>1965</v>
      </c>
    </row>
    <row r="45" spans="1:40">
      <c r="A45">
        <v>1966</v>
      </c>
      <c r="C45" s="3"/>
      <c r="I45" s="7"/>
      <c r="M45" s="2"/>
      <c r="S45" s="27"/>
      <c r="T45">
        <f>USA!Z53*G45</f>
        <v>0</v>
      </c>
      <c r="U45">
        <v>1</v>
      </c>
      <c r="V45">
        <v>0</v>
      </c>
      <c r="W45">
        <v>0</v>
      </c>
      <c r="AE45" s="4"/>
      <c r="AN45" s="9">
        <v>1966</v>
      </c>
    </row>
    <row r="46" spans="1:40">
      <c r="A46">
        <v>1967</v>
      </c>
      <c r="C46" s="3"/>
      <c r="I46" s="7"/>
      <c r="M46" s="2"/>
      <c r="S46" s="27"/>
      <c r="T46">
        <f>USA!Z54*G46</f>
        <v>0</v>
      </c>
      <c r="U46">
        <v>1</v>
      </c>
      <c r="V46">
        <v>0</v>
      </c>
      <c r="W46">
        <v>0</v>
      </c>
      <c r="AE46" s="4"/>
      <c r="AN46" s="9">
        <v>1967</v>
      </c>
    </row>
    <row r="47" spans="1:40">
      <c r="A47">
        <v>1968</v>
      </c>
      <c r="C47" s="3"/>
      <c r="I47" s="7"/>
      <c r="M47" s="2"/>
      <c r="S47" s="27"/>
      <c r="T47">
        <f>USA!Z55*G47</f>
        <v>0</v>
      </c>
      <c r="U47">
        <v>1</v>
      </c>
      <c r="V47">
        <v>0</v>
      </c>
      <c r="W47">
        <v>0</v>
      </c>
      <c r="AE47" s="4"/>
      <c r="AN47" s="9">
        <v>1968</v>
      </c>
    </row>
    <row r="48" spans="1:40">
      <c r="A48">
        <v>1969</v>
      </c>
      <c r="C48" s="3"/>
      <c r="I48" s="7"/>
      <c r="M48" s="2"/>
      <c r="S48" s="27"/>
      <c r="T48">
        <f>USA!Z56*G48</f>
        <v>0</v>
      </c>
      <c r="U48">
        <v>1</v>
      </c>
      <c r="V48">
        <v>0</v>
      </c>
      <c r="W48">
        <v>0</v>
      </c>
      <c r="AE48" s="4"/>
      <c r="AN48" s="9">
        <v>1969</v>
      </c>
    </row>
    <row r="49" spans="1:40">
      <c r="A49">
        <v>1970</v>
      </c>
      <c r="C49" s="3"/>
      <c r="I49" s="7"/>
      <c r="M49" s="2"/>
      <c r="S49" s="27"/>
      <c r="T49">
        <f>USA!Z57*G49</f>
        <v>0</v>
      </c>
      <c r="U49">
        <v>1</v>
      </c>
      <c r="V49">
        <v>0</v>
      </c>
      <c r="W49">
        <v>0</v>
      </c>
      <c r="AE49" s="4"/>
      <c r="AN49" s="9">
        <v>1970</v>
      </c>
    </row>
    <row r="50" spans="1:40">
      <c r="A50">
        <v>1971</v>
      </c>
      <c r="C50" s="3"/>
      <c r="I50" s="7"/>
      <c r="S50" s="27"/>
      <c r="T50">
        <f>USA!Z58*G50</f>
        <v>0</v>
      </c>
      <c r="U50">
        <v>1</v>
      </c>
      <c r="V50">
        <v>0</v>
      </c>
      <c r="W50">
        <v>0</v>
      </c>
      <c r="AE50" s="4"/>
      <c r="AN50" s="9">
        <v>1971</v>
      </c>
    </row>
    <row r="51" spans="1:40">
      <c r="A51">
        <v>1972</v>
      </c>
      <c r="C51" s="3"/>
      <c r="I51" s="7"/>
      <c r="S51" s="27"/>
      <c r="T51">
        <f>USA!Z59*G51</f>
        <v>0</v>
      </c>
      <c r="U51">
        <v>1</v>
      </c>
      <c r="V51">
        <v>0</v>
      </c>
      <c r="W51">
        <v>0</v>
      </c>
      <c r="AE51" s="4"/>
      <c r="AN51" s="9">
        <v>1972</v>
      </c>
    </row>
    <row r="52" spans="1:40">
      <c r="A52">
        <v>1973</v>
      </c>
      <c r="C52" s="3"/>
      <c r="I52" s="7"/>
      <c r="S52" s="27"/>
      <c r="T52">
        <f>USA!Z60*G52</f>
        <v>0</v>
      </c>
      <c r="U52">
        <v>0</v>
      </c>
      <c r="V52">
        <v>0</v>
      </c>
      <c r="W52">
        <v>0</v>
      </c>
      <c r="AE52" s="4"/>
      <c r="AN52" s="9">
        <v>1973</v>
      </c>
    </row>
    <row r="53" spans="1:40">
      <c r="A53">
        <v>1974</v>
      </c>
      <c r="C53" s="3"/>
      <c r="I53" s="7"/>
      <c r="S53" s="27"/>
      <c r="T53">
        <f>USA!Z61*G53</f>
        <v>0</v>
      </c>
      <c r="U53">
        <v>0</v>
      </c>
      <c r="V53">
        <v>0</v>
      </c>
      <c r="W53">
        <v>0</v>
      </c>
      <c r="AE53" s="4"/>
      <c r="AN53" s="9">
        <v>1974</v>
      </c>
    </row>
    <row r="54" spans="1:40">
      <c r="A54">
        <v>1975</v>
      </c>
      <c r="C54" s="3"/>
      <c r="I54" s="7"/>
      <c r="S54" s="27"/>
      <c r="T54">
        <f>USA!Z62*G54</f>
        <v>0</v>
      </c>
      <c r="U54">
        <v>0</v>
      </c>
      <c r="V54">
        <v>0</v>
      </c>
      <c r="W54">
        <v>0</v>
      </c>
      <c r="AE54" s="4"/>
      <c r="AN54" s="9">
        <v>1975</v>
      </c>
    </row>
    <row r="55" spans="1:40">
      <c r="A55">
        <v>1976</v>
      </c>
      <c r="C55" s="3"/>
      <c r="I55" s="7"/>
      <c r="S55" s="27"/>
      <c r="T55">
        <f>USA!Z63*G55</f>
        <v>0</v>
      </c>
      <c r="U55">
        <v>0</v>
      </c>
      <c r="V55">
        <v>0</v>
      </c>
      <c r="W55">
        <v>0</v>
      </c>
      <c r="AE55" s="4"/>
      <c r="AN55" s="9">
        <v>1976</v>
      </c>
    </row>
    <row r="56" spans="1:40">
      <c r="A56">
        <v>1977</v>
      </c>
      <c r="C56" s="3"/>
      <c r="I56" s="7"/>
      <c r="S56" s="27"/>
      <c r="T56">
        <f>USA!Z64*G56</f>
        <v>0</v>
      </c>
      <c r="U56">
        <v>0</v>
      </c>
      <c r="V56">
        <v>0</v>
      </c>
      <c r="W56">
        <v>0</v>
      </c>
      <c r="AE56" s="4"/>
      <c r="AN56" s="9">
        <v>1977</v>
      </c>
    </row>
    <row r="57" spans="1:40">
      <c r="A57">
        <v>1978</v>
      </c>
      <c r="C57" s="3"/>
      <c r="I57" s="7"/>
      <c r="S57" s="27"/>
      <c r="T57">
        <f>USA!Z65*G57</f>
        <v>0</v>
      </c>
      <c r="U57">
        <v>0</v>
      </c>
      <c r="V57">
        <v>0</v>
      </c>
      <c r="W57">
        <v>0</v>
      </c>
      <c r="AE57" s="4"/>
      <c r="AN57" s="9">
        <v>1978</v>
      </c>
    </row>
    <row r="58" spans="1:40">
      <c r="A58">
        <v>1979</v>
      </c>
      <c r="C58" s="3"/>
      <c r="I58" s="7"/>
      <c r="S58" s="27"/>
      <c r="T58">
        <f>USA!Z66*G58</f>
        <v>0</v>
      </c>
      <c r="U58">
        <v>0</v>
      </c>
      <c r="V58">
        <v>0</v>
      </c>
      <c r="W58">
        <v>0</v>
      </c>
      <c r="AE58" s="4"/>
      <c r="AN58" s="9">
        <v>1979</v>
      </c>
    </row>
    <row r="59" spans="1:40">
      <c r="A59">
        <v>1980</v>
      </c>
      <c r="C59" s="3"/>
      <c r="I59" s="7"/>
      <c r="S59" s="27"/>
      <c r="T59">
        <f>USA!Z67*G59</f>
        <v>0</v>
      </c>
      <c r="U59">
        <v>0</v>
      </c>
      <c r="V59">
        <v>0</v>
      </c>
      <c r="W59">
        <v>0</v>
      </c>
      <c r="AE59" s="4"/>
      <c r="AN59" s="9">
        <v>1980</v>
      </c>
    </row>
    <row r="60" spans="1:40">
      <c r="A60">
        <v>1981</v>
      </c>
      <c r="C60" s="3"/>
      <c r="F60" s="3"/>
      <c r="I60" s="7"/>
      <c r="S60" s="27"/>
      <c r="T60">
        <f>USA!Z68*G60</f>
        <v>0</v>
      </c>
      <c r="U60">
        <v>0</v>
      </c>
      <c r="V60">
        <v>0</v>
      </c>
      <c r="W60">
        <v>0</v>
      </c>
      <c r="AE60" s="4"/>
      <c r="AN60" s="9">
        <v>1981</v>
      </c>
    </row>
    <row r="61" spans="1:40">
      <c r="A61">
        <v>1982</v>
      </c>
      <c r="C61" s="3"/>
      <c r="F61" s="3"/>
      <c r="I61" s="7"/>
      <c r="S61" s="27"/>
      <c r="T61">
        <f>USA!Z69*G61</f>
        <v>0</v>
      </c>
      <c r="U61">
        <v>0</v>
      </c>
      <c r="V61">
        <v>0</v>
      </c>
      <c r="W61">
        <v>0</v>
      </c>
      <c r="AE61" s="4"/>
      <c r="AN61" s="9">
        <v>1982</v>
      </c>
    </row>
    <row r="62" spans="1:40">
      <c r="A62">
        <v>1983</v>
      </c>
      <c r="C62" s="3"/>
      <c r="F62" s="3"/>
      <c r="I62" s="7"/>
      <c r="S62" s="27"/>
      <c r="T62">
        <f>USA!Z70*G62</f>
        <v>0</v>
      </c>
      <c r="U62">
        <v>0</v>
      </c>
      <c r="V62">
        <v>0</v>
      </c>
      <c r="W62">
        <v>0</v>
      </c>
      <c r="AE62" s="4"/>
      <c r="AN62" s="9">
        <v>1983</v>
      </c>
    </row>
    <row r="63" spans="1:40">
      <c r="A63">
        <v>1984</v>
      </c>
      <c r="C63" s="3"/>
      <c r="F63" s="3"/>
      <c r="I63" s="7"/>
      <c r="S63" s="27"/>
      <c r="T63">
        <f>USA!Z71*G63</f>
        <v>0</v>
      </c>
      <c r="U63">
        <v>0</v>
      </c>
      <c r="V63">
        <v>0</v>
      </c>
      <c r="W63">
        <v>0</v>
      </c>
      <c r="AE63" s="4"/>
      <c r="AN63" s="9">
        <v>1984</v>
      </c>
    </row>
    <row r="64" spans="1:40">
      <c r="A64">
        <v>1985</v>
      </c>
      <c r="C64" s="3"/>
      <c r="F64" s="3"/>
      <c r="I64" s="7"/>
      <c r="S64" s="27"/>
      <c r="T64">
        <f>USA!Z72*G64</f>
        <v>0</v>
      </c>
      <c r="U64">
        <v>0</v>
      </c>
      <c r="V64">
        <v>0</v>
      </c>
      <c r="W64">
        <v>0</v>
      </c>
      <c r="AE64" s="4"/>
      <c r="AN64" s="9">
        <v>1985</v>
      </c>
    </row>
    <row r="65" spans="1:61">
      <c r="A65">
        <v>1986</v>
      </c>
      <c r="C65" s="3"/>
      <c r="F65" s="3"/>
      <c r="I65" s="7"/>
      <c r="S65" s="27"/>
      <c r="T65">
        <f>USA!Z73*G65</f>
        <v>0</v>
      </c>
      <c r="U65">
        <v>0</v>
      </c>
      <c r="V65">
        <v>0</v>
      </c>
      <c r="W65">
        <v>0</v>
      </c>
      <c r="AE65" s="4"/>
      <c r="AN65" s="9">
        <v>1986</v>
      </c>
    </row>
    <row r="66" spans="1:61">
      <c r="A66">
        <v>1987</v>
      </c>
      <c r="C66" s="3"/>
      <c r="F66" s="3"/>
      <c r="I66" s="7"/>
      <c r="S66" s="27"/>
      <c r="T66">
        <f>USA!Z74*G66</f>
        <v>0</v>
      </c>
      <c r="U66">
        <v>0</v>
      </c>
      <c r="V66">
        <v>0</v>
      </c>
      <c r="W66">
        <v>0</v>
      </c>
      <c r="AE66" s="4"/>
      <c r="AN66" s="9">
        <v>1987</v>
      </c>
    </row>
    <row r="67" spans="1:61">
      <c r="A67">
        <v>1988</v>
      </c>
      <c r="C67" s="3"/>
      <c r="F67" s="3"/>
      <c r="I67" s="7"/>
      <c r="S67" s="27"/>
      <c r="T67">
        <f>USA!Z75*G67</f>
        <v>0</v>
      </c>
      <c r="U67">
        <v>0</v>
      </c>
      <c r="V67">
        <v>0</v>
      </c>
      <c r="W67">
        <v>0</v>
      </c>
      <c r="AE67" s="4"/>
      <c r="AN67" s="9">
        <v>1988</v>
      </c>
    </row>
    <row r="68" spans="1:61">
      <c r="A68">
        <v>1989</v>
      </c>
      <c r="C68" s="3"/>
      <c r="F68" s="3"/>
      <c r="I68" s="7"/>
      <c r="S68" s="27"/>
      <c r="T68">
        <f>USA!Z76*G68</f>
        <v>0</v>
      </c>
      <c r="U68">
        <v>0</v>
      </c>
      <c r="V68">
        <v>0</v>
      </c>
      <c r="W68">
        <v>0</v>
      </c>
      <c r="AE68" s="4"/>
      <c r="AN68" s="9">
        <v>1989</v>
      </c>
    </row>
    <row r="69" spans="1:61">
      <c r="A69">
        <v>1990</v>
      </c>
      <c r="C69" s="3"/>
      <c r="F69" s="3"/>
      <c r="I69" s="7"/>
      <c r="S69" s="27"/>
      <c r="T69">
        <f>USA!Z77*G69</f>
        <v>0</v>
      </c>
      <c r="U69">
        <v>0</v>
      </c>
      <c r="V69">
        <v>0</v>
      </c>
      <c r="W69">
        <v>0</v>
      </c>
      <c r="AE69" s="4"/>
      <c r="AN69" s="9">
        <v>1990</v>
      </c>
    </row>
    <row r="70" spans="1:61">
      <c r="A70">
        <v>1991</v>
      </c>
      <c r="C70" s="3"/>
      <c r="F70" s="3"/>
      <c r="I70" s="7"/>
      <c r="S70" s="27"/>
      <c r="T70">
        <f>USA!Z78*G70</f>
        <v>0</v>
      </c>
      <c r="U70">
        <v>0</v>
      </c>
      <c r="V70">
        <v>0</v>
      </c>
      <c r="W70">
        <v>0</v>
      </c>
      <c r="AE70" s="4"/>
      <c r="AN70" s="9">
        <v>1991</v>
      </c>
    </row>
    <row r="71" spans="1:61">
      <c r="A71">
        <v>1992</v>
      </c>
      <c r="C71" s="3"/>
      <c r="F71" s="3"/>
      <c r="I71" s="7"/>
      <c r="S71" s="27"/>
      <c r="T71">
        <f>USA!Z79*G71</f>
        <v>0</v>
      </c>
      <c r="U71">
        <v>0</v>
      </c>
      <c r="V71">
        <v>0</v>
      </c>
      <c r="W71">
        <v>0</v>
      </c>
      <c r="AE71" s="4"/>
      <c r="AN71" s="9">
        <v>1992</v>
      </c>
    </row>
    <row r="72" spans="1:61">
      <c r="A72">
        <v>1993</v>
      </c>
      <c r="C72" s="3"/>
      <c r="F72" s="3"/>
      <c r="I72" s="7"/>
      <c r="N72" s="4"/>
      <c r="O72" s="3"/>
      <c r="S72" s="27"/>
      <c r="T72">
        <f>USA!Z80*G72</f>
        <v>0</v>
      </c>
      <c r="U72">
        <v>0</v>
      </c>
      <c r="V72">
        <v>0</v>
      </c>
      <c r="W72">
        <v>0</v>
      </c>
      <c r="Z72" s="32"/>
      <c r="AE72" s="4"/>
      <c r="AN72" s="46" t="s">
        <v>2103</v>
      </c>
      <c r="AO72" s="46" t="s">
        <v>2083</v>
      </c>
      <c r="AP72" s="46" t="s">
        <v>2083</v>
      </c>
      <c r="AQ72" s="46" t="s">
        <v>2083</v>
      </c>
      <c r="AR72" s="46" t="s">
        <v>2083</v>
      </c>
      <c r="AS72" s="46" t="s">
        <v>2083</v>
      </c>
      <c r="AU72" s="139"/>
      <c r="AW72" s="46" t="s">
        <v>2110</v>
      </c>
      <c r="AX72" s="46" t="s">
        <v>2110</v>
      </c>
      <c r="AY72" s="46" t="s">
        <v>2110</v>
      </c>
      <c r="AZ72" s="46" t="s">
        <v>2110</v>
      </c>
      <c r="BA72" s="46" t="s">
        <v>2110</v>
      </c>
      <c r="BB72" s="46" t="s">
        <v>2111</v>
      </c>
      <c r="BC72" s="46" t="s">
        <v>2098</v>
      </c>
      <c r="BD72" s="46" t="s">
        <v>2098</v>
      </c>
      <c r="BE72" s="46" t="s">
        <v>2098</v>
      </c>
      <c r="BF72" s="46" t="s">
        <v>2098</v>
      </c>
      <c r="BG72" s="44"/>
      <c r="BH72" s="46" t="s">
        <v>2442</v>
      </c>
      <c r="BI72" s="46" t="s">
        <v>2442</v>
      </c>
    </row>
    <row r="73" spans="1:61">
      <c r="A73">
        <v>1994</v>
      </c>
      <c r="C73" s="3"/>
      <c r="F73" s="3"/>
      <c r="I73" s="7"/>
      <c r="N73" s="4"/>
      <c r="O73" s="3"/>
      <c r="S73" s="27"/>
      <c r="T73">
        <f>USA!Z81*G73</f>
        <v>0</v>
      </c>
      <c r="U73">
        <v>0</v>
      </c>
      <c r="V73">
        <v>0</v>
      </c>
      <c r="W73">
        <v>0</v>
      </c>
      <c r="Z73" s="32"/>
      <c r="AE73" s="4"/>
      <c r="AN73" s="46"/>
      <c r="AO73" s="46" t="s">
        <v>131</v>
      </c>
      <c r="AP73" s="46" t="s">
        <v>111</v>
      </c>
      <c r="AQ73" s="46" t="s">
        <v>112</v>
      </c>
      <c r="AR73" s="46" t="s">
        <v>67</v>
      </c>
      <c r="AS73" s="46" t="s">
        <v>133</v>
      </c>
      <c r="AU73" s="139" t="s">
        <v>237</v>
      </c>
      <c r="AW73" s="46" t="s">
        <v>131</v>
      </c>
      <c r="AX73" s="46" t="s">
        <v>2097</v>
      </c>
      <c r="AY73" s="46" t="s">
        <v>67</v>
      </c>
      <c r="AZ73" s="46" t="s">
        <v>133</v>
      </c>
      <c r="BA73" s="46" t="s">
        <v>2097</v>
      </c>
      <c r="BB73" s="46" t="s">
        <v>1943</v>
      </c>
      <c r="BC73" s="46">
        <v>9504</v>
      </c>
      <c r="BD73" s="46" t="s">
        <v>2108</v>
      </c>
      <c r="BE73" s="46" t="s">
        <v>2112</v>
      </c>
      <c r="BF73" s="46">
        <v>9516</v>
      </c>
      <c r="BG73" s="44"/>
      <c r="BH73" s="46" t="s">
        <v>131</v>
      </c>
      <c r="BI73" s="46" t="s">
        <v>2097</v>
      </c>
    </row>
    <row r="74" spans="1:61">
      <c r="A74">
        <v>1995</v>
      </c>
      <c r="B74" s="3">
        <f>I74/G74*100/C74*100</f>
        <v>38.640342885267465</v>
      </c>
      <c r="C74" s="3">
        <f>CPIs!AB34</f>
        <v>69.875156336395719</v>
      </c>
      <c r="F74" s="3">
        <v>0.27</v>
      </c>
      <c r="G74" s="3">
        <f>'Exchange Rates'!G34</f>
        <v>8.3510000000000009</v>
      </c>
      <c r="H74" s="3">
        <f t="shared" ref="H74:H96" si="0">F74*G74</f>
        <v>2.2547700000000002</v>
      </c>
      <c r="I74" s="7">
        <f>H74</f>
        <v>2.2547700000000002</v>
      </c>
      <c r="N74" s="3"/>
      <c r="O74" s="3"/>
      <c r="S74" s="27"/>
      <c r="T74" s="9">
        <f>USA!Z82*China!G74</f>
        <v>153.90893000000003</v>
      </c>
      <c r="U74">
        <v>0</v>
      </c>
      <c r="V74">
        <v>1</v>
      </c>
      <c r="W74">
        <v>0</v>
      </c>
      <c r="Z74" s="32">
        <v>0.2</v>
      </c>
      <c r="AA74" s="2">
        <v>0.17</v>
      </c>
      <c r="AB74" s="2">
        <f t="shared" ref="AB74:AB97" si="1">AA74*(I74*(1/(1+AA74)))</f>
        <v>0.32761615384615395</v>
      </c>
      <c r="AC74" s="2">
        <f t="shared" ref="AC74:AC97" si="2">Z74+AB74</f>
        <v>0.5276161538461539</v>
      </c>
      <c r="AE74" s="4"/>
      <c r="AN74" s="9">
        <v>1995</v>
      </c>
      <c r="AO74" s="3">
        <f t="shared" ref="AO74:AO96" si="3">I74</f>
        <v>2.2547700000000002</v>
      </c>
      <c r="AP74" s="3">
        <f>Z74</f>
        <v>0.2</v>
      </c>
      <c r="AQ74" s="3">
        <f>AB74</f>
        <v>0.32761615384615395</v>
      </c>
      <c r="AR74" s="3">
        <f>AC74</f>
        <v>0.5276161538461539</v>
      </c>
      <c r="AS74" s="3">
        <f t="shared" ref="AS74:AS96" si="4">AO74-AR74</f>
        <v>1.7271538461538463</v>
      </c>
      <c r="AU74" s="3">
        <f>CPIs!G34</f>
        <v>74.08</v>
      </c>
      <c r="AW74" s="3">
        <f t="shared" ref="AW74:AW96" si="5">AO74/$AU74*100</f>
        <v>3.0436960043196546</v>
      </c>
      <c r="AX74" s="3">
        <f t="shared" ref="AX74:AX96" si="6">BA74+AY74</f>
        <v>2.8389123043448148</v>
      </c>
      <c r="AY74" s="3">
        <f>AR74/$AU74*100</f>
        <v>0.71222482970593137</v>
      </c>
      <c r="AZ74" s="3">
        <f t="shared" ref="AZ74:AZ96" si="7">AW74-AY74</f>
        <v>2.3314711746137231</v>
      </c>
      <c r="BA74" s="3">
        <f t="shared" ref="BA74:BA97" si="8">AX$100+AX$101*BB74+AX$102*BC74+AX$103*BD74+AX$104*BE74+AX$105*BF74</f>
        <v>2.1266874746388833</v>
      </c>
      <c r="BB74" s="3">
        <f t="shared" ref="BB74:BB96" si="9">T74/AU74*100</f>
        <v>207.76043466522682</v>
      </c>
      <c r="BC74" s="3">
        <v>0</v>
      </c>
      <c r="BD74" s="3">
        <v>0</v>
      </c>
      <c r="BE74" s="3">
        <v>0</v>
      </c>
      <c r="BF74" s="24">
        <v>1</v>
      </c>
      <c r="BH74" s="3">
        <f t="shared" ref="BH74:BH96" si="10">AW74*$AU$97/$AU$89</f>
        <v>3.6972323229751622</v>
      </c>
      <c r="BI74" s="3">
        <f t="shared" ref="BI74:BI96" si="11">AX74*$AU$97/$AU$89</f>
        <v>3.4484778765091249</v>
      </c>
    </row>
    <row r="75" spans="1:61">
      <c r="A75">
        <v>1996</v>
      </c>
      <c r="B75" s="3">
        <f t="shared" ref="B75:B87" si="12">I75/G75*100/C75*100</f>
        <v>38.928270732614415</v>
      </c>
      <c r="C75" s="3">
        <f>CPIs!AB35</f>
        <v>71.92716109154415</v>
      </c>
      <c r="F75" s="3">
        <v>0.28000000000000003</v>
      </c>
      <c r="G75" s="3">
        <f>'Exchange Rates'!G35</f>
        <v>8.3141999999999996</v>
      </c>
      <c r="H75" s="3">
        <f t="shared" si="0"/>
        <v>2.327976</v>
      </c>
      <c r="I75" s="7">
        <f t="shared" ref="I75:I97" si="13">H75</f>
        <v>2.327976</v>
      </c>
      <c r="N75" s="3"/>
      <c r="O75" s="3"/>
      <c r="S75" s="27"/>
      <c r="T75" s="9">
        <f>USA!Z83*China!G75</f>
        <v>183.91010399999999</v>
      </c>
      <c r="U75">
        <v>0</v>
      </c>
      <c r="V75">
        <v>1</v>
      </c>
      <c r="W75">
        <v>0</v>
      </c>
      <c r="Z75" s="32">
        <v>0.2</v>
      </c>
      <c r="AA75" s="2">
        <v>0.17</v>
      </c>
      <c r="AB75" s="2">
        <f t="shared" si="1"/>
        <v>0.33825292307692312</v>
      </c>
      <c r="AC75" s="2">
        <f t="shared" si="2"/>
        <v>0.53825292307692307</v>
      </c>
      <c r="AE75" s="4"/>
      <c r="AN75" s="9">
        <v>1996</v>
      </c>
      <c r="AO75" s="3">
        <f t="shared" si="3"/>
        <v>2.327976</v>
      </c>
      <c r="AP75" s="3">
        <f t="shared" ref="AP75:AP96" si="14">Z75</f>
        <v>0.2</v>
      </c>
      <c r="AQ75" s="3">
        <f t="shared" ref="AQ75:AQ96" si="15">AB75</f>
        <v>0.33825292307692312</v>
      </c>
      <c r="AR75" s="3">
        <f t="shared" ref="AR75:AR96" si="16">AC75</f>
        <v>0.53825292307692307</v>
      </c>
      <c r="AS75" s="3">
        <f t="shared" si="4"/>
        <v>1.789723076923077</v>
      </c>
      <c r="AU75" s="3">
        <f>CPIs!G35</f>
        <v>80.239999999999995</v>
      </c>
      <c r="AW75" s="3">
        <f t="shared" si="5"/>
        <v>2.9012662013958126</v>
      </c>
      <c r="AX75" s="3">
        <f t="shared" si="6"/>
        <v>2.9414491155014821</v>
      </c>
      <c r="AY75" s="3">
        <f t="shared" ref="AY75:AY96" si="17">AR75/$AU75*100</f>
        <v>0.670803742618299</v>
      </c>
      <c r="AZ75" s="3">
        <f t="shared" si="7"/>
        <v>2.2304624587775135</v>
      </c>
      <c r="BA75" s="3">
        <f t="shared" si="8"/>
        <v>2.270645372883183</v>
      </c>
      <c r="BB75" s="3">
        <f t="shared" si="9"/>
        <v>229.20002991026917</v>
      </c>
      <c r="BC75" s="3">
        <v>0</v>
      </c>
      <c r="BD75" s="3">
        <v>0</v>
      </c>
      <c r="BE75" s="3">
        <v>0</v>
      </c>
      <c r="BF75" s="24">
        <v>1</v>
      </c>
      <c r="BH75" s="3">
        <f t="shared" si="10"/>
        <v>3.5242202776271188</v>
      </c>
      <c r="BI75" s="3">
        <f t="shared" si="11"/>
        <v>3.5730311866837292</v>
      </c>
    </row>
    <row r="76" spans="1:61">
      <c r="A76">
        <v>1997</v>
      </c>
      <c r="B76" s="3">
        <f t="shared" si="12"/>
        <v>38.039082178269268</v>
      </c>
      <c r="C76" s="3">
        <f>CPIs!AB36</f>
        <v>73.608505769878093</v>
      </c>
      <c r="F76" s="3">
        <v>0.28000000000000003</v>
      </c>
      <c r="G76" s="3">
        <f>'Exchange Rates'!G36</f>
        <v>8.2897999999999996</v>
      </c>
      <c r="H76" s="3">
        <f t="shared" si="0"/>
        <v>2.3211440000000003</v>
      </c>
      <c r="I76" s="7">
        <f t="shared" si="13"/>
        <v>2.3211440000000003</v>
      </c>
      <c r="N76" s="3"/>
      <c r="O76" s="3"/>
      <c r="S76" s="27"/>
      <c r="T76" s="9">
        <f>USA!Z84*China!G76</f>
        <v>170.852778</v>
      </c>
      <c r="U76">
        <v>0</v>
      </c>
      <c r="V76">
        <v>1</v>
      </c>
      <c r="W76">
        <v>0</v>
      </c>
      <c r="Z76" s="32">
        <v>0.2</v>
      </c>
      <c r="AA76" s="2">
        <v>0.17</v>
      </c>
      <c r="AB76" s="2">
        <f t="shared" si="1"/>
        <v>0.33726023931623944</v>
      </c>
      <c r="AC76" s="2">
        <f t="shared" si="2"/>
        <v>0.53726023931623945</v>
      </c>
      <c r="AE76" s="4"/>
      <c r="AN76" s="9">
        <v>1997</v>
      </c>
      <c r="AO76" s="3">
        <f t="shared" si="3"/>
        <v>2.3211440000000003</v>
      </c>
      <c r="AP76" s="3">
        <f t="shared" si="14"/>
        <v>0.2</v>
      </c>
      <c r="AQ76" s="3">
        <f t="shared" si="15"/>
        <v>0.33726023931623944</v>
      </c>
      <c r="AR76" s="3">
        <f t="shared" si="16"/>
        <v>0.53726023931623945</v>
      </c>
      <c r="AS76" s="3">
        <f t="shared" si="4"/>
        <v>1.7838837606837608</v>
      </c>
      <c r="AU76" s="3">
        <f>CPIs!G36</f>
        <v>82.47</v>
      </c>
      <c r="AW76" s="3">
        <f t="shared" si="5"/>
        <v>2.8145313447314182</v>
      </c>
      <c r="AX76" s="3">
        <f t="shared" si="6"/>
        <v>2.7741817673078319</v>
      </c>
      <c r="AY76" s="3">
        <f t="shared" si="17"/>
        <v>0.6514614275691033</v>
      </c>
      <c r="AZ76" s="3">
        <f t="shared" si="7"/>
        <v>2.1630699171623151</v>
      </c>
      <c r="BA76" s="3">
        <f t="shared" si="8"/>
        <v>2.1227203397387289</v>
      </c>
      <c r="BB76" s="3">
        <f t="shared" si="9"/>
        <v>207.16961076755186</v>
      </c>
      <c r="BC76" s="3">
        <v>0</v>
      </c>
      <c r="BD76" s="3">
        <v>0</v>
      </c>
      <c r="BE76" s="3">
        <v>0</v>
      </c>
      <c r="BF76" s="24">
        <v>1</v>
      </c>
      <c r="BH76" s="3">
        <f t="shared" si="10"/>
        <v>3.4188618860094588</v>
      </c>
      <c r="BI76" s="3">
        <f t="shared" si="11"/>
        <v>3.3698485280206354</v>
      </c>
    </row>
    <row r="77" spans="1:61">
      <c r="A77">
        <v>1998</v>
      </c>
      <c r="B77" s="3">
        <f t="shared" si="12"/>
        <v>37.459579776085121</v>
      </c>
      <c r="C77" s="3">
        <f>CPIs!AB37</f>
        <v>74.74723466565878</v>
      </c>
      <c r="F77" s="3">
        <v>0.28000000000000003</v>
      </c>
      <c r="G77" s="3">
        <f>'Exchange Rates'!G37</f>
        <v>8.2790999999999997</v>
      </c>
      <c r="H77" s="3">
        <f t="shared" si="0"/>
        <v>2.3181480000000003</v>
      </c>
      <c r="I77" s="7">
        <f t="shared" si="13"/>
        <v>2.3181480000000003</v>
      </c>
      <c r="N77" s="3"/>
      <c r="O77" s="3"/>
      <c r="S77" s="27"/>
      <c r="T77" s="9">
        <f>USA!Z85*China!G77</f>
        <v>119.38462199999999</v>
      </c>
      <c r="U77">
        <v>0</v>
      </c>
      <c r="V77">
        <v>1</v>
      </c>
      <c r="W77">
        <v>0</v>
      </c>
      <c r="Z77" s="32">
        <v>0.2</v>
      </c>
      <c r="AA77" s="2">
        <v>0.17</v>
      </c>
      <c r="AB77" s="2">
        <f t="shared" si="1"/>
        <v>0.33682492307692319</v>
      </c>
      <c r="AC77" s="2">
        <f t="shared" si="2"/>
        <v>0.5368249230769232</v>
      </c>
      <c r="AE77" s="4"/>
      <c r="AN77" s="9">
        <v>1998</v>
      </c>
      <c r="AO77" s="3">
        <f t="shared" si="3"/>
        <v>2.3181480000000003</v>
      </c>
      <c r="AP77" s="3">
        <f t="shared" si="14"/>
        <v>0.2</v>
      </c>
      <c r="AQ77" s="3">
        <f t="shared" si="15"/>
        <v>0.33682492307692319</v>
      </c>
      <c r="AR77" s="3">
        <f t="shared" si="16"/>
        <v>0.5368249230769232</v>
      </c>
      <c r="AS77" s="3">
        <f t="shared" si="4"/>
        <v>1.7813230769230772</v>
      </c>
      <c r="AU77" s="3">
        <f>CPIs!G37</f>
        <v>81.84</v>
      </c>
      <c r="AW77" s="3">
        <f t="shared" si="5"/>
        <v>2.8325366568914956</v>
      </c>
      <c r="AX77" s="3">
        <f t="shared" si="6"/>
        <v>3.0652962294040491</v>
      </c>
      <c r="AY77" s="3">
        <f t="shared" si="17"/>
        <v>0.655944431912174</v>
      </c>
      <c r="AZ77" s="3">
        <f t="shared" si="7"/>
        <v>2.1765922249793217</v>
      </c>
      <c r="BA77" s="3">
        <f t="shared" si="8"/>
        <v>2.4093517974918752</v>
      </c>
      <c r="BB77" s="3">
        <f t="shared" si="9"/>
        <v>145.87563782991202</v>
      </c>
      <c r="BC77" s="24">
        <v>1</v>
      </c>
      <c r="BD77" s="3">
        <v>0</v>
      </c>
      <c r="BE77" s="3">
        <v>0</v>
      </c>
      <c r="BF77" s="24">
        <v>1</v>
      </c>
      <c r="BH77" s="3">
        <f t="shared" si="10"/>
        <v>3.440733262785924</v>
      </c>
      <c r="BI77" s="3">
        <f t="shared" si="11"/>
        <v>3.7234705051892281</v>
      </c>
    </row>
    <row r="78" spans="1:61">
      <c r="A78">
        <v>1999</v>
      </c>
      <c r="B78" s="3">
        <f t="shared" si="12"/>
        <v>39.273931965983053</v>
      </c>
      <c r="C78" s="3">
        <f>CPIs!AB38</f>
        <v>76.386545727034331</v>
      </c>
      <c r="F78" s="3">
        <v>0.3</v>
      </c>
      <c r="G78" s="3">
        <f>'Exchange Rates'!G38</f>
        <v>8.2782999999999998</v>
      </c>
      <c r="H78" s="3">
        <f t="shared" si="0"/>
        <v>2.4834899999999998</v>
      </c>
      <c r="I78" s="7">
        <f t="shared" si="13"/>
        <v>2.4834899999999998</v>
      </c>
      <c r="N78" s="3"/>
      <c r="O78" s="3"/>
      <c r="S78" s="27"/>
      <c r="T78" s="9">
        <f>USA!Z86*China!G78</f>
        <v>144.70468399999999</v>
      </c>
      <c r="U78">
        <v>0</v>
      </c>
      <c r="V78">
        <v>0</v>
      </c>
      <c r="W78">
        <v>0</v>
      </c>
      <c r="Z78" s="32">
        <v>0.2</v>
      </c>
      <c r="AA78" s="2">
        <v>0.17</v>
      </c>
      <c r="AB78" s="2">
        <f t="shared" si="1"/>
        <v>0.36084897435897434</v>
      </c>
      <c r="AC78" s="2">
        <f t="shared" si="2"/>
        <v>0.56084897435897441</v>
      </c>
      <c r="AE78" s="4"/>
      <c r="AL78" t="s">
        <v>174</v>
      </c>
      <c r="AN78" s="9">
        <v>1999</v>
      </c>
      <c r="AO78" s="3">
        <f t="shared" si="3"/>
        <v>2.4834899999999998</v>
      </c>
      <c r="AP78" s="3">
        <f t="shared" si="14"/>
        <v>0.2</v>
      </c>
      <c r="AQ78" s="3">
        <f t="shared" si="15"/>
        <v>0.36084897435897434</v>
      </c>
      <c r="AR78" s="3">
        <f t="shared" si="16"/>
        <v>0.56084897435897441</v>
      </c>
      <c r="AS78" s="3">
        <f t="shared" si="4"/>
        <v>1.9226410256410253</v>
      </c>
      <c r="AU78" s="3">
        <f>CPIs!G38</f>
        <v>80.69</v>
      </c>
      <c r="AW78" s="3">
        <f t="shared" si="5"/>
        <v>3.0778163341182303</v>
      </c>
      <c r="AX78" s="3">
        <f t="shared" si="6"/>
        <v>3.3290776114997951</v>
      </c>
      <c r="AY78" s="3">
        <f t="shared" si="17"/>
        <v>0.69506627135825305</v>
      </c>
      <c r="AZ78" s="3">
        <f t="shared" si="7"/>
        <v>2.3827500627599774</v>
      </c>
      <c r="BA78" s="3">
        <f t="shared" si="8"/>
        <v>2.6340113401415421</v>
      </c>
      <c r="BB78" s="3">
        <f t="shared" si="9"/>
        <v>179.33409840128886</v>
      </c>
      <c r="BC78" s="24">
        <v>1</v>
      </c>
      <c r="BD78" s="3">
        <v>0</v>
      </c>
      <c r="BE78" s="3">
        <v>0</v>
      </c>
      <c r="BF78" s="24">
        <v>1</v>
      </c>
      <c r="BH78" s="3">
        <f t="shared" si="10"/>
        <v>3.7386789017474285</v>
      </c>
      <c r="BI78" s="3">
        <f t="shared" si="11"/>
        <v>4.0438904980858084</v>
      </c>
    </row>
    <row r="79" spans="1:61">
      <c r="A79">
        <v>2000</v>
      </c>
      <c r="B79" s="3">
        <f t="shared" si="12"/>
        <v>50.659691235541885</v>
      </c>
      <c r="C79" s="3">
        <f>CPIs!AB39</f>
        <v>78.958238837304165</v>
      </c>
      <c r="F79" s="2">
        <v>0.4</v>
      </c>
      <c r="G79" s="3">
        <f>'Exchange Rates'!G39</f>
        <v>8.2783999999999995</v>
      </c>
      <c r="H79" s="3">
        <f t="shared" si="0"/>
        <v>3.3113600000000001</v>
      </c>
      <c r="I79" s="7">
        <f t="shared" si="13"/>
        <v>3.3113600000000001</v>
      </c>
      <c r="N79" s="3"/>
      <c r="O79" s="3"/>
      <c r="S79" s="27"/>
      <c r="T79" s="9">
        <f>USA!Z87*China!G79</f>
        <v>228.48383999999999</v>
      </c>
      <c r="U79">
        <v>0</v>
      </c>
      <c r="V79">
        <v>0</v>
      </c>
      <c r="W79">
        <v>0</v>
      </c>
      <c r="Z79" s="32">
        <v>0.2</v>
      </c>
      <c r="AA79" s="2">
        <v>0.17</v>
      </c>
      <c r="AB79" s="2">
        <f t="shared" si="1"/>
        <v>0.48113777777777783</v>
      </c>
      <c r="AC79" s="2">
        <f t="shared" si="2"/>
        <v>0.68113777777777784</v>
      </c>
      <c r="AN79" s="9">
        <v>2000</v>
      </c>
      <c r="AO79" s="3">
        <f t="shared" si="3"/>
        <v>3.3113600000000001</v>
      </c>
      <c r="AP79" s="3">
        <f t="shared" si="14"/>
        <v>0.2</v>
      </c>
      <c r="AQ79" s="3">
        <f t="shared" si="15"/>
        <v>0.48113777777777783</v>
      </c>
      <c r="AR79" s="3">
        <f t="shared" si="16"/>
        <v>0.68113777777777784</v>
      </c>
      <c r="AS79" s="3">
        <f t="shared" si="4"/>
        <v>2.6302222222222222</v>
      </c>
      <c r="AU79" s="3">
        <f>CPIs!G39</f>
        <v>80.97</v>
      </c>
      <c r="AW79" s="3">
        <f t="shared" si="5"/>
        <v>4.0896134370754602</v>
      </c>
      <c r="AX79" s="3">
        <f t="shared" si="6"/>
        <v>4.1658232149823586</v>
      </c>
      <c r="AY79" s="3">
        <f t="shared" si="17"/>
        <v>0.84122240061476827</v>
      </c>
      <c r="AZ79" s="3">
        <f t="shared" si="7"/>
        <v>3.248391036460692</v>
      </c>
      <c r="BA79" s="3">
        <f t="shared" si="8"/>
        <v>3.32460081436759</v>
      </c>
      <c r="BB79" s="3">
        <f t="shared" si="9"/>
        <v>282.18332715820674</v>
      </c>
      <c r="BC79" s="24">
        <v>1</v>
      </c>
      <c r="BD79" s="3">
        <v>0</v>
      </c>
      <c r="BE79" s="3">
        <v>0</v>
      </c>
      <c r="BF79" s="24">
        <v>1</v>
      </c>
      <c r="BH79" s="3">
        <f t="shared" si="10"/>
        <v>4.9677270550574288</v>
      </c>
      <c r="BI79" s="3">
        <f t="shared" si="11"/>
        <v>5.0603004440569403</v>
      </c>
    </row>
    <row r="80" spans="1:61">
      <c r="A80">
        <v>2001</v>
      </c>
      <c r="B80" s="3">
        <f t="shared" si="12"/>
        <v>49.271885149447023</v>
      </c>
      <c r="C80" s="3">
        <f>CPIs!AB40</f>
        <v>81.182199298191293</v>
      </c>
      <c r="F80" s="2">
        <v>0.4</v>
      </c>
      <c r="G80" s="3">
        <f>'Exchange Rates'!G40</f>
        <v>8.277000000000001</v>
      </c>
      <c r="H80" s="3">
        <f t="shared" si="0"/>
        <v>3.3108000000000004</v>
      </c>
      <c r="I80" s="7">
        <f t="shared" si="13"/>
        <v>3.3108000000000004</v>
      </c>
      <c r="N80" s="3"/>
      <c r="O80" s="3"/>
      <c r="S80" s="27"/>
      <c r="T80" s="9">
        <f>USA!Z88*China!G80</f>
        <v>191.36424000000002</v>
      </c>
      <c r="U80">
        <v>0</v>
      </c>
      <c r="V80">
        <v>0</v>
      </c>
      <c r="W80">
        <v>0</v>
      </c>
      <c r="Z80" s="32">
        <v>0.2</v>
      </c>
      <c r="AA80" s="2">
        <v>0.17</v>
      </c>
      <c r="AB80" s="2">
        <f t="shared" si="1"/>
        <v>0.48105641025641044</v>
      </c>
      <c r="AC80" s="2">
        <f t="shared" si="2"/>
        <v>0.6810564102564105</v>
      </c>
      <c r="AN80" s="9">
        <v>2001</v>
      </c>
      <c r="AO80" s="3">
        <f t="shared" si="3"/>
        <v>3.3108000000000004</v>
      </c>
      <c r="AP80" s="3">
        <f t="shared" si="14"/>
        <v>0.2</v>
      </c>
      <c r="AQ80" s="3">
        <f t="shared" si="15"/>
        <v>0.48105641025641044</v>
      </c>
      <c r="AR80" s="3">
        <f t="shared" si="16"/>
        <v>0.6810564102564105</v>
      </c>
      <c r="AS80" s="3">
        <f t="shared" si="4"/>
        <v>2.6297435897435899</v>
      </c>
      <c r="AU80" s="3">
        <f>CPIs!G40</f>
        <v>81.55</v>
      </c>
      <c r="AW80" s="3">
        <f t="shared" si="5"/>
        <v>4.0598405885959536</v>
      </c>
      <c r="AX80" s="3">
        <f t="shared" si="6"/>
        <v>3.8406331163138172</v>
      </c>
      <c r="AY80" s="3">
        <f t="shared" si="17"/>
        <v>0.83513968149161322</v>
      </c>
      <c r="AZ80" s="3">
        <f t="shared" si="7"/>
        <v>3.2247009071043404</v>
      </c>
      <c r="BA80" s="3">
        <f t="shared" si="8"/>
        <v>3.005493434822204</v>
      </c>
      <c r="BB80" s="3">
        <f t="shared" si="9"/>
        <v>234.65878602084612</v>
      </c>
      <c r="BC80" s="24">
        <v>1</v>
      </c>
      <c r="BD80" s="3">
        <v>0</v>
      </c>
      <c r="BE80" s="3">
        <v>0</v>
      </c>
      <c r="BF80" s="24">
        <v>1</v>
      </c>
      <c r="BH80" s="3">
        <f t="shared" si="10"/>
        <v>4.9315614400980996</v>
      </c>
      <c r="BI80" s="3">
        <f t="shared" si="11"/>
        <v>4.6652861777824874</v>
      </c>
    </row>
    <row r="81" spans="1:61">
      <c r="A81">
        <v>2002</v>
      </c>
      <c r="B81" s="3">
        <f t="shared" si="12"/>
        <v>50.922917902149813</v>
      </c>
      <c r="C81" s="3">
        <f>CPIs!AB41</f>
        <v>82.477598948089508</v>
      </c>
      <c r="F81" s="2">
        <v>0.42</v>
      </c>
      <c r="G81" s="3">
        <f>'Exchange Rates'!G41</f>
        <v>8.277000000000001</v>
      </c>
      <c r="H81" s="3">
        <f t="shared" si="0"/>
        <v>3.4763400000000004</v>
      </c>
      <c r="I81" s="7">
        <f t="shared" si="13"/>
        <v>3.4763400000000004</v>
      </c>
      <c r="N81" s="3"/>
      <c r="O81" s="3"/>
      <c r="S81" s="27"/>
      <c r="T81" s="9">
        <f>USA!Z89*China!G81</f>
        <v>201.62772000000001</v>
      </c>
      <c r="U81">
        <v>0</v>
      </c>
      <c r="V81">
        <v>0</v>
      </c>
      <c r="W81">
        <v>0</v>
      </c>
      <c r="Z81" s="32">
        <v>0.2</v>
      </c>
      <c r="AA81" s="2">
        <v>0.17</v>
      </c>
      <c r="AB81" s="2">
        <f t="shared" si="1"/>
        <v>0.50510923076923098</v>
      </c>
      <c r="AC81" s="2">
        <f t="shared" si="2"/>
        <v>0.70510923076923104</v>
      </c>
      <c r="AN81" s="9">
        <v>2002</v>
      </c>
      <c r="AO81" s="3">
        <f t="shared" si="3"/>
        <v>3.4763400000000004</v>
      </c>
      <c r="AP81" s="3">
        <f t="shared" si="14"/>
        <v>0.2</v>
      </c>
      <c r="AQ81" s="3">
        <f t="shared" si="15"/>
        <v>0.50510923076923098</v>
      </c>
      <c r="AR81" s="3">
        <f t="shared" si="16"/>
        <v>0.70510923076923104</v>
      </c>
      <c r="AS81" s="3">
        <f t="shared" si="4"/>
        <v>2.7712307692307694</v>
      </c>
      <c r="AU81" s="3">
        <f>CPIs!G41</f>
        <v>80.959999999999994</v>
      </c>
      <c r="AW81" s="3">
        <f t="shared" si="5"/>
        <v>4.2938982213438743</v>
      </c>
      <c r="AX81" s="3">
        <f t="shared" si="6"/>
        <v>3.9730335129344736</v>
      </c>
      <c r="AY81" s="3">
        <f t="shared" si="17"/>
        <v>0.87093531468531504</v>
      </c>
      <c r="AZ81" s="3">
        <f t="shared" si="7"/>
        <v>3.4229629066585594</v>
      </c>
      <c r="BA81" s="3">
        <f t="shared" si="8"/>
        <v>3.1020981982491587</v>
      </c>
      <c r="BB81" s="3">
        <f t="shared" si="9"/>
        <v>249.0460968379447</v>
      </c>
      <c r="BC81" s="24">
        <v>1</v>
      </c>
      <c r="BD81" s="3">
        <v>0</v>
      </c>
      <c r="BE81" s="3">
        <v>0</v>
      </c>
      <c r="BF81" s="24">
        <v>1</v>
      </c>
      <c r="BH81" s="3">
        <f t="shared" si="10"/>
        <v>5.2158754596343888</v>
      </c>
      <c r="BI81" s="3">
        <f t="shared" si="11"/>
        <v>4.8261153227647382</v>
      </c>
    </row>
    <row r="82" spans="1:61">
      <c r="A82">
        <v>2003</v>
      </c>
      <c r="B82" s="3">
        <f t="shared" si="12"/>
        <v>49.778997282608763</v>
      </c>
      <c r="C82" s="3">
        <f>CPIs!AB42</f>
        <v>84.372932949120482</v>
      </c>
      <c r="F82" s="2">
        <v>0.42</v>
      </c>
      <c r="G82" s="3">
        <f>'Exchange Rates'!G42</f>
        <v>8.277000000000001</v>
      </c>
      <c r="H82" s="3">
        <f t="shared" si="0"/>
        <v>3.4763400000000004</v>
      </c>
      <c r="I82" s="7">
        <f t="shared" si="13"/>
        <v>3.4763400000000004</v>
      </c>
      <c r="N82" s="3"/>
      <c r="O82" s="3"/>
      <c r="S82" s="27"/>
      <c r="T82" s="9">
        <f>USA!Z90*China!G82</f>
        <v>232.58370000000005</v>
      </c>
      <c r="U82">
        <v>0</v>
      </c>
      <c r="V82">
        <v>0</v>
      </c>
      <c r="W82">
        <v>0</v>
      </c>
      <c r="Z82" s="32">
        <v>0.2</v>
      </c>
      <c r="AA82" s="2">
        <v>0.17</v>
      </c>
      <c r="AB82" s="2">
        <f t="shared" si="1"/>
        <v>0.50510923076923098</v>
      </c>
      <c r="AC82" s="2">
        <f t="shared" si="2"/>
        <v>0.70510923076923104</v>
      </c>
      <c r="AN82" s="9">
        <v>2003</v>
      </c>
      <c r="AO82" s="3">
        <f t="shared" si="3"/>
        <v>3.4763400000000004</v>
      </c>
      <c r="AP82" s="3">
        <f t="shared" si="14"/>
        <v>0.2</v>
      </c>
      <c r="AQ82" s="3">
        <f t="shared" si="15"/>
        <v>0.50510923076923098</v>
      </c>
      <c r="AR82" s="3">
        <f t="shared" si="16"/>
        <v>0.70510923076923104</v>
      </c>
      <c r="AS82" s="3">
        <f t="shared" si="4"/>
        <v>2.7712307692307694</v>
      </c>
      <c r="AU82" s="3">
        <f>CPIs!G42</f>
        <v>81.87</v>
      </c>
      <c r="AW82" s="3">
        <f t="shared" si="5"/>
        <v>4.2461707585196047</v>
      </c>
      <c r="AX82" s="3">
        <f t="shared" si="6"/>
        <v>4.1986516113849914</v>
      </c>
      <c r="AY82" s="3">
        <f t="shared" si="17"/>
        <v>0.86125470962407602</v>
      </c>
      <c r="AZ82" s="3">
        <f t="shared" si="7"/>
        <v>3.3849160488955286</v>
      </c>
      <c r="BA82" s="3">
        <f t="shared" si="8"/>
        <v>3.3373969017609153</v>
      </c>
      <c r="BB82" s="3">
        <f t="shared" si="9"/>
        <v>284.08904360571643</v>
      </c>
      <c r="BC82" s="24">
        <v>1</v>
      </c>
      <c r="BD82" s="3">
        <v>0</v>
      </c>
      <c r="BE82" s="3">
        <v>0</v>
      </c>
      <c r="BF82" s="24">
        <v>1</v>
      </c>
      <c r="BH82" s="3">
        <f t="shared" si="10"/>
        <v>5.1579000514474167</v>
      </c>
      <c r="BI82" s="3">
        <f t="shared" si="11"/>
        <v>5.1001776880783538</v>
      </c>
    </row>
    <row r="83" spans="1:61">
      <c r="A83">
        <v>2004</v>
      </c>
      <c r="B83" s="3">
        <f t="shared" si="12"/>
        <v>55.412124046054167</v>
      </c>
      <c r="C83" s="3">
        <f>CPIs!AB43</f>
        <v>86.623642075344748</v>
      </c>
      <c r="F83" s="2">
        <v>0.48</v>
      </c>
      <c r="G83" s="3">
        <f>'Exchange Rates'!G43</f>
        <v>8.2767999999999997</v>
      </c>
      <c r="H83" s="3">
        <f t="shared" si="0"/>
        <v>3.9728639999999995</v>
      </c>
      <c r="I83" s="7">
        <f t="shared" si="13"/>
        <v>3.9728639999999995</v>
      </c>
      <c r="N83" s="3"/>
      <c r="O83" s="3"/>
      <c r="S83" s="27"/>
      <c r="T83" s="9">
        <f>USA!Z91*China!G83</f>
        <v>298.37863999999996</v>
      </c>
      <c r="U83">
        <v>0</v>
      </c>
      <c r="V83">
        <v>0</v>
      </c>
      <c r="W83">
        <v>0</v>
      </c>
      <c r="Z83" s="32">
        <v>0.2</v>
      </c>
      <c r="AA83" s="2">
        <v>0.17</v>
      </c>
      <c r="AB83" s="2">
        <f t="shared" si="1"/>
        <v>0.57725374358974357</v>
      </c>
      <c r="AC83" s="2">
        <f t="shared" si="2"/>
        <v>0.77725374358974353</v>
      </c>
      <c r="AN83" s="9">
        <v>2004</v>
      </c>
      <c r="AO83" s="3">
        <f t="shared" si="3"/>
        <v>3.9728639999999995</v>
      </c>
      <c r="AP83" s="3">
        <f t="shared" si="14"/>
        <v>0.2</v>
      </c>
      <c r="AQ83" s="3">
        <f t="shared" si="15"/>
        <v>0.57725374358974357</v>
      </c>
      <c r="AR83" s="3">
        <f t="shared" si="16"/>
        <v>0.77725374358974353</v>
      </c>
      <c r="AS83" s="3">
        <f t="shared" si="4"/>
        <v>3.195610256410256</v>
      </c>
      <c r="AU83" s="3">
        <f>CPIs!G43</f>
        <v>85</v>
      </c>
      <c r="AW83" s="3">
        <f t="shared" si="5"/>
        <v>4.6739576470588222</v>
      </c>
      <c r="AX83" s="3">
        <f t="shared" si="6"/>
        <v>4.7013183470839532</v>
      </c>
      <c r="AY83" s="3">
        <f t="shared" si="17"/>
        <v>0.91441616892910993</v>
      </c>
      <c r="AZ83" s="3">
        <f t="shared" si="7"/>
        <v>3.7595414781297123</v>
      </c>
      <c r="BA83" s="3">
        <f t="shared" si="8"/>
        <v>3.7869021781548438</v>
      </c>
      <c r="BB83" s="3">
        <f t="shared" si="9"/>
        <v>351.03369411764703</v>
      </c>
      <c r="BC83" s="24">
        <v>1</v>
      </c>
      <c r="BD83" s="3">
        <v>0</v>
      </c>
      <c r="BE83" s="3">
        <v>0</v>
      </c>
      <c r="BF83" s="24">
        <v>1</v>
      </c>
      <c r="BH83" s="3">
        <f t="shared" si="10"/>
        <v>5.677540485119998</v>
      </c>
      <c r="BI83" s="3">
        <f t="shared" si="11"/>
        <v>5.7107760199331254</v>
      </c>
    </row>
    <row r="84" spans="1:61">
      <c r="A84">
        <v>2005</v>
      </c>
      <c r="B84" s="3">
        <f t="shared" si="12"/>
        <v>55.841434790030789</v>
      </c>
      <c r="C84" s="3">
        <f>CPIs!AB44</f>
        <v>89.539246597092017</v>
      </c>
      <c r="F84" s="2">
        <v>0.5</v>
      </c>
      <c r="G84" s="3">
        <f>'Exchange Rates'!G44</f>
        <v>8.1916999999999991</v>
      </c>
      <c r="H84" s="3">
        <f t="shared" si="0"/>
        <v>4.0958499999999995</v>
      </c>
      <c r="I84" s="7">
        <f t="shared" si="13"/>
        <v>4.0958499999999995</v>
      </c>
      <c r="N84" s="3"/>
      <c r="O84" s="3"/>
      <c r="S84" s="27"/>
      <c r="T84" s="9">
        <f>USA!Z92*China!G84</f>
        <v>414.82768799999997</v>
      </c>
      <c r="U84">
        <v>0</v>
      </c>
      <c r="V84">
        <v>0</v>
      </c>
      <c r="W84">
        <v>0</v>
      </c>
      <c r="Z84" s="32">
        <v>0.2</v>
      </c>
      <c r="AA84" s="2">
        <v>0.17</v>
      </c>
      <c r="AB84" s="2">
        <f t="shared" si="1"/>
        <v>0.59512350427350436</v>
      </c>
      <c r="AC84" s="2">
        <f t="shared" si="2"/>
        <v>0.79512350427350431</v>
      </c>
      <c r="AN84" s="9">
        <v>2005</v>
      </c>
      <c r="AO84" s="3">
        <f t="shared" si="3"/>
        <v>4.0958499999999995</v>
      </c>
      <c r="AP84" s="3">
        <f t="shared" si="14"/>
        <v>0.2</v>
      </c>
      <c r="AQ84" s="3">
        <f t="shared" si="15"/>
        <v>0.59512350427350436</v>
      </c>
      <c r="AR84" s="3">
        <f t="shared" si="16"/>
        <v>0.79512350427350431</v>
      </c>
      <c r="AS84" s="3">
        <f t="shared" si="4"/>
        <v>3.3007264957264955</v>
      </c>
      <c r="AU84" s="3">
        <f>CPIs!G44</f>
        <v>86.51</v>
      </c>
      <c r="AW84" s="3">
        <f t="shared" si="5"/>
        <v>4.7345393596116043</v>
      </c>
      <c r="AX84" s="3">
        <f t="shared" si="6"/>
        <v>4.8705114440126716</v>
      </c>
      <c r="AY84" s="3">
        <f t="shared" si="17"/>
        <v>0.91911166833141167</v>
      </c>
      <c r="AZ84" s="3">
        <f t="shared" si="7"/>
        <v>3.8154276912801928</v>
      </c>
      <c r="BA84" s="3">
        <f t="shared" si="8"/>
        <v>3.9513997756812596</v>
      </c>
      <c r="BB84" s="3">
        <f t="shared" si="9"/>
        <v>479.5141463414634</v>
      </c>
      <c r="BC84" s="3">
        <v>0</v>
      </c>
      <c r="BD84" s="3">
        <v>0</v>
      </c>
      <c r="BE84" s="3">
        <v>0</v>
      </c>
      <c r="BF84" s="24">
        <v>1</v>
      </c>
      <c r="BH84" s="3">
        <f t="shared" si="10"/>
        <v>5.7511301818286888</v>
      </c>
      <c r="BI84" s="3">
        <f t="shared" si="11"/>
        <v>5.9162979202481845</v>
      </c>
    </row>
    <row r="85" spans="1:61">
      <c r="A85">
        <v>2006</v>
      </c>
      <c r="B85" s="3">
        <f t="shared" si="12"/>
        <v>74.655706371191215</v>
      </c>
      <c r="C85" s="3">
        <f>CPIs!AB45</f>
        <v>92.424281215596821</v>
      </c>
      <c r="F85" s="2">
        <v>0.69</v>
      </c>
      <c r="G85" s="3">
        <f>'Exchange Rates'!G45</f>
        <v>7.9717999999999991</v>
      </c>
      <c r="H85" s="3">
        <f t="shared" si="0"/>
        <v>5.5005419999999994</v>
      </c>
      <c r="I85" s="7">
        <f t="shared" si="13"/>
        <v>5.5005419999999994</v>
      </c>
      <c r="N85" s="3"/>
      <c r="O85" s="3"/>
      <c r="S85" s="27"/>
      <c r="T85" s="9">
        <f>USA!Z93*China!G85</f>
        <v>486.91754399999991</v>
      </c>
      <c r="U85">
        <v>0</v>
      </c>
      <c r="V85">
        <v>0</v>
      </c>
      <c r="W85">
        <v>0</v>
      </c>
      <c r="Z85" s="32">
        <v>0.2</v>
      </c>
      <c r="AA85" s="2">
        <v>0.17</v>
      </c>
      <c r="AB85" s="2">
        <f t="shared" si="1"/>
        <v>0.79922405128205121</v>
      </c>
      <c r="AC85" s="2">
        <f t="shared" si="2"/>
        <v>0.99922405128205116</v>
      </c>
      <c r="AN85" s="9">
        <v>2006</v>
      </c>
      <c r="AO85" s="3">
        <f t="shared" si="3"/>
        <v>5.5005419999999994</v>
      </c>
      <c r="AP85" s="3">
        <f t="shared" si="14"/>
        <v>0.2</v>
      </c>
      <c r="AQ85" s="3">
        <f t="shared" si="15"/>
        <v>0.79922405128205121</v>
      </c>
      <c r="AR85" s="3">
        <f t="shared" si="16"/>
        <v>0.99922405128205116</v>
      </c>
      <c r="AS85" s="3">
        <f t="shared" si="4"/>
        <v>4.501317948717948</v>
      </c>
      <c r="AU85" s="3">
        <f>CPIs!G45</f>
        <v>87.94</v>
      </c>
      <c r="AW85" s="3">
        <f t="shared" si="5"/>
        <v>6.2548806004093693</v>
      </c>
      <c r="AX85" s="3">
        <f t="shared" si="6"/>
        <v>6.2548806004093684</v>
      </c>
      <c r="AY85" s="3">
        <f t="shared" si="17"/>
        <v>1.136256596863829</v>
      </c>
      <c r="AZ85" s="3">
        <f t="shared" si="7"/>
        <v>5.1186240035455404</v>
      </c>
      <c r="BA85" s="3">
        <f t="shared" si="8"/>
        <v>5.1186240035455395</v>
      </c>
      <c r="BB85" s="3">
        <f t="shared" si="9"/>
        <v>553.69290880145547</v>
      </c>
      <c r="BC85" s="3">
        <v>0</v>
      </c>
      <c r="BD85" s="3">
        <v>0</v>
      </c>
      <c r="BE85" s="24">
        <v>1</v>
      </c>
      <c r="BF85" s="24">
        <v>1</v>
      </c>
      <c r="BH85" s="3">
        <f t="shared" si="10"/>
        <v>7.5979160531680678</v>
      </c>
      <c r="BI85" s="3">
        <f t="shared" si="11"/>
        <v>7.597916053168067</v>
      </c>
    </row>
    <row r="86" spans="1:61">
      <c r="A86">
        <v>2007</v>
      </c>
      <c r="B86" s="3">
        <f t="shared" si="12"/>
        <v>72.57504374926161</v>
      </c>
      <c r="C86" s="3">
        <f>CPIs!AB46</f>
        <v>95.074004003892881</v>
      </c>
      <c r="F86" s="2">
        <v>0.69</v>
      </c>
      <c r="G86" s="3">
        <f>'Exchange Rates'!G46</f>
        <v>7.6040000000000001</v>
      </c>
      <c r="H86" s="3">
        <f t="shared" si="0"/>
        <v>5.2467600000000001</v>
      </c>
      <c r="I86" s="7">
        <f t="shared" si="13"/>
        <v>5.2467600000000001</v>
      </c>
      <c r="N86" s="3"/>
      <c r="O86" s="3"/>
      <c r="S86" s="27"/>
      <c r="T86" s="9">
        <f>USA!Z94*China!G86</f>
        <v>525.28431999999998</v>
      </c>
      <c r="U86">
        <v>0</v>
      </c>
      <c r="V86">
        <v>0</v>
      </c>
      <c r="W86">
        <v>0</v>
      </c>
      <c r="Z86" s="32">
        <v>0.2</v>
      </c>
      <c r="AA86" s="2">
        <v>0.17</v>
      </c>
      <c r="AB86" s="2">
        <f t="shared" si="1"/>
        <v>0.76234974358974372</v>
      </c>
      <c r="AC86" s="2">
        <f t="shared" si="2"/>
        <v>0.96234974358974368</v>
      </c>
      <c r="AN86" s="9">
        <v>2007</v>
      </c>
      <c r="AO86" s="3">
        <f t="shared" si="3"/>
        <v>5.2467600000000001</v>
      </c>
      <c r="AP86" s="3">
        <f t="shared" si="14"/>
        <v>0.2</v>
      </c>
      <c r="AQ86" s="3">
        <f t="shared" si="15"/>
        <v>0.76234974358974372</v>
      </c>
      <c r="AR86" s="3">
        <f t="shared" si="16"/>
        <v>0.96234974358974368</v>
      </c>
      <c r="AS86" s="3">
        <f t="shared" si="4"/>
        <v>4.284410256410256</v>
      </c>
      <c r="AU86" s="3">
        <f>CPIs!G46</f>
        <v>92.17</v>
      </c>
      <c r="AW86" s="3">
        <f t="shared" si="5"/>
        <v>5.6924812845828363</v>
      </c>
      <c r="AX86" s="3">
        <f t="shared" si="6"/>
        <v>5.6024604824777011</v>
      </c>
      <c r="AY86" s="3">
        <f t="shared" si="17"/>
        <v>1.044103009210962</v>
      </c>
      <c r="AZ86" s="3">
        <f t="shared" si="7"/>
        <v>4.6483782753718739</v>
      </c>
      <c r="BA86" s="3">
        <f t="shared" si="8"/>
        <v>4.5583574732667387</v>
      </c>
      <c r="BB86" s="3">
        <f t="shared" si="9"/>
        <v>569.90812628838012</v>
      </c>
      <c r="BC86" s="3">
        <v>0</v>
      </c>
      <c r="BD86" s="3">
        <v>0</v>
      </c>
      <c r="BE86" s="3">
        <v>0</v>
      </c>
      <c r="BF86" s="24">
        <v>1</v>
      </c>
      <c r="BH86" s="3">
        <f t="shared" si="10"/>
        <v>6.9147594810458939</v>
      </c>
      <c r="BI86" s="3">
        <f t="shared" si="11"/>
        <v>6.8054095923543478</v>
      </c>
    </row>
    <row r="87" spans="1:61">
      <c r="A87">
        <v>2008</v>
      </c>
      <c r="B87" s="3">
        <f t="shared" si="12"/>
        <v>87.527142540862386</v>
      </c>
      <c r="C87" s="3">
        <f>CPIs!AB47</f>
        <v>98.70291900542334</v>
      </c>
      <c r="F87" s="2">
        <v>0.99</v>
      </c>
      <c r="G87" s="3">
        <f>'Exchange Rates'!G47</f>
        <v>6.9451000000000001</v>
      </c>
      <c r="H87" s="3">
        <f t="shared" si="0"/>
        <v>6.8756490000000001</v>
      </c>
      <c r="I87" s="6">
        <v>6</v>
      </c>
      <c r="N87" s="3"/>
      <c r="O87" s="3"/>
      <c r="S87" s="27"/>
      <c r="T87" s="9">
        <f>USA!Z95*China!G87</f>
        <v>655.96469500000001</v>
      </c>
      <c r="U87">
        <v>0</v>
      </c>
      <c r="V87">
        <v>0</v>
      </c>
      <c r="W87">
        <v>1</v>
      </c>
      <c r="Z87" s="32">
        <v>0.2</v>
      </c>
      <c r="AA87" s="2">
        <v>0.17</v>
      </c>
      <c r="AB87" s="2">
        <f t="shared" si="1"/>
        <v>0.87179487179487192</v>
      </c>
      <c r="AC87" s="2">
        <f t="shared" si="2"/>
        <v>1.071794871794872</v>
      </c>
      <c r="AN87" s="9">
        <v>2008</v>
      </c>
      <c r="AO87" s="3">
        <f t="shared" si="3"/>
        <v>6</v>
      </c>
      <c r="AP87" s="3">
        <f t="shared" si="14"/>
        <v>0.2</v>
      </c>
      <c r="AQ87" s="3">
        <f t="shared" si="15"/>
        <v>0.87179487179487192</v>
      </c>
      <c r="AR87" s="3">
        <f t="shared" si="16"/>
        <v>1.071794871794872</v>
      </c>
      <c r="AS87" s="3">
        <f t="shared" si="4"/>
        <v>4.9282051282051285</v>
      </c>
      <c r="AU87" s="3">
        <f>CPIs!G47</f>
        <v>97.63</v>
      </c>
      <c r="AW87" s="3">
        <f t="shared" si="5"/>
        <v>6.1456519512444947</v>
      </c>
      <c r="AX87" s="3">
        <f t="shared" si="6"/>
        <v>6.3409256637740619</v>
      </c>
      <c r="AY87" s="3">
        <f t="shared" si="17"/>
        <v>1.0978130408633329</v>
      </c>
      <c r="AZ87" s="3">
        <f t="shared" si="7"/>
        <v>5.0478389103811621</v>
      </c>
      <c r="BA87" s="3">
        <f t="shared" si="8"/>
        <v>5.2431126229107292</v>
      </c>
      <c r="BB87" s="3">
        <f t="shared" si="9"/>
        <v>671.88845129570836</v>
      </c>
      <c r="BC87" s="3">
        <v>0</v>
      </c>
      <c r="BD87" s="3">
        <v>0</v>
      </c>
      <c r="BE87" s="3">
        <v>0</v>
      </c>
      <c r="BF87" s="24">
        <v>1</v>
      </c>
      <c r="BH87" s="3">
        <f t="shared" si="10"/>
        <v>7.4652340469118101</v>
      </c>
      <c r="BI87" s="3">
        <f t="shared" si="11"/>
        <v>7.7024365404483008</v>
      </c>
    </row>
    <row r="88" spans="1:61">
      <c r="A88">
        <v>2009</v>
      </c>
      <c r="B88" s="3">
        <f>I88/G88*100/C88*100</f>
        <v>89.280683993508049</v>
      </c>
      <c r="C88" s="3">
        <f>CPIs!AB48</f>
        <v>98.380597588110902</v>
      </c>
      <c r="F88" s="2">
        <v>0.99</v>
      </c>
      <c r="G88" s="3">
        <f>'Exchange Rates'!G48</f>
        <v>6.8310000000000004</v>
      </c>
      <c r="H88" s="3">
        <f t="shared" si="0"/>
        <v>6.7626900000000001</v>
      </c>
      <c r="I88" s="6">
        <v>6</v>
      </c>
      <c r="N88" s="4"/>
      <c r="O88" s="3"/>
      <c r="S88" s="27"/>
      <c r="T88" s="9">
        <f>USA!Z96*China!G88</f>
        <v>417.10086000000007</v>
      </c>
      <c r="U88">
        <v>0</v>
      </c>
      <c r="V88">
        <v>0</v>
      </c>
      <c r="W88">
        <v>0</v>
      </c>
      <c r="Z88" s="32">
        <v>1</v>
      </c>
      <c r="AA88" s="2">
        <v>0.17</v>
      </c>
      <c r="AB88" s="2">
        <f t="shared" si="1"/>
        <v>0.87179487179487192</v>
      </c>
      <c r="AC88" s="2">
        <f t="shared" si="2"/>
        <v>1.8717948717948718</v>
      </c>
      <c r="AN88" s="9">
        <v>2009</v>
      </c>
      <c r="AO88" s="3">
        <f t="shared" si="3"/>
        <v>6</v>
      </c>
      <c r="AP88" s="3">
        <f t="shared" si="14"/>
        <v>1</v>
      </c>
      <c r="AQ88" s="3">
        <f t="shared" si="15"/>
        <v>0.87179487179487192</v>
      </c>
      <c r="AR88" s="3">
        <f t="shared" si="16"/>
        <v>1.8717948717948718</v>
      </c>
      <c r="AS88" s="3">
        <f t="shared" si="4"/>
        <v>4.1282051282051277</v>
      </c>
      <c r="AU88" s="3">
        <f>CPIs!G48</f>
        <v>96.92</v>
      </c>
      <c r="AW88" s="3">
        <f t="shared" si="5"/>
        <v>6.1906727197688811</v>
      </c>
      <c r="AX88" s="3">
        <f t="shared" si="6"/>
        <v>6.1283521404628942</v>
      </c>
      <c r="AY88" s="3">
        <f t="shared" si="17"/>
        <v>1.9312782416373007</v>
      </c>
      <c r="AZ88" s="3">
        <f t="shared" si="7"/>
        <v>4.2593944781315809</v>
      </c>
      <c r="BA88" s="3">
        <f t="shared" si="8"/>
        <v>4.1970738988255931</v>
      </c>
      <c r="BB88" s="3">
        <f t="shared" si="9"/>
        <v>430.35581923235668</v>
      </c>
      <c r="BC88" s="3">
        <v>0</v>
      </c>
      <c r="BD88" s="24">
        <v>1</v>
      </c>
      <c r="BE88" s="3">
        <v>0</v>
      </c>
      <c r="BF88" s="24">
        <v>1</v>
      </c>
      <c r="BH88" s="3">
        <f t="shared" si="10"/>
        <v>7.5199215848122165</v>
      </c>
      <c r="BI88" s="3">
        <f t="shared" si="11"/>
        <v>7.4442196553588067</v>
      </c>
    </row>
    <row r="89" spans="1:61">
      <c r="A89">
        <v>2010</v>
      </c>
      <c r="B89" s="3">
        <f>I89/G89*100/C89*100</f>
        <v>100.45055175903532</v>
      </c>
      <c r="C89" s="3">
        <f>CPIs!AB49</f>
        <v>99.999998509883881</v>
      </c>
      <c r="F89" s="2">
        <v>1.1100000000000001</v>
      </c>
      <c r="G89" s="3">
        <f>'Exchange Rates'!G49</f>
        <v>6.7695000000000007</v>
      </c>
      <c r="H89" s="3">
        <f>F89*G89</f>
        <v>7.5141450000000019</v>
      </c>
      <c r="I89" s="6">
        <v>6.8</v>
      </c>
      <c r="S89" s="27"/>
      <c r="T89" s="9">
        <f>USA!Z97*China!G89</f>
        <v>524.29777500000012</v>
      </c>
      <c r="U89">
        <v>0</v>
      </c>
      <c r="V89">
        <v>0</v>
      </c>
      <c r="W89">
        <v>0</v>
      </c>
      <c r="Y89" s="3">
        <f>AI122</f>
        <v>0</v>
      </c>
      <c r="Z89" s="6">
        <f>Z88+(Z92-Z88)/4</f>
        <v>1.0464316239316238</v>
      </c>
      <c r="AA89" s="2">
        <v>0.17</v>
      </c>
      <c r="AB89" s="2">
        <f>AA89*(I89*(1/(1+AA89)))</f>
        <v>0.98803418803418819</v>
      </c>
      <c r="AC89" s="2">
        <f t="shared" si="2"/>
        <v>2.0344658119658119</v>
      </c>
      <c r="AN89" s="9">
        <v>2010</v>
      </c>
      <c r="AO89" s="3">
        <f t="shared" si="3"/>
        <v>6.8</v>
      </c>
      <c r="AP89" s="3">
        <f t="shared" si="14"/>
        <v>1.0464316239316238</v>
      </c>
      <c r="AQ89" s="3">
        <f t="shared" si="15"/>
        <v>0.98803418803418819</v>
      </c>
      <c r="AR89" s="3">
        <f t="shared" si="16"/>
        <v>2.0344658119658119</v>
      </c>
      <c r="AS89" s="3">
        <f t="shared" si="4"/>
        <v>4.7655341880341879</v>
      </c>
      <c r="AU89" s="3">
        <f>CPIs!G49</f>
        <v>100</v>
      </c>
      <c r="AW89" s="3">
        <f t="shared" si="5"/>
        <v>6.8000000000000007</v>
      </c>
      <c r="AX89" s="3">
        <f t="shared" si="6"/>
        <v>6.8623205793059876</v>
      </c>
      <c r="AY89" s="3">
        <f t="shared" si="17"/>
        <v>2.0344658119658119</v>
      </c>
      <c r="AZ89" s="3">
        <f t="shared" si="7"/>
        <v>4.7655341880341888</v>
      </c>
      <c r="BA89" s="3">
        <f t="shared" si="8"/>
        <v>4.8278547673401757</v>
      </c>
      <c r="BB89" s="3">
        <f t="shared" si="9"/>
        <v>524.29777500000012</v>
      </c>
      <c r="BC89" s="3">
        <v>0</v>
      </c>
      <c r="BD89" s="24">
        <v>1</v>
      </c>
      <c r="BE89" s="3">
        <v>0</v>
      </c>
      <c r="BF89" s="24">
        <v>1</v>
      </c>
      <c r="BH89" s="3">
        <f t="shared" si="10"/>
        <v>8.2600824000000017</v>
      </c>
      <c r="BI89" s="3">
        <f t="shared" si="11"/>
        <v>8.3357843294534106</v>
      </c>
    </row>
    <row r="90" spans="1:61">
      <c r="A90">
        <v>2011</v>
      </c>
      <c r="B90" s="3">
        <f>I90/G90*100/C90*100</f>
        <v>114.09466085979037</v>
      </c>
      <c r="C90" s="3">
        <f>CPIs!AB50</f>
        <v>103.13271097869961</v>
      </c>
      <c r="F90" s="2">
        <v>1.1299999999999999</v>
      </c>
      <c r="G90" s="3">
        <f>'Exchange Rates'!G50</f>
        <v>6.4588000000000001</v>
      </c>
      <c r="H90" s="3">
        <f t="shared" si="0"/>
        <v>7.298443999999999</v>
      </c>
      <c r="I90" s="6">
        <v>7.6</v>
      </c>
      <c r="T90" s="9">
        <f>USA!Z98*China!G90</f>
        <v>693.99806000000001</v>
      </c>
      <c r="Y90" s="3">
        <f t="shared" ref="Y90:Y96" si="18">AI123</f>
        <v>0</v>
      </c>
      <c r="Z90" s="6">
        <f>Z89+(Z92-Z88)/4</f>
        <v>1.0928632478632476</v>
      </c>
      <c r="AA90" s="2">
        <v>0.17</v>
      </c>
      <c r="AB90" s="2">
        <f t="shared" si="1"/>
        <v>1.1042735042735043</v>
      </c>
      <c r="AC90" s="2">
        <f t="shared" si="2"/>
        <v>2.197136752136752</v>
      </c>
      <c r="AN90" s="9">
        <v>2011</v>
      </c>
      <c r="AO90" s="3">
        <f t="shared" si="3"/>
        <v>7.6</v>
      </c>
      <c r="AP90" s="3">
        <f t="shared" si="14"/>
        <v>1.0928632478632476</v>
      </c>
      <c r="AQ90" s="3">
        <f t="shared" si="15"/>
        <v>1.1042735042735043</v>
      </c>
      <c r="AR90" s="3">
        <f t="shared" si="16"/>
        <v>2.197136752136752</v>
      </c>
      <c r="AS90" s="3">
        <f t="shared" si="4"/>
        <v>5.4028632478632481</v>
      </c>
      <c r="AU90" s="3">
        <f>CPIs!G50</f>
        <v>105.55</v>
      </c>
      <c r="AW90" s="3">
        <f t="shared" si="5"/>
        <v>7.2003789673140695</v>
      </c>
      <c r="AX90" s="3">
        <f t="shared" si="6"/>
        <v>7.2281510575769001</v>
      </c>
      <c r="AY90" s="3">
        <f t="shared" si="17"/>
        <v>2.0816075339997653</v>
      </c>
      <c r="AZ90" s="3">
        <f t="shared" si="7"/>
        <v>5.1187714333143042</v>
      </c>
      <c r="BA90" s="3">
        <f t="shared" si="8"/>
        <v>5.1465435235771348</v>
      </c>
      <c r="BB90" s="3">
        <f t="shared" si="9"/>
        <v>657.50645191852209</v>
      </c>
      <c r="BC90" s="3">
        <v>0</v>
      </c>
      <c r="BD90" s="3">
        <v>0</v>
      </c>
      <c r="BE90" s="3">
        <v>0</v>
      </c>
      <c r="BF90" s="24">
        <v>1</v>
      </c>
      <c r="BH90" s="3">
        <f t="shared" si="10"/>
        <v>8.7464299384178119</v>
      </c>
      <c r="BI90" s="3">
        <f t="shared" si="11"/>
        <v>8.7801651963576965</v>
      </c>
    </row>
    <row r="91" spans="1:61">
      <c r="A91">
        <v>2012</v>
      </c>
      <c r="B91" s="3">
        <f t="shared" ref="B91:B96" si="19">I91/G91*100/C91*100</f>
        <v>118.95034239324696</v>
      </c>
      <c r="C91" s="3">
        <f>CPIs!AB51</f>
        <v>105.21072267093371</v>
      </c>
      <c r="F91" s="2">
        <v>1.37</v>
      </c>
      <c r="G91" s="3">
        <f>'Exchange Rates'!G51</f>
        <v>6.3125</v>
      </c>
      <c r="H91" s="3">
        <f t="shared" si="0"/>
        <v>8.6481250000000003</v>
      </c>
      <c r="I91" s="6">
        <v>7.9</v>
      </c>
      <c r="T91" s="9">
        <f>USA!Z99*China!G91</f>
        <v>691.19260572916664</v>
      </c>
      <c r="Y91" s="3">
        <f t="shared" si="18"/>
        <v>0</v>
      </c>
      <c r="Z91" s="6">
        <f>Z90+(Z92-Z88)/4</f>
        <v>1.1392948717948714</v>
      </c>
      <c r="AA91" s="2">
        <v>0.17</v>
      </c>
      <c r="AB91" s="2">
        <f t="shared" si="1"/>
        <v>1.147863247863248</v>
      </c>
      <c r="AC91" s="2">
        <f t="shared" si="2"/>
        <v>2.2871581196581197</v>
      </c>
      <c r="AN91" s="9">
        <v>2012</v>
      </c>
      <c r="AO91" s="3">
        <f t="shared" si="3"/>
        <v>7.9</v>
      </c>
      <c r="AP91" s="3">
        <f t="shared" si="14"/>
        <v>1.1392948717948714</v>
      </c>
      <c r="AQ91" s="3">
        <f t="shared" si="15"/>
        <v>1.147863247863248</v>
      </c>
      <c r="AR91" s="3">
        <f t="shared" si="16"/>
        <v>2.2871581196581197</v>
      </c>
      <c r="AS91" s="3">
        <f t="shared" si="4"/>
        <v>5.6128418803418807</v>
      </c>
      <c r="AU91" s="3">
        <f>CPIs!G51</f>
        <v>108.32</v>
      </c>
      <c r="AW91" s="3">
        <f t="shared" si="5"/>
        <v>7.2932053175775486</v>
      </c>
      <c r="AX91" s="3">
        <f t="shared" si="6"/>
        <v>7.1277367337071906</v>
      </c>
      <c r="AY91" s="3">
        <f t="shared" si="17"/>
        <v>2.1114827544849701</v>
      </c>
      <c r="AZ91" s="3">
        <f t="shared" si="7"/>
        <v>5.1817225630925785</v>
      </c>
      <c r="BA91" s="3">
        <f t="shared" si="8"/>
        <v>5.0162539792222205</v>
      </c>
      <c r="BB91" s="3">
        <f t="shared" si="9"/>
        <v>638.1024794397772</v>
      </c>
      <c r="BC91" s="3">
        <v>0</v>
      </c>
      <c r="BD91" s="3">
        <v>0</v>
      </c>
      <c r="BE91" s="3">
        <v>0</v>
      </c>
      <c r="BF91" s="24">
        <v>1</v>
      </c>
      <c r="BH91" s="3">
        <f t="shared" si="10"/>
        <v>8.8591877769571639</v>
      </c>
      <c r="BI91" s="3">
        <f t="shared" si="11"/>
        <v>8.6581901096953313</v>
      </c>
    </row>
    <row r="92" spans="1:61">
      <c r="A92">
        <v>2013</v>
      </c>
      <c r="B92" s="3">
        <f t="shared" si="19"/>
        <v>115.01209925262239</v>
      </c>
      <c r="C92" s="3">
        <f>CPIs!AB52</f>
        <v>106.69767516878358</v>
      </c>
      <c r="F92" s="2">
        <v>1.38</v>
      </c>
      <c r="G92" s="3">
        <f>'Exchange Rates'!G52</f>
        <v>6.1932000000000009</v>
      </c>
      <c r="H92" s="3">
        <f t="shared" si="0"/>
        <v>8.5466160000000002</v>
      </c>
      <c r="I92" s="6">
        <v>7.6</v>
      </c>
      <c r="Q92" s="13"/>
      <c r="R92" s="13"/>
      <c r="S92" s="28"/>
      <c r="T92" s="9">
        <f>USA!Z100*China!G92</f>
        <v>656.08438350000006</v>
      </c>
      <c r="Y92" s="3">
        <f t="shared" si="18"/>
        <v>0</v>
      </c>
      <c r="Z92" s="2">
        <f>2.29-AB92</f>
        <v>1.1857264957264957</v>
      </c>
      <c r="AA92" s="2">
        <v>0.17</v>
      </c>
      <c r="AB92" s="2">
        <f>AA92*(I92*(1/(1+AA92)))</f>
        <v>1.1042735042735043</v>
      </c>
      <c r="AC92" s="2">
        <f t="shared" si="2"/>
        <v>2.29</v>
      </c>
      <c r="AN92" s="9">
        <v>2013</v>
      </c>
      <c r="AO92" s="3">
        <f t="shared" si="3"/>
        <v>7.6</v>
      </c>
      <c r="AP92" s="3">
        <f t="shared" si="14"/>
        <v>1.1857264957264957</v>
      </c>
      <c r="AQ92" s="3">
        <f t="shared" si="15"/>
        <v>1.1042735042735043</v>
      </c>
      <c r="AR92" s="3">
        <f t="shared" si="16"/>
        <v>2.29</v>
      </c>
      <c r="AS92" s="3">
        <f t="shared" si="4"/>
        <v>5.31</v>
      </c>
      <c r="AU92" s="3">
        <f>CPIs!G52</f>
        <v>111.16</v>
      </c>
      <c r="AW92" s="3">
        <f t="shared" si="5"/>
        <v>6.8369917236415976</v>
      </c>
      <c r="AX92" s="3">
        <f t="shared" si="6"/>
        <v>6.754811573118344</v>
      </c>
      <c r="AY92" s="3">
        <f t="shared" si="17"/>
        <v>2.0600935588341129</v>
      </c>
      <c r="AZ92" s="3">
        <f t="shared" si="7"/>
        <v>4.7768981648074842</v>
      </c>
      <c r="BA92" s="3">
        <f t="shared" si="8"/>
        <v>4.6947180142842306</v>
      </c>
      <c r="BB92" s="3">
        <f t="shared" si="9"/>
        <v>590.21625000000006</v>
      </c>
      <c r="BC92" s="3">
        <v>0</v>
      </c>
      <c r="BD92" s="3">
        <v>0</v>
      </c>
      <c r="BE92" s="3">
        <v>0</v>
      </c>
      <c r="BF92" s="24">
        <v>1</v>
      </c>
      <c r="BH92" s="3">
        <f t="shared" si="10"/>
        <v>8.3050169125584734</v>
      </c>
      <c r="BI92" s="3">
        <f t="shared" si="11"/>
        <v>8.2051912044751685</v>
      </c>
    </row>
    <row r="93" spans="1:61">
      <c r="A93">
        <v>2014</v>
      </c>
      <c r="B93" s="3">
        <f t="shared" si="19"/>
        <v>107.87574974459898</v>
      </c>
      <c r="C93" s="3">
        <f>CPIs!AB53</f>
        <v>108.45811062912946</v>
      </c>
      <c r="F93" s="2">
        <v>1.17</v>
      </c>
      <c r="G93" s="3">
        <f>'Exchange Rates'!G53</f>
        <v>6.1427999999999994</v>
      </c>
      <c r="H93" s="3">
        <f t="shared" si="0"/>
        <v>7.1870759999999985</v>
      </c>
      <c r="I93" s="7">
        <f t="shared" si="13"/>
        <v>7.1870759999999985</v>
      </c>
      <c r="Q93" s="13"/>
      <c r="R93" s="13"/>
      <c r="S93" s="28"/>
      <c r="T93" s="9">
        <f>USA!Z101*China!G93</f>
        <v>590.87014752999983</v>
      </c>
      <c r="Y93" s="3">
        <f t="shared" si="18"/>
        <v>0</v>
      </c>
      <c r="Z93" s="2">
        <f>Z94-0.12</f>
        <v>1.4</v>
      </c>
      <c r="AA93" s="2">
        <v>0.17</v>
      </c>
      <c r="AB93" s="2">
        <f t="shared" si="1"/>
        <v>1.044276</v>
      </c>
      <c r="AC93" s="2">
        <f t="shared" si="2"/>
        <v>2.4442759999999999</v>
      </c>
      <c r="AN93" s="9">
        <v>2014</v>
      </c>
      <c r="AO93" s="3">
        <f t="shared" si="3"/>
        <v>7.1870759999999985</v>
      </c>
      <c r="AP93" s="3">
        <f t="shared" si="14"/>
        <v>1.4</v>
      </c>
      <c r="AQ93" s="3">
        <f t="shared" si="15"/>
        <v>1.044276</v>
      </c>
      <c r="AR93" s="3">
        <f t="shared" si="16"/>
        <v>2.4442759999999999</v>
      </c>
      <c r="AS93" s="3">
        <f t="shared" si="4"/>
        <v>4.742799999999999</v>
      </c>
      <c r="AU93" s="3">
        <f>CPIs!G53</f>
        <v>113.29</v>
      </c>
      <c r="AW93" s="3">
        <f t="shared" si="5"/>
        <v>6.3439632800776744</v>
      </c>
      <c r="AX93" s="3">
        <f t="shared" si="6"/>
        <v>6.3912284431892612</v>
      </c>
      <c r="AY93" s="3">
        <f t="shared" si="17"/>
        <v>2.1575390590519903</v>
      </c>
      <c r="AZ93" s="3">
        <f t="shared" si="7"/>
        <v>4.1864242210256837</v>
      </c>
      <c r="BA93" s="3">
        <f t="shared" si="8"/>
        <v>4.2336893841372714</v>
      </c>
      <c r="BB93" s="3">
        <f t="shared" si="9"/>
        <v>521.55543077941547</v>
      </c>
      <c r="BC93" s="3">
        <v>0</v>
      </c>
      <c r="BD93" s="3">
        <v>0</v>
      </c>
      <c r="BE93" s="3">
        <v>0</v>
      </c>
      <c r="BF93" s="24">
        <v>1</v>
      </c>
      <c r="BH93" s="3">
        <f t="shared" si="10"/>
        <v>7.706126387649392</v>
      </c>
      <c r="BI93" s="3">
        <f t="shared" si="11"/>
        <v>7.7635402320539733</v>
      </c>
    </row>
    <row r="94" spans="1:61">
      <c r="A94">
        <v>2015</v>
      </c>
      <c r="B94" s="3">
        <f t="shared" si="19"/>
        <v>73.601544410002205</v>
      </c>
      <c r="C94" s="3">
        <f>CPIs!AB54</f>
        <v>108.69337137051741</v>
      </c>
      <c r="F94" s="2">
        <v>0.8</v>
      </c>
      <c r="G94" s="3">
        <f>'Exchange Rates'!G54</f>
        <v>6.2284000000000006</v>
      </c>
      <c r="H94" s="3">
        <f t="shared" si="0"/>
        <v>4.9827200000000005</v>
      </c>
      <c r="I94" s="7">
        <f t="shared" si="13"/>
        <v>4.9827200000000005</v>
      </c>
      <c r="Q94" s="13"/>
      <c r="R94" s="13"/>
      <c r="S94" s="28"/>
      <c r="T94" s="9">
        <f>USA!Z102*China!G94</f>
        <v>308.40965857000003</v>
      </c>
      <c r="Y94" s="3">
        <f t="shared" si="18"/>
        <v>0</v>
      </c>
      <c r="Z94" s="2">
        <v>1.52</v>
      </c>
      <c r="AA94" s="2">
        <v>0.17</v>
      </c>
      <c r="AB94" s="2">
        <f t="shared" si="1"/>
        <v>0.72398495726495748</v>
      </c>
      <c r="AC94" s="2">
        <f t="shared" si="2"/>
        <v>2.2439849572649573</v>
      </c>
      <c r="AN94" s="9">
        <v>2015</v>
      </c>
      <c r="AO94" s="3">
        <f t="shared" si="3"/>
        <v>4.9827200000000005</v>
      </c>
      <c r="AP94" s="3">
        <f t="shared" si="14"/>
        <v>1.52</v>
      </c>
      <c r="AQ94" s="3">
        <f t="shared" si="15"/>
        <v>0.72398495726495748</v>
      </c>
      <c r="AR94" s="3">
        <f t="shared" si="16"/>
        <v>2.2439849572649573</v>
      </c>
      <c r="AS94" s="3">
        <f t="shared" si="4"/>
        <v>2.7387350427350432</v>
      </c>
      <c r="AU94" s="3">
        <f>CPIs!G54</f>
        <v>114.92</v>
      </c>
      <c r="AW94" s="3">
        <f t="shared" si="5"/>
        <v>4.3358162199791161</v>
      </c>
      <c r="AX94" s="3">
        <f t="shared" si="6"/>
        <v>4.4862982482516598</v>
      </c>
      <c r="AY94" s="3">
        <f t="shared" si="17"/>
        <v>1.9526496321484139</v>
      </c>
      <c r="AZ94" s="3">
        <f t="shared" si="7"/>
        <v>2.3831665878307025</v>
      </c>
      <c r="BA94" s="3">
        <f t="shared" si="8"/>
        <v>2.5336486161032457</v>
      </c>
      <c r="BB94" s="3">
        <f t="shared" si="9"/>
        <v>268.36900328054304</v>
      </c>
      <c r="BC94" s="3">
        <v>0</v>
      </c>
      <c r="BD94" s="3">
        <v>0</v>
      </c>
      <c r="BE94" s="3">
        <v>0</v>
      </c>
      <c r="BF94" s="24">
        <v>1</v>
      </c>
      <c r="BH94" s="3">
        <f t="shared" si="10"/>
        <v>5.2667940071005921</v>
      </c>
      <c r="BI94" s="3">
        <f t="shared" si="11"/>
        <v>5.4495872355197594</v>
      </c>
    </row>
    <row r="95" spans="1:61">
      <c r="A95">
        <v>2016</v>
      </c>
      <c r="B95" s="3">
        <f t="shared" si="19"/>
        <v>67.3445234530341</v>
      </c>
      <c r="C95" s="3">
        <f>CPIs!AB55</f>
        <v>110.08253978538585</v>
      </c>
      <c r="F95" s="2">
        <v>0.96</v>
      </c>
      <c r="G95" s="3">
        <f>'Exchange Rates'!G55</f>
        <v>6.6423000000000005</v>
      </c>
      <c r="H95" s="3">
        <f t="shared" si="0"/>
        <v>6.3766080000000001</v>
      </c>
      <c r="I95" s="6">
        <f>(I94+I96)/2</f>
        <v>4.9242400000000002</v>
      </c>
      <c r="Q95" s="13"/>
      <c r="R95" s="13"/>
      <c r="T95" s="9">
        <f>USA!Z103*China!G95</f>
        <v>270.23511179000002</v>
      </c>
      <c r="Y95" s="3">
        <f t="shared" si="18"/>
        <v>0</v>
      </c>
      <c r="Z95" s="39">
        <f>Z94</f>
        <v>1.52</v>
      </c>
      <c r="AA95" s="2">
        <v>0.17</v>
      </c>
      <c r="AB95" s="2">
        <f t="shared" si="1"/>
        <v>0.7154878632478634</v>
      </c>
      <c r="AC95" s="2">
        <f t="shared" si="2"/>
        <v>2.2354878632478634</v>
      </c>
      <c r="AN95" s="9">
        <v>2016</v>
      </c>
      <c r="AO95" s="3">
        <f t="shared" si="3"/>
        <v>4.9242400000000002</v>
      </c>
      <c r="AP95" s="3">
        <f t="shared" si="14"/>
        <v>1.52</v>
      </c>
      <c r="AQ95" s="3">
        <f t="shared" si="15"/>
        <v>0.7154878632478634</v>
      </c>
      <c r="AR95" s="3">
        <f t="shared" si="16"/>
        <v>2.2354878632478634</v>
      </c>
      <c r="AS95" s="3">
        <f t="shared" si="4"/>
        <v>2.6887521367521368</v>
      </c>
      <c r="AU95" s="3">
        <f>CPIs!G55</f>
        <v>117.22</v>
      </c>
      <c r="AW95" s="3">
        <f t="shared" si="5"/>
        <v>4.200853096741171</v>
      </c>
      <c r="AX95" s="3">
        <f t="shared" si="6"/>
        <v>4.1867079179550757</v>
      </c>
      <c r="AY95" s="3">
        <f t="shared" si="17"/>
        <v>1.9070874110628422</v>
      </c>
      <c r="AZ95" s="3">
        <f t="shared" si="7"/>
        <v>2.2937656856783288</v>
      </c>
      <c r="BA95" s="3">
        <f t="shared" si="8"/>
        <v>2.2796205068922335</v>
      </c>
      <c r="BB95" s="3">
        <f t="shared" si="9"/>
        <v>230.5366932178809</v>
      </c>
      <c r="BC95" s="3">
        <v>0</v>
      </c>
      <c r="BD95" s="3">
        <v>0</v>
      </c>
      <c r="BE95" s="3">
        <v>0</v>
      </c>
      <c r="BF95" s="24">
        <v>1</v>
      </c>
      <c r="BH95" s="3">
        <f t="shared" si="10"/>
        <v>5.1028518719672418</v>
      </c>
      <c r="BI95" s="3">
        <f t="shared" si="11"/>
        <v>5.0856694686825534</v>
      </c>
    </row>
    <row r="96" spans="1:61" ht="15.75" thickBot="1">
      <c r="A96">
        <v>2017</v>
      </c>
      <c r="B96" s="3">
        <f t="shared" si="19"/>
        <v>64.04138617210846</v>
      </c>
      <c r="C96" s="3">
        <f>CPIs!AB56</f>
        <v>112.42729788281457</v>
      </c>
      <c r="F96" s="2">
        <v>0.72</v>
      </c>
      <c r="G96" s="3">
        <f>'Exchange Rates'!G56</f>
        <v>6.758</v>
      </c>
      <c r="H96" s="3">
        <f t="shared" si="0"/>
        <v>4.8657599999999999</v>
      </c>
      <c r="I96" s="7">
        <f t="shared" si="13"/>
        <v>4.8657599999999999</v>
      </c>
      <c r="Q96" s="14"/>
      <c r="R96" s="14"/>
      <c r="T96" s="9">
        <f>USA!Z104*China!G96</f>
        <v>354.86257999999998</v>
      </c>
      <c r="Y96" s="3">
        <f t="shared" si="18"/>
        <v>0</v>
      </c>
      <c r="Z96" s="39">
        <f t="shared" ref="Z96:Z97" si="20">Z95</f>
        <v>1.52</v>
      </c>
      <c r="AA96" s="2">
        <v>0.17</v>
      </c>
      <c r="AB96" s="2">
        <f t="shared" si="1"/>
        <v>0.70699076923076931</v>
      </c>
      <c r="AC96" s="2">
        <f t="shared" si="2"/>
        <v>2.2269907692307696</v>
      </c>
      <c r="AN96" s="9">
        <v>2017</v>
      </c>
      <c r="AO96" s="3">
        <f t="shared" si="3"/>
        <v>4.8657599999999999</v>
      </c>
      <c r="AP96" s="3">
        <f t="shared" si="14"/>
        <v>1.52</v>
      </c>
      <c r="AQ96" s="3">
        <f t="shared" si="15"/>
        <v>0.70699076923076931</v>
      </c>
      <c r="AR96" s="3">
        <f t="shared" si="16"/>
        <v>2.2269907692307696</v>
      </c>
      <c r="AS96" s="3">
        <f t="shared" si="4"/>
        <v>2.6387692307692303</v>
      </c>
      <c r="AU96" s="3">
        <f>CPIs!G56</f>
        <v>119.09</v>
      </c>
      <c r="AW96" s="3">
        <f t="shared" si="5"/>
        <v>4.0857838609455026</v>
      </c>
      <c r="AX96" s="3">
        <f t="shared" si="6"/>
        <v>4.0914652499676345</v>
      </c>
      <c r="AY96" s="3">
        <f t="shared" si="17"/>
        <v>1.8700065238313623</v>
      </c>
      <c r="AZ96" s="3">
        <f t="shared" si="7"/>
        <v>2.2157773371141403</v>
      </c>
      <c r="BA96" s="3">
        <f t="shared" si="8"/>
        <v>2.2214587261362722</v>
      </c>
      <c r="BB96" s="9">
        <f t="shared" si="9"/>
        <v>297.97848685867831</v>
      </c>
      <c r="BC96" s="3">
        <v>0</v>
      </c>
      <c r="BD96" s="3">
        <v>0</v>
      </c>
      <c r="BE96" s="3">
        <v>0</v>
      </c>
      <c r="BF96" s="3">
        <v>0</v>
      </c>
      <c r="BH96" s="3">
        <f t="shared" si="10"/>
        <v>4.9630751999999987</v>
      </c>
      <c r="BI96" s="3">
        <f t="shared" si="11"/>
        <v>4.9699764855101849</v>
      </c>
    </row>
    <row r="97" spans="1:61">
      <c r="A97">
        <v>2018</v>
      </c>
      <c r="F97" s="3">
        <f>AN172</f>
        <v>0.86166666666666669</v>
      </c>
      <c r="G97" s="3">
        <f>'Exchange Rates'!G57</f>
        <v>6.6130000000000004</v>
      </c>
      <c r="H97" s="3">
        <f>F97*G97</f>
        <v>5.6982016666666668</v>
      </c>
      <c r="I97" s="7">
        <f t="shared" si="13"/>
        <v>5.6982016666666668</v>
      </c>
      <c r="Q97" s="2"/>
      <c r="T97" s="9">
        <f>USA!Z105*China!G97</f>
        <v>464.25893748917753</v>
      </c>
      <c r="Z97" s="39">
        <f t="shared" si="20"/>
        <v>1.52</v>
      </c>
      <c r="AA97" s="2">
        <v>0.16</v>
      </c>
      <c r="AB97" s="2">
        <f t="shared" si="1"/>
        <v>0.78595885057471282</v>
      </c>
      <c r="AC97" s="2">
        <f t="shared" si="2"/>
        <v>2.3059588505747128</v>
      </c>
      <c r="AN97" s="9">
        <v>2018</v>
      </c>
      <c r="AO97" s="3">
        <f t="shared" ref="AO97" si="21">I97</f>
        <v>5.6982016666666668</v>
      </c>
      <c r="AP97" s="3">
        <f t="shared" ref="AP97" si="22">Z97</f>
        <v>1.52</v>
      </c>
      <c r="AQ97" s="3">
        <f t="shared" ref="AQ97" si="23">AB97</f>
        <v>0.78595885057471282</v>
      </c>
      <c r="AR97" s="3">
        <f t="shared" ref="AR97" si="24">AC97</f>
        <v>2.3059588505747128</v>
      </c>
      <c r="AS97" s="3">
        <f t="shared" ref="AS97" si="25">AO97-AR97</f>
        <v>3.392242816091954</v>
      </c>
      <c r="AU97" s="3">
        <f>CPIs!G57</f>
        <v>121.4718</v>
      </c>
      <c r="AW97" s="3">
        <f t="shared" ref="AW97" si="26">AO97/$AU97*100</f>
        <v>4.6909666825276872</v>
      </c>
      <c r="AX97" s="3">
        <f t="shared" ref="AX97" si="27">BA97+AY97</f>
        <v>4.6852852935055544</v>
      </c>
      <c r="AY97" s="3">
        <f t="shared" ref="AY97" si="28">AR97/$AU97*100</f>
        <v>1.8983491234794518</v>
      </c>
      <c r="AZ97" s="3">
        <f t="shared" ref="AZ97" si="29">AW97-AY97</f>
        <v>2.7926175590482352</v>
      </c>
      <c r="BA97" s="3">
        <f t="shared" si="8"/>
        <v>2.7869361700261024</v>
      </c>
      <c r="BB97" s="9">
        <f t="shared" ref="BB97" si="30">T97/AU97*100</f>
        <v>382.19482833808138</v>
      </c>
      <c r="BC97" s="3">
        <v>0</v>
      </c>
      <c r="BD97" s="3">
        <v>0</v>
      </c>
      <c r="BE97" s="3">
        <v>0</v>
      </c>
      <c r="BF97" s="3">
        <v>0</v>
      </c>
      <c r="BH97" s="3">
        <f>AW97*$AU$97/$AU$89</f>
        <v>5.6982016666666677</v>
      </c>
      <c r="BI97" s="3">
        <f>AX97*$AU$97/$AU$89</f>
        <v>5.6913003811564806</v>
      </c>
    </row>
    <row r="98" spans="1:61">
      <c r="Q98" s="40"/>
      <c r="R98" s="40"/>
      <c r="AN98" s="9">
        <v>2019</v>
      </c>
      <c r="AU98" s="3">
        <f>AU97</f>
        <v>121.4718</v>
      </c>
    </row>
    <row r="99" spans="1:61">
      <c r="Q99" s="40"/>
      <c r="R99" s="40"/>
      <c r="AN99" s="9">
        <v>2020</v>
      </c>
      <c r="AU99" s="3">
        <f t="shared" ref="AU99:AU109" si="31">AU98</f>
        <v>121.4718</v>
      </c>
    </row>
    <row r="100" spans="1:61">
      <c r="AN100" s="9">
        <v>2021</v>
      </c>
      <c r="AU100" s="3">
        <f t="shared" si="31"/>
        <v>121.4718</v>
      </c>
      <c r="AW100" s="13" t="s">
        <v>88</v>
      </c>
      <c r="AX100" s="13">
        <v>0.22065804870224937</v>
      </c>
    </row>
    <row r="101" spans="1:61">
      <c r="AN101" s="9">
        <v>2022</v>
      </c>
      <c r="AU101" s="3">
        <f t="shared" si="31"/>
        <v>121.4718</v>
      </c>
      <c r="AW101" s="13" t="s">
        <v>229</v>
      </c>
      <c r="AX101" s="13">
        <v>6.7145809703468258E-3</v>
      </c>
    </row>
    <row r="102" spans="1:61">
      <c r="AN102" s="9">
        <v>2023</v>
      </c>
      <c r="AU102" s="3">
        <f t="shared" si="31"/>
        <v>121.4718</v>
      </c>
      <c r="AW102" s="3" t="s">
        <v>278</v>
      </c>
      <c r="AX102" s="13">
        <v>0.69819480203717643</v>
      </c>
    </row>
    <row r="103" spans="1:61">
      <c r="Q103" s="13" t="str">
        <f t="shared" ref="Q103:R103" si="32">AW100</f>
        <v>Intercept</v>
      </c>
      <c r="R103" s="82">
        <f t="shared" si="32"/>
        <v>0.22065804870224937</v>
      </c>
      <c r="AN103" s="9">
        <v>2024</v>
      </c>
      <c r="AU103" s="3">
        <f t="shared" si="31"/>
        <v>121.4718</v>
      </c>
      <c r="AW103" s="3" t="s">
        <v>234</v>
      </c>
      <c r="AX103" s="13">
        <v>0.57575169088522682</v>
      </c>
    </row>
    <row r="104" spans="1:61">
      <c r="Q104" s="13" t="str">
        <f t="shared" ref="Q104:Q108" si="33">AW101</f>
        <v>landed oil price</v>
      </c>
      <c r="R104" s="82">
        <f t="shared" ref="R104:R108" si="34">AX101</f>
        <v>6.7145809703468258E-3</v>
      </c>
      <c r="AN104" s="9">
        <v>2025</v>
      </c>
      <c r="AU104" s="3">
        <f t="shared" si="31"/>
        <v>121.4718</v>
      </c>
      <c r="AW104" s="31" t="s">
        <v>2043</v>
      </c>
      <c r="AX104" s="13">
        <v>0.66914492104654033</v>
      </c>
    </row>
    <row r="105" spans="1:61" ht="15.75" thickBot="1">
      <c r="Q105" s="13" t="str">
        <f t="shared" si="33"/>
        <v>dum9504</v>
      </c>
      <c r="R105" s="13">
        <f t="shared" si="34"/>
        <v>0.69819480203717643</v>
      </c>
      <c r="AN105" s="9">
        <v>2026</v>
      </c>
      <c r="AU105" s="3">
        <f t="shared" si="31"/>
        <v>121.4718</v>
      </c>
      <c r="AW105" s="17" t="s">
        <v>2439</v>
      </c>
      <c r="AX105" s="14">
        <v>0.51100516494251691</v>
      </c>
    </row>
    <row r="106" spans="1:61">
      <c r="Q106" s="13" t="str">
        <f t="shared" si="33"/>
        <v>dum0910</v>
      </c>
      <c r="R106" s="82">
        <f t="shared" si="34"/>
        <v>0.57575169088522682</v>
      </c>
      <c r="AN106" s="9">
        <v>2027</v>
      </c>
      <c r="AU106" s="3">
        <f t="shared" si="31"/>
        <v>121.4718</v>
      </c>
    </row>
    <row r="107" spans="1:61">
      <c r="Q107" s="13" t="str">
        <f t="shared" si="33"/>
        <v>dum06</v>
      </c>
      <c r="R107" s="13">
        <f t="shared" si="34"/>
        <v>0.66914492104654033</v>
      </c>
      <c r="AN107" s="9">
        <v>2028</v>
      </c>
      <c r="AU107" s="3">
        <f t="shared" si="31"/>
        <v>121.4718</v>
      </c>
    </row>
    <row r="108" spans="1:61">
      <c r="Q108" s="13" t="str">
        <f t="shared" si="33"/>
        <v>dum9516</v>
      </c>
      <c r="R108" s="82">
        <f t="shared" si="34"/>
        <v>0.51100516494251691</v>
      </c>
      <c r="AN108" s="9">
        <v>2029</v>
      </c>
      <c r="AU108" s="3">
        <f t="shared" si="31"/>
        <v>121.4718</v>
      </c>
    </row>
    <row r="109" spans="1:61">
      <c r="AN109" s="9">
        <v>2030</v>
      </c>
      <c r="AU109" s="3">
        <f t="shared" si="31"/>
        <v>121.4718</v>
      </c>
    </row>
    <row r="117" spans="1:72">
      <c r="AD117" s="2"/>
      <c r="AE117" s="2"/>
      <c r="AF117" s="2"/>
      <c r="AG117" s="2"/>
      <c r="AN117"/>
      <c r="AO117"/>
      <c r="AP117"/>
      <c r="AQ117"/>
      <c r="AR117"/>
      <c r="AS117"/>
      <c r="AT117" s="9"/>
      <c r="BK117" s="3"/>
      <c r="BL117" s="3"/>
      <c r="BM117" s="3"/>
      <c r="BN117" s="3"/>
    </row>
    <row r="118" spans="1:72">
      <c r="O118" s="12"/>
      <c r="P118"/>
      <c r="Q118" s="23"/>
      <c r="S118" s="32"/>
      <c r="T118" s="23"/>
      <c r="X118"/>
      <c r="Y118" s="23"/>
      <c r="AD118" s="2"/>
      <c r="AE118" s="2"/>
      <c r="AF118" s="2"/>
      <c r="AG118" s="2"/>
      <c r="AH118" s="2"/>
      <c r="AN118"/>
      <c r="AO118"/>
      <c r="AP118"/>
      <c r="AQ118"/>
      <c r="AR118"/>
      <c r="AS118"/>
      <c r="AT118"/>
      <c r="AU118"/>
      <c r="AV118" s="9"/>
      <c r="BG118" s="3"/>
      <c r="BI118" s="7"/>
      <c r="BK118" s="3"/>
      <c r="BL118" s="3"/>
      <c r="BM118" s="3"/>
      <c r="BN118" s="3"/>
      <c r="BO118" s="3"/>
      <c r="BP118" s="3"/>
    </row>
    <row r="119" spans="1:72">
      <c r="H119" s="2"/>
      <c r="I119" s="2"/>
      <c r="J119" s="2"/>
      <c r="K119" s="2"/>
      <c r="L119" s="2"/>
      <c r="M119" s="2"/>
      <c r="N119" s="2"/>
      <c r="O119" s="32"/>
      <c r="P119" s="2"/>
      <c r="Q119" s="2"/>
      <c r="R119" s="2"/>
      <c r="S119" s="2"/>
      <c r="T119" s="2"/>
      <c r="U119" s="2"/>
      <c r="V119" s="2"/>
      <c r="W119" s="2"/>
      <c r="X119" s="2"/>
      <c r="AD119" s="2"/>
      <c r="AE119" s="2"/>
      <c r="AF119" s="2"/>
      <c r="AG119" s="2"/>
      <c r="AH119" s="2"/>
      <c r="AI119" s="2"/>
      <c r="AJ119" s="2"/>
      <c r="AK119" t="s">
        <v>1960</v>
      </c>
      <c r="AL119" t="s">
        <v>1960</v>
      </c>
      <c r="AM119" t="s">
        <v>1960</v>
      </c>
      <c r="AN119"/>
      <c r="AO119"/>
      <c r="AP119"/>
      <c r="AQ119"/>
      <c r="AR119"/>
      <c r="AS119"/>
      <c r="AT119"/>
      <c r="AU119"/>
      <c r="AV119"/>
      <c r="AW119"/>
      <c r="AX119"/>
      <c r="AY119"/>
      <c r="AZ119" s="9"/>
      <c r="BG119" s="3"/>
      <c r="BI119" s="7"/>
      <c r="BK119" s="3"/>
      <c r="BL119" s="3"/>
      <c r="BM119" s="3"/>
      <c r="BN119" s="3"/>
      <c r="BO119" s="3"/>
      <c r="BP119" s="3"/>
      <c r="BQ119" s="3"/>
      <c r="BR119" s="3"/>
      <c r="BS119" s="3"/>
      <c r="BT119" s="3"/>
    </row>
    <row r="120" spans="1:72">
      <c r="B120" s="76" t="s">
        <v>2551</v>
      </c>
      <c r="C120" s="76"/>
      <c r="D120" s="76"/>
      <c r="E120" s="76"/>
      <c r="F120" s="26" t="s">
        <v>269</v>
      </c>
      <c r="G120" s="76" t="s">
        <v>2563</v>
      </c>
      <c r="H120" s="76"/>
      <c r="I120" s="76"/>
      <c r="J120" s="76"/>
      <c r="K120" s="26" t="s">
        <v>2633</v>
      </c>
      <c r="L120" s="26"/>
      <c r="M120" s="26"/>
      <c r="N120" s="26"/>
      <c r="O120" s="12"/>
      <c r="P120" s="77" t="s">
        <v>111</v>
      </c>
      <c r="Q120" s="26" t="s">
        <v>2635</v>
      </c>
      <c r="R120" s="26"/>
      <c r="S120" s="26"/>
      <c r="T120" s="81">
        <v>0.16</v>
      </c>
      <c r="U120" s="76" t="s">
        <v>2634</v>
      </c>
      <c r="V120" s="76"/>
      <c r="W120" s="76"/>
      <c r="X120" s="76"/>
      <c r="Y120" s="26" t="s">
        <v>2636</v>
      </c>
      <c r="Z120" s="26"/>
      <c r="AA120" s="26"/>
      <c r="AB120" s="79"/>
      <c r="AC120" s="26" t="s">
        <v>2076</v>
      </c>
      <c r="AD120" s="26"/>
      <c r="AE120" s="26"/>
      <c r="AF120" s="79"/>
      <c r="AG120" s="2"/>
      <c r="AH120" s="2"/>
      <c r="AI120" s="2"/>
      <c r="AJ120" s="2"/>
      <c r="AK120" s="3" t="s">
        <v>1957</v>
      </c>
      <c r="AL120" s="3" t="s">
        <v>1957</v>
      </c>
      <c r="AM120" s="3" t="s">
        <v>1957</v>
      </c>
      <c r="AN120"/>
      <c r="AO120"/>
      <c r="AP120"/>
      <c r="AQ120"/>
      <c r="AR120"/>
      <c r="AS120"/>
      <c r="AT120"/>
      <c r="AU120"/>
      <c r="AV120"/>
      <c r="AW120" s="9"/>
      <c r="BG120" s="3"/>
      <c r="BI120" s="7"/>
      <c r="BK120" s="3"/>
      <c r="BL120" s="3"/>
      <c r="BM120" s="3"/>
      <c r="BN120" s="3"/>
      <c r="BO120" s="3"/>
      <c r="BP120" s="3"/>
      <c r="BQ120" s="3"/>
    </row>
    <row r="121" spans="1:72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2564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G121" s="2"/>
      <c r="AH121" s="2"/>
      <c r="AI121" s="2"/>
      <c r="AJ121" s="2"/>
      <c r="AK121" s="3" t="s">
        <v>268</v>
      </c>
      <c r="AL121" s="3" t="s">
        <v>267</v>
      </c>
      <c r="AM121" s="3" t="s">
        <v>266</v>
      </c>
      <c r="AN121"/>
      <c r="AO121"/>
      <c r="AP121"/>
      <c r="AQ121"/>
      <c r="AR121"/>
      <c r="AS121"/>
      <c r="AT121"/>
      <c r="AU121"/>
      <c r="AV121"/>
      <c r="AW121" s="9"/>
      <c r="BG121" s="3"/>
      <c r="BI121" s="7"/>
      <c r="BK121" s="3"/>
      <c r="BL121" s="3"/>
      <c r="BM121" s="3"/>
      <c r="BN121" s="3"/>
      <c r="BO121" s="3"/>
      <c r="BP121" s="3"/>
      <c r="BQ121" s="3"/>
    </row>
    <row r="122" spans="1:72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35">AL122</f>
        <v>77.45</v>
      </c>
      <c r="E122" s="3">
        <f t="shared" si="35"/>
        <v>77.45</v>
      </c>
      <c r="F122" s="6">
        <f>'Exchange Rates'!G49</f>
        <v>6.7695000000000007</v>
      </c>
      <c r="G122" s="3">
        <f>(B122*USA!$AU97/100)/$AU89*100*$F122</f>
        <v>524.29777500000012</v>
      </c>
      <c r="H122" s="3">
        <f>(C122*USA!$AU97/100)/$AU89*100*$F122</f>
        <v>524.29777500000012</v>
      </c>
      <c r="I122" s="3">
        <f>(D122*USA!$AU97/100)/$AU89*100*$F122</f>
        <v>524.29777500000012</v>
      </c>
      <c r="J122" s="3">
        <f>(E122*USA!$AU97/100)/$AU89*100*$F122</f>
        <v>524.29777500000012</v>
      </c>
      <c r="K122" s="6">
        <f>R$103+R$104*G122+R$106+R$108</f>
        <v>4.8278547673401757</v>
      </c>
      <c r="L122" s="6">
        <f>R$103+R$104*H122+R$106+R$108</f>
        <v>4.8278547673401757</v>
      </c>
      <c r="M122" s="6">
        <f>R$103+R$104*I122+R$106+R$108</f>
        <v>4.8278547673401757</v>
      </c>
      <c r="N122" s="6">
        <f>R$103+R$104*J122+R$106+R$108</f>
        <v>4.8278547673401757</v>
      </c>
      <c r="O122">
        <v>2010</v>
      </c>
      <c r="P122" s="24">
        <f t="shared" ref="P122:P130" si="36">Z89/AU89*100</f>
        <v>1.0464316239316238</v>
      </c>
      <c r="Q122" s="3">
        <f t="shared" ref="Q122:Q130" si="37">(K122+$P122)*$AA89</f>
        <v>0.99862868651620595</v>
      </c>
      <c r="R122" s="3">
        <f t="shared" ref="R122:R130" si="38">(L122+$P122)*$AA89</f>
        <v>0.99862868651620595</v>
      </c>
      <c r="S122" s="3">
        <f t="shared" ref="S122:S130" si="39">(M122+$P122)*$AA89</f>
        <v>0.99862868651620595</v>
      </c>
      <c r="T122" s="3">
        <f t="shared" ref="T122:T130" si="40">(N122+$P122)*$AA89</f>
        <v>0.99862868651620595</v>
      </c>
      <c r="U122" s="3">
        <f t="shared" ref="U122:U130" si="41">AW89</f>
        <v>6.8000000000000007</v>
      </c>
      <c r="V122" s="3">
        <f t="shared" ref="V122:V142" si="42">L122+$P122+R122</f>
        <v>6.8729150777880053</v>
      </c>
      <c r="W122" s="3">
        <f t="shared" ref="W122:W142" si="43">M122+$P122+S122</f>
        <v>6.8729150777880053</v>
      </c>
      <c r="X122" s="3">
        <f t="shared" ref="X122:X142" si="44">N122+$P122+T122</f>
        <v>6.8729150777880053</v>
      </c>
      <c r="Y122" s="3">
        <f t="shared" ref="Y122:Y130" si="45">AW89*$AU$97/100</f>
        <v>8.2600824000000017</v>
      </c>
      <c r="Z122" s="3">
        <f t="shared" ref="Z122:Z142" si="46">V122*$AU$97/100</f>
        <v>8.3486536574604902</v>
      </c>
      <c r="AA122" s="3">
        <f t="shared" ref="AA122:AA142" si="47">W122*$AU$97/100</f>
        <v>8.3486536574604902</v>
      </c>
      <c r="AB122" s="3">
        <f t="shared" ref="AB122:AB142" si="48">X122*$AU$97/100</f>
        <v>8.3486536574604902</v>
      </c>
      <c r="AC122" s="3">
        <f t="shared" ref="AC122:AC130" si="49">U122*$AU$96/100</f>
        <v>8.0981200000000015</v>
      </c>
      <c r="AD122" s="3">
        <f>AC122</f>
        <v>8.0981200000000015</v>
      </c>
      <c r="AE122" s="3">
        <f t="shared" ref="AE122:AF122" si="50">AD122</f>
        <v>8.0981200000000015</v>
      </c>
      <c r="AF122" s="3">
        <f t="shared" si="50"/>
        <v>8.0981200000000015</v>
      </c>
      <c r="AG122" s="3"/>
      <c r="AH122" s="2"/>
      <c r="AI122" s="2"/>
      <c r="AJ122" s="2"/>
      <c r="AK122" s="3">
        <f>USA!AJ135</f>
        <v>77.45</v>
      </c>
      <c r="AL122" s="3">
        <f>USA!AK135</f>
        <v>77.45</v>
      </c>
      <c r="AM122" s="3">
        <f>USA!AL135</f>
        <v>77.45</v>
      </c>
      <c r="AN122"/>
      <c r="AO122"/>
      <c r="AP122"/>
      <c r="AQ122"/>
      <c r="AR122"/>
      <c r="AS122"/>
      <c r="AT122"/>
      <c r="AU122"/>
      <c r="AV122"/>
      <c r="AW122" s="9"/>
      <c r="BG122" s="3"/>
      <c r="BI122" s="7"/>
      <c r="BK122" s="3"/>
      <c r="BL122" s="3"/>
      <c r="BM122" s="3"/>
      <c r="BN122" s="3"/>
      <c r="BO122" s="3"/>
      <c r="BP122" s="3"/>
      <c r="BQ122" s="3"/>
    </row>
    <row r="123" spans="1:72">
      <c r="A123">
        <v>2011</v>
      </c>
      <c r="B123" s="3">
        <f>USA!Z98/USA!AU98*100</f>
        <v>104.18614906980585</v>
      </c>
      <c r="C123" s="3">
        <f t="shared" ref="C123:C142" si="51">AK123</f>
        <v>104.18614906980586</v>
      </c>
      <c r="D123" s="3">
        <f t="shared" ref="D123:D142" si="52">AL123</f>
        <v>104.18614906980586</v>
      </c>
      <c r="E123" s="3">
        <f t="shared" ref="E123:E142" si="53">AM123</f>
        <v>104.18614906980586</v>
      </c>
      <c r="F123" s="6">
        <f>'Exchange Rates'!G50</f>
        <v>6.4588000000000001</v>
      </c>
      <c r="G123" s="3">
        <f>(B123*USA!$AU98/100)/$AU90*100*$F123</f>
        <v>657.50645191852209</v>
      </c>
      <c r="H123" s="3">
        <f>(C123*USA!$AU98/100)/$AU90*100*$F123</f>
        <v>657.5064519185222</v>
      </c>
      <c r="I123" s="3">
        <f>(D123*USA!$AU98/100)/$AU90*100*$F123</f>
        <v>657.5064519185222</v>
      </c>
      <c r="J123" s="3">
        <f>(E123*USA!$AU98/100)/$AU90*100*$F123</f>
        <v>657.5064519185222</v>
      </c>
      <c r="K123" s="6">
        <f>R$103+R$104*G123+R$108</f>
        <v>5.1465435235771348</v>
      </c>
      <c r="L123" s="6">
        <f>R$103+R$104*H123+R$108</f>
        <v>5.1465435235771366</v>
      </c>
      <c r="M123" s="6">
        <f>R$103+R$104*I123+R$108</f>
        <v>5.1465435235771366</v>
      </c>
      <c r="N123" s="6">
        <f>R$103+R$104*J123+R$108</f>
        <v>5.1465435235771366</v>
      </c>
      <c r="O123">
        <v>2011</v>
      </c>
      <c r="P123" s="24">
        <f t="shared" si="36"/>
        <v>1.0353986242190882</v>
      </c>
      <c r="Q123" s="3">
        <f t="shared" si="37"/>
        <v>1.050930165125358</v>
      </c>
      <c r="R123" s="3">
        <f t="shared" si="38"/>
        <v>1.0509301651253582</v>
      </c>
      <c r="S123" s="3">
        <f t="shared" si="39"/>
        <v>1.0509301651253582</v>
      </c>
      <c r="T123" s="3">
        <f t="shared" si="40"/>
        <v>1.0509301651253582</v>
      </c>
      <c r="U123" s="3">
        <f t="shared" si="41"/>
        <v>7.2003789673140695</v>
      </c>
      <c r="V123" s="3">
        <f t="shared" si="42"/>
        <v>7.2328723129215824</v>
      </c>
      <c r="W123" s="3">
        <f t="shared" si="43"/>
        <v>7.2328723129215824</v>
      </c>
      <c r="X123" s="3">
        <f t="shared" si="44"/>
        <v>7.2328723129215824</v>
      </c>
      <c r="Y123" s="3">
        <f t="shared" si="45"/>
        <v>8.7464299384178119</v>
      </c>
      <c r="Z123" s="3">
        <f t="shared" si="46"/>
        <v>8.785900190207478</v>
      </c>
      <c r="AA123" s="3">
        <f t="shared" si="47"/>
        <v>8.785900190207478</v>
      </c>
      <c r="AB123" s="3">
        <f t="shared" si="48"/>
        <v>8.785900190207478</v>
      </c>
      <c r="AC123" s="3">
        <f t="shared" si="49"/>
        <v>8.5749313121743249</v>
      </c>
      <c r="AD123" s="3">
        <f t="shared" ref="AD123:AF123" si="54">AC123</f>
        <v>8.5749313121743249</v>
      </c>
      <c r="AE123" s="3">
        <f t="shared" si="54"/>
        <v>8.5749313121743249</v>
      </c>
      <c r="AF123" s="3">
        <f t="shared" si="54"/>
        <v>8.5749313121743249</v>
      </c>
      <c r="AG123" s="3"/>
      <c r="AH123" s="2"/>
      <c r="AI123" s="2"/>
      <c r="AJ123" s="2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/>
      <c r="AO123"/>
      <c r="AP123"/>
      <c r="AQ123"/>
      <c r="AR123"/>
      <c r="AS123"/>
      <c r="AT123"/>
      <c r="AU123"/>
      <c r="AV123"/>
      <c r="AW123" s="9"/>
      <c r="BG123" s="3"/>
      <c r="BI123" s="7"/>
      <c r="BK123" s="3"/>
      <c r="BL123" s="3"/>
      <c r="BM123" s="3"/>
      <c r="BN123" s="3"/>
      <c r="BO123" s="3"/>
      <c r="BP123" s="3"/>
      <c r="BQ123" s="3"/>
    </row>
    <row r="124" spans="1:72">
      <c r="A124">
        <v>2012</v>
      </c>
      <c r="B124" s="3">
        <f>USA!Z99/USA!AU99*100</f>
        <v>104.07290773565181</v>
      </c>
      <c r="C124" s="3">
        <f t="shared" si="51"/>
        <v>104.07290773565181</v>
      </c>
      <c r="D124" s="3">
        <f t="shared" si="52"/>
        <v>104.07290773565181</v>
      </c>
      <c r="E124" s="3">
        <f t="shared" si="53"/>
        <v>104.07290773565181</v>
      </c>
      <c r="F124" s="6">
        <f>'Exchange Rates'!G51</f>
        <v>6.3125</v>
      </c>
      <c r="G124" s="3">
        <f>(B124*USA!$AU99/100)/$AU91*100*$F124</f>
        <v>638.10247943977731</v>
      </c>
      <c r="H124" s="3">
        <f>(C124*USA!$AU99/100)/$AU91*100*$F124</f>
        <v>638.10247943977731</v>
      </c>
      <c r="I124" s="3">
        <f>(D124*USA!$AU99/100)/$AU91*100*$F124</f>
        <v>638.10247943977731</v>
      </c>
      <c r="J124" s="3">
        <f>(E124*USA!$AU99/100)/$AU91*100*$F124</f>
        <v>638.10247943977731</v>
      </c>
      <c r="K124" s="6">
        <f t="shared" ref="K124:K130" si="55">R$103+R$104*G124</f>
        <v>4.5052488142797049</v>
      </c>
      <c r="L124" s="6">
        <f t="shared" ref="L124:L128" si="56">R$103+R$104*H124+R$108</f>
        <v>5.0162539792222223</v>
      </c>
      <c r="M124" s="6">
        <f t="shared" ref="M124:M128" si="57">R$103+R$104*I124+R$108</f>
        <v>5.0162539792222223</v>
      </c>
      <c r="N124" s="6">
        <f t="shared" ref="N124:N128" si="58">R$103+R$104*J124+R$108</f>
        <v>5.0162539792222223</v>
      </c>
      <c r="O124">
        <v>2012</v>
      </c>
      <c r="P124" s="24">
        <f t="shared" si="36"/>
        <v>1.0517862553497705</v>
      </c>
      <c r="Q124" s="3">
        <f t="shared" si="37"/>
        <v>0.94469596183701088</v>
      </c>
      <c r="R124" s="3">
        <f t="shared" si="38"/>
        <v>1.0315668398772389</v>
      </c>
      <c r="S124" s="3">
        <f t="shared" si="39"/>
        <v>1.0315668398772389</v>
      </c>
      <c r="T124" s="3">
        <f t="shared" si="40"/>
        <v>1.0315668398772389</v>
      </c>
      <c r="U124" s="3">
        <f t="shared" si="41"/>
        <v>7.2932053175775486</v>
      </c>
      <c r="V124" s="3">
        <f t="shared" si="42"/>
        <v>7.0996070744492314</v>
      </c>
      <c r="W124" s="3">
        <f t="shared" si="43"/>
        <v>7.0996070744492314</v>
      </c>
      <c r="X124" s="3">
        <f t="shared" si="44"/>
        <v>7.0996070744492314</v>
      </c>
      <c r="Y124" s="3">
        <f t="shared" si="45"/>
        <v>8.8591877769571639</v>
      </c>
      <c r="Z124" s="3">
        <f t="shared" si="46"/>
        <v>8.6240205062608215</v>
      </c>
      <c r="AA124" s="3">
        <f t="shared" si="47"/>
        <v>8.6240205062608215</v>
      </c>
      <c r="AB124" s="3">
        <f t="shared" si="48"/>
        <v>8.6240205062608215</v>
      </c>
      <c r="AC124" s="3">
        <f t="shared" si="49"/>
        <v>8.6854782127031029</v>
      </c>
      <c r="AD124" s="3">
        <f t="shared" ref="AD124:AF124" si="59">AC124</f>
        <v>8.6854782127031029</v>
      </c>
      <c r="AE124" s="3">
        <f t="shared" si="59"/>
        <v>8.6854782127031029</v>
      </c>
      <c r="AF124" s="3">
        <f t="shared" si="59"/>
        <v>8.6854782127031029</v>
      </c>
      <c r="AG124" s="3"/>
      <c r="AH124" s="2"/>
      <c r="AI124" s="2"/>
      <c r="AJ124" s="2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/>
      <c r="AO124"/>
      <c r="AP124"/>
      <c r="AQ124"/>
      <c r="AR124"/>
      <c r="AS124"/>
      <c r="AT124"/>
      <c r="AU124"/>
      <c r="AV124"/>
      <c r="AW124" s="9"/>
      <c r="BG124" s="3"/>
      <c r="BI124" s="7"/>
      <c r="BK124" s="3"/>
      <c r="BL124" s="3"/>
      <c r="BM124" s="3"/>
      <c r="BN124" s="3"/>
      <c r="BO124" s="3"/>
      <c r="BP124" s="3"/>
      <c r="BQ124" s="3"/>
    </row>
    <row r="125" spans="1:72">
      <c r="A125">
        <v>2013</v>
      </c>
      <c r="B125" s="3">
        <f>USA!Z100/USA!AU100*100</f>
        <v>99.286371359470479</v>
      </c>
      <c r="C125" s="3">
        <f t="shared" si="51"/>
        <v>99.286371359470493</v>
      </c>
      <c r="D125" s="3">
        <f t="shared" si="52"/>
        <v>99.286371359470493</v>
      </c>
      <c r="E125" s="3">
        <f t="shared" si="53"/>
        <v>99.286371359470493</v>
      </c>
      <c r="F125" s="6">
        <f>'Exchange Rates'!G52</f>
        <v>6.1932000000000009</v>
      </c>
      <c r="G125" s="3">
        <f>(B125*USA!$AU100/100)/$AU92*100*$F125</f>
        <v>590.21625000000006</v>
      </c>
      <c r="H125" s="3">
        <f>(C125*USA!$AU100/100)/$AU92*100*$F125</f>
        <v>590.21625000000006</v>
      </c>
      <c r="I125" s="3">
        <f>(D125*USA!$AU100/100)/$AU92*100*$F125</f>
        <v>590.21625000000006</v>
      </c>
      <c r="J125" s="3">
        <f>(E125*USA!$AU100/100)/$AU92*100*$F125</f>
        <v>590.21625000000006</v>
      </c>
      <c r="K125" s="6">
        <f t="shared" si="55"/>
        <v>4.1837128493417142</v>
      </c>
      <c r="L125" s="6">
        <f t="shared" si="56"/>
        <v>4.6947180142842306</v>
      </c>
      <c r="M125" s="6">
        <f t="shared" si="57"/>
        <v>4.6947180142842306</v>
      </c>
      <c r="N125" s="6">
        <f t="shared" si="58"/>
        <v>4.6947180142842306</v>
      </c>
      <c r="O125">
        <v>2013</v>
      </c>
      <c r="P125" s="24">
        <f t="shared" si="36"/>
        <v>1.0666845049716587</v>
      </c>
      <c r="Q125" s="3">
        <f t="shared" si="37"/>
        <v>0.8925675502332735</v>
      </c>
      <c r="R125" s="3">
        <f t="shared" si="38"/>
        <v>0.97943842827350125</v>
      </c>
      <c r="S125" s="3">
        <f t="shared" si="39"/>
        <v>0.97943842827350125</v>
      </c>
      <c r="T125" s="3">
        <f t="shared" si="40"/>
        <v>0.97943842827350125</v>
      </c>
      <c r="U125" s="3">
        <f t="shared" si="41"/>
        <v>6.8369917236415976</v>
      </c>
      <c r="V125" s="3">
        <f t="shared" si="42"/>
        <v>6.7408409475293904</v>
      </c>
      <c r="W125" s="3">
        <f t="shared" si="43"/>
        <v>6.7408409475293904</v>
      </c>
      <c r="X125" s="3">
        <f t="shared" si="44"/>
        <v>6.7408409475293904</v>
      </c>
      <c r="Y125" s="3">
        <f t="shared" si="45"/>
        <v>8.3050169125584734</v>
      </c>
      <c r="Z125" s="3">
        <f t="shared" si="46"/>
        <v>8.1882208341010063</v>
      </c>
      <c r="AA125" s="3">
        <f t="shared" si="47"/>
        <v>8.1882208341010063</v>
      </c>
      <c r="AB125" s="3">
        <f t="shared" si="48"/>
        <v>8.1882208341010063</v>
      </c>
      <c r="AC125" s="3">
        <f t="shared" si="49"/>
        <v>8.1421734436847775</v>
      </c>
      <c r="AD125" s="3">
        <f t="shared" ref="AD125:AF125" si="60">AC125</f>
        <v>8.1421734436847775</v>
      </c>
      <c r="AE125" s="3">
        <f t="shared" si="60"/>
        <v>8.1421734436847775</v>
      </c>
      <c r="AF125" s="3">
        <f t="shared" si="60"/>
        <v>8.1421734436847775</v>
      </c>
      <c r="AG125" s="3"/>
      <c r="AH125" s="2"/>
      <c r="AI125" s="2"/>
      <c r="AJ125" s="2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/>
      <c r="AO125"/>
      <c r="AP125"/>
      <c r="AQ125"/>
      <c r="AR125"/>
      <c r="AS125"/>
      <c r="AT125"/>
      <c r="AU125"/>
      <c r="AV125"/>
      <c r="AW125" s="9"/>
      <c r="BG125" s="3"/>
      <c r="BI125" s="7"/>
      <c r="BK125" s="3"/>
      <c r="BL125" s="3"/>
      <c r="BM125" s="3"/>
      <c r="BN125" s="3"/>
      <c r="BO125" s="3"/>
      <c r="BP125" s="3"/>
      <c r="BQ125" s="3"/>
    </row>
    <row r="126" spans="1:72">
      <c r="A126">
        <v>2014</v>
      </c>
      <c r="B126" s="3">
        <f>USA!Z101/USA!AU101*100</f>
        <v>88.687750298592292</v>
      </c>
      <c r="C126" s="3">
        <f t="shared" si="51"/>
        <v>88.687750298592292</v>
      </c>
      <c r="D126" s="3">
        <f t="shared" si="52"/>
        <v>88.687750298592292</v>
      </c>
      <c r="E126" s="3">
        <f t="shared" si="53"/>
        <v>88.687750298592292</v>
      </c>
      <c r="F126" s="6">
        <f>'Exchange Rates'!G53</f>
        <v>6.1427999999999994</v>
      </c>
      <c r="G126" s="3">
        <f>(B126*USA!$AU101/100)/$AU93*100*$F126</f>
        <v>521.55543077941547</v>
      </c>
      <c r="H126" s="3">
        <f>(C126*USA!$AU101/100)/$AU93*100*$F126</f>
        <v>521.55543077941547</v>
      </c>
      <c r="I126" s="3">
        <f>(D126*USA!$AU101/100)/$AU93*100*$F126</f>
        <v>521.55543077941547</v>
      </c>
      <c r="J126" s="3">
        <f>(E126*USA!$AU101/100)/$AU93*100*$F126</f>
        <v>521.55543077941547</v>
      </c>
      <c r="K126" s="6">
        <f t="shared" si="55"/>
        <v>3.722684219194754</v>
      </c>
      <c r="L126" s="6">
        <f t="shared" si="56"/>
        <v>4.2336893841372714</v>
      </c>
      <c r="M126" s="6">
        <f t="shared" si="57"/>
        <v>4.2336893841372714</v>
      </c>
      <c r="N126" s="6">
        <f t="shared" si="58"/>
        <v>4.2336893841372714</v>
      </c>
      <c r="O126">
        <v>2014</v>
      </c>
      <c r="P126" s="24">
        <f t="shared" si="36"/>
        <v>1.2357666166475414</v>
      </c>
      <c r="Q126" s="3">
        <f t="shared" si="37"/>
        <v>0.8429366420931903</v>
      </c>
      <c r="R126" s="3">
        <f t="shared" si="38"/>
        <v>0.92980752013341827</v>
      </c>
      <c r="S126" s="3">
        <f t="shared" si="39"/>
        <v>0.92980752013341827</v>
      </c>
      <c r="T126" s="3">
        <f t="shared" si="40"/>
        <v>0.92980752013341827</v>
      </c>
      <c r="U126" s="3">
        <f t="shared" si="41"/>
        <v>6.3439632800776744</v>
      </c>
      <c r="V126" s="3">
        <f t="shared" si="42"/>
        <v>6.3992635209182316</v>
      </c>
      <c r="W126" s="3">
        <f t="shared" si="43"/>
        <v>6.3992635209182316</v>
      </c>
      <c r="X126" s="3">
        <f t="shared" si="44"/>
        <v>6.3992635209182316</v>
      </c>
      <c r="Y126" s="3">
        <f t="shared" si="45"/>
        <v>7.706126387649392</v>
      </c>
      <c r="Z126" s="3">
        <f t="shared" si="46"/>
        <v>7.7733005856027519</v>
      </c>
      <c r="AA126" s="3">
        <f t="shared" si="47"/>
        <v>7.7733005856027519</v>
      </c>
      <c r="AB126" s="3">
        <f t="shared" si="48"/>
        <v>7.7733005856027519</v>
      </c>
      <c r="AC126" s="3">
        <f t="shared" si="49"/>
        <v>7.5550258702445028</v>
      </c>
      <c r="AD126" s="3">
        <f t="shared" ref="AD126:AF126" si="61">AC126</f>
        <v>7.5550258702445028</v>
      </c>
      <c r="AE126" s="3">
        <f t="shared" si="61"/>
        <v>7.5550258702445028</v>
      </c>
      <c r="AF126" s="3">
        <f t="shared" si="61"/>
        <v>7.5550258702445028</v>
      </c>
      <c r="AG126" s="3"/>
      <c r="AH126" s="2"/>
      <c r="AI126" s="2"/>
      <c r="AJ126" s="2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/>
      <c r="AO126"/>
      <c r="AP126"/>
      <c r="AQ126"/>
      <c r="AR126"/>
      <c r="AS126"/>
      <c r="AT126"/>
      <c r="AU126"/>
      <c r="AV126"/>
      <c r="AW126" s="9"/>
      <c r="BG126" s="3"/>
      <c r="BI126" s="7"/>
      <c r="BK126" s="3"/>
      <c r="BL126" s="3"/>
      <c r="BM126" s="3"/>
      <c r="BN126" s="3"/>
      <c r="BO126" s="3"/>
      <c r="BP126" s="3"/>
      <c r="BQ126" s="3"/>
    </row>
    <row r="127" spans="1:72">
      <c r="A127">
        <v>2015</v>
      </c>
      <c r="B127" s="3">
        <f>USA!Z102/USA!AU102*100</f>
        <v>45.556296925601828</v>
      </c>
      <c r="C127" s="3">
        <f t="shared" si="51"/>
        <v>45.556296925601814</v>
      </c>
      <c r="D127" s="3">
        <f t="shared" si="52"/>
        <v>45.556296925601814</v>
      </c>
      <c r="E127" s="3">
        <f t="shared" si="53"/>
        <v>45.556296925601814</v>
      </c>
      <c r="F127" s="6">
        <f>'Exchange Rates'!G54</f>
        <v>6.2284000000000006</v>
      </c>
      <c r="G127" s="3">
        <f>(B127*USA!$AU102/100)/$AU94*100*$F127</f>
        <v>268.36900328054304</v>
      </c>
      <c r="H127" s="3">
        <f>(C127*USA!$AU102/100)/$AU94*100*$F127</f>
        <v>268.36900328054293</v>
      </c>
      <c r="I127" s="3">
        <f>(D127*USA!$AU102/100)/$AU94*100*$F127</f>
        <v>268.36900328054293</v>
      </c>
      <c r="J127" s="3">
        <f>(E127*USA!$AU102/100)/$AU94*100*$F127</f>
        <v>268.36900328054293</v>
      </c>
      <c r="K127" s="6">
        <f t="shared" si="55"/>
        <v>2.0226434511607287</v>
      </c>
      <c r="L127" s="6">
        <f t="shared" si="56"/>
        <v>2.5336486161032448</v>
      </c>
      <c r="M127" s="6">
        <f t="shared" si="57"/>
        <v>2.5336486161032448</v>
      </c>
      <c r="N127" s="6">
        <f t="shared" si="58"/>
        <v>2.5336486161032448</v>
      </c>
      <c r="O127">
        <v>2015</v>
      </c>
      <c r="P127" s="24">
        <f t="shared" si="36"/>
        <v>1.3226592412112774</v>
      </c>
      <c r="Q127" s="3">
        <f t="shared" si="37"/>
        <v>0.5687014577032411</v>
      </c>
      <c r="R127" s="3">
        <f t="shared" si="38"/>
        <v>0.65557233574346885</v>
      </c>
      <c r="S127" s="3">
        <f t="shared" si="39"/>
        <v>0.65557233574346885</v>
      </c>
      <c r="T127" s="3">
        <f t="shared" si="40"/>
        <v>0.65557233574346885</v>
      </c>
      <c r="U127" s="3">
        <f t="shared" si="41"/>
        <v>4.3358162199791161</v>
      </c>
      <c r="V127" s="3">
        <f t="shared" si="42"/>
        <v>4.5118801930579906</v>
      </c>
      <c r="W127" s="3">
        <f t="shared" si="43"/>
        <v>4.5118801930579906</v>
      </c>
      <c r="X127" s="3">
        <f t="shared" si="44"/>
        <v>4.5118801930579906</v>
      </c>
      <c r="Y127" s="3">
        <f t="shared" si="45"/>
        <v>5.2667940071005921</v>
      </c>
      <c r="Z127" s="3">
        <f t="shared" si="46"/>
        <v>5.4806620843510165</v>
      </c>
      <c r="AA127" s="3">
        <f t="shared" si="47"/>
        <v>5.4806620843510165</v>
      </c>
      <c r="AB127" s="3">
        <f t="shared" si="48"/>
        <v>5.4806620843510165</v>
      </c>
      <c r="AC127" s="3">
        <f t="shared" si="49"/>
        <v>5.1635235363731296</v>
      </c>
      <c r="AD127" s="3">
        <f t="shared" ref="AD127:AF127" si="62">AC127</f>
        <v>5.1635235363731296</v>
      </c>
      <c r="AE127" s="3">
        <f t="shared" si="62"/>
        <v>5.1635235363731296</v>
      </c>
      <c r="AF127" s="3">
        <f t="shared" si="62"/>
        <v>5.1635235363731296</v>
      </c>
      <c r="AG127" s="3"/>
      <c r="AH127" s="2"/>
      <c r="AI127" s="2"/>
      <c r="AJ127" s="2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/>
      <c r="AO127"/>
      <c r="AP127"/>
      <c r="AQ127"/>
      <c r="AR127"/>
      <c r="AS127"/>
      <c r="AT127"/>
      <c r="AU127"/>
      <c r="AV127"/>
      <c r="AW127" s="9"/>
      <c r="BG127" s="3"/>
      <c r="BI127" s="7"/>
      <c r="BK127" s="3"/>
      <c r="BL127" s="3"/>
      <c r="BM127" s="3"/>
      <c r="BN127" s="3"/>
      <c r="BO127" s="3"/>
      <c r="BP127" s="3"/>
      <c r="BQ127" s="3"/>
    </row>
    <row r="128" spans="1:72">
      <c r="A128">
        <v>2016</v>
      </c>
      <c r="B128" s="3">
        <f>USA!Z103/USA!AU103*100</f>
        <v>36.957692605914716</v>
      </c>
      <c r="C128" s="3">
        <f t="shared" si="51"/>
        <v>36.957692605914716</v>
      </c>
      <c r="D128" s="3">
        <f t="shared" si="52"/>
        <v>36.957692605914716</v>
      </c>
      <c r="E128" s="3">
        <f t="shared" si="53"/>
        <v>36.957692605914716</v>
      </c>
      <c r="F128" s="6">
        <f>'Exchange Rates'!G55</f>
        <v>6.6423000000000005</v>
      </c>
      <c r="G128" s="3">
        <f>(B128*USA!$AU103/100)/$AU95*100*$F128</f>
        <v>230.53669321788095</v>
      </c>
      <c r="H128" s="3">
        <f>(C128*USA!$AU103/100)/$AU95*100*$F128</f>
        <v>230.53669321788095</v>
      </c>
      <c r="I128" s="3">
        <f>(D128*USA!$AU103/100)/$AU95*100*$F128</f>
        <v>230.53669321788095</v>
      </c>
      <c r="J128" s="3">
        <f>(E128*USA!$AU103/100)/$AU95*100*$F128</f>
        <v>230.53669321788095</v>
      </c>
      <c r="K128" s="6">
        <f t="shared" si="55"/>
        <v>1.768615341949717</v>
      </c>
      <c r="L128" s="6">
        <f t="shared" si="56"/>
        <v>2.2796205068922339</v>
      </c>
      <c r="M128" s="6">
        <f t="shared" si="57"/>
        <v>2.2796205068922339</v>
      </c>
      <c r="N128" s="6">
        <f t="shared" si="58"/>
        <v>2.2796205068922339</v>
      </c>
      <c r="O128">
        <v>2016</v>
      </c>
      <c r="P128" s="24">
        <f t="shared" si="36"/>
        <v>1.2967070465790822</v>
      </c>
      <c r="Q128" s="3">
        <f t="shared" si="37"/>
        <v>0.52110480604989595</v>
      </c>
      <c r="R128" s="3">
        <f t="shared" si="38"/>
        <v>0.6079756840901237</v>
      </c>
      <c r="S128" s="3">
        <f t="shared" si="39"/>
        <v>0.6079756840901237</v>
      </c>
      <c r="T128" s="3">
        <f t="shared" si="40"/>
        <v>0.6079756840901237</v>
      </c>
      <c r="U128" s="3">
        <f t="shared" si="41"/>
        <v>4.200853096741171</v>
      </c>
      <c r="V128" s="3">
        <f t="shared" si="42"/>
        <v>4.1843032375614397</v>
      </c>
      <c r="W128" s="3">
        <f t="shared" si="43"/>
        <v>4.1843032375614397</v>
      </c>
      <c r="X128" s="3">
        <f t="shared" si="44"/>
        <v>4.1843032375614397</v>
      </c>
      <c r="Y128" s="3">
        <f t="shared" si="45"/>
        <v>5.1028518719672418</v>
      </c>
      <c r="Z128" s="3">
        <f t="shared" si="46"/>
        <v>5.082748460124157</v>
      </c>
      <c r="AA128" s="3">
        <f t="shared" si="47"/>
        <v>5.082748460124157</v>
      </c>
      <c r="AB128" s="3">
        <f t="shared" si="48"/>
        <v>5.082748460124157</v>
      </c>
      <c r="AC128" s="3">
        <f t="shared" si="49"/>
        <v>5.0027959529090609</v>
      </c>
      <c r="AD128" s="3">
        <f t="shared" ref="AD128:AF128" si="63">AC128</f>
        <v>5.0027959529090609</v>
      </c>
      <c r="AE128" s="3">
        <f t="shared" si="63"/>
        <v>5.0027959529090609</v>
      </c>
      <c r="AF128" s="3">
        <f t="shared" si="63"/>
        <v>5.0027959529090609</v>
      </c>
      <c r="AG128" s="3"/>
      <c r="AH128" s="2"/>
      <c r="AI128" s="2"/>
      <c r="AJ128" s="2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/>
      <c r="AO128"/>
      <c r="AP128"/>
      <c r="AQ128"/>
      <c r="AR128"/>
      <c r="AS128"/>
      <c r="AT128"/>
      <c r="AU128"/>
      <c r="AV128"/>
      <c r="AW128" s="9"/>
      <c r="BG128" s="3"/>
      <c r="BI128" s="7"/>
      <c r="BK128" s="3"/>
      <c r="BL128" s="3"/>
      <c r="BM128" s="3"/>
      <c r="BN128" s="3"/>
      <c r="BO128" s="3"/>
      <c r="BP128" s="3"/>
      <c r="BQ128" s="3"/>
    </row>
    <row r="129" spans="1:69">
      <c r="A129">
        <v>2017</v>
      </c>
      <c r="B129" s="3">
        <f>USA!Z104/USA!AU104*100</f>
        <v>46.705738720797434</v>
      </c>
      <c r="C129" s="3">
        <f t="shared" si="51"/>
        <v>46.705738720797434</v>
      </c>
      <c r="D129" s="3">
        <f t="shared" si="52"/>
        <v>46.705738720797434</v>
      </c>
      <c r="E129" s="3">
        <f t="shared" si="53"/>
        <v>46.705738720797434</v>
      </c>
      <c r="F129" s="6">
        <f>'Exchange Rates'!G56</f>
        <v>6.758</v>
      </c>
      <c r="G129" s="3">
        <f>(B129*USA!$AU104/100)/$AU96*100*$F129</f>
        <v>297.97848685867825</v>
      </c>
      <c r="H129" s="3">
        <f>(C129*USA!$AU104/100)/$AU96*100*$F129</f>
        <v>297.97848685867825</v>
      </c>
      <c r="I129" s="3">
        <f>(D129*USA!$AU104/100)/$AU96*100*$F129</f>
        <v>297.97848685867825</v>
      </c>
      <c r="J129" s="3">
        <f>(E129*USA!$AU104/100)/$AU96*100*$F129</f>
        <v>297.97848685867825</v>
      </c>
      <c r="K129" s="6">
        <f t="shared" si="55"/>
        <v>2.2214587261362722</v>
      </c>
      <c r="L129" s="6">
        <f t="shared" ref="L129:L142" si="64">R$103+R$104*H129</f>
        <v>2.2214587261362722</v>
      </c>
      <c r="M129" s="6">
        <f t="shared" ref="M129:M141" si="65">R$103+R$104*I129</f>
        <v>2.2214587261362722</v>
      </c>
      <c r="N129" s="6">
        <f t="shared" ref="N129:N142" si="66">R$103+R$104*J129</f>
        <v>2.2214587261362722</v>
      </c>
      <c r="O129">
        <v>2017</v>
      </c>
      <c r="P129" s="24">
        <f t="shared" si="36"/>
        <v>1.2763456209589386</v>
      </c>
      <c r="Q129" s="3">
        <f t="shared" si="37"/>
        <v>0.5946267390061859</v>
      </c>
      <c r="R129" s="3">
        <f t="shared" si="38"/>
        <v>0.5946267390061859</v>
      </c>
      <c r="S129" s="3">
        <f t="shared" si="39"/>
        <v>0.5946267390061859</v>
      </c>
      <c r="T129" s="3">
        <f t="shared" si="40"/>
        <v>0.5946267390061859</v>
      </c>
      <c r="U129" s="3">
        <f t="shared" si="41"/>
        <v>4.0857838609455026</v>
      </c>
      <c r="V129" s="3">
        <f t="shared" si="42"/>
        <v>4.0924310861013966</v>
      </c>
      <c r="W129" s="3">
        <f t="shared" si="43"/>
        <v>4.0924310861013966</v>
      </c>
      <c r="X129" s="3">
        <f t="shared" si="44"/>
        <v>4.0924310861013966</v>
      </c>
      <c r="Y129" s="3">
        <f t="shared" si="45"/>
        <v>4.9630751999999987</v>
      </c>
      <c r="Z129" s="3">
        <f t="shared" si="46"/>
        <v>4.9711497040469164</v>
      </c>
      <c r="AA129" s="3">
        <f t="shared" si="47"/>
        <v>4.9711497040469164</v>
      </c>
      <c r="AB129" s="3">
        <f t="shared" si="48"/>
        <v>4.9711497040469164</v>
      </c>
      <c r="AC129" s="3">
        <f t="shared" si="49"/>
        <v>4.865759999999999</v>
      </c>
      <c r="AD129" s="3">
        <f t="shared" ref="AD129:AF129" si="67">AC129</f>
        <v>4.865759999999999</v>
      </c>
      <c r="AE129" s="3">
        <f t="shared" si="67"/>
        <v>4.865759999999999</v>
      </c>
      <c r="AF129" s="3">
        <f t="shared" si="67"/>
        <v>4.865759999999999</v>
      </c>
      <c r="AG129" s="3"/>
      <c r="AH129" s="2"/>
      <c r="AI129" s="2"/>
      <c r="AJ129" s="2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/>
      <c r="AO129"/>
      <c r="AP129"/>
      <c r="AQ129"/>
      <c r="AR129"/>
      <c r="AS129"/>
      <c r="AT129"/>
      <c r="AU129"/>
      <c r="AV129"/>
      <c r="AW129" s="9"/>
      <c r="BG129" s="3"/>
      <c r="BI129" s="7"/>
      <c r="BK129" s="3"/>
      <c r="BL129" s="3"/>
      <c r="BM129" s="3"/>
      <c r="BN129" s="3"/>
      <c r="BO129" s="3"/>
      <c r="BP129" s="3"/>
      <c r="BQ129" s="3"/>
    </row>
    <row r="130" spans="1:69">
      <c r="A130">
        <v>2018</v>
      </c>
      <c r="B130" s="3">
        <f>USA!Z105/USA!AU105*100</f>
        <v>60.818458312139953</v>
      </c>
      <c r="C130" s="3">
        <f t="shared" si="51"/>
        <v>60.818458312139953</v>
      </c>
      <c r="D130" s="3">
        <f t="shared" si="52"/>
        <v>60.818458312139953</v>
      </c>
      <c r="E130" s="3">
        <f t="shared" si="53"/>
        <v>60.818458312139953</v>
      </c>
      <c r="F130" s="6">
        <f>'Exchange Rates'!G57</f>
        <v>6.6130000000000004</v>
      </c>
      <c r="G130" s="3">
        <f>(B130*USA!$AU105/100)/$AU97*100*$F130</f>
        <v>382.19482833808132</v>
      </c>
      <c r="H130" s="3">
        <f>(C130*USA!$AU105/100)/$AU97*100*$F130</f>
        <v>382.19482833808132</v>
      </c>
      <c r="I130" s="3">
        <f>(D130*USA!$AU105/100)/$AU97*100*$F130</f>
        <v>382.19482833808132</v>
      </c>
      <c r="J130" s="3">
        <f>(E130*USA!$AU105/100)/$AU97*100*$F130</f>
        <v>382.19482833808132</v>
      </c>
      <c r="K130" s="6">
        <f t="shared" si="55"/>
        <v>2.7869361700261024</v>
      </c>
      <c r="L130" s="6">
        <f t="shared" si="64"/>
        <v>2.7869361700261024</v>
      </c>
      <c r="M130" s="6">
        <f t="shared" si="65"/>
        <v>2.7869361700261024</v>
      </c>
      <c r="N130" s="6">
        <f t="shared" si="66"/>
        <v>2.7869361700261024</v>
      </c>
      <c r="O130">
        <v>2018</v>
      </c>
      <c r="P130" s="24">
        <f t="shared" si="36"/>
        <v>1.2513192362342536</v>
      </c>
      <c r="Q130" s="3">
        <f t="shared" si="37"/>
        <v>0.646120865001657</v>
      </c>
      <c r="R130" s="3">
        <f t="shared" si="38"/>
        <v>0.646120865001657</v>
      </c>
      <c r="S130" s="3">
        <f t="shared" si="39"/>
        <v>0.646120865001657</v>
      </c>
      <c r="T130" s="3">
        <f t="shared" si="40"/>
        <v>0.646120865001657</v>
      </c>
      <c r="U130" s="3">
        <f t="shared" si="41"/>
        <v>4.6909666825276872</v>
      </c>
      <c r="V130" s="3">
        <f t="shared" si="42"/>
        <v>4.6843762712620132</v>
      </c>
      <c r="W130" s="3">
        <f t="shared" si="43"/>
        <v>4.6843762712620132</v>
      </c>
      <c r="X130" s="3">
        <f t="shared" si="44"/>
        <v>4.6843762712620132</v>
      </c>
      <c r="Y130" s="3">
        <f t="shared" si="45"/>
        <v>5.6982016666666677</v>
      </c>
      <c r="Z130" s="3">
        <f t="shared" si="46"/>
        <v>5.69019617547485</v>
      </c>
      <c r="AA130" s="3">
        <f t="shared" si="47"/>
        <v>5.69019617547485</v>
      </c>
      <c r="AB130" s="3">
        <f t="shared" si="48"/>
        <v>5.69019617547485</v>
      </c>
      <c r="AC130" s="3">
        <f t="shared" si="49"/>
        <v>5.5864722222222225</v>
      </c>
      <c r="AD130" s="3">
        <f t="shared" ref="AD130:AD142" si="68">V130*$AU$96/100</f>
        <v>5.578623701445931</v>
      </c>
      <c r="AE130" s="3">
        <f t="shared" ref="AE130:AE142" si="69">W130*$AU$96/100</f>
        <v>5.578623701445931</v>
      </c>
      <c r="AF130" s="3">
        <f t="shared" ref="AF130:AF142" si="70">X130*$AU$96/100</f>
        <v>5.578623701445931</v>
      </c>
      <c r="AG130" s="3"/>
      <c r="AH130" s="2"/>
      <c r="AI130" s="3"/>
      <c r="AJ130" s="2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/>
      <c r="AO130"/>
      <c r="AP130"/>
      <c r="AQ130"/>
      <c r="AR130"/>
      <c r="AS130"/>
      <c r="AT130"/>
      <c r="AU130"/>
      <c r="AV130"/>
      <c r="AW130" s="9"/>
      <c r="BG130" s="3"/>
      <c r="BI130" s="7"/>
      <c r="BK130" s="3"/>
      <c r="BL130" s="3"/>
      <c r="BM130" s="3"/>
      <c r="BN130" s="3"/>
      <c r="BO130" s="3"/>
      <c r="BP130" s="3"/>
      <c r="BQ130" s="3"/>
    </row>
    <row r="131" spans="1:69">
      <c r="A131">
        <v>2019</v>
      </c>
      <c r="B131" s="3"/>
      <c r="C131" s="3">
        <f>AK131</f>
        <v>90.611761513694489</v>
      </c>
      <c r="D131" s="3">
        <f t="shared" si="52"/>
        <v>56.019786702864394</v>
      </c>
      <c r="E131" s="3">
        <f t="shared" si="53"/>
        <v>25.889074718198426</v>
      </c>
      <c r="F131" s="6">
        <f>'Exchange Rates'!G58</f>
        <v>6.8470000000000004</v>
      </c>
      <c r="G131" s="3"/>
      <c r="H131" s="3">
        <f>(C131*USA!$AU106/100)/$AU98*100*$F131</f>
        <v>589.57054437028353</v>
      </c>
      <c r="I131" s="3">
        <f>(D131*USA!$AU106/100)/$AU98*100*$F131</f>
        <v>364.49590638322758</v>
      </c>
      <c r="J131" s="3">
        <f>(E131*USA!$AU106/100)/$AU98*100*$F131</f>
        <v>168.44872696293814</v>
      </c>
      <c r="K131" s="6"/>
      <c r="L131" s="6">
        <f t="shared" si="64"/>
        <v>4.179377206607974</v>
      </c>
      <c r="M131" s="6">
        <f t="shared" si="65"/>
        <v>2.6680953254723878</v>
      </c>
      <c r="N131" s="6">
        <f t="shared" si="66"/>
        <v>1.3517206652467419</v>
      </c>
      <c r="O131">
        <v>2019</v>
      </c>
      <c r="P131" s="3">
        <f t="shared" ref="P131:P142" si="71">P130</f>
        <v>1.2513192362342536</v>
      </c>
      <c r="Q131" s="3"/>
      <c r="R131" s="3">
        <f>(L131+P131)*$T$120</f>
        <v>0.86891143085475653</v>
      </c>
      <c r="S131" s="3">
        <f t="shared" ref="S131:S142" si="72">(M131+P131)*$T$120</f>
        <v>0.62710632987306258</v>
      </c>
      <c r="T131" s="3">
        <f t="shared" ref="T131:T142" si="73">(N131+P131)*$T$120</f>
        <v>0.41648638423695927</v>
      </c>
      <c r="U131" s="3"/>
      <c r="V131" s="3">
        <f t="shared" si="42"/>
        <v>6.2996078736969849</v>
      </c>
      <c r="W131" s="3">
        <f t="shared" si="43"/>
        <v>4.5465208915797035</v>
      </c>
      <c r="X131" s="3">
        <f t="shared" si="44"/>
        <v>3.019526285717955</v>
      </c>
      <c r="Y131" s="3"/>
      <c r="Z131" s="3">
        <f t="shared" si="46"/>
        <v>7.652247077121455</v>
      </c>
      <c r="AA131" s="3">
        <f t="shared" si="47"/>
        <v>5.5227407643779145</v>
      </c>
      <c r="AB131" s="3">
        <f t="shared" si="48"/>
        <v>3.6678729307347431</v>
      </c>
      <c r="AC131" s="3"/>
      <c r="AD131" s="3">
        <f t="shared" si="68"/>
        <v>7.5022030167857396</v>
      </c>
      <c r="AE131" s="3">
        <f t="shared" si="69"/>
        <v>5.414451729782269</v>
      </c>
      <c r="AF131" s="3">
        <f t="shared" si="70"/>
        <v>3.5959538536615128</v>
      </c>
      <c r="AG131" s="3"/>
      <c r="AH131" s="2"/>
      <c r="AI131" s="2"/>
      <c r="AJ131" s="2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/>
      <c r="AO131"/>
      <c r="AP131"/>
      <c r="AQ131"/>
      <c r="AR131"/>
      <c r="AS131"/>
      <c r="AT131"/>
      <c r="AU131"/>
      <c r="AV131"/>
      <c r="AW131" s="9"/>
      <c r="BG131" s="3"/>
      <c r="BI131" s="7"/>
      <c r="BK131" s="3"/>
      <c r="BL131" s="3"/>
      <c r="BM131" s="3"/>
      <c r="BN131" s="3"/>
      <c r="BO131" s="3"/>
      <c r="BP131" s="3"/>
      <c r="BQ131" s="3"/>
    </row>
    <row r="132" spans="1:69">
      <c r="A132">
        <v>2020</v>
      </c>
      <c r="B132" s="3"/>
      <c r="C132" s="3">
        <f t="shared" si="51"/>
        <v>105.28223718734027</v>
      </c>
      <c r="D132" s="3">
        <f t="shared" si="52"/>
        <v>56.251630823658907</v>
      </c>
      <c r="E132" s="3">
        <f t="shared" si="53"/>
        <v>26.752043875471706</v>
      </c>
      <c r="F132" s="6">
        <f>'Exchange Rates'!G59</f>
        <v>6.8470000000000004</v>
      </c>
      <c r="G132" s="3"/>
      <c r="H132" s="3">
        <f>(C132*USA!$AU107/100)/$AU99*100*$F132</f>
        <v>685.02482298261521</v>
      </c>
      <c r="I132" s="3">
        <f>(D132*USA!$AU107/100)/$AU99*100*$F132</f>
        <v>366.00441325057523</v>
      </c>
      <c r="J132" s="3">
        <f>(E132*USA!$AU107/100)/$AU99*100*$F132</f>
        <v>174.06368452836941</v>
      </c>
      <c r="K132" s="6"/>
      <c r="L132" s="6">
        <f t="shared" si="64"/>
        <v>4.8203126893165207</v>
      </c>
      <c r="M132" s="6">
        <f t="shared" si="65"/>
        <v>2.6782243169775173</v>
      </c>
      <c r="N132" s="6">
        <f t="shared" si="66"/>
        <v>1.3894227524648919</v>
      </c>
      <c r="O132">
        <v>2020</v>
      </c>
      <c r="P132" s="3">
        <f t="shared" si="71"/>
        <v>1.2513192362342536</v>
      </c>
      <c r="Q132" s="3"/>
      <c r="R132" s="3">
        <f t="shared" ref="R132:R142" si="74">(L132+P132)*$T$120</f>
        <v>0.9714611080881238</v>
      </c>
      <c r="S132" s="3">
        <f t="shared" si="72"/>
        <v>0.62872696851388332</v>
      </c>
      <c r="T132" s="3">
        <f t="shared" si="73"/>
        <v>0.42251871819186326</v>
      </c>
      <c r="U132" s="3"/>
      <c r="V132" s="3">
        <f t="shared" si="42"/>
        <v>7.0430930336388977</v>
      </c>
      <c r="W132" s="3">
        <f t="shared" si="43"/>
        <v>4.5582705217256541</v>
      </c>
      <c r="X132" s="3">
        <f t="shared" si="44"/>
        <v>3.0632607068910085</v>
      </c>
      <c r="Y132" s="3"/>
      <c r="Z132" s="3">
        <f t="shared" si="46"/>
        <v>8.5553718836357753</v>
      </c>
      <c r="AA132" s="3">
        <f t="shared" si="47"/>
        <v>5.5370132516095429</v>
      </c>
      <c r="AB132" s="3">
        <f t="shared" si="48"/>
        <v>3.7209979193532319</v>
      </c>
      <c r="AC132" s="3"/>
      <c r="AD132" s="3">
        <f t="shared" si="68"/>
        <v>8.3876194937605639</v>
      </c>
      <c r="AE132" s="3">
        <f t="shared" si="69"/>
        <v>5.4284443643230818</v>
      </c>
      <c r="AF132" s="3">
        <f t="shared" si="70"/>
        <v>3.6480371758365022</v>
      </c>
      <c r="AG132" s="3"/>
      <c r="AH132" s="2"/>
      <c r="AI132" s="2"/>
      <c r="AJ132" s="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/>
      <c r="AO132"/>
      <c r="AP132"/>
      <c r="AQ132"/>
      <c r="AR132"/>
      <c r="AS132"/>
      <c r="AT132"/>
      <c r="AU132"/>
      <c r="AV132"/>
      <c r="AW132" s="9"/>
      <c r="BG132" s="3"/>
      <c r="BI132" s="7"/>
      <c r="BK132" s="3"/>
      <c r="BL132" s="3"/>
      <c r="BM132" s="3"/>
      <c r="BN132" s="3"/>
      <c r="BO132" s="3"/>
      <c r="BP132" s="3"/>
      <c r="BQ132" s="3"/>
    </row>
    <row r="133" spans="1:69">
      <c r="A133">
        <v>2021</v>
      </c>
      <c r="B133" s="3"/>
      <c r="C133" s="3">
        <f t="shared" si="51"/>
        <v>120.81568201825931</v>
      </c>
      <c r="D133" s="3">
        <f t="shared" si="52"/>
        <v>63.082289986431647</v>
      </c>
      <c r="E133" s="3">
        <f t="shared" si="53"/>
        <v>28.477982190018274</v>
      </c>
      <c r="F133" s="6">
        <f>'Exchange Rates'!G60</f>
        <v>6.8470000000000004</v>
      </c>
      <c r="G133" s="3"/>
      <c r="H133" s="3">
        <f>(C133*USA!$AU108/100)/$AU100*100*$F133</f>
        <v>786.09405916037792</v>
      </c>
      <c r="I133" s="3">
        <f>(D133*USA!$AU108/100)/$AU100*100*$F133</f>
        <v>410.44848291359733</v>
      </c>
      <c r="J133" s="3">
        <f>(E133*USA!$AU108/100)/$AU100*100*$F133</f>
        <v>185.29359965923203</v>
      </c>
      <c r="K133" s="6"/>
      <c r="L133" s="6">
        <f t="shared" si="64"/>
        <v>5.4989502592432151</v>
      </c>
      <c r="M133" s="6">
        <f t="shared" si="65"/>
        <v>2.9766476213816144</v>
      </c>
      <c r="N133" s="6">
        <f t="shared" si="66"/>
        <v>1.4648269269011918</v>
      </c>
      <c r="O133">
        <v>2021</v>
      </c>
      <c r="P133" s="3">
        <f t="shared" si="71"/>
        <v>1.2513192362342536</v>
      </c>
      <c r="Q133" s="3"/>
      <c r="R133" s="3">
        <f t="shared" si="74"/>
        <v>1.0800431192763948</v>
      </c>
      <c r="S133" s="3">
        <f t="shared" si="72"/>
        <v>0.67647469721853892</v>
      </c>
      <c r="T133" s="3">
        <f t="shared" si="73"/>
        <v>0.43458338610167124</v>
      </c>
      <c r="U133" s="3"/>
      <c r="V133" s="3">
        <f t="shared" si="42"/>
        <v>7.8303126147538631</v>
      </c>
      <c r="W133" s="3">
        <f t="shared" si="43"/>
        <v>4.9044415548344071</v>
      </c>
      <c r="X133" s="3">
        <f t="shared" si="44"/>
        <v>3.1507295492371163</v>
      </c>
      <c r="Y133" s="3"/>
      <c r="Z133" s="3">
        <f t="shared" si="46"/>
        <v>9.5116216787685843</v>
      </c>
      <c r="AA133" s="3">
        <f t="shared" si="47"/>
        <v>5.9575134366053417</v>
      </c>
      <c r="AB133" s="3">
        <f t="shared" si="48"/>
        <v>3.8272478965902117</v>
      </c>
      <c r="AC133" s="3"/>
      <c r="AD133" s="3">
        <f t="shared" si="68"/>
        <v>9.3251192929103759</v>
      </c>
      <c r="AE133" s="3">
        <f t="shared" si="69"/>
        <v>5.8406994476522955</v>
      </c>
      <c r="AF133" s="3">
        <f t="shared" si="70"/>
        <v>3.752203820186482</v>
      </c>
      <c r="AG133" s="3"/>
      <c r="AH133" s="2"/>
      <c r="AI133" s="2"/>
      <c r="AJ133" s="2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/>
      <c r="AO133"/>
      <c r="AP133"/>
      <c r="AQ133"/>
      <c r="AR133"/>
      <c r="AS133"/>
      <c r="AT133"/>
      <c r="AU133"/>
      <c r="AV133"/>
      <c r="AW133" s="9"/>
      <c r="BG133" s="3"/>
      <c r="BI133" s="7"/>
      <c r="BK133" s="3"/>
      <c r="BL133" s="3"/>
      <c r="BM133" s="3"/>
      <c r="BN133" s="3"/>
      <c r="BO133" s="3"/>
      <c r="BP133" s="3"/>
      <c r="BQ133" s="3"/>
    </row>
    <row r="134" spans="1:69">
      <c r="A134">
        <v>2022</v>
      </c>
      <c r="B134" s="3"/>
      <c r="C134" s="3">
        <f t="shared" si="51"/>
        <v>127.71943527644558</v>
      </c>
      <c r="D134" s="3">
        <f t="shared" si="52"/>
        <v>68.168185410991157</v>
      </c>
      <c r="E134" s="3">
        <f t="shared" si="53"/>
        <v>29.340951347291547</v>
      </c>
      <c r="F134" s="6">
        <f>'Exchange Rates'!G61</f>
        <v>6.8470000000000004</v>
      </c>
      <c r="G134" s="3"/>
      <c r="H134" s="3">
        <f>(C134*USA!$AU109/100)/$AU101*100*$F134</f>
        <v>831.0137196838283</v>
      </c>
      <c r="I134" s="3">
        <f>(D134*USA!$AU109/100)/$AU101*100*$F134</f>
        <v>443.54014876334145</v>
      </c>
      <c r="J134" s="3">
        <f>(E134*USA!$AU109/100)/$AU101*100*$F134</f>
        <v>190.90855722466321</v>
      </c>
      <c r="K134" s="6"/>
      <c r="L134" s="6">
        <f t="shared" si="64"/>
        <v>5.8005669569884146</v>
      </c>
      <c r="M134" s="6">
        <f t="shared" si="65"/>
        <v>3.1988442911733816</v>
      </c>
      <c r="N134" s="6">
        <f t="shared" si="66"/>
        <v>1.502529014119341</v>
      </c>
      <c r="O134">
        <v>2022</v>
      </c>
      <c r="P134" s="3">
        <f t="shared" si="71"/>
        <v>1.2513192362342536</v>
      </c>
      <c r="Q134" s="3"/>
      <c r="R134" s="3">
        <f t="shared" si="74"/>
        <v>1.1283017909156268</v>
      </c>
      <c r="S134" s="3">
        <f t="shared" si="72"/>
        <v>0.7120261643852217</v>
      </c>
      <c r="T134" s="3">
        <f t="shared" si="73"/>
        <v>0.44061572005657512</v>
      </c>
      <c r="U134" s="3"/>
      <c r="V134" s="3">
        <f t="shared" si="42"/>
        <v>8.1801879841382945</v>
      </c>
      <c r="W134" s="3">
        <f t="shared" si="43"/>
        <v>5.1621896917928574</v>
      </c>
      <c r="X134" s="3">
        <f t="shared" si="44"/>
        <v>3.1944639704101694</v>
      </c>
      <c r="Y134" s="3"/>
      <c r="Z134" s="3">
        <f t="shared" si="46"/>
        <v>9.9366215877165001</v>
      </c>
      <c r="AA134" s="3">
        <f t="shared" si="47"/>
        <v>6.2706047380352352</v>
      </c>
      <c r="AB134" s="3">
        <f t="shared" si="48"/>
        <v>3.8803728852087001</v>
      </c>
      <c r="AC134" s="3"/>
      <c r="AD134" s="3">
        <f t="shared" si="68"/>
        <v>9.7417858703102951</v>
      </c>
      <c r="AE134" s="3">
        <f t="shared" si="69"/>
        <v>6.1476517039561145</v>
      </c>
      <c r="AF134" s="3">
        <f t="shared" si="70"/>
        <v>3.8042871423614706</v>
      </c>
      <c r="AG134" s="3"/>
      <c r="AH134" s="2"/>
      <c r="AI134" s="2"/>
      <c r="AJ134" s="2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/>
      <c r="AO134"/>
      <c r="AP134"/>
      <c r="AQ134"/>
      <c r="AR134"/>
      <c r="AS134"/>
      <c r="AT134"/>
      <c r="AU134"/>
      <c r="AV134"/>
      <c r="AW134" s="9"/>
      <c r="BG134" s="3"/>
      <c r="BI134" s="7"/>
      <c r="BK134" s="3"/>
      <c r="BL134" s="3"/>
      <c r="BM134" s="3"/>
      <c r="BN134" s="3"/>
      <c r="BO134" s="3"/>
      <c r="BP134" s="3"/>
      <c r="BQ134" s="3"/>
    </row>
    <row r="135" spans="1:69">
      <c r="A135">
        <v>2023</v>
      </c>
      <c r="B135" s="3"/>
      <c r="C135" s="3">
        <f t="shared" si="51"/>
        <v>132.89725022008525</v>
      </c>
      <c r="D135" s="3">
        <f t="shared" si="52"/>
        <v>70.508542947524788</v>
      </c>
      <c r="E135" s="3">
        <f t="shared" si="53"/>
        <v>29.340951347291547</v>
      </c>
      <c r="F135" s="6">
        <f>'Exchange Rates'!G62</f>
        <v>6.8470000000000004</v>
      </c>
      <c r="G135" s="3"/>
      <c r="H135" s="3">
        <f>(C135*USA!$AU110/100)/$AU102*100*$F135</f>
        <v>864.70346507641591</v>
      </c>
      <c r="I135" s="3">
        <f>(D135*USA!$AU110/100)/$AU102*100*$F135</f>
        <v>458.7678172666923</v>
      </c>
      <c r="J135" s="3">
        <f>(E135*USA!$AU110/100)/$AU102*100*$F135</f>
        <v>190.90855722466321</v>
      </c>
      <c r="K135" s="6"/>
      <c r="L135" s="6">
        <f t="shared" si="64"/>
        <v>6.0267794802973134</v>
      </c>
      <c r="M135" s="6">
        <f t="shared" si="65"/>
        <v>3.3010917043287318</v>
      </c>
      <c r="N135" s="6">
        <f t="shared" si="66"/>
        <v>1.502529014119341</v>
      </c>
      <c r="O135">
        <v>2023</v>
      </c>
      <c r="P135" s="3">
        <f t="shared" si="71"/>
        <v>1.2513192362342536</v>
      </c>
      <c r="Q135" s="3"/>
      <c r="R135" s="3">
        <f t="shared" si="74"/>
        <v>1.1644957946450507</v>
      </c>
      <c r="S135" s="3">
        <f t="shared" si="72"/>
        <v>0.7283857504900777</v>
      </c>
      <c r="T135" s="3">
        <f t="shared" si="73"/>
        <v>0.44061572005657512</v>
      </c>
      <c r="U135" s="3"/>
      <c r="V135" s="3">
        <f t="shared" si="42"/>
        <v>8.4425945111766172</v>
      </c>
      <c r="W135" s="3">
        <f t="shared" si="43"/>
        <v>5.2807966910530633</v>
      </c>
      <c r="X135" s="3">
        <f t="shared" si="44"/>
        <v>3.1944639704101694</v>
      </c>
      <c r="Y135" s="3"/>
      <c r="Z135" s="3">
        <f t="shared" si="46"/>
        <v>10.255371519427438</v>
      </c>
      <c r="AA135" s="3">
        <f t="shared" si="47"/>
        <v>6.4146787949625947</v>
      </c>
      <c r="AB135" s="3">
        <f t="shared" si="48"/>
        <v>3.8803728852087001</v>
      </c>
      <c r="AC135" s="3"/>
      <c r="AD135" s="3">
        <f t="shared" si="68"/>
        <v>10.054285803360234</v>
      </c>
      <c r="AE135" s="3">
        <f t="shared" si="69"/>
        <v>6.2889007793750933</v>
      </c>
      <c r="AF135" s="3">
        <f t="shared" si="70"/>
        <v>3.8042871423614706</v>
      </c>
      <c r="AG135" s="3"/>
      <c r="AH135" s="2"/>
      <c r="AI135" s="2"/>
      <c r="AJ135" s="2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/>
      <c r="AO135"/>
      <c r="AP135"/>
      <c r="AQ135"/>
      <c r="AR135"/>
      <c r="AS135"/>
      <c r="AT135"/>
      <c r="AU135"/>
      <c r="AV135"/>
      <c r="AW135" s="9"/>
      <c r="BG135" s="3"/>
      <c r="BI135" s="7"/>
      <c r="BK135" s="3"/>
      <c r="BL135" s="3"/>
      <c r="BM135" s="3"/>
      <c r="BN135" s="3"/>
      <c r="BO135" s="3"/>
      <c r="BP135" s="3"/>
      <c r="BQ135" s="3"/>
    </row>
    <row r="136" spans="1:69">
      <c r="A136">
        <v>2024</v>
      </c>
      <c r="B136" s="3"/>
      <c r="C136" s="3">
        <f t="shared" si="51"/>
        <v>137.21209600645167</v>
      </c>
      <c r="D136" s="3">
        <f t="shared" si="52"/>
        <v>71.127304204880986</v>
      </c>
      <c r="E136" s="3">
        <f t="shared" si="53"/>
        <v>29.340951347291547</v>
      </c>
      <c r="F136" s="6">
        <f>'Exchange Rates'!G63</f>
        <v>6.8470000000000004</v>
      </c>
      <c r="G136" s="3"/>
      <c r="H136" s="3">
        <f>(C136*USA!$AU111/100)/$AU103*100*$F136</f>
        <v>892.77825290357225</v>
      </c>
      <c r="I136" s="3">
        <f>(D136*USA!$AU111/100)/$AU103*100*$F136</f>
        <v>462.79382233756382</v>
      </c>
      <c r="J136" s="3">
        <f>(E136*USA!$AU111/100)/$AU103*100*$F136</f>
        <v>190.90855722466321</v>
      </c>
      <c r="K136" s="6"/>
      <c r="L136" s="6">
        <f t="shared" si="64"/>
        <v>6.2152899163880617</v>
      </c>
      <c r="M136" s="6">
        <f t="shared" si="65"/>
        <v>3.3281246413641252</v>
      </c>
      <c r="N136" s="6">
        <f t="shared" si="66"/>
        <v>1.502529014119341</v>
      </c>
      <c r="O136">
        <v>2024</v>
      </c>
      <c r="P136" s="3">
        <f t="shared" si="71"/>
        <v>1.2513192362342536</v>
      </c>
      <c r="Q136" s="3"/>
      <c r="R136" s="3">
        <f t="shared" si="74"/>
        <v>1.1946574644195704</v>
      </c>
      <c r="S136" s="3">
        <f t="shared" si="72"/>
        <v>0.73271102041574065</v>
      </c>
      <c r="T136" s="3">
        <f t="shared" si="73"/>
        <v>0.44061572005657512</v>
      </c>
      <c r="U136" s="3"/>
      <c r="V136" s="3">
        <f t="shared" si="42"/>
        <v>8.6612666170418855</v>
      </c>
      <c r="W136" s="3">
        <f t="shared" si="43"/>
        <v>5.3121548980141196</v>
      </c>
      <c r="X136" s="3">
        <f t="shared" si="44"/>
        <v>3.1944639704101694</v>
      </c>
      <c r="Y136" s="3"/>
      <c r="Z136" s="3">
        <f t="shared" si="46"/>
        <v>10.520996462519886</v>
      </c>
      <c r="AA136" s="3">
        <f t="shared" si="47"/>
        <v>6.4527701734059155</v>
      </c>
      <c r="AB136" s="3">
        <f t="shared" si="48"/>
        <v>3.8803728852087001</v>
      </c>
      <c r="AC136" s="3"/>
      <c r="AD136" s="3">
        <f t="shared" si="68"/>
        <v>10.314702414235182</v>
      </c>
      <c r="AE136" s="3">
        <f t="shared" si="69"/>
        <v>6.3262452680450156</v>
      </c>
      <c r="AF136" s="3">
        <f t="shared" si="70"/>
        <v>3.8042871423614706</v>
      </c>
      <c r="AG136" s="3"/>
      <c r="AH136" s="2"/>
      <c r="AI136" s="2"/>
      <c r="AJ136" s="2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/>
      <c r="AO136"/>
      <c r="AP136"/>
      <c r="AQ136"/>
      <c r="AR136"/>
      <c r="AS136"/>
      <c r="AT136"/>
      <c r="AU136"/>
      <c r="AV136"/>
      <c r="AW136" s="9"/>
      <c r="BG136" s="3"/>
      <c r="BI136" s="7"/>
      <c r="BK136" s="3"/>
      <c r="BL136" s="3"/>
      <c r="BM136" s="3"/>
      <c r="BN136" s="3"/>
      <c r="BO136" s="3"/>
      <c r="BP136" s="3"/>
      <c r="BQ136" s="3"/>
    </row>
    <row r="137" spans="1:69">
      <c r="A137">
        <v>2025</v>
      </c>
      <c r="B137" s="3"/>
      <c r="C137" s="3">
        <f t="shared" si="51"/>
        <v>141.52694179281806</v>
      </c>
      <c r="D137" s="3">
        <f t="shared" si="52"/>
        <v>74.364924740814473</v>
      </c>
      <c r="E137" s="3">
        <f t="shared" si="53"/>
        <v>30.203920504564827</v>
      </c>
      <c r="F137" s="6">
        <f>'Exchange Rates'!G64</f>
        <v>6.8470000000000004</v>
      </c>
      <c r="G137" s="3"/>
      <c r="H137" s="3">
        <f>(C137*USA!$AU112/100)/$AU104*100*$F137</f>
        <v>920.85304073072848</v>
      </c>
      <c r="I137" s="3">
        <f>(D137*USA!$AU112/100)/$AU104*100*$F137</f>
        <v>483.85958322718341</v>
      </c>
      <c r="J137" s="3">
        <f>(E137*USA!$AU112/100)/$AU104*100*$F137</f>
        <v>196.52351479009448</v>
      </c>
      <c r="K137" s="6"/>
      <c r="L137" s="6">
        <f t="shared" si="64"/>
        <v>6.4038003524788092</v>
      </c>
      <c r="M137" s="6">
        <f t="shared" si="65"/>
        <v>3.4695723985594409</v>
      </c>
      <c r="N137" s="6">
        <f t="shared" si="66"/>
        <v>1.5402311013374907</v>
      </c>
      <c r="O137">
        <v>2025</v>
      </c>
      <c r="P137" s="3">
        <f t="shared" si="71"/>
        <v>1.2513192362342536</v>
      </c>
      <c r="Q137" s="3"/>
      <c r="R137" s="3">
        <f t="shared" si="74"/>
        <v>1.2248191341940902</v>
      </c>
      <c r="S137" s="3">
        <f t="shared" si="72"/>
        <v>0.75534266156699115</v>
      </c>
      <c r="T137" s="3">
        <f t="shared" si="73"/>
        <v>0.44664805401147911</v>
      </c>
      <c r="U137" s="3"/>
      <c r="V137" s="3">
        <f t="shared" si="42"/>
        <v>8.8799387229071538</v>
      </c>
      <c r="W137" s="3">
        <f t="shared" si="43"/>
        <v>5.476234296360686</v>
      </c>
      <c r="X137" s="3">
        <f t="shared" si="44"/>
        <v>3.2381983915832233</v>
      </c>
      <c r="Y137" s="3"/>
      <c r="Z137" s="3">
        <f t="shared" si="46"/>
        <v>10.786621405612332</v>
      </c>
      <c r="AA137" s="3">
        <f t="shared" si="47"/>
        <v>6.6520803720066599</v>
      </c>
      <c r="AB137" s="3">
        <f t="shared" si="48"/>
        <v>3.9334978738271902</v>
      </c>
      <c r="AC137" s="3"/>
      <c r="AD137" s="3">
        <f t="shared" si="68"/>
        <v>10.57511902511013</v>
      </c>
      <c r="AE137" s="3">
        <f t="shared" si="69"/>
        <v>6.5216474235359412</v>
      </c>
      <c r="AF137" s="3">
        <f t="shared" si="70"/>
        <v>3.8563704645364605</v>
      </c>
      <c r="AG137" s="3"/>
      <c r="AH137" s="2"/>
      <c r="AI137" s="2"/>
      <c r="AJ137" s="2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/>
      <c r="AO137"/>
      <c r="AP137"/>
      <c r="AQ137"/>
      <c r="AR137"/>
      <c r="AS137"/>
      <c r="AT137"/>
      <c r="AU137"/>
      <c r="AV137"/>
      <c r="AW137" s="9"/>
      <c r="BG137" s="3"/>
      <c r="BI137" s="7"/>
      <c r="BK137" s="3"/>
      <c r="BL137" s="3"/>
      <c r="BM137" s="3"/>
      <c r="BN137" s="3"/>
      <c r="BO137" s="3"/>
      <c r="BP137" s="3"/>
      <c r="BQ137" s="3"/>
    </row>
    <row r="138" spans="1:69">
      <c r="A138">
        <v>2026</v>
      </c>
      <c r="B138" s="3"/>
      <c r="C138" s="3">
        <f t="shared" si="51"/>
        <v>145.84178757918448</v>
      </c>
      <c r="D138" s="3">
        <f t="shared" si="52"/>
        <v>80.055420065999314</v>
      </c>
      <c r="E138" s="3">
        <f t="shared" si="53"/>
        <v>31.066889661838108</v>
      </c>
      <c r="F138" s="6">
        <f>'Exchange Rates'!G65</f>
        <v>6.8470000000000004</v>
      </c>
      <c r="G138" s="3"/>
      <c r="H138" s="3">
        <f>(C138*USA!$AU113/100)/$AU105*100*$F138</f>
        <v>948.92782855788505</v>
      </c>
      <c r="I138" s="3">
        <f>(D138*USA!$AU113/100)/$AU105*100*$F138</f>
        <v>520.88511248034479</v>
      </c>
      <c r="J138" s="3">
        <f>(E138*USA!$AU113/100)/$AU105*100*$F138</f>
        <v>202.13847235552575</v>
      </c>
      <c r="K138" s="6"/>
      <c r="L138" s="6">
        <f t="shared" si="64"/>
        <v>6.5923107885695602</v>
      </c>
      <c r="M138" s="6">
        <f t="shared" si="65"/>
        <v>3.7181833126997388</v>
      </c>
      <c r="N138" s="6">
        <f t="shared" si="66"/>
        <v>1.5779331885556405</v>
      </c>
      <c r="O138">
        <v>2026</v>
      </c>
      <c r="P138" s="3">
        <f t="shared" si="71"/>
        <v>1.2513192362342536</v>
      </c>
      <c r="Q138" s="3"/>
      <c r="R138" s="3">
        <f t="shared" si="74"/>
        <v>1.2549808039686101</v>
      </c>
      <c r="S138" s="3">
        <f t="shared" si="72"/>
        <v>0.79512040782943871</v>
      </c>
      <c r="T138" s="3">
        <f t="shared" si="73"/>
        <v>0.4526803879663831</v>
      </c>
      <c r="U138" s="3"/>
      <c r="V138" s="3">
        <f t="shared" si="42"/>
        <v>9.0986108287724239</v>
      </c>
      <c r="W138" s="3">
        <f t="shared" si="43"/>
        <v>5.7646229567634304</v>
      </c>
      <c r="X138" s="3">
        <f t="shared" si="44"/>
        <v>3.2819328127562772</v>
      </c>
      <c r="Y138" s="3"/>
      <c r="Z138" s="3">
        <f t="shared" si="46"/>
        <v>11.052246348704783</v>
      </c>
      <c r="AA138" s="3">
        <f t="shared" si="47"/>
        <v>7.0023912687937608</v>
      </c>
      <c r="AB138" s="3">
        <f t="shared" si="48"/>
        <v>3.9866228624456794</v>
      </c>
      <c r="AC138" s="3"/>
      <c r="AD138" s="3">
        <f t="shared" si="68"/>
        <v>10.83553563598508</v>
      </c>
      <c r="AE138" s="3">
        <f t="shared" si="69"/>
        <v>6.86508947920957</v>
      </c>
      <c r="AF138" s="3">
        <f t="shared" si="70"/>
        <v>3.9084537867114504</v>
      </c>
      <c r="AG138" s="3"/>
      <c r="AH138" s="2"/>
      <c r="AI138" s="2"/>
      <c r="AJ138" s="2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/>
      <c r="AO138"/>
      <c r="AP138"/>
      <c r="AQ138"/>
      <c r="AR138"/>
      <c r="AS138"/>
      <c r="AT138"/>
      <c r="AU138"/>
      <c r="AV138"/>
      <c r="AW138" s="9"/>
      <c r="BG138" s="3"/>
      <c r="BI138" s="7"/>
      <c r="BK138" s="3"/>
      <c r="BL138" s="3"/>
      <c r="BM138" s="3"/>
      <c r="BN138" s="3"/>
      <c r="BO138" s="3"/>
      <c r="BP138" s="3"/>
      <c r="BQ138" s="3"/>
    </row>
    <row r="139" spans="1:69">
      <c r="A139">
        <v>2027</v>
      </c>
      <c r="B139" s="3"/>
      <c r="C139" s="3">
        <f t="shared" si="51"/>
        <v>150.15663336555087</v>
      </c>
      <c r="D139" s="3">
        <f t="shared" si="52"/>
        <v>82.98815737026753</v>
      </c>
      <c r="E139" s="3">
        <f t="shared" si="53"/>
        <v>31.929858819111395</v>
      </c>
      <c r="F139" s="6">
        <f>'Exchange Rates'!G66</f>
        <v>6.8470000000000004</v>
      </c>
      <c r="G139" s="3"/>
      <c r="H139" s="3">
        <f>(C139*USA!$AU114/100)/$AU106*100*$F139</f>
        <v>977.00261638504128</v>
      </c>
      <c r="I139" s="3">
        <f>(D139*USA!$AU114/100)/$AU106*100*$F139</f>
        <v>539.96713340222175</v>
      </c>
      <c r="J139" s="3">
        <f>(E139*USA!$AU114/100)/$AU106*100*$F139</f>
        <v>207.75342992095707</v>
      </c>
      <c r="K139" s="6"/>
      <c r="L139" s="6">
        <f t="shared" si="64"/>
        <v>6.7808212246603077</v>
      </c>
      <c r="M139" s="6">
        <f t="shared" si="65"/>
        <v>3.8463110872575337</v>
      </c>
      <c r="N139" s="6">
        <f t="shared" si="66"/>
        <v>1.6156352757737906</v>
      </c>
      <c r="O139">
        <v>2027</v>
      </c>
      <c r="P139" s="3">
        <f t="shared" si="71"/>
        <v>1.2513192362342536</v>
      </c>
      <c r="Q139" s="3"/>
      <c r="R139" s="3">
        <f t="shared" si="74"/>
        <v>1.2851424737431298</v>
      </c>
      <c r="S139" s="3">
        <f t="shared" si="72"/>
        <v>0.81562085175868593</v>
      </c>
      <c r="T139" s="3">
        <f t="shared" si="73"/>
        <v>0.45871272192128709</v>
      </c>
      <c r="U139" s="3"/>
      <c r="V139" s="3">
        <f t="shared" si="42"/>
        <v>9.3172829346376922</v>
      </c>
      <c r="W139" s="3">
        <f t="shared" si="43"/>
        <v>5.9132511752504726</v>
      </c>
      <c r="X139" s="3">
        <f t="shared" si="44"/>
        <v>3.3256672339293312</v>
      </c>
      <c r="Y139" s="3"/>
      <c r="Z139" s="3">
        <f t="shared" si="46"/>
        <v>11.317871291797228</v>
      </c>
      <c r="AA139" s="3">
        <f t="shared" si="47"/>
        <v>7.1829326410979037</v>
      </c>
      <c r="AB139" s="3">
        <f t="shared" si="48"/>
        <v>4.0397478510641696</v>
      </c>
      <c r="AC139" s="3"/>
      <c r="AD139" s="3">
        <f t="shared" si="68"/>
        <v>11.09595224686003</v>
      </c>
      <c r="AE139" s="3">
        <f t="shared" si="69"/>
        <v>7.0420908246057881</v>
      </c>
      <c r="AF139" s="3">
        <f t="shared" si="70"/>
        <v>3.9605371088864403</v>
      </c>
      <c r="AG139" s="3"/>
      <c r="AH139" s="2"/>
      <c r="AI139" s="2"/>
      <c r="AJ139" s="2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/>
      <c r="AO139"/>
      <c r="AP139"/>
      <c r="AQ139"/>
      <c r="AR139"/>
      <c r="AS139"/>
      <c r="AT139"/>
      <c r="AU139"/>
      <c r="AV139"/>
      <c r="AW139" s="9"/>
      <c r="BG139" s="3"/>
      <c r="BI139" s="7"/>
      <c r="BK139" s="3"/>
      <c r="BL139" s="3"/>
      <c r="BM139" s="3"/>
      <c r="BN139" s="3"/>
      <c r="BO139" s="3"/>
      <c r="BP139" s="3"/>
      <c r="BQ139" s="3"/>
    </row>
    <row r="140" spans="1:69">
      <c r="A140">
        <v>2028</v>
      </c>
      <c r="B140" s="3"/>
      <c r="C140" s="3">
        <f t="shared" si="51"/>
        <v>153.60850999464401</v>
      </c>
      <c r="D140" s="3">
        <f t="shared" si="52"/>
        <v>84.844653255379882</v>
      </c>
      <c r="E140" s="3">
        <f t="shared" si="53"/>
        <v>31.929858819111395</v>
      </c>
      <c r="F140" s="6">
        <f>'Exchange Rates'!G67</f>
        <v>6.8470000000000004</v>
      </c>
      <c r="G140" s="3"/>
      <c r="H140" s="3">
        <f>(C140*USA!$AU115/100)/$AU107*100*$F140</f>
        <v>999.46244664676658</v>
      </c>
      <c r="I140" s="3">
        <f>(D140*USA!$AU115/100)/$AU107*100*$F140</f>
        <v>552.04652874033638</v>
      </c>
      <c r="J140" s="3">
        <f>(E140*USA!$AU115/100)/$AU107*100*$F140</f>
        <v>207.75342992095707</v>
      </c>
      <c r="K140" s="6"/>
      <c r="L140" s="6">
        <f t="shared" si="64"/>
        <v>6.9316295735329083</v>
      </c>
      <c r="M140" s="6">
        <f t="shared" si="65"/>
        <v>3.9274191653281338</v>
      </c>
      <c r="N140" s="6">
        <f t="shared" si="66"/>
        <v>1.6156352757737906</v>
      </c>
      <c r="O140">
        <v>2028</v>
      </c>
      <c r="P140" s="3">
        <f t="shared" si="71"/>
        <v>1.2513192362342536</v>
      </c>
      <c r="Q140" s="3"/>
      <c r="R140" s="3">
        <f t="shared" si="74"/>
        <v>1.3092718095627458</v>
      </c>
      <c r="S140" s="3">
        <f t="shared" si="72"/>
        <v>0.82859814424998213</v>
      </c>
      <c r="T140" s="3">
        <f t="shared" si="73"/>
        <v>0.45871272192128709</v>
      </c>
      <c r="U140" s="3"/>
      <c r="V140" s="3">
        <f t="shared" si="42"/>
        <v>9.4922206193299079</v>
      </c>
      <c r="W140" s="3">
        <f t="shared" si="43"/>
        <v>6.00733654581237</v>
      </c>
      <c r="X140" s="3">
        <f t="shared" si="44"/>
        <v>3.3256672339293312</v>
      </c>
      <c r="Y140" s="3"/>
      <c r="Z140" s="3">
        <f t="shared" si="46"/>
        <v>11.530371246271189</v>
      </c>
      <c r="AA140" s="3">
        <f t="shared" si="47"/>
        <v>7.2972198342561105</v>
      </c>
      <c r="AB140" s="3">
        <f t="shared" si="48"/>
        <v>4.0397478510641696</v>
      </c>
      <c r="AC140" s="3"/>
      <c r="AD140" s="3">
        <f t="shared" si="68"/>
        <v>11.304285535559989</v>
      </c>
      <c r="AE140" s="3">
        <f t="shared" si="69"/>
        <v>7.154137092407951</v>
      </c>
      <c r="AF140" s="3">
        <f t="shared" si="70"/>
        <v>3.9605371088864403</v>
      </c>
      <c r="AG140" s="3"/>
      <c r="AH140" s="2"/>
      <c r="AI140" s="2"/>
      <c r="AJ140" s="2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/>
      <c r="AO140"/>
      <c r="AP140"/>
      <c r="AQ140"/>
      <c r="AR140"/>
      <c r="AS140"/>
      <c r="AT140"/>
      <c r="AU140"/>
      <c r="AV140"/>
      <c r="AW140" s="9"/>
      <c r="BG140" s="3"/>
      <c r="BI140" s="7"/>
      <c r="BK140" s="3"/>
      <c r="BL140" s="3"/>
      <c r="BM140" s="3"/>
      <c r="BN140" s="3"/>
      <c r="BO140" s="3"/>
      <c r="BP140" s="3"/>
      <c r="BQ140" s="3"/>
    </row>
    <row r="141" spans="1:69">
      <c r="A141">
        <v>2029</v>
      </c>
      <c r="B141" s="3"/>
      <c r="C141" s="3">
        <f t="shared" si="51"/>
        <v>157.9233557810104</v>
      </c>
      <c r="D141" s="3">
        <f t="shared" si="52"/>
        <v>87.361009569245411</v>
      </c>
      <c r="E141" s="3">
        <f t="shared" si="53"/>
        <v>31.929858819111395</v>
      </c>
      <c r="F141" s="6">
        <f>'Exchange Rates'!G68</f>
        <v>6.8470000000000004</v>
      </c>
      <c r="G141" s="3"/>
      <c r="H141" s="3">
        <f>(C141*USA!$AU116/100)/$AU108*100*$F141</f>
        <v>1027.5372344739228</v>
      </c>
      <c r="I141" s="3">
        <f>(D141*USA!$AU116/100)/$AU108*100*$F141</f>
        <v>568.41934322944769</v>
      </c>
      <c r="J141" s="3">
        <f>(E141*USA!$AU116/100)/$AU108*100*$F141</f>
        <v>207.75342992095707</v>
      </c>
      <c r="K141" s="6"/>
      <c r="L141" s="6">
        <f t="shared" si="64"/>
        <v>7.1201400096236558</v>
      </c>
      <c r="M141" s="6">
        <f t="shared" si="65"/>
        <v>4.0373557539277396</v>
      </c>
      <c r="N141" s="6">
        <f t="shared" si="66"/>
        <v>1.6156352757737906</v>
      </c>
      <c r="O141">
        <v>2029</v>
      </c>
      <c r="P141" s="3">
        <f t="shared" si="71"/>
        <v>1.2513192362342536</v>
      </c>
      <c r="Q141" s="3"/>
      <c r="R141" s="3">
        <f t="shared" si="74"/>
        <v>1.3394334793372655</v>
      </c>
      <c r="S141" s="3">
        <f t="shared" si="72"/>
        <v>0.84618799842591896</v>
      </c>
      <c r="T141" s="3">
        <f t="shared" si="73"/>
        <v>0.45871272192128709</v>
      </c>
      <c r="U141" s="3"/>
      <c r="V141" s="3">
        <f t="shared" si="42"/>
        <v>9.7108927251951762</v>
      </c>
      <c r="W141" s="3">
        <f t="shared" si="43"/>
        <v>6.1348629885879129</v>
      </c>
      <c r="X141" s="3">
        <f t="shared" si="44"/>
        <v>3.3256672339293312</v>
      </c>
      <c r="Y141" s="3"/>
      <c r="Z141" s="3">
        <f t="shared" si="46"/>
        <v>11.795996189363635</v>
      </c>
      <c r="AA141" s="3">
        <f t="shared" si="47"/>
        <v>7.4521284997715327</v>
      </c>
      <c r="AB141" s="3">
        <f t="shared" si="48"/>
        <v>4.0397478510641696</v>
      </c>
      <c r="AC141" s="3"/>
      <c r="AD141" s="3">
        <f t="shared" si="68"/>
        <v>11.564702146434936</v>
      </c>
      <c r="AE141" s="3">
        <f t="shared" si="69"/>
        <v>7.3060083331093457</v>
      </c>
      <c r="AF141" s="3">
        <f t="shared" si="70"/>
        <v>3.9605371088864403</v>
      </c>
      <c r="AG141" s="3"/>
      <c r="AH141" s="2"/>
      <c r="AI141" s="2"/>
      <c r="AJ141" s="2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/>
      <c r="AO141"/>
      <c r="AP141"/>
      <c r="AQ141"/>
      <c r="AR141"/>
      <c r="AS141"/>
      <c r="AT141"/>
      <c r="AU141"/>
      <c r="AV141"/>
      <c r="AW141" s="9"/>
      <c r="BG141" s="3"/>
      <c r="BI141" s="7"/>
      <c r="BK141" s="3"/>
      <c r="BL141" s="3"/>
      <c r="BM141" s="3"/>
      <c r="BN141" s="3"/>
      <c r="BO141" s="3"/>
      <c r="BP141" s="3"/>
      <c r="BQ141" s="3"/>
    </row>
    <row r="142" spans="1:69">
      <c r="A142">
        <v>2030</v>
      </c>
      <c r="B142" s="3"/>
      <c r="C142" s="3">
        <f t="shared" si="51"/>
        <v>160.51226325283022</v>
      </c>
      <c r="D142" s="3">
        <f t="shared" si="52"/>
        <v>89.285088706337618</v>
      </c>
      <c r="E142" s="3">
        <f t="shared" si="53"/>
        <v>32.792827976384679</v>
      </c>
      <c r="F142" s="6">
        <f>'Exchange Rates'!G69</f>
        <v>6.8470000000000004</v>
      </c>
      <c r="G142" s="3"/>
      <c r="H142" s="3">
        <f>(C142*USA!$AU117/100)/$AU109*100*$F142</f>
        <v>1044.3821071702164</v>
      </c>
      <c r="I142" s="3">
        <f>(D142*USA!$AU117/100)/$AU109*100*$F142</f>
        <v>580.93847281391675</v>
      </c>
      <c r="J142" s="3">
        <f>(E142*USA!$AU117/100)/$AU109*100*$F142</f>
        <v>213.36838748638834</v>
      </c>
      <c r="K142" s="6"/>
      <c r="L142" s="6">
        <f t="shared" si="64"/>
        <v>7.2332462712781034</v>
      </c>
      <c r="M142" s="6">
        <f>R$103+R$104*I142</f>
        <v>4.1214164632009211</v>
      </c>
      <c r="N142" s="6">
        <f t="shared" si="66"/>
        <v>1.6533373629919403</v>
      </c>
      <c r="O142">
        <v>2030</v>
      </c>
      <c r="P142" s="3">
        <f t="shared" si="71"/>
        <v>1.2513192362342536</v>
      </c>
      <c r="Q142" s="3"/>
      <c r="R142" s="3">
        <f t="shared" si="74"/>
        <v>1.3575304812019773</v>
      </c>
      <c r="S142" s="3">
        <f t="shared" si="72"/>
        <v>0.85963771190962801</v>
      </c>
      <c r="T142" s="3">
        <f t="shared" si="73"/>
        <v>0.46474505587619108</v>
      </c>
      <c r="U142" s="3"/>
      <c r="V142" s="3">
        <f t="shared" si="42"/>
        <v>9.842095988714334</v>
      </c>
      <c r="W142" s="3">
        <f t="shared" si="43"/>
        <v>6.2323734113448035</v>
      </c>
      <c r="X142" s="3">
        <f t="shared" si="44"/>
        <v>3.3694016551023851</v>
      </c>
      <c r="Y142" s="3"/>
      <c r="Z142" s="3">
        <f t="shared" si="46"/>
        <v>11.955371155219098</v>
      </c>
      <c r="AA142" s="3">
        <f t="shared" si="47"/>
        <v>7.5705761654819366</v>
      </c>
      <c r="AB142" s="3">
        <f t="shared" si="48"/>
        <v>4.0928728396826592</v>
      </c>
      <c r="AC142" s="3"/>
      <c r="AD142" s="3">
        <f t="shared" si="68"/>
        <v>11.720952112959901</v>
      </c>
      <c r="AE142" s="3">
        <f t="shared" si="69"/>
        <v>7.4221334955705265</v>
      </c>
      <c r="AF142" s="3">
        <f t="shared" si="70"/>
        <v>4.0126204310614302</v>
      </c>
      <c r="AG142" s="3"/>
      <c r="AH142" s="2"/>
      <c r="AI142" s="2"/>
      <c r="AJ142" s="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/>
      <c r="AO142"/>
      <c r="AP142"/>
      <c r="AQ142"/>
      <c r="AR142"/>
      <c r="AS142"/>
      <c r="AT142"/>
      <c r="AU142"/>
      <c r="AV142"/>
      <c r="AW142" s="9"/>
      <c r="BG142" s="3"/>
      <c r="BI142" s="7"/>
      <c r="BK142" s="3"/>
      <c r="BL142" s="3"/>
      <c r="BM142" s="3"/>
      <c r="BN142" s="3"/>
      <c r="BO142" s="3"/>
      <c r="BP142" s="3"/>
      <c r="BQ142" s="3"/>
    </row>
    <row r="143" spans="1:69">
      <c r="G143"/>
      <c r="H143"/>
      <c r="I143"/>
      <c r="J143"/>
      <c r="K143"/>
      <c r="L143"/>
      <c r="M143"/>
      <c r="O143" s="12"/>
      <c r="P143"/>
      <c r="Q143"/>
      <c r="R143"/>
      <c r="S143"/>
      <c r="X143"/>
      <c r="Y143"/>
      <c r="Z143"/>
      <c r="AA143"/>
      <c r="AB143"/>
      <c r="AC143"/>
      <c r="AH143" s="2"/>
      <c r="AI143" s="2"/>
      <c r="AJ143" s="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/>
      <c r="AO143"/>
      <c r="AP143"/>
      <c r="AQ143"/>
      <c r="AR143"/>
      <c r="AS143"/>
      <c r="AT143"/>
      <c r="AU143"/>
      <c r="AV143"/>
      <c r="AW143" s="9"/>
      <c r="BG143" s="3"/>
      <c r="BI143" s="7"/>
      <c r="BK143" s="3"/>
      <c r="BL143" s="3"/>
      <c r="BM143" s="3"/>
      <c r="BN143" s="3"/>
      <c r="BO143" s="3"/>
      <c r="BP143" s="3"/>
      <c r="BQ143" s="3"/>
    </row>
    <row r="144" spans="1:69">
      <c r="G144"/>
      <c r="H144"/>
      <c r="I144"/>
      <c r="J144"/>
      <c r="K144"/>
      <c r="L144"/>
      <c r="M144"/>
      <c r="O144" s="12"/>
      <c r="P144"/>
      <c r="Q144"/>
      <c r="R144"/>
      <c r="S144"/>
      <c r="X144"/>
      <c r="Y144"/>
      <c r="Z144"/>
      <c r="AA144"/>
      <c r="AB144"/>
      <c r="AC144"/>
      <c r="AH144" s="2"/>
      <c r="AI144" s="2"/>
      <c r="AJ144" s="2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/>
      <c r="AO144"/>
      <c r="AP144"/>
      <c r="AQ144"/>
      <c r="AR144"/>
      <c r="AS144"/>
      <c r="AT144"/>
      <c r="AU144"/>
      <c r="AV144"/>
      <c r="AW144" s="9"/>
      <c r="BG144" s="3"/>
      <c r="BI144" s="7"/>
      <c r="BK144" s="3"/>
      <c r="BL144" s="3"/>
      <c r="BM144" s="3"/>
      <c r="BN144" s="3"/>
      <c r="BO144" s="3"/>
      <c r="BP144" s="3"/>
      <c r="BQ144" s="3"/>
    </row>
    <row r="145" spans="4:72">
      <c r="D145" s="2"/>
      <c r="E145" s="3"/>
      <c r="F145" s="3"/>
      <c r="G145" s="7"/>
      <c r="J145"/>
      <c r="K145"/>
      <c r="L145"/>
      <c r="M145"/>
      <c r="O145" s="12"/>
      <c r="P145"/>
      <c r="Q145"/>
      <c r="R145"/>
      <c r="S145"/>
      <c r="X145"/>
      <c r="Y145"/>
      <c r="Z145"/>
      <c r="AA145"/>
      <c r="AB145"/>
      <c r="AC145"/>
      <c r="AH145" s="2"/>
      <c r="AI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/>
      <c r="AO145"/>
      <c r="AP145"/>
      <c r="AQ145"/>
      <c r="AR145"/>
      <c r="AS145"/>
      <c r="AT145"/>
      <c r="AU145"/>
      <c r="AV145"/>
      <c r="AW145" s="9"/>
      <c r="BG145" s="3"/>
      <c r="BI145" s="7"/>
      <c r="BK145" s="3"/>
      <c r="BL145" s="3"/>
      <c r="BM145" s="3"/>
      <c r="BN145" s="3"/>
      <c r="BO145" s="3"/>
      <c r="BP145" s="3"/>
      <c r="BQ145" s="3"/>
    </row>
    <row r="146" spans="4:72">
      <c r="D146" s="2"/>
      <c r="E146" s="3"/>
      <c r="F146" s="3"/>
      <c r="G146" s="7"/>
      <c r="J146"/>
      <c r="K146"/>
      <c r="L146"/>
      <c r="M146"/>
      <c r="O146" s="12"/>
      <c r="P146"/>
      <c r="Q146"/>
      <c r="R146"/>
      <c r="S146"/>
      <c r="X146"/>
      <c r="Y146"/>
      <c r="Z146"/>
      <c r="AA146"/>
      <c r="AB146"/>
      <c r="AC146"/>
      <c r="AH146" s="2"/>
      <c r="AI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/>
      <c r="AO146"/>
      <c r="AP146"/>
      <c r="AQ146"/>
      <c r="AR146"/>
      <c r="AS146"/>
      <c r="AT146"/>
      <c r="AU146"/>
      <c r="AV146"/>
      <c r="AW146" s="9"/>
      <c r="BG146" s="3"/>
      <c r="BI146" s="7"/>
      <c r="BK146" s="3"/>
      <c r="BL146" s="3"/>
      <c r="BM146" s="3"/>
      <c r="BN146" s="3"/>
      <c r="BO146" s="3"/>
      <c r="BP146" s="3"/>
      <c r="BQ146" s="3"/>
    </row>
    <row r="147" spans="4:72">
      <c r="D147" s="2"/>
      <c r="E147" s="3"/>
      <c r="F147" s="3"/>
      <c r="G147" s="7"/>
      <c r="J147"/>
      <c r="K147"/>
      <c r="L147"/>
      <c r="M147"/>
      <c r="O147" s="12"/>
      <c r="P147"/>
      <c r="Q147">
        <v>7.3855481326330654</v>
      </c>
      <c r="R147"/>
      <c r="S147"/>
      <c r="X147"/>
      <c r="Y147"/>
      <c r="Z147"/>
      <c r="AA147"/>
      <c r="AB147"/>
      <c r="AC147"/>
      <c r="AH147" s="2"/>
      <c r="AI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/>
      <c r="AO147"/>
      <c r="AP147"/>
      <c r="AQ147"/>
      <c r="AR147"/>
      <c r="AS147"/>
      <c r="AT147"/>
      <c r="AU147"/>
      <c r="AV147"/>
      <c r="AW147" s="9"/>
      <c r="BG147" s="3"/>
      <c r="BI147" s="7"/>
      <c r="BK147" s="3"/>
      <c r="BL147" s="3"/>
      <c r="BM147" s="3"/>
      <c r="BN147" s="3"/>
      <c r="BO147" s="3"/>
      <c r="BP147" s="3"/>
      <c r="BQ147" s="3"/>
    </row>
    <row r="148" spans="4:72">
      <c r="D148" s="2"/>
      <c r="E148" s="3"/>
      <c r="F148" s="3"/>
      <c r="G148" s="7"/>
      <c r="J148"/>
      <c r="K148"/>
      <c r="L148"/>
      <c r="M148"/>
      <c r="O148" s="12"/>
      <c r="P148"/>
      <c r="Q148">
        <v>4.5465208915797035</v>
      </c>
      <c r="R148"/>
      <c r="S148"/>
      <c r="X148"/>
      <c r="Y148"/>
      <c r="Z148"/>
      <c r="AA148"/>
      <c r="AB148"/>
      <c r="AC148"/>
      <c r="AH148" s="2"/>
      <c r="AI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/>
      <c r="AO148"/>
      <c r="AP148"/>
      <c r="AQ148"/>
      <c r="AR148"/>
      <c r="AS148"/>
      <c r="AT148"/>
      <c r="AU148"/>
      <c r="AV148"/>
      <c r="AW148" s="9"/>
      <c r="BG148" s="3"/>
      <c r="BI148" s="7"/>
      <c r="BK148" s="3"/>
      <c r="BL148" s="3"/>
      <c r="BM148" s="3"/>
      <c r="BN148" s="3"/>
      <c r="BO148" s="3"/>
      <c r="BP148" s="3"/>
      <c r="BQ148" s="3"/>
    </row>
    <row r="149" spans="4:72">
      <c r="I149" s="7"/>
      <c r="K149" s="3"/>
      <c r="L149"/>
      <c r="M149"/>
      <c r="O149" s="12"/>
      <c r="P149"/>
      <c r="Q149">
        <f>Q147/Q148-1</f>
        <v>0.62443950193021824</v>
      </c>
      <c r="R149"/>
      <c r="S149"/>
      <c r="X149"/>
      <c r="Y149"/>
      <c r="Z149"/>
      <c r="AA149"/>
      <c r="AB149"/>
      <c r="AC149"/>
      <c r="AH149" s="2"/>
      <c r="AI149" s="2"/>
      <c r="AJ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/>
      <c r="AO149"/>
      <c r="AP149"/>
      <c r="AQ149"/>
      <c r="AR149"/>
      <c r="AS149"/>
      <c r="AT149"/>
      <c r="AU149"/>
      <c r="AV149"/>
      <c r="AW149"/>
      <c r="AX149"/>
      <c r="AY149"/>
      <c r="AZ149" s="9"/>
      <c r="BG149" s="3"/>
      <c r="BI149" s="7"/>
      <c r="BK149" s="3"/>
      <c r="BL149" s="3"/>
      <c r="BM149" s="3"/>
      <c r="BN149" s="3"/>
      <c r="BO149" s="3"/>
      <c r="BP149" s="3"/>
      <c r="BQ149" s="3"/>
      <c r="BR149" s="3"/>
      <c r="BS149" s="3"/>
      <c r="BT149" s="3"/>
    </row>
    <row r="150" spans="4:72">
      <c r="I150" s="7"/>
      <c r="K150" s="3"/>
      <c r="L150"/>
      <c r="M150"/>
      <c r="O150" s="12"/>
      <c r="P150"/>
      <c r="Q150"/>
      <c r="R150"/>
      <c r="S150"/>
      <c r="X150"/>
      <c r="Y150"/>
      <c r="Z150"/>
      <c r="AA150"/>
      <c r="AB150"/>
      <c r="AC150"/>
      <c r="AH150" s="2"/>
      <c r="AI150" s="2"/>
      <c r="AJ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/>
      <c r="AO150"/>
      <c r="AP150"/>
      <c r="AQ150"/>
      <c r="AR150"/>
      <c r="AS150"/>
      <c r="AT150"/>
      <c r="AU150"/>
      <c r="AV150"/>
      <c r="AW150"/>
      <c r="AX150"/>
      <c r="AY150"/>
      <c r="AZ150" s="9"/>
      <c r="BG150" s="3"/>
      <c r="BI150" s="7"/>
      <c r="BK150" s="3"/>
      <c r="BL150" s="3"/>
      <c r="BM150" s="3"/>
      <c r="BN150" s="3"/>
      <c r="BO150" s="3"/>
      <c r="BP150" s="3"/>
      <c r="BQ150" s="3"/>
      <c r="BR150" s="3"/>
      <c r="BS150" s="3"/>
      <c r="BT150" s="3"/>
    </row>
    <row r="151" spans="4:72">
      <c r="F151" t="s">
        <v>323</v>
      </c>
      <c r="I151" s="7"/>
      <c r="K151" s="3"/>
      <c r="L151"/>
      <c r="M151"/>
      <c r="O151" s="12"/>
      <c r="P151"/>
      <c r="Q151"/>
      <c r="R151"/>
      <c r="S151"/>
      <c r="X151"/>
      <c r="Y151"/>
      <c r="Z151"/>
      <c r="AA151"/>
      <c r="AB151"/>
      <c r="AC151"/>
      <c r="AH151" s="2"/>
      <c r="AI151" s="2"/>
      <c r="AJ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/>
      <c r="AO151"/>
      <c r="AP151"/>
      <c r="AQ151"/>
      <c r="AR151"/>
      <c r="AS151"/>
      <c r="AT151"/>
      <c r="AU151"/>
      <c r="AV151"/>
      <c r="AW151"/>
      <c r="AX151"/>
      <c r="AY151"/>
      <c r="AZ151" s="9"/>
      <c r="BG151" s="3"/>
      <c r="BI151" s="7"/>
      <c r="BK151" s="3"/>
      <c r="BL151" s="3"/>
      <c r="BM151" s="3"/>
      <c r="BN151" s="3"/>
      <c r="BO151" s="3"/>
      <c r="BP151" s="3"/>
      <c r="BQ151" s="3"/>
      <c r="BR151" s="3"/>
      <c r="BS151" s="3"/>
      <c r="BT151" s="3"/>
    </row>
    <row r="152" spans="4:72">
      <c r="I152" s="7"/>
      <c r="K152" s="3"/>
      <c r="L152"/>
      <c r="M152"/>
      <c r="O152" s="12"/>
      <c r="P152"/>
      <c r="Q152"/>
      <c r="R152"/>
      <c r="S152"/>
      <c r="X152"/>
      <c r="Y152"/>
      <c r="Z152"/>
      <c r="AA152"/>
      <c r="AB152"/>
      <c r="AC152"/>
      <c r="AH152" s="2"/>
      <c r="AI152" s="2"/>
      <c r="AJ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/>
      <c r="AO152"/>
      <c r="AP152" s="9"/>
      <c r="AQ152"/>
      <c r="AR152"/>
      <c r="AS152"/>
      <c r="AT152"/>
      <c r="AU152"/>
      <c r="AV152"/>
      <c r="AW152"/>
      <c r="AX152"/>
      <c r="AY152"/>
      <c r="AZ152" s="9"/>
      <c r="BG152" s="3"/>
      <c r="BI152" s="7"/>
      <c r="BK152" s="3"/>
      <c r="BL152" s="3"/>
      <c r="BM152" s="3"/>
      <c r="BN152" s="3"/>
      <c r="BO152" s="3"/>
      <c r="BP152" s="3"/>
      <c r="BQ152" s="3"/>
      <c r="BR152" s="3"/>
      <c r="BS152" s="3"/>
      <c r="BT152" s="3"/>
    </row>
    <row r="153" spans="4:72">
      <c r="I153" s="7"/>
      <c r="K153" s="3"/>
      <c r="L153"/>
      <c r="M153"/>
      <c r="O153" s="12"/>
      <c r="P153"/>
      <c r="Q153"/>
      <c r="R153"/>
      <c r="S153"/>
      <c r="X153"/>
      <c r="AD153" s="2"/>
      <c r="AE153" s="2"/>
      <c r="AF153" s="2"/>
      <c r="AG153" s="2"/>
      <c r="AN153"/>
      <c r="AO153"/>
      <c r="AP153" s="9"/>
      <c r="AQ153"/>
      <c r="AR153"/>
      <c r="AS153"/>
      <c r="AT153"/>
      <c r="AU153" s="9"/>
      <c r="BG153" s="3"/>
      <c r="BI153" s="7"/>
      <c r="BK153" s="3"/>
      <c r="BL153" s="3"/>
      <c r="BM153" s="3"/>
      <c r="BN153" s="3"/>
      <c r="BO153" s="3"/>
    </row>
    <row r="154" spans="4:72">
      <c r="I154" s="7"/>
      <c r="K154" s="3"/>
      <c r="L154"/>
      <c r="M154"/>
      <c r="P154"/>
      <c r="Q154"/>
      <c r="R154"/>
      <c r="S154"/>
      <c r="X154" s="2"/>
      <c r="AC154"/>
      <c r="BJ154"/>
    </row>
    <row r="155" spans="4:72">
      <c r="I155" s="7"/>
      <c r="K155" s="3"/>
      <c r="L155"/>
      <c r="M155"/>
      <c r="P155"/>
      <c r="Q155"/>
      <c r="R155"/>
      <c r="S155"/>
      <c r="X155" s="2"/>
      <c r="AC155"/>
      <c r="BJ155"/>
    </row>
    <row r="156" spans="4:72">
      <c r="I156" s="7"/>
      <c r="K156" s="3"/>
      <c r="L156"/>
      <c r="M156"/>
      <c r="P156"/>
      <c r="Q156"/>
      <c r="R156"/>
      <c r="S156"/>
      <c r="X156" s="2"/>
      <c r="AC156"/>
      <c r="AM156" s="3"/>
      <c r="AN156" s="3" t="s">
        <v>2418</v>
      </c>
      <c r="BJ156"/>
    </row>
    <row r="157" spans="4:72">
      <c r="L157"/>
      <c r="M157"/>
      <c r="P157"/>
      <c r="Q157"/>
      <c r="R157"/>
      <c r="S157"/>
      <c r="X157" s="2"/>
      <c r="AM157" s="3"/>
      <c r="AN157" s="3"/>
    </row>
    <row r="158" spans="4:72">
      <c r="L158"/>
      <c r="M158"/>
      <c r="P158"/>
      <c r="Q158"/>
      <c r="R158"/>
      <c r="S158"/>
      <c r="X158" s="2"/>
      <c r="AN158" t="s">
        <v>2416</v>
      </c>
    </row>
    <row r="159" spans="4:72">
      <c r="L159"/>
      <c r="M159"/>
      <c r="P159"/>
      <c r="Q159"/>
      <c r="R159"/>
      <c r="S159"/>
      <c r="X159" s="2"/>
      <c r="AM159" s="78">
        <v>43101</v>
      </c>
      <c r="AN159">
        <v>0.87</v>
      </c>
    </row>
    <row r="160" spans="4:72">
      <c r="L160"/>
      <c r="M160"/>
      <c r="P160"/>
      <c r="Q160"/>
      <c r="R160"/>
      <c r="S160"/>
      <c r="X160" s="2"/>
      <c r="AM160" s="78">
        <v>43132</v>
      </c>
      <c r="AN160">
        <v>0.87</v>
      </c>
    </row>
    <row r="161" spans="12:40">
      <c r="L161"/>
      <c r="M161"/>
      <c r="P161"/>
      <c r="Q161"/>
      <c r="R161"/>
      <c r="S161"/>
      <c r="X161" s="2"/>
      <c r="AM161" s="78">
        <v>43160</v>
      </c>
      <c r="AN161">
        <v>0.86</v>
      </c>
    </row>
    <row r="162" spans="12:40">
      <c r="L162"/>
      <c r="M162"/>
      <c r="P162"/>
      <c r="Q162"/>
      <c r="R162"/>
      <c r="S162"/>
      <c r="X162" s="2"/>
      <c r="AM162" s="78">
        <v>43191</v>
      </c>
      <c r="AN162">
        <v>0.87</v>
      </c>
    </row>
    <row r="163" spans="12:40">
      <c r="L163"/>
      <c r="M163"/>
      <c r="P163"/>
      <c r="Q163"/>
      <c r="R163"/>
      <c r="S163"/>
      <c r="X163" s="2"/>
      <c r="AM163" s="78">
        <v>43221</v>
      </c>
      <c r="AN163">
        <v>0.89</v>
      </c>
    </row>
    <row r="164" spans="12:40">
      <c r="L164"/>
      <c r="M164"/>
      <c r="P164"/>
      <c r="Q164"/>
      <c r="R164"/>
      <c r="S164"/>
      <c r="X164" s="2"/>
      <c r="AM164" s="78">
        <v>43252</v>
      </c>
      <c r="AN164">
        <v>0.84</v>
      </c>
    </row>
    <row r="165" spans="12:40">
      <c r="L165"/>
      <c r="M165"/>
      <c r="P165"/>
      <c r="Q165"/>
      <c r="R165"/>
      <c r="S165"/>
      <c r="X165" s="2"/>
      <c r="AM165" s="78">
        <v>43282</v>
      </c>
      <c r="AN165">
        <v>0.84</v>
      </c>
    </row>
    <row r="166" spans="12:40">
      <c r="AM166" s="78">
        <v>43313</v>
      </c>
      <c r="AN166">
        <v>0.89</v>
      </c>
    </row>
    <row r="167" spans="12:40">
      <c r="AM167" s="78">
        <v>43344</v>
      </c>
      <c r="AN167">
        <v>0.95</v>
      </c>
    </row>
    <row r="168" spans="12:40">
      <c r="AM168" s="78">
        <v>43374</v>
      </c>
      <c r="AN168">
        <v>0.92</v>
      </c>
    </row>
    <row r="169" spans="12:40">
      <c r="AM169" s="78">
        <v>43405</v>
      </c>
      <c r="AN169">
        <v>0.77</v>
      </c>
    </row>
    <row r="170" spans="12:40">
      <c r="AM170" s="78">
        <v>43435</v>
      </c>
      <c r="AN170">
        <v>0.77</v>
      </c>
    </row>
    <row r="171" spans="12:40">
      <c r="AN171"/>
    </row>
    <row r="172" spans="12:40">
      <c r="AM172">
        <v>2018</v>
      </c>
      <c r="AN172" s="3">
        <f>AVERAGE(AN159:AN170)</f>
        <v>0.86166666666666669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BN97" sqref="BN97"/>
    </sheetView>
  </sheetViews>
  <sheetFormatPr defaultRowHeight="15"/>
  <sheetData>
    <row r="1" spans="1:9">
      <c r="A1" t="s">
        <v>77</v>
      </c>
    </row>
    <row r="2" spans="1:9" ht="15.75" thickBot="1"/>
    <row r="3" spans="1:9">
      <c r="A3" s="16" t="s">
        <v>78</v>
      </c>
      <c r="B3" s="16"/>
    </row>
    <row r="4" spans="1:9">
      <c r="A4" s="13" t="s">
        <v>79</v>
      </c>
      <c r="B4" s="13">
        <v>0.99808313741001986</v>
      </c>
    </row>
    <row r="5" spans="1:9">
      <c r="A5" s="13" t="s">
        <v>80</v>
      </c>
      <c r="B5" s="13">
        <v>0.99616994918222868</v>
      </c>
    </row>
    <row r="6" spans="1:9">
      <c r="A6" s="13" t="s">
        <v>81</v>
      </c>
      <c r="B6" s="13">
        <v>0.99570570059825636</v>
      </c>
    </row>
    <row r="7" spans="1:9">
      <c r="A7" s="13" t="s">
        <v>82</v>
      </c>
      <c r="B7" s="13">
        <v>0.49884022256514604</v>
      </c>
    </row>
    <row r="8" spans="1:9" ht="15.75" thickBot="1">
      <c r="A8" s="14" t="s">
        <v>83</v>
      </c>
      <c r="B8" s="14">
        <v>38</v>
      </c>
    </row>
    <row r="10" spans="1:9" ht="15.75" thickBot="1">
      <c r="A10" t="s">
        <v>84</v>
      </c>
    </row>
    <row r="11" spans="1:9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9">
      <c r="A12" s="13" t="s">
        <v>85</v>
      </c>
      <c r="B12" s="13">
        <v>4</v>
      </c>
      <c r="C12" s="13">
        <v>2135.8255069139659</v>
      </c>
      <c r="D12" s="13">
        <v>533.95637672849148</v>
      </c>
      <c r="E12" s="13">
        <v>2145.7684171239025</v>
      </c>
      <c r="F12" s="13">
        <v>2.3138848300424949E-39</v>
      </c>
    </row>
    <row r="13" spans="1:9">
      <c r="A13" s="13" t="s">
        <v>86</v>
      </c>
      <c r="B13" s="13">
        <v>33</v>
      </c>
      <c r="C13" s="13">
        <v>8.2117717324118669</v>
      </c>
      <c r="D13" s="13">
        <v>0.24884156764884446</v>
      </c>
      <c r="E13" s="13"/>
      <c r="F13" s="13"/>
    </row>
    <row r="14" spans="1:9" ht="15.75" thickBot="1">
      <c r="A14" s="14" t="s">
        <v>87</v>
      </c>
      <c r="B14" s="14">
        <v>37</v>
      </c>
      <c r="C14" s="14">
        <v>2144.0372786463777</v>
      </c>
      <c r="D14" s="14"/>
      <c r="E14" s="14"/>
      <c r="F14" s="14"/>
    </row>
    <row r="15" spans="1:9" ht="15.75" thickBot="1"/>
    <row r="16" spans="1:9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  <c r="H16" s="15" t="s">
        <v>1916</v>
      </c>
      <c r="I16" s="15" t="s">
        <v>1917</v>
      </c>
    </row>
    <row r="17" spans="1:9">
      <c r="A17" s="13" t="s">
        <v>88</v>
      </c>
      <c r="B17" s="13">
        <v>3.8528999612001904</v>
      </c>
      <c r="C17" s="13">
        <v>0.24793922125410647</v>
      </c>
      <c r="D17" s="13">
        <v>15.53969534030057</v>
      </c>
      <c r="E17" s="13">
        <v>9.6722005265369474E-17</v>
      </c>
      <c r="F17" s="13">
        <v>3.3484638227210342</v>
      </c>
      <c r="G17" s="13">
        <v>4.3573360996793467</v>
      </c>
      <c r="H17" s="13">
        <v>3.3484638227210342</v>
      </c>
      <c r="I17" s="13">
        <v>4.3573360996793467</v>
      </c>
    </row>
    <row r="18" spans="1:9">
      <c r="A18" s="13" t="s">
        <v>229</v>
      </c>
      <c r="B18" s="13">
        <v>0.68928595750192745</v>
      </c>
      <c r="C18" s="13">
        <v>1.778550931587581E-2</v>
      </c>
      <c r="D18" s="13">
        <v>38.755480389119519</v>
      </c>
      <c r="E18" s="13">
        <v>4.251985137193752E-29</v>
      </c>
      <c r="F18" s="13">
        <v>0.65310106672585033</v>
      </c>
      <c r="G18" s="13">
        <v>0.72547084827800457</v>
      </c>
      <c r="H18" s="13">
        <v>0.65310106672585033</v>
      </c>
      <c r="I18" s="13">
        <v>0.72547084827800457</v>
      </c>
    </row>
    <row r="19" spans="1:9">
      <c r="A19" s="13" t="s">
        <v>1899</v>
      </c>
      <c r="B19" s="13">
        <v>9.8596550940422052</v>
      </c>
      <c r="C19" s="13">
        <v>0.32062417880058092</v>
      </c>
      <c r="D19" s="13">
        <v>30.751439679084928</v>
      </c>
      <c r="E19" s="13">
        <v>7.1867117412043731E-26</v>
      </c>
      <c r="F19" s="13">
        <v>9.2073402975402914</v>
      </c>
      <c r="G19" s="13">
        <v>10.511969890544119</v>
      </c>
      <c r="H19" s="13">
        <v>9.2073402975402914</v>
      </c>
      <c r="I19" s="13">
        <v>10.511969890544119</v>
      </c>
    </row>
    <row r="20" spans="1:9">
      <c r="A20" s="13" t="s">
        <v>1882</v>
      </c>
      <c r="B20" s="13">
        <v>-0.98156506476481842</v>
      </c>
      <c r="C20" s="13">
        <v>0.33723561877634556</v>
      </c>
      <c r="D20" s="13">
        <v>-2.9106209727383265</v>
      </c>
      <c r="E20" s="13">
        <v>6.4165556424063616E-3</v>
      </c>
      <c r="F20" s="13">
        <v>-1.6676760900100871</v>
      </c>
      <c r="G20" s="13">
        <v>-0.29545403951954963</v>
      </c>
      <c r="H20" s="13">
        <v>-1.6676760900100871</v>
      </c>
      <c r="I20" s="13">
        <v>-0.29545403951954963</v>
      </c>
    </row>
    <row r="21" spans="1:9" ht="15.75" thickBot="1">
      <c r="A21" s="14" t="s">
        <v>1900</v>
      </c>
      <c r="B21" s="14">
        <v>2.9532853587286163</v>
      </c>
      <c r="C21" s="14">
        <v>0.32838237229110773</v>
      </c>
      <c r="D21" s="14">
        <v>8.9934345078381916</v>
      </c>
      <c r="E21" s="14">
        <v>2.1515109309258623E-10</v>
      </c>
      <c r="F21" s="14">
        <v>2.2851863988896532</v>
      </c>
      <c r="G21" s="14">
        <v>3.6213843185675794</v>
      </c>
      <c r="H21" s="14">
        <v>2.2851863988896532</v>
      </c>
      <c r="I21" s="14">
        <v>3.6213843185675794</v>
      </c>
    </row>
    <row r="38" spans="12:12">
      <c r="L38" t="s">
        <v>1884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06"/>
  <sheetViews>
    <sheetView zoomScale="75" zoomScaleNormal="75" workbookViewId="0">
      <pane xSplit="1" ySplit="4" topLeftCell="AA80" activePane="bottomRight" state="frozen"/>
      <selection activeCell="BN97" sqref="BN97"/>
      <selection pane="topRight" activeCell="BN97" sqref="BN97"/>
      <selection pane="bottomLeft" activeCell="BN97" sqref="BN97"/>
      <selection pane="bottomRight" activeCell="AI130" sqref="AI130"/>
    </sheetView>
  </sheetViews>
  <sheetFormatPr defaultRowHeight="15"/>
  <cols>
    <col min="2" max="7" width="14.5703125" customWidth="1"/>
    <col min="10" max="10" width="9.140625" style="8"/>
    <col min="11" max="11" width="12.42578125" customWidth="1"/>
    <col min="12" max="12" width="10.42578125" customWidth="1"/>
    <col min="18" max="18" width="10.5703125" bestFit="1" customWidth="1"/>
    <col min="19" max="19" width="9.5703125" customWidth="1"/>
    <col min="20" max="20" width="11.5703125" customWidth="1"/>
    <col min="21" max="21" width="9.140625" style="8"/>
    <col min="23" max="23" width="13.28515625" customWidth="1"/>
    <col min="39" max="39" width="9.140625" style="9"/>
    <col min="40" max="58" width="9.140625" style="3"/>
    <col min="68" max="68" width="12.42578125" customWidth="1"/>
  </cols>
  <sheetData>
    <row r="1" spans="1:65">
      <c r="A1" s="23" t="s">
        <v>124</v>
      </c>
      <c r="B1" s="23"/>
      <c r="C1" s="23"/>
      <c r="G1" s="12"/>
      <c r="J1"/>
      <c r="N1" s="12" t="s">
        <v>121</v>
      </c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M1"/>
      <c r="AN1"/>
      <c r="AO1"/>
      <c r="AP1"/>
      <c r="AQ1"/>
      <c r="AR1" s="9"/>
      <c r="BG1" s="3"/>
      <c r="BH1" s="3"/>
      <c r="BI1" s="3"/>
      <c r="BJ1" s="3"/>
      <c r="BK1" s="3"/>
    </row>
    <row r="2" spans="1:65">
      <c r="D2" t="s">
        <v>45</v>
      </c>
      <c r="F2" t="s">
        <v>46</v>
      </c>
      <c r="H2" t="s">
        <v>118</v>
      </c>
      <c r="I2" t="s">
        <v>119</v>
      </c>
      <c r="J2"/>
      <c r="N2" s="12" t="s">
        <v>119</v>
      </c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F2" t="s">
        <v>108</v>
      </c>
      <c r="AG2" s="23"/>
      <c r="AH2" s="23"/>
      <c r="AI2" s="23"/>
      <c r="AJ2" s="23"/>
      <c r="AK2" t="s">
        <v>113</v>
      </c>
      <c r="AM2"/>
      <c r="AN2"/>
      <c r="AO2"/>
      <c r="AP2"/>
      <c r="AQ2"/>
      <c r="AR2" s="9"/>
      <c r="BG2" s="3"/>
      <c r="BH2" s="3"/>
      <c r="BI2" s="3"/>
      <c r="BJ2" s="3"/>
      <c r="BK2" s="3"/>
    </row>
    <row r="3" spans="1:65">
      <c r="B3" t="s">
        <v>182</v>
      </c>
      <c r="C3" t="s">
        <v>218</v>
      </c>
      <c r="D3" s="23"/>
      <c r="F3" s="23"/>
      <c r="H3" s="23"/>
      <c r="I3" s="23"/>
      <c r="J3" s="23"/>
      <c r="K3" s="23"/>
      <c r="L3" s="23"/>
      <c r="M3" s="23"/>
      <c r="N3" s="12"/>
      <c r="O3" s="12" t="s">
        <v>25</v>
      </c>
      <c r="P3" s="12" t="s">
        <v>122</v>
      </c>
      <c r="Q3" s="12"/>
      <c r="R3" s="12" t="s">
        <v>5</v>
      </c>
      <c r="S3" s="12"/>
      <c r="T3" s="12"/>
      <c r="U3" s="12" t="s">
        <v>57</v>
      </c>
      <c r="V3" s="12" t="s">
        <v>11</v>
      </c>
      <c r="W3" s="12" t="s">
        <v>120</v>
      </c>
      <c r="X3" s="12"/>
      <c r="Y3" s="12" t="s">
        <v>120</v>
      </c>
      <c r="Z3" s="12" t="s">
        <v>120</v>
      </c>
      <c r="AA3" s="23" t="s">
        <v>120</v>
      </c>
      <c r="AB3" s="3" t="s">
        <v>114</v>
      </c>
      <c r="AC3" s="23"/>
      <c r="AF3" s="23"/>
      <c r="AG3" t="s">
        <v>61</v>
      </c>
      <c r="AH3" t="s">
        <v>66</v>
      </c>
      <c r="AI3" t="s">
        <v>61</v>
      </c>
      <c r="AJ3" t="s">
        <v>61</v>
      </c>
      <c r="AK3" t="s">
        <v>61</v>
      </c>
      <c r="AM3"/>
      <c r="AN3"/>
      <c r="AO3"/>
      <c r="AP3"/>
      <c r="AQ3"/>
      <c r="AR3" s="9"/>
      <c r="AS3" s="3" t="s">
        <v>3</v>
      </c>
      <c r="AT3" s="3" t="s">
        <v>3</v>
      </c>
      <c r="AU3" s="3" t="s">
        <v>3</v>
      </c>
      <c r="AY3" s="3" t="s">
        <v>182</v>
      </c>
      <c r="BA3" s="3" t="s">
        <v>182</v>
      </c>
      <c r="BB3" s="3" t="s">
        <v>182</v>
      </c>
      <c r="BD3" s="3" t="s">
        <v>182</v>
      </c>
      <c r="BF3"/>
      <c r="BH3" s="3"/>
      <c r="BI3" s="3"/>
      <c r="BJ3" s="3"/>
      <c r="BK3" s="3"/>
    </row>
    <row r="4" spans="1:65"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t="s">
        <v>110</v>
      </c>
      <c r="J4" s="7" t="s">
        <v>122</v>
      </c>
      <c r="K4" s="3" t="s">
        <v>1849</v>
      </c>
      <c r="L4" s="3" t="s">
        <v>1693</v>
      </c>
      <c r="M4" s="3" t="s">
        <v>1697</v>
      </c>
      <c r="N4" s="12" t="s">
        <v>8</v>
      </c>
      <c r="O4" s="12" t="s">
        <v>9</v>
      </c>
      <c r="P4" s="12" t="s">
        <v>10</v>
      </c>
      <c r="Q4" s="12" t="s">
        <v>11</v>
      </c>
      <c r="R4" s="12" t="s">
        <v>10</v>
      </c>
      <c r="S4" s="12"/>
      <c r="T4" s="12"/>
      <c r="U4" s="12" t="s">
        <v>72</v>
      </c>
      <c r="V4" s="12"/>
      <c r="W4" s="12" t="s">
        <v>230</v>
      </c>
      <c r="X4" s="12" t="s">
        <v>102</v>
      </c>
      <c r="Y4" s="12" t="s">
        <v>101</v>
      </c>
      <c r="Z4" s="12" t="s">
        <v>103</v>
      </c>
      <c r="AA4" t="s">
        <v>56</v>
      </c>
      <c r="AB4" s="3"/>
      <c r="AC4" t="s">
        <v>59</v>
      </c>
      <c r="AF4" t="s">
        <v>123</v>
      </c>
      <c r="AG4" t="s">
        <v>111</v>
      </c>
      <c r="AH4" t="s">
        <v>112</v>
      </c>
      <c r="AI4" t="s">
        <v>112</v>
      </c>
      <c r="AJ4" t="s">
        <v>87</v>
      </c>
      <c r="AK4" t="s">
        <v>87</v>
      </c>
      <c r="AM4"/>
      <c r="AN4"/>
      <c r="AO4"/>
      <c r="AP4"/>
      <c r="AQ4"/>
      <c r="AR4" s="9"/>
      <c r="AS4" s="3" t="s">
        <v>131</v>
      </c>
      <c r="AT4" s="3" t="s">
        <v>67</v>
      </c>
      <c r="AU4" s="3" t="s">
        <v>133</v>
      </c>
      <c r="AW4" s="3" t="s">
        <v>237</v>
      </c>
      <c r="AY4" s="3" t="s">
        <v>131</v>
      </c>
      <c r="AZ4" s="3" t="s">
        <v>103</v>
      </c>
      <c r="BA4" s="3" t="s">
        <v>67</v>
      </c>
      <c r="BB4" s="3" t="s">
        <v>133</v>
      </c>
      <c r="BC4" s="3" t="s">
        <v>103</v>
      </c>
      <c r="BD4" t="s">
        <v>229</v>
      </c>
      <c r="BE4" s="3" t="s">
        <v>1899</v>
      </c>
      <c r="BF4" s="3" t="s">
        <v>1882</v>
      </c>
      <c r="BG4" s="3" t="s">
        <v>1900</v>
      </c>
      <c r="BH4" s="3"/>
      <c r="BI4" s="3"/>
      <c r="BK4" s="3"/>
      <c r="BL4" s="3"/>
      <c r="BM4" s="3"/>
    </row>
    <row r="5" spans="1:65">
      <c r="A5">
        <v>1926</v>
      </c>
      <c r="J5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M5"/>
      <c r="AN5"/>
      <c r="AO5"/>
      <c r="AP5"/>
      <c r="AQ5"/>
      <c r="AR5" s="9">
        <v>1926</v>
      </c>
      <c r="BG5" s="3"/>
      <c r="BH5" s="3"/>
      <c r="BI5" s="3"/>
      <c r="BJ5" s="3"/>
      <c r="BK5" s="3"/>
    </row>
    <row r="6" spans="1:65">
      <c r="A6">
        <v>1927</v>
      </c>
      <c r="J6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M6"/>
      <c r="AN6"/>
      <c r="AO6"/>
      <c r="AP6"/>
      <c r="AQ6"/>
      <c r="AR6" s="9">
        <v>1927</v>
      </c>
      <c r="BG6" s="3"/>
      <c r="BH6" s="3"/>
      <c r="BI6" s="3"/>
      <c r="BJ6" s="3"/>
      <c r="BK6" s="3"/>
    </row>
    <row r="7" spans="1:65">
      <c r="A7">
        <v>1928</v>
      </c>
      <c r="J7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M7"/>
      <c r="AN7"/>
      <c r="AO7"/>
      <c r="AP7"/>
      <c r="AQ7"/>
      <c r="AR7" s="9">
        <v>1928</v>
      </c>
      <c r="BG7" s="3"/>
      <c r="BH7" s="3"/>
      <c r="BI7" s="3"/>
      <c r="BJ7" s="3"/>
      <c r="BK7" s="3"/>
    </row>
    <row r="8" spans="1:65">
      <c r="A8">
        <v>1929</v>
      </c>
      <c r="J8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M8"/>
      <c r="AN8"/>
      <c r="AO8"/>
      <c r="AP8"/>
      <c r="AQ8"/>
      <c r="AR8" s="9">
        <v>1929</v>
      </c>
      <c r="BG8" s="3"/>
      <c r="BH8" s="3"/>
      <c r="BI8" s="3"/>
      <c r="BJ8" s="3"/>
      <c r="BK8" s="3"/>
    </row>
    <row r="9" spans="1:65">
      <c r="A9">
        <v>1930</v>
      </c>
      <c r="J9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M9"/>
      <c r="AN9"/>
      <c r="AO9"/>
      <c r="AP9"/>
      <c r="AQ9"/>
      <c r="AR9" s="9">
        <v>1930</v>
      </c>
      <c r="BG9" s="3"/>
      <c r="BH9" s="3"/>
      <c r="BI9" s="3"/>
      <c r="BJ9" s="3"/>
      <c r="BK9" s="3"/>
    </row>
    <row r="10" spans="1:65">
      <c r="A10">
        <v>1931</v>
      </c>
      <c r="J10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M10"/>
      <c r="AN10"/>
      <c r="AO10"/>
      <c r="AP10"/>
      <c r="AQ10"/>
      <c r="AR10" s="9">
        <v>1931</v>
      </c>
      <c r="BG10" s="3"/>
      <c r="BH10" s="3"/>
      <c r="BI10" s="3"/>
      <c r="BJ10" s="3"/>
      <c r="BK10" s="3"/>
    </row>
    <row r="11" spans="1:65">
      <c r="A11">
        <v>1932</v>
      </c>
      <c r="J11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M11"/>
      <c r="AN11"/>
      <c r="AO11"/>
      <c r="AP11"/>
      <c r="AQ11"/>
      <c r="AR11" s="9">
        <v>1932</v>
      </c>
      <c r="BG11" s="3"/>
      <c r="BH11" s="3"/>
      <c r="BI11" s="3"/>
      <c r="BJ11" s="3"/>
      <c r="BK11" s="3"/>
    </row>
    <row r="12" spans="1:65">
      <c r="A12">
        <v>1933</v>
      </c>
      <c r="J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M12"/>
      <c r="AN12"/>
      <c r="AO12"/>
      <c r="AP12"/>
      <c r="AQ12"/>
      <c r="AR12" s="9">
        <v>1933</v>
      </c>
      <c r="BG12" s="3"/>
      <c r="BH12" s="3"/>
      <c r="BI12" s="3"/>
      <c r="BJ12" s="3"/>
      <c r="BK12" s="3"/>
    </row>
    <row r="13" spans="1:65">
      <c r="A13">
        <v>1934</v>
      </c>
      <c r="J13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M13"/>
      <c r="AN13"/>
      <c r="AO13"/>
      <c r="AP13"/>
      <c r="AQ13"/>
      <c r="AR13" s="9">
        <v>1934</v>
      </c>
      <c r="BG13" s="3"/>
      <c r="BH13" s="3"/>
      <c r="BI13" s="3"/>
      <c r="BJ13" s="3"/>
      <c r="BK13" s="3"/>
    </row>
    <row r="14" spans="1:65">
      <c r="A14">
        <v>1935</v>
      </c>
      <c r="J14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M14"/>
      <c r="AN14"/>
      <c r="AO14"/>
      <c r="AP14"/>
      <c r="AQ14"/>
      <c r="AR14" s="9">
        <v>1935</v>
      </c>
      <c r="BG14" s="3"/>
      <c r="BH14" s="3"/>
      <c r="BI14" s="3"/>
      <c r="BJ14" s="3"/>
      <c r="BK14" s="3"/>
    </row>
    <row r="15" spans="1:65">
      <c r="A15">
        <v>1936</v>
      </c>
      <c r="J15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M15"/>
      <c r="AN15"/>
      <c r="AO15"/>
      <c r="AP15"/>
      <c r="AQ15"/>
      <c r="AR15" s="9">
        <v>1936</v>
      </c>
      <c r="BG15" s="3"/>
      <c r="BH15" s="3"/>
      <c r="BI15" s="3"/>
      <c r="BJ15" s="3"/>
      <c r="BK15" s="3"/>
    </row>
    <row r="16" spans="1:65">
      <c r="A16">
        <v>1937</v>
      </c>
      <c r="J16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M16"/>
      <c r="AN16"/>
      <c r="AO16"/>
      <c r="AP16"/>
      <c r="AQ16"/>
      <c r="AR16" s="9">
        <v>1937</v>
      </c>
      <c r="BG16" s="3"/>
      <c r="BH16" s="3"/>
      <c r="BI16" s="3"/>
      <c r="BJ16" s="3"/>
      <c r="BK16" s="3"/>
    </row>
    <row r="17" spans="1:63">
      <c r="A17">
        <v>1938</v>
      </c>
      <c r="J17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M17"/>
      <c r="AN17"/>
      <c r="AO17"/>
      <c r="AP17"/>
      <c r="AQ17"/>
      <c r="AR17" s="9">
        <v>1938</v>
      </c>
      <c r="BG17" s="3"/>
      <c r="BH17" s="3"/>
      <c r="BI17" s="3"/>
      <c r="BJ17" s="3"/>
      <c r="BK17" s="3"/>
    </row>
    <row r="18" spans="1:63">
      <c r="A18">
        <v>1939</v>
      </c>
      <c r="J18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M18"/>
      <c r="AN18"/>
      <c r="AO18"/>
      <c r="AP18"/>
      <c r="AQ18"/>
      <c r="AR18" s="9">
        <v>1939</v>
      </c>
      <c r="BG18" s="3"/>
      <c r="BH18" s="3"/>
      <c r="BI18" s="3"/>
      <c r="BJ18" s="3"/>
      <c r="BK18" s="3"/>
    </row>
    <row r="19" spans="1:63">
      <c r="A19">
        <v>1940</v>
      </c>
      <c r="J19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M19"/>
      <c r="AN19"/>
      <c r="AO19"/>
      <c r="AP19"/>
      <c r="AQ19"/>
      <c r="AR19" s="9">
        <v>1940</v>
      </c>
      <c r="BG19" s="3"/>
      <c r="BH19" s="3"/>
      <c r="BI19" s="3"/>
      <c r="BJ19" s="3"/>
      <c r="BK19" s="3"/>
    </row>
    <row r="20" spans="1:63">
      <c r="A20">
        <v>1941</v>
      </c>
      <c r="J20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M20"/>
      <c r="AN20"/>
      <c r="AO20"/>
      <c r="AP20"/>
      <c r="AQ20"/>
      <c r="AR20" s="9">
        <v>1941</v>
      </c>
      <c r="BG20" s="3"/>
      <c r="BH20" s="3"/>
      <c r="BI20" s="3"/>
      <c r="BJ20" s="3"/>
      <c r="BK20" s="3"/>
    </row>
    <row r="21" spans="1:63">
      <c r="A21">
        <v>1942</v>
      </c>
      <c r="J21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M21"/>
      <c r="AN21"/>
      <c r="AO21"/>
      <c r="AP21"/>
      <c r="AQ21"/>
      <c r="AR21" s="9">
        <v>1942</v>
      </c>
      <c r="BG21" s="3"/>
      <c r="BH21" s="3"/>
      <c r="BI21" s="3"/>
      <c r="BJ21" s="3"/>
      <c r="BK21" s="3"/>
    </row>
    <row r="22" spans="1:63">
      <c r="A22">
        <v>1943</v>
      </c>
      <c r="J2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M22"/>
      <c r="AN22"/>
      <c r="AO22"/>
      <c r="AP22"/>
      <c r="AQ22"/>
      <c r="AR22" s="9">
        <v>1943</v>
      </c>
      <c r="BG22" s="3"/>
      <c r="BH22" s="3"/>
      <c r="BI22" s="3"/>
      <c r="BJ22" s="3"/>
      <c r="BK22" s="3"/>
    </row>
    <row r="23" spans="1:63">
      <c r="A23">
        <v>1944</v>
      </c>
      <c r="J23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M23"/>
      <c r="AN23"/>
      <c r="AO23"/>
      <c r="AP23"/>
      <c r="AQ23"/>
      <c r="AR23" s="9">
        <v>1944</v>
      </c>
      <c r="BG23" s="3"/>
      <c r="BH23" s="3"/>
      <c r="BI23" s="3"/>
      <c r="BJ23" s="3"/>
      <c r="BK23" s="3"/>
    </row>
    <row r="24" spans="1:63">
      <c r="A24">
        <v>1945</v>
      </c>
      <c r="J24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M24"/>
      <c r="AN24"/>
      <c r="AO24"/>
      <c r="AP24"/>
      <c r="AQ24"/>
      <c r="AR24" s="9">
        <v>1945</v>
      </c>
      <c r="BG24" s="3"/>
      <c r="BH24" s="3"/>
      <c r="BI24" s="3"/>
      <c r="BJ24" s="3"/>
      <c r="BK24" s="3"/>
    </row>
    <row r="25" spans="1:63">
      <c r="A25">
        <v>1946</v>
      </c>
      <c r="J25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M25"/>
      <c r="AN25"/>
      <c r="AO25"/>
      <c r="AP25"/>
      <c r="AQ25"/>
      <c r="AR25" s="9">
        <v>1946</v>
      </c>
      <c r="BG25" s="3"/>
      <c r="BH25" s="3"/>
      <c r="BI25" s="3"/>
      <c r="BJ25" s="3"/>
      <c r="BK25" s="3"/>
    </row>
    <row r="26" spans="1:63">
      <c r="A26">
        <v>1947</v>
      </c>
      <c r="J26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M26"/>
      <c r="AN26"/>
      <c r="AO26"/>
      <c r="AP26"/>
      <c r="AQ26"/>
      <c r="AR26" s="9">
        <v>1947</v>
      </c>
      <c r="BG26" s="3"/>
      <c r="BH26" s="3"/>
      <c r="BI26" s="3"/>
      <c r="BJ26" s="3"/>
      <c r="BK26" s="3"/>
    </row>
    <row r="27" spans="1:63">
      <c r="A27">
        <v>1948</v>
      </c>
      <c r="J27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M27"/>
      <c r="AN27"/>
      <c r="AO27"/>
      <c r="AP27"/>
      <c r="AQ27"/>
      <c r="AR27" s="9">
        <v>1948</v>
      </c>
      <c r="BG27" s="3"/>
      <c r="BH27" s="3"/>
      <c r="BI27" s="3"/>
      <c r="BJ27" s="3"/>
      <c r="BK27" s="3"/>
    </row>
    <row r="28" spans="1:63">
      <c r="A28">
        <v>1949</v>
      </c>
      <c r="J28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M28"/>
      <c r="AN28"/>
      <c r="AO28"/>
      <c r="AP28"/>
      <c r="AQ28"/>
      <c r="AR28" s="9">
        <v>1949</v>
      </c>
      <c r="BG28" s="3"/>
      <c r="BH28" s="3"/>
      <c r="BI28" s="3"/>
      <c r="BJ28" s="3"/>
      <c r="BK28" s="3"/>
    </row>
    <row r="29" spans="1:63">
      <c r="A29">
        <v>1950</v>
      </c>
      <c r="J29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M29"/>
      <c r="AN29"/>
      <c r="AO29"/>
      <c r="AP29"/>
      <c r="AQ29"/>
      <c r="AR29" s="9">
        <v>1950</v>
      </c>
      <c r="BG29" s="3"/>
      <c r="BH29" s="3"/>
      <c r="BI29" s="3"/>
      <c r="BJ29" s="3"/>
      <c r="BK29" s="3"/>
    </row>
    <row r="30" spans="1:63">
      <c r="A30">
        <v>1951</v>
      </c>
      <c r="J30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M30"/>
      <c r="AN30"/>
      <c r="AO30"/>
      <c r="AP30"/>
      <c r="AQ30"/>
      <c r="AR30" s="9">
        <v>1951</v>
      </c>
      <c r="BG30" s="3"/>
      <c r="BH30" s="3"/>
      <c r="BI30" s="3"/>
      <c r="BJ30" s="3"/>
      <c r="BK30" s="3"/>
    </row>
    <row r="31" spans="1:63">
      <c r="A31">
        <v>1952</v>
      </c>
      <c r="J31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M31"/>
      <c r="AN31"/>
      <c r="AO31"/>
      <c r="AP31"/>
      <c r="AQ31"/>
      <c r="AR31" s="9">
        <v>1952</v>
      </c>
      <c r="BG31" s="3"/>
      <c r="BH31" s="3"/>
      <c r="BI31" s="3"/>
      <c r="BJ31" s="3"/>
      <c r="BK31" s="3"/>
    </row>
    <row r="32" spans="1:63">
      <c r="A32">
        <v>1953</v>
      </c>
      <c r="J3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M32"/>
      <c r="AN32"/>
      <c r="AO32"/>
      <c r="AP32"/>
      <c r="AQ32"/>
      <c r="AR32" s="9">
        <v>1953</v>
      </c>
      <c r="BG32" s="3"/>
      <c r="BH32" s="3"/>
      <c r="BI32" s="3"/>
      <c r="BJ32" s="3"/>
      <c r="BK32" s="3"/>
    </row>
    <row r="33" spans="1:63">
      <c r="A33">
        <v>1954</v>
      </c>
      <c r="J33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M33"/>
      <c r="AN33"/>
      <c r="AO33"/>
      <c r="AP33"/>
      <c r="AQ33"/>
      <c r="AR33" s="9">
        <v>1954</v>
      </c>
      <c r="BG33" s="3"/>
      <c r="BH33" s="3"/>
      <c r="BI33" s="3"/>
      <c r="BJ33" s="3"/>
      <c r="BK33" s="3"/>
    </row>
    <row r="34" spans="1:63">
      <c r="A34">
        <v>1955</v>
      </c>
      <c r="J34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M34"/>
      <c r="AN34"/>
      <c r="AO34"/>
      <c r="AP34"/>
      <c r="AQ34"/>
      <c r="AR34" s="9">
        <v>1955</v>
      </c>
      <c r="BG34" s="3"/>
      <c r="BH34" s="3"/>
      <c r="BI34" s="3"/>
      <c r="BJ34" s="3"/>
      <c r="BK34" s="3"/>
    </row>
    <row r="35" spans="1:63">
      <c r="A35">
        <v>1956</v>
      </c>
      <c r="J35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M35"/>
      <c r="AN35"/>
      <c r="AO35"/>
      <c r="AP35"/>
      <c r="AQ35"/>
      <c r="AR35" s="9">
        <v>1956</v>
      </c>
      <c r="BG35" s="3"/>
      <c r="BH35" s="3"/>
      <c r="BI35" s="3"/>
      <c r="BJ35" s="3"/>
      <c r="BK35" s="3"/>
    </row>
    <row r="36" spans="1:63">
      <c r="A36">
        <v>1957</v>
      </c>
      <c r="J36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M36"/>
      <c r="AN36"/>
      <c r="AO36"/>
      <c r="AP36"/>
      <c r="AQ36"/>
      <c r="AR36" s="9">
        <v>1957</v>
      </c>
      <c r="BG36" s="3"/>
      <c r="BH36" s="3"/>
      <c r="BI36" s="3"/>
      <c r="BJ36" s="3"/>
      <c r="BK36" s="3"/>
    </row>
    <row r="37" spans="1:63">
      <c r="A37">
        <v>1958</v>
      </c>
      <c r="J37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M37"/>
      <c r="AN37"/>
      <c r="AO37"/>
      <c r="AP37"/>
      <c r="AQ37"/>
      <c r="AR37" s="9">
        <v>1958</v>
      </c>
      <c r="BG37" s="3"/>
      <c r="BH37" s="3"/>
      <c r="BI37" s="3"/>
      <c r="BJ37" s="3"/>
      <c r="BK37" s="3"/>
    </row>
    <row r="38" spans="1:63">
      <c r="A38">
        <v>1959</v>
      </c>
      <c r="J38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M38"/>
      <c r="AN38"/>
      <c r="AO38"/>
      <c r="AP38"/>
      <c r="AQ38"/>
      <c r="AR38" s="9">
        <v>1959</v>
      </c>
      <c r="BG38" s="3"/>
      <c r="BH38" s="3"/>
      <c r="BI38" s="3" t="s">
        <v>174</v>
      </c>
      <c r="BJ38" s="3"/>
      <c r="BK38" s="3"/>
    </row>
    <row r="39" spans="1:63">
      <c r="A39">
        <v>1960</v>
      </c>
      <c r="J39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M39"/>
      <c r="AN39"/>
      <c r="AO39"/>
      <c r="AP39"/>
      <c r="AQ39"/>
      <c r="AR39" s="9">
        <v>1960</v>
      </c>
      <c r="BG39" s="3"/>
      <c r="BH39" s="3"/>
      <c r="BI39" s="3"/>
      <c r="BJ39" s="3"/>
      <c r="BK39" s="3"/>
    </row>
    <row r="40" spans="1:63">
      <c r="A40">
        <v>1961</v>
      </c>
      <c r="J40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M40"/>
      <c r="AN40"/>
      <c r="AO40"/>
      <c r="AP40"/>
      <c r="AQ40"/>
      <c r="AR40" s="9">
        <v>1961</v>
      </c>
      <c r="BG40" s="3"/>
      <c r="BH40" s="3"/>
      <c r="BI40" s="3"/>
      <c r="BJ40" s="3"/>
      <c r="BK40" s="3"/>
    </row>
    <row r="41" spans="1:63">
      <c r="A41">
        <v>1962</v>
      </c>
      <c r="J41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M41"/>
      <c r="AN41"/>
      <c r="AO41"/>
      <c r="AP41"/>
      <c r="AQ41"/>
      <c r="AR41" s="9">
        <v>1962</v>
      </c>
      <c r="BG41" s="3"/>
      <c r="BH41" s="3"/>
      <c r="BI41" s="3"/>
      <c r="BJ41" s="3"/>
      <c r="BK41" s="3"/>
    </row>
    <row r="42" spans="1:63">
      <c r="A42">
        <v>1963</v>
      </c>
      <c r="J4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M42"/>
      <c r="AN42"/>
      <c r="AO42"/>
      <c r="AP42"/>
      <c r="AQ42"/>
      <c r="AR42" s="9">
        <v>1963</v>
      </c>
      <c r="BG42" s="3"/>
      <c r="BH42" s="3"/>
      <c r="BI42" s="3"/>
      <c r="BJ42" s="3"/>
      <c r="BK42" s="3"/>
    </row>
    <row r="43" spans="1:63">
      <c r="A43">
        <v>1964</v>
      </c>
      <c r="J43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M43"/>
      <c r="AN43"/>
      <c r="AO43"/>
      <c r="AP43"/>
      <c r="AQ43"/>
      <c r="AR43" s="9">
        <v>1964</v>
      </c>
      <c r="BG43" s="3"/>
      <c r="BH43" s="3"/>
      <c r="BI43" s="3"/>
      <c r="BJ43" s="3"/>
      <c r="BK43" s="3"/>
    </row>
    <row r="44" spans="1:63">
      <c r="A44">
        <v>1965</v>
      </c>
      <c r="B44" s="3"/>
      <c r="C44" s="3"/>
      <c r="D44" s="22"/>
      <c r="E44" s="3"/>
      <c r="F44" s="3"/>
      <c r="G44" s="3"/>
      <c r="H44" s="3"/>
      <c r="I44" s="21"/>
      <c r="J44" s="21"/>
      <c r="K44" s="21"/>
      <c r="L44" s="21"/>
      <c r="M44" s="21"/>
      <c r="N44" s="21"/>
      <c r="O44" s="12"/>
      <c r="P44" s="12"/>
      <c r="Q44" s="12"/>
      <c r="R44" s="12"/>
      <c r="S44" s="12"/>
      <c r="T44" s="12"/>
      <c r="U44" s="21"/>
      <c r="V44" s="12"/>
      <c r="W44" s="7"/>
      <c r="X44" s="12"/>
      <c r="Y44" s="21"/>
      <c r="Z44" s="21"/>
      <c r="AA44" s="4"/>
      <c r="AF44" s="3"/>
      <c r="AG44" s="3"/>
      <c r="AH44" s="3"/>
      <c r="AI44" s="4"/>
      <c r="AJ44" s="3"/>
      <c r="AM44"/>
      <c r="AN44"/>
      <c r="AO44"/>
      <c r="AP44"/>
      <c r="AQ44"/>
      <c r="AR44" s="9">
        <v>1965</v>
      </c>
      <c r="BG44" s="3"/>
      <c r="BH44" s="3"/>
      <c r="BI44" s="3"/>
      <c r="BJ44" s="3"/>
      <c r="BK44" s="3"/>
    </row>
    <row r="45" spans="1:63">
      <c r="A45">
        <v>1966</v>
      </c>
      <c r="B45" s="3"/>
      <c r="C45" s="3"/>
      <c r="D45" s="22"/>
      <c r="E45" s="3"/>
      <c r="F45" s="3"/>
      <c r="G45" s="3"/>
      <c r="H45" s="3"/>
      <c r="I45" s="21"/>
      <c r="J45" s="21"/>
      <c r="K45" s="21"/>
      <c r="L45" s="21"/>
      <c r="M45" s="21"/>
      <c r="N45" s="21"/>
      <c r="O45" s="12"/>
      <c r="P45" s="12"/>
      <c r="Q45" s="12"/>
      <c r="R45" s="12"/>
      <c r="S45" s="12"/>
      <c r="T45" s="12"/>
      <c r="U45" s="21"/>
      <c r="V45" s="12"/>
      <c r="W45" s="7"/>
      <c r="X45" s="12"/>
      <c r="Y45" s="21"/>
      <c r="Z45" s="21"/>
      <c r="AA45" s="4"/>
      <c r="AF45" s="3"/>
      <c r="AG45" s="3"/>
      <c r="AH45" s="3"/>
      <c r="AI45" s="4"/>
      <c r="AJ45" s="3"/>
      <c r="AM45"/>
      <c r="AN45"/>
      <c r="AO45"/>
      <c r="AP45"/>
      <c r="AQ45"/>
      <c r="AR45" s="9">
        <v>1966</v>
      </c>
      <c r="BG45" s="3"/>
      <c r="BH45" s="3"/>
      <c r="BI45" s="3"/>
      <c r="BJ45" s="3"/>
      <c r="BK45" s="3"/>
    </row>
    <row r="46" spans="1:63">
      <c r="A46">
        <v>1967</v>
      </c>
      <c r="B46" s="3"/>
      <c r="C46" s="3"/>
      <c r="D46" s="22"/>
      <c r="E46" s="3"/>
      <c r="F46" s="3"/>
      <c r="G46" s="3"/>
      <c r="H46" s="3"/>
      <c r="I46" s="21"/>
      <c r="J46" s="21"/>
      <c r="K46" s="21"/>
      <c r="L46" s="21"/>
      <c r="M46" s="21"/>
      <c r="N46" s="21"/>
      <c r="O46" s="12"/>
      <c r="P46" s="12"/>
      <c r="Q46" s="12"/>
      <c r="R46" s="12"/>
      <c r="S46" s="12"/>
      <c r="T46" s="12"/>
      <c r="U46" s="21"/>
      <c r="V46" s="12"/>
      <c r="W46" s="7"/>
      <c r="X46" s="12"/>
      <c r="Y46" s="21"/>
      <c r="Z46" s="21"/>
      <c r="AA46" s="4"/>
      <c r="AF46" s="3"/>
      <c r="AG46" s="3"/>
      <c r="AH46" s="3"/>
      <c r="AI46" s="4"/>
      <c r="AJ46" s="3"/>
      <c r="AM46"/>
      <c r="AN46"/>
      <c r="AO46"/>
      <c r="AP46"/>
      <c r="AQ46"/>
      <c r="AR46" s="9">
        <v>1967</v>
      </c>
      <c r="BG46" s="3"/>
      <c r="BH46" s="3"/>
      <c r="BI46" s="3"/>
      <c r="BJ46" s="3"/>
      <c r="BK46" s="3"/>
    </row>
    <row r="47" spans="1:63">
      <c r="A47">
        <v>1968</v>
      </c>
      <c r="B47" s="3"/>
      <c r="C47" s="3"/>
      <c r="D47" s="22"/>
      <c r="E47" s="3"/>
      <c r="F47" s="3"/>
      <c r="G47" s="3"/>
      <c r="H47" s="3"/>
      <c r="I47" s="21"/>
      <c r="J47" s="21"/>
      <c r="K47" s="21"/>
      <c r="L47" s="21"/>
      <c r="M47" s="21"/>
      <c r="N47" s="21"/>
      <c r="O47" s="12"/>
      <c r="P47" s="12"/>
      <c r="Q47" s="12"/>
      <c r="R47" s="12"/>
      <c r="S47" s="12"/>
      <c r="T47" s="12"/>
      <c r="U47" s="21"/>
      <c r="V47" s="12"/>
      <c r="W47" s="7"/>
      <c r="X47" s="12"/>
      <c r="Y47" s="21"/>
      <c r="Z47" s="21"/>
      <c r="AA47" s="4"/>
      <c r="AF47" s="3"/>
      <c r="AG47" s="3"/>
      <c r="AH47" s="3"/>
      <c r="AI47" s="4"/>
      <c r="AJ47" s="3"/>
      <c r="AM47"/>
      <c r="AN47"/>
      <c r="AO47"/>
      <c r="AP47"/>
      <c r="AQ47"/>
      <c r="AR47" s="9">
        <v>1968</v>
      </c>
      <c r="BG47" s="3"/>
      <c r="BH47" s="3"/>
      <c r="BI47" s="3"/>
      <c r="BJ47" s="3"/>
      <c r="BK47" s="3"/>
    </row>
    <row r="48" spans="1:63">
      <c r="A48">
        <v>1969</v>
      </c>
      <c r="B48" s="3"/>
      <c r="C48" s="3"/>
      <c r="D48" s="22"/>
      <c r="E48" s="3"/>
      <c r="F48" s="3"/>
      <c r="G48" s="3"/>
      <c r="H48" s="3"/>
      <c r="I48" s="21"/>
      <c r="J48" s="21"/>
      <c r="K48" s="21"/>
      <c r="L48" s="21"/>
      <c r="M48" s="21"/>
      <c r="N48" s="21"/>
      <c r="O48" s="12"/>
      <c r="P48" s="12"/>
      <c r="Q48" s="12"/>
      <c r="R48" s="12"/>
      <c r="S48" s="12"/>
      <c r="T48" s="12"/>
      <c r="U48" s="21"/>
      <c r="V48" s="12"/>
      <c r="W48" s="7"/>
      <c r="X48" s="12"/>
      <c r="Y48" s="21"/>
      <c r="Z48" s="21"/>
      <c r="AA48" s="4"/>
      <c r="AF48" s="3"/>
      <c r="AG48" s="3"/>
      <c r="AH48" s="3"/>
      <c r="AI48" s="4"/>
      <c r="AJ48" s="3"/>
      <c r="AM48"/>
      <c r="AN48"/>
      <c r="AO48"/>
      <c r="AP48"/>
      <c r="AQ48"/>
      <c r="AR48" s="9">
        <v>1969</v>
      </c>
      <c r="AW48" s="3">
        <v>22.261117630818106</v>
      </c>
      <c r="BG48" s="3"/>
      <c r="BH48" s="3"/>
      <c r="BI48" s="3"/>
      <c r="BJ48" s="3"/>
      <c r="BK48" s="3"/>
    </row>
    <row r="49" spans="1:66">
      <c r="A49">
        <v>1970</v>
      </c>
      <c r="B49" s="3"/>
      <c r="C49" s="3"/>
      <c r="D49" s="22"/>
      <c r="E49" s="3"/>
      <c r="F49" s="3"/>
      <c r="G49" s="3">
        <v>21.159629009785977</v>
      </c>
      <c r="H49" s="3"/>
      <c r="I49" s="21"/>
      <c r="J49" s="21"/>
      <c r="K49" s="21"/>
      <c r="L49" s="21"/>
      <c r="M49" s="21"/>
      <c r="N49" s="21"/>
      <c r="O49" s="12"/>
      <c r="P49" s="12"/>
      <c r="Q49" s="12"/>
      <c r="R49" s="12"/>
      <c r="S49" s="12"/>
      <c r="T49" s="12"/>
      <c r="U49" s="21"/>
      <c r="V49" s="12"/>
      <c r="W49" s="7"/>
      <c r="X49" s="12"/>
      <c r="Y49" s="21"/>
      <c r="Z49" s="21"/>
      <c r="AA49" s="4"/>
      <c r="AF49" s="3"/>
      <c r="AG49" s="3"/>
      <c r="AH49" s="3"/>
      <c r="AI49" s="4"/>
      <c r="AJ49" s="3"/>
      <c r="AM49"/>
      <c r="AN49"/>
      <c r="AO49"/>
      <c r="AP49"/>
      <c r="AQ49"/>
      <c r="AR49" s="9">
        <v>1970</v>
      </c>
      <c r="AW49" s="3">
        <v>22.485768750567555</v>
      </c>
      <c r="BG49" s="3"/>
      <c r="BH49" s="3"/>
      <c r="BI49" s="3"/>
      <c r="BJ49" s="3"/>
      <c r="BK49" s="3"/>
      <c r="BN49" t="s">
        <v>174</v>
      </c>
    </row>
    <row r="50" spans="1:66">
      <c r="A50">
        <v>1971</v>
      </c>
      <c r="B50" s="3"/>
      <c r="C50" s="3"/>
      <c r="D50" s="22"/>
      <c r="E50" s="3"/>
      <c r="F50" s="3"/>
      <c r="G50" s="3">
        <v>21.251948621856169</v>
      </c>
      <c r="H50" s="3"/>
      <c r="I50" s="21"/>
      <c r="J50" s="21"/>
      <c r="K50" s="21"/>
      <c r="L50" s="21"/>
      <c r="M50" s="21"/>
      <c r="N50" s="21"/>
      <c r="O50" s="12"/>
      <c r="P50" s="12"/>
      <c r="Q50" s="12"/>
      <c r="R50" s="12"/>
      <c r="S50" s="12"/>
      <c r="T50" s="12"/>
      <c r="U50" s="21"/>
      <c r="V50" s="12"/>
      <c r="W50" s="7"/>
      <c r="X50" s="12"/>
      <c r="Y50" s="21"/>
      <c r="Z50" s="21"/>
      <c r="AA50" s="4"/>
      <c r="AF50" s="3"/>
      <c r="AG50" s="3"/>
      <c r="AH50" s="3"/>
      <c r="AI50" s="4"/>
      <c r="AJ50" s="3"/>
      <c r="AM50"/>
      <c r="AN50"/>
      <c r="AO50"/>
      <c r="AP50"/>
      <c r="AQ50"/>
      <c r="AR50" s="9">
        <v>1971</v>
      </c>
      <c r="AW50" s="3">
        <v>22.574814451556115</v>
      </c>
      <c r="BG50" s="3"/>
      <c r="BH50" s="3"/>
      <c r="BI50" s="3"/>
      <c r="BJ50" s="3"/>
      <c r="BK50" s="3"/>
    </row>
    <row r="51" spans="1:66">
      <c r="A51">
        <v>1972</v>
      </c>
      <c r="B51" s="3"/>
      <c r="C51" s="3"/>
      <c r="D51" s="22"/>
      <c r="E51" s="3"/>
      <c r="F51" s="3"/>
      <c r="G51" s="3">
        <v>21.344311663202756</v>
      </c>
      <c r="H51" s="3"/>
      <c r="I51" s="21"/>
      <c r="J51" s="21"/>
      <c r="K51" s="21"/>
      <c r="L51" s="21"/>
      <c r="M51" s="21"/>
      <c r="N51" s="21"/>
      <c r="O51" s="12"/>
      <c r="P51" s="12" t="s">
        <v>213</v>
      </c>
      <c r="Q51" s="12"/>
      <c r="R51" s="12"/>
      <c r="S51" s="12"/>
      <c r="T51" s="12"/>
      <c r="U51" s="21"/>
      <c r="V51" s="12"/>
      <c r="W51" s="7"/>
      <c r="X51" s="12"/>
      <c r="Y51" s="21"/>
      <c r="Z51" s="21"/>
      <c r="AA51" s="4"/>
      <c r="AF51" s="3"/>
      <c r="AG51" s="3"/>
      <c r="AH51" s="3"/>
      <c r="AI51" s="4"/>
      <c r="AJ51" s="3"/>
      <c r="AM51"/>
      <c r="AN51"/>
      <c r="AO51"/>
      <c r="AP51"/>
      <c r="AQ51"/>
      <c r="AR51" s="9">
        <v>1972</v>
      </c>
      <c r="AW51" s="3">
        <v>22.680568827767683</v>
      </c>
      <c r="BG51" s="3"/>
      <c r="BH51" s="3"/>
      <c r="BI51" s="3"/>
      <c r="BJ51" s="3"/>
      <c r="BK51" s="3"/>
    </row>
    <row r="52" spans="1:66">
      <c r="A52">
        <v>1973</v>
      </c>
      <c r="B52" s="3"/>
      <c r="C52" s="3"/>
      <c r="D52" s="22"/>
      <c r="E52" s="3"/>
      <c r="F52" s="3"/>
      <c r="G52" s="3">
        <v>21.436431845189095</v>
      </c>
      <c r="H52" s="3"/>
      <c r="I52" s="21"/>
      <c r="J52" s="21"/>
      <c r="K52" s="21"/>
      <c r="L52" s="21"/>
      <c r="M52" s="21"/>
      <c r="N52" s="21"/>
      <c r="O52" s="12"/>
      <c r="P52" s="12"/>
      <c r="Q52" s="12"/>
      <c r="R52" s="12"/>
      <c r="S52" s="12"/>
      <c r="T52" s="12"/>
      <c r="U52" s="21"/>
      <c r="V52" s="12"/>
      <c r="W52" s="7"/>
      <c r="X52" s="12"/>
      <c r="Y52" s="21"/>
      <c r="Z52" s="21"/>
      <c r="AA52" s="4"/>
      <c r="AF52" s="3"/>
      <c r="AG52" s="3"/>
      <c r="AH52" s="3"/>
      <c r="AI52" s="4"/>
      <c r="AJ52" s="3"/>
      <c r="AM52"/>
      <c r="AN52"/>
      <c r="AO52"/>
      <c r="AP52"/>
      <c r="AQ52"/>
      <c r="AR52" s="9">
        <v>1973</v>
      </c>
      <c r="AW52" s="3">
        <v>22.806167121270196</v>
      </c>
      <c r="BG52" s="3"/>
      <c r="BH52" s="3"/>
      <c r="BI52" s="3"/>
      <c r="BJ52" s="3"/>
      <c r="BK52" s="3"/>
    </row>
    <row r="53" spans="1:66">
      <c r="A53">
        <v>1974</v>
      </c>
      <c r="B53" s="3"/>
      <c r="C53" s="3"/>
      <c r="D53" s="22"/>
      <c r="E53" s="3"/>
      <c r="F53" s="3"/>
      <c r="G53" s="3">
        <v>21.524124866369945</v>
      </c>
      <c r="H53" s="3"/>
      <c r="I53" s="21"/>
      <c r="J53" s="21"/>
      <c r="K53" s="21"/>
      <c r="L53" s="21"/>
      <c r="M53" s="21"/>
      <c r="N53" s="21"/>
      <c r="O53" s="12"/>
      <c r="P53" s="12"/>
      <c r="Q53" s="12"/>
      <c r="R53" s="12"/>
      <c r="S53" s="12"/>
      <c r="T53" s="12"/>
      <c r="U53" s="21"/>
      <c r="V53" s="12"/>
      <c r="W53" s="7"/>
      <c r="X53" s="12"/>
      <c r="Y53" s="21"/>
      <c r="Z53" s="21"/>
      <c r="AA53" s="4"/>
      <c r="AF53" s="3"/>
      <c r="AG53" s="3"/>
      <c r="AH53" s="3"/>
      <c r="AI53" s="4"/>
      <c r="AJ53" s="3"/>
      <c r="AM53"/>
      <c r="AN53"/>
      <c r="AO53"/>
      <c r="AP53"/>
      <c r="AQ53"/>
      <c r="AR53" s="9">
        <v>1974</v>
      </c>
      <c r="AW53" s="3">
        <v>22.955332875878632</v>
      </c>
      <c r="BG53" s="3"/>
      <c r="BH53" s="3"/>
      <c r="BI53" s="3"/>
      <c r="BJ53" s="3"/>
      <c r="BK53" s="3"/>
    </row>
    <row r="54" spans="1:66">
      <c r="A54">
        <v>1975</v>
      </c>
      <c r="B54" s="3"/>
      <c r="C54" s="3"/>
      <c r="D54" s="22"/>
      <c r="E54" s="3"/>
      <c r="F54" s="3"/>
      <c r="G54" s="3">
        <v>21.695525640921474</v>
      </c>
      <c r="H54" s="3"/>
      <c r="I54" s="21"/>
      <c r="J54" s="21"/>
      <c r="K54" s="21"/>
      <c r="L54" s="21"/>
      <c r="M54" s="21"/>
      <c r="N54" s="21"/>
      <c r="O54" s="12"/>
      <c r="P54" s="12"/>
      <c r="Q54" s="12"/>
      <c r="R54" s="12"/>
      <c r="S54" s="12"/>
      <c r="T54" s="12"/>
      <c r="U54" s="21"/>
      <c r="V54" s="12"/>
      <c r="W54" s="7"/>
      <c r="X54" s="12"/>
      <c r="Y54" s="21"/>
      <c r="Z54" s="21"/>
      <c r="AA54" s="4"/>
      <c r="AF54" s="3"/>
      <c r="AG54" s="3"/>
      <c r="AH54" s="3"/>
      <c r="AI54" s="4"/>
      <c r="AJ54" s="3"/>
      <c r="AM54"/>
      <c r="AN54"/>
      <c r="AO54"/>
      <c r="AP54"/>
      <c r="AQ54"/>
      <c r="AR54" s="9">
        <v>1975</v>
      </c>
      <c r="AW54" s="3">
        <v>23.132488327019047</v>
      </c>
      <c r="BG54" s="3"/>
      <c r="BH54" s="3"/>
      <c r="BI54" s="3"/>
      <c r="BJ54" s="3"/>
      <c r="BK54" s="3"/>
    </row>
    <row r="55" spans="1:66">
      <c r="A55">
        <v>1976</v>
      </c>
      <c r="B55" s="3"/>
      <c r="C55" s="3"/>
      <c r="D55" s="22"/>
      <c r="E55" s="3"/>
      <c r="F55" s="3"/>
      <c r="G55" s="3">
        <v>21.972448718692203</v>
      </c>
      <c r="H55" s="3"/>
      <c r="I55" s="21"/>
      <c r="J55" s="21"/>
      <c r="K55" s="21"/>
      <c r="L55" s="21"/>
      <c r="M55" s="21"/>
      <c r="N55" s="21"/>
      <c r="O55" s="12"/>
      <c r="P55" s="12"/>
      <c r="Q55" s="12"/>
      <c r="R55" s="12"/>
      <c r="S55" s="12"/>
      <c r="T55" s="12"/>
      <c r="U55" s="21"/>
      <c r="V55" s="12"/>
      <c r="W55" s="7"/>
      <c r="X55" s="12"/>
      <c r="Y55" s="21"/>
      <c r="Z55" s="21"/>
      <c r="AA55" s="4"/>
      <c r="AF55" s="3"/>
      <c r="AG55" s="3"/>
      <c r="AH55" s="3"/>
      <c r="AI55" s="4"/>
      <c r="AJ55" s="3"/>
      <c r="AM55"/>
      <c r="AN55"/>
      <c r="AO55"/>
      <c r="AP55"/>
      <c r="AQ55"/>
      <c r="AR55" s="9">
        <v>1976</v>
      </c>
      <c r="AW55" s="3">
        <v>23.342885505320098</v>
      </c>
      <c r="BG55" s="3"/>
      <c r="BH55" s="3"/>
      <c r="BI55" s="3"/>
      <c r="BJ55" s="3"/>
      <c r="BK55" s="3"/>
    </row>
    <row r="56" spans="1:66">
      <c r="A56">
        <v>1977</v>
      </c>
      <c r="B56" s="3"/>
      <c r="C56" s="3"/>
      <c r="D56" s="22"/>
      <c r="E56" s="3"/>
      <c r="F56" s="3"/>
      <c r="G56" s="3">
        <v>22.249371807368863</v>
      </c>
      <c r="H56" s="3"/>
      <c r="I56" s="21"/>
      <c r="J56" s="21"/>
      <c r="K56" s="21"/>
      <c r="L56" s="21"/>
      <c r="M56" s="21"/>
      <c r="N56" s="21"/>
      <c r="O56" s="12"/>
      <c r="P56" s="12"/>
      <c r="Q56" s="12"/>
      <c r="R56" s="12"/>
      <c r="S56" s="12"/>
      <c r="T56" s="12"/>
      <c r="U56" s="21"/>
      <c r="V56" s="12"/>
      <c r="W56" s="7"/>
      <c r="X56" s="12"/>
      <c r="Y56" s="21"/>
      <c r="Z56" s="21"/>
      <c r="AA56" s="4"/>
      <c r="AF56" s="3"/>
      <c r="AG56" s="3"/>
      <c r="AH56" s="3"/>
      <c r="AI56" s="4"/>
      <c r="AJ56" s="3"/>
      <c r="AM56"/>
      <c r="AN56"/>
      <c r="AO56"/>
      <c r="AP56"/>
      <c r="AQ56"/>
      <c r="AR56" s="9">
        <v>1977</v>
      </c>
      <c r="AW56" s="3">
        <v>23.592761940688472</v>
      </c>
      <c r="BG56" s="3"/>
      <c r="BH56" s="3"/>
      <c r="BI56" s="3"/>
      <c r="BJ56" s="3"/>
      <c r="BK56" s="3"/>
    </row>
    <row r="57" spans="1:66">
      <c r="A57">
        <v>1978</v>
      </c>
      <c r="B57" s="3"/>
      <c r="C57" s="3"/>
      <c r="D57" s="22"/>
      <c r="E57" s="3"/>
      <c r="F57" s="3"/>
      <c r="G57" s="3">
        <v>22.526294947728697</v>
      </c>
      <c r="H57" s="3"/>
      <c r="I57" s="21"/>
      <c r="J57" s="21"/>
      <c r="K57" s="21"/>
      <c r="L57" s="21"/>
      <c r="M57" s="21"/>
      <c r="N57" s="21"/>
      <c r="O57" s="12"/>
      <c r="P57" s="12"/>
      <c r="Q57" s="12"/>
      <c r="R57" s="12"/>
      <c r="S57" s="12"/>
      <c r="T57" s="12"/>
      <c r="U57" s="21"/>
      <c r="V57" s="12"/>
      <c r="W57" s="7"/>
      <c r="X57" s="12"/>
      <c r="Y57" s="21"/>
      <c r="Z57" s="21"/>
      <c r="AA57" s="4"/>
      <c r="AF57" s="3"/>
      <c r="AG57" s="3"/>
      <c r="AH57" s="7"/>
      <c r="AI57" s="4"/>
      <c r="AJ57" s="3"/>
      <c r="AM57"/>
      <c r="AN57"/>
      <c r="AO57"/>
      <c r="AP57"/>
      <c r="AQ57"/>
      <c r="AR57" s="9">
        <v>1978</v>
      </c>
      <c r="AW57" s="3">
        <v>23.889525582941619</v>
      </c>
      <c r="BG57" s="3"/>
      <c r="BH57" s="3"/>
      <c r="BI57" s="3"/>
      <c r="BJ57" s="3"/>
      <c r="BK57" s="3"/>
    </row>
    <row r="58" spans="1:66">
      <c r="A58">
        <v>1979</v>
      </c>
      <c r="B58" s="3"/>
      <c r="C58" s="3"/>
      <c r="D58" s="22"/>
      <c r="E58" s="3"/>
      <c r="F58" s="3"/>
      <c r="G58" s="3">
        <v>22.803217986264894</v>
      </c>
      <c r="H58" s="3"/>
      <c r="I58" s="21"/>
      <c r="J58" s="21"/>
      <c r="K58" s="21"/>
      <c r="L58" s="21"/>
      <c r="M58" s="21"/>
      <c r="N58" s="21"/>
      <c r="O58" s="12"/>
      <c r="P58" s="12"/>
      <c r="Q58" s="12"/>
      <c r="R58" s="12"/>
      <c r="S58" s="12"/>
      <c r="T58" s="12"/>
      <c r="U58" s="21"/>
      <c r="V58" s="12"/>
      <c r="W58" s="7"/>
      <c r="X58" s="12"/>
      <c r="Y58" s="21"/>
      <c r="Z58" s="21"/>
      <c r="AA58" s="4"/>
      <c r="AF58" s="3"/>
      <c r="AG58" s="3"/>
      <c r="AH58" s="7"/>
      <c r="AI58" s="4"/>
      <c r="AJ58" s="3"/>
      <c r="AM58"/>
      <c r="AN58"/>
      <c r="AO58"/>
      <c r="AP58"/>
      <c r="AQ58"/>
      <c r="AR58" s="9">
        <v>1979</v>
      </c>
      <c r="AW58" s="3">
        <v>24.241974421238545</v>
      </c>
      <c r="BG58" s="3"/>
      <c r="BH58" s="3"/>
      <c r="BI58" s="3"/>
      <c r="BJ58" s="3"/>
      <c r="BK58" s="3"/>
    </row>
    <row r="59" spans="1:66">
      <c r="A59">
        <v>1980</v>
      </c>
      <c r="B59" s="3">
        <f t="shared" ref="B59:B88" si="0">I59/G59*100/C59*100</f>
        <v>140.50707646712689</v>
      </c>
      <c r="C59" s="3">
        <f t="shared" ref="C59:C87" si="1">E59/E$89*100</f>
        <v>37.784321185500851</v>
      </c>
      <c r="D59" s="22"/>
      <c r="E59" s="3">
        <v>54.074159999999999</v>
      </c>
      <c r="F59" s="3">
        <f t="shared" ref="F59:F78" si="2">D59*E59/100</f>
        <v>0</v>
      </c>
      <c r="G59" s="3">
        <v>23.080137354171811</v>
      </c>
      <c r="H59" s="3">
        <f t="shared" ref="H59:H78" si="3">F59*G59</f>
        <v>0</v>
      </c>
      <c r="I59" s="21">
        <f t="shared" ref="I59:I78" si="4">Z59+AJ59</f>
        <v>12.253163000851046</v>
      </c>
      <c r="J59" s="21"/>
      <c r="K59" s="21"/>
      <c r="L59" s="21"/>
      <c r="M59" s="21"/>
      <c r="N59" s="21">
        <v>0</v>
      </c>
      <c r="O59" s="12"/>
      <c r="P59" s="12"/>
      <c r="Q59" s="12"/>
      <c r="R59" s="12"/>
      <c r="S59" s="12"/>
      <c r="T59" s="12"/>
      <c r="U59" s="21">
        <f>USA!AS67</f>
        <v>29.621171295753257</v>
      </c>
      <c r="V59" s="12">
        <f t="shared" ref="V59:V89" si="5">G59</f>
        <v>23.080137354171811</v>
      </c>
      <c r="W59" s="7">
        <f t="shared" ref="W59:W68" si="6">U59*V59/100</f>
        <v>6.8366070209743661</v>
      </c>
      <c r="X59" s="12"/>
      <c r="Y59" s="21"/>
      <c r="Z59" s="21">
        <f t="shared" ref="Z59:Z68" si="7">Y$98+Y$99*W59</f>
        <v>8.7531630008510461</v>
      </c>
      <c r="AA59" s="4"/>
      <c r="AF59" s="3"/>
      <c r="AG59" s="3"/>
      <c r="AH59" s="7"/>
      <c r="AI59" s="4"/>
      <c r="AJ59" s="3">
        <v>3.5</v>
      </c>
      <c r="AM59"/>
      <c r="AN59"/>
      <c r="AO59"/>
      <c r="AP59"/>
      <c r="AQ59"/>
      <c r="AR59" s="9">
        <v>1980</v>
      </c>
      <c r="AS59" s="3">
        <f t="shared" ref="AS59:AS89" si="8">I59</f>
        <v>12.253163000851046</v>
      </c>
      <c r="AT59" s="3">
        <f>AJ59</f>
        <v>3.5</v>
      </c>
      <c r="AU59" s="3">
        <f t="shared" ref="AU59:AU96" si="9">AS59-AT59</f>
        <v>8.7531630008510461</v>
      </c>
      <c r="AW59" s="7">
        <v>24.660557313245533</v>
      </c>
      <c r="AY59" s="3">
        <f t="shared" ref="AY59:AY89" si="10">AS59/$AW59*100</f>
        <v>49.687291512547041</v>
      </c>
      <c r="AZ59" s="3">
        <f t="shared" ref="AZ59:AZ96" si="11">BC59+BA59</f>
        <v>49.703584504832762</v>
      </c>
      <c r="BA59" s="3">
        <f t="shared" ref="BA59:BA89" si="12">AT59/$AW59*100</f>
        <v>14.192704388396365</v>
      </c>
      <c r="BB59" s="3">
        <f t="shared" ref="BB59:BB96" si="13">AY59-BA59</f>
        <v>35.494587124150677</v>
      </c>
      <c r="BC59" s="3">
        <f>BQ$91+BQ$92*BD59+BQ$93*BE59+BQ$94*BF59+BQ$95*BG59</f>
        <v>35.510880116436397</v>
      </c>
      <c r="BD59" s="3">
        <f>USA!Z67*V59/AW59</f>
        <v>31.62450188336101</v>
      </c>
      <c r="BE59" s="24">
        <v>1</v>
      </c>
      <c r="BF59">
        <v>0</v>
      </c>
      <c r="BG59">
        <v>0</v>
      </c>
      <c r="BH59" s="3"/>
      <c r="BI59" s="3"/>
    </row>
    <row r="60" spans="1:66">
      <c r="A60">
        <v>1981</v>
      </c>
      <c r="B60" s="3">
        <f t="shared" si="0"/>
        <v>132.64356147003568</v>
      </c>
      <c r="C60" s="3">
        <f t="shared" si="1"/>
        <v>41.681969842500045</v>
      </c>
      <c r="D60" s="22"/>
      <c r="E60" s="3">
        <v>59.652189999999997</v>
      </c>
      <c r="F60" s="3">
        <f t="shared" si="2"/>
        <v>0</v>
      </c>
      <c r="G60" s="3">
        <v>23.357027913873086</v>
      </c>
      <c r="H60" s="3">
        <f t="shared" si="3"/>
        <v>0</v>
      </c>
      <c r="I60" s="21">
        <f t="shared" si="4"/>
        <v>12.913738533803123</v>
      </c>
      <c r="J60" s="21"/>
      <c r="K60" s="21"/>
      <c r="L60" s="21"/>
      <c r="M60" s="21"/>
      <c r="N60" s="21"/>
      <c r="O60" s="12"/>
      <c r="P60" s="12"/>
      <c r="Q60" s="12"/>
      <c r="R60" s="12"/>
      <c r="S60" s="12"/>
      <c r="T60" s="12"/>
      <c r="U60" s="21">
        <f>USA!AS68</f>
        <v>33.138143487610805</v>
      </c>
      <c r="V60" s="12">
        <f t="shared" si="5"/>
        <v>23.357027913873086</v>
      </c>
      <c r="W60" s="7">
        <f t="shared" si="6"/>
        <v>7.7400854245405721</v>
      </c>
      <c r="X60" s="12"/>
      <c r="Y60" s="21"/>
      <c r="Z60" s="21">
        <f t="shared" si="7"/>
        <v>9.413738533803123</v>
      </c>
      <c r="AA60" s="4"/>
      <c r="AF60" s="3"/>
      <c r="AG60" s="3"/>
      <c r="AH60" s="7"/>
      <c r="AI60" s="4"/>
      <c r="AJ60" s="3">
        <v>3.5</v>
      </c>
      <c r="AM60"/>
      <c r="AN60"/>
      <c r="AO60"/>
      <c r="AP60"/>
      <c r="AQ60"/>
      <c r="AR60" s="9">
        <v>1981</v>
      </c>
      <c r="AS60" s="3">
        <f t="shared" si="8"/>
        <v>12.913738533803123</v>
      </c>
      <c r="AT60" s="3">
        <f t="shared" ref="AT60:AT96" si="14">AJ60</f>
        <v>3.5</v>
      </c>
      <c r="AU60" s="3">
        <f t="shared" si="9"/>
        <v>9.413738533803123</v>
      </c>
      <c r="AW60" s="7">
        <v>25.157683756696589</v>
      </c>
      <c r="AY60" s="3">
        <f t="shared" si="10"/>
        <v>51.331190338083822</v>
      </c>
      <c r="AZ60" s="3">
        <f t="shared" si="11"/>
        <v>50.925401949574763</v>
      </c>
      <c r="BA60" s="3">
        <f t="shared" si="12"/>
        <v>13.912250562686854</v>
      </c>
      <c r="BB60" s="3">
        <f t="shared" si="13"/>
        <v>37.418939775396964</v>
      </c>
      <c r="BC60" s="3">
        <f t="shared" ref="BC60:BC96" si="15">BQ$91+BQ$92*BD60+BQ$93*BE60+BQ$94*BF60+BQ$95*BG60</f>
        <v>37.013151386887913</v>
      </c>
      <c r="BD60" s="3">
        <f>USA!Z68*V60/AW60</f>
        <v>33.803962024832579</v>
      </c>
      <c r="BE60" s="24">
        <v>1</v>
      </c>
      <c r="BF60">
        <v>0</v>
      </c>
      <c r="BG60">
        <v>0</v>
      </c>
      <c r="BH60" s="3"/>
      <c r="BI60" s="3"/>
    </row>
    <row r="61" spans="1:66">
      <c r="A61">
        <v>1982</v>
      </c>
      <c r="B61" s="3">
        <f t="shared" si="0"/>
        <v>118.77890649562839</v>
      </c>
      <c r="C61" s="3">
        <f t="shared" si="1"/>
        <v>44.24984128314113</v>
      </c>
      <c r="D61" s="22"/>
      <c r="E61" s="3">
        <v>63.32714</v>
      </c>
      <c r="F61" s="3">
        <f t="shared" si="2"/>
        <v>0</v>
      </c>
      <c r="G61" s="3">
        <v>23.633835735458849</v>
      </c>
      <c r="H61" s="3">
        <f t="shared" si="3"/>
        <v>0</v>
      </c>
      <c r="I61" s="21">
        <f t="shared" si="4"/>
        <v>12.421820599911239</v>
      </c>
      <c r="J61" s="21"/>
      <c r="K61" s="21"/>
      <c r="L61" s="21"/>
      <c r="M61" s="21"/>
      <c r="N61" s="21"/>
      <c r="O61" s="12"/>
      <c r="P61" s="12"/>
      <c r="Q61" s="12"/>
      <c r="R61" s="12"/>
      <c r="S61" s="12"/>
      <c r="T61" s="12"/>
      <c r="U61" s="21">
        <f>USA!AS69</f>
        <v>29.903238980288513</v>
      </c>
      <c r="V61" s="12">
        <f t="shared" si="5"/>
        <v>23.633835735458849</v>
      </c>
      <c r="W61" s="7">
        <f t="shared" si="6"/>
        <v>7.0672823801830873</v>
      </c>
      <c r="X61" s="12"/>
      <c r="Y61" s="21"/>
      <c r="Z61" s="21">
        <f t="shared" si="7"/>
        <v>8.9218205999112392</v>
      </c>
      <c r="AA61" s="4"/>
      <c r="AF61" s="3"/>
      <c r="AG61" s="3"/>
      <c r="AH61" s="7"/>
      <c r="AI61" s="4"/>
      <c r="AJ61" s="3">
        <v>3.5</v>
      </c>
      <c r="AM61"/>
      <c r="AN61"/>
      <c r="AO61"/>
      <c r="AP61"/>
      <c r="AQ61"/>
      <c r="AR61" s="9">
        <v>1982</v>
      </c>
      <c r="AS61" s="3">
        <f t="shared" si="8"/>
        <v>12.421820599911239</v>
      </c>
      <c r="AT61" s="3">
        <f t="shared" si="14"/>
        <v>3.5</v>
      </c>
      <c r="AU61" s="3">
        <f t="shared" si="9"/>
        <v>8.9218205999112392</v>
      </c>
      <c r="AW61" s="7">
        <v>25.748091786975536</v>
      </c>
      <c r="AY61" s="3">
        <f t="shared" si="10"/>
        <v>48.243655113093531</v>
      </c>
      <c r="AZ61" s="3">
        <f t="shared" si="11"/>
        <v>48.310988512099414</v>
      </c>
      <c r="BA61" s="3">
        <f t="shared" si="12"/>
        <v>13.593240341680183</v>
      </c>
      <c r="BB61" s="3">
        <f t="shared" si="13"/>
        <v>34.650414771413352</v>
      </c>
      <c r="BC61" s="3">
        <f t="shared" si="15"/>
        <v>34.717748170419227</v>
      </c>
      <c r="BD61" s="3">
        <f>USA!Z69*V61/AW61</f>
        <v>30.473844543856231</v>
      </c>
      <c r="BE61" s="24">
        <v>1</v>
      </c>
      <c r="BF61">
        <v>0</v>
      </c>
      <c r="BG61">
        <v>0</v>
      </c>
      <c r="BH61" s="3"/>
      <c r="BI61" s="3"/>
    </row>
    <row r="62" spans="1:66">
      <c r="A62">
        <v>1983</v>
      </c>
      <c r="B62" s="3">
        <f t="shared" si="0"/>
        <v>109.6147983969082</v>
      </c>
      <c r="C62" s="3">
        <f t="shared" si="1"/>
        <v>45.671336429076113</v>
      </c>
      <c r="D62" s="22"/>
      <c r="E62" s="3">
        <v>65.36148</v>
      </c>
      <c r="F62" s="3">
        <f t="shared" si="2"/>
        <v>0</v>
      </c>
      <c r="G62" s="3">
        <v>23.911246306627035</v>
      </c>
      <c r="H62" s="3">
        <f t="shared" si="3"/>
        <v>0</v>
      </c>
      <c r="I62" s="21">
        <f t="shared" si="4"/>
        <v>11.970578048236057</v>
      </c>
      <c r="J62" s="21"/>
      <c r="K62" s="21"/>
      <c r="L62" s="21"/>
      <c r="M62" s="21"/>
      <c r="N62" s="21"/>
      <c r="O62" s="12"/>
      <c r="P62" s="12"/>
      <c r="Q62" s="12"/>
      <c r="R62" s="12"/>
      <c r="S62" s="12"/>
      <c r="T62" s="12"/>
      <c r="U62" s="21">
        <f>USA!AS70</f>
        <v>26.975221378130566</v>
      </c>
      <c r="V62" s="12">
        <f t="shared" si="5"/>
        <v>23.911246306627035</v>
      </c>
      <c r="W62" s="7">
        <f t="shared" si="6"/>
        <v>6.4501116254827116</v>
      </c>
      <c r="X62" s="12"/>
      <c r="Y62" s="21"/>
      <c r="Z62" s="21">
        <f t="shared" si="7"/>
        <v>8.4705780482360566</v>
      </c>
      <c r="AA62" s="4"/>
      <c r="AF62" s="3"/>
      <c r="AG62" s="3"/>
      <c r="AH62" s="7"/>
      <c r="AI62" s="4"/>
      <c r="AJ62" s="3">
        <v>3.5</v>
      </c>
      <c r="AM62"/>
      <c r="AN62"/>
      <c r="AO62"/>
      <c r="AP62"/>
      <c r="AQ62"/>
      <c r="AR62" s="9">
        <v>1983</v>
      </c>
      <c r="AS62" s="3">
        <f t="shared" si="8"/>
        <v>11.970578048236057</v>
      </c>
      <c r="AT62" s="3">
        <f t="shared" si="14"/>
        <v>3.5</v>
      </c>
      <c r="AU62" s="3">
        <f t="shared" si="9"/>
        <v>8.4705780482360566</v>
      </c>
      <c r="AW62" s="7">
        <v>26.449284907560287</v>
      </c>
      <c r="AY62" s="3">
        <f t="shared" si="10"/>
        <v>45.258607520290184</v>
      </c>
      <c r="AZ62" s="3">
        <f t="shared" si="11"/>
        <v>44.985416360789422</v>
      </c>
      <c r="BA62" s="3">
        <f t="shared" si="12"/>
        <v>13.232871936736396</v>
      </c>
      <c r="BB62" s="3">
        <f t="shared" si="13"/>
        <v>32.025735583553789</v>
      </c>
      <c r="BC62" s="3">
        <f t="shared" si="15"/>
        <v>31.752544424053028</v>
      </c>
      <c r="BD62" s="3">
        <f>USA!Z70*V62/AW62</f>
        <v>26.171996067046216</v>
      </c>
      <c r="BE62" s="24">
        <v>1</v>
      </c>
      <c r="BF62">
        <v>0</v>
      </c>
      <c r="BG62">
        <v>0</v>
      </c>
      <c r="BH62" s="3"/>
      <c r="BI62" s="3"/>
    </row>
    <row r="63" spans="1:66">
      <c r="A63">
        <v>1984</v>
      </c>
      <c r="B63" s="3">
        <f t="shared" si="0"/>
        <v>102.69127022264529</v>
      </c>
      <c r="C63" s="3">
        <f t="shared" si="1"/>
        <v>47.643090239969929</v>
      </c>
      <c r="D63" s="22"/>
      <c r="E63" s="3">
        <v>68.183310000000006</v>
      </c>
      <c r="F63" s="3">
        <f t="shared" si="2"/>
        <v>0</v>
      </c>
      <c r="G63" s="3">
        <v>24.197485272861186</v>
      </c>
      <c r="H63" s="3">
        <f t="shared" si="3"/>
        <v>0</v>
      </c>
      <c r="I63" s="21">
        <f t="shared" si="4"/>
        <v>11.838690941201033</v>
      </c>
      <c r="J63" s="21"/>
      <c r="K63" s="21"/>
      <c r="L63" s="21"/>
      <c r="M63" s="21"/>
      <c r="N63" s="21"/>
      <c r="O63" s="12"/>
      <c r="P63" s="12"/>
      <c r="Q63" s="12"/>
      <c r="R63" s="12"/>
      <c r="S63" s="12"/>
      <c r="T63" s="12"/>
      <c r="U63" s="21">
        <f>USA!AS71</f>
        <v>25.910658534359801</v>
      </c>
      <c r="V63" s="12">
        <f t="shared" si="5"/>
        <v>24.197485272861186</v>
      </c>
      <c r="W63" s="7">
        <f t="shared" si="6"/>
        <v>6.2697277829530629</v>
      </c>
      <c r="X63" s="12"/>
      <c r="Y63" s="21"/>
      <c r="Z63" s="21">
        <f t="shared" si="7"/>
        <v>8.3386909412010333</v>
      </c>
      <c r="AA63" s="4"/>
      <c r="AF63" s="3"/>
      <c r="AG63" s="3"/>
      <c r="AH63" s="7"/>
      <c r="AI63" s="4"/>
      <c r="AJ63" s="3">
        <v>3.5</v>
      </c>
      <c r="AM63"/>
      <c r="AN63"/>
      <c r="AO63"/>
      <c r="AP63"/>
      <c r="AQ63"/>
      <c r="AR63" s="9">
        <v>1984</v>
      </c>
      <c r="AS63" s="3">
        <f t="shared" si="8"/>
        <v>11.838690941201033</v>
      </c>
      <c r="AT63" s="3">
        <f t="shared" si="14"/>
        <v>3.5</v>
      </c>
      <c r="AU63" s="3">
        <f t="shared" si="9"/>
        <v>8.3386909412010333</v>
      </c>
      <c r="AW63" s="7">
        <v>27.282051006813369</v>
      </c>
      <c r="AY63" s="3">
        <f t="shared" si="10"/>
        <v>43.393698436545186</v>
      </c>
      <c r="AZ63" s="3">
        <f t="shared" si="11"/>
        <v>43.977314236472097</v>
      </c>
      <c r="BA63" s="3">
        <f t="shared" si="12"/>
        <v>12.82894749784727</v>
      </c>
      <c r="BB63" s="3">
        <f t="shared" si="13"/>
        <v>30.564750938697916</v>
      </c>
      <c r="BC63" s="3">
        <f t="shared" si="15"/>
        <v>31.148366738624823</v>
      </c>
      <c r="BD63" s="3">
        <f>USA!Z71*V63/AW63</f>
        <v>25.295469164310767</v>
      </c>
      <c r="BE63" s="24">
        <v>1</v>
      </c>
      <c r="BF63">
        <v>0</v>
      </c>
      <c r="BG63">
        <v>0</v>
      </c>
      <c r="BH63" s="3"/>
      <c r="BI63" s="3"/>
    </row>
    <row r="64" spans="1:66">
      <c r="A64">
        <v>1985</v>
      </c>
      <c r="B64" s="3">
        <f t="shared" si="0"/>
        <v>97.718708619187154</v>
      </c>
      <c r="C64" s="3">
        <f t="shared" si="1"/>
        <v>49.339718212134507</v>
      </c>
      <c r="D64" s="22"/>
      <c r="E64" s="3">
        <v>70.611400000000003</v>
      </c>
      <c r="F64" s="3">
        <f t="shared" si="2"/>
        <v>0</v>
      </c>
      <c r="G64" s="3">
        <v>24.639756229408377</v>
      </c>
      <c r="H64" s="3">
        <f t="shared" si="3"/>
        <v>0</v>
      </c>
      <c r="I64" s="21">
        <f t="shared" si="4"/>
        <v>11.879845448723968</v>
      </c>
      <c r="J64" s="21"/>
      <c r="K64" s="21"/>
      <c r="L64" s="21"/>
      <c r="M64" s="21"/>
      <c r="N64" s="21"/>
      <c r="O64" s="12"/>
      <c r="P64" s="12"/>
      <c r="Q64" s="12"/>
      <c r="R64" s="12"/>
      <c r="S64" s="12"/>
      <c r="T64" s="12"/>
      <c r="U64" s="21">
        <f>USA!AS72</f>
        <v>25.674017713893974</v>
      </c>
      <c r="V64" s="12">
        <f t="shared" si="5"/>
        <v>24.639756229408377</v>
      </c>
      <c r="W64" s="7">
        <f t="shared" si="6"/>
        <v>6.3260153789986013</v>
      </c>
      <c r="X64" s="12"/>
      <c r="Y64" s="21"/>
      <c r="Z64" s="21">
        <f t="shared" si="7"/>
        <v>8.3798454487239677</v>
      </c>
      <c r="AA64" s="4"/>
      <c r="AF64" s="3"/>
      <c r="AG64" s="3"/>
      <c r="AH64" s="7"/>
      <c r="AI64" s="4"/>
      <c r="AJ64" s="3">
        <v>3.5</v>
      </c>
      <c r="AM64"/>
      <c r="AN64"/>
      <c r="AO64"/>
      <c r="AP64"/>
      <c r="AQ64"/>
      <c r="AR64" s="9">
        <v>1985</v>
      </c>
      <c r="AS64" s="3">
        <f t="shared" si="8"/>
        <v>11.879845448723968</v>
      </c>
      <c r="AT64" s="3">
        <f t="shared" si="14"/>
        <v>3.5</v>
      </c>
      <c r="AU64" s="3">
        <f t="shared" si="9"/>
        <v>8.3798454487239677</v>
      </c>
      <c r="AW64" s="7">
        <v>28.271078646801779</v>
      </c>
      <c r="AY64" s="3">
        <f t="shared" si="10"/>
        <v>42.021196280276691</v>
      </c>
      <c r="AZ64" s="3">
        <f t="shared" si="11"/>
        <v>42.114688860022753</v>
      </c>
      <c r="BA64" s="3">
        <f t="shared" si="12"/>
        <v>12.380143126926443</v>
      </c>
      <c r="BB64" s="3">
        <f t="shared" si="13"/>
        <v>29.641053153350249</v>
      </c>
      <c r="BC64" s="3">
        <f t="shared" si="15"/>
        <v>29.734545733096311</v>
      </c>
      <c r="BD64" s="3">
        <f>USA!Z72*V64/AW64</f>
        <v>23.244330605428171</v>
      </c>
      <c r="BE64" s="24">
        <v>1</v>
      </c>
      <c r="BF64">
        <v>0</v>
      </c>
      <c r="BG64">
        <v>0</v>
      </c>
      <c r="BH64" s="3"/>
      <c r="BI64" s="3"/>
    </row>
    <row r="65" spans="1:61">
      <c r="A65">
        <v>1986</v>
      </c>
      <c r="B65" s="3">
        <f t="shared" si="0"/>
        <v>84.431297503172374</v>
      </c>
      <c r="C65" s="3">
        <f t="shared" si="1"/>
        <v>50.256813657899102</v>
      </c>
      <c r="D65" s="22"/>
      <c r="E65" s="3">
        <v>71.923879999999997</v>
      </c>
      <c r="F65" s="3">
        <f t="shared" si="2"/>
        <v>0</v>
      </c>
      <c r="G65" s="3">
        <v>25.110533430112863</v>
      </c>
      <c r="H65" s="3">
        <f t="shared" si="3"/>
        <v>0</v>
      </c>
      <c r="I65" s="21">
        <f t="shared" si="4"/>
        <v>10.655022039244749</v>
      </c>
      <c r="J65" s="21"/>
      <c r="K65" s="21"/>
      <c r="L65" s="21"/>
      <c r="M65" s="21"/>
      <c r="N65" s="21"/>
      <c r="O65" s="12"/>
      <c r="P65" s="12"/>
      <c r="Q65" s="12"/>
      <c r="R65" s="12"/>
      <c r="S65" s="12"/>
      <c r="T65" s="12"/>
      <c r="U65" s="21">
        <f>USA!AS73</f>
        <v>18.521339934721528</v>
      </c>
      <c r="V65" s="12">
        <f t="shared" si="5"/>
        <v>25.110533430112863</v>
      </c>
      <c r="W65" s="7">
        <f t="shared" si="6"/>
        <v>4.6508072560130929</v>
      </c>
      <c r="X65" s="12"/>
      <c r="Y65" s="21"/>
      <c r="Z65" s="21">
        <f t="shared" si="7"/>
        <v>7.1550220392447486</v>
      </c>
      <c r="AA65" s="4"/>
      <c r="AF65" s="3"/>
      <c r="AG65" s="3"/>
      <c r="AH65" s="7"/>
      <c r="AI65" s="4"/>
      <c r="AJ65" s="3">
        <v>3.5</v>
      </c>
      <c r="AM65"/>
      <c r="AN65"/>
      <c r="AO65"/>
      <c r="AP65"/>
      <c r="AQ65"/>
      <c r="AR65" s="9">
        <v>1986</v>
      </c>
      <c r="AS65" s="3">
        <f t="shared" si="8"/>
        <v>10.655022039244749</v>
      </c>
      <c r="AT65" s="3">
        <f t="shared" si="14"/>
        <v>3.5</v>
      </c>
      <c r="AU65" s="3">
        <f t="shared" si="9"/>
        <v>7.1550220392447486</v>
      </c>
      <c r="AW65" s="7">
        <v>29.445688992201088</v>
      </c>
      <c r="AY65" s="3">
        <f t="shared" si="10"/>
        <v>36.185337833551159</v>
      </c>
      <c r="AZ65" s="3">
        <f t="shared" si="11"/>
        <v>34.445317947869007</v>
      </c>
      <c r="BA65" s="3">
        <f t="shared" si="12"/>
        <v>11.88629004716786</v>
      </c>
      <c r="BB65" s="3">
        <f t="shared" si="13"/>
        <v>24.299047786383298</v>
      </c>
      <c r="BC65" s="3">
        <f t="shared" si="15"/>
        <v>22.559027900701146</v>
      </c>
      <c r="BD65" s="3">
        <f>USA!Z73*V65/AW65</f>
        <v>12.834256594345334</v>
      </c>
      <c r="BE65" s="24">
        <v>1</v>
      </c>
      <c r="BF65">
        <v>0</v>
      </c>
      <c r="BG65">
        <v>0</v>
      </c>
      <c r="BH65" s="3"/>
      <c r="BI65" s="3"/>
    </row>
    <row r="66" spans="1:61">
      <c r="A66">
        <v>1987</v>
      </c>
      <c r="B66" s="3">
        <f t="shared" si="0"/>
        <v>80.816120565443555</v>
      </c>
      <c r="C66" s="3">
        <f t="shared" si="1"/>
        <v>52.136856526716379</v>
      </c>
      <c r="D66" s="22"/>
      <c r="E66" s="3">
        <v>74.614459999999994</v>
      </c>
      <c r="F66" s="3">
        <f t="shared" si="2"/>
        <v>0</v>
      </c>
      <c r="G66" s="3">
        <v>25.581375245814105</v>
      </c>
      <c r="H66" s="3">
        <f t="shared" si="3"/>
        <v>0</v>
      </c>
      <c r="I66" s="21">
        <f t="shared" si="4"/>
        <v>10.778708579043052</v>
      </c>
      <c r="J66" s="21"/>
      <c r="K66" s="21"/>
      <c r="L66" s="21"/>
      <c r="M66" s="21"/>
      <c r="N66" s="21"/>
      <c r="O66" s="12"/>
      <c r="P66" s="12"/>
      <c r="Q66" s="12"/>
      <c r="R66" s="12"/>
      <c r="S66" s="12"/>
      <c r="T66" s="12"/>
      <c r="U66" s="21">
        <f>USA!AS74</f>
        <v>18.84173552680727</v>
      </c>
      <c r="V66" s="12">
        <f t="shared" si="5"/>
        <v>25.581375245814105</v>
      </c>
      <c r="W66" s="7">
        <f t="shared" si="6"/>
        <v>4.8199750679364364</v>
      </c>
      <c r="X66" s="12"/>
      <c r="Y66" s="21"/>
      <c r="Z66" s="21">
        <f t="shared" si="7"/>
        <v>7.2787085790430526</v>
      </c>
      <c r="AA66" s="4"/>
      <c r="AF66" s="3"/>
      <c r="AG66" s="3"/>
      <c r="AH66" s="7"/>
      <c r="AI66" s="4"/>
      <c r="AJ66" s="3">
        <v>3.5</v>
      </c>
      <c r="AK66" s="3"/>
      <c r="AM66"/>
      <c r="AN66"/>
      <c r="AO66"/>
      <c r="AP66"/>
      <c r="AQ66"/>
      <c r="AR66" s="9">
        <v>1987</v>
      </c>
      <c r="AS66" s="3">
        <f t="shared" si="8"/>
        <v>10.778708579043052</v>
      </c>
      <c r="AT66" s="3">
        <f t="shared" si="14"/>
        <v>3.5</v>
      </c>
      <c r="AU66" s="3">
        <f t="shared" si="9"/>
        <v>7.2787085790430517</v>
      </c>
      <c r="AW66" s="7">
        <v>30.840704928405287</v>
      </c>
      <c r="AY66" s="3">
        <f t="shared" si="10"/>
        <v>34.949618058553234</v>
      </c>
      <c r="AZ66" s="3">
        <f t="shared" si="11"/>
        <v>36.038612453234677</v>
      </c>
      <c r="BA66" s="3">
        <f t="shared" si="12"/>
        <v>11.348638133029141</v>
      </c>
      <c r="BB66" s="3">
        <f t="shared" si="13"/>
        <v>23.600979925524094</v>
      </c>
      <c r="BC66" s="3">
        <f t="shared" si="15"/>
        <v>24.689974320205536</v>
      </c>
      <c r="BD66" s="3">
        <f>USA!Z74*V66/AW66</f>
        <v>15.925783987747126</v>
      </c>
      <c r="BE66" s="24">
        <v>1</v>
      </c>
      <c r="BF66">
        <v>0</v>
      </c>
      <c r="BG66">
        <v>0</v>
      </c>
      <c r="BH66" s="3"/>
      <c r="BI66" s="3"/>
    </row>
    <row r="67" spans="1:61">
      <c r="A67">
        <v>1988</v>
      </c>
      <c r="B67" s="3">
        <f t="shared" si="0"/>
        <v>76.449198331818764</v>
      </c>
      <c r="C67" s="3">
        <f t="shared" si="1"/>
        <v>54.227069431021505</v>
      </c>
      <c r="D67" s="22"/>
      <c r="E67" s="3">
        <v>77.605819999999994</v>
      </c>
      <c r="F67" s="3">
        <f t="shared" si="2"/>
        <v>0</v>
      </c>
      <c r="G67" s="3">
        <v>26.052319531220892</v>
      </c>
      <c r="H67" s="3">
        <f t="shared" si="3"/>
        <v>0</v>
      </c>
      <c r="I67" s="21">
        <f t="shared" si="4"/>
        <v>10.800291231802557</v>
      </c>
      <c r="J67" s="21"/>
      <c r="K67" s="21"/>
      <c r="L67" s="21"/>
      <c r="M67" s="21"/>
      <c r="N67" s="21"/>
      <c r="O67" s="12"/>
      <c r="P67" s="12"/>
      <c r="Q67" s="12"/>
      <c r="R67" s="12"/>
      <c r="S67" s="12"/>
      <c r="T67" s="12"/>
      <c r="U67" s="21">
        <f>USA!AS75</f>
        <v>18.614442212838007</v>
      </c>
      <c r="V67" s="12">
        <f t="shared" si="5"/>
        <v>26.052319531220892</v>
      </c>
      <c r="W67" s="7">
        <f t="shared" si="6"/>
        <v>4.849493964243023</v>
      </c>
      <c r="X67" s="12"/>
      <c r="Y67" s="21"/>
      <c r="Z67" s="21">
        <f t="shared" si="7"/>
        <v>7.3002912318025572</v>
      </c>
      <c r="AA67" s="4"/>
      <c r="AF67" s="3"/>
      <c r="AG67" s="3"/>
      <c r="AH67" s="7"/>
      <c r="AI67" s="4"/>
      <c r="AJ67" s="3">
        <v>3.5</v>
      </c>
      <c r="AM67"/>
      <c r="AN67"/>
      <c r="AO67"/>
      <c r="AP67"/>
      <c r="AQ67"/>
      <c r="AR67" s="9">
        <v>1988</v>
      </c>
      <c r="AS67" s="3">
        <f t="shared" si="8"/>
        <v>10.800291231802557</v>
      </c>
      <c r="AT67" s="3">
        <f t="shared" si="14"/>
        <v>3.5</v>
      </c>
      <c r="AU67" s="3">
        <f t="shared" si="9"/>
        <v>7.3002912318025572</v>
      </c>
      <c r="AW67" s="7">
        <v>32.4974832531434</v>
      </c>
      <c r="AY67" s="3">
        <f t="shared" si="10"/>
        <v>33.234238933742269</v>
      </c>
      <c r="AZ67" s="3">
        <f t="shared" si="11"/>
        <v>33.307341467189829</v>
      </c>
      <c r="BA67" s="3">
        <f t="shared" si="12"/>
        <v>10.770064785436743</v>
      </c>
      <c r="BB67" s="3">
        <f t="shared" si="13"/>
        <v>22.464174148305524</v>
      </c>
      <c r="BC67" s="3">
        <f t="shared" si="15"/>
        <v>22.537276681753085</v>
      </c>
      <c r="BD67" s="3">
        <f>USA!Z75*V67/AW67</f>
        <v>12.802700432912868</v>
      </c>
      <c r="BE67" s="24">
        <v>1</v>
      </c>
      <c r="BF67">
        <v>0</v>
      </c>
      <c r="BG67">
        <v>0</v>
      </c>
      <c r="BH67" s="3"/>
      <c r="BI67" s="3"/>
    </row>
    <row r="68" spans="1:61">
      <c r="A68">
        <v>1989</v>
      </c>
      <c r="B68" s="3">
        <f t="shared" si="0"/>
        <v>73.851441721842718</v>
      </c>
      <c r="C68" s="3">
        <f t="shared" si="1"/>
        <v>56.844608024141067</v>
      </c>
      <c r="D68" s="22"/>
      <c r="E68" s="3">
        <v>81.351849999999999</v>
      </c>
      <c r="F68" s="3">
        <f t="shared" si="2"/>
        <v>0</v>
      </c>
      <c r="G68" s="3">
        <v>26.519977790469799</v>
      </c>
      <c r="H68" s="3">
        <f t="shared" si="3"/>
        <v>0</v>
      </c>
      <c r="I68" s="21">
        <f t="shared" si="4"/>
        <v>11.133235869071665</v>
      </c>
      <c r="J68" s="21"/>
      <c r="K68" s="21"/>
      <c r="L68" s="21"/>
      <c r="M68" s="21"/>
      <c r="N68" s="21"/>
      <c r="O68" s="12"/>
      <c r="P68" s="12"/>
      <c r="Q68" s="12"/>
      <c r="R68" s="12"/>
      <c r="S68" s="12"/>
      <c r="T68" s="12"/>
      <c r="U68" s="21">
        <f>USA!AS76</f>
        <v>20.003286003160586</v>
      </c>
      <c r="V68" s="12">
        <f t="shared" si="5"/>
        <v>26.519977790469799</v>
      </c>
      <c r="W68" s="7">
        <f t="shared" si="6"/>
        <v>5.3048670054023406</v>
      </c>
      <c r="X68" s="12"/>
      <c r="Y68" s="21"/>
      <c r="Z68" s="21">
        <f t="shared" si="7"/>
        <v>7.6332358690716662</v>
      </c>
      <c r="AA68" s="4"/>
      <c r="AF68" s="3"/>
      <c r="AG68" s="3"/>
      <c r="AH68" s="7"/>
      <c r="AI68" s="4"/>
      <c r="AJ68" s="3">
        <v>3.5</v>
      </c>
      <c r="AM68"/>
      <c r="AN68"/>
      <c r="AO68"/>
      <c r="AP68"/>
      <c r="AQ68"/>
      <c r="AR68" s="9">
        <v>1989</v>
      </c>
      <c r="AS68" s="3">
        <f t="shared" si="8"/>
        <v>11.133235869071665</v>
      </c>
      <c r="AT68" s="3">
        <f t="shared" si="14"/>
        <v>3.5</v>
      </c>
      <c r="AU68" s="3">
        <f t="shared" si="9"/>
        <v>7.6332358690716653</v>
      </c>
      <c r="AW68" s="7">
        <v>34.465153753221514</v>
      </c>
      <c r="AY68" s="3">
        <f t="shared" si="10"/>
        <v>32.30287596796525</v>
      </c>
      <c r="AZ68" s="3">
        <f t="shared" si="11"/>
        <v>31.819614509504824</v>
      </c>
      <c r="BA68" s="3">
        <f t="shared" si="12"/>
        <v>10.155184639711203</v>
      </c>
      <c r="BB68" s="3">
        <f t="shared" si="13"/>
        <v>22.147691328254048</v>
      </c>
      <c r="BC68" s="3">
        <f t="shared" si="15"/>
        <v>21.664429869793619</v>
      </c>
      <c r="BD68" s="3">
        <f>USA!Z76*V68/AW68</f>
        <v>15.112434069908709</v>
      </c>
      <c r="BE68" s="24">
        <v>0.75</v>
      </c>
      <c r="BF68">
        <v>0</v>
      </c>
      <c r="BG68">
        <v>0</v>
      </c>
      <c r="BH68" s="3"/>
      <c r="BI68" s="3"/>
    </row>
    <row r="69" spans="1:61">
      <c r="A69">
        <v>1990</v>
      </c>
      <c r="B69" s="3">
        <f t="shared" si="0"/>
        <v>66.079158998436398</v>
      </c>
      <c r="C69" s="3">
        <f t="shared" si="1"/>
        <v>59.913057002261802</v>
      </c>
      <c r="D69" s="22"/>
      <c r="E69" s="3">
        <v>85.743189999999998</v>
      </c>
      <c r="F69" s="3">
        <f t="shared" si="2"/>
        <v>0</v>
      </c>
      <c r="G69" s="3">
        <v>27.049300441845016</v>
      </c>
      <c r="H69" s="3">
        <f t="shared" si="3"/>
        <v>0</v>
      </c>
      <c r="I69" s="21">
        <f t="shared" si="4"/>
        <v>10.708830000000001</v>
      </c>
      <c r="J69" s="21"/>
      <c r="K69" s="21"/>
      <c r="L69" s="21"/>
      <c r="M69" s="21"/>
      <c r="N69" s="21">
        <f t="shared" ref="N69:N78" si="16">N$79*O69/O$79</f>
        <v>10.708830000000001</v>
      </c>
      <c r="O69" s="12">
        <v>37.299999999999997</v>
      </c>
      <c r="P69" s="12"/>
      <c r="Q69" s="12"/>
      <c r="R69" s="12"/>
      <c r="S69" s="12"/>
      <c r="T69" s="12"/>
      <c r="U69" s="21">
        <f>USA!AS77</f>
        <v>20.992497708026576</v>
      </c>
      <c r="V69" s="12">
        <f t="shared" si="5"/>
        <v>27.049300441845016</v>
      </c>
      <c r="W69" s="7">
        <f>U69*V69/100</f>
        <v>5.6783237752915374</v>
      </c>
      <c r="X69" s="12"/>
      <c r="Y69" s="21">
        <f t="shared" ref="Y69:Y89" si="17">N69-AJ69</f>
        <v>7.9062876695688988</v>
      </c>
      <c r="Z69" s="21">
        <f>Y$98+Y$99*W69</f>
        <v>7.9062876695688988</v>
      </c>
      <c r="AA69" s="4"/>
      <c r="AF69" s="3">
        <f>AG69/Z69</f>
        <v>0.35447006832524147</v>
      </c>
      <c r="AG69" s="3">
        <f>AJ69</f>
        <v>2.8025423304311019</v>
      </c>
      <c r="AH69" s="7"/>
      <c r="AI69" s="4"/>
      <c r="AJ69" s="3">
        <f>N69-Z69</f>
        <v>2.8025423304311019</v>
      </c>
      <c r="AM69"/>
      <c r="AN69"/>
      <c r="AO69"/>
      <c r="AP69"/>
      <c r="AQ69"/>
      <c r="AR69" s="9">
        <v>1990</v>
      </c>
      <c r="AS69" s="3">
        <f t="shared" si="8"/>
        <v>10.708830000000001</v>
      </c>
      <c r="AT69" s="3">
        <f t="shared" si="14"/>
        <v>2.8025423304311019</v>
      </c>
      <c r="AU69" s="3">
        <f t="shared" si="9"/>
        <v>7.9062876695688988</v>
      </c>
      <c r="AW69" s="7">
        <v>36.802103443585288</v>
      </c>
      <c r="AY69" s="3">
        <f t="shared" si="10"/>
        <v>29.098418291269113</v>
      </c>
      <c r="AZ69" s="3">
        <f t="shared" si="11"/>
        <v>29.811264705284742</v>
      </c>
      <c r="BA69" s="3">
        <f t="shared" si="12"/>
        <v>7.6151688849176171</v>
      </c>
      <c r="BB69" s="3">
        <f t="shared" si="13"/>
        <v>21.483249406351497</v>
      </c>
      <c r="BC69" s="3">
        <f t="shared" si="15"/>
        <v>22.196095820367123</v>
      </c>
      <c r="BD69" s="3">
        <f>USA!Z77*V69/AW69</f>
        <v>18.029386305475199</v>
      </c>
      <c r="BE69" s="24">
        <v>0.6</v>
      </c>
      <c r="BF69">
        <v>0</v>
      </c>
      <c r="BG69">
        <v>0</v>
      </c>
      <c r="BH69" s="3"/>
      <c r="BI69" s="3"/>
    </row>
    <row r="70" spans="1:61">
      <c r="A70">
        <v>1991</v>
      </c>
      <c r="B70" s="3">
        <f t="shared" si="0"/>
        <v>89.842526764324532</v>
      </c>
      <c r="C70" s="3">
        <f t="shared" si="1"/>
        <v>62.450351141377027</v>
      </c>
      <c r="D70" s="22"/>
      <c r="E70" s="3">
        <v>89.374380000000002</v>
      </c>
      <c r="F70" s="3">
        <f t="shared" si="2"/>
        <v>0</v>
      </c>
      <c r="G70" s="3">
        <v>27.693179819023054</v>
      </c>
      <c r="H70" s="3">
        <f t="shared" si="3"/>
        <v>0</v>
      </c>
      <c r="I70" s="21">
        <f t="shared" si="4"/>
        <v>15.537805045364747</v>
      </c>
      <c r="J70" s="21"/>
      <c r="K70" s="21"/>
      <c r="L70" s="21"/>
      <c r="M70" s="21"/>
      <c r="N70" s="21">
        <f t="shared" si="16"/>
        <v>16.364699999999999</v>
      </c>
      <c r="O70" s="12">
        <v>57</v>
      </c>
      <c r="P70" s="12"/>
      <c r="Q70" s="12"/>
      <c r="R70" s="12"/>
      <c r="S70" s="12"/>
      <c r="T70" s="12"/>
      <c r="U70" s="21">
        <f>USA!AS78</f>
        <v>20.928521447490766</v>
      </c>
      <c r="V70" s="12">
        <f t="shared" si="5"/>
        <v>27.693179819023054</v>
      </c>
      <c r="W70" s="7">
        <f t="shared" ref="W70:W88" si="18">U70*V70/100</f>
        <v>5.795773077916424</v>
      </c>
      <c r="X70" s="12"/>
      <c r="Y70" s="21">
        <f t="shared" si="17"/>
        <v>8.8190553305909827</v>
      </c>
      <c r="Z70" s="21">
        <f>Y$98+Y$99*W70</f>
        <v>7.9921603759557307</v>
      </c>
      <c r="AA70" s="4"/>
      <c r="AF70" s="3">
        <f>AF71</f>
        <v>0.94413078747893386</v>
      </c>
      <c r="AG70" s="3">
        <f>AF70*Z70</f>
        <v>7.5456446694090165</v>
      </c>
      <c r="AH70" s="7">
        <v>0.2</v>
      </c>
      <c r="AI70" s="4">
        <v>0</v>
      </c>
      <c r="AJ70" s="3">
        <f t="shared" ref="AJ70:AJ77" si="19">AG70+AI70</f>
        <v>7.5456446694090165</v>
      </c>
      <c r="AM70"/>
      <c r="AN70"/>
      <c r="AO70"/>
      <c r="AP70"/>
      <c r="AQ70"/>
      <c r="AR70" s="9">
        <v>1991</v>
      </c>
      <c r="AS70" s="3">
        <f t="shared" si="8"/>
        <v>15.537805045364747</v>
      </c>
      <c r="AT70" s="3">
        <f t="shared" si="14"/>
        <v>7.5456446694090165</v>
      </c>
      <c r="AU70" s="3">
        <f t="shared" si="9"/>
        <v>7.9921603759557307</v>
      </c>
      <c r="AW70" s="3">
        <v>39.576722560120146</v>
      </c>
      <c r="AY70" s="3">
        <f t="shared" si="10"/>
        <v>39.259958986653338</v>
      </c>
      <c r="AZ70" s="3">
        <f t="shared" si="11"/>
        <v>39.223663304189472</v>
      </c>
      <c r="BA70" s="3">
        <f t="shared" si="12"/>
        <v>19.065865441350255</v>
      </c>
      <c r="BB70" s="3">
        <f t="shared" si="13"/>
        <v>20.194093545303083</v>
      </c>
      <c r="BC70" s="3">
        <f t="shared" si="15"/>
        <v>20.157797862839221</v>
      </c>
      <c r="BD70" s="3">
        <f>USA!Z78*V70/AW70</f>
        <v>15.072271141088285</v>
      </c>
      <c r="BE70" s="24">
        <v>0.6</v>
      </c>
      <c r="BF70">
        <v>0</v>
      </c>
      <c r="BG70">
        <v>0</v>
      </c>
      <c r="BH70" s="3"/>
      <c r="BI70" s="3"/>
    </row>
    <row r="71" spans="1:61">
      <c r="A71">
        <v>1992</v>
      </c>
      <c r="B71" s="3">
        <f t="shared" si="0"/>
        <v>96.727259664844411</v>
      </c>
      <c r="C71" s="3">
        <f t="shared" si="1"/>
        <v>64.341860498266513</v>
      </c>
      <c r="D71" s="22"/>
      <c r="E71" s="3">
        <v>92.081370000000007</v>
      </c>
      <c r="F71" s="3">
        <f t="shared" si="2"/>
        <v>0</v>
      </c>
      <c r="G71" s="3">
        <v>28.3318337056659</v>
      </c>
      <c r="H71" s="3">
        <f t="shared" si="3"/>
        <v>0</v>
      </c>
      <c r="I71" s="21">
        <f t="shared" si="4"/>
        <v>17.632633591864067</v>
      </c>
      <c r="J71" s="21"/>
      <c r="K71" s="21"/>
      <c r="L71" s="21"/>
      <c r="M71" s="21"/>
      <c r="N71" s="21">
        <f t="shared" si="16"/>
        <v>16.536960000000001</v>
      </c>
      <c r="O71" s="12">
        <v>57.6</v>
      </c>
      <c r="P71" s="12"/>
      <c r="Q71" s="12"/>
      <c r="R71" s="12"/>
      <c r="S71" s="12"/>
      <c r="T71" s="12"/>
      <c r="U71" s="21">
        <f>USA!AS79</f>
        <v>18.814596810979982</v>
      </c>
      <c r="V71" s="12">
        <f t="shared" si="5"/>
        <v>28.3318337056659</v>
      </c>
      <c r="W71" s="7">
        <f t="shared" si="18"/>
        <v>5.3305202808783676</v>
      </c>
      <c r="X71" s="12"/>
      <c r="Y71" s="21">
        <f t="shared" si="17"/>
        <v>6.5563185928568206</v>
      </c>
      <c r="Z71" s="21">
        <f>Y$98+Y$99*W71</f>
        <v>7.6519921847208883</v>
      </c>
      <c r="AA71" s="4"/>
      <c r="AF71" s="3">
        <f>AF72</f>
        <v>0.94413078747893386</v>
      </c>
      <c r="AG71" s="3">
        <f>AF71*Z71</f>
        <v>7.2244814071431795</v>
      </c>
      <c r="AH71" s="7">
        <v>0.2</v>
      </c>
      <c r="AI71" s="4">
        <f t="shared" ref="AI71:AI78" si="20">AH71*(N71*(1/(1+AH71)))</f>
        <v>2.7561600000000004</v>
      </c>
      <c r="AJ71" s="3">
        <f t="shared" si="19"/>
        <v>9.9806414071431799</v>
      </c>
      <c r="AM71"/>
      <c r="AN71"/>
      <c r="AO71"/>
      <c r="AP71"/>
      <c r="AQ71"/>
      <c r="AR71" s="9">
        <v>1992</v>
      </c>
      <c r="AS71" s="3">
        <f t="shared" si="8"/>
        <v>17.632633591864067</v>
      </c>
      <c r="AT71" s="3">
        <f t="shared" si="14"/>
        <v>9.9806414071431799</v>
      </c>
      <c r="AU71" s="3">
        <f t="shared" si="9"/>
        <v>7.6519921847208874</v>
      </c>
      <c r="AW71" s="3">
        <v>42.864601033566288</v>
      </c>
      <c r="AY71" s="3">
        <f t="shared" si="10"/>
        <v>41.135653118656947</v>
      </c>
      <c r="AZ71" s="3">
        <f t="shared" si="11"/>
        <v>41.442905739242931</v>
      </c>
      <c r="BA71" s="3">
        <f t="shared" si="12"/>
        <v>23.284111286437888</v>
      </c>
      <c r="BB71" s="3">
        <f t="shared" si="13"/>
        <v>17.851541832219059</v>
      </c>
      <c r="BC71" s="3">
        <f t="shared" si="15"/>
        <v>18.15879445280504</v>
      </c>
      <c r="BD71" s="3">
        <f>USA!Z79*V71/AW71</f>
        <v>13.602579368603385</v>
      </c>
      <c r="BE71" s="24">
        <v>0.5</v>
      </c>
      <c r="BF71">
        <v>0</v>
      </c>
      <c r="BG71">
        <v>0</v>
      </c>
      <c r="BH71" s="3"/>
      <c r="BI71" s="3"/>
    </row>
    <row r="72" spans="1:61">
      <c r="A72">
        <v>1993</v>
      </c>
      <c r="B72" s="3">
        <f t="shared" si="0"/>
        <v>94.956031427963381</v>
      </c>
      <c r="C72" s="3">
        <f t="shared" si="1"/>
        <v>66.241014180537462</v>
      </c>
      <c r="D72" s="22"/>
      <c r="E72" s="3">
        <v>94.799300000000002</v>
      </c>
      <c r="F72" s="3">
        <f t="shared" si="2"/>
        <v>0</v>
      </c>
      <c r="G72" s="3">
        <v>29.152833333333337</v>
      </c>
      <c r="H72" s="3">
        <f t="shared" si="3"/>
        <v>0</v>
      </c>
      <c r="I72" s="21">
        <f t="shared" si="4"/>
        <v>18.337085010055901</v>
      </c>
      <c r="J72" s="21"/>
      <c r="K72" s="21"/>
      <c r="L72" s="21"/>
      <c r="M72" s="21"/>
      <c r="N72" s="21">
        <f t="shared" si="16"/>
        <v>18.776340000000001</v>
      </c>
      <c r="O72" s="12">
        <v>65.400000000000006</v>
      </c>
      <c r="P72" s="21"/>
      <c r="Q72" s="12"/>
      <c r="R72" s="7"/>
      <c r="S72" s="7"/>
      <c r="T72" s="12"/>
      <c r="U72" s="21">
        <f>USA!AS80</f>
        <v>18.163089870323532</v>
      </c>
      <c r="V72" s="12">
        <f t="shared" si="5"/>
        <v>29.152833333333337</v>
      </c>
      <c r="W72" s="7">
        <f t="shared" si="18"/>
        <v>5.295055318078969</v>
      </c>
      <c r="X72" s="12"/>
      <c r="Y72" s="21">
        <f t="shared" si="17"/>
        <v>8.065317073170732</v>
      </c>
      <c r="Z72" s="21">
        <f t="shared" ref="Z72:Z78" si="21">Y$98+Y$99*W72</f>
        <v>7.6260620832266337</v>
      </c>
      <c r="AA72" s="4"/>
      <c r="AF72" s="3">
        <f>AG72/Z72</f>
        <v>0.94413078747893386</v>
      </c>
      <c r="AG72" s="3">
        <v>7.2</v>
      </c>
      <c r="AH72" s="7">
        <v>0.23</v>
      </c>
      <c r="AI72" s="4">
        <f t="shared" si="20"/>
        <v>3.511022926829269</v>
      </c>
      <c r="AJ72" s="3">
        <f t="shared" si="19"/>
        <v>10.711022926829269</v>
      </c>
      <c r="AM72"/>
      <c r="AN72"/>
      <c r="AO72"/>
      <c r="AP72"/>
      <c r="AQ72"/>
      <c r="AR72" s="9">
        <v>1993</v>
      </c>
      <c r="AS72" s="3">
        <f t="shared" si="8"/>
        <v>18.337085010055901</v>
      </c>
      <c r="AT72" s="3">
        <f t="shared" si="14"/>
        <v>10.711022926829269</v>
      </c>
      <c r="AU72" s="3">
        <f t="shared" si="9"/>
        <v>7.6260620832266319</v>
      </c>
      <c r="AW72" s="3">
        <v>46.686507548303268</v>
      </c>
      <c r="AY72" s="3">
        <f t="shared" si="10"/>
        <v>39.277054491779666</v>
      </c>
      <c r="AZ72" s="3">
        <f t="shared" si="11"/>
        <v>39.657739550855297</v>
      </c>
      <c r="BA72" s="3">
        <f t="shared" si="12"/>
        <v>22.942437739099077</v>
      </c>
      <c r="BB72" s="3">
        <f t="shared" si="13"/>
        <v>16.334616752680589</v>
      </c>
      <c r="BC72" s="3">
        <f t="shared" si="15"/>
        <v>16.715301811756223</v>
      </c>
      <c r="BD72" s="3">
        <f>USA!Z80*V72/AW72</f>
        <v>11.508393892548941</v>
      </c>
      <c r="BE72" s="24">
        <v>0.5</v>
      </c>
      <c r="BF72">
        <v>0</v>
      </c>
      <c r="BG72">
        <v>0</v>
      </c>
      <c r="BH72" s="3"/>
      <c r="BI72" s="3"/>
    </row>
    <row r="73" spans="1:61">
      <c r="A73">
        <v>1994</v>
      </c>
      <c r="B73" s="3">
        <f t="shared" si="0"/>
        <v>97.233774298084199</v>
      </c>
      <c r="C73" s="3">
        <f t="shared" si="1"/>
        <v>67.968212466727536</v>
      </c>
      <c r="D73" s="22"/>
      <c r="E73" s="3">
        <v>97.271140000000003</v>
      </c>
      <c r="F73" s="3">
        <f t="shared" si="2"/>
        <v>0</v>
      </c>
      <c r="G73" s="3">
        <v>28.785083333333336</v>
      </c>
      <c r="H73" s="3">
        <f t="shared" si="3"/>
        <v>0</v>
      </c>
      <c r="I73" s="21">
        <f t="shared" si="4"/>
        <v>19.023502656286244</v>
      </c>
      <c r="J73" s="21"/>
      <c r="K73" s="21"/>
      <c r="L73" s="21"/>
      <c r="M73" s="21"/>
      <c r="N73" s="21">
        <f t="shared" si="16"/>
        <v>19.321829999999999</v>
      </c>
      <c r="O73" s="12">
        <v>67.3</v>
      </c>
      <c r="P73" s="21"/>
      <c r="Q73" s="12"/>
      <c r="R73" s="7"/>
      <c r="S73" s="7"/>
      <c r="T73" s="12"/>
      <c r="U73" s="21">
        <f>USA!AS81</f>
        <v>18.796233624220744</v>
      </c>
      <c r="V73" s="12">
        <f t="shared" si="5"/>
        <v>28.785083333333336</v>
      </c>
      <c r="W73" s="7">
        <f t="shared" si="18"/>
        <v>5.4105115122599612</v>
      </c>
      <c r="X73" s="12"/>
      <c r="Y73" s="21">
        <f t="shared" si="17"/>
        <v>8.0088048780487782</v>
      </c>
      <c r="Z73" s="21">
        <f t="shared" si="21"/>
        <v>7.7104775343350225</v>
      </c>
      <c r="AA73" s="4"/>
      <c r="AF73" s="3"/>
      <c r="AG73" s="3">
        <v>7.7</v>
      </c>
      <c r="AH73" s="7">
        <v>0.23</v>
      </c>
      <c r="AI73" s="4">
        <f t="shared" si="20"/>
        <v>3.6130251219512193</v>
      </c>
      <c r="AJ73" s="3">
        <f t="shared" si="19"/>
        <v>11.31302512195122</v>
      </c>
      <c r="AM73"/>
      <c r="AN73"/>
      <c r="AO73"/>
      <c r="AP73"/>
      <c r="AQ73"/>
      <c r="AR73" s="9">
        <v>1994</v>
      </c>
      <c r="AS73" s="3">
        <f t="shared" si="8"/>
        <v>19.023502656286244</v>
      </c>
      <c r="AT73" s="3">
        <f t="shared" si="14"/>
        <v>11.31302512195122</v>
      </c>
      <c r="AU73" s="3">
        <f t="shared" si="9"/>
        <v>7.7104775343350234</v>
      </c>
      <c r="AW73" s="3">
        <v>51.292229809294199</v>
      </c>
      <c r="AY73" s="3">
        <f t="shared" si="10"/>
        <v>37.088468812949067</v>
      </c>
      <c r="AZ73" s="3">
        <f t="shared" si="11"/>
        <v>37.492151172932971</v>
      </c>
      <c r="BA73" s="3">
        <f t="shared" si="12"/>
        <v>22.056021280442152</v>
      </c>
      <c r="BB73" s="3">
        <f t="shared" si="13"/>
        <v>15.032447532506914</v>
      </c>
      <c r="BC73" s="3">
        <f t="shared" si="15"/>
        <v>15.436129892490818</v>
      </c>
      <c r="BD73" s="3">
        <f>USA!Z81*V73/AW73</f>
        <v>9.652601089368515</v>
      </c>
      <c r="BE73" s="24">
        <v>0.5</v>
      </c>
      <c r="BF73">
        <v>0</v>
      </c>
      <c r="BG73">
        <v>0</v>
      </c>
      <c r="BH73" s="3"/>
      <c r="BI73" s="3"/>
    </row>
    <row r="74" spans="1:61">
      <c r="A74">
        <v>1995</v>
      </c>
      <c r="B74" s="3">
        <f t="shared" si="0"/>
        <v>101.28004366027137</v>
      </c>
      <c r="C74" s="3">
        <f t="shared" si="1"/>
        <v>69.875003486879606</v>
      </c>
      <c r="D74" s="22"/>
      <c r="E74" s="3">
        <v>100</v>
      </c>
      <c r="F74" s="3">
        <f t="shared" si="2"/>
        <v>0</v>
      </c>
      <c r="G74" s="3">
        <v>26.540666666666667</v>
      </c>
      <c r="H74" s="3">
        <f t="shared" si="3"/>
        <v>0</v>
      </c>
      <c r="I74" s="21">
        <f t="shared" si="4"/>
        <v>18.782679590211444</v>
      </c>
      <c r="J74" s="21"/>
      <c r="K74" s="21"/>
      <c r="L74" s="21"/>
      <c r="M74" s="21"/>
      <c r="N74" s="21">
        <f t="shared" si="16"/>
        <v>19.235700000000001</v>
      </c>
      <c r="O74" s="12">
        <v>67</v>
      </c>
      <c r="P74" s="21">
        <f>Q74*R74/100</f>
        <v>22.559566666666665</v>
      </c>
      <c r="Q74" s="12">
        <f t="shared" ref="Q74:Q89" si="22">G74</f>
        <v>26.540666666666667</v>
      </c>
      <c r="R74" s="7">
        <v>85</v>
      </c>
      <c r="S74" s="7"/>
      <c r="T74" s="12"/>
      <c r="U74" s="21">
        <f>USA!AS82</f>
        <v>19.37296355391592</v>
      </c>
      <c r="V74" s="12">
        <f t="shared" si="5"/>
        <v>26.540666666666667</v>
      </c>
      <c r="W74" s="7">
        <f t="shared" si="18"/>
        <v>5.1417136802996444</v>
      </c>
      <c r="X74" s="21">
        <f>Y74-W74</f>
        <v>2.825253532815112</v>
      </c>
      <c r="Y74" s="21">
        <f t="shared" si="17"/>
        <v>7.9669672131147564</v>
      </c>
      <c r="Z74" s="21">
        <f>Y$98+Y$99*W74</f>
        <v>7.5139468033262009</v>
      </c>
      <c r="AA74" s="4"/>
      <c r="AF74" s="3"/>
      <c r="AG74" s="3">
        <v>7.8</v>
      </c>
      <c r="AH74" s="7">
        <v>0.22</v>
      </c>
      <c r="AI74" s="4">
        <f t="shared" si="20"/>
        <v>3.468732786885246</v>
      </c>
      <c r="AJ74" s="3">
        <f t="shared" si="19"/>
        <v>11.268732786885245</v>
      </c>
      <c r="AM74"/>
      <c r="AN74"/>
      <c r="AO74"/>
      <c r="AP74"/>
      <c r="AQ74"/>
      <c r="AR74" s="9">
        <v>1995</v>
      </c>
      <c r="AS74" s="3">
        <f t="shared" si="8"/>
        <v>18.782679590211444</v>
      </c>
      <c r="AT74" s="3">
        <f t="shared" si="14"/>
        <v>11.268732786885245</v>
      </c>
      <c r="AU74" s="3">
        <f t="shared" si="9"/>
        <v>7.5139468033261991</v>
      </c>
      <c r="AW74" s="3">
        <v>56.147086296240751</v>
      </c>
      <c r="AY74" s="3">
        <f t="shared" si="10"/>
        <v>33.452634551882369</v>
      </c>
      <c r="AZ74" s="3">
        <f t="shared" si="11"/>
        <v>33.37875127049719</v>
      </c>
      <c r="BA74" s="3">
        <f t="shared" si="12"/>
        <v>20.070022382692592</v>
      </c>
      <c r="BB74" s="3">
        <f t="shared" si="13"/>
        <v>13.382612169189777</v>
      </c>
      <c r="BC74" s="3">
        <f t="shared" si="15"/>
        <v>13.308728887804596</v>
      </c>
      <c r="BD74" s="3">
        <f>USA!Z82*V74/AW74</f>
        <v>8.7118409686633491</v>
      </c>
      <c r="BE74" s="24">
        <v>0.35</v>
      </c>
      <c r="BF74">
        <v>0</v>
      </c>
      <c r="BG74">
        <v>0</v>
      </c>
      <c r="BH74" s="3"/>
      <c r="BI74" s="3"/>
    </row>
    <row r="75" spans="1:61">
      <c r="A75">
        <v>1996</v>
      </c>
      <c r="B75" s="3">
        <f t="shared" si="0"/>
        <v>105.58160857810654</v>
      </c>
      <c r="C75" s="3">
        <f t="shared" si="1"/>
        <v>71.923179589087013</v>
      </c>
      <c r="D75" s="22"/>
      <c r="E75" s="3">
        <v>102.9312</v>
      </c>
      <c r="F75" s="3">
        <f t="shared" si="2"/>
        <v>0</v>
      </c>
      <c r="G75" s="3">
        <v>27.144916666666663</v>
      </c>
      <c r="H75" s="3">
        <f t="shared" si="3"/>
        <v>0</v>
      </c>
      <c r="I75" s="21">
        <f t="shared" si="4"/>
        <v>20.61321179773671</v>
      </c>
      <c r="J75" s="21"/>
      <c r="K75" s="21"/>
      <c r="L75" s="21"/>
      <c r="M75" s="21"/>
      <c r="N75" s="21">
        <f t="shared" si="16"/>
        <v>20.240549999999999</v>
      </c>
      <c r="O75" s="12">
        <v>70.5</v>
      </c>
      <c r="P75" s="21">
        <f t="shared" ref="P75:P87" si="23">Q75*R75/100</f>
        <v>21.896899444444443</v>
      </c>
      <c r="Q75" s="12">
        <f t="shared" si="22"/>
        <v>27.144916666666663</v>
      </c>
      <c r="R75" s="7">
        <f>R74+(R$77-R$74)/3</f>
        <v>80.666666666666671</v>
      </c>
      <c r="S75" s="7"/>
      <c r="T75" s="12"/>
      <c r="U75" s="21">
        <f>USA!AS83</f>
        <v>22.213407913909176</v>
      </c>
      <c r="V75" s="12">
        <f t="shared" si="5"/>
        <v>27.144916666666663</v>
      </c>
      <c r="W75" s="7">
        <f t="shared" si="18"/>
        <v>6.0298110670573841</v>
      </c>
      <c r="X75" s="21">
        <f t="shared" ref="X75:X88" si="24">Y75-W75</f>
        <v>1.7608036870409745</v>
      </c>
      <c r="Y75" s="21">
        <f t="shared" si="17"/>
        <v>7.7906147540983586</v>
      </c>
      <c r="Z75" s="21">
        <f t="shared" si="21"/>
        <v>8.1632765518350716</v>
      </c>
      <c r="AA75" s="4"/>
      <c r="AF75" s="3"/>
      <c r="AG75" s="3">
        <v>8.8000000000000007</v>
      </c>
      <c r="AH75" s="7">
        <v>0.22</v>
      </c>
      <c r="AI75" s="4">
        <f t="shared" si="20"/>
        <v>3.6499352459016396</v>
      </c>
      <c r="AJ75" s="3">
        <f t="shared" si="19"/>
        <v>12.44993524590164</v>
      </c>
      <c r="AM75"/>
      <c r="AN75"/>
      <c r="AO75"/>
      <c r="AP75"/>
      <c r="AQ75"/>
      <c r="AR75" s="9">
        <v>1996</v>
      </c>
      <c r="AS75" s="3">
        <f t="shared" si="8"/>
        <v>20.61321179773671</v>
      </c>
      <c r="AT75" s="3">
        <f t="shared" si="14"/>
        <v>12.44993524590164</v>
      </c>
      <c r="AU75" s="3">
        <f t="shared" si="9"/>
        <v>8.1632765518350698</v>
      </c>
      <c r="AW75" s="3">
        <v>61.098538456019966</v>
      </c>
      <c r="AY75" s="3">
        <f t="shared" si="10"/>
        <v>33.73765120842382</v>
      </c>
      <c r="AZ75" s="3">
        <f t="shared" si="11"/>
        <v>33.468581281122951</v>
      </c>
      <c r="BA75" s="3">
        <f t="shared" si="12"/>
        <v>20.376813522083463</v>
      </c>
      <c r="BB75" s="3">
        <f t="shared" si="13"/>
        <v>13.360837686340357</v>
      </c>
      <c r="BC75" s="3">
        <f t="shared" si="15"/>
        <v>13.091767759039488</v>
      </c>
      <c r="BD75" s="3">
        <f>USA!Z83*V75/AW75</f>
        <v>9.8274945987272702</v>
      </c>
      <c r="BE75" s="24">
        <v>0.25</v>
      </c>
      <c r="BF75">
        <v>0</v>
      </c>
      <c r="BG75">
        <v>0</v>
      </c>
      <c r="BH75" s="3"/>
      <c r="BI75" s="3"/>
    </row>
    <row r="76" spans="1:61">
      <c r="A76">
        <v>1997</v>
      </c>
      <c r="B76" s="3">
        <f t="shared" si="0"/>
        <v>92.031153258244387</v>
      </c>
      <c r="C76" s="3">
        <f t="shared" si="1"/>
        <v>73.604511922988308</v>
      </c>
      <c r="D76" s="22"/>
      <c r="E76" s="3">
        <v>105.3374</v>
      </c>
      <c r="F76" s="3">
        <f t="shared" si="2"/>
        <v>0</v>
      </c>
      <c r="G76" s="3">
        <v>31.69841666666666</v>
      </c>
      <c r="H76" s="3">
        <f t="shared" si="3"/>
        <v>0</v>
      </c>
      <c r="I76" s="21">
        <f t="shared" si="4"/>
        <v>21.472216196334614</v>
      </c>
      <c r="J76" s="21"/>
      <c r="K76" s="21"/>
      <c r="L76" s="21"/>
      <c r="M76" s="21"/>
      <c r="N76" s="21">
        <f t="shared" si="16"/>
        <v>21.762179999999997</v>
      </c>
      <c r="O76" s="12">
        <v>75.8</v>
      </c>
      <c r="P76" s="21">
        <f t="shared" si="23"/>
        <v>24.196458055555553</v>
      </c>
      <c r="Q76" s="12">
        <f t="shared" si="22"/>
        <v>31.69841666666666</v>
      </c>
      <c r="R76" s="7">
        <f>R75+(R$77-R$74)/3</f>
        <v>76.333333333333343</v>
      </c>
      <c r="S76" s="7"/>
      <c r="T76" s="12"/>
      <c r="U76" s="21">
        <f>USA!AS84</f>
        <v>21.54490331998829</v>
      </c>
      <c r="V76" s="12">
        <f t="shared" si="5"/>
        <v>31.69841666666666</v>
      </c>
      <c r="W76" s="7">
        <f t="shared" si="18"/>
        <v>6.8293932248003868</v>
      </c>
      <c r="X76" s="21">
        <f t="shared" si="24"/>
        <v>2.2084592342160034</v>
      </c>
      <c r="Y76" s="21">
        <f t="shared" si="17"/>
        <v>9.0378524590163902</v>
      </c>
      <c r="Z76" s="21">
        <f t="shared" si="21"/>
        <v>8.7478886553510051</v>
      </c>
      <c r="AA76" s="4"/>
      <c r="AF76" s="3"/>
      <c r="AG76" s="3">
        <v>8.8000000000000007</v>
      </c>
      <c r="AH76" s="7">
        <v>0.22</v>
      </c>
      <c r="AI76" s="4">
        <f t="shared" si="20"/>
        <v>3.9243275409836063</v>
      </c>
      <c r="AJ76" s="3">
        <f t="shared" si="19"/>
        <v>12.724327540983607</v>
      </c>
      <c r="AM76"/>
      <c r="AN76"/>
      <c r="AO76"/>
      <c r="AP76"/>
      <c r="AQ76"/>
      <c r="AR76" s="9">
        <v>1997</v>
      </c>
      <c r="AS76" s="3">
        <f t="shared" si="8"/>
        <v>21.472216196334614</v>
      </c>
      <c r="AT76" s="3">
        <f t="shared" si="14"/>
        <v>12.724327540983607</v>
      </c>
      <c r="AU76" s="3">
        <f t="shared" si="9"/>
        <v>8.7478886553510069</v>
      </c>
      <c r="AW76" s="3">
        <v>66.260283670983384</v>
      </c>
      <c r="AY76" s="3">
        <f t="shared" si="10"/>
        <v>32.405862164664562</v>
      </c>
      <c r="AZ76" s="3">
        <f t="shared" si="11"/>
        <v>32.805866956444525</v>
      </c>
      <c r="BA76" s="3">
        <f t="shared" si="12"/>
        <v>19.20355126181844</v>
      </c>
      <c r="BB76" s="3">
        <f t="shared" si="13"/>
        <v>13.202310902846122</v>
      </c>
      <c r="BC76" s="3">
        <f t="shared" si="15"/>
        <v>13.602315694626087</v>
      </c>
      <c r="BD76" s="3">
        <f>USA!Z84*V76/AW76</f>
        <v>9.8596675309148125</v>
      </c>
      <c r="BE76" s="3">
        <v>0</v>
      </c>
      <c r="BF76">
        <v>0</v>
      </c>
      <c r="BG76" s="24">
        <v>1</v>
      </c>
      <c r="BH76" s="3"/>
      <c r="BI76" s="3"/>
    </row>
    <row r="77" spans="1:61">
      <c r="A77">
        <v>1998</v>
      </c>
      <c r="B77" s="3">
        <f t="shared" si="0"/>
        <v>90.067696622953903</v>
      </c>
      <c r="C77" s="3">
        <f t="shared" si="1"/>
        <v>74.747038105002289</v>
      </c>
      <c r="D77" s="22"/>
      <c r="E77" s="3">
        <v>106.9725</v>
      </c>
      <c r="F77" s="3">
        <f t="shared" si="2"/>
        <v>0</v>
      </c>
      <c r="G77" s="3">
        <v>32.281166666666671</v>
      </c>
      <c r="H77" s="3">
        <f t="shared" si="3"/>
        <v>0</v>
      </c>
      <c r="I77" s="21">
        <f t="shared" si="4"/>
        <v>21.732629018508149</v>
      </c>
      <c r="J77" s="21"/>
      <c r="K77" s="21"/>
      <c r="L77" s="21"/>
      <c r="M77" s="21"/>
      <c r="N77" s="21">
        <f t="shared" si="16"/>
        <v>21.733470000000001</v>
      </c>
      <c r="O77" s="12">
        <v>75.7</v>
      </c>
      <c r="P77" s="21">
        <f t="shared" si="23"/>
        <v>23.242440000000002</v>
      </c>
      <c r="Q77" s="12">
        <f t="shared" si="22"/>
        <v>32.281166666666671</v>
      </c>
      <c r="R77" s="7">
        <v>72</v>
      </c>
      <c r="S77" s="7"/>
      <c r="T77" s="12"/>
      <c r="U77" s="21">
        <f>USA!AS85</f>
        <v>17.196985762425896</v>
      </c>
      <c r="V77" s="12">
        <f t="shared" si="5"/>
        <v>32.281166666666671</v>
      </c>
      <c r="W77" s="7">
        <f t="shared" si="18"/>
        <v>5.5513876356116416</v>
      </c>
      <c r="X77" s="21">
        <f t="shared" si="24"/>
        <v>2.2629320365195067</v>
      </c>
      <c r="Y77" s="21">
        <f t="shared" si="17"/>
        <v>7.8143196721311483</v>
      </c>
      <c r="Z77" s="21">
        <f t="shared" si="21"/>
        <v>7.8134786906392968</v>
      </c>
      <c r="AA77" s="4"/>
      <c r="AF77" s="3"/>
      <c r="AG77" s="3">
        <v>10</v>
      </c>
      <c r="AH77" s="7">
        <v>0.22</v>
      </c>
      <c r="AI77" s="4">
        <f t="shared" si="20"/>
        <v>3.9191503278688526</v>
      </c>
      <c r="AJ77" s="3">
        <f t="shared" si="19"/>
        <v>13.919150327868852</v>
      </c>
      <c r="AM77"/>
      <c r="AN77"/>
      <c r="AO77"/>
      <c r="AP77"/>
      <c r="AQ77"/>
      <c r="AR77" s="9">
        <v>1998</v>
      </c>
      <c r="AS77" s="3">
        <f t="shared" si="8"/>
        <v>21.732629018508149</v>
      </c>
      <c r="AT77" s="3">
        <f t="shared" si="14"/>
        <v>13.919150327868852</v>
      </c>
      <c r="AU77" s="3">
        <f t="shared" si="9"/>
        <v>7.8134786906392968</v>
      </c>
      <c r="AW77" s="3">
        <v>73.337927606144731</v>
      </c>
      <c r="AY77" s="3">
        <f t="shared" si="10"/>
        <v>29.633546689812988</v>
      </c>
      <c r="AZ77" s="3">
        <f t="shared" si="11"/>
        <v>30.160728569150677</v>
      </c>
      <c r="BA77" s="3">
        <f t="shared" si="12"/>
        <v>18.979470489840534</v>
      </c>
      <c r="BB77" s="3">
        <f t="shared" si="13"/>
        <v>10.654076199972454</v>
      </c>
      <c r="BC77" s="3">
        <f t="shared" si="15"/>
        <v>11.181258079310142</v>
      </c>
      <c r="BD77" s="3">
        <f>USA!Z85*V77/AW77</f>
        <v>6.3472535770745067</v>
      </c>
      <c r="BE77" s="3">
        <v>0</v>
      </c>
      <c r="BF77">
        <v>0</v>
      </c>
      <c r="BG77" s="24">
        <v>1</v>
      </c>
      <c r="BH77" s="3"/>
      <c r="BI77" s="3"/>
    </row>
    <row r="78" spans="1:61">
      <c r="A78">
        <v>1999</v>
      </c>
      <c r="B78" s="3">
        <f t="shared" si="0"/>
        <v>90.649728343432926</v>
      </c>
      <c r="C78" s="3">
        <f t="shared" si="1"/>
        <v>75.889564287016256</v>
      </c>
      <c r="D78" s="22"/>
      <c r="E78" s="3">
        <v>108.60760000000001</v>
      </c>
      <c r="F78" s="3">
        <f t="shared" si="2"/>
        <v>0</v>
      </c>
      <c r="G78" s="3">
        <v>34.569249999999997</v>
      </c>
      <c r="H78" s="3">
        <f t="shared" si="3"/>
        <v>0</v>
      </c>
      <c r="I78" s="21">
        <f t="shared" si="4"/>
        <v>23.781460560260346</v>
      </c>
      <c r="J78" s="21"/>
      <c r="K78" s="21"/>
      <c r="L78" s="21"/>
      <c r="M78" s="21"/>
      <c r="N78" s="21">
        <f t="shared" si="16"/>
        <v>22.996709999999997</v>
      </c>
      <c r="O78" s="12">
        <v>80.099999999999994</v>
      </c>
      <c r="P78" s="21">
        <f t="shared" si="23"/>
        <v>25.754091249999998</v>
      </c>
      <c r="Q78" s="12">
        <f t="shared" si="22"/>
        <v>34.569249999999997</v>
      </c>
      <c r="R78" s="7">
        <f>(R77+R79)/2</f>
        <v>74.5</v>
      </c>
      <c r="S78" s="7"/>
      <c r="T78" s="12"/>
      <c r="U78" s="21">
        <f>USA!AS86</f>
        <v>20.098412189295377</v>
      </c>
      <c r="V78" s="12">
        <f t="shared" si="5"/>
        <v>34.569249999999997</v>
      </c>
      <c r="W78" s="7">
        <f t="shared" si="18"/>
        <v>6.9478703557479911</v>
      </c>
      <c r="X78" s="21">
        <f t="shared" si="24"/>
        <v>1.1018919393339726</v>
      </c>
      <c r="Y78" s="21">
        <f t="shared" si="17"/>
        <v>8.0497622950819636</v>
      </c>
      <c r="Z78" s="21">
        <f t="shared" si="21"/>
        <v>8.8345128553423127</v>
      </c>
      <c r="AA78" s="4"/>
      <c r="AC78" s="4"/>
      <c r="AF78" s="3"/>
      <c r="AG78" s="3">
        <v>10.8</v>
      </c>
      <c r="AH78" s="7">
        <v>0.22</v>
      </c>
      <c r="AI78" s="4">
        <f t="shared" si="20"/>
        <v>4.1469477049180323</v>
      </c>
      <c r="AJ78" s="3">
        <f>AG78+AI78</f>
        <v>14.946947704918033</v>
      </c>
      <c r="AM78"/>
      <c r="AN78"/>
      <c r="AO78"/>
      <c r="AP78"/>
      <c r="AQ78"/>
      <c r="AR78" s="9">
        <v>1999</v>
      </c>
      <c r="AS78" s="3">
        <f t="shared" si="8"/>
        <v>23.781460560260346</v>
      </c>
      <c r="AT78" s="3">
        <f t="shared" si="14"/>
        <v>14.946947704918033</v>
      </c>
      <c r="AU78" s="3">
        <f t="shared" si="9"/>
        <v>8.8345128553423127</v>
      </c>
      <c r="AW78" s="3">
        <v>74.881284425342699</v>
      </c>
      <c r="AY78" s="3">
        <f t="shared" si="10"/>
        <v>31.758884403179106</v>
      </c>
      <c r="AZ78" s="3">
        <f t="shared" si="11"/>
        <v>31.443398846095185</v>
      </c>
      <c r="BA78" s="3">
        <f t="shared" si="12"/>
        <v>19.9608591380671</v>
      </c>
      <c r="BB78" s="3">
        <f t="shared" si="13"/>
        <v>11.798025265112006</v>
      </c>
      <c r="BC78" s="3">
        <f t="shared" si="15"/>
        <v>11.482539708028085</v>
      </c>
      <c r="BD78" s="3">
        <f>USA!Z86*V78/AW78</f>
        <v>8.069713208544961</v>
      </c>
      <c r="BE78" s="3">
        <v>0</v>
      </c>
      <c r="BF78">
        <v>0</v>
      </c>
      <c r="BG78" s="24">
        <v>0.7</v>
      </c>
      <c r="BH78" s="3"/>
      <c r="BI78" s="3"/>
    </row>
    <row r="79" spans="1:61">
      <c r="A79">
        <v>2000</v>
      </c>
      <c r="B79" s="3">
        <f t="shared" si="0"/>
        <v>91.248650702743433</v>
      </c>
      <c r="C79" s="3">
        <f t="shared" si="1"/>
        <v>78.958238837304293</v>
      </c>
      <c r="D79" s="2">
        <f>F79/E79*100</f>
        <v>63.759997860272563</v>
      </c>
      <c r="E79" s="2">
        <v>112.9992628224058</v>
      </c>
      <c r="F79" s="2">
        <f>I79/G79*100</f>
        <v>72.048327557689703</v>
      </c>
      <c r="G79" s="3">
        <v>38.598416666666665</v>
      </c>
      <c r="H79" s="5">
        <f t="shared" ref="H79:H89" si="25">(Z79+AG79)+AH79*(Z79+AG79)</f>
        <v>27.809513672081895</v>
      </c>
      <c r="I79" s="21">
        <f>H79</f>
        <v>27.809513672081895</v>
      </c>
      <c r="J79" s="21"/>
      <c r="K79" s="21"/>
      <c r="L79" s="21"/>
      <c r="M79" s="21"/>
      <c r="N79" s="21">
        <v>28.71</v>
      </c>
      <c r="O79" s="12">
        <v>100</v>
      </c>
      <c r="P79" s="21">
        <f t="shared" si="23"/>
        <v>29.720780833333333</v>
      </c>
      <c r="Q79" s="12">
        <f t="shared" si="22"/>
        <v>38.598416666666665</v>
      </c>
      <c r="R79" s="7">
        <v>77</v>
      </c>
      <c r="S79" s="7"/>
      <c r="T79" s="12"/>
      <c r="U79" s="21">
        <f>USA!AS87</f>
        <v>29.198295515406848</v>
      </c>
      <c r="V79" s="12">
        <f t="shared" si="5"/>
        <v>38.598416666666665</v>
      </c>
      <c r="W79" s="7">
        <f t="shared" si="18"/>
        <v>11.270079762601384</v>
      </c>
      <c r="X79" s="21">
        <f t="shared" si="24"/>
        <v>1.6250899030887673</v>
      </c>
      <c r="Y79" s="21">
        <f t="shared" si="17"/>
        <v>12.895169665690151</v>
      </c>
      <c r="Z79" s="21">
        <f t="shared" ref="Z79:Z88" si="26">Y$98+Y$99*W79</f>
        <v>11.994683337772045</v>
      </c>
      <c r="AA79" s="4"/>
      <c r="AC79" s="4">
        <f t="shared" ref="AC79:AC89" si="27">Z79+AJ79</f>
        <v>27.809513672081895</v>
      </c>
      <c r="AF79" s="3"/>
      <c r="AG79" s="3">
        <v>10.8</v>
      </c>
      <c r="AH79" s="7">
        <v>0.22</v>
      </c>
      <c r="AI79" s="4">
        <f t="shared" ref="AI79:AI96" si="28">AH79*(I79*(1/(1+AH79)))</f>
        <v>5.0148303343098499</v>
      </c>
      <c r="AJ79" s="3">
        <f t="shared" ref="AJ79:AJ89" si="29">AG79+AI79</f>
        <v>15.81483033430985</v>
      </c>
      <c r="AK79">
        <v>16.02</v>
      </c>
      <c r="AM79"/>
      <c r="AN79"/>
      <c r="AO79"/>
      <c r="AP79"/>
      <c r="AQ79"/>
      <c r="AR79" s="9">
        <v>2000</v>
      </c>
      <c r="AS79" s="3">
        <f t="shared" si="8"/>
        <v>27.809513672081895</v>
      </c>
      <c r="AT79" s="3">
        <f t="shared" si="14"/>
        <v>15.81483033430985</v>
      </c>
      <c r="AU79" s="3">
        <f t="shared" si="9"/>
        <v>11.994683337772045</v>
      </c>
      <c r="AW79" s="3">
        <v>77.825097338437757</v>
      </c>
      <c r="AY79" s="3">
        <f t="shared" si="10"/>
        <v>35.733349039252403</v>
      </c>
      <c r="AZ79" s="3">
        <f t="shared" si="11"/>
        <v>35.676546681569043</v>
      </c>
      <c r="BA79" s="3">
        <f t="shared" si="12"/>
        <v>20.320990111372357</v>
      </c>
      <c r="BB79" s="3">
        <f t="shared" si="13"/>
        <v>15.412358927880046</v>
      </c>
      <c r="BC79" s="3">
        <f t="shared" si="15"/>
        <v>15.355556570196688</v>
      </c>
      <c r="BD79" s="3">
        <f>USA!Z87*V79/AW79</f>
        <v>13.688595792784714</v>
      </c>
      <c r="BE79" s="3">
        <v>0</v>
      </c>
      <c r="BF79">
        <v>0</v>
      </c>
      <c r="BG79" s="24">
        <v>0.7</v>
      </c>
      <c r="BH79" s="3"/>
      <c r="BI79" s="3"/>
    </row>
    <row r="80" spans="1:61">
      <c r="A80">
        <v>2001</v>
      </c>
      <c r="B80" s="3">
        <f t="shared" si="0"/>
        <v>87.77853269384596</v>
      </c>
      <c r="C80" s="3">
        <f t="shared" si="1"/>
        <v>81.182199298191421</v>
      </c>
      <c r="D80" s="2">
        <f t="shared" ref="D80:D89" si="30">F80/E80*100</f>
        <v>61.33525278055663</v>
      </c>
      <c r="E80" s="2">
        <v>116.1820325539375</v>
      </c>
      <c r="F80" s="2">
        <f t="shared" ref="F80:F89" si="31">I80/G80*100</f>
        <v>71.260543352546151</v>
      </c>
      <c r="G80" s="3">
        <v>38.035325000000007</v>
      </c>
      <c r="H80" s="5">
        <f t="shared" si="25"/>
        <v>27.104179260906832</v>
      </c>
      <c r="I80" s="21">
        <f>H80</f>
        <v>27.104179260906832</v>
      </c>
      <c r="J80" s="21"/>
      <c r="K80" s="21"/>
      <c r="L80" s="21"/>
      <c r="M80" s="21"/>
      <c r="N80" s="21">
        <v>27.33</v>
      </c>
      <c r="O80" s="12">
        <v>94.9</v>
      </c>
      <c r="P80" s="21">
        <f t="shared" si="23"/>
        <v>30.047906750000006</v>
      </c>
      <c r="Q80" s="12">
        <f t="shared" si="22"/>
        <v>38.035325000000007</v>
      </c>
      <c r="R80" s="7">
        <f>(R79+R81)/2</f>
        <v>79</v>
      </c>
      <c r="S80" s="7"/>
      <c r="T80" s="12"/>
      <c r="U80" s="21">
        <f>USA!AS88</f>
        <v>27.55161298879969</v>
      </c>
      <c r="V80" s="12">
        <f t="shared" si="5"/>
        <v>38.035325000000007</v>
      </c>
      <c r="W80" s="7">
        <f t="shared" si="18"/>
        <v>10.479345543032178</v>
      </c>
      <c r="X80" s="21">
        <f t="shared" si="24"/>
        <v>1.1630155738534729</v>
      </c>
      <c r="Y80" s="21">
        <f t="shared" si="17"/>
        <v>11.642361116885651</v>
      </c>
      <c r="Z80" s="21">
        <f t="shared" si="26"/>
        <v>11.416540377792487</v>
      </c>
      <c r="AA80" s="4"/>
      <c r="AC80" s="4">
        <f t="shared" si="27"/>
        <v>27.104179260906832</v>
      </c>
      <c r="AF80" s="3"/>
      <c r="AG80" s="3">
        <v>10.8</v>
      </c>
      <c r="AH80" s="7">
        <v>0.22</v>
      </c>
      <c r="AI80" s="4">
        <f t="shared" si="28"/>
        <v>4.8876388831143469</v>
      </c>
      <c r="AJ80" s="3">
        <f t="shared" si="29"/>
        <v>15.687638883114348</v>
      </c>
      <c r="AK80">
        <v>15.77</v>
      </c>
      <c r="AM80"/>
      <c r="AN80"/>
      <c r="AO80"/>
      <c r="AP80"/>
      <c r="AQ80"/>
      <c r="AR80" s="9">
        <v>2001</v>
      </c>
      <c r="AS80" s="3">
        <f t="shared" si="8"/>
        <v>27.104179260906832</v>
      </c>
      <c r="AT80" s="3">
        <f t="shared" si="14"/>
        <v>15.687638883114348</v>
      </c>
      <c r="AU80" s="3">
        <f t="shared" si="9"/>
        <v>11.416540377792485</v>
      </c>
      <c r="AW80" s="3">
        <v>81.48747191080443</v>
      </c>
      <c r="AY80" s="3">
        <f t="shared" si="10"/>
        <v>33.261774632761785</v>
      </c>
      <c r="AZ80" s="3">
        <f t="shared" si="11"/>
        <v>32.6102645483682</v>
      </c>
      <c r="BA80" s="3">
        <f t="shared" si="12"/>
        <v>19.251596000285687</v>
      </c>
      <c r="BB80" s="3">
        <f t="shared" si="13"/>
        <v>14.010178632476098</v>
      </c>
      <c r="BC80" s="3">
        <f t="shared" si="15"/>
        <v>13.358668548082512</v>
      </c>
      <c r="BD80" s="3">
        <f>USA!Z88*V80/AW80</f>
        <v>10.791557197437163</v>
      </c>
      <c r="BE80" s="3">
        <v>0</v>
      </c>
      <c r="BF80">
        <v>0</v>
      </c>
      <c r="BG80" s="24">
        <v>0.7</v>
      </c>
      <c r="BH80" s="3"/>
      <c r="BI80" s="3"/>
    </row>
    <row r="81" spans="1:69">
      <c r="A81">
        <v>2002</v>
      </c>
      <c r="B81" s="3">
        <f t="shared" si="0"/>
        <v>93.129536938772546</v>
      </c>
      <c r="C81" s="3">
        <f t="shared" si="1"/>
        <v>82.47759894808965</v>
      </c>
      <c r="D81" s="2">
        <f t="shared" si="30"/>
        <v>65.074267183282132</v>
      </c>
      <c r="E81" s="2">
        <v>118.03591389240708</v>
      </c>
      <c r="F81" s="2">
        <f t="shared" si="31"/>
        <v>76.811005978573817</v>
      </c>
      <c r="G81" s="3">
        <v>32.738516666666662</v>
      </c>
      <c r="H81" s="5">
        <f t="shared" si="25"/>
        <v>25.146783994129716</v>
      </c>
      <c r="I81" s="21">
        <f>H81</f>
        <v>25.146783994129716</v>
      </c>
      <c r="J81" s="21"/>
      <c r="K81" s="21"/>
      <c r="L81" s="21"/>
      <c r="M81" s="21"/>
      <c r="N81" s="21">
        <v>24.59</v>
      </c>
      <c r="O81" s="12">
        <v>85.9</v>
      </c>
      <c r="P81" s="21">
        <f t="shared" si="23"/>
        <v>26.518198499999993</v>
      </c>
      <c r="Q81" s="12">
        <f t="shared" si="22"/>
        <v>32.738516666666662</v>
      </c>
      <c r="R81" s="7">
        <v>81</v>
      </c>
      <c r="S81" s="7"/>
      <c r="T81" s="12"/>
      <c r="U81" s="21">
        <f>USA!AS89</f>
        <v>25.306444759971075</v>
      </c>
      <c r="V81" s="12">
        <f t="shared" si="5"/>
        <v>32.738516666666662</v>
      </c>
      <c r="W81" s="7">
        <f t="shared" si="18"/>
        <v>8.2849546354839223</v>
      </c>
      <c r="X81" s="21">
        <f t="shared" si="24"/>
        <v>0.97037939836153875</v>
      </c>
      <c r="Y81" s="21">
        <f t="shared" si="17"/>
        <v>9.2553340338454611</v>
      </c>
      <c r="Z81" s="21">
        <f t="shared" si="26"/>
        <v>9.8121180279751794</v>
      </c>
      <c r="AA81" s="4"/>
      <c r="AC81" s="4">
        <f t="shared" si="27"/>
        <v>25.14678399412972</v>
      </c>
      <c r="AG81" s="3">
        <v>10.8</v>
      </c>
      <c r="AH81" s="7">
        <v>0.22</v>
      </c>
      <c r="AI81" s="4">
        <f t="shared" si="28"/>
        <v>4.534665966154539</v>
      </c>
      <c r="AJ81" s="3">
        <f t="shared" si="29"/>
        <v>15.334665966154539</v>
      </c>
      <c r="AK81">
        <v>15.27</v>
      </c>
      <c r="AM81"/>
      <c r="AN81"/>
      <c r="AO81"/>
      <c r="AP81"/>
      <c r="AQ81"/>
      <c r="AR81" s="9">
        <v>2002</v>
      </c>
      <c r="AS81" s="3">
        <f t="shared" si="8"/>
        <v>25.146783994129716</v>
      </c>
      <c r="AT81" s="3">
        <f t="shared" si="14"/>
        <v>15.334665966154539</v>
      </c>
      <c r="AU81" s="3">
        <f t="shared" si="9"/>
        <v>9.8121180279751776</v>
      </c>
      <c r="AW81" s="3">
        <v>82.941914333478991</v>
      </c>
      <c r="AY81" s="3">
        <f t="shared" si="10"/>
        <v>30.318547861125715</v>
      </c>
      <c r="AZ81" s="3">
        <f t="shared" si="11"/>
        <v>30.445664455129588</v>
      </c>
      <c r="BA81" s="3">
        <f t="shared" si="12"/>
        <v>18.488439879141776</v>
      </c>
      <c r="BB81" s="3">
        <f t="shared" si="13"/>
        <v>11.830107981983939</v>
      </c>
      <c r="BC81" s="3">
        <f t="shared" si="15"/>
        <v>11.957224575987814</v>
      </c>
      <c r="BD81" s="3">
        <f>USA!Z89*V81/AW81</f>
        <v>9.6152864617219205</v>
      </c>
      <c r="BE81" s="3">
        <v>0</v>
      </c>
      <c r="BF81">
        <v>0</v>
      </c>
      <c r="BG81" s="24">
        <v>0.5</v>
      </c>
      <c r="BH81" s="3"/>
      <c r="BI81" s="3"/>
    </row>
    <row r="82" spans="1:69">
      <c r="A82">
        <v>2003</v>
      </c>
      <c r="B82" s="3">
        <f t="shared" si="0"/>
        <v>107.66079932973076</v>
      </c>
      <c r="C82" s="3">
        <f t="shared" si="1"/>
        <v>84.37293294912061</v>
      </c>
      <c r="D82" s="2">
        <f t="shared" si="30"/>
        <v>75.227987285651807</v>
      </c>
      <c r="E82" s="2">
        <v>120.74837744367809</v>
      </c>
      <c r="F82" s="2">
        <f t="shared" si="31"/>
        <v>90.836574030961017</v>
      </c>
      <c r="G82" s="3">
        <v>28.209</v>
      </c>
      <c r="H82" s="5">
        <f t="shared" si="25"/>
        <v>25.624089168393791</v>
      </c>
      <c r="I82" s="21">
        <f>H82</f>
        <v>25.624089168393791</v>
      </c>
      <c r="J82" s="21"/>
      <c r="K82" s="21"/>
      <c r="L82" s="21"/>
      <c r="M82" s="21"/>
      <c r="N82" s="21">
        <v>24.8</v>
      </c>
      <c r="O82" s="12">
        <v>87.1</v>
      </c>
      <c r="P82" s="21">
        <f t="shared" si="23"/>
        <v>26.657505</v>
      </c>
      <c r="Q82" s="12">
        <f t="shared" si="22"/>
        <v>28.209</v>
      </c>
      <c r="R82" s="7">
        <f>(R81+R83)/2</f>
        <v>94.5</v>
      </c>
      <c r="S82" s="7"/>
      <c r="T82" s="12"/>
      <c r="U82" s="21">
        <f>USA!AS90</f>
        <v>31.266796097938762</v>
      </c>
      <c r="V82" s="12">
        <f t="shared" si="5"/>
        <v>28.209</v>
      </c>
      <c r="W82" s="7">
        <f t="shared" si="18"/>
        <v>8.8200505112675458</v>
      </c>
      <c r="X82" s="21">
        <f t="shared" si="24"/>
        <v>0.55921209771062408</v>
      </c>
      <c r="Y82" s="21">
        <f t="shared" si="17"/>
        <v>9.3792626089781699</v>
      </c>
      <c r="Z82" s="21">
        <f t="shared" si="26"/>
        <v>10.20335177737196</v>
      </c>
      <c r="AA82" s="4"/>
      <c r="AC82" s="4">
        <f t="shared" si="27"/>
        <v>25.624089168393791</v>
      </c>
      <c r="AG82" s="3">
        <v>10.8</v>
      </c>
      <c r="AH82" s="7">
        <v>0.22</v>
      </c>
      <c r="AI82" s="4">
        <f t="shared" si="28"/>
        <v>4.620737391021831</v>
      </c>
      <c r="AJ82" s="3">
        <f t="shared" si="29"/>
        <v>15.420737391021831</v>
      </c>
      <c r="AK82">
        <v>15.31</v>
      </c>
      <c r="AM82"/>
      <c r="AN82"/>
      <c r="AO82"/>
      <c r="AP82"/>
      <c r="AQ82"/>
      <c r="AR82" s="9">
        <v>2003</v>
      </c>
      <c r="AS82" s="3">
        <f t="shared" si="8"/>
        <v>25.624089168393791</v>
      </c>
      <c r="AT82" s="3">
        <f t="shared" si="14"/>
        <v>15.420737391021831</v>
      </c>
      <c r="AU82" s="3">
        <f t="shared" si="9"/>
        <v>10.20335177737196</v>
      </c>
      <c r="AW82" s="3">
        <v>83.031408448969131</v>
      </c>
      <c r="AY82" s="3">
        <f t="shared" si="10"/>
        <v>30.860718428186466</v>
      </c>
      <c r="AZ82" s="3">
        <f t="shared" si="11"/>
        <v>30.482097281957454</v>
      </c>
      <c r="BA82" s="3">
        <f t="shared" si="12"/>
        <v>18.572173685936416</v>
      </c>
      <c r="BB82" s="3">
        <f t="shared" si="13"/>
        <v>12.28854474225005</v>
      </c>
      <c r="BC82" s="3">
        <f t="shared" si="15"/>
        <v>11.909923596021038</v>
      </c>
      <c r="BD82" s="3">
        <f>USA!Z90*V82/AW82</f>
        <v>9.5466633025642889</v>
      </c>
      <c r="BE82" s="3">
        <v>0</v>
      </c>
      <c r="BF82">
        <v>0</v>
      </c>
      <c r="BG82" s="24">
        <v>0.5</v>
      </c>
      <c r="BH82" s="3"/>
      <c r="BI82" s="3"/>
    </row>
    <row r="83" spans="1:69">
      <c r="A83">
        <v>2004</v>
      </c>
      <c r="B83" s="3">
        <f t="shared" si="0"/>
        <v>122.52299387154959</v>
      </c>
      <c r="C83" s="3">
        <f t="shared" si="1"/>
        <v>86.62364207534489</v>
      </c>
      <c r="D83" s="2">
        <f t="shared" si="30"/>
        <v>85.612946239974562</v>
      </c>
      <c r="E83" s="2">
        <v>123.96942791081244</v>
      </c>
      <c r="F83" s="2">
        <f t="shared" si="31"/>
        <v>106.13387967128787</v>
      </c>
      <c r="G83" s="3">
        <v>25.699750000000005</v>
      </c>
      <c r="H83" s="5">
        <f t="shared" si="25"/>
        <v>27.276141740821807</v>
      </c>
      <c r="I83" s="21">
        <f>H83</f>
        <v>27.276141740821807</v>
      </c>
      <c r="J83" s="21"/>
      <c r="K83" s="21"/>
      <c r="L83" s="21"/>
      <c r="M83" s="21"/>
      <c r="N83" s="21">
        <v>26.69</v>
      </c>
      <c r="O83" s="12">
        <v>94.2</v>
      </c>
      <c r="P83" s="21">
        <f t="shared" si="23"/>
        <v>27.755730000000007</v>
      </c>
      <c r="Q83" s="12">
        <f t="shared" si="22"/>
        <v>25.699750000000005</v>
      </c>
      <c r="R83" s="7">
        <v>108</v>
      </c>
      <c r="S83" s="7"/>
      <c r="T83" s="12"/>
      <c r="U83" s="21">
        <f>USA!AS91</f>
        <v>38.991027823000991</v>
      </c>
      <c r="V83" s="12">
        <f t="shared" si="5"/>
        <v>25.699750000000005</v>
      </c>
      <c r="W83" s="7">
        <f t="shared" si="18"/>
        <v>10.0205966729417</v>
      </c>
      <c r="X83" s="21">
        <f t="shared" si="24"/>
        <v>0.47438909953212871</v>
      </c>
      <c r="Y83" s="21">
        <f t="shared" si="17"/>
        <v>10.494985772473829</v>
      </c>
      <c r="Z83" s="21">
        <f t="shared" si="26"/>
        <v>11.081127513295637</v>
      </c>
      <c r="AA83" s="4"/>
      <c r="AC83" s="4">
        <f t="shared" si="27"/>
        <v>27.27614174082181</v>
      </c>
      <c r="AG83" s="7">
        <v>11.84</v>
      </c>
      <c r="AH83" s="7">
        <v>0.19</v>
      </c>
      <c r="AI83" s="4">
        <f t="shared" si="28"/>
        <v>4.355014227526171</v>
      </c>
      <c r="AJ83" s="3">
        <f t="shared" si="29"/>
        <v>16.195014227526173</v>
      </c>
      <c r="AK83">
        <v>16.239999999999998</v>
      </c>
      <c r="AM83"/>
      <c r="AN83"/>
      <c r="AO83"/>
      <c r="AP83"/>
      <c r="AQ83"/>
      <c r="AR83" s="9">
        <v>2004</v>
      </c>
      <c r="AS83" s="3">
        <f t="shared" si="8"/>
        <v>27.276141740821807</v>
      </c>
      <c r="AT83" s="3">
        <f t="shared" si="14"/>
        <v>16.195014227526173</v>
      </c>
      <c r="AU83" s="3">
        <f t="shared" si="9"/>
        <v>11.081127513295634</v>
      </c>
      <c r="AW83" s="3">
        <v>85.378763010161762</v>
      </c>
      <c r="AY83" s="3">
        <f t="shared" si="10"/>
        <v>31.94722057237513</v>
      </c>
      <c r="AZ83" s="3">
        <f t="shared" si="11"/>
        <v>31.777668981190196</v>
      </c>
      <c r="BA83" s="3">
        <f t="shared" si="12"/>
        <v>18.968433901529639</v>
      </c>
      <c r="BB83" s="3">
        <f t="shared" si="13"/>
        <v>12.978786670845491</v>
      </c>
      <c r="BC83" s="3">
        <f t="shared" si="15"/>
        <v>12.809235079660558</v>
      </c>
      <c r="BD83" s="3">
        <f>USA!Z91*V83/AW83</f>
        <v>10.851363440223784</v>
      </c>
      <c r="BE83" s="3">
        <v>0</v>
      </c>
      <c r="BF83">
        <v>0</v>
      </c>
      <c r="BG83" s="24">
        <v>0.5</v>
      </c>
      <c r="BH83" s="3"/>
      <c r="BI83" s="3"/>
    </row>
    <row r="84" spans="1:69">
      <c r="A84">
        <v>2005</v>
      </c>
      <c r="B84" s="3">
        <f t="shared" si="0"/>
        <v>132.44350674278945</v>
      </c>
      <c r="C84" s="3">
        <f t="shared" si="1"/>
        <v>89.539246597092159</v>
      </c>
      <c r="D84" s="2">
        <f t="shared" si="30"/>
        <v>92.544904954669761</v>
      </c>
      <c r="E84" s="2">
        <v>128.14202809149756</v>
      </c>
      <c r="F84" s="2">
        <f t="shared" si="31"/>
        <v>118.58891810426265</v>
      </c>
      <c r="G84" s="3">
        <v>23.957416666666674</v>
      </c>
      <c r="H84" s="5">
        <f t="shared" si="25"/>
        <v>28.94140838583521</v>
      </c>
      <c r="I84" s="21">
        <f>J84</f>
        <v>28.410841230730313</v>
      </c>
      <c r="J84" s="3">
        <f t="shared" ref="J84:J95" si="32">M84/L84*K84</f>
        <v>28.410841230730313</v>
      </c>
      <c r="K84" s="3">
        <f>'Exchange Rates'!H44</f>
        <v>23.957416666666674</v>
      </c>
      <c r="L84" s="3">
        <f>Britain!M84</f>
        <v>0.8041058333333333</v>
      </c>
      <c r="M84" s="3">
        <f>'EU petrol prices nominal'!Z3</f>
        <v>0.95358040816326528</v>
      </c>
      <c r="N84" s="21">
        <v>28.48</v>
      </c>
      <c r="O84" s="12">
        <v>100.9</v>
      </c>
      <c r="P84" s="21">
        <f t="shared" si="23"/>
        <v>28.509325833333342</v>
      </c>
      <c r="Q84" s="12">
        <f t="shared" si="22"/>
        <v>23.957416666666674</v>
      </c>
      <c r="R84" s="7">
        <f>(R83+R85)/2</f>
        <v>119</v>
      </c>
      <c r="S84" s="7"/>
      <c r="T84" s="12"/>
      <c r="U84" s="21">
        <f>USA!AS92</f>
        <v>50.044051593384197</v>
      </c>
      <c r="V84" s="12">
        <f t="shared" si="5"/>
        <v>23.957416666666674</v>
      </c>
      <c r="W84" s="7">
        <f t="shared" si="18"/>
        <v>11.989261957108695</v>
      </c>
      <c r="X84" s="21">
        <f t="shared" si="24"/>
        <v>0.15455330857301774</v>
      </c>
      <c r="Y84" s="21">
        <f t="shared" si="17"/>
        <v>12.143815265681713</v>
      </c>
      <c r="Z84" s="21">
        <f t="shared" si="26"/>
        <v>12.520511248601016</v>
      </c>
      <c r="AA84" s="4"/>
      <c r="AC84" s="4">
        <f t="shared" si="27"/>
        <v>28.856695982919305</v>
      </c>
      <c r="AG84" s="7">
        <v>11.8</v>
      </c>
      <c r="AH84" s="7">
        <v>0.19</v>
      </c>
      <c r="AI84" s="4">
        <f t="shared" si="28"/>
        <v>4.5361847343182848</v>
      </c>
      <c r="AJ84" s="3">
        <f t="shared" si="29"/>
        <v>16.336184734318287</v>
      </c>
      <c r="AK84">
        <v>16.39</v>
      </c>
      <c r="AM84"/>
      <c r="AN84"/>
      <c r="AO84"/>
      <c r="AP84"/>
      <c r="AQ84"/>
      <c r="AR84" s="9">
        <v>2005</v>
      </c>
      <c r="AS84" s="3">
        <f t="shared" si="8"/>
        <v>28.410841230730313</v>
      </c>
      <c r="AT84" s="3">
        <f t="shared" si="14"/>
        <v>16.336184734318287</v>
      </c>
      <c r="AU84" s="3">
        <f t="shared" si="9"/>
        <v>12.074656496412025</v>
      </c>
      <c r="AW84" s="3">
        <v>86.955091345592933</v>
      </c>
      <c r="AY84" s="3">
        <f t="shared" si="10"/>
        <v>32.673004870772566</v>
      </c>
      <c r="AZ84" s="3">
        <f t="shared" si="11"/>
        <v>32.256787835927526</v>
      </c>
      <c r="BA84" s="3">
        <f t="shared" si="12"/>
        <v>18.786921480413394</v>
      </c>
      <c r="BB84" s="3">
        <f t="shared" si="13"/>
        <v>13.886083390359172</v>
      </c>
      <c r="BC84" s="3">
        <f t="shared" si="15"/>
        <v>13.469866355514133</v>
      </c>
      <c r="BD84" s="3">
        <f>USA!Z92*V84/AW84</f>
        <v>13.952070674944878</v>
      </c>
      <c r="BE84" s="3">
        <v>0</v>
      </c>
      <c r="BF84">
        <v>0</v>
      </c>
      <c r="BG84">
        <v>0</v>
      </c>
      <c r="BH84" s="3"/>
      <c r="BI84" s="3"/>
    </row>
    <row r="85" spans="1:69">
      <c r="A85">
        <v>2006</v>
      </c>
      <c r="B85" s="3">
        <f t="shared" si="0"/>
        <v>142.17461570683662</v>
      </c>
      <c r="C85" s="3">
        <f t="shared" si="1"/>
        <v>92.424281215596963</v>
      </c>
      <c r="D85" s="2">
        <f t="shared" si="30"/>
        <v>99.344517682609762</v>
      </c>
      <c r="E85" s="2">
        <v>132.27087886006535</v>
      </c>
      <c r="F85" s="2">
        <f t="shared" si="31"/>
        <v>131.40386663808096</v>
      </c>
      <c r="G85" s="3">
        <v>22.595583333333334</v>
      </c>
      <c r="H85" s="5">
        <f t="shared" si="25"/>
        <v>29.878325706072022</v>
      </c>
      <c r="I85" s="21">
        <f t="shared" ref="I85:I97" si="33">J85</f>
        <v>29.691470189429783</v>
      </c>
      <c r="J85" s="3">
        <f t="shared" si="32"/>
        <v>29.691470189429783</v>
      </c>
      <c r="K85" s="3">
        <f>'Exchange Rates'!H45</f>
        <v>22.595583333333334</v>
      </c>
      <c r="L85" s="3">
        <f>Britain!M85</f>
        <v>0.7971408333333333</v>
      </c>
      <c r="M85" s="3">
        <f>'EU petrol prices nominal'!Z4</f>
        <v>1.0474738775510206</v>
      </c>
      <c r="N85" s="21">
        <v>29.6</v>
      </c>
      <c r="O85" s="12">
        <v>103.9</v>
      </c>
      <c r="P85" s="21">
        <f t="shared" si="23"/>
        <v>29.374258333333334</v>
      </c>
      <c r="Q85" s="12">
        <f t="shared" si="22"/>
        <v>22.595583333333334</v>
      </c>
      <c r="R85" s="7">
        <v>130</v>
      </c>
      <c r="S85" s="7"/>
      <c r="T85" s="12"/>
      <c r="U85" s="21">
        <f>USA!AS93</f>
        <v>57.825893864818696</v>
      </c>
      <c r="V85" s="12">
        <f t="shared" si="5"/>
        <v>22.595583333333334</v>
      </c>
      <c r="W85" s="7">
        <f t="shared" si="18"/>
        <v>13.066098036469995</v>
      </c>
      <c r="X85" s="21">
        <f t="shared" si="24"/>
        <v>-6.7529406646649193E-3</v>
      </c>
      <c r="Y85" s="21">
        <f t="shared" si="17"/>
        <v>13.05934509580533</v>
      </c>
      <c r="Z85" s="21">
        <f t="shared" si="26"/>
        <v>13.307836727791612</v>
      </c>
      <c r="AA85" s="4"/>
      <c r="AC85" s="4">
        <f t="shared" si="27"/>
        <v>29.848491631986285</v>
      </c>
      <c r="AG85" s="7">
        <v>11.8</v>
      </c>
      <c r="AH85" s="7">
        <v>0.19</v>
      </c>
      <c r="AI85" s="4">
        <f t="shared" si="28"/>
        <v>4.7406549041946713</v>
      </c>
      <c r="AJ85" s="3">
        <f t="shared" si="29"/>
        <v>16.540654904194671</v>
      </c>
      <c r="AK85">
        <v>16.57</v>
      </c>
      <c r="AM85"/>
      <c r="AN85"/>
      <c r="AO85"/>
      <c r="AP85"/>
      <c r="AQ85"/>
      <c r="AR85" s="9">
        <v>2006</v>
      </c>
      <c r="AS85" s="3">
        <f t="shared" si="8"/>
        <v>29.691470189429783</v>
      </c>
      <c r="AT85" s="3">
        <f t="shared" si="14"/>
        <v>16.540654904194671</v>
      </c>
      <c r="AU85" s="3">
        <f t="shared" si="9"/>
        <v>13.150815285235112</v>
      </c>
      <c r="AW85" s="3">
        <v>89.153458132333881</v>
      </c>
      <c r="AY85" s="3">
        <f t="shared" si="10"/>
        <v>33.303778464047461</v>
      </c>
      <c r="AZ85" s="3">
        <f t="shared" si="11"/>
        <v>33.076392199748852</v>
      </c>
      <c r="BA85" s="3">
        <f t="shared" si="12"/>
        <v>18.553015497887635</v>
      </c>
      <c r="BB85" s="3">
        <f t="shared" si="13"/>
        <v>14.750762966159826</v>
      </c>
      <c r="BC85" s="3">
        <f t="shared" si="15"/>
        <v>14.523376701861219</v>
      </c>
      <c r="BD85" s="3">
        <f>USA!Z93*V85/AW85</f>
        <v>15.480478928270042</v>
      </c>
      <c r="BE85" s="3">
        <v>0</v>
      </c>
      <c r="BF85">
        <v>0</v>
      </c>
      <c r="BG85">
        <v>0</v>
      </c>
      <c r="BH85" s="3"/>
      <c r="BI85" s="3"/>
    </row>
    <row r="86" spans="1:69">
      <c r="A86">
        <v>2007</v>
      </c>
      <c r="B86" s="3">
        <f t="shared" si="0"/>
        <v>153.15757523803774</v>
      </c>
      <c r="C86" s="3">
        <f t="shared" si="1"/>
        <v>95.074004003893037</v>
      </c>
      <c r="D86" s="2">
        <f t="shared" si="30"/>
        <v>107.01886103799912</v>
      </c>
      <c r="E86" s="2">
        <v>136.06296852886032</v>
      </c>
      <c r="F86" s="2">
        <f t="shared" si="31"/>
        <v>145.6130392140775</v>
      </c>
      <c r="G86" s="3">
        <v>20.29366666666666</v>
      </c>
      <c r="H86" s="5">
        <f t="shared" si="25"/>
        <v>29.84194863008673</v>
      </c>
      <c r="I86" s="21">
        <f t="shared" si="33"/>
        <v>29.550224801307493</v>
      </c>
      <c r="J86" s="3">
        <f t="shared" si="32"/>
        <v>29.550224801307493</v>
      </c>
      <c r="K86" s="3">
        <f>'Exchange Rates'!H46</f>
        <v>20.29366666666666</v>
      </c>
      <c r="L86" s="3">
        <f>Britain!M86</f>
        <v>0.73063749999999994</v>
      </c>
      <c r="M86" s="3">
        <f>'EU petrol prices nominal'!Z5</f>
        <v>1.0639034693877554</v>
      </c>
      <c r="N86" s="21">
        <v>29.5</v>
      </c>
      <c r="O86" s="12">
        <v>103.6</v>
      </c>
      <c r="P86" s="21">
        <f t="shared" si="23"/>
        <v>30.440499999999989</v>
      </c>
      <c r="Q86" s="12">
        <f t="shared" si="22"/>
        <v>20.29366666666666</v>
      </c>
      <c r="R86" s="7">
        <f>(R85+R87)/2</f>
        <v>150</v>
      </c>
      <c r="S86" s="7"/>
      <c r="T86" s="12"/>
      <c r="U86" s="21">
        <f>USA!AS94</f>
        <v>64.179079317063866</v>
      </c>
      <c r="V86" s="12">
        <f t="shared" si="5"/>
        <v>20.29366666666666</v>
      </c>
      <c r="W86" s="7">
        <f t="shared" si="18"/>
        <v>13.024288426340547</v>
      </c>
      <c r="X86" s="21">
        <f t="shared" si="24"/>
        <v>-4.2391545877038084E-2</v>
      </c>
      <c r="Y86" s="21">
        <f t="shared" si="17"/>
        <v>12.981896880463509</v>
      </c>
      <c r="Z86" s="21">
        <f t="shared" si="26"/>
        <v>13.277267756375402</v>
      </c>
      <c r="AA86" s="4"/>
      <c r="AC86" s="4">
        <f t="shared" si="27"/>
        <v>29.795370875911892</v>
      </c>
      <c r="AG86" s="7">
        <v>11.8</v>
      </c>
      <c r="AH86" s="7">
        <v>0.19</v>
      </c>
      <c r="AI86" s="4">
        <f t="shared" si="28"/>
        <v>4.7181031195364911</v>
      </c>
      <c r="AJ86" s="3">
        <f t="shared" si="29"/>
        <v>16.518103119536491</v>
      </c>
      <c r="AK86">
        <v>16.55</v>
      </c>
      <c r="AM86"/>
      <c r="AN86"/>
      <c r="AO86"/>
      <c r="AP86"/>
      <c r="AQ86"/>
      <c r="AR86" s="9">
        <v>2007</v>
      </c>
      <c r="AS86" s="3">
        <f t="shared" si="8"/>
        <v>29.550224801307493</v>
      </c>
      <c r="AT86" s="3">
        <f t="shared" si="14"/>
        <v>16.518103119536491</v>
      </c>
      <c r="AU86" s="3">
        <f t="shared" si="9"/>
        <v>13.032121681771002</v>
      </c>
      <c r="AW86" s="3">
        <v>91.76320799084624</v>
      </c>
      <c r="AY86" s="3">
        <f t="shared" si="10"/>
        <v>32.202693702965632</v>
      </c>
      <c r="AZ86" s="3">
        <f t="shared" si="11"/>
        <v>32.384062320749592</v>
      </c>
      <c r="BA86" s="3">
        <f t="shared" si="12"/>
        <v>18.000790819327328</v>
      </c>
      <c r="BB86" s="3">
        <f t="shared" si="13"/>
        <v>14.201902883638304</v>
      </c>
      <c r="BC86" s="3">
        <f t="shared" si="15"/>
        <v>14.383271501422261</v>
      </c>
      <c r="BD86" s="3">
        <f>USA!Z94*V86/AW86</f>
        <v>15.277217569302685</v>
      </c>
      <c r="BE86" s="3">
        <v>0</v>
      </c>
      <c r="BF86">
        <v>0</v>
      </c>
      <c r="BG86">
        <v>0</v>
      </c>
      <c r="BH86" s="3"/>
      <c r="BI86" s="3"/>
    </row>
    <row r="87" spans="1:69">
      <c r="A87">
        <v>2008</v>
      </c>
      <c r="B87" s="3">
        <f t="shared" si="0"/>
        <v>182.7811764218977</v>
      </c>
      <c r="C87" s="3">
        <f t="shared" si="1"/>
        <v>98.70291900542351</v>
      </c>
      <c r="D87" s="2">
        <f t="shared" si="30"/>
        <v>127.71835339816056</v>
      </c>
      <c r="E87" s="2">
        <v>141.25640655453694</v>
      </c>
      <c r="F87" s="2">
        <f t="shared" si="31"/>
        <v>180.41035652086592</v>
      </c>
      <c r="G87" s="3">
        <v>17.071666666666665</v>
      </c>
      <c r="H87" s="5">
        <f t="shared" si="25"/>
        <v>29.762889700173083</v>
      </c>
      <c r="I87" s="21">
        <f t="shared" si="33"/>
        <v>30.79905469738716</v>
      </c>
      <c r="J87" s="3">
        <f t="shared" si="32"/>
        <v>30.79905469738716</v>
      </c>
      <c r="K87" s="3">
        <f>'Exchange Rates'!H47</f>
        <v>17.071666666666665</v>
      </c>
      <c r="L87" s="3">
        <f>Britain!M87</f>
        <v>0.68267416666666658</v>
      </c>
      <c r="M87" s="3">
        <f>'EU petrol prices nominal'!Z6</f>
        <v>1.2316148979591837</v>
      </c>
      <c r="N87" s="21">
        <v>30.33</v>
      </c>
      <c r="O87" s="12">
        <v>107.7</v>
      </c>
      <c r="P87" s="21">
        <f t="shared" si="23"/>
        <v>29.02183333333333</v>
      </c>
      <c r="Q87" s="12">
        <f t="shared" si="22"/>
        <v>17.071666666666665</v>
      </c>
      <c r="R87" s="7">
        <v>170</v>
      </c>
      <c r="S87" s="7"/>
      <c r="T87" s="12"/>
      <c r="U87" s="21">
        <f>USA!AS95</f>
        <v>75.759579473514094</v>
      </c>
      <c r="V87" s="12">
        <f t="shared" si="5"/>
        <v>17.071666666666665</v>
      </c>
      <c r="W87" s="7">
        <f t="shared" si="18"/>
        <v>12.933422875786746</v>
      </c>
      <c r="X87" s="21">
        <f t="shared" si="24"/>
        <v>0.67908099605899963</v>
      </c>
      <c r="Y87" s="21">
        <f t="shared" si="17"/>
        <v>13.612503871845746</v>
      </c>
      <c r="Z87" s="21">
        <f t="shared" si="26"/>
        <v>13.210831680817716</v>
      </c>
      <c r="AA87" s="4"/>
      <c r="AC87" s="4">
        <f t="shared" si="27"/>
        <v>29.928327808971968</v>
      </c>
      <c r="AG87" s="7">
        <v>11.8</v>
      </c>
      <c r="AH87" s="7">
        <v>0.19</v>
      </c>
      <c r="AI87" s="4">
        <f t="shared" si="28"/>
        <v>4.9174961281542524</v>
      </c>
      <c r="AJ87" s="3">
        <f t="shared" si="29"/>
        <v>16.717496128154252</v>
      </c>
      <c r="AK87">
        <v>16.68</v>
      </c>
      <c r="AM87"/>
      <c r="AN87"/>
      <c r="AO87"/>
      <c r="AP87"/>
      <c r="AQ87"/>
      <c r="AR87" s="9">
        <v>2008</v>
      </c>
      <c r="AS87" s="3">
        <f t="shared" si="8"/>
        <v>30.79905469738716</v>
      </c>
      <c r="AT87" s="3">
        <f t="shared" si="14"/>
        <v>16.717496128154252</v>
      </c>
      <c r="AU87" s="3">
        <f t="shared" si="9"/>
        <v>14.081558569232907</v>
      </c>
      <c r="AW87" s="3">
        <v>97.591122763462337</v>
      </c>
      <c r="AY87" s="3">
        <f t="shared" si="10"/>
        <v>31.559278984869088</v>
      </c>
      <c r="AZ87" s="3">
        <f t="shared" si="11"/>
        <v>31.880770056987295</v>
      </c>
      <c r="BA87" s="3">
        <f t="shared" si="12"/>
        <v>17.130140175427108</v>
      </c>
      <c r="BB87" s="3">
        <f t="shared" si="13"/>
        <v>14.42913880944198</v>
      </c>
      <c r="BC87" s="3">
        <f t="shared" si="15"/>
        <v>14.750629881560187</v>
      </c>
      <c r="BD87" s="3">
        <f>USA!Z95*V87/AW87</f>
        <v>16.522188402061797</v>
      </c>
      <c r="BE87" s="3">
        <v>0</v>
      </c>
      <c r="BF87" s="24">
        <v>0.5</v>
      </c>
      <c r="BG87">
        <v>0</v>
      </c>
      <c r="BH87" s="3"/>
      <c r="BI87" s="3"/>
    </row>
    <row r="88" spans="1:69">
      <c r="A88">
        <v>2009</v>
      </c>
      <c r="B88" s="3">
        <f t="shared" si="0"/>
        <v>145.75271932306356</v>
      </c>
      <c r="C88" s="3">
        <f>E88/E$89*100</f>
        <v>98.380597588111073</v>
      </c>
      <c r="D88" s="2">
        <f t="shared" si="30"/>
        <v>101.8447177092125</v>
      </c>
      <c r="E88" s="2">
        <v>140.7951236905254</v>
      </c>
      <c r="F88" s="2">
        <f t="shared" si="31"/>
        <v>143.39239627095216</v>
      </c>
      <c r="G88" s="3">
        <v>19.062999999999999</v>
      </c>
      <c r="H88" s="5">
        <f t="shared" si="25"/>
        <v>27.087323457933337</v>
      </c>
      <c r="I88" s="21">
        <f t="shared" si="33"/>
        <v>27.334892501131609</v>
      </c>
      <c r="J88" s="3">
        <f t="shared" si="32"/>
        <v>27.334892501131609</v>
      </c>
      <c r="K88" s="3">
        <f>'Exchange Rates'!H48</f>
        <v>19.062999999999999</v>
      </c>
      <c r="L88" s="3">
        <f>Britain!M88</f>
        <v>0.71984416666666673</v>
      </c>
      <c r="M88" s="3">
        <f>'EU petrol prices nominal'!Z7</f>
        <v>1.0322018000000002</v>
      </c>
      <c r="N88" s="21">
        <v>27.26</v>
      </c>
      <c r="O88" s="12">
        <v>95</v>
      </c>
      <c r="P88" s="21"/>
      <c r="Q88" s="12">
        <f t="shared" si="22"/>
        <v>19.062999999999999</v>
      </c>
      <c r="R88" s="7"/>
      <c r="S88" s="7"/>
      <c r="T88" s="12"/>
      <c r="U88" s="21">
        <f>USA!AS96</f>
        <v>51.714257583027887</v>
      </c>
      <c r="V88" s="12">
        <f t="shared" si="5"/>
        <v>19.062999999999999</v>
      </c>
      <c r="W88" s="7">
        <f t="shared" si="18"/>
        <v>9.858288923052605</v>
      </c>
      <c r="X88" s="21">
        <f t="shared" si="24"/>
        <v>1.2373164759263808</v>
      </c>
      <c r="Y88" s="21">
        <f t="shared" si="17"/>
        <v>11.095605398978986</v>
      </c>
      <c r="Z88" s="21">
        <f t="shared" si="26"/>
        <v>10.962456687338939</v>
      </c>
      <c r="AA88" s="4"/>
      <c r="AC88" s="4">
        <f t="shared" si="27"/>
        <v>27.126851288359955</v>
      </c>
      <c r="AG88" s="7">
        <v>11.8</v>
      </c>
      <c r="AH88" s="7">
        <v>0.19</v>
      </c>
      <c r="AI88" s="4">
        <f t="shared" si="28"/>
        <v>4.3643946010210133</v>
      </c>
      <c r="AJ88" s="3">
        <f t="shared" si="29"/>
        <v>16.164394601021016</v>
      </c>
      <c r="AK88">
        <v>16.190000000000001</v>
      </c>
      <c r="AM88"/>
      <c r="AN88"/>
      <c r="AO88"/>
      <c r="AP88"/>
      <c r="AQ88"/>
      <c r="AR88" s="9">
        <v>2009</v>
      </c>
      <c r="AS88" s="3">
        <f t="shared" si="8"/>
        <v>27.334892501131609</v>
      </c>
      <c r="AT88" s="3">
        <f t="shared" si="14"/>
        <v>16.164394601021016</v>
      </c>
      <c r="AU88" s="3">
        <f t="shared" si="9"/>
        <v>11.170497900110593</v>
      </c>
      <c r="AW88" s="3">
        <v>98.610775961083462</v>
      </c>
      <c r="AY88" s="3">
        <f t="shared" si="10"/>
        <v>27.719985199101636</v>
      </c>
      <c r="AZ88" s="3">
        <f t="shared" si="11"/>
        <v>27.890463126336122</v>
      </c>
      <c r="BA88" s="3">
        <f t="shared" si="12"/>
        <v>16.39211784257763</v>
      </c>
      <c r="BB88" s="3">
        <f t="shared" si="13"/>
        <v>11.327867356524006</v>
      </c>
      <c r="BC88" s="3">
        <f t="shared" si="15"/>
        <v>11.498345283758495</v>
      </c>
      <c r="BD88" s="3">
        <f>USA!Z96*V88/AW88</f>
        <v>11.80384971779722</v>
      </c>
      <c r="BE88" s="3">
        <v>0</v>
      </c>
      <c r="BF88" s="24">
        <v>0.5</v>
      </c>
      <c r="BG88">
        <v>0</v>
      </c>
      <c r="BH88" s="3"/>
      <c r="BI88" s="3"/>
      <c r="BP88" s="13"/>
      <c r="BQ88" s="13"/>
    </row>
    <row r="89" spans="1:69">
      <c r="A89">
        <v>2010</v>
      </c>
      <c r="B89" s="3">
        <f>I89/G89*100/C89*100</f>
        <v>165.23480751646255</v>
      </c>
      <c r="C89" s="3">
        <f>CPIs!AB49</f>
        <v>99.999998509883881</v>
      </c>
      <c r="D89" s="2">
        <f t="shared" si="30"/>
        <v>115.45782579321131</v>
      </c>
      <c r="E89" s="2">
        <v>143.11269411067286</v>
      </c>
      <c r="F89" s="2">
        <f t="shared" si="31"/>
        <v>165.23480505427204</v>
      </c>
      <c r="G89" s="3">
        <v>19.09825</v>
      </c>
      <c r="H89" s="5">
        <f t="shared" si="25"/>
        <v>30.437852005723421</v>
      </c>
      <c r="I89" s="21">
        <f t="shared" si="33"/>
        <v>31.556956156277511</v>
      </c>
      <c r="J89" s="3">
        <f t="shared" si="32"/>
        <v>31.556956156277511</v>
      </c>
      <c r="K89" s="3">
        <f>'Exchange Rates'!H49</f>
        <v>19.082078234050712</v>
      </c>
      <c r="L89" s="3">
        <f>Britain!M89</f>
        <v>0.75867129256384003</v>
      </c>
      <c r="M89" s="3">
        <f>'EU petrol prices nominal'!Z8</f>
        <v>1.2546514285714285</v>
      </c>
      <c r="N89" s="21">
        <v>31.86</v>
      </c>
      <c r="O89" s="12">
        <v>111.1</v>
      </c>
      <c r="P89" s="12"/>
      <c r="Q89" s="12">
        <f t="shared" si="22"/>
        <v>19.09825</v>
      </c>
      <c r="R89" s="12"/>
      <c r="S89" s="12"/>
      <c r="T89" s="12"/>
      <c r="U89" s="21">
        <f>USA!AS97</f>
        <v>62.808019619757133</v>
      </c>
      <c r="V89" s="12">
        <f t="shared" si="5"/>
        <v>19.09825</v>
      </c>
      <c r="W89" s="7">
        <f>U89*V89/100</f>
        <v>11.995232607030266</v>
      </c>
      <c r="X89" s="21">
        <f>Y89-W89</f>
        <v>1.7652747002568159</v>
      </c>
      <c r="Y89" s="21">
        <f t="shared" si="17"/>
        <v>13.760507307287082</v>
      </c>
      <c r="Z89" s="21">
        <f>Y$98+Y$99*W89</f>
        <v>12.524876671436187</v>
      </c>
      <c r="AA89" s="4"/>
      <c r="AC89" s="4">
        <f t="shared" si="27"/>
        <v>30.624369364149103</v>
      </c>
      <c r="AG89" s="7">
        <v>12.84</v>
      </c>
      <c r="AH89" s="7">
        <v>0.2</v>
      </c>
      <c r="AI89" s="4">
        <f t="shared" si="28"/>
        <v>5.2594926927129189</v>
      </c>
      <c r="AJ89" s="3">
        <f t="shared" si="29"/>
        <v>18.099492692712918</v>
      </c>
      <c r="AK89">
        <v>18.149999999999999</v>
      </c>
      <c r="AM89"/>
      <c r="AN89"/>
      <c r="AO89"/>
      <c r="AP89"/>
      <c r="AQ89"/>
      <c r="AR89" s="9">
        <v>2010</v>
      </c>
      <c r="AS89" s="3">
        <f t="shared" si="8"/>
        <v>31.556956156277511</v>
      </c>
      <c r="AT89" s="3">
        <f t="shared" si="14"/>
        <v>18.099492692712918</v>
      </c>
      <c r="AU89" s="3">
        <f t="shared" si="9"/>
        <v>13.457463463564594</v>
      </c>
      <c r="AW89" s="3">
        <v>100</v>
      </c>
      <c r="AY89" s="3">
        <f t="shared" si="10"/>
        <v>31.556956156277511</v>
      </c>
      <c r="AZ89" s="3">
        <f t="shared" si="11"/>
        <v>31.657248585604187</v>
      </c>
      <c r="BA89" s="3">
        <f t="shared" si="12"/>
        <v>18.099492692712918</v>
      </c>
      <c r="BB89" s="3">
        <f t="shared" si="13"/>
        <v>13.457463463564594</v>
      </c>
      <c r="BC89" s="3">
        <f t="shared" si="15"/>
        <v>13.557755892891269</v>
      </c>
      <c r="BD89" s="3">
        <f>USA!Z97*V89/AW89</f>
        <v>14.791594625</v>
      </c>
      <c r="BE89" s="3">
        <v>0</v>
      </c>
      <c r="BF89" s="24">
        <v>0.5</v>
      </c>
      <c r="BG89">
        <v>0</v>
      </c>
      <c r="BH89" s="3"/>
      <c r="BI89" s="3"/>
      <c r="BP89" s="13"/>
      <c r="BQ89" s="13"/>
    </row>
    <row r="90" spans="1:69">
      <c r="A90">
        <v>2011</v>
      </c>
      <c r="B90" s="3">
        <f t="shared" ref="B90:B96" si="34">I90/G90*100/C90*100</f>
        <v>190.69022868595809</v>
      </c>
      <c r="C90" s="3">
        <f>CPIs!AB50</f>
        <v>103.13271097869961</v>
      </c>
      <c r="G90" s="3">
        <f>'Exchange Rates'!H50</f>
        <v>17.694325925192629</v>
      </c>
      <c r="I90" s="21">
        <f t="shared" si="33"/>
        <v>34.79836956489374</v>
      </c>
      <c r="J90" s="3">
        <f t="shared" si="32"/>
        <v>34.79836956489374</v>
      </c>
      <c r="K90" s="3">
        <f>'Exchange Rates'!H50</f>
        <v>17.694325925192629</v>
      </c>
      <c r="L90" s="3">
        <f>Britain!M90</f>
        <v>0.71544109992713056</v>
      </c>
      <c r="M90" s="3">
        <f>'EU petrol prices nominal'!Z9</f>
        <v>1.4070151020408159</v>
      </c>
      <c r="N90" s="12"/>
      <c r="O90" s="12"/>
      <c r="P90" s="12"/>
      <c r="Q90" s="12"/>
      <c r="R90" s="12"/>
      <c r="S90" s="12"/>
      <c r="T90" s="12"/>
      <c r="U90" s="21">
        <f>USA!AS98</f>
        <v>82.532592088693974</v>
      </c>
      <c r="V90" s="12">
        <f t="shared" ref="V90:V97" si="35">G90</f>
        <v>17.694325925192629</v>
      </c>
      <c r="W90" s="7">
        <f t="shared" ref="W90:W95" si="36">U90*V90/100</f>
        <v>14.603585838683259</v>
      </c>
      <c r="X90" s="12"/>
      <c r="Y90" s="21"/>
      <c r="Z90" s="12"/>
      <c r="AG90" s="7">
        <v>12.84</v>
      </c>
      <c r="AH90" s="7">
        <v>0.2</v>
      </c>
      <c r="AI90" s="4">
        <f t="shared" si="28"/>
        <v>5.7997282608156233</v>
      </c>
      <c r="AJ90" s="3">
        <f>AG90+AI90</f>
        <v>18.639728260815623</v>
      </c>
      <c r="AM90"/>
      <c r="AN90"/>
      <c r="AO90"/>
      <c r="AP90"/>
      <c r="AQ90"/>
      <c r="AR90" s="9">
        <v>2011</v>
      </c>
      <c r="AS90" s="3">
        <f t="shared" ref="AS90:AS96" si="37">I90</f>
        <v>34.79836956489374</v>
      </c>
      <c r="AT90" s="3">
        <f t="shared" si="14"/>
        <v>18.639728260815623</v>
      </c>
      <c r="AU90" s="3">
        <f t="shared" si="9"/>
        <v>16.158641304078117</v>
      </c>
      <c r="AW90" s="3">
        <f>CPIs!H50</f>
        <v>101.93638610839844</v>
      </c>
      <c r="AY90" s="3">
        <f t="shared" ref="AY90:AY96" si="38">AS90/$AW90*100</f>
        <v>34.137338877100667</v>
      </c>
      <c r="AZ90" s="3">
        <f t="shared" si="11"/>
        <v>34.013123824129408</v>
      </c>
      <c r="BA90" s="3">
        <f t="shared" ref="BA90:BA96" si="39">AT90/$AW90*100</f>
        <v>18.285647522361902</v>
      </c>
      <c r="BB90" s="3">
        <f t="shared" si="13"/>
        <v>15.851691354738765</v>
      </c>
      <c r="BC90" s="3">
        <f t="shared" si="15"/>
        <v>15.72747630176751</v>
      </c>
      <c r="BD90" s="3">
        <f>USA!Z98*V90/AW90</f>
        <v>18.651390276286296</v>
      </c>
      <c r="BE90" s="3">
        <v>0</v>
      </c>
      <c r="BF90" s="24">
        <v>1</v>
      </c>
      <c r="BG90">
        <v>0</v>
      </c>
      <c r="BH90" s="3"/>
      <c r="BI90" s="3"/>
      <c r="BP90" s="25"/>
      <c r="BQ90" s="25"/>
    </row>
    <row r="91" spans="1:69">
      <c r="A91">
        <v>2012</v>
      </c>
      <c r="B91" s="3">
        <f t="shared" si="34"/>
        <v>179.66751239355276</v>
      </c>
      <c r="C91" s="3">
        <f>CPIs!AB51</f>
        <v>105.21072267093371</v>
      </c>
      <c r="G91" s="3">
        <f>'Exchange Rates'!H51</f>
        <v>19.579963455699321</v>
      </c>
      <c r="I91" s="21">
        <f t="shared" si="33"/>
        <v>37.011904708909299</v>
      </c>
      <c r="J91" s="3">
        <f t="shared" si="32"/>
        <v>37.011904708909299</v>
      </c>
      <c r="K91" s="3">
        <f>'Exchange Rates'!H51</f>
        <v>19.579963455699321</v>
      </c>
      <c r="L91" s="3">
        <f>Britain!M91</f>
        <v>0.773899446716382</v>
      </c>
      <c r="M91" s="3">
        <f>'EU petrol prices nominal'!Z10</f>
        <v>1.4628981632653064</v>
      </c>
      <c r="N91" s="12"/>
      <c r="O91" s="12"/>
      <c r="P91" s="12"/>
      <c r="Q91" s="12"/>
      <c r="R91" s="12"/>
      <c r="S91" s="12"/>
      <c r="T91" s="12"/>
      <c r="U91" s="21">
        <f>USA!AS99</f>
        <v>85.208213791949561</v>
      </c>
      <c r="V91" s="12">
        <f t="shared" si="35"/>
        <v>19.579963455699321</v>
      </c>
      <c r="W91" s="7">
        <f t="shared" si="36"/>
        <v>16.683737121717872</v>
      </c>
      <c r="X91" s="12"/>
      <c r="Y91" s="21"/>
      <c r="Z91" s="12"/>
      <c r="AG91" s="7">
        <v>12.84</v>
      </c>
      <c r="AH91" s="7">
        <v>0.2</v>
      </c>
      <c r="AI91" s="4">
        <f t="shared" si="28"/>
        <v>6.168650784818217</v>
      </c>
      <c r="AJ91" s="3">
        <f t="shared" ref="AJ91:AJ96" si="40">AG91+AI91</f>
        <v>19.008650784818215</v>
      </c>
      <c r="AM91"/>
      <c r="AN91"/>
      <c r="AO91"/>
      <c r="AP91"/>
      <c r="AQ91"/>
      <c r="AR91" s="9">
        <v>2012</v>
      </c>
      <c r="AS91" s="3">
        <f t="shared" si="37"/>
        <v>37.011904708909299</v>
      </c>
      <c r="AT91" s="3">
        <f t="shared" si="14"/>
        <v>19.008650784818215</v>
      </c>
      <c r="AU91" s="3">
        <f t="shared" si="9"/>
        <v>18.003253924091084</v>
      </c>
      <c r="AW91" s="3">
        <f>CPIs!H51</f>
        <v>105.29932403564453</v>
      </c>
      <c r="AY91" s="3">
        <f t="shared" si="38"/>
        <v>35.149232958400113</v>
      </c>
      <c r="AZ91" s="3">
        <f t="shared" si="11"/>
        <v>34.957413702584972</v>
      </c>
      <c r="BA91" s="3">
        <f t="shared" si="39"/>
        <v>18.052015963923623</v>
      </c>
      <c r="BB91" s="3">
        <f t="shared" si="13"/>
        <v>17.09721699447649</v>
      </c>
      <c r="BC91" s="3">
        <f t="shared" si="15"/>
        <v>16.905397738661353</v>
      </c>
      <c r="BD91" s="3">
        <f>USA!Z99*V91/AW91</f>
        <v>20.360291239774373</v>
      </c>
      <c r="BE91" s="3">
        <v>0</v>
      </c>
      <c r="BF91" s="24">
        <v>1</v>
      </c>
      <c r="BG91">
        <v>0</v>
      </c>
      <c r="BH91" s="3"/>
      <c r="BI91" s="3"/>
      <c r="BP91" s="13" t="s">
        <v>88</v>
      </c>
      <c r="BQ91" s="13">
        <v>3.8528999612001904</v>
      </c>
    </row>
    <row r="92" spans="1:69">
      <c r="A92">
        <v>2013</v>
      </c>
      <c r="B92" s="3">
        <f t="shared" si="34"/>
        <v>174.00840585621981</v>
      </c>
      <c r="C92" s="3">
        <f>CPIs!AB52</f>
        <v>106.69767516878358</v>
      </c>
      <c r="G92" s="3">
        <f>'Exchange Rates'!H52</f>
        <v>19.550178718724222</v>
      </c>
      <c r="I92" s="21">
        <f t="shared" si="33"/>
        <v>36.297433387367278</v>
      </c>
      <c r="J92" s="3">
        <f t="shared" si="32"/>
        <v>36.297433387367278</v>
      </c>
      <c r="K92" s="3">
        <f>'Exchange Rates'!H52</f>
        <v>19.550178718724222</v>
      </c>
      <c r="L92" s="3">
        <f>Britain!M92</f>
        <v>0.75166876437654617</v>
      </c>
      <c r="M92" s="3">
        <f>'EU petrol prices nominal'!Z11</f>
        <v>1.3955702040816327</v>
      </c>
      <c r="N92" s="12"/>
      <c r="O92" s="12"/>
      <c r="P92" s="12"/>
      <c r="Q92" s="12"/>
      <c r="R92" s="12"/>
      <c r="S92" s="12"/>
      <c r="T92" s="12"/>
      <c r="U92" s="21">
        <f>USA!AS100</f>
        <v>81.979080257839527</v>
      </c>
      <c r="V92" s="12">
        <f t="shared" si="35"/>
        <v>19.550178718724222</v>
      </c>
      <c r="W92" s="7">
        <f t="shared" si="36"/>
        <v>16.027056702373994</v>
      </c>
      <c r="X92" s="12"/>
      <c r="Y92" s="12"/>
      <c r="Z92" s="12"/>
      <c r="AG92" s="7">
        <v>12.84</v>
      </c>
      <c r="AH92" s="7">
        <v>0.21</v>
      </c>
      <c r="AI92" s="4">
        <f t="shared" si="28"/>
        <v>6.2995545548323371</v>
      </c>
      <c r="AJ92" s="3">
        <f t="shared" si="40"/>
        <v>19.139554554832337</v>
      </c>
      <c r="AM92"/>
      <c r="AN92"/>
      <c r="AO92"/>
      <c r="AP92"/>
      <c r="AQ92"/>
      <c r="AR92" s="9">
        <v>2013</v>
      </c>
      <c r="AS92" s="3">
        <f t="shared" si="37"/>
        <v>36.297433387367278</v>
      </c>
      <c r="AT92" s="3">
        <f t="shared" si="14"/>
        <v>19.139554554832337</v>
      </c>
      <c r="AU92" s="3">
        <f t="shared" si="9"/>
        <v>17.157878832534941</v>
      </c>
      <c r="AW92" s="3">
        <f>CPIs!H52</f>
        <v>106.78204345703125</v>
      </c>
      <c r="AY92" s="3">
        <f t="shared" si="38"/>
        <v>33.992076019760056</v>
      </c>
      <c r="AZ92" s="3">
        <f t="shared" si="11"/>
        <v>34.164206070618008</v>
      </c>
      <c r="BA92" s="3">
        <f t="shared" si="39"/>
        <v>17.923944827422254</v>
      </c>
      <c r="BB92" s="3">
        <f t="shared" si="13"/>
        <v>16.068131192337802</v>
      </c>
      <c r="BC92" s="3">
        <f t="shared" si="15"/>
        <v>16.24026124319575</v>
      </c>
      <c r="BD92" s="3">
        <f>USA!Z100*V92/AW92</f>
        <v>19.39532671637663</v>
      </c>
      <c r="BE92" s="3">
        <v>0</v>
      </c>
      <c r="BF92" s="24">
        <v>1</v>
      </c>
      <c r="BG92">
        <v>0</v>
      </c>
      <c r="BH92" s="3"/>
      <c r="BI92" s="3"/>
      <c r="BP92" s="25" t="s">
        <v>229</v>
      </c>
      <c r="BQ92" s="13">
        <v>0.68928595750192745</v>
      </c>
    </row>
    <row r="93" spans="1:69">
      <c r="A93">
        <v>2014</v>
      </c>
      <c r="B93" s="3">
        <f t="shared" si="34"/>
        <v>160.40824969218002</v>
      </c>
      <c r="C93" s="3">
        <f>CPIs!AB53</f>
        <v>108.45811062912946</v>
      </c>
      <c r="G93" s="3">
        <f>'Exchange Rates'!H53</f>
        <v>20.754245739486297</v>
      </c>
      <c r="I93" s="21">
        <f t="shared" si="33"/>
        <v>36.107356116107113</v>
      </c>
      <c r="J93" s="3">
        <f t="shared" si="32"/>
        <v>36.107356116107113</v>
      </c>
      <c r="K93" s="3">
        <f>'Exchange Rates'!H53</f>
        <v>20.754245739486297</v>
      </c>
      <c r="L93" s="3">
        <f>Britain!M93</f>
        <v>0.757387838338895</v>
      </c>
      <c r="M93" s="3">
        <f>'EU petrol prices nominal'!Z12</f>
        <v>1.3176712244897963</v>
      </c>
      <c r="N93" s="12"/>
      <c r="O93" s="12"/>
      <c r="P93" s="12"/>
      <c r="Q93" s="12"/>
      <c r="R93" s="12"/>
      <c r="S93" s="12"/>
      <c r="T93" s="12"/>
      <c r="U93" s="21">
        <f>USA!AS101</f>
        <v>78.028400655166038</v>
      </c>
      <c r="V93" s="12">
        <f t="shared" si="35"/>
        <v>20.754245739486297</v>
      </c>
      <c r="W93" s="7">
        <f t="shared" si="36"/>
        <v>16.194206018564095</v>
      </c>
      <c r="X93" s="12"/>
      <c r="Y93" s="12"/>
      <c r="Z93" s="12"/>
      <c r="AG93" s="7">
        <v>12.84</v>
      </c>
      <c r="AH93" s="7">
        <v>0.21</v>
      </c>
      <c r="AI93" s="4">
        <f t="shared" si="28"/>
        <v>6.2665659375061926</v>
      </c>
      <c r="AJ93" s="3">
        <f t="shared" si="40"/>
        <v>19.106565937506193</v>
      </c>
      <c r="AM93"/>
      <c r="AN93"/>
      <c r="AO93"/>
      <c r="AP93"/>
      <c r="AQ93"/>
      <c r="AR93" s="9">
        <v>2014</v>
      </c>
      <c r="AS93" s="3">
        <f t="shared" si="37"/>
        <v>36.107356116107113</v>
      </c>
      <c r="AT93" s="3">
        <f t="shared" si="14"/>
        <v>19.106565937506193</v>
      </c>
      <c r="AU93" s="3">
        <f t="shared" si="9"/>
        <v>17.000790178600919</v>
      </c>
      <c r="AW93" s="3">
        <f>CPIs!H53</f>
        <v>107.17025756835938</v>
      </c>
      <c r="AY93" s="3">
        <f t="shared" si="38"/>
        <v>33.691582847111995</v>
      </c>
      <c r="AZ93" s="3">
        <f t="shared" si="11"/>
        <v>33.539356390700796</v>
      </c>
      <c r="BA93" s="3">
        <f t="shared" si="39"/>
        <v>17.828235530103978</v>
      </c>
      <c r="BB93" s="3">
        <f t="shared" si="13"/>
        <v>15.863347317008017</v>
      </c>
      <c r="BC93" s="3">
        <f t="shared" si="15"/>
        <v>15.711120860596818</v>
      </c>
      <c r="BD93" s="3">
        <f>USA!Z101*V93/AW93</f>
        <v>18.627662183478535</v>
      </c>
      <c r="BE93" s="3">
        <v>0</v>
      </c>
      <c r="BF93" s="24">
        <v>1</v>
      </c>
      <c r="BG93">
        <v>0</v>
      </c>
      <c r="BH93" s="3"/>
      <c r="BI93" s="3"/>
      <c r="BP93" s="17" t="s">
        <v>1899</v>
      </c>
      <c r="BQ93" s="13">
        <v>9.8596550940422052</v>
      </c>
    </row>
    <row r="94" spans="1:69">
      <c r="A94">
        <v>2015</v>
      </c>
      <c r="B94" s="3">
        <f t="shared" si="34"/>
        <v>117.21439913383247</v>
      </c>
      <c r="C94" s="3">
        <f>CPIs!AB54</f>
        <v>108.69337137051741</v>
      </c>
      <c r="G94" s="3">
        <f>'Exchange Rates'!H54</f>
        <v>24.599269357634448</v>
      </c>
      <c r="I94" s="21">
        <f t="shared" si="33"/>
        <v>31.340522539302324</v>
      </c>
      <c r="J94" s="3">
        <f t="shared" si="32"/>
        <v>31.340522539302324</v>
      </c>
      <c r="K94" s="3">
        <f>'Exchange Rates'!H54</f>
        <v>24.599269357634448</v>
      </c>
      <c r="L94" s="3">
        <f>Britain!M94</f>
        <v>0.90592556207997499</v>
      </c>
      <c r="M94" s="3">
        <f>'EU petrol prices nominal'!Z13</f>
        <v>1.1541879591836737</v>
      </c>
      <c r="N94" s="12"/>
      <c r="O94" s="12"/>
      <c r="P94" s="12"/>
      <c r="Q94" s="12"/>
      <c r="R94" s="12"/>
      <c r="S94" s="12"/>
      <c r="T94" s="12"/>
      <c r="U94" s="21">
        <f>USA!AS102</f>
        <v>52.506832131315001</v>
      </c>
      <c r="V94" s="12">
        <f t="shared" si="35"/>
        <v>24.599269357634448</v>
      </c>
      <c r="W94" s="7">
        <f t="shared" si="36"/>
        <v>12.91629706714313</v>
      </c>
      <c r="X94" s="12"/>
      <c r="Y94" s="12"/>
      <c r="Z94" s="12"/>
      <c r="AG94" s="7">
        <v>12.84</v>
      </c>
      <c r="AH94" s="7">
        <v>0.21</v>
      </c>
      <c r="AI94" s="4">
        <f t="shared" si="28"/>
        <v>5.4392642423582549</v>
      </c>
      <c r="AJ94" s="3">
        <f t="shared" si="40"/>
        <v>18.279264242358256</v>
      </c>
      <c r="AM94"/>
      <c r="AN94"/>
      <c r="AO94"/>
      <c r="AP94"/>
      <c r="AQ94"/>
      <c r="AR94" s="9">
        <v>2015</v>
      </c>
      <c r="AS94" s="3">
        <f t="shared" si="37"/>
        <v>31.340522539302324</v>
      </c>
      <c r="AT94" s="3">
        <f t="shared" si="14"/>
        <v>18.279264242358256</v>
      </c>
      <c r="AU94" s="3">
        <f t="shared" si="9"/>
        <v>13.061258296944068</v>
      </c>
      <c r="AW94" s="3">
        <f>CPIs!H54</f>
        <v>107.52104187011719</v>
      </c>
      <c r="AY94" s="3">
        <f t="shared" si="38"/>
        <v>29.148269021761266</v>
      </c>
      <c r="AZ94" s="3">
        <f t="shared" si="11"/>
        <v>28.662255406166715</v>
      </c>
      <c r="BA94" s="3">
        <f t="shared" si="39"/>
        <v>17.000639060435411</v>
      </c>
      <c r="BB94" s="3">
        <f t="shared" si="13"/>
        <v>12.147629961325855</v>
      </c>
      <c r="BC94" s="3">
        <f t="shared" si="15"/>
        <v>11.661616345731304</v>
      </c>
      <c r="BD94" s="3">
        <f>USA!Z102*V94/AW94</f>
        <v>11.328703710766192</v>
      </c>
      <c r="BE94" s="3">
        <v>0</v>
      </c>
      <c r="BF94">
        <v>0</v>
      </c>
      <c r="BG94">
        <v>0</v>
      </c>
      <c r="BH94" s="3"/>
      <c r="BI94" s="3"/>
      <c r="BP94" s="17" t="s">
        <v>1882</v>
      </c>
      <c r="BQ94" s="13">
        <v>-0.98156506476481842</v>
      </c>
    </row>
    <row r="95" spans="1:69">
      <c r="A95">
        <v>2016</v>
      </c>
      <c r="B95" s="3">
        <f t="shared" si="34"/>
        <v>106.03652437163554</v>
      </c>
      <c r="C95" s="3">
        <f>CPIs!AB55</f>
        <v>110.08253978538585</v>
      </c>
      <c r="G95" s="3">
        <f>'Exchange Rates'!H55</f>
        <v>24.441409554096197</v>
      </c>
      <c r="I95" s="21">
        <f t="shared" si="33"/>
        <v>28.529895007056677</v>
      </c>
      <c r="J95" s="3">
        <f t="shared" si="32"/>
        <v>28.529895007056677</v>
      </c>
      <c r="K95" s="3">
        <f>'Exchange Rates'!H55</f>
        <v>24.441409554096197</v>
      </c>
      <c r="L95" s="3">
        <f>Britain!M95</f>
        <v>0.90674707708863456</v>
      </c>
      <c r="M95" s="3">
        <f>'EU petrol prices nominal'!Z14</f>
        <v>1.0584250000000002</v>
      </c>
      <c r="N95" s="12"/>
      <c r="O95" s="12"/>
      <c r="P95" s="12"/>
      <c r="Q95" s="12"/>
      <c r="R95" s="12"/>
      <c r="S95" s="12"/>
      <c r="U95" s="21">
        <f>USA!AS103</f>
        <v>46.076548534242121</v>
      </c>
      <c r="V95" s="12">
        <f t="shared" si="35"/>
        <v>24.441409554096197</v>
      </c>
      <c r="W95" s="7">
        <f t="shared" si="36"/>
        <v>11.261757935646026</v>
      </c>
      <c r="X95" s="12"/>
      <c r="Y95" s="12"/>
      <c r="Z95" s="12"/>
      <c r="AG95" s="7">
        <v>12.84</v>
      </c>
      <c r="AH95" s="7">
        <v>0.21</v>
      </c>
      <c r="AI95" s="4">
        <f t="shared" si="28"/>
        <v>4.9514693813900017</v>
      </c>
      <c r="AJ95" s="3">
        <f t="shared" si="40"/>
        <v>17.791469381390002</v>
      </c>
      <c r="AM95"/>
      <c r="AN95"/>
      <c r="AO95"/>
      <c r="AP95"/>
      <c r="AQ95"/>
      <c r="AR95" s="9">
        <v>2016</v>
      </c>
      <c r="AS95" s="3">
        <f t="shared" si="37"/>
        <v>28.529895007056677</v>
      </c>
      <c r="AT95" s="3">
        <f t="shared" si="14"/>
        <v>17.791469381390002</v>
      </c>
      <c r="AU95" s="3">
        <f t="shared" si="9"/>
        <v>10.738425625666675</v>
      </c>
      <c r="AW95" s="3">
        <f>CPIs!H55</f>
        <v>108.23197174072266</v>
      </c>
      <c r="AY95" s="3">
        <f t="shared" si="38"/>
        <v>26.359951267821359</v>
      </c>
      <c r="AZ95" s="3">
        <f t="shared" si="11"/>
        <v>26.623940558195443</v>
      </c>
      <c r="BA95" s="3">
        <f t="shared" si="39"/>
        <v>16.438275211331018</v>
      </c>
      <c r="BB95" s="3">
        <f t="shared" si="13"/>
        <v>9.921676056490341</v>
      </c>
      <c r="BC95" s="3">
        <f t="shared" si="15"/>
        <v>10.185665346864425</v>
      </c>
      <c r="BD95" s="3">
        <f>USA!Z103*V95/AW95</f>
        <v>9.1874284057883564</v>
      </c>
      <c r="BE95" s="3">
        <v>0</v>
      </c>
      <c r="BF95">
        <v>0</v>
      </c>
      <c r="BG95">
        <v>0</v>
      </c>
      <c r="BH95" s="3"/>
      <c r="BI95" s="3"/>
      <c r="BP95" s="17" t="s">
        <v>1900</v>
      </c>
      <c r="BQ95" s="13">
        <v>2.9532853587286163</v>
      </c>
    </row>
    <row r="96" spans="1:69">
      <c r="A96">
        <v>2017</v>
      </c>
      <c r="B96" s="3">
        <f t="shared" si="34"/>
        <v>115.41167508017519</v>
      </c>
      <c r="C96" s="3">
        <f>CPIs!AB56</f>
        <v>112.42729788281457</v>
      </c>
      <c r="G96" s="3">
        <f>'Exchange Rates'!H56</f>
        <v>23.37</v>
      </c>
      <c r="I96" s="21">
        <f t="shared" si="33"/>
        <v>30.323563021420519</v>
      </c>
      <c r="J96" s="3">
        <f>M96/L96*K96</f>
        <v>30.323563021420519</v>
      </c>
      <c r="K96" s="3">
        <f>'Exchange Rates'!H56</f>
        <v>23.37</v>
      </c>
      <c r="L96" s="3">
        <f>Britain!M96</f>
        <v>0.88700000000000001</v>
      </c>
      <c r="M96" s="3">
        <f>'EU petrol prices nominal'!Z15</f>
        <v>1.1509199999999999</v>
      </c>
      <c r="N96" s="12"/>
      <c r="O96" s="12"/>
      <c r="P96" s="12"/>
      <c r="Q96" s="12"/>
      <c r="R96" s="12"/>
      <c r="S96" s="12"/>
      <c r="T96" s="12"/>
      <c r="U96" s="21">
        <f>USA!AS104</f>
        <v>52.169971556635751</v>
      </c>
      <c r="V96" s="12">
        <f t="shared" si="35"/>
        <v>23.37</v>
      </c>
      <c r="W96" s="7">
        <f>U96*V96/100</f>
        <v>12.192122352785775</v>
      </c>
      <c r="X96" s="12"/>
      <c r="Y96" s="12"/>
      <c r="Z96" s="12"/>
      <c r="AG96" s="7">
        <v>12.84</v>
      </c>
      <c r="AH96" s="7">
        <v>0.21</v>
      </c>
      <c r="AI96" s="4">
        <f t="shared" si="28"/>
        <v>5.2627671359490158</v>
      </c>
      <c r="AJ96" s="3">
        <f t="shared" si="40"/>
        <v>18.102767135949016</v>
      </c>
      <c r="AM96"/>
      <c r="AN96"/>
      <c r="AO96"/>
      <c r="AP96"/>
      <c r="AQ96"/>
      <c r="AR96" s="9">
        <v>2017</v>
      </c>
      <c r="AS96" s="3">
        <f t="shared" si="37"/>
        <v>30.323563021420519</v>
      </c>
      <c r="AT96" s="3">
        <f t="shared" si="14"/>
        <v>18.102767135949016</v>
      </c>
      <c r="AU96" s="3">
        <f t="shared" si="9"/>
        <v>12.220795885471503</v>
      </c>
      <c r="AW96" s="3">
        <f>CPIs!H56</f>
        <v>110.88365504837036</v>
      </c>
      <c r="AY96" s="3">
        <f t="shared" si="38"/>
        <v>27.347189275274687</v>
      </c>
      <c r="AZ96" s="3">
        <f t="shared" si="11"/>
        <v>27.807196669516166</v>
      </c>
      <c r="BA96" s="3">
        <f t="shared" si="39"/>
        <v>16.325911269836944</v>
      </c>
      <c r="BB96" s="3">
        <f t="shared" si="13"/>
        <v>11.021278005437743</v>
      </c>
      <c r="BC96" s="3">
        <f t="shared" si="15"/>
        <v>11.481285399679223</v>
      </c>
      <c r="BD96" s="3">
        <f>USA!Z104*V96/AW96</f>
        <v>11.067083777718917</v>
      </c>
      <c r="BE96" s="3">
        <v>0</v>
      </c>
      <c r="BF96">
        <v>0</v>
      </c>
      <c r="BG96">
        <v>0</v>
      </c>
      <c r="BH96" s="3"/>
      <c r="BI96" s="3"/>
      <c r="BP96" s="25"/>
      <c r="BQ96" s="25"/>
    </row>
    <row r="97" spans="1:63">
      <c r="A97">
        <v>2018</v>
      </c>
      <c r="G97" s="3">
        <f>'Exchange Rates'!H57</f>
        <v>21.686</v>
      </c>
      <c r="I97" s="21">
        <f t="shared" si="33"/>
        <v>31.843706231132938</v>
      </c>
      <c r="J97" s="3">
        <f>M97/L97*K97</f>
        <v>31.843706231132938</v>
      </c>
      <c r="K97" s="3">
        <f>'Exchange Rates'!H57</f>
        <v>21.686</v>
      </c>
      <c r="L97" s="3">
        <f>Britain!M97</f>
        <v>0.84599999999999997</v>
      </c>
      <c r="M97" s="3">
        <f>'EU petrol prices nominal'!Z16</f>
        <v>1.2422657692307695</v>
      </c>
      <c r="N97" s="12"/>
      <c r="O97" s="12"/>
      <c r="P97" s="12"/>
      <c r="Q97" s="12"/>
      <c r="R97" s="12"/>
      <c r="S97" s="12"/>
      <c r="T97" s="12"/>
      <c r="U97" s="21">
        <f>USA!AS105</f>
        <v>60.303304889969091</v>
      </c>
      <c r="V97" s="12">
        <f t="shared" si="35"/>
        <v>21.686</v>
      </c>
      <c r="W97" s="7">
        <f>U97*V97/100</f>
        <v>13.077374698438698</v>
      </c>
      <c r="X97" s="12"/>
      <c r="Y97" s="12"/>
      <c r="Z97" s="12"/>
      <c r="AG97" s="7">
        <v>12.84</v>
      </c>
      <c r="AH97" s="7">
        <v>0.21</v>
      </c>
      <c r="AI97" s="4">
        <f t="shared" ref="AI97" si="41">AH97*(I97*(1/(1+AH97)))</f>
        <v>5.5265936434197656</v>
      </c>
      <c r="AJ97" s="3">
        <f t="shared" ref="AJ97" si="42">AG97+AI97</f>
        <v>18.366593643419765</v>
      </c>
      <c r="AM97"/>
      <c r="AN97"/>
      <c r="AO97"/>
      <c r="AP97"/>
      <c r="AQ97"/>
      <c r="AR97" s="9">
        <v>2018</v>
      </c>
      <c r="AS97" s="3">
        <f t="shared" ref="AS97" si="43">I97</f>
        <v>31.843706231132938</v>
      </c>
      <c r="AT97" s="3">
        <f t="shared" ref="AT97" si="44">AJ97</f>
        <v>18.366593643419765</v>
      </c>
      <c r="AU97" s="3">
        <f t="shared" ref="AU97" si="45">AS97-AT97</f>
        <v>13.477112587713172</v>
      </c>
      <c r="AW97" s="3">
        <f>CPIs!H57</f>
        <v>113.10132814933776</v>
      </c>
      <c r="AY97" s="3">
        <f t="shared" ref="AY97" si="46">AS97/$AW97*100</f>
        <v>28.155024129413274</v>
      </c>
      <c r="AZ97" s="3">
        <f t="shared" ref="AZ97" si="47">BC97+BA97</f>
        <v>29.370357487224879</v>
      </c>
      <c r="BA97" s="3">
        <f t="shared" ref="BA97" si="48">AT97/$AW97*100</f>
        <v>16.239060976515425</v>
      </c>
      <c r="BB97" s="3">
        <f t="shared" ref="BB97" si="49">AY97-BA97</f>
        <v>11.915963152897849</v>
      </c>
      <c r="BC97" s="3">
        <f t="shared" ref="BC97" si="50">BQ$91+BQ$92*BD97+BQ$93*BE97+BQ$94*BF97+BQ$95*BG97</f>
        <v>13.131296510709452</v>
      </c>
      <c r="BD97" s="3">
        <f>USA!Z105*V97/AW97</f>
        <v>13.460881436110377</v>
      </c>
      <c r="BE97" s="3">
        <v>0</v>
      </c>
      <c r="BF97">
        <v>0</v>
      </c>
      <c r="BG97">
        <v>0</v>
      </c>
      <c r="BH97" s="3"/>
      <c r="BI97" s="3"/>
      <c r="BJ97" s="3"/>
      <c r="BK97" s="3"/>
    </row>
    <row r="98" spans="1:63">
      <c r="J98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3" t="s">
        <v>88</v>
      </c>
      <c r="Y98" s="13">
        <v>3.7545982220603804</v>
      </c>
      <c r="Z98" s="12"/>
      <c r="AM98"/>
      <c r="AN98"/>
      <c r="AO98"/>
      <c r="AP98"/>
      <c r="AQ98"/>
      <c r="AR98" s="9"/>
      <c r="BG98" s="3"/>
      <c r="BH98" s="3"/>
      <c r="BI98" s="3"/>
      <c r="BJ98" s="3"/>
      <c r="BK98" s="3"/>
    </row>
    <row r="99" spans="1:63" ht="15.75" thickBot="1">
      <c r="J99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4" t="s">
        <v>99</v>
      </c>
      <c r="Y99" s="14">
        <v>0.73114700954074452</v>
      </c>
      <c r="Z99" s="12"/>
      <c r="AM99"/>
      <c r="AN99"/>
      <c r="AO99"/>
      <c r="AP99"/>
      <c r="AQ99"/>
      <c r="AR99" s="9"/>
      <c r="BG99" s="3"/>
      <c r="BH99" s="3"/>
      <c r="BI99" s="3"/>
      <c r="BJ99" s="3"/>
      <c r="BK99" s="3"/>
    </row>
    <row r="100" spans="1:63">
      <c r="J100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M100"/>
      <c r="AN100"/>
      <c r="AO100"/>
      <c r="AP100"/>
      <c r="AQ100"/>
      <c r="AR100" s="9"/>
      <c r="BG100" s="3"/>
      <c r="BH100" s="3"/>
      <c r="BI100" s="3"/>
      <c r="BJ100" s="3"/>
      <c r="BK100" s="3"/>
    </row>
    <row r="101" spans="1:63">
      <c r="J101"/>
      <c r="N101" s="12"/>
      <c r="O101" s="12"/>
      <c r="P101" s="12"/>
      <c r="Q101" s="12"/>
      <c r="R101" s="12"/>
      <c r="S101" s="12"/>
      <c r="T101" s="12" t="s">
        <v>213</v>
      </c>
      <c r="U101" s="12"/>
      <c r="V101" s="12"/>
      <c r="W101" s="12"/>
      <c r="X101" s="12"/>
      <c r="Y101" s="12"/>
      <c r="Z101" s="12"/>
      <c r="AM101"/>
      <c r="AN101"/>
      <c r="AO101"/>
      <c r="AP101"/>
      <c r="AQ101"/>
      <c r="AR101" s="9"/>
      <c r="BG101" s="3"/>
      <c r="BH101" s="3"/>
      <c r="BI101" s="3"/>
      <c r="BJ101" s="3"/>
      <c r="BK101" s="3"/>
    </row>
    <row r="102" spans="1:63">
      <c r="J10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M102"/>
      <c r="AN102"/>
      <c r="AO102"/>
      <c r="AP102"/>
      <c r="AQ102"/>
      <c r="AR102" s="9"/>
      <c r="BG102" s="3"/>
      <c r="BH102" s="3"/>
      <c r="BI102" s="3"/>
      <c r="BJ102" s="3"/>
      <c r="BK102" s="3"/>
    </row>
    <row r="103" spans="1:63">
      <c r="J103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M103"/>
      <c r="AN103"/>
      <c r="AO103"/>
      <c r="AP103"/>
      <c r="AQ103"/>
      <c r="AR103" s="9"/>
      <c r="BG103" s="3"/>
      <c r="BH103" s="3"/>
      <c r="BI103" s="3"/>
      <c r="BJ103" s="3"/>
      <c r="BK103" s="3"/>
    </row>
    <row r="104" spans="1:63">
      <c r="J104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M104"/>
      <c r="AN104"/>
      <c r="AO104"/>
      <c r="AP104"/>
      <c r="AQ104"/>
      <c r="AR104" s="9"/>
      <c r="BG104" s="3"/>
      <c r="BH104" s="3"/>
      <c r="BI104" s="3"/>
      <c r="BJ104" s="3"/>
      <c r="BK104" s="3"/>
    </row>
    <row r="105" spans="1:63">
      <c r="J105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M105"/>
      <c r="AN105"/>
      <c r="AO105"/>
      <c r="AP105"/>
      <c r="AQ105"/>
      <c r="AR105" s="9"/>
      <c r="BG105" s="3"/>
      <c r="BH105" s="3"/>
      <c r="BI105" s="3"/>
      <c r="BJ105" s="3"/>
      <c r="BK105" s="3"/>
    </row>
    <row r="106" spans="1:63">
      <c r="J106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M106"/>
      <c r="AN106"/>
      <c r="AO106"/>
      <c r="AP106"/>
      <c r="AQ106"/>
      <c r="AR106" s="9"/>
      <c r="BG106" s="3"/>
      <c r="BH106" s="3"/>
      <c r="BI106" s="3"/>
      <c r="BJ106" s="3"/>
      <c r="BK106" s="3"/>
    </row>
    <row r="107" spans="1:63">
      <c r="J107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M107"/>
      <c r="AN107"/>
      <c r="AO107"/>
      <c r="AP107"/>
      <c r="AQ107"/>
      <c r="AR107" s="9"/>
      <c r="BG107" s="3"/>
      <c r="BH107" s="3"/>
      <c r="BI107" s="3"/>
      <c r="BJ107" s="3"/>
      <c r="BK107" s="3"/>
    </row>
    <row r="108" spans="1:63">
      <c r="J108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M108"/>
      <c r="AN108"/>
      <c r="AO108"/>
      <c r="AP108"/>
      <c r="AQ108"/>
      <c r="AR108" s="9"/>
      <c r="BG108" s="3"/>
      <c r="BH108" s="3"/>
      <c r="BI108" s="3"/>
      <c r="BJ108" s="3"/>
      <c r="BK108" s="3"/>
    </row>
    <row r="109" spans="1:63">
      <c r="J109"/>
      <c r="N109" s="12"/>
      <c r="O109" s="12"/>
      <c r="P109" s="12"/>
      <c r="Q109" s="12"/>
      <c r="R109" s="12"/>
      <c r="S109" s="12"/>
      <c r="T109" s="12"/>
      <c r="U109" s="13" t="s">
        <v>88</v>
      </c>
      <c r="V109" s="12">
        <v>-1.2356384252211456</v>
      </c>
      <c r="W109" s="12"/>
      <c r="X109" s="12"/>
      <c r="Y109" s="12"/>
      <c r="Z109" s="12"/>
      <c r="AM109"/>
      <c r="AN109"/>
      <c r="AO109"/>
      <c r="AP109"/>
      <c r="AQ109"/>
      <c r="AR109" s="9"/>
      <c r="BG109" s="3"/>
      <c r="BH109" s="3"/>
      <c r="BI109" s="3"/>
      <c r="BJ109" s="3"/>
      <c r="BK109" s="3"/>
    </row>
    <row r="110" spans="1:63">
      <c r="J110"/>
      <c r="N110" s="12"/>
      <c r="O110" s="12"/>
      <c r="P110" s="12"/>
      <c r="Q110" s="12"/>
      <c r="R110" s="12"/>
      <c r="S110" s="12"/>
      <c r="T110" s="12"/>
      <c r="U110" s="13" t="s">
        <v>230</v>
      </c>
      <c r="V110" s="12">
        <v>1.182208998357031</v>
      </c>
      <c r="W110" s="12"/>
      <c r="X110" s="12"/>
      <c r="Y110" s="12"/>
      <c r="Z110" s="12"/>
      <c r="AM110"/>
      <c r="AN110"/>
      <c r="AO110"/>
      <c r="AP110"/>
      <c r="AQ110"/>
      <c r="AR110" s="9"/>
      <c r="BG110" s="3"/>
      <c r="BH110" s="3"/>
      <c r="BI110" s="3"/>
      <c r="BJ110" s="3"/>
      <c r="BK110" s="3"/>
    </row>
    <row r="111" spans="1:63" ht="15.75" thickBot="1">
      <c r="J111"/>
      <c r="N111" s="12"/>
      <c r="O111" s="12"/>
      <c r="P111" s="12"/>
      <c r="Q111" s="12"/>
      <c r="R111" s="12"/>
      <c r="S111" s="12"/>
      <c r="T111" s="12"/>
      <c r="U111" s="14"/>
      <c r="V111" s="12"/>
      <c r="W111" s="13"/>
      <c r="X111" s="12"/>
      <c r="Y111" s="12"/>
      <c r="Z111" s="12"/>
      <c r="AM111"/>
      <c r="AN111"/>
      <c r="AO111"/>
      <c r="AP111"/>
      <c r="AQ111"/>
      <c r="AR111" s="9"/>
      <c r="BG111" s="3"/>
      <c r="BH111" s="3"/>
      <c r="BI111" s="3"/>
      <c r="BJ111" s="3"/>
      <c r="BK111" s="3"/>
    </row>
    <row r="112" spans="1:63">
      <c r="J112"/>
      <c r="N112" s="12"/>
      <c r="O112" s="12"/>
      <c r="P112" s="12"/>
      <c r="Q112" s="12"/>
      <c r="R112" s="12"/>
      <c r="S112" s="12"/>
      <c r="T112" s="12"/>
      <c r="U112" s="12"/>
      <c r="V112" s="12"/>
      <c r="W112" s="13"/>
      <c r="X112" s="12"/>
      <c r="Y112" s="12"/>
      <c r="Z112" s="12"/>
      <c r="AM112"/>
      <c r="AN112"/>
      <c r="AO112"/>
      <c r="AP112"/>
      <c r="AQ112"/>
      <c r="AR112" s="9"/>
      <c r="BG112" s="3"/>
      <c r="BH112" s="3"/>
      <c r="BI112" s="3"/>
      <c r="BJ112" s="3"/>
      <c r="BK112" s="3"/>
    </row>
    <row r="113" spans="1:63" ht="15.75" thickBot="1">
      <c r="J113"/>
      <c r="N113" s="12"/>
      <c r="O113" s="12"/>
      <c r="P113" s="12"/>
      <c r="Q113" s="12"/>
      <c r="R113" s="12"/>
      <c r="S113" s="12"/>
      <c r="T113" s="12"/>
      <c r="U113" s="12"/>
      <c r="V113" s="12"/>
      <c r="W113" s="14"/>
      <c r="X113" s="12"/>
      <c r="Y113" s="12"/>
      <c r="Z113" s="12"/>
      <c r="AM113"/>
      <c r="AN113"/>
      <c r="AO113"/>
      <c r="AP113"/>
      <c r="AQ113"/>
      <c r="AR113" s="9"/>
      <c r="BG113" s="3"/>
      <c r="BH113" s="3"/>
      <c r="BI113" s="3"/>
      <c r="BJ113" s="3"/>
      <c r="BK113" s="3"/>
    </row>
    <row r="114" spans="1:63">
      <c r="J114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M114"/>
      <c r="AN114"/>
      <c r="AO114"/>
      <c r="AP114"/>
      <c r="AQ114"/>
      <c r="AR114" s="9"/>
      <c r="BG114" s="3"/>
      <c r="BH114" s="3"/>
      <c r="BI114" s="3"/>
      <c r="BJ114" s="3"/>
      <c r="BK114" s="3"/>
    </row>
    <row r="115" spans="1:63">
      <c r="J115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M115"/>
      <c r="AN115"/>
      <c r="AO115"/>
      <c r="AP115"/>
      <c r="AQ115"/>
      <c r="AR115" s="9"/>
      <c r="BG115" s="3"/>
      <c r="BH115" s="3"/>
      <c r="BI115" s="3"/>
      <c r="BJ115" s="3"/>
      <c r="BK115" s="3"/>
    </row>
    <row r="116" spans="1:63">
      <c r="F116" s="33" t="s">
        <v>307</v>
      </c>
      <c r="G116" s="33"/>
      <c r="H116" s="33"/>
      <c r="J116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M116"/>
      <c r="AN116"/>
      <c r="AO116"/>
      <c r="AP116"/>
      <c r="AQ116"/>
      <c r="AR116" s="9"/>
      <c r="BG116" s="3"/>
      <c r="BH116" s="3"/>
      <c r="BI116" s="3"/>
      <c r="BJ116" s="3"/>
      <c r="BK116" s="3"/>
    </row>
    <row r="117" spans="1:63">
      <c r="E117" s="12"/>
      <c r="J117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M117"/>
      <c r="AN117"/>
      <c r="AO117"/>
      <c r="AP117"/>
      <c r="AQ117"/>
      <c r="AR117" s="9"/>
      <c r="BB117"/>
      <c r="BG117" s="3"/>
      <c r="BH117" s="3"/>
      <c r="BI117" s="3"/>
      <c r="BJ117" s="3"/>
      <c r="BK117" s="3"/>
    </row>
    <row r="118" spans="1:63">
      <c r="J118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M118"/>
      <c r="AN118"/>
      <c r="AO118"/>
      <c r="AP118"/>
      <c r="AQ118"/>
      <c r="AR118" s="9"/>
      <c r="BG118" s="3"/>
      <c r="BH118" s="3"/>
      <c r="BI118" s="3"/>
      <c r="BJ118" s="3"/>
      <c r="BK118" s="3"/>
    </row>
    <row r="119" spans="1:63">
      <c r="J119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M119"/>
      <c r="AN119"/>
      <c r="AO119"/>
      <c r="AP119"/>
      <c r="AQ119"/>
      <c r="AR119" s="9"/>
      <c r="BG119" s="3"/>
      <c r="BH119" s="3"/>
      <c r="BI119" s="3"/>
      <c r="BJ119" s="3"/>
      <c r="BK119" s="3"/>
    </row>
    <row r="120" spans="1:63">
      <c r="B120" s="76" t="s">
        <v>27</v>
      </c>
      <c r="C120" s="26" t="s">
        <v>263</v>
      </c>
      <c r="D120" s="26"/>
      <c r="E120" s="23" t="s">
        <v>318</v>
      </c>
      <c r="F120" s="23"/>
      <c r="G120" s="23"/>
      <c r="H120" s="23"/>
      <c r="I120" s="26" t="s">
        <v>269</v>
      </c>
      <c r="J120" s="76" t="s">
        <v>317</v>
      </c>
      <c r="K120" s="76"/>
      <c r="L120" s="76"/>
      <c r="M120" s="76"/>
      <c r="N120" s="26" t="s">
        <v>273</v>
      </c>
      <c r="O120" s="26"/>
      <c r="P120" s="26"/>
      <c r="Q120" s="26"/>
      <c r="R120" s="77" t="s">
        <v>111</v>
      </c>
      <c r="S120" s="26" t="s">
        <v>288</v>
      </c>
      <c r="T120" s="26"/>
      <c r="U120" s="26"/>
      <c r="V120" s="79">
        <v>0.2</v>
      </c>
      <c r="W120" s="76" t="s">
        <v>306</v>
      </c>
      <c r="X120" s="76"/>
      <c r="Y120" s="76"/>
      <c r="Z120" s="76"/>
      <c r="AA120" s="26" t="s">
        <v>272</v>
      </c>
      <c r="AB120" s="26"/>
      <c r="AC120" s="23" t="s">
        <v>298</v>
      </c>
      <c r="AD120" s="24"/>
      <c r="AE120" s="24"/>
    </row>
    <row r="121" spans="1:63">
      <c r="A121" s="71"/>
      <c r="B121" s="77" t="s">
        <v>262</v>
      </c>
      <c r="C121" s="75" t="s">
        <v>262</v>
      </c>
      <c r="D121" s="75" t="s">
        <v>264</v>
      </c>
      <c r="E121" s="74" t="s">
        <v>262</v>
      </c>
      <c r="F121" s="74" t="s">
        <v>268</v>
      </c>
      <c r="G121" s="74" t="s">
        <v>267</v>
      </c>
      <c r="H121" s="74" t="s">
        <v>266</v>
      </c>
      <c r="I121" s="75" t="s">
        <v>270</v>
      </c>
      <c r="J121" s="77" t="s">
        <v>262</v>
      </c>
      <c r="K121" s="77" t="s">
        <v>268</v>
      </c>
      <c r="L121" s="77" t="s">
        <v>267</v>
      </c>
      <c r="M121" s="77" t="s">
        <v>266</v>
      </c>
      <c r="N121" s="75" t="s">
        <v>262</v>
      </c>
      <c r="O121" s="75" t="s">
        <v>268</v>
      </c>
      <c r="P121" s="75" t="s">
        <v>267</v>
      </c>
      <c r="Q121" s="75" t="s">
        <v>266</v>
      </c>
      <c r="R121" s="77" t="s">
        <v>67</v>
      </c>
      <c r="S121" s="75" t="s">
        <v>262</v>
      </c>
      <c r="T121" s="75" t="s">
        <v>268</v>
      </c>
      <c r="U121" s="75" t="s">
        <v>267</v>
      </c>
      <c r="V121" s="75" t="s">
        <v>266</v>
      </c>
      <c r="W121" s="77" t="s">
        <v>262</v>
      </c>
      <c r="X121" s="77" t="s">
        <v>268</v>
      </c>
      <c r="Y121" s="77" t="s">
        <v>267</v>
      </c>
      <c r="Z121" s="77" t="s">
        <v>266</v>
      </c>
      <c r="AA121" s="75" t="s">
        <v>262</v>
      </c>
      <c r="AB121" s="75" t="s">
        <v>264</v>
      </c>
      <c r="AC121" s="9"/>
      <c r="AD121" s="9" t="s">
        <v>114</v>
      </c>
      <c r="AE121" s="9"/>
    </row>
    <row r="122" spans="1:63">
      <c r="A122">
        <v>2010</v>
      </c>
      <c r="B122" s="48">
        <f>[2]POP!G51</f>
        <v>10202</v>
      </c>
      <c r="C122" s="6">
        <f>[2]CRep!J35</f>
        <v>7.3</v>
      </c>
      <c r="D122" s="6">
        <f>C122</f>
        <v>7.3</v>
      </c>
      <c r="E122" s="7">
        <f>USA!K135</f>
        <v>62.808019619757133</v>
      </c>
      <c r="F122" s="7">
        <f>USA!L135</f>
        <v>64.958528431139854</v>
      </c>
      <c r="G122" s="7">
        <f>USA!M135</f>
        <v>64.958528431139854</v>
      </c>
      <c r="H122" s="7">
        <f>USA!N135</f>
        <v>64.958528431139854</v>
      </c>
      <c r="I122" s="8">
        <f>'Exchange Rates'!H49/100</f>
        <v>0.19082078234050712</v>
      </c>
      <c r="J122" s="3">
        <f>E122*$I122</f>
        <v>11.985075441099976</v>
      </c>
      <c r="K122" s="3">
        <f t="shared" ref="K122:M137" si="51">F122*$I122</f>
        <v>12.395437214918182</v>
      </c>
      <c r="L122" s="3">
        <f t="shared" si="51"/>
        <v>12.395437214918182</v>
      </c>
      <c r="M122" s="3">
        <f t="shared" si="51"/>
        <v>12.395437214918182</v>
      </c>
      <c r="N122" s="6">
        <f>V$109+V$110*J122</f>
        <v>12.933225607235109</v>
      </c>
      <c r="O122" s="6">
        <f t="shared" ref="O122:O142" si="52">V$109+V$110*K122+V$112</f>
        <v>13.418358988824744</v>
      </c>
      <c r="P122" s="6">
        <f t="shared" ref="P122:P142" si="53">V$109+V$110*L122+V$112</f>
        <v>13.418358988824744</v>
      </c>
      <c r="Q122" s="6">
        <f t="shared" ref="Q122:Q142" si="54">V$109+V$110*M122+V$112</f>
        <v>13.418358988824744</v>
      </c>
      <c r="R122" s="7">
        <f>AG89</f>
        <v>12.84</v>
      </c>
      <c r="S122" s="3">
        <f>(N122+R122)*$V$120</f>
        <v>5.1546451214470217</v>
      </c>
      <c r="T122" s="3">
        <f>(O122+R122)*$V$120</f>
        <v>5.2516717977649492</v>
      </c>
      <c r="U122" s="3">
        <f>(P122+R122)*$V$120</f>
        <v>5.2516717977649492</v>
      </c>
      <c r="V122" s="3">
        <f>(Q122+R122)*$V$120</f>
        <v>5.2516717977649492</v>
      </c>
      <c r="W122" s="3">
        <f>N122+$R122+S122</f>
        <v>30.92787072868213</v>
      </c>
      <c r="X122" s="3">
        <f>O122+$R122+T122</f>
        <v>31.510030786589695</v>
      </c>
      <c r="Y122" s="3">
        <f>P122+$R122+U122</f>
        <v>31.510030786589695</v>
      </c>
      <c r="Z122" s="3">
        <f>Q122+$R122+V122</f>
        <v>31.510030786589695</v>
      </c>
      <c r="AA122" s="6">
        <v>1</v>
      </c>
      <c r="AB122" s="6">
        <v>1</v>
      </c>
      <c r="AC122" s="48"/>
      <c r="AD122" s="9">
        <v>22</v>
      </c>
      <c r="AE122" s="9"/>
    </row>
    <row r="123" spans="1:63">
      <c r="A123">
        <v>2011</v>
      </c>
      <c r="B123" s="48">
        <f>[2]POP!G52</f>
        <v>10190</v>
      </c>
      <c r="C123" s="6">
        <f>[2]CRep!J36</f>
        <v>6.8</v>
      </c>
      <c r="D123" s="6">
        <f>C123</f>
        <v>6.8</v>
      </c>
      <c r="E123" s="7">
        <f>USA!K136</f>
        <v>80.025620683761275</v>
      </c>
      <c r="F123" s="7">
        <f>USA!L136</f>
        <v>79.763507803841549</v>
      </c>
      <c r="G123" s="7">
        <f>USA!M136</f>
        <v>79.763507803841549</v>
      </c>
      <c r="H123" s="7">
        <f>USA!N136</f>
        <v>79.763507803841549</v>
      </c>
      <c r="I123" s="6">
        <f>('[2]Real Exchage Rate'!G104)/100</f>
        <v>0.17170397370495649</v>
      </c>
      <c r="J123" s="3">
        <f>E123*$I123</f>
        <v>13.740717069607369</v>
      </c>
      <c r="K123" s="3">
        <f t="shared" si="51"/>
        <v>13.695711246565901</v>
      </c>
      <c r="L123" s="3">
        <f t="shared" si="51"/>
        <v>13.695711246565901</v>
      </c>
      <c r="M123" s="3">
        <f t="shared" si="51"/>
        <v>13.695711246565901</v>
      </c>
      <c r="N123" s="6">
        <f>V$109+V$110*J123</f>
        <v>15.008760938346741</v>
      </c>
      <c r="O123" s="6">
        <f t="shared" si="52"/>
        <v>14.955554649368652</v>
      </c>
      <c r="P123" s="6">
        <f t="shared" si="53"/>
        <v>14.955554649368652</v>
      </c>
      <c r="Q123" s="6">
        <f t="shared" si="54"/>
        <v>14.955554649368652</v>
      </c>
      <c r="R123" s="3">
        <f>R122</f>
        <v>12.84</v>
      </c>
      <c r="S123" s="3">
        <f>(N123+R123)*$V$120</f>
        <v>5.5697521876693488</v>
      </c>
      <c r="T123" s="3">
        <f t="shared" ref="T123:T142" si="55">(O123+R123)*$V$120</f>
        <v>5.5591109298737313</v>
      </c>
      <c r="U123" s="3">
        <f t="shared" ref="U123:U142" si="56">(P123+R123)*$V$120</f>
        <v>5.5591109298737313</v>
      </c>
      <c r="V123" s="3">
        <f t="shared" ref="V123:V142" si="57">(Q123+R123)*$V$120</f>
        <v>5.5591109298737313</v>
      </c>
      <c r="W123" s="3">
        <f>N123+$R123+S123</f>
        <v>33.418513126016094</v>
      </c>
      <c r="X123" s="3">
        <f t="shared" ref="X123:Z142" si="58">O123+$R123+T123</f>
        <v>33.354665579242386</v>
      </c>
      <c r="Y123" s="3">
        <f t="shared" si="58"/>
        <v>33.354665579242386</v>
      </c>
      <c r="Z123" s="3">
        <f t="shared" si="58"/>
        <v>33.354665579242386</v>
      </c>
      <c r="AA123" s="6">
        <v>1</v>
      </c>
      <c r="AB123" s="6">
        <v>1</v>
      </c>
      <c r="AC123" s="48"/>
      <c r="AD123" s="9">
        <v>23</v>
      </c>
      <c r="AE123" s="9"/>
    </row>
    <row r="124" spans="1:63">
      <c r="A124">
        <v>2012</v>
      </c>
      <c r="B124" s="48">
        <f>[2]POP!G53</f>
        <v>10177</v>
      </c>
      <c r="C124" s="6">
        <f>[2]CRep!J37</f>
        <v>6.2895000000000003</v>
      </c>
      <c r="D124" s="6">
        <f>D123</f>
        <v>6.8</v>
      </c>
      <c r="E124" s="7">
        <f>USA!K137</f>
        <v>80.988146102231653</v>
      </c>
      <c r="F124" s="7">
        <f>USA!L137</f>
        <v>77.808256427819046</v>
      </c>
      <c r="G124" s="7">
        <v>80.824902350796279</v>
      </c>
      <c r="H124" s="7">
        <f>USA!N137</f>
        <v>77.808256427819046</v>
      </c>
      <c r="I124" s="6">
        <f>('[2]Real Exchage Rate'!G105)/100</f>
        <v>0.16918456486218933</v>
      </c>
      <c r="J124" s="3"/>
      <c r="K124" s="3">
        <f t="shared" si="51"/>
        <v>13.163956006426211</v>
      </c>
      <c r="L124" s="3">
        <f t="shared" si="51"/>
        <v>13.674325934248412</v>
      </c>
      <c r="M124" s="3">
        <f t="shared" si="51"/>
        <v>13.163956006426211</v>
      </c>
      <c r="N124" s="6"/>
      <c r="O124" s="6">
        <f t="shared" si="52"/>
        <v>14.326908819552008</v>
      </c>
      <c r="P124" s="6">
        <f t="shared" si="53"/>
        <v>14.930272740714242</v>
      </c>
      <c r="Q124" s="6">
        <f t="shared" si="54"/>
        <v>14.326908819552008</v>
      </c>
      <c r="R124" s="3">
        <f t="shared" ref="R124:R142" si="59">R123</f>
        <v>12.84</v>
      </c>
      <c r="S124" s="3"/>
      <c r="T124" s="3">
        <f t="shared" si="55"/>
        <v>5.4333817639104014</v>
      </c>
      <c r="U124" s="3">
        <f t="shared" si="56"/>
        <v>5.5540545481428483</v>
      </c>
      <c r="V124" s="3">
        <f t="shared" si="57"/>
        <v>5.4333817639104014</v>
      </c>
      <c r="W124" s="3">
        <f>W123</f>
        <v>33.418513126016094</v>
      </c>
      <c r="X124" s="3">
        <f t="shared" si="58"/>
        <v>32.60029058346241</v>
      </c>
      <c r="Y124" s="3">
        <f t="shared" si="58"/>
        <v>33.324327288857091</v>
      </c>
      <c r="Z124" s="3">
        <f t="shared" si="58"/>
        <v>32.60029058346241</v>
      </c>
      <c r="AA124" s="6">
        <v>0.9</v>
      </c>
      <c r="AB124" s="6">
        <v>1</v>
      </c>
      <c r="AC124" s="48"/>
      <c r="AD124" s="9">
        <v>24</v>
      </c>
      <c r="AE124" s="9"/>
    </row>
    <row r="125" spans="1:63">
      <c r="A125">
        <v>2013</v>
      </c>
      <c r="B125" s="48">
        <f>[2]POP!G54</f>
        <v>10163</v>
      </c>
      <c r="C125" s="6">
        <f>[2]CRep!J38</f>
        <v>5.7789999999999999</v>
      </c>
      <c r="D125" s="6">
        <f t="shared" ref="D125:D142" si="60">D124</f>
        <v>6.8</v>
      </c>
      <c r="E125" s="7">
        <f>USA!K138</f>
        <v>76.833052011824961</v>
      </c>
      <c r="F125" s="7">
        <f>USA!L138</f>
        <v>79.637145253430234</v>
      </c>
      <c r="G125" s="7">
        <v>81.323572738741547</v>
      </c>
      <c r="H125" s="7">
        <f>USA!N138</f>
        <v>79.637145253430234</v>
      </c>
      <c r="I125" s="6">
        <f>('[2]Real Exchage Rate'!G106)/100</f>
        <v>0.16678322372233859</v>
      </c>
      <c r="J125" s="3"/>
      <c r="K125" s="3">
        <f t="shared" si="51"/>
        <v>13.282139813411229</v>
      </c>
      <c r="L125" s="3">
        <f t="shared" si="51"/>
        <v>13.563407625985407</v>
      </c>
      <c r="M125" s="3">
        <f t="shared" si="51"/>
        <v>13.282139813411229</v>
      </c>
      <c r="N125" s="6"/>
      <c r="O125" s="6">
        <f t="shared" si="52"/>
        <v>14.466626779629786</v>
      </c>
      <c r="P125" s="6">
        <f t="shared" si="53"/>
        <v>14.799144118603179</v>
      </c>
      <c r="Q125" s="6">
        <f t="shared" si="54"/>
        <v>14.466626779629786</v>
      </c>
      <c r="R125" s="3">
        <f t="shared" si="59"/>
        <v>12.84</v>
      </c>
      <c r="S125" s="3"/>
      <c r="T125" s="3">
        <f t="shared" si="55"/>
        <v>5.4613253559259576</v>
      </c>
      <c r="U125" s="3">
        <f t="shared" si="56"/>
        <v>5.5278288237206361</v>
      </c>
      <c r="V125" s="3">
        <f t="shared" si="57"/>
        <v>5.4613253559259576</v>
      </c>
      <c r="W125" s="3">
        <f>W124</f>
        <v>33.418513126016094</v>
      </c>
      <c r="X125" s="3">
        <f t="shared" si="58"/>
        <v>32.767952135555745</v>
      </c>
      <c r="Y125" s="3">
        <f t="shared" si="58"/>
        <v>33.16697294232381</v>
      </c>
      <c r="Z125" s="3">
        <f t="shared" si="58"/>
        <v>32.767952135555745</v>
      </c>
      <c r="AA125" s="6">
        <v>0.8</v>
      </c>
      <c r="AB125" s="6">
        <v>1</v>
      </c>
      <c r="AC125" s="48"/>
      <c r="AD125" s="9">
        <v>25</v>
      </c>
      <c r="AE125" s="9"/>
    </row>
    <row r="126" spans="1:63">
      <c r="A126">
        <v>2014</v>
      </c>
      <c r="B126" s="48">
        <f>[2]POP!G55</f>
        <v>10147</v>
      </c>
      <c r="C126" s="6">
        <f>[2]CRep!J39</f>
        <v>5.2684999999999995</v>
      </c>
      <c r="D126" s="6">
        <f t="shared" si="60"/>
        <v>6.8</v>
      </c>
      <c r="E126" s="7">
        <f>USA!K139</f>
        <v>71.943352325196528</v>
      </c>
      <c r="F126" s="7">
        <f>USA!L139</f>
        <v>75.191268845722192</v>
      </c>
      <c r="G126" s="7">
        <v>81.822243126686814</v>
      </c>
      <c r="H126" s="7">
        <f>USA!N139</f>
        <v>75.191268845722192</v>
      </c>
      <c r="I126" s="6">
        <f>('[2]Real Exchage Rate'!G107)/100</f>
        <v>0.1648214199773147</v>
      </c>
      <c r="J126" s="3"/>
      <c r="K126" s="3">
        <f t="shared" si="51"/>
        <v>12.393131701047956</v>
      </c>
      <c r="L126" s="3">
        <f t="shared" si="51"/>
        <v>13.486058297869599</v>
      </c>
      <c r="M126" s="3">
        <f t="shared" si="51"/>
        <v>12.393131701047956</v>
      </c>
      <c r="N126" s="6"/>
      <c r="O126" s="6">
        <f t="shared" si="52"/>
        <v>13.415633389581526</v>
      </c>
      <c r="P126" s="6">
        <f t="shared" si="53"/>
        <v>14.7077010468878</v>
      </c>
      <c r="Q126" s="6">
        <f t="shared" si="54"/>
        <v>13.415633389581526</v>
      </c>
      <c r="R126" s="3">
        <f t="shared" si="59"/>
        <v>12.84</v>
      </c>
      <c r="S126" s="3"/>
      <c r="T126" s="3">
        <f t="shared" si="55"/>
        <v>5.2511266779163055</v>
      </c>
      <c r="U126" s="3">
        <f t="shared" si="56"/>
        <v>5.5095402093775609</v>
      </c>
      <c r="V126" s="3">
        <f t="shared" si="57"/>
        <v>5.2511266779163055</v>
      </c>
      <c r="W126" s="3">
        <f t="shared" ref="W126:W142" si="61">W125</f>
        <v>33.418513126016094</v>
      </c>
      <c r="X126" s="3">
        <f t="shared" si="58"/>
        <v>31.506760067497829</v>
      </c>
      <c r="Y126" s="3">
        <f t="shared" si="58"/>
        <v>33.057241256265364</v>
      </c>
      <c r="Z126" s="3">
        <f t="shared" si="58"/>
        <v>31.506760067497829</v>
      </c>
      <c r="AA126" s="6">
        <v>0.70000000000000007</v>
      </c>
      <c r="AB126" s="6">
        <v>1</v>
      </c>
      <c r="AC126" s="48"/>
      <c r="AD126" s="9">
        <v>26</v>
      </c>
      <c r="AE126" s="9"/>
    </row>
    <row r="127" spans="1:63">
      <c r="A127">
        <v>2015</v>
      </c>
      <c r="B127" s="48">
        <f>[2]POP!G56</f>
        <v>10130</v>
      </c>
      <c r="C127" s="6">
        <f>[2]CRep!J40</f>
        <v>4.758</v>
      </c>
      <c r="D127" s="6">
        <f t="shared" si="60"/>
        <v>6.8</v>
      </c>
      <c r="E127" s="7">
        <f>USA!K140</f>
        <v>48.307299211768893</v>
      </c>
      <c r="F127" s="7">
        <f>USA!L140</f>
        <v>44.326705079913175</v>
      </c>
      <c r="G127" s="7">
        <v>82.320913514632096</v>
      </c>
      <c r="H127" s="7">
        <f>USA!N140</f>
        <v>44.326705079913175</v>
      </c>
      <c r="I127" s="6">
        <f>('[2]Real Exchage Rate'!G108)/100</f>
        <v>0.16266228152668891</v>
      </c>
      <c r="J127" s="3"/>
      <c r="K127" s="3">
        <f t="shared" si="51"/>
        <v>7.2102829808593478</v>
      </c>
      <c r="L127" s="3">
        <f t="shared" si="51"/>
        <v>13.390507609651296</v>
      </c>
      <c r="M127" s="3">
        <f t="shared" si="51"/>
        <v>7.2102829808593478</v>
      </c>
      <c r="N127" s="6"/>
      <c r="O127" s="6">
        <f t="shared" si="52"/>
        <v>7.2884229954513327</v>
      </c>
      <c r="P127" s="6">
        <f t="shared" si="53"/>
        <v>14.594740163476915</v>
      </c>
      <c r="Q127" s="6">
        <f t="shared" si="54"/>
        <v>7.2884229954513327</v>
      </c>
      <c r="R127" s="3">
        <f t="shared" si="59"/>
        <v>12.84</v>
      </c>
      <c r="S127" s="3"/>
      <c r="T127" s="3">
        <f t="shared" si="55"/>
        <v>4.0256845990902663</v>
      </c>
      <c r="U127" s="3">
        <f t="shared" si="56"/>
        <v>5.4869480326953841</v>
      </c>
      <c r="V127" s="3">
        <f t="shared" si="57"/>
        <v>4.0256845990902663</v>
      </c>
      <c r="W127" s="3">
        <f t="shared" si="61"/>
        <v>33.418513126016094</v>
      </c>
      <c r="X127" s="3">
        <f t="shared" si="58"/>
        <v>24.154107594541596</v>
      </c>
      <c r="Y127" s="3">
        <f t="shared" si="58"/>
        <v>32.921688196172298</v>
      </c>
      <c r="Z127" s="3">
        <f t="shared" si="58"/>
        <v>24.154107594541596</v>
      </c>
      <c r="AA127" s="6">
        <v>0.60000000000000009</v>
      </c>
      <c r="AB127" s="6">
        <v>1</v>
      </c>
      <c r="AC127" s="48"/>
      <c r="AD127" s="9">
        <v>27</v>
      </c>
      <c r="AE127" s="9"/>
    </row>
    <row r="128" spans="1:63">
      <c r="A128">
        <v>2016</v>
      </c>
      <c r="B128" s="48">
        <f>[2]POP!G57</f>
        <v>10110</v>
      </c>
      <c r="C128" s="6">
        <f>[2]CRep!J41</f>
        <v>4.758</v>
      </c>
      <c r="D128" s="6">
        <f t="shared" si="60"/>
        <v>6.8</v>
      </c>
      <c r="E128" s="7">
        <f>USA!K141</f>
        <v>41.856363982945716</v>
      </c>
      <c r="F128" s="7">
        <f>USA!L141</f>
        <v>40.242715598003812</v>
      </c>
      <c r="G128" s="7">
        <v>82.819583902577364</v>
      </c>
      <c r="H128" s="7">
        <f>USA!N141</f>
        <v>40.242715598003812</v>
      </c>
      <c r="I128" s="6">
        <f>('[2]Real Exchage Rate'!G109)/100</f>
        <v>0.16044106597215521</v>
      </c>
      <c r="J128" s="3"/>
      <c r="K128" s="3">
        <f t="shared" si="51"/>
        <v>6.4565841881580095</v>
      </c>
      <c r="L128" s="3">
        <f t="shared" si="51"/>
        <v>13.287662324699859</v>
      </c>
      <c r="M128" s="3">
        <f t="shared" si="51"/>
        <v>6.4565841881580095</v>
      </c>
      <c r="N128" s="6"/>
      <c r="O128" s="6">
        <f t="shared" si="52"/>
        <v>6.3973935006689793</v>
      </c>
      <c r="P128" s="6">
        <f t="shared" si="53"/>
        <v>14.473155542168733</v>
      </c>
      <c r="Q128" s="6">
        <f t="shared" si="54"/>
        <v>6.3973935006689793</v>
      </c>
      <c r="R128" s="3">
        <f t="shared" si="59"/>
        <v>12.84</v>
      </c>
      <c r="S128" s="3"/>
      <c r="T128" s="3">
        <f t="shared" si="55"/>
        <v>3.847478700133796</v>
      </c>
      <c r="U128" s="3">
        <f t="shared" si="56"/>
        <v>5.4626311084337473</v>
      </c>
      <c r="V128" s="3">
        <f t="shared" si="57"/>
        <v>3.847478700133796</v>
      </c>
      <c r="W128" s="3">
        <f t="shared" si="61"/>
        <v>33.418513126016094</v>
      </c>
      <c r="X128" s="3">
        <f t="shared" si="58"/>
        <v>23.084872200802774</v>
      </c>
      <c r="Y128" s="3">
        <f t="shared" si="58"/>
        <v>32.775786650602484</v>
      </c>
      <c r="Z128" s="3">
        <f t="shared" si="58"/>
        <v>23.084872200802774</v>
      </c>
      <c r="AA128" s="6">
        <v>0.50000000000000011</v>
      </c>
      <c r="AB128" s="6">
        <v>1</v>
      </c>
      <c r="AC128" s="48"/>
      <c r="AD128" s="9">
        <v>28</v>
      </c>
      <c r="AE128" s="9"/>
    </row>
    <row r="129" spans="1:31">
      <c r="A129">
        <v>2017</v>
      </c>
      <c r="B129" s="48">
        <f>[2]POP!G58</f>
        <v>10089</v>
      </c>
      <c r="C129" s="6">
        <f>[2]CRep!J42</f>
        <v>4.758</v>
      </c>
      <c r="D129" s="6">
        <f t="shared" si="60"/>
        <v>6.8</v>
      </c>
      <c r="E129" s="7">
        <f>USA!K142</f>
        <v>46.403295764533674</v>
      </c>
      <c r="F129" s="7">
        <f>USA!L142</f>
        <v>44.639294677618913</v>
      </c>
      <c r="G129" s="7">
        <v>83.318254290522631</v>
      </c>
      <c r="H129" s="7">
        <f>USA!N142</f>
        <v>44.639294677618913</v>
      </c>
      <c r="I129" s="6">
        <f>('[2]Real Exchage Rate'!G110)/100</f>
        <v>0.15841986630854138</v>
      </c>
      <c r="J129" s="3"/>
      <c r="K129" s="3">
        <f t="shared" si="51"/>
        <v>7.071751094935971</v>
      </c>
      <c r="L129" s="3">
        <f t="shared" si="51"/>
        <v>13.19926670576565</v>
      </c>
      <c r="M129" s="3">
        <f t="shared" si="51"/>
        <v>7.071751094935971</v>
      </c>
      <c r="N129" s="6"/>
      <c r="O129" s="6">
        <f t="shared" si="52"/>
        <v>7.1246493533533464</v>
      </c>
      <c r="P129" s="6">
        <f t="shared" si="53"/>
        <v>14.368653446049372</v>
      </c>
      <c r="Q129" s="6">
        <f t="shared" si="54"/>
        <v>7.1246493533533464</v>
      </c>
      <c r="R129" s="3">
        <f t="shared" si="59"/>
        <v>12.84</v>
      </c>
      <c r="S129" s="3"/>
      <c r="T129" s="3">
        <f t="shared" si="55"/>
        <v>3.9929298706706691</v>
      </c>
      <c r="U129" s="3">
        <f t="shared" si="56"/>
        <v>5.4417306892098747</v>
      </c>
      <c r="V129" s="3">
        <f t="shared" si="57"/>
        <v>3.9929298706706691</v>
      </c>
      <c r="W129" s="3">
        <f t="shared" si="61"/>
        <v>33.418513126016094</v>
      </c>
      <c r="X129" s="3">
        <f t="shared" si="58"/>
        <v>23.957579224024013</v>
      </c>
      <c r="Y129" s="3">
        <f t="shared" si="58"/>
        <v>32.650384135259245</v>
      </c>
      <c r="Z129" s="3">
        <f t="shared" si="58"/>
        <v>23.957579224024013</v>
      </c>
      <c r="AA129" s="6">
        <v>0.40000000000000013</v>
      </c>
      <c r="AB129" s="6">
        <v>1</v>
      </c>
      <c r="AC129" s="48"/>
      <c r="AD129" s="9">
        <v>29</v>
      </c>
      <c r="AE129" s="9"/>
    </row>
    <row r="130" spans="1:31">
      <c r="A130">
        <v>2018</v>
      </c>
      <c r="B130" s="48">
        <f>[2]POP!G59</f>
        <v>10066</v>
      </c>
      <c r="C130" s="6">
        <f>[2]CRep!J43</f>
        <v>4.758</v>
      </c>
      <c r="D130" s="6">
        <f t="shared" si="60"/>
        <v>6.8</v>
      </c>
      <c r="E130" s="7">
        <f>USA!K143</f>
        <v>52.24139563483223</v>
      </c>
      <c r="F130" s="7">
        <f>USA!L143</f>
        <v>53.230640545625853</v>
      </c>
      <c r="G130" s="7">
        <v>83.816924678467913</v>
      </c>
      <c r="H130" s="7">
        <f>USA!N143</f>
        <v>53.230640545625853</v>
      </c>
      <c r="I130" s="6">
        <f>('[2]Real Exchage Rate'!G111)/100</f>
        <v>0.15643464940492613</v>
      </c>
      <c r="J130" s="3"/>
      <c r="K130" s="3">
        <f t="shared" si="51"/>
        <v>8.3271165913546259</v>
      </c>
      <c r="L130" s="3">
        <f t="shared" si="51"/>
        <v>13.111871226275229</v>
      </c>
      <c r="M130" s="3">
        <f t="shared" si="51"/>
        <v>8.3271165913546259</v>
      </c>
      <c r="N130" s="6"/>
      <c r="O130" s="6">
        <f t="shared" si="52"/>
        <v>8.6087537394464206</v>
      </c>
      <c r="P130" s="6">
        <f t="shared" si="53"/>
        <v>14.265333723780069</v>
      </c>
      <c r="Q130" s="6">
        <f t="shared" si="54"/>
        <v>8.6087537394464206</v>
      </c>
      <c r="R130" s="3">
        <f t="shared" si="59"/>
        <v>12.84</v>
      </c>
      <c r="S130" s="3"/>
      <c r="T130" s="3">
        <f t="shared" si="55"/>
        <v>4.2897507478892845</v>
      </c>
      <c r="U130" s="3">
        <f t="shared" si="56"/>
        <v>5.4210667447560148</v>
      </c>
      <c r="V130" s="3">
        <f t="shared" si="57"/>
        <v>4.2897507478892845</v>
      </c>
      <c r="W130" s="3">
        <f t="shared" si="61"/>
        <v>33.418513126016094</v>
      </c>
      <c r="X130" s="3">
        <f t="shared" si="58"/>
        <v>25.738504487335703</v>
      </c>
      <c r="Y130" s="3">
        <f t="shared" si="58"/>
        <v>32.526400468536082</v>
      </c>
      <c r="Z130" s="3">
        <f t="shared" si="58"/>
        <v>25.738504487335703</v>
      </c>
      <c r="AA130" s="6">
        <v>0.30000000000000016</v>
      </c>
      <c r="AB130" s="6">
        <v>1</v>
      </c>
      <c r="AC130" s="48"/>
      <c r="AD130" s="9">
        <v>30</v>
      </c>
      <c r="AE130" s="9"/>
    </row>
    <row r="131" spans="1:31">
      <c r="A131">
        <v>2019</v>
      </c>
      <c r="B131" s="48">
        <f>[2]POP!G60</f>
        <v>10041</v>
      </c>
      <c r="C131" s="6">
        <f>[2]CRep!J44</f>
        <v>4.758</v>
      </c>
      <c r="D131" s="6">
        <f t="shared" si="60"/>
        <v>6.8</v>
      </c>
      <c r="E131" s="7">
        <f>USA!K144</f>
        <v>0</v>
      </c>
      <c r="F131" s="7">
        <f>USA!L144</f>
        <v>75.642797779488447</v>
      </c>
      <c r="G131" s="7">
        <v>84.315595066413181</v>
      </c>
      <c r="H131" s="7">
        <f>USA!N144</f>
        <v>29.281458313552605</v>
      </c>
      <c r="I131" s="6">
        <f>('[2]Real Exchage Rate'!G112)/100</f>
        <v>0.15449316074218683</v>
      </c>
      <c r="J131" s="3"/>
      <c r="K131" s="3">
        <f t="shared" si="51"/>
        <v>11.686294916335243</v>
      </c>
      <c r="L131" s="3">
        <f t="shared" si="51"/>
        <v>13.026182781668506</v>
      </c>
      <c r="M131" s="3">
        <f t="shared" si="51"/>
        <v>4.5237850460013256</v>
      </c>
      <c r="N131" s="6"/>
      <c r="O131" s="6">
        <f t="shared" si="52"/>
        <v>12.580004582324404</v>
      </c>
      <c r="P131" s="6">
        <f t="shared" si="53"/>
        <v>14.164032073510784</v>
      </c>
      <c r="Q131" s="6">
        <f t="shared" si="54"/>
        <v>4.1124209627945962</v>
      </c>
      <c r="R131" s="3">
        <f t="shared" si="59"/>
        <v>12.84</v>
      </c>
      <c r="S131" s="3"/>
      <c r="T131" s="3">
        <f t="shared" si="55"/>
        <v>5.0840009164648805</v>
      </c>
      <c r="U131" s="3">
        <f t="shared" si="56"/>
        <v>5.4008064147021573</v>
      </c>
      <c r="V131" s="3">
        <f t="shared" si="57"/>
        <v>3.3904841925589198</v>
      </c>
      <c r="W131" s="3">
        <f t="shared" si="61"/>
        <v>33.418513126016094</v>
      </c>
      <c r="X131" s="3">
        <f t="shared" si="58"/>
        <v>30.504005498789283</v>
      </c>
      <c r="Y131" s="3">
        <f t="shared" si="58"/>
        <v>32.404838488212945</v>
      </c>
      <c r="Z131" s="3">
        <f t="shared" si="58"/>
        <v>20.342905155353517</v>
      </c>
      <c r="AA131" s="6">
        <v>0.20000000000000015</v>
      </c>
      <c r="AB131" s="6">
        <v>1</v>
      </c>
      <c r="AC131" s="48"/>
      <c r="AD131" s="9">
        <v>31</v>
      </c>
      <c r="AE131" s="9"/>
    </row>
    <row r="132" spans="1:31">
      <c r="A132">
        <v>2020</v>
      </c>
      <c r="B132" s="48">
        <f>[2]POP!G61</f>
        <v>10013</v>
      </c>
      <c r="C132" s="6">
        <f>[2]CRep!J45</f>
        <v>4.758</v>
      </c>
      <c r="D132" s="6">
        <f t="shared" si="60"/>
        <v>6.8</v>
      </c>
      <c r="E132" s="7">
        <f>USA!K145</f>
        <v>0</v>
      </c>
      <c r="F132" s="7">
        <f>USA!L145</f>
        <v>88.604290257749597</v>
      </c>
      <c r="G132" s="7">
        <v>84.814265454358448</v>
      </c>
      <c r="H132" s="7">
        <f>USA!N145</f>
        <v>30.522893016093938</v>
      </c>
      <c r="I132" s="6">
        <f>('[2]Real Exchage Rate'!G113)/100</f>
        <v>0.15326211411629129</v>
      </c>
      <c r="J132" s="3"/>
      <c r="K132" s="3">
        <f t="shared" si="51"/>
        <v>13.579680844676215</v>
      </c>
      <c r="L132" s="3">
        <f t="shared" si="51"/>
        <v>12.998813630755306</v>
      </c>
      <c r="M132" s="3">
        <f t="shared" si="51"/>
        <v>4.6780031125919397</v>
      </c>
      <c r="N132" s="6"/>
      <c r="O132" s="6">
        <f t="shared" si="52"/>
        <v>14.818382464171682</v>
      </c>
      <c r="P132" s="6">
        <f t="shared" si="53"/>
        <v>14.131676017023807</v>
      </c>
      <c r="Q132" s="6">
        <f t="shared" si="54"/>
        <v>4.2947389488272449</v>
      </c>
      <c r="R132" s="3">
        <f t="shared" si="59"/>
        <v>12.84</v>
      </c>
      <c r="S132" s="3"/>
      <c r="T132" s="3">
        <f t="shared" si="55"/>
        <v>5.531676492834336</v>
      </c>
      <c r="U132" s="3">
        <f t="shared" si="56"/>
        <v>5.3943352034047614</v>
      </c>
      <c r="V132" s="3">
        <f t="shared" si="57"/>
        <v>3.4269477897654492</v>
      </c>
      <c r="W132" s="3">
        <f t="shared" si="61"/>
        <v>33.418513126016094</v>
      </c>
      <c r="X132" s="3">
        <f t="shared" si="58"/>
        <v>33.190058957006016</v>
      </c>
      <c r="Y132" s="3">
        <f t="shared" si="58"/>
        <v>32.366011220428568</v>
      </c>
      <c r="Z132" s="3">
        <f t="shared" si="58"/>
        <v>20.561686738592694</v>
      </c>
      <c r="AA132" s="6">
        <v>0.10000000000000014</v>
      </c>
      <c r="AB132" s="6">
        <v>1</v>
      </c>
      <c r="AC132" s="48"/>
      <c r="AD132" s="9">
        <v>32</v>
      </c>
      <c r="AE132" s="9"/>
    </row>
    <row r="133" spans="1:31">
      <c r="A133">
        <v>2021</v>
      </c>
      <c r="B133" s="48">
        <f>[2]POP!G62</f>
        <v>9984</v>
      </c>
      <c r="C133" s="6">
        <f>[2]CRep!J46</f>
        <v>4.758</v>
      </c>
      <c r="D133" s="6">
        <f t="shared" si="60"/>
        <v>6.8</v>
      </c>
      <c r="E133" s="7">
        <f>USA!K146</f>
        <v>0</v>
      </c>
      <c r="F133" s="7">
        <f>USA!L146</f>
        <v>102.02505984252444</v>
      </c>
      <c r="G133" s="7">
        <v>85.31293584230373</v>
      </c>
      <c r="H133" s="7">
        <f>USA!N146</f>
        <v>32.254840608652728</v>
      </c>
      <c r="I133" s="6">
        <f>('[2]Real Exchage Rate'!G114)/100</f>
        <v>0.1521918994529915</v>
      </c>
      <c r="J133" s="3"/>
      <c r="K133" s="3">
        <f t="shared" si="51"/>
        <v>15.52738764923892</v>
      </c>
      <c r="L133" s="3">
        <f t="shared" si="51"/>
        <v>12.983937753751404</v>
      </c>
      <c r="M133" s="3">
        <f t="shared" si="51"/>
        <v>4.9089254587843429</v>
      </c>
      <c r="N133" s="6"/>
      <c r="O133" s="6">
        <f t="shared" si="52"/>
        <v>17.120978974686931</v>
      </c>
      <c r="P133" s="6">
        <f t="shared" si="53"/>
        <v>14.11408962137134</v>
      </c>
      <c r="Q133" s="6">
        <f t="shared" si="54"/>
        <v>4.5677374244176203</v>
      </c>
      <c r="R133" s="3">
        <f t="shared" si="59"/>
        <v>12.84</v>
      </c>
      <c r="S133" s="3"/>
      <c r="T133" s="3">
        <f t="shared" si="55"/>
        <v>5.9921957949373867</v>
      </c>
      <c r="U133" s="3">
        <f t="shared" si="56"/>
        <v>5.390817924274268</v>
      </c>
      <c r="V133" s="3">
        <f t="shared" si="57"/>
        <v>3.4815474848835239</v>
      </c>
      <c r="W133" s="3">
        <f t="shared" si="61"/>
        <v>33.418513126016094</v>
      </c>
      <c r="X133" s="3">
        <f t="shared" si="58"/>
        <v>35.953174769624319</v>
      </c>
      <c r="Y133" s="3">
        <f t="shared" si="58"/>
        <v>32.344907545645604</v>
      </c>
      <c r="Z133" s="3">
        <f t="shared" si="58"/>
        <v>20.889284909301143</v>
      </c>
      <c r="AA133" s="6">
        <v>0</v>
      </c>
      <c r="AB133" s="6">
        <v>1</v>
      </c>
      <c r="AC133" s="48"/>
      <c r="AD133" s="9">
        <v>33</v>
      </c>
      <c r="AE133" s="9"/>
    </row>
    <row r="134" spans="1:31">
      <c r="A134">
        <v>2022</v>
      </c>
      <c r="B134" s="48">
        <f>[2]POP!G63</f>
        <v>9952</v>
      </c>
      <c r="C134" s="6">
        <f>[2]CRep!J47</f>
        <v>4.758</v>
      </c>
      <c r="D134" s="6">
        <f t="shared" si="60"/>
        <v>6.8</v>
      </c>
      <c r="E134" s="7">
        <f>USA!K147</f>
        <v>0</v>
      </c>
      <c r="F134" s="7">
        <f>USA!L147</f>
        <v>108.57748917461805</v>
      </c>
      <c r="G134" s="7">
        <v>85.811606230248998</v>
      </c>
      <c r="H134" s="7">
        <f>USA!N147</f>
        <v>33.213809459698219</v>
      </c>
      <c r="I134" s="6">
        <f>('[2]Real Exchage Rate'!G115)/100</f>
        <v>0.15114922531611188</v>
      </c>
      <c r="J134" s="3"/>
      <c r="K134" s="3">
        <f t="shared" si="51"/>
        <v>16.411403375512045</v>
      </c>
      <c r="L134" s="3">
        <f t="shared" si="51"/>
        <v>12.970357804833377</v>
      </c>
      <c r="M134" s="3">
        <f t="shared" si="51"/>
        <v>5.0202415696303344</v>
      </c>
      <c r="N134" s="6"/>
      <c r="O134" s="6">
        <f t="shared" si="52"/>
        <v>18.166070320976143</v>
      </c>
      <c r="P134" s="6">
        <f t="shared" si="53"/>
        <v>14.09803528356322</v>
      </c>
      <c r="Q134" s="6">
        <f t="shared" si="54"/>
        <v>4.6993363323218613</v>
      </c>
      <c r="R134" s="3">
        <f t="shared" si="59"/>
        <v>12.84</v>
      </c>
      <c r="S134" s="3"/>
      <c r="T134" s="3">
        <f t="shared" si="55"/>
        <v>6.2012140641952289</v>
      </c>
      <c r="U134" s="3">
        <f t="shared" si="56"/>
        <v>5.3876070567126444</v>
      </c>
      <c r="V134" s="3">
        <f t="shared" si="57"/>
        <v>3.507867266464372</v>
      </c>
      <c r="W134" s="3">
        <f t="shared" si="61"/>
        <v>33.418513126016094</v>
      </c>
      <c r="X134" s="3">
        <f t="shared" si="58"/>
        <v>37.20728438517137</v>
      </c>
      <c r="Y134" s="3">
        <f t="shared" si="58"/>
        <v>32.325642340275863</v>
      </c>
      <c r="Z134" s="3">
        <f t="shared" si="58"/>
        <v>21.047203598786233</v>
      </c>
      <c r="AA134" s="6">
        <v>0</v>
      </c>
      <c r="AB134" s="6">
        <v>1</v>
      </c>
      <c r="AC134" s="48"/>
      <c r="AD134" s="9">
        <v>34</v>
      </c>
      <c r="AE134" s="9"/>
    </row>
    <row r="135" spans="1:31">
      <c r="A135">
        <v>2023</v>
      </c>
      <c r="B135" s="48">
        <f>[2]POP!G64</f>
        <v>9918</v>
      </c>
      <c r="C135" s="6">
        <f>[2]CRep!J48</f>
        <v>4.758</v>
      </c>
      <c r="D135" s="6">
        <f t="shared" si="60"/>
        <v>6.8</v>
      </c>
      <c r="E135" s="7">
        <f>USA!K148</f>
        <v>0</v>
      </c>
      <c r="F135" s="7">
        <f>USA!L148</f>
        <v>114.59994106594496</v>
      </c>
      <c r="G135" s="7">
        <v>86.310276618194266</v>
      </c>
      <c r="H135" s="7">
        <f>USA!N148</f>
        <v>33.667718827944938</v>
      </c>
      <c r="I135" s="6">
        <f>('[2]Real Exchage Rate'!G116)/100</f>
        <v>0.15012693500911506</v>
      </c>
      <c r="J135" s="3"/>
      <c r="K135" s="3">
        <f t="shared" si="51"/>
        <v>17.204537904455535</v>
      </c>
      <c r="L135" s="3">
        <f t="shared" si="51"/>
        <v>12.957497288478393</v>
      </c>
      <c r="M135" s="3">
        <f t="shared" si="51"/>
        <v>5.0544314363880494</v>
      </c>
      <c r="N135" s="6"/>
      <c r="O135" s="6">
        <f t="shared" si="52"/>
        <v>19.103721098000804</v>
      </c>
      <c r="P135" s="6">
        <f t="shared" si="53"/>
        <v>14.082831465404841</v>
      </c>
      <c r="Q135" s="6">
        <f t="shared" si="54"/>
        <v>4.7397559004554601</v>
      </c>
      <c r="R135" s="3">
        <f t="shared" si="59"/>
        <v>12.84</v>
      </c>
      <c r="S135" s="3"/>
      <c r="T135" s="3">
        <f t="shared" si="55"/>
        <v>6.3887442196001611</v>
      </c>
      <c r="U135" s="3">
        <f t="shared" si="56"/>
        <v>5.3845662930809688</v>
      </c>
      <c r="V135" s="3">
        <f t="shared" si="57"/>
        <v>3.5159511800910921</v>
      </c>
      <c r="W135" s="3">
        <f t="shared" si="61"/>
        <v>33.418513126016094</v>
      </c>
      <c r="X135" s="3">
        <f t="shared" si="58"/>
        <v>38.332465317600963</v>
      </c>
      <c r="Y135" s="3">
        <f t="shared" si="58"/>
        <v>32.307397758485806</v>
      </c>
      <c r="Z135" s="3">
        <f t="shared" si="58"/>
        <v>21.095707080546553</v>
      </c>
      <c r="AA135" s="6">
        <v>0</v>
      </c>
      <c r="AB135" s="6">
        <v>1</v>
      </c>
      <c r="AC135" s="48"/>
      <c r="AD135" s="9">
        <v>35</v>
      </c>
      <c r="AE135" s="9"/>
    </row>
    <row r="136" spans="1:31">
      <c r="A136">
        <v>2024</v>
      </c>
      <c r="B136" s="48">
        <f>[2]POP!G65</f>
        <v>9882</v>
      </c>
      <c r="C136" s="6">
        <f>[2]CRep!J49</f>
        <v>4.758</v>
      </c>
      <c r="D136" s="6">
        <f t="shared" si="60"/>
        <v>6.8</v>
      </c>
      <c r="E136" s="7">
        <f>USA!K149</f>
        <v>0</v>
      </c>
      <c r="F136" s="7">
        <f>USA!L149</f>
        <v>118.91650144445785</v>
      </c>
      <c r="G136" s="7">
        <v>86.808947006139533</v>
      </c>
      <c r="H136" s="7">
        <f>USA!N149</f>
        <v>33.869662673011632</v>
      </c>
      <c r="I136" s="6">
        <f>('[2]Real Exchage Rate'!G117)/100</f>
        <v>0.14913980199276694</v>
      </c>
      <c r="J136" s="3"/>
      <c r="K136" s="3">
        <f t="shared" si="51"/>
        <v>17.735183479099028</v>
      </c>
      <c r="L136" s="3">
        <f t="shared" si="51"/>
        <v>12.946669167696248</v>
      </c>
      <c r="M136" s="3">
        <f t="shared" si="51"/>
        <v>5.0513147846147639</v>
      </c>
      <c r="N136" s="6"/>
      <c r="O136" s="6">
        <f t="shared" si="52"/>
        <v>19.731055071282679</v>
      </c>
      <c r="P136" s="6">
        <f t="shared" si="53"/>
        <v>14.070030363580893</v>
      </c>
      <c r="Q136" s="6">
        <f t="shared" si="54"/>
        <v>4.7360713666843353</v>
      </c>
      <c r="R136" s="3">
        <f t="shared" si="59"/>
        <v>12.84</v>
      </c>
      <c r="S136" s="3"/>
      <c r="T136" s="3">
        <f t="shared" si="55"/>
        <v>6.5142110142565359</v>
      </c>
      <c r="U136" s="3">
        <f t="shared" si="56"/>
        <v>5.3820060727161794</v>
      </c>
      <c r="V136" s="3">
        <f t="shared" si="57"/>
        <v>3.5152142733368672</v>
      </c>
      <c r="W136" s="3">
        <f t="shared" si="61"/>
        <v>33.418513126016094</v>
      </c>
      <c r="X136" s="3">
        <f t="shared" si="58"/>
        <v>39.085266085539217</v>
      </c>
      <c r="Y136" s="3">
        <f t="shared" si="58"/>
        <v>32.292036436297074</v>
      </c>
      <c r="Z136" s="3">
        <f t="shared" si="58"/>
        <v>21.091285640021201</v>
      </c>
      <c r="AA136" s="6">
        <v>0</v>
      </c>
      <c r="AB136" s="6">
        <v>1</v>
      </c>
      <c r="AC136" s="48"/>
      <c r="AD136" s="9">
        <v>36</v>
      </c>
      <c r="AE136" s="9"/>
    </row>
    <row r="137" spans="1:31">
      <c r="A137">
        <v>2025</v>
      </c>
      <c r="B137" s="48">
        <f>[2]POP!G66</f>
        <v>9844</v>
      </c>
      <c r="C137" s="6">
        <f>[2]CRep!J50</f>
        <v>4.758</v>
      </c>
      <c r="D137" s="6">
        <f t="shared" si="60"/>
        <v>6.8</v>
      </c>
      <c r="E137" s="7">
        <f>USA!K150</f>
        <v>0</v>
      </c>
      <c r="F137" s="7">
        <f>USA!L150</f>
        <v>123.52572807595689</v>
      </c>
      <c r="G137" s="7">
        <v>87.307617394084815</v>
      </c>
      <c r="H137" s="7">
        <f>USA!N150</f>
        <v>34.807704199173706</v>
      </c>
      <c r="I137" s="6">
        <f>('[2]Real Exchage Rate'!G118)/100</f>
        <v>0.14832861502719075</v>
      </c>
      <c r="J137" s="3"/>
      <c r="K137" s="3">
        <f t="shared" si="51"/>
        <v>18.322400165732056</v>
      </c>
      <c r="L137" s="3">
        <f t="shared" si="51"/>
        <v>12.950217969388468</v>
      </c>
      <c r="M137" s="3">
        <f t="shared" si="51"/>
        <v>5.1629785561395671</v>
      </c>
      <c r="N137" s="6"/>
      <c r="O137" s="6">
        <f t="shared" si="52"/>
        <v>20.425267922205645</v>
      </c>
      <c r="P137" s="6">
        <f t="shared" si="53"/>
        <v>14.07422578887482</v>
      </c>
      <c r="Q137" s="6">
        <f t="shared" si="54"/>
        <v>4.8680812821714419</v>
      </c>
      <c r="R137" s="3">
        <f t="shared" si="59"/>
        <v>12.84</v>
      </c>
      <c r="S137" s="3"/>
      <c r="T137" s="3">
        <f t="shared" si="55"/>
        <v>6.6530535844411292</v>
      </c>
      <c r="U137" s="3">
        <f t="shared" si="56"/>
        <v>5.3828451577749643</v>
      </c>
      <c r="V137" s="3">
        <f t="shared" si="57"/>
        <v>3.5416162564342883</v>
      </c>
      <c r="W137" s="3">
        <f t="shared" si="61"/>
        <v>33.418513126016094</v>
      </c>
      <c r="X137" s="3">
        <f t="shared" si="58"/>
        <v>39.918321506646777</v>
      </c>
      <c r="Y137" s="3">
        <f t="shared" si="58"/>
        <v>32.297070946649782</v>
      </c>
      <c r="Z137" s="3">
        <f t="shared" si="58"/>
        <v>21.24969753860573</v>
      </c>
      <c r="AA137" s="6">
        <v>0</v>
      </c>
      <c r="AB137" s="6">
        <v>1</v>
      </c>
      <c r="AC137" s="48"/>
      <c r="AD137" s="9">
        <v>37</v>
      </c>
      <c r="AE137" s="9"/>
    </row>
    <row r="138" spans="1:31">
      <c r="A138">
        <v>2026</v>
      </c>
      <c r="B138" s="48">
        <f>[2]POP!G67</f>
        <v>9804</v>
      </c>
      <c r="C138" s="6">
        <f>[2]CRep!J51</f>
        <v>4.758</v>
      </c>
      <c r="D138" s="6">
        <f t="shared" si="60"/>
        <v>6.8</v>
      </c>
      <c r="E138" s="7">
        <f>USA!K151</f>
        <v>0</v>
      </c>
      <c r="F138" s="7">
        <f>USA!L151</f>
        <v>128.42239571928056</v>
      </c>
      <c r="G138" s="7">
        <v>87.806287782030083</v>
      </c>
      <c r="H138" s="7">
        <f>USA!N151</f>
        <v>35.806017408336146</v>
      </c>
      <c r="I138" s="6">
        <f>('[2]Real Exchage Rate'!G119)/100</f>
        <v>0.14752653578866201</v>
      </c>
      <c r="J138" s="3"/>
      <c r="K138" s="3">
        <f t="shared" ref="K138:M142" si="62">F138*$I138</f>
        <v>18.945711158146157</v>
      </c>
      <c r="L138" s="3">
        <f t="shared" si="62"/>
        <v>12.953757456945217</v>
      </c>
      <c r="M138" s="3">
        <f t="shared" si="62"/>
        <v>5.2823377086403571</v>
      </c>
      <c r="N138" s="6"/>
      <c r="O138" s="6">
        <f t="shared" si="52"/>
        <v>21.162151786212448</v>
      </c>
      <c r="P138" s="6">
        <f t="shared" si="53"/>
        <v>14.078410202913981</v>
      </c>
      <c r="Q138" s="6">
        <f t="shared" si="54"/>
        <v>5.0091887462941447</v>
      </c>
      <c r="R138" s="3">
        <f t="shared" si="59"/>
        <v>12.84</v>
      </c>
      <c r="S138" s="3"/>
      <c r="T138" s="3">
        <f t="shared" si="55"/>
        <v>6.8004303572424902</v>
      </c>
      <c r="U138" s="3">
        <f t="shared" si="56"/>
        <v>5.383682040582797</v>
      </c>
      <c r="V138" s="3">
        <f t="shared" si="57"/>
        <v>3.5698377492588294</v>
      </c>
      <c r="W138" s="3">
        <f t="shared" si="61"/>
        <v>33.418513126016094</v>
      </c>
      <c r="X138" s="3">
        <f t="shared" si="58"/>
        <v>40.802582143454941</v>
      </c>
      <c r="Y138" s="3">
        <f t="shared" si="58"/>
        <v>32.30209224349678</v>
      </c>
      <c r="Z138" s="3">
        <f t="shared" si="58"/>
        <v>21.419026495552977</v>
      </c>
      <c r="AA138" s="6">
        <v>0</v>
      </c>
      <c r="AB138" s="6">
        <v>1</v>
      </c>
      <c r="AC138" s="48"/>
      <c r="AD138" s="9">
        <v>38</v>
      </c>
      <c r="AE138" s="9"/>
    </row>
    <row r="139" spans="1:31">
      <c r="A139">
        <v>2027</v>
      </c>
      <c r="B139" s="48">
        <f>[2]POP!G68</f>
        <v>9763</v>
      </c>
      <c r="C139" s="6">
        <f>[2]CRep!J52</f>
        <v>4.758</v>
      </c>
      <c r="D139" s="6">
        <f t="shared" si="60"/>
        <v>6.8</v>
      </c>
      <c r="E139" s="7">
        <f>USA!K152</f>
        <v>0</v>
      </c>
      <c r="F139" s="7">
        <f>USA!L152</f>
        <v>133.20940640497111</v>
      </c>
      <c r="G139" s="7">
        <v>88.30495816997535</v>
      </c>
      <c r="H139" s="7">
        <f>USA!N152</f>
        <v>36.779921972456059</v>
      </c>
      <c r="I139" s="6">
        <f>('[2]Real Exchage Rate'!G120)/100</f>
        <v>0.14673069069062594</v>
      </c>
      <c r="J139" s="3"/>
      <c r="K139" s="3">
        <f t="shared" si="62"/>
        <v>19.545908208289703</v>
      </c>
      <c r="L139" s="3">
        <f t="shared" si="62"/>
        <v>12.957047503687315</v>
      </c>
      <c r="M139" s="3">
        <f t="shared" si="62"/>
        <v>5.3967433545658068</v>
      </c>
      <c r="N139" s="6"/>
      <c r="O139" s="6">
        <f t="shared" si="52"/>
        <v>21.871710139679493</v>
      </c>
      <c r="P139" s="6">
        <f t="shared" si="53"/>
        <v>14.082299725777505</v>
      </c>
      <c r="Q139" s="6">
        <f t="shared" si="54"/>
        <v>5.1444401303700609</v>
      </c>
      <c r="R139" s="3">
        <f t="shared" si="59"/>
        <v>12.84</v>
      </c>
      <c r="S139" s="3"/>
      <c r="T139" s="3">
        <f t="shared" si="55"/>
        <v>6.9423420279358998</v>
      </c>
      <c r="U139" s="3">
        <f t="shared" si="56"/>
        <v>5.384459945155502</v>
      </c>
      <c r="V139" s="3">
        <f t="shared" si="57"/>
        <v>3.5968880260740121</v>
      </c>
      <c r="W139" s="3">
        <f t="shared" si="61"/>
        <v>33.418513126016094</v>
      </c>
      <c r="X139" s="3">
        <f t="shared" si="58"/>
        <v>41.654052167615397</v>
      </c>
      <c r="Y139" s="3">
        <f t="shared" si="58"/>
        <v>32.306759670933005</v>
      </c>
      <c r="Z139" s="3">
        <f t="shared" si="58"/>
        <v>21.581328156444073</v>
      </c>
      <c r="AA139" s="6">
        <v>0</v>
      </c>
      <c r="AB139" s="6">
        <v>1</v>
      </c>
      <c r="AC139" s="48"/>
      <c r="AD139" s="9">
        <v>39</v>
      </c>
      <c r="AE139" s="9"/>
    </row>
    <row r="140" spans="1:31">
      <c r="A140">
        <v>2028</v>
      </c>
      <c r="B140" s="48">
        <f>[2]POP!G69</f>
        <v>9720</v>
      </c>
      <c r="C140" s="6">
        <f>[2]CRep!J53</f>
        <v>4.758</v>
      </c>
      <c r="D140" s="6">
        <f t="shared" si="60"/>
        <v>6.8</v>
      </c>
      <c r="E140" s="7">
        <f>USA!K153</f>
        <v>0</v>
      </c>
      <c r="F140" s="7">
        <f>USA!L153</f>
        <v>137.88570408153797</v>
      </c>
      <c r="G140" s="7">
        <v>88.803628557920632</v>
      </c>
      <c r="H140" s="7">
        <f>USA!N153</f>
        <v>37.166725434545178</v>
      </c>
      <c r="I140" s="6">
        <f>('[2]Real Exchage Rate'!G121)/100</f>
        <v>0.14608318494624917</v>
      </c>
      <c r="J140" s="3"/>
      <c r="K140" s="3">
        <f t="shared" si="62"/>
        <v>20.142782810787093</v>
      </c>
      <c r="L140" s="3">
        <f t="shared" si="62"/>
        <v>12.972716894524734</v>
      </c>
      <c r="M140" s="3">
        <f t="shared" si="62"/>
        <v>5.429433625501126</v>
      </c>
      <c r="N140" s="6"/>
      <c r="O140" s="6">
        <f t="shared" si="52"/>
        <v>22.577340665642684</v>
      </c>
      <c r="P140" s="6">
        <f t="shared" si="53"/>
        <v>14.100824220624274</v>
      </c>
      <c r="Q140" s="6">
        <f t="shared" si="54"/>
        <v>5.1830868628285245</v>
      </c>
      <c r="R140" s="3">
        <f t="shared" si="59"/>
        <v>12.84</v>
      </c>
      <c r="S140" s="3"/>
      <c r="T140" s="3">
        <f t="shared" si="55"/>
        <v>7.0834681331285374</v>
      </c>
      <c r="U140" s="3">
        <f t="shared" si="56"/>
        <v>5.3881648441248551</v>
      </c>
      <c r="V140" s="3">
        <f t="shared" si="57"/>
        <v>3.6046173725657051</v>
      </c>
      <c r="W140" s="3">
        <f t="shared" si="61"/>
        <v>33.418513126016094</v>
      </c>
      <c r="X140" s="3">
        <f t="shared" si="58"/>
        <v>42.500808798771217</v>
      </c>
      <c r="Y140" s="3">
        <f t="shared" si="58"/>
        <v>32.328989064749123</v>
      </c>
      <c r="Z140" s="3">
        <f t="shared" si="58"/>
        <v>21.62770423539423</v>
      </c>
      <c r="AA140" s="6">
        <v>0</v>
      </c>
      <c r="AB140" s="6">
        <v>1</v>
      </c>
      <c r="AC140" s="48"/>
      <c r="AD140" s="9">
        <v>40</v>
      </c>
      <c r="AE140" s="9"/>
    </row>
    <row r="141" spans="1:31">
      <c r="A141">
        <v>2029</v>
      </c>
      <c r="B141" s="48">
        <f>[2]POP!G70</f>
        <v>9675</v>
      </c>
      <c r="C141" s="6">
        <f>[2]CRep!J54</f>
        <v>4.758</v>
      </c>
      <c r="D141" s="6">
        <f t="shared" si="60"/>
        <v>6.8</v>
      </c>
      <c r="E141" s="7">
        <f>USA!K154</f>
        <v>0</v>
      </c>
      <c r="F141" s="7">
        <f>USA!L154</f>
        <v>143.31178308069425</v>
      </c>
      <c r="G141" s="7">
        <v>89.3022989458659</v>
      </c>
      <c r="H141" s="7">
        <f>USA!N154</f>
        <v>37.541675753845432</v>
      </c>
      <c r="I141" s="6">
        <f>('[2]Real Exchage Rate'!G122)/100</f>
        <v>0.14542912931191243</v>
      </c>
      <c r="J141" s="3"/>
      <c r="K141" s="3">
        <f t="shared" si="62"/>
        <v>20.841707833563028</v>
      </c>
      <c r="L141" s="3">
        <f t="shared" si="62"/>
        <v>12.987155581249393</v>
      </c>
      <c r="M141" s="3">
        <f t="shared" si="62"/>
        <v>5.4596532177918746</v>
      </c>
      <c r="N141" s="6"/>
      <c r="O141" s="6">
        <f t="shared" si="52"/>
        <v>23.403616116745287</v>
      </c>
      <c r="P141" s="6">
        <f t="shared" si="53"/>
        <v>14.117893765994625</v>
      </c>
      <c r="Q141" s="6">
        <f t="shared" si="54"/>
        <v>5.2188127367613273</v>
      </c>
      <c r="R141" s="3">
        <f t="shared" si="59"/>
        <v>12.84</v>
      </c>
      <c r="S141" s="3"/>
      <c r="T141" s="3">
        <f t="shared" si="55"/>
        <v>7.2487232233490575</v>
      </c>
      <c r="U141" s="3">
        <f t="shared" si="56"/>
        <v>5.3915787531989254</v>
      </c>
      <c r="V141" s="3">
        <f t="shared" si="57"/>
        <v>3.6117625473522654</v>
      </c>
      <c r="W141" s="3">
        <f t="shared" si="61"/>
        <v>33.418513126016094</v>
      </c>
      <c r="X141" s="3">
        <f t="shared" si="58"/>
        <v>43.492339340094347</v>
      </c>
      <c r="Y141" s="3">
        <f t="shared" si="58"/>
        <v>32.349472519193554</v>
      </c>
      <c r="Z141" s="3">
        <f t="shared" si="58"/>
        <v>21.670575284113589</v>
      </c>
      <c r="AA141" s="6">
        <v>0</v>
      </c>
      <c r="AB141" s="6">
        <v>1</v>
      </c>
      <c r="AC141" s="48"/>
      <c r="AD141" s="9">
        <v>41</v>
      </c>
      <c r="AE141" s="9"/>
    </row>
    <row r="142" spans="1:31">
      <c r="A142">
        <v>2030</v>
      </c>
      <c r="B142" s="48">
        <f>[2]POP!G71</f>
        <v>9629</v>
      </c>
      <c r="C142" s="6">
        <f>[2]CRep!J55</f>
        <v>4.758</v>
      </c>
      <c r="D142" s="6">
        <f t="shared" si="60"/>
        <v>6.8</v>
      </c>
      <c r="E142" s="7">
        <f>USA!K155</f>
        <v>0</v>
      </c>
      <c r="F142" s="7">
        <f>USA!L155</f>
        <v>145.62214993908256</v>
      </c>
      <c r="G142" s="7">
        <v>89.800969333811167</v>
      </c>
      <c r="H142" s="7">
        <f>USA!N155</f>
        <v>38.294119525309263</v>
      </c>
      <c r="I142" s="6">
        <f>('[2]Real Exchage Rate'!G123)/100</f>
        <v>0.14480220477540329</v>
      </c>
      <c r="J142" s="3"/>
      <c r="K142" s="3">
        <f t="shared" si="62"/>
        <v>21.086408375313514</v>
      </c>
      <c r="L142" s="3">
        <f t="shared" si="62"/>
        <v>13.003378350504235</v>
      </c>
      <c r="M142" s="3">
        <f t="shared" si="62"/>
        <v>5.5450729371976015</v>
      </c>
      <c r="N142" s="6"/>
      <c r="O142" s="6">
        <f t="shared" si="52"/>
        <v>23.692903299105552</v>
      </c>
      <c r="P142" s="6">
        <f t="shared" si="53"/>
        <v>14.137072469785968</v>
      </c>
      <c r="Q142" s="6">
        <f t="shared" si="54"/>
        <v>5.3197966976799105</v>
      </c>
      <c r="R142" s="3">
        <f t="shared" si="59"/>
        <v>12.84</v>
      </c>
      <c r="S142" s="3"/>
      <c r="T142" s="3">
        <f t="shared" si="55"/>
        <v>7.3065806598211118</v>
      </c>
      <c r="U142" s="3">
        <f t="shared" si="56"/>
        <v>5.395414493957194</v>
      </c>
      <c r="V142" s="3">
        <f t="shared" si="57"/>
        <v>3.6319593395359817</v>
      </c>
      <c r="W142" s="3">
        <f t="shared" si="61"/>
        <v>33.418513126016094</v>
      </c>
      <c r="X142" s="3">
        <f t="shared" si="58"/>
        <v>43.839483958926664</v>
      </c>
      <c r="Y142" s="3">
        <f t="shared" si="58"/>
        <v>32.372486963743157</v>
      </c>
      <c r="Z142" s="3">
        <f t="shared" si="58"/>
        <v>21.79175603721589</v>
      </c>
      <c r="AA142" s="6">
        <v>0</v>
      </c>
      <c r="AB142" s="6">
        <v>1</v>
      </c>
      <c r="AC142" s="48"/>
      <c r="AD142" s="9">
        <v>42</v>
      </c>
      <c r="AE142" s="9"/>
    </row>
    <row r="143" spans="1:31">
      <c r="C143" s="3"/>
      <c r="J143"/>
      <c r="U143"/>
      <c r="AD143" s="3"/>
      <c r="AE143" s="3"/>
    </row>
    <row r="144" spans="1:31">
      <c r="J144"/>
      <c r="U144"/>
      <c r="AD144" s="3"/>
      <c r="AE144" s="3"/>
    </row>
    <row r="145" spans="1:31">
      <c r="B145" t="s">
        <v>295</v>
      </c>
      <c r="J145"/>
      <c r="U145"/>
      <c r="AD145" s="3"/>
      <c r="AE145" s="3"/>
    </row>
    <row r="146" spans="1:31">
      <c r="B146" s="13"/>
      <c r="C146" s="13" t="s">
        <v>88</v>
      </c>
      <c r="D146" s="13">
        <f>G147</f>
        <v>-1.0950829559505675</v>
      </c>
      <c r="G146" s="13"/>
      <c r="H146" s="13"/>
      <c r="J146"/>
      <c r="U146"/>
      <c r="AD146" s="3"/>
      <c r="AE146" s="3"/>
    </row>
    <row r="147" spans="1:31">
      <c r="B147" s="13"/>
      <c r="C147" s="13"/>
      <c r="D147" s="13"/>
      <c r="F147" s="13" t="s">
        <v>88</v>
      </c>
      <c r="G147" s="13">
        <v>-1.0950829559505675</v>
      </c>
      <c r="H147" s="13"/>
      <c r="J147"/>
      <c r="U147"/>
      <c r="AD147" s="3"/>
      <c r="AE147" s="3"/>
    </row>
    <row r="148" spans="1:31">
      <c r="B148" s="13"/>
      <c r="C148" s="13" t="s">
        <v>309</v>
      </c>
      <c r="D148" s="13">
        <f>G148</f>
        <v>6.7483101659287087E-2</v>
      </c>
      <c r="F148" s="13" t="s">
        <v>114</v>
      </c>
      <c r="G148" s="13">
        <v>6.7483101659287087E-2</v>
      </c>
      <c r="H148" s="13"/>
      <c r="J148"/>
      <c r="U148"/>
      <c r="AD148" s="3"/>
      <c r="AE148" s="3"/>
    </row>
    <row r="149" spans="1:31">
      <c r="B149" s="13"/>
      <c r="C149" s="13"/>
      <c r="D149" s="13"/>
      <c r="F149" s="13" t="s">
        <v>314</v>
      </c>
      <c r="G149" s="13">
        <v>-1.5627091267055033E-3</v>
      </c>
      <c r="H149" s="13"/>
      <c r="J149"/>
      <c r="U149"/>
      <c r="AD149" s="3"/>
      <c r="AE149" s="3"/>
    </row>
    <row r="150" spans="1:31">
      <c r="B150" s="13"/>
      <c r="C150" s="13" t="s">
        <v>314</v>
      </c>
      <c r="D150" s="13">
        <f>G149</f>
        <v>-1.5627091267055033E-3</v>
      </c>
      <c r="F150" s="13" t="s">
        <v>311</v>
      </c>
      <c r="G150" s="13">
        <v>-9.6278293585727957E-3</v>
      </c>
      <c r="H150" s="13"/>
      <c r="J150"/>
      <c r="U150"/>
      <c r="AD150" s="3"/>
      <c r="AE150" s="3"/>
    </row>
    <row r="151" spans="1:31">
      <c r="B151" s="13"/>
      <c r="C151" s="13" t="s">
        <v>311</v>
      </c>
      <c r="D151" s="13">
        <f>G150</f>
        <v>-9.6278293585727957E-3</v>
      </c>
      <c r="F151" s="13" t="s">
        <v>293</v>
      </c>
      <c r="G151" s="13">
        <v>-4.2495620167171753E-2</v>
      </c>
      <c r="J151"/>
      <c r="U151"/>
      <c r="AD151" s="3"/>
      <c r="AE151" s="3"/>
    </row>
    <row r="152" spans="1:31">
      <c r="B152" s="13"/>
      <c r="C152" s="13" t="s">
        <v>293</v>
      </c>
      <c r="D152" s="13">
        <f>G151</f>
        <v>-4.2495620167171753E-2</v>
      </c>
      <c r="J152"/>
      <c r="U152"/>
      <c r="AD152" s="3"/>
      <c r="AE152" s="3"/>
    </row>
    <row r="153" spans="1:31" ht="15.75" thickBot="1">
      <c r="B153" s="14"/>
      <c r="C153" s="3"/>
      <c r="D153" s="13"/>
      <c r="J153"/>
      <c r="U153"/>
      <c r="AD153" s="3"/>
      <c r="AE153" s="3"/>
    </row>
    <row r="154" spans="1:31" ht="15.75" thickBot="1">
      <c r="B154" s="4"/>
      <c r="C154" s="3"/>
      <c r="D154" s="14"/>
      <c r="J154"/>
      <c r="U154"/>
      <c r="AD154" s="3"/>
      <c r="AE154" s="3"/>
    </row>
    <row r="155" spans="1:31">
      <c r="J155"/>
      <c r="U155"/>
      <c r="AD155" s="3"/>
      <c r="AE155" s="3"/>
    </row>
    <row r="156" spans="1:31">
      <c r="J156"/>
      <c r="U156"/>
      <c r="AD156" s="3"/>
      <c r="AE156" s="3"/>
    </row>
    <row r="157" spans="1:31">
      <c r="A157" t="s">
        <v>312</v>
      </c>
      <c r="I157" t="s">
        <v>290</v>
      </c>
      <c r="J157"/>
      <c r="U157"/>
      <c r="AD157" s="3"/>
      <c r="AE157" s="3"/>
    </row>
    <row r="158" spans="1:31">
      <c r="B158" s="75" t="s">
        <v>291</v>
      </c>
      <c r="C158" s="71" t="s">
        <v>292</v>
      </c>
      <c r="D158" s="26" t="s">
        <v>300</v>
      </c>
      <c r="E158" s="26"/>
      <c r="F158" s="26"/>
      <c r="G158" t="s">
        <v>294</v>
      </c>
      <c r="J158" s="75" t="s">
        <v>291</v>
      </c>
      <c r="K158" s="71" t="s">
        <v>292</v>
      </c>
      <c r="L158" s="26" t="s">
        <v>300</v>
      </c>
      <c r="M158" s="26"/>
      <c r="N158" s="26"/>
      <c r="O158" t="s">
        <v>294</v>
      </c>
      <c r="U158"/>
      <c r="AD158" s="3"/>
      <c r="AE158" s="3"/>
    </row>
    <row r="159" spans="1:31">
      <c r="A159" s="71"/>
      <c r="B159" s="71" t="s">
        <v>299</v>
      </c>
      <c r="C159" s="71" t="s">
        <v>305</v>
      </c>
      <c r="D159" s="71" t="s">
        <v>301</v>
      </c>
      <c r="E159" s="71" t="s">
        <v>302</v>
      </c>
      <c r="F159" s="71" t="s">
        <v>303</v>
      </c>
      <c r="G159" s="71" t="s">
        <v>304</v>
      </c>
      <c r="H159" s="71"/>
      <c r="I159" s="71"/>
      <c r="J159" s="71" t="s">
        <v>299</v>
      </c>
      <c r="K159" s="71" t="s">
        <v>319</v>
      </c>
      <c r="L159" s="71" t="s">
        <v>301</v>
      </c>
      <c r="M159" s="71" t="s">
        <v>302</v>
      </c>
      <c r="N159" s="71" t="s">
        <v>303</v>
      </c>
      <c r="O159" s="71" t="s">
        <v>320</v>
      </c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2"/>
      <c r="AE159" s="72"/>
    </row>
    <row r="160" spans="1:31">
      <c r="A160">
        <v>2010</v>
      </c>
      <c r="B160" s="3">
        <f>(D$146+D$147*AC122+D$148*AD122+D$149*AE122+D$150*W122+D$151*C122+D$152*AA122+D$153*(MAX((C122-C122),0)))</f>
        <v>0.22843524021171577</v>
      </c>
      <c r="C160" s="4">
        <f>(D$146+D$147*AC122+D$148*AD122+D$149*AE122+D$150*W122+D$151*D122+D$152*AA122+D$153*(MAX((C122-C122),0)))</f>
        <v>0.22843524021171577</v>
      </c>
      <c r="D160" s="4">
        <f>(D$146+D$147*AC122+D$148*AD122+D$149*AE122+D$150*X122+D$151*C122+D$152*AA122+D$153*(MAX((C122-C122),0)))</f>
        <v>0.22752549337602021</v>
      </c>
      <c r="E160" s="4">
        <f>(D$146+D$147*AC122+D$148*AD122+D$149*AE122+D$150*Y122+D$151*C122+D$152*AA122+D$153*(MAX((C122-C122),0)))</f>
        <v>0.22752549337602021</v>
      </c>
      <c r="F160" s="4">
        <f>(D$146+D$147*AC122+D$148*AD122+D$149*AE122+D$150*Z122+D$151*C122+D$152*AA122+D$153*(MAX((C122-C122),0)))</f>
        <v>0.22752549337602021</v>
      </c>
      <c r="G160" s="4">
        <f>(D$146+D$147*AC122+D$148*AD122+D$149*AE122+D$150*W122+D$151*C122+D$152*AB122+D$153*(MAX((C122-C122),0)))</f>
        <v>0.22843524021171577</v>
      </c>
      <c r="I160">
        <v>2010</v>
      </c>
      <c r="J160" s="3">
        <f t="shared" ref="J160:O160" si="63">$B122*(10*EXP(B160)/(1+EXP(B160)))/1000</f>
        <v>56.811036587654975</v>
      </c>
      <c r="K160" s="3">
        <f t="shared" si="63"/>
        <v>56.811036587654975</v>
      </c>
      <c r="L160" s="3">
        <f t="shared" si="63"/>
        <v>56.788132397850951</v>
      </c>
      <c r="M160" s="3">
        <f t="shared" si="63"/>
        <v>56.788132397850951</v>
      </c>
      <c r="N160" s="3">
        <f t="shared" si="63"/>
        <v>56.788132397850951</v>
      </c>
      <c r="O160" s="3">
        <f t="shared" si="63"/>
        <v>56.811036587654975</v>
      </c>
      <c r="U160"/>
      <c r="AD160" s="3"/>
      <c r="AE160" s="3"/>
    </row>
    <row r="161" spans="1:31">
      <c r="A161">
        <v>2011</v>
      </c>
      <c r="B161" s="4">
        <f>(D$146+D$147*AC123+D$148*AD123+D$149*AE123+D$150*W123+D$151*C123+D$152*AA123+D$153*(MAX((C123-C123),0)))</f>
        <v>0.29684010694461566</v>
      </c>
      <c r="C161" s="4">
        <f t="shared" ref="C161:C180" si="64">(D$146+D$147*AC123+D$148*AD123+D$149*AE123+D$150*W123+D$151*D123+D$152*AA123+D$153*(MAX((C123-C123),0)))</f>
        <v>0.29684010694461566</v>
      </c>
      <c r="D161" s="4">
        <f t="shared" ref="D161:D180" si="65">(D$146+D$147*AC123+D$148*AD123+D$149*AE123+D$150*X123+D$151*C123+D$152*AA123+D$153*(MAX((C123-C123),0)))</f>
        <v>0.29693988208867667</v>
      </c>
      <c r="E161" s="4">
        <f t="shared" ref="E161:E180" si="66">(D$146+D$147*AC123+D$148*AD123+D$149*AE123+D$150*Y123+D$151*C123+D$152*AA123+D$153*(MAX((C123-C123),0)))</f>
        <v>0.29693988208867667</v>
      </c>
      <c r="F161" s="4">
        <f t="shared" ref="F161:F180" si="67">(D$146+D$147*AC123+D$148*AD123+D$149*AE123+D$150*Z123+D$151*C123+D$152*AA123+D$153*(MAX((C123-C123),0)))</f>
        <v>0.29693988208867667</v>
      </c>
      <c r="G161" s="4">
        <f t="shared" ref="G161:G180" si="68">(D$146+D$147*AC123+D$148*AD123+D$149*AE123+D$150*W123+D$151*C123+D$152*AB123+D$153*(MAX((C123-C123),0)))</f>
        <v>0.29684010694461566</v>
      </c>
      <c r="I161">
        <v>2011</v>
      </c>
      <c r="J161" s="3">
        <f t="shared" ref="J161:J180" si="69">$B123*(10*EXP(B161)/(1+EXP(B161)))/1000</f>
        <v>58.456960118204073</v>
      </c>
      <c r="K161" s="3">
        <f t="shared" ref="K161:K180" si="70">$B123*(10*EXP(C161)/(1+EXP(C161)))/1000</f>
        <v>58.456960118204073</v>
      </c>
      <c r="L161" s="3">
        <f t="shared" ref="L161:L180" si="71">$B123*(10*EXP(D161)/(1+EXP(D161)))/1000</f>
        <v>58.459446692392909</v>
      </c>
      <c r="M161" s="3">
        <f t="shared" ref="M161:M180" si="72">$B123*(10*EXP(E161)/(1+EXP(E161)))/1000</f>
        <v>58.459446692392909</v>
      </c>
      <c r="N161" s="3">
        <f t="shared" ref="N161:N180" si="73">$B123*(10*EXP(F161)/(1+EXP(F161)))/1000</f>
        <v>58.459446692392909</v>
      </c>
      <c r="O161" s="3">
        <f t="shared" ref="O161:O180" si="74">$B123*(10*EXP(G161)/(1+EXP(G161)))/1000</f>
        <v>58.456960118204073</v>
      </c>
      <c r="U161"/>
      <c r="AD161" s="3"/>
      <c r="AE161" s="3"/>
    </row>
    <row r="162" spans="1:31">
      <c r="A162">
        <v>2012</v>
      </c>
      <c r="B162" s="4">
        <f t="shared" ref="B162:B180" si="75">(D$146+D$147*AC124+D$148*AD124+D$149*AE124+D$150*W124+D$151*C124+D$152*AA124+D$153*(MAX((C124-C124),0)))</f>
        <v>0.37348777750817141</v>
      </c>
      <c r="C162" s="4">
        <f t="shared" si="64"/>
        <v>0.36857277062061999</v>
      </c>
      <c r="D162" s="4">
        <f t="shared" si="65"/>
        <v>0.37476642134309623</v>
      </c>
      <c r="E162" s="4">
        <f t="shared" si="66"/>
        <v>0.37363496257550616</v>
      </c>
      <c r="F162" s="4">
        <f t="shared" si="67"/>
        <v>0.37476642134309623</v>
      </c>
      <c r="G162" s="4">
        <f t="shared" si="68"/>
        <v>0.36923821549145425</v>
      </c>
      <c r="I162">
        <v>2012</v>
      </c>
      <c r="J162" s="3">
        <f t="shared" si="69"/>
        <v>60.278521501467125</v>
      </c>
      <c r="K162" s="3">
        <f t="shared" si="70"/>
        <v>60.157678347553563</v>
      </c>
      <c r="L162" s="3">
        <f t="shared" si="71"/>
        <v>60.309941054656733</v>
      </c>
      <c r="M162" s="3">
        <f t="shared" si="72"/>
        <v>60.282138593655453</v>
      </c>
      <c r="N162" s="3">
        <f t="shared" si="73"/>
        <v>60.309941054656733</v>
      </c>
      <c r="O162" s="3">
        <f t="shared" si="74"/>
        <v>60.17404572035074</v>
      </c>
      <c r="U162"/>
      <c r="AD162" s="3"/>
      <c r="AE162" s="3"/>
    </row>
    <row r="163" spans="1:31">
      <c r="A163">
        <v>2013</v>
      </c>
      <c r="B163" s="4">
        <f t="shared" si="75"/>
        <v>0.45013544807172712</v>
      </c>
      <c r="C163" s="4">
        <f t="shared" si="64"/>
        <v>0.44030543429662433</v>
      </c>
      <c r="D163" s="4">
        <f t="shared" si="65"/>
        <v>0.45115208566899812</v>
      </c>
      <c r="E163" s="4">
        <f t="shared" si="66"/>
        <v>0.45052853221251632</v>
      </c>
      <c r="F163" s="4">
        <f t="shared" si="67"/>
        <v>0.45115208566899812</v>
      </c>
      <c r="G163" s="4">
        <f t="shared" si="68"/>
        <v>0.44163632403829278</v>
      </c>
      <c r="I163">
        <v>2013</v>
      </c>
      <c r="J163" s="3">
        <f t="shared" si="69"/>
        <v>62.062538188981641</v>
      </c>
      <c r="K163" s="3">
        <f t="shared" si="70"/>
        <v>61.824761567596042</v>
      </c>
      <c r="L163" s="3">
        <f t="shared" si="71"/>
        <v>62.087100151697101</v>
      </c>
      <c r="M163" s="3">
        <f t="shared" si="72"/>
        <v>62.07203575723593</v>
      </c>
      <c r="N163" s="3">
        <f t="shared" si="73"/>
        <v>62.087100151697101</v>
      </c>
      <c r="O163" s="3">
        <f t="shared" si="74"/>
        <v>61.856984136175285</v>
      </c>
      <c r="U163"/>
      <c r="AD163" s="3"/>
      <c r="AE163" s="3"/>
    </row>
    <row r="164" spans="1:31">
      <c r="A164">
        <v>2014</v>
      </c>
      <c r="B164" s="4">
        <f t="shared" si="75"/>
        <v>0.52678311863528271</v>
      </c>
      <c r="C164" s="4">
        <f t="shared" si="64"/>
        <v>0.51203809797262845</v>
      </c>
      <c r="D164" s="4">
        <f t="shared" si="65"/>
        <v>0.52977063258783641</v>
      </c>
      <c r="E164" s="4">
        <f t="shared" si="66"/>
        <v>0.52734768148336419</v>
      </c>
      <c r="F164" s="4">
        <f t="shared" si="67"/>
        <v>0.52977063258783641</v>
      </c>
      <c r="G164" s="4">
        <f t="shared" si="68"/>
        <v>0.51403443258513115</v>
      </c>
      <c r="I164">
        <v>2014</v>
      </c>
      <c r="J164" s="3">
        <f t="shared" si="69"/>
        <v>63.797488140819766</v>
      </c>
      <c r="K164" s="3">
        <f t="shared" si="70"/>
        <v>63.447580726376081</v>
      </c>
      <c r="L164" s="3">
        <f t="shared" si="71"/>
        <v>63.868222939824911</v>
      </c>
      <c r="M164" s="3">
        <f t="shared" si="72"/>
        <v>63.81085936650932</v>
      </c>
      <c r="N164" s="3">
        <f t="shared" si="73"/>
        <v>63.868222939824911</v>
      </c>
      <c r="O164" s="3">
        <f t="shared" si="74"/>
        <v>63.495031329634415</v>
      </c>
      <c r="U164"/>
      <c r="AD164" s="3"/>
      <c r="AE164" s="3"/>
    </row>
    <row r="165" spans="1:31">
      <c r="A165">
        <v>2015</v>
      </c>
      <c r="B165" s="4">
        <f t="shared" si="75"/>
        <v>0.60343078919883841</v>
      </c>
      <c r="C165" s="4">
        <f t="shared" si="64"/>
        <v>0.58377076164863284</v>
      </c>
      <c r="D165" s="4">
        <f t="shared" si="65"/>
        <v>0.61790836027637464</v>
      </c>
      <c r="E165" s="4">
        <f t="shared" si="66"/>
        <v>0.60420718205108015</v>
      </c>
      <c r="F165" s="4">
        <f t="shared" si="67"/>
        <v>0.61790836027637464</v>
      </c>
      <c r="G165" s="4">
        <f t="shared" si="68"/>
        <v>0.58643254113196963</v>
      </c>
      <c r="I165">
        <v>2015</v>
      </c>
      <c r="J165" s="3">
        <f t="shared" si="69"/>
        <v>65.484455463218367</v>
      </c>
      <c r="K165" s="3">
        <f t="shared" si="70"/>
        <v>65.027974597841506</v>
      </c>
      <c r="L165" s="3">
        <f t="shared" si="71"/>
        <v>65.818934338043547</v>
      </c>
      <c r="M165" s="3">
        <f t="shared" si="72"/>
        <v>65.502428955343802</v>
      </c>
      <c r="N165" s="3">
        <f t="shared" si="73"/>
        <v>65.818934338043547</v>
      </c>
      <c r="O165" s="3">
        <f t="shared" si="74"/>
        <v>65.089928741869798</v>
      </c>
      <c r="U165"/>
      <c r="AD165" s="3"/>
      <c r="AE165" s="3"/>
    </row>
    <row r="166" spans="1:31">
      <c r="A166">
        <v>2016</v>
      </c>
      <c r="B166" s="4">
        <f t="shared" si="75"/>
        <v>0.6751634528748427</v>
      </c>
      <c r="C166" s="4">
        <f t="shared" si="64"/>
        <v>0.65550342532463712</v>
      </c>
      <c r="D166" s="4">
        <f t="shared" si="65"/>
        <v>0.69131192786077111</v>
      </c>
      <c r="E166" s="4">
        <f t="shared" si="66"/>
        <v>0.67616784740394686</v>
      </c>
      <c r="F166" s="4">
        <f t="shared" si="67"/>
        <v>0.69131192786077111</v>
      </c>
      <c r="G166" s="4">
        <f t="shared" si="68"/>
        <v>0.6539156427912568</v>
      </c>
      <c r="I166">
        <v>2016</v>
      </c>
      <c r="J166" s="3">
        <f t="shared" si="69"/>
        <v>66.994761890971162</v>
      </c>
      <c r="K166" s="3">
        <f t="shared" si="70"/>
        <v>66.54903184605574</v>
      </c>
      <c r="L166" s="3">
        <f t="shared" si="71"/>
        <v>67.358755385219965</v>
      </c>
      <c r="M166" s="3">
        <f t="shared" si="72"/>
        <v>67.017457619806905</v>
      </c>
      <c r="N166" s="3">
        <f t="shared" si="73"/>
        <v>67.358755385219965</v>
      </c>
      <c r="O166" s="3">
        <f t="shared" si="74"/>
        <v>66.512911585589592</v>
      </c>
      <c r="U166"/>
      <c r="AD166" s="3"/>
      <c r="AE166" s="3"/>
    </row>
    <row r="167" spans="1:31">
      <c r="A167">
        <v>2017</v>
      </c>
      <c r="B167" s="4">
        <f t="shared" si="75"/>
        <v>0.74689611655084687</v>
      </c>
      <c r="C167" s="4">
        <f t="shared" si="64"/>
        <v>0.72723608900064129</v>
      </c>
      <c r="D167" s="4">
        <f t="shared" si="65"/>
        <v>0.76168080430664742</v>
      </c>
      <c r="E167" s="4">
        <f t="shared" si="66"/>
        <v>0.7480964787351897</v>
      </c>
      <c r="F167" s="4">
        <f t="shared" si="67"/>
        <v>0.76168080430664742</v>
      </c>
      <c r="G167" s="4">
        <f t="shared" si="68"/>
        <v>0.72139874445054375</v>
      </c>
      <c r="I167">
        <v>2017</v>
      </c>
      <c r="J167" s="3">
        <f t="shared" si="69"/>
        <v>68.454067053339116</v>
      </c>
      <c r="K167" s="3">
        <f t="shared" si="70"/>
        <v>68.019882482583597</v>
      </c>
      <c r="L167" s="3">
        <f t="shared" si="71"/>
        <v>68.77858383440217</v>
      </c>
      <c r="M167" s="3">
        <f t="shared" si="72"/>
        <v>68.480478776459577</v>
      </c>
      <c r="N167" s="3">
        <f t="shared" si="73"/>
        <v>68.77858383440217</v>
      </c>
      <c r="O167" s="3">
        <f t="shared" si="74"/>
        <v>67.89038988411798</v>
      </c>
      <c r="U167"/>
      <c r="AD167" s="3"/>
      <c r="AE167" s="3"/>
    </row>
    <row r="168" spans="1:31">
      <c r="A168">
        <v>2018</v>
      </c>
      <c r="B168" s="4">
        <f t="shared" si="75"/>
        <v>0.81862878022685093</v>
      </c>
      <c r="C168" s="4">
        <f t="shared" si="64"/>
        <v>0.79896875267664536</v>
      </c>
      <c r="D168" s="4">
        <f t="shared" si="65"/>
        <v>0.83063039981969389</v>
      </c>
      <c r="E168" s="4">
        <f t="shared" si="66"/>
        <v>0.82002289281874452</v>
      </c>
      <c r="F168" s="4">
        <f t="shared" si="67"/>
        <v>0.83063039981969389</v>
      </c>
      <c r="G168" s="4">
        <f t="shared" si="68"/>
        <v>0.7888818461098307</v>
      </c>
      <c r="I168">
        <v>2018</v>
      </c>
      <c r="J168" s="3">
        <f t="shared" si="69"/>
        <v>69.852522896888757</v>
      </c>
      <c r="K168" s="3">
        <f t="shared" si="70"/>
        <v>69.43062194912369</v>
      </c>
      <c r="L168" s="3">
        <f t="shared" si="71"/>
        <v>70.1085030222021</v>
      </c>
      <c r="M168" s="3">
        <f t="shared" si="72"/>
        <v>69.882319151376905</v>
      </c>
      <c r="N168" s="3">
        <f t="shared" si="73"/>
        <v>70.1085030222021</v>
      </c>
      <c r="O168" s="3">
        <f t="shared" si="74"/>
        <v>69.212929270966086</v>
      </c>
      <c r="U168"/>
      <c r="AD168" s="3"/>
      <c r="AE168" s="3"/>
    </row>
    <row r="169" spans="1:31">
      <c r="A169">
        <v>2019</v>
      </c>
      <c r="B169" s="4">
        <f t="shared" si="75"/>
        <v>0.89036144390285554</v>
      </c>
      <c r="C169" s="4">
        <f t="shared" si="64"/>
        <v>0.87070141635264997</v>
      </c>
      <c r="D169" s="4">
        <f t="shared" si="65"/>
        <v>0.89491597157177571</v>
      </c>
      <c r="E169" s="4">
        <f t="shared" si="66"/>
        <v>0.89194552251086046</v>
      </c>
      <c r="F169" s="4">
        <f t="shared" si="67"/>
        <v>0.91079481581583321</v>
      </c>
      <c r="G169" s="4">
        <f t="shared" si="68"/>
        <v>0.85636494776911809</v>
      </c>
      <c r="I169">
        <v>2019</v>
      </c>
      <c r="J169" s="3">
        <f t="shared" si="69"/>
        <v>71.187151176813202</v>
      </c>
      <c r="K169" s="3">
        <f t="shared" si="70"/>
        <v>70.778168285932949</v>
      </c>
      <c r="L169" s="3">
        <f t="shared" si="71"/>
        <v>71.281421860195181</v>
      </c>
      <c r="M169" s="3">
        <f t="shared" si="72"/>
        <v>71.219959202860906</v>
      </c>
      <c r="N169" s="3">
        <f t="shared" si="73"/>
        <v>71.608674650790661</v>
      </c>
      <c r="O169" s="3">
        <f t="shared" si="74"/>
        <v>70.477842127336046</v>
      </c>
      <c r="U169"/>
      <c r="AD169" s="3"/>
      <c r="AE169" s="3"/>
    </row>
    <row r="170" spans="1:31">
      <c r="A170">
        <v>2020</v>
      </c>
      <c r="B170" s="4">
        <f t="shared" si="75"/>
        <v>0.9620941075788596</v>
      </c>
      <c r="C170" s="4">
        <f t="shared" si="64"/>
        <v>0.94243408002865403</v>
      </c>
      <c r="D170" s="4">
        <f t="shared" si="65"/>
        <v>0.96245111499380553</v>
      </c>
      <c r="E170" s="4">
        <f t="shared" si="66"/>
        <v>0.96373886191259617</v>
      </c>
      <c r="F170" s="4">
        <f t="shared" si="67"/>
        <v>0.98218558751495433</v>
      </c>
      <c r="G170" s="4">
        <f t="shared" si="68"/>
        <v>0.92384804942840504</v>
      </c>
      <c r="I170">
        <v>2020</v>
      </c>
      <c r="J170" s="3">
        <f t="shared" si="69"/>
        <v>72.448148753518637</v>
      </c>
      <c r="K170" s="3">
        <f t="shared" si="70"/>
        <v>72.05265363131079</v>
      </c>
      <c r="L170" s="3">
        <f t="shared" si="71"/>
        <v>72.455298666906302</v>
      </c>
      <c r="M170" s="3">
        <f t="shared" si="72"/>
        <v>72.481079342685575</v>
      </c>
      <c r="N170" s="3">
        <f t="shared" si="73"/>
        <v>72.848747352358529</v>
      </c>
      <c r="O170" s="3">
        <f t="shared" si="74"/>
        <v>71.675609623693418</v>
      </c>
      <c r="U170"/>
      <c r="AD170" s="3"/>
      <c r="AE170" s="3"/>
    </row>
    <row r="171" spans="1:31">
      <c r="A171">
        <v>2021</v>
      </c>
      <c r="B171" s="4">
        <f t="shared" si="75"/>
        <v>1.0338267712548639</v>
      </c>
      <c r="C171" s="4">
        <f t="shared" si="64"/>
        <v>1.0141667437046582</v>
      </c>
      <c r="D171" s="4">
        <f t="shared" si="65"/>
        <v>1.029865832371287</v>
      </c>
      <c r="E171" s="4">
        <f t="shared" si="66"/>
        <v>1.0355045044937909</v>
      </c>
      <c r="F171" s="4">
        <f t="shared" si="67"/>
        <v>1.0534063105397005</v>
      </c>
      <c r="G171" s="4">
        <f t="shared" si="68"/>
        <v>0.9913311510876921</v>
      </c>
      <c r="I171">
        <v>2021</v>
      </c>
      <c r="J171" s="3">
        <f t="shared" si="69"/>
        <v>73.647687094786221</v>
      </c>
      <c r="K171" s="3">
        <f t="shared" si="70"/>
        <v>73.266065987020539</v>
      </c>
      <c r="L171" s="3">
        <f t="shared" si="71"/>
        <v>73.571085999919347</v>
      </c>
      <c r="M171" s="3">
        <f t="shared" si="72"/>
        <v>73.680089561092956</v>
      </c>
      <c r="N171" s="3">
        <f t="shared" si="73"/>
        <v>74.024218209491835</v>
      </c>
      <c r="O171" s="3">
        <f t="shared" si="74"/>
        <v>72.818380818811235</v>
      </c>
      <c r="U171"/>
      <c r="AD171" s="3"/>
      <c r="AE171" s="3"/>
    </row>
    <row r="172" spans="1:31">
      <c r="A172">
        <v>2022</v>
      </c>
      <c r="B172" s="4">
        <f t="shared" si="75"/>
        <v>1.1013098729141513</v>
      </c>
      <c r="C172" s="4">
        <f t="shared" si="64"/>
        <v>1.0816498453639456</v>
      </c>
      <c r="D172" s="4">
        <f t="shared" si="65"/>
        <v>1.0953891254884698</v>
      </c>
      <c r="E172" s="4">
        <f t="shared" si="66"/>
        <v>1.1030177120653375</v>
      </c>
      <c r="F172" s="4">
        <f t="shared" si="67"/>
        <v>1.1206426312216522</v>
      </c>
      <c r="G172" s="4">
        <f t="shared" si="68"/>
        <v>1.0588142527469795</v>
      </c>
      <c r="I172">
        <v>2022</v>
      </c>
      <c r="J172" s="3">
        <f t="shared" si="69"/>
        <v>74.690302967403653</v>
      </c>
      <c r="K172" s="3">
        <f t="shared" si="70"/>
        <v>74.322140510846637</v>
      </c>
      <c r="L172" s="3">
        <f t="shared" si="71"/>
        <v>74.579807324474771</v>
      </c>
      <c r="M172" s="3">
        <f t="shared" si="72"/>
        <v>74.722114630358803</v>
      </c>
      <c r="N172" s="3">
        <f t="shared" si="73"/>
        <v>75.048818057212415</v>
      </c>
      <c r="O172" s="3">
        <f t="shared" si="74"/>
        <v>73.890005562704303</v>
      </c>
      <c r="U172"/>
      <c r="AD172" s="3"/>
      <c r="AE172" s="3"/>
    </row>
    <row r="173" spans="1:31">
      <c r="A173">
        <v>2023</v>
      </c>
      <c r="B173" s="4">
        <f t="shared" si="75"/>
        <v>1.1687929745734382</v>
      </c>
      <c r="C173" s="4">
        <f t="shared" si="64"/>
        <v>1.1491329470232325</v>
      </c>
      <c r="D173" s="4">
        <f t="shared" si="65"/>
        <v>1.1611138966354542</v>
      </c>
      <c r="E173" s="4">
        <f t="shared" si="66"/>
        <v>1.1705293246991006</v>
      </c>
      <c r="F173" s="4">
        <f t="shared" si="67"/>
        <v>1.1880499360473153</v>
      </c>
      <c r="G173" s="4">
        <f t="shared" si="68"/>
        <v>1.1262973544062664</v>
      </c>
      <c r="I173">
        <v>2023</v>
      </c>
      <c r="J173" s="3">
        <f t="shared" si="69"/>
        <v>75.667077139263114</v>
      </c>
      <c r="K173" s="3">
        <f t="shared" si="70"/>
        <v>75.312581996231884</v>
      </c>
      <c r="L173" s="3">
        <f t="shared" si="71"/>
        <v>75.529046927989114</v>
      </c>
      <c r="M173" s="3">
        <f t="shared" si="72"/>
        <v>75.698210674845598</v>
      </c>
      <c r="N173" s="3">
        <f t="shared" si="73"/>
        <v>76.010770009558925</v>
      </c>
      <c r="O173" s="3">
        <f t="shared" si="74"/>
        <v>74.896267132501151</v>
      </c>
      <c r="U173"/>
      <c r="AD173" s="3"/>
      <c r="AE173" s="3"/>
    </row>
    <row r="174" spans="1:31">
      <c r="A174">
        <v>2024</v>
      </c>
      <c r="B174" s="4">
        <f t="shared" si="75"/>
        <v>1.2362760762327252</v>
      </c>
      <c r="C174" s="4">
        <f t="shared" si="64"/>
        <v>1.2166160486825195</v>
      </c>
      <c r="D174" s="4">
        <f t="shared" si="65"/>
        <v>1.2274205896640931</v>
      </c>
      <c r="E174" s="4">
        <f t="shared" si="66"/>
        <v>1.2380364316367702</v>
      </c>
      <c r="F174" s="4">
        <f t="shared" si="67"/>
        <v>1.2555399471320643</v>
      </c>
      <c r="G174" s="4">
        <f t="shared" si="68"/>
        <v>1.1937804560655534</v>
      </c>
      <c r="I174">
        <v>2024</v>
      </c>
      <c r="J174" s="3">
        <f t="shared" si="69"/>
        <v>76.577114760539416</v>
      </c>
      <c r="K174" s="3">
        <f t="shared" si="70"/>
        <v>76.23641722909656</v>
      </c>
      <c r="L174" s="3">
        <f t="shared" si="71"/>
        <v>76.424107007793964</v>
      </c>
      <c r="M174" s="3">
        <f t="shared" si="72"/>
        <v>76.607442175332523</v>
      </c>
      <c r="N174" s="3">
        <f t="shared" si="73"/>
        <v>76.907394205575315</v>
      </c>
      <c r="O174" s="3">
        <f t="shared" si="74"/>
        <v>75.836099899575686</v>
      </c>
      <c r="U174"/>
      <c r="AD174" s="3"/>
      <c r="AE174" s="3"/>
    </row>
    <row r="175" spans="1:31">
      <c r="A175">
        <v>2025</v>
      </c>
      <c r="B175" s="4">
        <f t="shared" si="75"/>
        <v>1.3037591778920126</v>
      </c>
      <c r="C175" s="4">
        <f t="shared" si="64"/>
        <v>1.2840991503418069</v>
      </c>
      <c r="D175" s="4">
        <f t="shared" si="65"/>
        <v>1.2936018680137642</v>
      </c>
      <c r="E175" s="4">
        <f t="shared" si="66"/>
        <v>1.3055116658207808</v>
      </c>
      <c r="F175" s="4">
        <f t="shared" si="67"/>
        <v>1.322775497071655</v>
      </c>
      <c r="G175" s="4">
        <f t="shared" si="68"/>
        <v>1.2612635577248408</v>
      </c>
      <c r="I175">
        <v>2025</v>
      </c>
      <c r="J175" s="3">
        <f t="shared" si="69"/>
        <v>77.419808203173659</v>
      </c>
      <c r="K175" s="3">
        <f t="shared" si="70"/>
        <v>77.09296455236364</v>
      </c>
      <c r="L175" s="3">
        <f t="shared" si="71"/>
        <v>77.251402171932938</v>
      </c>
      <c r="M175" s="3">
        <f t="shared" si="72"/>
        <v>77.448765239466638</v>
      </c>
      <c r="N175" s="3">
        <f t="shared" si="73"/>
        <v>77.732467382299617</v>
      </c>
      <c r="O175" s="3">
        <f t="shared" si="74"/>
        <v>76.708734620557664</v>
      </c>
      <c r="U175"/>
      <c r="AD175" s="3"/>
      <c r="AE175" s="3"/>
    </row>
    <row r="176" spans="1:31">
      <c r="A176">
        <v>2026</v>
      </c>
      <c r="B176" s="4">
        <f t="shared" si="75"/>
        <v>1.3712422795512995</v>
      </c>
      <c r="C176" s="4">
        <f t="shared" si="64"/>
        <v>1.3515822520010938</v>
      </c>
      <c r="D176" s="4">
        <f t="shared" si="65"/>
        <v>1.3597031275055245</v>
      </c>
      <c r="E176" s="4">
        <f t="shared" si="66"/>
        <v>1.3729869206536571</v>
      </c>
      <c r="F176" s="4">
        <f t="shared" si="67"/>
        <v>1.389993986824505</v>
      </c>
      <c r="G176" s="4">
        <f t="shared" si="68"/>
        <v>1.3287466593841277</v>
      </c>
      <c r="I176">
        <v>2026</v>
      </c>
      <c r="J176" s="3">
        <f t="shared" si="69"/>
        <v>78.194820492126951</v>
      </c>
      <c r="K176" s="3">
        <f t="shared" si="70"/>
        <v>77.881817819519341</v>
      </c>
      <c r="L176" s="3">
        <f t="shared" si="71"/>
        <v>78.011549961982354</v>
      </c>
      <c r="M176" s="3">
        <f t="shared" si="72"/>
        <v>78.222420568953908</v>
      </c>
      <c r="N176" s="3">
        <f t="shared" si="73"/>
        <v>78.489969403004793</v>
      </c>
      <c r="O176" s="3">
        <f t="shared" si="74"/>
        <v>77.513683043845262</v>
      </c>
      <c r="U176"/>
      <c r="AD176" s="3"/>
      <c r="AE176" s="3"/>
    </row>
    <row r="177" spans="1:31">
      <c r="A177">
        <v>2027</v>
      </c>
      <c r="B177" s="4">
        <f t="shared" si="75"/>
        <v>1.4387253812105865</v>
      </c>
      <c r="C177" s="4">
        <f t="shared" si="64"/>
        <v>1.4190653536603808</v>
      </c>
      <c r="D177" s="4">
        <f t="shared" si="65"/>
        <v>1.4258556291869398</v>
      </c>
      <c r="E177" s="4">
        <f t="shared" si="66"/>
        <v>1.4404627284814913</v>
      </c>
      <c r="F177" s="4">
        <f t="shared" si="67"/>
        <v>1.4572234581970378</v>
      </c>
      <c r="G177" s="4">
        <f t="shared" si="68"/>
        <v>1.3962297610434147</v>
      </c>
      <c r="I177">
        <v>2027</v>
      </c>
      <c r="J177" s="3">
        <f t="shared" si="69"/>
        <v>78.910149636513864</v>
      </c>
      <c r="K177" s="3">
        <f t="shared" si="70"/>
        <v>78.610880465125234</v>
      </c>
      <c r="L177" s="3">
        <f t="shared" si="71"/>
        <v>78.714651569249114</v>
      </c>
      <c r="M177" s="3">
        <f t="shared" si="72"/>
        <v>78.936422411944818</v>
      </c>
      <c r="N177" s="3">
        <f t="shared" si="73"/>
        <v>79.188439145510344</v>
      </c>
      <c r="O177" s="3">
        <f t="shared" si="74"/>
        <v>78.258736411823278</v>
      </c>
      <c r="U177"/>
      <c r="AD177" s="3"/>
      <c r="AE177" s="3"/>
    </row>
    <row r="178" spans="1:31">
      <c r="A178">
        <v>2028</v>
      </c>
      <c r="B178" s="4">
        <f t="shared" si="75"/>
        <v>1.5062084828698734</v>
      </c>
      <c r="C178" s="4">
        <f t="shared" si="64"/>
        <v>1.4865484553196677</v>
      </c>
      <c r="D178" s="4">
        <f t="shared" si="65"/>
        <v>1.4920154965306212</v>
      </c>
      <c r="E178" s="4">
        <f t="shared" si="66"/>
        <v>1.5079110920641805</v>
      </c>
      <c r="F178" s="4">
        <f t="shared" si="67"/>
        <v>1.5246340875344886</v>
      </c>
      <c r="G178" s="4">
        <f t="shared" si="68"/>
        <v>1.4637128627027016</v>
      </c>
      <c r="I178">
        <v>2028</v>
      </c>
      <c r="J178" s="3">
        <f t="shared" si="69"/>
        <v>79.558066283520731</v>
      </c>
      <c r="K178" s="3">
        <f t="shared" si="70"/>
        <v>79.27239791561999</v>
      </c>
      <c r="L178" s="3">
        <f t="shared" si="71"/>
        <v>79.352193822135973</v>
      </c>
      <c r="M178" s="3">
        <f t="shared" si="72"/>
        <v>79.582638456531214</v>
      </c>
      <c r="N178" s="3">
        <f t="shared" si="73"/>
        <v>79.822570410638932</v>
      </c>
      <c r="O178" s="3">
        <f t="shared" si="74"/>
        <v>78.936109377750455</v>
      </c>
      <c r="U178"/>
      <c r="AD178" s="3"/>
      <c r="AE178" s="3"/>
    </row>
    <row r="179" spans="1:31">
      <c r="A179">
        <v>2029</v>
      </c>
      <c r="B179" s="4">
        <f t="shared" si="75"/>
        <v>1.5736915845291608</v>
      </c>
      <c r="C179" s="4">
        <f t="shared" si="64"/>
        <v>1.5540315569789551</v>
      </c>
      <c r="D179" s="4">
        <f t="shared" si="65"/>
        <v>1.5579491243635757</v>
      </c>
      <c r="E179" s="4">
        <f t="shared" si="66"/>
        <v>1.5753621840422611</v>
      </c>
      <c r="F179" s="4">
        <f t="shared" si="67"/>
        <v>1.5920501942146708</v>
      </c>
      <c r="G179" s="4">
        <f t="shared" si="68"/>
        <v>1.531195964361989</v>
      </c>
      <c r="I179">
        <v>2029</v>
      </c>
      <c r="J179" s="3">
        <f t="shared" si="69"/>
        <v>80.138918602229879</v>
      </c>
      <c r="K179" s="3">
        <f t="shared" si="70"/>
        <v>79.866665571660576</v>
      </c>
      <c r="L179" s="3">
        <f t="shared" si="71"/>
        <v>79.921195545013973</v>
      </c>
      <c r="M179" s="3">
        <f t="shared" si="72"/>
        <v>80.161891962663347</v>
      </c>
      <c r="N179" s="3">
        <f t="shared" si="73"/>
        <v>80.389996398368339</v>
      </c>
      <c r="O179" s="3">
        <f t="shared" si="74"/>
        <v>79.546034069207593</v>
      </c>
      <c r="U179"/>
      <c r="AD179" s="3"/>
      <c r="AE179" s="3"/>
    </row>
    <row r="180" spans="1:31">
      <c r="A180">
        <v>2030</v>
      </c>
      <c r="B180" s="3">
        <f t="shared" si="75"/>
        <v>1.6411746861884478</v>
      </c>
      <c r="C180" s="4">
        <f t="shared" si="64"/>
        <v>1.6215146586382421</v>
      </c>
      <c r="D180" s="4">
        <f t="shared" si="65"/>
        <v>1.6248897399587265</v>
      </c>
      <c r="E180" s="4">
        <f t="shared" si="66"/>
        <v>1.6428093208190044</v>
      </c>
      <c r="F180" s="4">
        <f t="shared" si="67"/>
        <v>1.6593439256051037</v>
      </c>
      <c r="G180" s="4">
        <f t="shared" si="68"/>
        <v>1.598679066021276</v>
      </c>
      <c r="I180">
        <v>2030</v>
      </c>
      <c r="J180" s="3">
        <f t="shared" si="69"/>
        <v>80.661623991288025</v>
      </c>
      <c r="K180" s="3">
        <f t="shared" si="70"/>
        <v>80.402526862879739</v>
      </c>
      <c r="L180" s="3">
        <f t="shared" si="71"/>
        <v>80.44725042693743</v>
      </c>
      <c r="M180" s="3">
        <f t="shared" si="72"/>
        <v>80.683012502587957</v>
      </c>
      <c r="N180" s="3">
        <f t="shared" si="73"/>
        <v>80.89803514346103</v>
      </c>
      <c r="O180" s="3">
        <f t="shared" si="74"/>
        <v>80.097265568558228</v>
      </c>
      <c r="U180"/>
      <c r="AD180" s="3"/>
      <c r="AE180" s="3"/>
    </row>
    <row r="181" spans="1:31">
      <c r="J181" s="12"/>
      <c r="P181" s="12"/>
      <c r="Q181" s="12"/>
      <c r="R181" s="23"/>
      <c r="U181"/>
      <c r="W181" s="23"/>
    </row>
    <row r="183" spans="1:31">
      <c r="A183" t="s">
        <v>290</v>
      </c>
    </row>
    <row r="184" spans="1:31">
      <c r="B184" s="75" t="s">
        <v>291</v>
      </c>
      <c r="C184" s="74" t="s">
        <v>321</v>
      </c>
      <c r="D184" s="26" t="s">
        <v>300</v>
      </c>
      <c r="E184" s="26"/>
      <c r="F184" s="26"/>
      <c r="G184" s="23" t="s">
        <v>294</v>
      </c>
    </row>
    <row r="185" spans="1:31">
      <c r="A185" s="71"/>
      <c r="B185" s="71"/>
      <c r="C185" s="71" t="s">
        <v>264</v>
      </c>
      <c r="D185" s="71" t="s">
        <v>301</v>
      </c>
      <c r="E185" s="71" t="s">
        <v>302</v>
      </c>
      <c r="F185" s="71" t="s">
        <v>303</v>
      </c>
      <c r="G185" s="71" t="s">
        <v>264</v>
      </c>
    </row>
    <row r="186" spans="1:31">
      <c r="A186">
        <v>2010</v>
      </c>
      <c r="B186" s="3">
        <v>56.839335998976757</v>
      </c>
      <c r="C186" s="3">
        <v>56.839335998976757</v>
      </c>
      <c r="D186" s="3">
        <v>56.839335998976757</v>
      </c>
      <c r="E186" s="3">
        <v>56.839335998976757</v>
      </c>
      <c r="F186" s="3">
        <v>56.839335998976757</v>
      </c>
      <c r="G186" s="3">
        <v>56.839335998976757</v>
      </c>
    </row>
    <row r="187" spans="1:31">
      <c r="A187">
        <v>2011</v>
      </c>
      <c r="B187" s="3">
        <v>58.455977366101756</v>
      </c>
      <c r="C187" s="3">
        <v>58.455977366101756</v>
      </c>
      <c r="D187" s="3">
        <v>58.455977366101756</v>
      </c>
      <c r="E187" s="3">
        <v>58.455977366101756</v>
      </c>
      <c r="F187" s="3">
        <v>58.455977366101756</v>
      </c>
      <c r="G187" s="3">
        <v>58.455977366101756</v>
      </c>
    </row>
    <row r="188" spans="1:31">
      <c r="A188">
        <v>2012</v>
      </c>
      <c r="B188" s="3">
        <v>60.277552412212913</v>
      </c>
      <c r="C188" s="3">
        <v>60.156708384327032</v>
      </c>
      <c r="D188" s="3">
        <v>60.316974563828467</v>
      </c>
      <c r="E188" s="3">
        <v>60.283981937287493</v>
      </c>
      <c r="F188" s="3">
        <v>60.455579706075383</v>
      </c>
      <c r="G188" s="3">
        <v>60.173075874835149</v>
      </c>
    </row>
    <row r="189" spans="1:31">
      <c r="A189">
        <v>2013</v>
      </c>
      <c r="B189" s="3">
        <v>62.061585374905988</v>
      </c>
      <c r="C189" s="3">
        <v>61.823806700168255</v>
      </c>
      <c r="D189" s="3">
        <v>62.110276719929907</v>
      </c>
      <c r="E189" s="3">
        <v>62.073848030879638</v>
      </c>
      <c r="F189" s="3">
        <v>62.445736727518913</v>
      </c>
      <c r="G189" s="3">
        <v>61.85602954443987</v>
      </c>
    </row>
    <row r="190" spans="1:31">
      <c r="A190">
        <v>2014</v>
      </c>
      <c r="B190" s="3">
        <v>63.796554127280082</v>
      </c>
      <c r="C190" s="3">
        <v>63.446643208044797</v>
      </c>
      <c r="D190" s="3">
        <v>63.852235990181931</v>
      </c>
      <c r="E190" s="3">
        <v>63.812635773715641</v>
      </c>
      <c r="F190" s="3">
        <v>64.177082356622293</v>
      </c>
      <c r="G190" s="3">
        <v>63.494094281007079</v>
      </c>
    </row>
    <row r="191" spans="1:31">
      <c r="A191">
        <v>2015</v>
      </c>
      <c r="B191" s="3">
        <v>65.483542478914643</v>
      </c>
      <c r="C191" s="3">
        <v>65.02705642278741</v>
      </c>
      <c r="D191" s="3">
        <v>65.42087295318747</v>
      </c>
      <c r="E191" s="3">
        <v>65.504165220814784</v>
      </c>
      <c r="F191" s="3">
        <v>65.859767666999943</v>
      </c>
      <c r="G191" s="3">
        <v>65.089011261795775</v>
      </c>
    </row>
    <row r="192" spans="1:31">
      <c r="A192">
        <v>2016</v>
      </c>
      <c r="B192" s="3">
        <v>66.993870693319508</v>
      </c>
      <c r="C192" s="3">
        <v>66.548135008085509</v>
      </c>
      <c r="D192" s="3">
        <v>66.942973746801243</v>
      </c>
      <c r="E192" s="3">
        <v>67.019152280888378</v>
      </c>
      <c r="F192" s="3">
        <v>67.365407290043137</v>
      </c>
      <c r="G192" s="3">
        <v>66.512014297338069</v>
      </c>
    </row>
    <row r="193" spans="1:7">
      <c r="A193">
        <v>2017</v>
      </c>
      <c r="B193" s="3">
        <v>68.453199210559831</v>
      </c>
      <c r="C193" s="3">
        <v>68.019008601245858</v>
      </c>
      <c r="D193" s="3">
        <v>68.412742593719599</v>
      </c>
      <c r="E193" s="3">
        <v>68.482128855864019</v>
      </c>
      <c r="F193" s="3">
        <v>68.818789314315666</v>
      </c>
      <c r="G193" s="3">
        <v>67.889514230350898</v>
      </c>
    </row>
    <row r="194" spans="1:7">
      <c r="A194">
        <v>2018</v>
      </c>
      <c r="B194" s="3">
        <v>69.851679862878356</v>
      </c>
      <c r="C194" s="3">
        <v>69.429772531663488</v>
      </c>
      <c r="D194" s="3">
        <v>69.821068225065389</v>
      </c>
      <c r="E194" s="3">
        <v>69.883921877564873</v>
      </c>
      <c r="F194" s="3">
        <v>70.099469179478831</v>
      </c>
      <c r="G194" s="3">
        <v>69.212076614315805</v>
      </c>
    </row>
    <row r="195" spans="1:7">
      <c r="A195">
        <v>2019</v>
      </c>
      <c r="B195" s="3">
        <v>71.18633419715016</v>
      </c>
      <c r="C195" s="3">
        <v>70.777344631900505</v>
      </c>
      <c r="D195" s="3">
        <v>71.1649025505547</v>
      </c>
      <c r="E195" s="3">
        <v>71.221512204890445</v>
      </c>
      <c r="F195" s="3">
        <v>71.431275115255715</v>
      </c>
      <c r="G195" s="3">
        <v>70.477013655811561</v>
      </c>
    </row>
    <row r="196" spans="1:7">
      <c r="A196">
        <v>2020</v>
      </c>
      <c r="B196" s="3">
        <v>72.447358943743026</v>
      </c>
      <c r="C196" s="3">
        <v>72.051856910697438</v>
      </c>
      <c r="D196" s="3">
        <v>72.277744811478712</v>
      </c>
      <c r="E196" s="3">
        <v>72.482580584702376</v>
      </c>
      <c r="F196" s="3">
        <v>72.687085827703172</v>
      </c>
      <c r="G196" s="3">
        <v>71.67480642936998</v>
      </c>
    </row>
    <row r="197" spans="1:7">
      <c r="A197">
        <v>2021</v>
      </c>
      <c r="B197" s="3">
        <v>73.646925203634311</v>
      </c>
      <c r="C197" s="3">
        <v>73.26529700067772</v>
      </c>
      <c r="D197" s="3">
        <v>73.340576717622156</v>
      </c>
      <c r="E197" s="3">
        <v>73.681537644105205</v>
      </c>
      <c r="F197" s="3">
        <v>73.880630966657108</v>
      </c>
      <c r="G197" s="3">
        <v>72.817603655639729</v>
      </c>
    </row>
    <row r="198" spans="1:7">
      <c r="A198">
        <v>2022</v>
      </c>
      <c r="B198" s="3">
        <v>74.689568132064736</v>
      </c>
      <c r="C198" s="3">
        <v>74.321398455689305</v>
      </c>
      <c r="D198" s="3">
        <v>74.40000491748556</v>
      </c>
      <c r="E198" s="3">
        <v>74.723511206600037</v>
      </c>
      <c r="F198" s="3">
        <v>74.917280370689866</v>
      </c>
      <c r="G198" s="3">
        <v>73.889255170237092</v>
      </c>
    </row>
    <row r="199" spans="1:7">
      <c r="A199">
        <v>2023</v>
      </c>
      <c r="B199" s="3">
        <v>75.666369756544398</v>
      </c>
      <c r="C199" s="3">
        <v>75.311867312685962</v>
      </c>
      <c r="D199" s="3">
        <v>75.393203191590331</v>
      </c>
      <c r="E199" s="3">
        <v>75.699554997469917</v>
      </c>
      <c r="F199" s="3">
        <v>75.88775006315808</v>
      </c>
      <c r="G199" s="3">
        <v>74.895544002541655</v>
      </c>
    </row>
    <row r="200" spans="1:7">
      <c r="A200">
        <v>2024</v>
      </c>
      <c r="B200" s="3">
        <v>76.576435071215457</v>
      </c>
      <c r="C200" s="3">
        <v>76.235730199274599</v>
      </c>
      <c r="D200" s="3">
        <v>76.31914192934677</v>
      </c>
      <c r="E200" s="3">
        <v>76.608733796351927</v>
      </c>
      <c r="F200" s="3">
        <v>76.791165308424013</v>
      </c>
      <c r="G200" s="3">
        <v>75.83540436309265</v>
      </c>
    </row>
    <row r="201" spans="1:7">
      <c r="A201">
        <v>2025</v>
      </c>
      <c r="B201" s="3">
        <v>77.419156300839674</v>
      </c>
      <c r="C201" s="3">
        <v>77.092305308598227</v>
      </c>
      <c r="D201" s="3">
        <v>77.176459850177665</v>
      </c>
      <c r="E201" s="3">
        <v>77.450004010162132</v>
      </c>
      <c r="F201" s="3">
        <v>77.626692123529551</v>
      </c>
      <c r="G201" s="3">
        <v>76.708066855821357</v>
      </c>
    </row>
    <row r="202" spans="1:7">
      <c r="A202">
        <v>2026</v>
      </c>
      <c r="B202" s="3">
        <v>78.194196333062706</v>
      </c>
      <c r="C202" s="3">
        <v>77.881186353981263</v>
      </c>
      <c r="D202" s="3">
        <v>77.926376362395246</v>
      </c>
      <c r="E202" s="3">
        <v>78.223606578647008</v>
      </c>
      <c r="F202" s="3">
        <v>78.394399508564774</v>
      </c>
      <c r="G202" s="3">
        <v>77.513043085734267</v>
      </c>
    </row>
    <row r="203" spans="1:7">
      <c r="A203">
        <v>2027</v>
      </c>
      <c r="B203" s="3">
        <v>78.909552989187034</v>
      </c>
      <c r="C203" s="3">
        <v>78.610276578410591</v>
      </c>
      <c r="D203" s="3">
        <v>78.619958640985388</v>
      </c>
      <c r="E203" s="3">
        <v>78.937556106106157</v>
      </c>
      <c r="F203" s="3">
        <v>79.102353864936987</v>
      </c>
      <c r="G203" s="3">
        <v>78.25812409932081</v>
      </c>
    </row>
    <row r="204" spans="1:7">
      <c r="A204">
        <v>2028</v>
      </c>
      <c r="B204" s="3">
        <v>79.557496866999315</v>
      </c>
      <c r="C204" s="3">
        <v>79.271821356550205</v>
      </c>
      <c r="D204" s="3">
        <v>79.248624916875272</v>
      </c>
      <c r="E204" s="3">
        <v>79.583720393443201</v>
      </c>
      <c r="F204" s="3">
        <v>79.742598439931157</v>
      </c>
      <c r="G204" s="3">
        <v>78.935524495335443</v>
      </c>
    </row>
    <row r="205" spans="1:7">
      <c r="A205">
        <v>2029</v>
      </c>
      <c r="B205" s="3">
        <v>80.138376031323389</v>
      </c>
      <c r="C205" s="3">
        <v>79.86611598162969</v>
      </c>
      <c r="D205" s="3">
        <v>79.813372207094545</v>
      </c>
      <c r="E205" s="3">
        <v>80.162922876867114</v>
      </c>
      <c r="F205" s="3">
        <v>80.249509866502208</v>
      </c>
      <c r="G205" s="3">
        <v>79.545476290259202</v>
      </c>
    </row>
    <row r="206" spans="1:7">
      <c r="A206">
        <v>2030</v>
      </c>
      <c r="B206" s="3">
        <v>80.661107734376188</v>
      </c>
      <c r="C206" s="3">
        <v>80.402003732975118</v>
      </c>
      <c r="D206" s="3">
        <v>80.322746340000819</v>
      </c>
      <c r="E206" s="3">
        <v>80.683993410819042</v>
      </c>
      <c r="F206" s="3">
        <v>80.768105414988611</v>
      </c>
      <c r="G206" s="3">
        <v>80.096734411631957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>
      <selection activeCell="A3" sqref="A3:G21"/>
    </sheetView>
  </sheetViews>
  <sheetFormatPr defaultRowHeight="15"/>
  <cols>
    <col min="1" max="1" width="18.140625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0.98761942240726319</v>
      </c>
    </row>
    <row r="5" spans="1:7">
      <c r="A5" s="13" t="s">
        <v>80</v>
      </c>
      <c r="B5" s="13">
        <v>0.9753921235160562</v>
      </c>
    </row>
    <row r="6" spans="1:7">
      <c r="A6" s="13" t="s">
        <v>81</v>
      </c>
      <c r="B6" s="13">
        <v>0.97338331727246885</v>
      </c>
    </row>
    <row r="7" spans="1:7">
      <c r="A7" s="13" t="s">
        <v>82</v>
      </c>
      <c r="B7" s="13">
        <v>0.20862069880189932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84.530994342049937</v>
      </c>
      <c r="D12" s="13">
        <v>21.132748585512484</v>
      </c>
      <c r="E12" s="13">
        <v>485.55809034834476</v>
      </c>
      <c r="F12" s="13">
        <v>9.4943507789416127E-39</v>
      </c>
    </row>
    <row r="13" spans="1:7">
      <c r="A13" s="13" t="s">
        <v>86</v>
      </c>
      <c r="B13" s="13">
        <v>49</v>
      </c>
      <c r="C13" s="13">
        <v>2.1326072024610467</v>
      </c>
      <c r="D13" s="13">
        <v>4.3522595968592794E-2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86.663601544510982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1.9831706976356491</v>
      </c>
      <c r="C17" s="13">
        <v>0.13210320150888255</v>
      </c>
      <c r="D17" s="13">
        <v>15.012283388925299</v>
      </c>
      <c r="E17" s="13">
        <v>5.8361015230821846E-20</v>
      </c>
      <c r="F17" s="13">
        <v>1.7176993751379048</v>
      </c>
      <c r="G17" s="13">
        <v>2.2486420201333934</v>
      </c>
    </row>
    <row r="18" spans="1:7">
      <c r="A18" s="13" t="s">
        <v>229</v>
      </c>
      <c r="B18" s="13">
        <v>5.9864045322367892E-3</v>
      </c>
      <c r="C18" s="13">
        <v>2.5001198851967965E-4</v>
      </c>
      <c r="D18" s="13">
        <v>23.944469893952988</v>
      </c>
      <c r="E18" s="13">
        <v>1.066288214070995E-28</v>
      </c>
      <c r="F18" s="13">
        <v>5.4839866311222011E-3</v>
      </c>
      <c r="G18" s="13">
        <v>6.4888224333513773E-3</v>
      </c>
    </row>
    <row r="19" spans="1:7">
      <c r="A19" s="13" t="s">
        <v>2085</v>
      </c>
      <c r="B19" s="13">
        <v>1.9164527288485247</v>
      </c>
      <c r="C19" s="13">
        <v>0.13018787165858825</v>
      </c>
      <c r="D19" s="13">
        <v>14.720670247028345</v>
      </c>
      <c r="E19" s="13">
        <v>1.2860952780281324E-19</v>
      </c>
      <c r="F19" s="13">
        <v>1.6548304057888663</v>
      </c>
      <c r="G19" s="13">
        <v>2.1780750519081833</v>
      </c>
    </row>
    <row r="20" spans="1:7">
      <c r="A20" s="13" t="s">
        <v>2003</v>
      </c>
      <c r="B20" s="13">
        <v>-0.43755461145715235</v>
      </c>
      <c r="C20" s="13">
        <v>9.7562004919044237E-2</v>
      </c>
      <c r="D20" s="13">
        <v>-4.4848874499886495</v>
      </c>
      <c r="E20" s="13">
        <v>4.4084277805276769E-5</v>
      </c>
      <c r="F20" s="13">
        <v>-0.63361280062714465</v>
      </c>
      <c r="G20" s="13">
        <v>-0.24149642228716006</v>
      </c>
    </row>
    <row r="21" spans="1:7" ht="15.75" thickBot="1">
      <c r="A21" s="14" t="s">
        <v>231</v>
      </c>
      <c r="B21" s="14">
        <v>0.8958868437324421</v>
      </c>
      <c r="C21" s="14">
        <v>0.12109229169824463</v>
      </c>
      <c r="D21" s="14">
        <v>7.3983804515397491</v>
      </c>
      <c r="E21" s="14">
        <v>1.6056675765810033E-9</v>
      </c>
      <c r="F21" s="14">
        <v>0.65254277292841922</v>
      </c>
      <c r="G21" s="14">
        <v>1.139230914536465</v>
      </c>
    </row>
    <row r="44" spans="8:8">
      <c r="H44" t="s">
        <v>1985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166"/>
  <sheetViews>
    <sheetView zoomScale="75" zoomScaleNormal="75" workbookViewId="0">
      <pane xSplit="1" ySplit="4" topLeftCell="AW27" activePane="bottomRight" state="frozen"/>
      <selection activeCell="BN97" sqref="BN97"/>
      <selection pane="topRight" activeCell="BN97" sqref="BN97"/>
      <selection pane="bottomLeft" activeCell="BN97" sqref="BN97"/>
      <selection pane="bottomRight" activeCell="BJ8" sqref="BJ8:BS80"/>
    </sheetView>
  </sheetViews>
  <sheetFormatPr defaultRowHeight="15"/>
  <cols>
    <col min="2" max="2" width="12.7109375" customWidth="1"/>
    <col min="3" max="3" width="21.7109375" customWidth="1"/>
    <col min="4" max="4" width="9.42578125" customWidth="1"/>
    <col min="5" max="5" width="9.28515625" customWidth="1"/>
    <col min="6" max="6" width="11.5703125" customWidth="1"/>
    <col min="7" max="7" width="14.42578125" customWidth="1"/>
    <col min="8" max="8" width="9" customWidth="1"/>
    <col min="9" max="9" width="8" customWidth="1"/>
    <col min="11" max="11" width="8.140625" customWidth="1"/>
    <col min="12" max="12" width="7.42578125" customWidth="1"/>
    <col min="13" max="13" width="2.5703125" customWidth="1"/>
    <col min="14" max="14" width="8.7109375" customWidth="1"/>
    <col min="15" max="15" width="8" customWidth="1"/>
    <col min="16" max="16" width="3.5703125" customWidth="1"/>
    <col min="17" max="17" width="8.5703125" customWidth="1"/>
    <col min="18" max="18" width="8" customWidth="1"/>
    <col min="24" max="24" width="10.7109375" customWidth="1"/>
    <col min="25" max="26" width="10.140625" customWidth="1"/>
    <col min="30" max="30" width="15" customWidth="1"/>
    <col min="37" max="37" width="18.42578125" customWidth="1"/>
    <col min="38" max="38" width="10.5703125" customWidth="1"/>
    <col min="39" max="40" width="17.140625" customWidth="1"/>
    <col min="41" max="41" width="6.28515625" customWidth="1"/>
    <col min="45" max="45" width="4.5703125" customWidth="1"/>
    <col min="46" max="46" width="13" customWidth="1"/>
    <col min="47" max="47" width="12.5703125" customWidth="1"/>
    <col min="48" max="48" width="16.5703125" customWidth="1"/>
    <col min="55" max="55" width="14" customWidth="1"/>
    <col min="56" max="56" width="14.42578125" customWidth="1"/>
    <col min="63" max="63" width="12" customWidth="1"/>
    <col min="64" max="64" width="10.42578125" customWidth="1"/>
    <col min="65" max="65" width="4.5703125" customWidth="1"/>
    <col min="66" max="66" width="15.85546875" customWidth="1"/>
  </cols>
  <sheetData>
    <row r="1" spans="1:71">
      <c r="A1" t="s">
        <v>2138</v>
      </c>
      <c r="W1" t="s">
        <v>2138</v>
      </c>
      <c r="AC1" t="s">
        <v>2138</v>
      </c>
      <c r="AJ1" t="s">
        <v>2138</v>
      </c>
      <c r="AK1" t="s">
        <v>2154</v>
      </c>
      <c r="AL1" t="s">
        <v>2154</v>
      </c>
      <c r="AM1" t="s">
        <v>2154</v>
      </c>
      <c r="AN1" t="s">
        <v>2154</v>
      </c>
      <c r="AP1" s="9"/>
      <c r="AQ1" s="9"/>
      <c r="AR1" s="12" t="s">
        <v>2146</v>
      </c>
      <c r="AT1" s="2"/>
      <c r="AU1" s="7"/>
      <c r="AV1" s="7"/>
      <c r="AY1" t="s">
        <v>2138</v>
      </c>
      <c r="AZ1" t="s">
        <v>2593</v>
      </c>
    </row>
    <row r="2" spans="1:71">
      <c r="D2" t="s">
        <v>2627</v>
      </c>
      <c r="Z2" t="s">
        <v>2627</v>
      </c>
      <c r="AK2" s="23" t="s">
        <v>2139</v>
      </c>
      <c r="AP2" s="9"/>
      <c r="AQ2" s="9" t="s">
        <v>2143</v>
      </c>
      <c r="AR2" s="44" t="s">
        <v>2147</v>
      </c>
      <c r="AT2" s="2"/>
      <c r="AU2" s="7"/>
      <c r="AV2" s="7"/>
      <c r="AZ2" t="s">
        <v>2592</v>
      </c>
      <c r="BD2" t="s">
        <v>2048</v>
      </c>
      <c r="BE2" t="s">
        <v>2046</v>
      </c>
      <c r="BF2" t="s">
        <v>2047</v>
      </c>
    </row>
    <row r="3" spans="1:71">
      <c r="B3" s="32" t="s">
        <v>2475</v>
      </c>
      <c r="C3" t="s">
        <v>2171</v>
      </c>
      <c r="D3" t="s">
        <v>2171</v>
      </c>
      <c r="E3" t="s">
        <v>2171</v>
      </c>
      <c r="H3" t="s">
        <v>2476</v>
      </c>
      <c r="I3" t="s">
        <v>2476</v>
      </c>
      <c r="X3" s="32" t="s">
        <v>2474</v>
      </c>
      <c r="Y3" t="s">
        <v>2171</v>
      </c>
      <c r="Z3" t="s">
        <v>2171</v>
      </c>
      <c r="AA3" t="s">
        <v>2171</v>
      </c>
      <c r="AD3" s="32" t="s">
        <v>2172</v>
      </c>
      <c r="AE3" t="s">
        <v>2171</v>
      </c>
      <c r="AF3" t="s">
        <v>2171</v>
      </c>
      <c r="AG3" t="s">
        <v>2171</v>
      </c>
      <c r="AK3" t="s">
        <v>101</v>
      </c>
      <c r="AL3" t="s">
        <v>2162</v>
      </c>
      <c r="AM3" t="s">
        <v>2152</v>
      </c>
      <c r="AN3" s="44" t="s">
        <v>2155</v>
      </c>
      <c r="AP3" s="9"/>
      <c r="AQ3" s="9" t="s">
        <v>2144</v>
      </c>
      <c r="AR3" s="44" t="s">
        <v>2148</v>
      </c>
      <c r="AT3" s="2"/>
      <c r="AU3" s="7"/>
      <c r="AV3" s="7"/>
      <c r="AZ3" t="s">
        <v>2141</v>
      </c>
      <c r="BA3" t="s">
        <v>2480</v>
      </c>
      <c r="BB3" t="s">
        <v>2480</v>
      </c>
      <c r="BC3" t="s">
        <v>2480</v>
      </c>
      <c r="BD3" t="s">
        <v>2169</v>
      </c>
    </row>
    <row r="4" spans="1:71">
      <c r="B4" s="6" t="s">
        <v>2163</v>
      </c>
      <c r="C4" s="8" t="s">
        <v>267</v>
      </c>
      <c r="D4" s="8" t="s">
        <v>268</v>
      </c>
      <c r="E4" s="8" t="s">
        <v>266</v>
      </c>
      <c r="G4" s="8" t="s">
        <v>2164</v>
      </c>
      <c r="H4" s="8" t="s">
        <v>2170</v>
      </c>
      <c r="I4" s="12" t="s">
        <v>2165</v>
      </c>
      <c r="J4" s="12" t="s">
        <v>2166</v>
      </c>
      <c r="K4" s="12" t="s">
        <v>2167</v>
      </c>
      <c r="L4" s="12" t="s">
        <v>2168</v>
      </c>
      <c r="M4" s="12"/>
      <c r="S4" s="12"/>
      <c r="T4" s="12" t="s">
        <v>2173</v>
      </c>
      <c r="U4" s="12" t="s">
        <v>1983</v>
      </c>
      <c r="X4" s="6" t="s">
        <v>2163</v>
      </c>
      <c r="Y4" s="8" t="s">
        <v>267</v>
      </c>
      <c r="Z4" s="8" t="s">
        <v>268</v>
      </c>
      <c r="AA4" s="8" t="s">
        <v>266</v>
      </c>
      <c r="AD4" s="6" t="s">
        <v>2163</v>
      </c>
      <c r="AE4" s="8" t="s">
        <v>267</v>
      </c>
      <c r="AF4" s="8" t="s">
        <v>268</v>
      </c>
      <c r="AG4" s="8" t="s">
        <v>266</v>
      </c>
      <c r="AK4" t="s">
        <v>2151</v>
      </c>
      <c r="AL4" t="s">
        <v>2140</v>
      </c>
      <c r="AM4" t="s">
        <v>2151</v>
      </c>
      <c r="AN4" s="44" t="s">
        <v>2153</v>
      </c>
      <c r="AP4" s="9" t="s">
        <v>2142</v>
      </c>
      <c r="AQ4" s="9" t="s">
        <v>2145</v>
      </c>
      <c r="AR4" s="44" t="s">
        <v>2149</v>
      </c>
      <c r="AT4" s="32" t="s">
        <v>2150</v>
      </c>
      <c r="AU4" s="145" t="s">
        <v>2156</v>
      </c>
      <c r="AV4" s="146" t="s">
        <v>2157</v>
      </c>
      <c r="AZ4" t="s">
        <v>2158</v>
      </c>
      <c r="BA4" t="s">
        <v>2159</v>
      </c>
      <c r="BB4" t="s">
        <v>2160</v>
      </c>
      <c r="BC4" s="12" t="s">
        <v>2161</v>
      </c>
      <c r="BD4" s="8" t="s">
        <v>2161</v>
      </c>
    </row>
    <row r="5" spans="1:71">
      <c r="A5">
        <v>1965</v>
      </c>
      <c r="B5" s="7"/>
      <c r="C5" s="12"/>
      <c r="D5" s="12"/>
      <c r="E5" s="12"/>
      <c r="W5">
        <v>1965</v>
      </c>
      <c r="AC5">
        <v>1965</v>
      </c>
      <c r="AJ5">
        <v>1965</v>
      </c>
      <c r="AK5" s="9">
        <v>32219.109777089761</v>
      </c>
      <c r="AM5" s="9">
        <f>AK5-AL5</f>
        <v>32219.109777089761</v>
      </c>
      <c r="AN5" s="9"/>
      <c r="AO5" s="4"/>
      <c r="AP5" s="9"/>
      <c r="AQ5" s="9">
        <v>201.68232073961974</v>
      </c>
      <c r="AR5" s="9"/>
      <c r="AT5" s="143"/>
      <c r="AU5" s="145"/>
      <c r="AV5" s="7"/>
      <c r="AY5">
        <v>1965</v>
      </c>
      <c r="BC5">
        <v>0</v>
      </c>
    </row>
    <row r="6" spans="1:71">
      <c r="A6">
        <v>1966</v>
      </c>
      <c r="B6" s="7"/>
      <c r="C6" s="12"/>
      <c r="D6" s="12"/>
      <c r="E6" s="12"/>
      <c r="W6">
        <v>1966</v>
      </c>
      <c r="AC6">
        <v>1966</v>
      </c>
      <c r="AJ6">
        <v>1966</v>
      </c>
      <c r="AK6" s="9">
        <v>34699.272860541525</v>
      </c>
      <c r="AM6" s="9">
        <f t="shared" ref="AM6:AM69" si="0">AK6-AL6</f>
        <v>34699.272860541525</v>
      </c>
      <c r="AN6" s="9"/>
      <c r="AO6" s="4"/>
      <c r="AP6" s="3">
        <v>5.4491232642112974</v>
      </c>
      <c r="AQ6" s="9">
        <f t="shared" ref="AQ6:AQ9" si="1">AQ5*(1+AP6/100)</f>
        <v>212.6722389988436</v>
      </c>
      <c r="AR6" s="9"/>
      <c r="AT6" s="2"/>
      <c r="AU6" s="145"/>
      <c r="AV6" s="7"/>
      <c r="AY6">
        <v>1966</v>
      </c>
      <c r="BC6">
        <v>0</v>
      </c>
    </row>
    <row r="7" spans="1:71">
      <c r="H7" t="s">
        <v>267</v>
      </c>
      <c r="I7" t="s">
        <v>2533</v>
      </c>
      <c r="W7">
        <v>1967</v>
      </c>
      <c r="AC7">
        <v>1967</v>
      </c>
      <c r="AJ7">
        <v>1967</v>
      </c>
      <c r="AK7" s="9">
        <v>37371.112971680966</v>
      </c>
      <c r="AM7" s="9">
        <f t="shared" si="0"/>
        <v>37371.112971680966</v>
      </c>
      <c r="AN7" s="9">
        <f>AVERAGE(AM5:AM7)</f>
        <v>34763.165203104087</v>
      </c>
      <c r="AO7" s="4"/>
      <c r="AP7" s="3">
        <v>3.7217365126039681</v>
      </c>
      <c r="AQ7" s="9">
        <f t="shared" si="1"/>
        <v>220.58733936983595</v>
      </c>
      <c r="AR7" s="9">
        <f>AVERAGE(AQ5:AQ7)</f>
        <v>211.64729970276642</v>
      </c>
      <c r="AT7" s="2">
        <f>AN7/AR7</f>
        <v>164.25045465699225</v>
      </c>
      <c r="AU7" s="145"/>
      <c r="AV7" s="7"/>
      <c r="AY7">
        <v>1967</v>
      </c>
      <c r="BC7">
        <v>0</v>
      </c>
    </row>
    <row r="8" spans="1:71">
      <c r="B8" s="32" t="s">
        <v>2475</v>
      </c>
      <c r="C8" t="s">
        <v>2097</v>
      </c>
      <c r="D8" t="s">
        <v>2097</v>
      </c>
      <c r="E8" t="s">
        <v>2097</v>
      </c>
      <c r="H8" s="8" t="s">
        <v>2534</v>
      </c>
      <c r="I8" s="8"/>
      <c r="W8">
        <v>1968</v>
      </c>
      <c r="AC8">
        <v>1968</v>
      </c>
      <c r="AJ8">
        <v>1968</v>
      </c>
      <c r="AK8" s="9">
        <v>40494.344027702282</v>
      </c>
      <c r="AM8" s="9">
        <f t="shared" si="0"/>
        <v>40494.344027702282</v>
      </c>
      <c r="AN8" s="9">
        <f t="shared" ref="AN8:AN71" si="2">AVERAGE(AM6:AM8)</f>
        <v>37521.576619974927</v>
      </c>
      <c r="AO8" s="4"/>
      <c r="AP8" s="3">
        <v>5.4988263091430456</v>
      </c>
      <c r="AQ8" s="9">
        <f t="shared" si="1"/>
        <v>232.71705402174314</v>
      </c>
      <c r="AR8" s="9">
        <f t="shared" ref="AR8" si="3">AVERAGE(AQ6:AQ8)</f>
        <v>221.99221079680754</v>
      </c>
      <c r="AT8" s="2">
        <f t="shared" ref="AT8:AT71" si="4">AN8/AR8</f>
        <v>169.0220412927863</v>
      </c>
      <c r="AU8" s="7">
        <f t="shared" ref="AU8:AU39" si="5">(AT8/AT7-1)*100</f>
        <v>2.905067535891237</v>
      </c>
      <c r="AV8" s="7">
        <f t="shared" ref="AV8:AV55" si="6">AVERAGE(AU8:AU9)</f>
        <v>3.0247838328451571</v>
      </c>
      <c r="AW8" s="3"/>
      <c r="AY8">
        <v>1968</v>
      </c>
      <c r="BC8">
        <v>0</v>
      </c>
      <c r="BK8" s="32" t="s">
        <v>2475</v>
      </c>
      <c r="BL8" t="s">
        <v>2097</v>
      </c>
      <c r="BO8" s="8" t="s">
        <v>2534</v>
      </c>
      <c r="BP8" s="8"/>
    </row>
    <row r="9" spans="1:71">
      <c r="B9" s="6" t="s">
        <v>2163</v>
      </c>
      <c r="C9" s="8" t="s">
        <v>267</v>
      </c>
      <c r="D9" s="8" t="s">
        <v>268</v>
      </c>
      <c r="E9" s="8" t="s">
        <v>266</v>
      </c>
      <c r="G9" s="8" t="s">
        <v>2164</v>
      </c>
      <c r="H9" s="8" t="s">
        <v>2535</v>
      </c>
      <c r="I9" s="8" t="s">
        <v>2165</v>
      </c>
      <c r="J9" s="12" t="s">
        <v>2166</v>
      </c>
      <c r="K9" s="12" t="s">
        <v>2167</v>
      </c>
      <c r="L9" s="12" t="s">
        <v>2168</v>
      </c>
      <c r="M9" s="12"/>
      <c r="W9">
        <v>1969</v>
      </c>
      <c r="AC9">
        <v>1969</v>
      </c>
      <c r="AJ9">
        <v>1969</v>
      </c>
      <c r="AK9" s="9">
        <v>43973.296146720772</v>
      </c>
      <c r="AM9" s="9">
        <f t="shared" si="0"/>
        <v>43973.296146720772</v>
      </c>
      <c r="AN9" s="9">
        <f>AVERAGE(AM7:AM9)</f>
        <v>40612.917715368007</v>
      </c>
      <c r="AO9" s="4"/>
      <c r="AP9" s="3">
        <v>5.5208489360599522</v>
      </c>
      <c r="AQ9" s="9">
        <f t="shared" si="1"/>
        <v>245.56501102273262</v>
      </c>
      <c r="AR9" s="9">
        <f>AVERAGE(AQ7:AQ9)</f>
        <v>232.9564681381039</v>
      </c>
      <c r="AT9" s="2">
        <f t="shared" si="4"/>
        <v>174.33693960062701</v>
      </c>
      <c r="AU9" s="7">
        <f t="shared" si="5"/>
        <v>3.1445001297990771</v>
      </c>
      <c r="AV9" s="7">
        <f>AVERAGE(AU9:AU10)</f>
        <v>3.4259930254809556</v>
      </c>
      <c r="AW9" s="3"/>
      <c r="AY9">
        <v>1969</v>
      </c>
      <c r="BC9">
        <v>0</v>
      </c>
      <c r="BK9" s="6" t="s">
        <v>2163</v>
      </c>
      <c r="BL9" s="8" t="s">
        <v>267</v>
      </c>
      <c r="BN9" s="8" t="s">
        <v>2164</v>
      </c>
      <c r="BO9" s="8" t="s">
        <v>2535</v>
      </c>
      <c r="BP9" s="8" t="s">
        <v>2165</v>
      </c>
      <c r="BQ9" s="12" t="s">
        <v>2166</v>
      </c>
      <c r="BR9" s="12" t="s">
        <v>2167</v>
      </c>
      <c r="BS9" s="12" t="s">
        <v>2168</v>
      </c>
    </row>
    <row r="10" spans="1:71" s="12" customFormat="1">
      <c r="A10" s="12">
        <v>1970</v>
      </c>
      <c r="B10" s="7">
        <f>USA!Z57*'World Oil Price analysis'!U$50/'World Oil Price analysis'!U10/'World Oil Price analysis'!T10</f>
        <v>19.491740993610982</v>
      </c>
      <c r="C10" s="7">
        <f>C$87+C$88*G10+C$89*H10+C$90*I10+C$91*J10+C$92*K10+C$93*L10</f>
        <v>12.260693879740561</v>
      </c>
      <c r="D10" s="7"/>
      <c r="E10" s="7"/>
      <c r="F10"/>
      <c r="G10" s="7">
        <f>AV10</f>
        <v>3.4862034091433292</v>
      </c>
      <c r="H10" s="12">
        <f>BC10</f>
        <v>0</v>
      </c>
      <c r="I10" s="12">
        <v>0</v>
      </c>
      <c r="J10" s="12">
        <v>0</v>
      </c>
      <c r="K10" s="12">
        <v>0</v>
      </c>
      <c r="L10" s="12">
        <v>0</v>
      </c>
      <c r="N10"/>
      <c r="O10"/>
      <c r="P10"/>
      <c r="Q10"/>
      <c r="R10"/>
      <c r="T10" s="7">
        <v>0.96599999999999997</v>
      </c>
      <c r="U10" s="7">
        <f>USA!AU57</f>
        <v>17.791683687097141</v>
      </c>
      <c r="W10" s="12">
        <v>1970</v>
      </c>
      <c r="X10" s="7">
        <f t="shared" ref="X10:X57" si="7">B10*T10</f>
        <v>18.829021799828208</v>
      </c>
      <c r="AC10" s="12">
        <v>1970</v>
      </c>
      <c r="AD10" s="7">
        <f t="shared" ref="AD10:AD57" si="8">B10*T10*$U$58/$U$50</f>
        <v>21.734722600286851</v>
      </c>
      <c r="AE10" s="7">
        <f t="shared" ref="AE10:AE73" si="9">C10*T10*$U$58/$U$50</f>
        <v>13.671574050288468</v>
      </c>
      <c r="AJ10" s="12">
        <v>1970</v>
      </c>
      <c r="AK10" s="44">
        <v>48662.996965673192</v>
      </c>
      <c r="AM10" s="44">
        <f t="shared" si="0"/>
        <v>48662.996965673192</v>
      </c>
      <c r="AN10" s="44">
        <f t="shared" si="2"/>
        <v>44376.879046698748</v>
      </c>
      <c r="AO10" s="21"/>
      <c r="AP10" s="7">
        <v>5.0874845213752629</v>
      </c>
      <c r="AQ10" s="44">
        <f>AQ9*(1+AP10/100)</f>
        <v>258.0580929484276</v>
      </c>
      <c r="AR10" s="44">
        <f t="shared" ref="AR10" si="10">AVERAGE(AQ8:AQ10)</f>
        <v>245.4467193309678</v>
      </c>
      <c r="AT10" s="32">
        <f t="shared" si="4"/>
        <v>180.80045709170642</v>
      </c>
      <c r="AU10" s="7">
        <f t="shared" si="5"/>
        <v>3.7074859211628342</v>
      </c>
      <c r="AV10" s="7">
        <f>AVERAGE(AU10:AU11)</f>
        <v>3.4862034091433292</v>
      </c>
      <c r="AW10" s="7"/>
      <c r="AY10" s="12">
        <v>1970</v>
      </c>
      <c r="BC10" s="12">
        <v>0</v>
      </c>
      <c r="BJ10" s="12">
        <v>1970</v>
      </c>
      <c r="BK10" s="7">
        <v>19.491740993610982</v>
      </c>
      <c r="BL10" s="7">
        <v>12.260693879740561</v>
      </c>
      <c r="BN10" s="7">
        <v>3.4862034091433292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</row>
    <row r="11" spans="1:71">
      <c r="A11">
        <v>1971</v>
      </c>
      <c r="B11" s="7">
        <f>USA!Z58*'World Oil Price analysis'!U$50/'World Oil Price analysis'!U11/'World Oil Price analysis'!T11</f>
        <v>18.793578391027218</v>
      </c>
      <c r="C11" s="3">
        <f t="shared" ref="C11:C73" si="11">C$87+C$88*G11+C$89*H11+C$90*I11+C$91*J11+C$92*K11+C$93*L11</f>
        <v>18.029374434570254</v>
      </c>
      <c r="D11" s="3"/>
      <c r="E11" s="3"/>
      <c r="G11" s="3">
        <f t="shared" ref="G11:G74" si="12">AV11</f>
        <v>2.6802428012038915</v>
      </c>
      <c r="H11" s="12">
        <f>BC11</f>
        <v>0</v>
      </c>
      <c r="I11">
        <v>0</v>
      </c>
      <c r="J11">
        <v>0</v>
      </c>
      <c r="K11">
        <v>0</v>
      </c>
      <c r="L11">
        <v>0</v>
      </c>
      <c r="T11" s="3">
        <v>1.02</v>
      </c>
      <c r="U11" s="7">
        <f>USA!AU58</f>
        <v>18.571216219779235</v>
      </c>
      <c r="W11">
        <v>1971</v>
      </c>
      <c r="X11" s="7">
        <f t="shared" si="7"/>
        <v>19.169449958847764</v>
      </c>
      <c r="AC11">
        <v>1971</v>
      </c>
      <c r="AD11" s="7">
        <f t="shared" si="8"/>
        <v>22.127685744112195</v>
      </c>
      <c r="AE11" s="7">
        <f t="shared" si="9"/>
        <v>21.227906860014183</v>
      </c>
      <c r="AJ11">
        <v>1971</v>
      </c>
      <c r="AK11" s="9">
        <v>51567.624902735166</v>
      </c>
      <c r="AM11" s="9">
        <f t="shared" si="0"/>
        <v>51567.624902735166</v>
      </c>
      <c r="AN11" s="9">
        <f t="shared" si="2"/>
        <v>48067.972671709715</v>
      </c>
      <c r="AO11" s="4"/>
      <c r="AP11" s="3">
        <v>4.1415475267402746</v>
      </c>
      <c r="AQ11" s="9">
        <f t="shared" ref="AQ11:AQ74" si="13">AQ10*(1+AP11/100)</f>
        <v>268.74569151448634</v>
      </c>
      <c r="AR11" s="9">
        <f>AVERAGE(AQ9:AQ11)</f>
        <v>257.45626516188219</v>
      </c>
      <c r="AT11" s="2">
        <f t="shared" si="4"/>
        <v>186.70344899738893</v>
      </c>
      <c r="AU11" s="7">
        <f t="shared" si="5"/>
        <v>3.2649208971238242</v>
      </c>
      <c r="AV11" s="7">
        <f>AVERAGE(AU11:AU12)</f>
        <v>2.6802428012038915</v>
      </c>
      <c r="AW11" s="3"/>
      <c r="AY11">
        <v>1971</v>
      </c>
      <c r="BC11">
        <v>0</v>
      </c>
      <c r="BJ11">
        <v>1971</v>
      </c>
      <c r="BK11" s="7">
        <v>18.793578391027218</v>
      </c>
      <c r="BL11" s="3">
        <v>18.029374434570254</v>
      </c>
      <c r="BN11" s="3">
        <v>2.6802428012038915</v>
      </c>
      <c r="BO11" s="12">
        <v>0</v>
      </c>
      <c r="BP11">
        <v>0</v>
      </c>
      <c r="BQ11">
        <v>0</v>
      </c>
      <c r="BR11">
        <v>0</v>
      </c>
      <c r="BS11">
        <v>0</v>
      </c>
    </row>
    <row r="12" spans="1:71">
      <c r="A12">
        <v>1972</v>
      </c>
      <c r="B12" s="7">
        <f>USA!Z59*'World Oil Price analysis'!U$50/'World Oil Price analysis'!U12/'World Oil Price analysis'!T12</f>
        <v>17.439690979476033</v>
      </c>
      <c r="C12" s="3">
        <f t="shared" si="11"/>
        <v>24.55015062517721</v>
      </c>
      <c r="D12" s="3"/>
      <c r="E12" s="3"/>
      <c r="G12" s="3">
        <f t="shared" si="12"/>
        <v>1.7692045329436468</v>
      </c>
      <c r="H12" s="12">
        <f t="shared" ref="H12:H24" si="14">BC12</f>
        <v>0</v>
      </c>
      <c r="I12">
        <v>0</v>
      </c>
      <c r="J12">
        <v>0</v>
      </c>
      <c r="K12">
        <v>0</v>
      </c>
      <c r="L12">
        <v>0</v>
      </c>
      <c r="T12" s="3">
        <v>1.0649999999999999</v>
      </c>
      <c r="U12" s="7">
        <f>USA!AU59</f>
        <v>19.167329333006716</v>
      </c>
      <c r="W12">
        <v>1972</v>
      </c>
      <c r="X12" s="7">
        <f t="shared" si="7"/>
        <v>18.573270893141974</v>
      </c>
      <c r="AC12">
        <v>1972</v>
      </c>
      <c r="AD12" s="7">
        <f t="shared" si="8"/>
        <v>21.439504130060858</v>
      </c>
      <c r="AE12" s="7">
        <f t="shared" si="9"/>
        <v>30.18075585981035</v>
      </c>
      <c r="AJ12">
        <v>1972</v>
      </c>
      <c r="AK12" s="9">
        <v>53856.490862731895</v>
      </c>
      <c r="AM12" s="9">
        <f t="shared" si="0"/>
        <v>53856.490862731895</v>
      </c>
      <c r="AN12" s="9">
        <f>AVERAGE(AM10:AM12)</f>
        <v>51362.370910380087</v>
      </c>
      <c r="AO12" s="4"/>
      <c r="AP12" s="3">
        <v>4.7683661855844939</v>
      </c>
      <c r="AQ12" s="9">
        <f t="shared" si="13"/>
        <v>281.5604701938783</v>
      </c>
      <c r="AR12" s="9">
        <f>AVERAGE(AQ10:AQ12)</f>
        <v>269.45475155226404</v>
      </c>
      <c r="AT12" s="2">
        <f t="shared" si="4"/>
        <v>190.61594057812607</v>
      </c>
      <c r="AU12" s="7">
        <f t="shared" si="5"/>
        <v>2.0955647052839588</v>
      </c>
      <c r="AV12" s="7">
        <f>AVERAGE(AU12:AU13)</f>
        <v>1.7692045329436468</v>
      </c>
      <c r="AW12" s="3"/>
      <c r="AY12">
        <v>1972</v>
      </c>
      <c r="BC12">
        <v>0</v>
      </c>
      <c r="BJ12">
        <v>1972</v>
      </c>
      <c r="BK12" s="7">
        <v>17.439690979476033</v>
      </c>
      <c r="BL12" s="3">
        <v>24.55015062517721</v>
      </c>
      <c r="BN12" s="3">
        <v>1.7692045329436468</v>
      </c>
      <c r="BO12" s="12">
        <v>0</v>
      </c>
      <c r="BP12">
        <v>0</v>
      </c>
      <c r="BQ12">
        <v>0</v>
      </c>
      <c r="BR12">
        <v>0</v>
      </c>
      <c r="BS12">
        <v>0</v>
      </c>
    </row>
    <row r="13" spans="1:71">
      <c r="A13">
        <v>1973</v>
      </c>
      <c r="B13" s="7">
        <f>USA!Z60*'World Oil Price analysis'!U$50/'World Oil Price analysis'!U13/'World Oil Price analysis'!T13</f>
        <v>15.893205250610167</v>
      </c>
      <c r="C13" s="3">
        <f t="shared" si="11"/>
        <v>27.71638255092995</v>
      </c>
      <c r="D13" s="3"/>
      <c r="E13" s="3"/>
      <c r="G13" s="3">
        <f t="shared" si="12"/>
        <v>0.81980787957433021</v>
      </c>
      <c r="H13" s="12">
        <f t="shared" si="14"/>
        <v>0</v>
      </c>
      <c r="I13">
        <v>0</v>
      </c>
      <c r="J13">
        <v>0</v>
      </c>
      <c r="K13">
        <v>0</v>
      </c>
      <c r="L13" s="3">
        <f>AU12-AU10</f>
        <v>-1.6119212158788754</v>
      </c>
      <c r="M13" s="3"/>
      <c r="S13" s="3"/>
      <c r="T13" s="3">
        <v>1.196</v>
      </c>
      <c r="U13" s="7">
        <f>USA!AU60</f>
        <v>20.359555559461679</v>
      </c>
      <c r="W13">
        <v>1973</v>
      </c>
      <c r="X13" s="7">
        <f t="shared" si="7"/>
        <v>19.008273479729759</v>
      </c>
      <c r="AC13">
        <v>1973</v>
      </c>
      <c r="AD13" s="7">
        <f t="shared" si="8"/>
        <v>21.941636458038673</v>
      </c>
      <c r="AE13" s="7">
        <f t="shared" si="9"/>
        <v>38.26432618688316</v>
      </c>
      <c r="AJ13">
        <v>1973</v>
      </c>
      <c r="AK13" s="9">
        <v>59042.87337638875</v>
      </c>
      <c r="AM13" s="9">
        <f t="shared" si="0"/>
        <v>59042.87337638875</v>
      </c>
      <c r="AN13" s="9">
        <f t="shared" si="2"/>
        <v>54822.329713951935</v>
      </c>
      <c r="AO13" s="4"/>
      <c r="AP13" s="3">
        <v>6.6344390789132124</v>
      </c>
      <c r="AQ13" s="9">
        <f t="shared" si="13"/>
        <v>300.24042805919277</v>
      </c>
      <c r="AR13" s="9">
        <f t="shared" ref="AR13:AR76" si="15">AVERAGE(AQ11:AQ13)</f>
        <v>283.51552992251914</v>
      </c>
      <c r="AT13" s="2">
        <f t="shared" si="4"/>
        <v>193.36623192716857</v>
      </c>
      <c r="AU13" s="7">
        <f t="shared" si="5"/>
        <v>1.4428443606033348</v>
      </c>
      <c r="AV13" s="7">
        <f t="shared" si="6"/>
        <v>0.81980787957433021</v>
      </c>
      <c r="AW13" s="3"/>
      <c r="AY13">
        <v>1973</v>
      </c>
      <c r="BC13">
        <v>0</v>
      </c>
      <c r="BJ13">
        <v>1973</v>
      </c>
      <c r="BK13" s="7">
        <v>15.893205250610167</v>
      </c>
      <c r="BL13" s="3">
        <v>27.71638255092995</v>
      </c>
      <c r="BN13" s="3">
        <v>0.81980787957433021</v>
      </c>
      <c r="BO13" s="12">
        <v>0</v>
      </c>
      <c r="BP13">
        <v>0</v>
      </c>
      <c r="BQ13">
        <v>0</v>
      </c>
      <c r="BR13">
        <v>0</v>
      </c>
      <c r="BS13" s="3">
        <v>-1.6119212158788754</v>
      </c>
    </row>
    <row r="14" spans="1:71">
      <c r="A14">
        <v>1974</v>
      </c>
      <c r="B14" s="7">
        <f>USA!Z61*'World Oil Price analysis'!U$50/'World Oil Price analysis'!U14/'World Oil Price analysis'!T14</f>
        <v>45.154443786859268</v>
      </c>
      <c r="C14" s="3">
        <f t="shared" si="11"/>
        <v>38.477198860350967</v>
      </c>
      <c r="D14" s="3"/>
      <c r="E14" s="3"/>
      <c r="G14" s="3">
        <f t="shared" si="12"/>
        <v>-0.74972449536618857</v>
      </c>
      <c r="H14" s="12">
        <f t="shared" si="14"/>
        <v>0</v>
      </c>
      <c r="I14">
        <v>0</v>
      </c>
      <c r="J14">
        <v>0</v>
      </c>
      <c r="K14">
        <v>0</v>
      </c>
      <c r="L14" s="3">
        <f t="shared" ref="L14:L77" si="16">AU13-AU11</f>
        <v>-1.8220765365204894</v>
      </c>
      <c r="M14" s="3"/>
      <c r="S14" s="3"/>
      <c r="T14" s="3">
        <v>1.2030000000000001</v>
      </c>
      <c r="U14" s="7">
        <f>USA!AU61</f>
        <v>22.606443447780649</v>
      </c>
      <c r="W14">
        <v>1974</v>
      </c>
      <c r="X14" s="7">
        <f t="shared" si="7"/>
        <v>54.320795875591699</v>
      </c>
      <c r="AC14">
        <v>1974</v>
      </c>
      <c r="AD14" s="7">
        <f t="shared" si="8"/>
        <v>62.703598855760191</v>
      </c>
      <c r="AE14" s="7">
        <f t="shared" si="9"/>
        <v>53.431260361020904</v>
      </c>
      <c r="AJ14">
        <v>1974</v>
      </c>
      <c r="AK14" s="9">
        <v>59338.551062990213</v>
      </c>
      <c r="AM14" s="9">
        <f t="shared" si="0"/>
        <v>59338.551062990213</v>
      </c>
      <c r="AN14" s="9">
        <f t="shared" si="2"/>
        <v>57412.638434036955</v>
      </c>
      <c r="AO14" s="4"/>
      <c r="AP14" s="3">
        <v>2.312680723767091</v>
      </c>
      <c r="AQ14" s="9">
        <f t="shared" si="13"/>
        <v>307.18403056387353</v>
      </c>
      <c r="AR14" s="9">
        <f t="shared" si="15"/>
        <v>296.3283096056482</v>
      </c>
      <c r="AT14" s="2">
        <f t="shared" si="4"/>
        <v>193.74672136604607</v>
      </c>
      <c r="AU14" s="7">
        <f t="shared" si="5"/>
        <v>0.19677139854532566</v>
      </c>
      <c r="AV14" s="7">
        <f t="shared" si="6"/>
        <v>-0.74972449536618857</v>
      </c>
      <c r="AW14" s="3"/>
      <c r="AY14">
        <v>1974</v>
      </c>
      <c r="BC14">
        <v>0</v>
      </c>
      <c r="BJ14">
        <v>1974</v>
      </c>
      <c r="BK14" s="7">
        <v>45.154443786859268</v>
      </c>
      <c r="BL14" s="3">
        <v>38.477198860350967</v>
      </c>
      <c r="BN14" s="3">
        <v>-0.74972449536618857</v>
      </c>
      <c r="BO14" s="12">
        <v>0</v>
      </c>
      <c r="BP14">
        <v>0</v>
      </c>
      <c r="BQ14">
        <v>0</v>
      </c>
      <c r="BR14">
        <v>0</v>
      </c>
      <c r="BS14" s="3">
        <v>-1.8220765365204894</v>
      </c>
    </row>
    <row r="15" spans="1:71">
      <c r="A15">
        <v>1975</v>
      </c>
      <c r="B15" s="7">
        <f>USA!Z62*'World Oil Price analysis'!U$50/'World Oil Price analysis'!U15/'World Oil Price analysis'!T15</f>
        <v>42.354994859681113</v>
      </c>
      <c r="C15" s="3">
        <f t="shared" si="11"/>
        <v>45.84862326475205</v>
      </c>
      <c r="D15" s="3"/>
      <c r="E15" s="3"/>
      <c r="G15" s="3">
        <f t="shared" si="12"/>
        <v>-1.803740898137457</v>
      </c>
      <c r="H15" s="12">
        <f t="shared" si="14"/>
        <v>0</v>
      </c>
      <c r="I15">
        <v>0</v>
      </c>
      <c r="J15">
        <v>0</v>
      </c>
      <c r="K15">
        <v>0</v>
      </c>
      <c r="L15" s="3">
        <f t="shared" si="16"/>
        <v>-1.8987933067386331</v>
      </c>
      <c r="M15" s="3"/>
      <c r="S15" s="3"/>
      <c r="T15" s="3">
        <v>1.212</v>
      </c>
      <c r="U15" s="7">
        <f>USA!AU62</f>
        <v>24.681375630360922</v>
      </c>
      <c r="W15">
        <v>1975</v>
      </c>
      <c r="X15" s="7">
        <f t="shared" si="7"/>
        <v>51.334253769933511</v>
      </c>
      <c r="AC15">
        <v>1975</v>
      </c>
      <c r="AD15" s="7">
        <f t="shared" si="8"/>
        <v>59.256172595881438</v>
      </c>
      <c r="AE15" s="7">
        <f t="shared" si="9"/>
        <v>64.143885330650875</v>
      </c>
      <c r="AJ15">
        <v>1975</v>
      </c>
      <c r="AK15" s="9">
        <v>56708.734991881654</v>
      </c>
      <c r="AM15" s="9">
        <f t="shared" si="0"/>
        <v>56708.734991881654</v>
      </c>
      <c r="AN15" s="9">
        <f t="shared" si="2"/>
        <v>58363.386477086868</v>
      </c>
      <c r="AO15" s="4"/>
      <c r="AP15" s="3">
        <v>1.5271950203373796</v>
      </c>
      <c r="AQ15" s="9">
        <f t="shared" si="13"/>
        <v>311.87532978191666</v>
      </c>
      <c r="AR15" s="9">
        <f t="shared" si="15"/>
        <v>306.43326280166099</v>
      </c>
      <c r="AT15" s="2">
        <f t="shared" si="4"/>
        <v>190.46034997467814</v>
      </c>
      <c r="AU15" s="7">
        <f t="shared" si="5"/>
        <v>-1.6962203892777028</v>
      </c>
      <c r="AV15" s="7">
        <f t="shared" si="6"/>
        <v>-1.803740898137457</v>
      </c>
      <c r="AW15" s="3"/>
      <c r="AY15">
        <v>1975</v>
      </c>
      <c r="BC15">
        <v>0</v>
      </c>
      <c r="BJ15">
        <v>1975</v>
      </c>
      <c r="BK15" s="7">
        <v>42.354994859681113</v>
      </c>
      <c r="BL15" s="3">
        <v>45.84862326475205</v>
      </c>
      <c r="BN15" s="3">
        <v>-1.803740898137457</v>
      </c>
      <c r="BO15" s="12">
        <v>0</v>
      </c>
      <c r="BP15">
        <v>0</v>
      </c>
      <c r="BQ15">
        <v>0</v>
      </c>
      <c r="BR15">
        <v>0</v>
      </c>
      <c r="BS15" s="3">
        <v>-1.8987933067386331</v>
      </c>
    </row>
    <row r="16" spans="1:71">
      <c r="A16">
        <v>1976</v>
      </c>
      <c r="B16" s="7">
        <f>USA!Z63*'World Oil Price analysis'!U$50/'World Oil Price analysis'!U16/'World Oil Price analysis'!T16</f>
        <v>44.212643376667735</v>
      </c>
      <c r="C16" s="3">
        <f t="shared" si="11"/>
        <v>41.197149657628529</v>
      </c>
      <c r="D16" s="3"/>
      <c r="E16" s="3"/>
      <c r="G16" s="3">
        <f t="shared" si="12"/>
        <v>-1.5439981567806405</v>
      </c>
      <c r="H16" s="12">
        <f t="shared" si="14"/>
        <v>0</v>
      </c>
      <c r="I16">
        <v>0</v>
      </c>
      <c r="J16">
        <v>0</v>
      </c>
      <c r="K16">
        <v>0</v>
      </c>
      <c r="L16" s="3">
        <f t="shared" si="16"/>
        <v>-3.1390647498810376</v>
      </c>
      <c r="M16" s="3"/>
      <c r="S16" s="3"/>
      <c r="T16" s="3">
        <v>1.1539999999999999</v>
      </c>
      <c r="U16" s="7">
        <f>USA!AU63</f>
        <v>26.106697369039445</v>
      </c>
      <c r="W16">
        <v>1976</v>
      </c>
      <c r="X16" s="7">
        <f t="shared" si="7"/>
        <v>51.02139045667456</v>
      </c>
      <c r="AC16">
        <v>1976</v>
      </c>
      <c r="AD16" s="7">
        <f t="shared" si="8"/>
        <v>58.895028113827038</v>
      </c>
      <c r="AE16" s="7">
        <f t="shared" si="9"/>
        <v>54.878132180986114</v>
      </c>
      <c r="AJ16">
        <v>1976</v>
      </c>
      <c r="AK16" s="9">
        <v>60718.24967341312</v>
      </c>
      <c r="AM16" s="9">
        <f t="shared" si="0"/>
        <v>60718.24967341312</v>
      </c>
      <c r="AN16" s="9">
        <f t="shared" si="2"/>
        <v>58921.845242761658</v>
      </c>
      <c r="AO16" s="4"/>
      <c r="AP16" s="3">
        <v>4.888342026151915</v>
      </c>
      <c r="AQ16" s="9">
        <f t="shared" si="13"/>
        <v>327.120862596846</v>
      </c>
      <c r="AR16" s="9">
        <f t="shared" si="15"/>
        <v>315.39340764754542</v>
      </c>
      <c r="AT16" s="2">
        <f t="shared" si="4"/>
        <v>186.82015480998029</v>
      </c>
      <c r="AU16" s="7">
        <f>(AT16/AT15-1)*100</f>
        <v>-1.9112614069972111</v>
      </c>
      <c r="AV16" s="7">
        <f t="shared" si="6"/>
        <v>-1.5439981567806405</v>
      </c>
      <c r="AW16" s="3"/>
      <c r="AY16">
        <v>1976</v>
      </c>
      <c r="BC16">
        <v>0</v>
      </c>
      <c r="BJ16">
        <v>1976</v>
      </c>
      <c r="BK16" s="7">
        <v>44.212643376667735</v>
      </c>
      <c r="BL16" s="3">
        <v>41.197149657628529</v>
      </c>
      <c r="BN16" s="3">
        <v>-1.5439981567806405</v>
      </c>
      <c r="BO16" s="12">
        <v>0</v>
      </c>
      <c r="BP16">
        <v>0</v>
      </c>
      <c r="BQ16">
        <v>0</v>
      </c>
      <c r="BR16">
        <v>0</v>
      </c>
      <c r="BS16" s="3">
        <v>-3.1390647498810376</v>
      </c>
    </row>
    <row r="17" spans="1:71">
      <c r="A17">
        <v>1977</v>
      </c>
      <c r="B17" s="7">
        <f>USA!Z64*'World Oil Price analysis'!U$50/'World Oil Price analysis'!U17/'World Oil Price analysis'!T17</f>
        <v>44.193923022410409</v>
      </c>
      <c r="C17" s="3">
        <f t="shared" si="11"/>
        <v>38.255588615369284</v>
      </c>
      <c r="D17" s="3"/>
      <c r="E17" s="3"/>
      <c r="G17" s="3">
        <f t="shared" si="12"/>
        <v>-0.80871062508441893</v>
      </c>
      <c r="H17" s="12">
        <f t="shared" si="14"/>
        <v>0</v>
      </c>
      <c r="I17">
        <v>0</v>
      </c>
      <c r="J17">
        <v>0</v>
      </c>
      <c r="K17">
        <v>0</v>
      </c>
      <c r="L17" s="3">
        <f t="shared" si="16"/>
        <v>-2.1080328055425368</v>
      </c>
      <c r="M17" s="3"/>
      <c r="S17" s="3"/>
      <c r="T17" s="3">
        <v>1.169</v>
      </c>
      <c r="U17" s="7">
        <f>USA!AU64</f>
        <v>27.795684523183983</v>
      </c>
      <c r="W17">
        <v>1977</v>
      </c>
      <c r="X17" s="7">
        <f t="shared" si="7"/>
        <v>51.662696013197767</v>
      </c>
      <c r="AC17">
        <v>1977</v>
      </c>
      <c r="AD17" s="7">
        <f t="shared" si="8"/>
        <v>59.635300153513214</v>
      </c>
      <c r="AE17" s="7">
        <f t="shared" si="9"/>
        <v>51.622108959867582</v>
      </c>
      <c r="AJ17">
        <v>1977</v>
      </c>
      <c r="AK17" s="9">
        <v>63395.469356911206</v>
      </c>
      <c r="AM17" s="9">
        <f t="shared" si="0"/>
        <v>63395.469356911206</v>
      </c>
      <c r="AN17" s="9">
        <f t="shared" si="2"/>
        <v>60274.151340735327</v>
      </c>
      <c r="AO17" s="4"/>
      <c r="AP17" s="3">
        <v>4.0669959765953001</v>
      </c>
      <c r="AQ17" s="9">
        <f t="shared" si="13"/>
        <v>340.42485491726359</v>
      </c>
      <c r="AR17" s="9">
        <f t="shared" si="15"/>
        <v>326.47368243200873</v>
      </c>
      <c r="AT17" s="2">
        <f t="shared" si="4"/>
        <v>184.62177683583423</v>
      </c>
      <c r="AU17" s="7">
        <f t="shared" si="5"/>
        <v>-1.1767349065640698</v>
      </c>
      <c r="AV17" s="7">
        <f t="shared" si="6"/>
        <v>-0.80871062508441893</v>
      </c>
      <c r="AW17" s="3"/>
      <c r="AY17">
        <v>1977</v>
      </c>
      <c r="BC17">
        <v>0</v>
      </c>
      <c r="BJ17">
        <v>1977</v>
      </c>
      <c r="BK17" s="7">
        <v>44.193923022410409</v>
      </c>
      <c r="BL17" s="3">
        <v>38.255588615369284</v>
      </c>
      <c r="BN17" s="3">
        <v>-0.80871062508441893</v>
      </c>
      <c r="BO17" s="12">
        <v>0</v>
      </c>
      <c r="BP17">
        <v>0</v>
      </c>
      <c r="BQ17">
        <v>0</v>
      </c>
      <c r="BR17">
        <v>0</v>
      </c>
      <c r="BS17" s="3">
        <v>-2.1080328055425368</v>
      </c>
    </row>
    <row r="18" spans="1:71">
      <c r="A18">
        <v>1978</v>
      </c>
      <c r="B18" s="7">
        <f>USA!Z65*'World Oil Price analysis'!U$50/'World Oil Price analysis'!U18/'World Oil Price analysis'!T18</f>
        <v>38.102909568822163</v>
      </c>
      <c r="C18" s="3">
        <f t="shared" si="11"/>
        <v>42.667796893112936</v>
      </c>
      <c r="D18" s="3"/>
      <c r="E18" s="3"/>
      <c r="G18" s="3">
        <f t="shared" si="12"/>
        <v>-0.59866415463592504</v>
      </c>
      <c r="H18" s="12">
        <f t="shared" si="14"/>
        <v>0</v>
      </c>
      <c r="I18">
        <v>0</v>
      </c>
      <c r="J18">
        <v>0</v>
      </c>
      <c r="K18">
        <v>0</v>
      </c>
      <c r="L18" s="3">
        <f t="shared" si="16"/>
        <v>0.51948548271363304</v>
      </c>
      <c r="M18" s="3"/>
      <c r="S18" s="3"/>
      <c r="T18" s="3">
        <v>1.258</v>
      </c>
      <c r="U18" s="7">
        <f>USA!AU65</f>
        <v>29.916471560627922</v>
      </c>
      <c r="W18">
        <v>1978</v>
      </c>
      <c r="X18" s="7">
        <f t="shared" si="7"/>
        <v>47.933460237578281</v>
      </c>
      <c r="AC18">
        <v>1978</v>
      </c>
      <c r="AD18" s="7">
        <f t="shared" si="8"/>
        <v>55.330567493694716</v>
      </c>
      <c r="AE18" s="7">
        <f t="shared" si="9"/>
        <v>61.959400017404526</v>
      </c>
      <c r="AJ18">
        <v>1978</v>
      </c>
      <c r="AK18" s="9">
        <v>63920.315206993509</v>
      </c>
      <c r="AM18" s="9">
        <f t="shared" si="0"/>
        <v>63920.315206993509</v>
      </c>
      <c r="AN18" s="9">
        <f t="shared" si="2"/>
        <v>62678.011412439279</v>
      </c>
      <c r="AO18" s="4"/>
      <c r="AP18" s="3">
        <v>4.4121421234684988</v>
      </c>
      <c r="AQ18" s="9">
        <f t="shared" si="13"/>
        <v>355.44488333982468</v>
      </c>
      <c r="AR18" s="9">
        <f t="shared" si="15"/>
        <v>340.9968669513114</v>
      </c>
      <c r="AT18" s="2">
        <f t="shared" si="4"/>
        <v>183.80817387799823</v>
      </c>
      <c r="AU18" s="7">
        <f t="shared" si="5"/>
        <v>-0.4406863436047681</v>
      </c>
      <c r="AV18" s="7">
        <f t="shared" si="6"/>
        <v>-0.59866415463592504</v>
      </c>
      <c r="AW18" s="3"/>
      <c r="AY18">
        <v>1978</v>
      </c>
      <c r="BC18">
        <v>0</v>
      </c>
      <c r="BJ18">
        <v>1978</v>
      </c>
      <c r="BK18" s="7">
        <v>38.102909568822163</v>
      </c>
      <c r="BL18" s="3">
        <v>42.667796893112936</v>
      </c>
      <c r="BN18" s="3">
        <v>-0.59866415463592504</v>
      </c>
      <c r="BO18" s="12">
        <v>0</v>
      </c>
      <c r="BP18">
        <v>0</v>
      </c>
      <c r="BQ18">
        <v>0</v>
      </c>
      <c r="BR18">
        <v>0</v>
      </c>
      <c r="BS18" s="3">
        <v>0.51948548271363304</v>
      </c>
    </row>
    <row r="19" spans="1:71">
      <c r="A19">
        <v>1979</v>
      </c>
      <c r="B19" s="7">
        <f>USA!Z66*'World Oil Price analysis'!U$50/'World Oil Price analysis'!U19/'World Oil Price analysis'!T19</f>
        <v>49.758314706931465</v>
      </c>
      <c r="C19" s="3">
        <f t="shared" si="11"/>
        <v>53.655498669404771</v>
      </c>
      <c r="D19" s="3"/>
      <c r="E19" s="3"/>
      <c r="G19" s="3">
        <f t="shared" si="12"/>
        <v>-1.8346239899924566</v>
      </c>
      <c r="H19" s="12">
        <f t="shared" si="14"/>
        <v>0</v>
      </c>
      <c r="I19">
        <v>0</v>
      </c>
      <c r="J19">
        <v>0</v>
      </c>
      <c r="K19">
        <v>0</v>
      </c>
      <c r="L19" s="3">
        <f t="shared" si="16"/>
        <v>1.470575063392443</v>
      </c>
      <c r="M19" s="3"/>
      <c r="S19" s="3"/>
      <c r="T19" s="3">
        <v>1.294</v>
      </c>
      <c r="U19" s="7">
        <f>USA!AU66</f>
        <v>33.282982155201061</v>
      </c>
      <c r="W19">
        <v>1979</v>
      </c>
      <c r="X19" s="7">
        <f t="shared" si="7"/>
        <v>64.387259230769317</v>
      </c>
      <c r="AC19">
        <v>1979</v>
      </c>
      <c r="AD19" s="7">
        <f t="shared" si="8"/>
        <v>74.323522127224805</v>
      </c>
      <c r="AE19" s="7">
        <f t="shared" si="9"/>
        <v>80.144708800743729</v>
      </c>
      <c r="AJ19">
        <v>1979</v>
      </c>
      <c r="AK19" s="9">
        <v>66782.674145048295</v>
      </c>
      <c r="AM19" s="9">
        <f t="shared" si="0"/>
        <v>66782.674145048295</v>
      </c>
      <c r="AN19" s="9">
        <f t="shared" si="2"/>
        <v>64699.486236317665</v>
      </c>
      <c r="AO19" s="4"/>
      <c r="AP19" s="3">
        <v>3.5786527134106905</v>
      </c>
      <c r="AQ19" s="9">
        <f t="shared" si="13"/>
        <v>368.16502130214479</v>
      </c>
      <c r="AR19" s="9">
        <f t="shared" si="15"/>
        <v>354.67825318641104</v>
      </c>
      <c r="AT19" s="2">
        <f t="shared" si="4"/>
        <v>182.41740409811098</v>
      </c>
      <c r="AU19" s="7">
        <f t="shared" si="5"/>
        <v>-0.75664196566708197</v>
      </c>
      <c r="AV19" s="7">
        <f t="shared" si="6"/>
        <v>-1.8346239899924566</v>
      </c>
      <c r="AW19" s="3"/>
      <c r="AY19">
        <v>1979</v>
      </c>
      <c r="BC19">
        <v>0</v>
      </c>
      <c r="BJ19">
        <v>1979</v>
      </c>
      <c r="BK19" s="7">
        <v>49.758314706931465</v>
      </c>
      <c r="BL19" s="3">
        <v>53.655498669404771</v>
      </c>
      <c r="BN19" s="3">
        <v>-1.8346239899924566</v>
      </c>
      <c r="BO19" s="12">
        <v>0</v>
      </c>
      <c r="BP19">
        <v>0</v>
      </c>
      <c r="BQ19">
        <v>0</v>
      </c>
      <c r="BR19">
        <v>0</v>
      </c>
      <c r="BS19" s="3">
        <v>1.470575063392443</v>
      </c>
    </row>
    <row r="20" spans="1:71">
      <c r="A20">
        <v>1980</v>
      </c>
      <c r="B20" s="7">
        <f>USA!Z67*'World Oil Price analysis'!U$50/'World Oil Price analysis'!U20/'World Oil Price analysis'!T20</f>
        <v>68.85799256247951</v>
      </c>
      <c r="C20" s="3">
        <f t="shared" si="11"/>
        <v>63.422004960192268</v>
      </c>
      <c r="D20" s="3"/>
      <c r="E20" s="3"/>
      <c r="G20" s="3">
        <f t="shared" si="12"/>
        <v>-3.5295642955797675</v>
      </c>
      <c r="H20" s="12">
        <f t="shared" si="14"/>
        <v>0</v>
      </c>
      <c r="I20">
        <v>0</v>
      </c>
      <c r="J20">
        <v>0</v>
      </c>
      <c r="K20">
        <v>0</v>
      </c>
      <c r="L20" s="3">
        <f t="shared" si="16"/>
        <v>0.42009294089698779</v>
      </c>
      <c r="M20" s="3"/>
      <c r="S20" s="3"/>
      <c r="T20" s="3">
        <v>1.2989999999999999</v>
      </c>
      <c r="U20" s="7">
        <f>USA!AU67</f>
        <v>37.776757931838986</v>
      </c>
      <c r="W20">
        <v>1980</v>
      </c>
      <c r="X20" s="7">
        <f t="shared" si="7"/>
        <v>89.446532338660873</v>
      </c>
      <c r="AC20">
        <v>1980</v>
      </c>
      <c r="AD20" s="7">
        <f t="shared" si="8"/>
        <v>103.24995045446911</v>
      </c>
      <c r="AE20" s="7">
        <f t="shared" si="9"/>
        <v>95.098893043116419</v>
      </c>
      <c r="AJ20">
        <v>1980</v>
      </c>
      <c r="AK20" s="9">
        <v>63964.543517477774</v>
      </c>
      <c r="AM20" s="9">
        <f t="shared" si="0"/>
        <v>63964.543517477774</v>
      </c>
      <c r="AN20" s="9">
        <f t="shared" si="2"/>
        <v>64889.177623173193</v>
      </c>
      <c r="AO20" s="4"/>
      <c r="AP20" s="3">
        <v>2.008316244439956</v>
      </c>
      <c r="AQ20" s="9">
        <f t="shared" si="13"/>
        <v>375.55893923130157</v>
      </c>
      <c r="AR20" s="9">
        <f t="shared" si="15"/>
        <v>366.3896146244237</v>
      </c>
      <c r="AT20" s="2">
        <f t="shared" si="4"/>
        <v>177.10430381518694</v>
      </c>
      <c r="AU20" s="7">
        <f t="shared" si="5"/>
        <v>-2.9126060143178312</v>
      </c>
      <c r="AV20" s="7">
        <f t="shared" si="6"/>
        <v>-3.5295642955797675</v>
      </c>
      <c r="AW20" s="3"/>
      <c r="AY20">
        <v>1980</v>
      </c>
      <c r="BC20">
        <v>0</v>
      </c>
      <c r="BJ20">
        <v>1980</v>
      </c>
      <c r="BK20" s="7">
        <v>68.85799256247951</v>
      </c>
      <c r="BL20" s="3">
        <v>63.422004960192268</v>
      </c>
      <c r="BN20" s="3">
        <v>-3.5295642955797675</v>
      </c>
      <c r="BO20" s="12">
        <v>0</v>
      </c>
      <c r="BP20">
        <v>0</v>
      </c>
      <c r="BQ20">
        <v>0</v>
      </c>
      <c r="BR20">
        <v>0</v>
      </c>
      <c r="BS20" s="3">
        <v>0.42009294089698779</v>
      </c>
    </row>
    <row r="21" spans="1:71">
      <c r="A21">
        <v>1981</v>
      </c>
      <c r="B21" s="7">
        <f>USA!Z68*'World Oil Price analysis'!U$50/'World Oil Price analysis'!U21/'World Oil Price analysis'!T21</f>
        <v>74.251447206907059</v>
      </c>
      <c r="C21" s="3">
        <f t="shared" si="11"/>
        <v>68.368793706212855</v>
      </c>
      <c r="D21" s="3"/>
      <c r="E21" s="3"/>
      <c r="G21" s="3">
        <f t="shared" si="12"/>
        <v>-5.130382953806139</v>
      </c>
      <c r="H21" s="12">
        <f t="shared" si="14"/>
        <v>0</v>
      </c>
      <c r="I21">
        <v>0</v>
      </c>
      <c r="J21">
        <v>0</v>
      </c>
      <c r="K21">
        <v>0</v>
      </c>
      <c r="L21" s="3">
        <f t="shared" si="16"/>
        <v>-2.4719196707130631</v>
      </c>
      <c r="M21" s="3"/>
      <c r="S21" s="3"/>
      <c r="T21" s="3">
        <v>1.1759999999999999</v>
      </c>
      <c r="U21" s="7">
        <f>USA!AU68</f>
        <v>41.697348022681282</v>
      </c>
      <c r="W21">
        <v>1981</v>
      </c>
      <c r="X21" s="7">
        <f t="shared" si="7"/>
        <v>87.319701915322696</v>
      </c>
      <c r="AC21">
        <v>1981</v>
      </c>
      <c r="AD21" s="7">
        <f t="shared" si="8"/>
        <v>100.79490686481606</v>
      </c>
      <c r="AE21" s="7">
        <f t="shared" si="9"/>
        <v>92.809318246345342</v>
      </c>
      <c r="AJ21">
        <v>1981</v>
      </c>
      <c r="AK21" s="9">
        <v>60522.915214201355</v>
      </c>
      <c r="AM21" s="9">
        <f t="shared" si="0"/>
        <v>60522.915214201355</v>
      </c>
      <c r="AN21" s="9">
        <f t="shared" si="2"/>
        <v>63756.710958909134</v>
      </c>
      <c r="AO21" s="4"/>
      <c r="AP21" s="3">
        <v>1.9762463920858009</v>
      </c>
      <c r="AQ21" s="9">
        <f t="shared" si="13"/>
        <v>382.98090921801588</v>
      </c>
      <c r="AR21" s="9">
        <f t="shared" si="15"/>
        <v>375.56828991715412</v>
      </c>
      <c r="AT21" s="2">
        <f t="shared" si="4"/>
        <v>169.76063387293189</v>
      </c>
      <c r="AU21" s="7">
        <f t="shared" si="5"/>
        <v>-4.1465225768417042</v>
      </c>
      <c r="AV21" s="7">
        <f t="shared" si="6"/>
        <v>-5.130382953806139</v>
      </c>
      <c r="AW21" s="3"/>
      <c r="AY21">
        <v>1981</v>
      </c>
      <c r="BC21">
        <v>0</v>
      </c>
      <c r="BJ21">
        <v>1981</v>
      </c>
      <c r="BK21" s="7">
        <v>74.251447206907059</v>
      </c>
      <c r="BL21" s="3">
        <v>68.368793706212855</v>
      </c>
      <c r="BN21" s="3">
        <v>-5.130382953806139</v>
      </c>
      <c r="BO21" s="12">
        <v>0</v>
      </c>
      <c r="BP21">
        <v>0</v>
      </c>
      <c r="BQ21">
        <v>0</v>
      </c>
      <c r="BR21">
        <v>0</v>
      </c>
      <c r="BS21" s="3">
        <v>-2.4719196707130631</v>
      </c>
    </row>
    <row r="22" spans="1:71">
      <c r="A22">
        <v>1982</v>
      </c>
      <c r="B22" s="7">
        <f>USA!Z69*'World Oil Price analysis'!U$50/'World Oil Price analysis'!U22/'World Oil Price analysis'!T22</f>
        <v>68.060300646238474</v>
      </c>
      <c r="C22" s="3">
        <f t="shared" si="11"/>
        <v>70.535911553390378</v>
      </c>
      <c r="D22" s="3"/>
      <c r="E22" s="3"/>
      <c r="G22" s="3">
        <f t="shared" si="12"/>
        <v>-5.7219039133412579</v>
      </c>
      <c r="H22" s="12">
        <f t="shared" si="14"/>
        <v>0</v>
      </c>
      <c r="I22">
        <v>0</v>
      </c>
      <c r="J22">
        <v>0</v>
      </c>
      <c r="K22">
        <v>0</v>
      </c>
      <c r="L22" s="3">
        <f t="shared" si="16"/>
        <v>-3.3898806111746222</v>
      </c>
      <c r="M22" s="3"/>
      <c r="S22" s="3"/>
      <c r="T22" s="3">
        <v>1.1020000000000001</v>
      </c>
      <c r="U22" s="7">
        <f>USA!AU69</f>
        <v>44.265219895045824</v>
      </c>
      <c r="W22">
        <v>1982</v>
      </c>
      <c r="X22" s="7">
        <f t="shared" si="7"/>
        <v>75.002451312154804</v>
      </c>
      <c r="AC22">
        <v>1982</v>
      </c>
      <c r="AD22" s="7">
        <f t="shared" si="8"/>
        <v>86.57685412133722</v>
      </c>
      <c r="AE22" s="7">
        <f t="shared" si="9"/>
        <v>89.725982208262991</v>
      </c>
      <c r="AJ22">
        <v>1982</v>
      </c>
      <c r="AK22" s="9">
        <v>58130.761643835613</v>
      </c>
      <c r="AM22" s="9">
        <f t="shared" si="0"/>
        <v>58130.761643835613</v>
      </c>
      <c r="AN22" s="9">
        <f t="shared" si="2"/>
        <v>60872.740125171578</v>
      </c>
      <c r="AO22" s="4"/>
      <c r="AP22" s="3">
        <v>1.1163795613116756</v>
      </c>
      <c r="AQ22" s="9">
        <f t="shared" si="13"/>
        <v>387.25642981225144</v>
      </c>
      <c r="AR22" s="9">
        <f t="shared" si="15"/>
        <v>381.9320927538563</v>
      </c>
      <c r="AT22" s="2">
        <f t="shared" si="4"/>
        <v>159.3810556380823</v>
      </c>
      <c r="AU22" s="7">
        <f t="shared" si="5"/>
        <v>-6.1142433307705746</v>
      </c>
      <c r="AV22" s="7">
        <f t="shared" si="6"/>
        <v>-5.7219039133412579</v>
      </c>
      <c r="AW22" s="3"/>
      <c r="AY22">
        <v>1982</v>
      </c>
      <c r="BC22">
        <v>0</v>
      </c>
      <c r="BJ22">
        <v>1982</v>
      </c>
      <c r="BK22" s="7">
        <v>68.060300646238474</v>
      </c>
      <c r="BL22" s="3">
        <v>70.535911553390378</v>
      </c>
      <c r="BN22" s="3">
        <v>-5.7219039133412579</v>
      </c>
      <c r="BO22" s="12">
        <v>0</v>
      </c>
      <c r="BP22">
        <v>0</v>
      </c>
      <c r="BQ22">
        <v>0</v>
      </c>
      <c r="BR22">
        <v>0</v>
      </c>
      <c r="BS22" s="3">
        <v>-3.3898806111746222</v>
      </c>
    </row>
    <row r="23" spans="1:71">
      <c r="A23">
        <v>1983</v>
      </c>
      <c r="B23" s="7">
        <f>USA!Z70*'World Oil Price analysis'!U$50/'World Oil Price analysis'!U23/'World Oil Price analysis'!T23</f>
        <v>59.41719782913038</v>
      </c>
      <c r="C23" s="3">
        <f t="shared" si="11"/>
        <v>61.872209559110324</v>
      </c>
      <c r="D23" s="3"/>
      <c r="E23" s="3"/>
      <c r="G23" s="3">
        <f t="shared" si="12"/>
        <v>-4.4522584755229131</v>
      </c>
      <c r="H23" s="12">
        <f t="shared" si="14"/>
        <v>0</v>
      </c>
      <c r="I23">
        <v>0</v>
      </c>
      <c r="J23">
        <v>0</v>
      </c>
      <c r="K23">
        <v>0</v>
      </c>
      <c r="L23" s="3">
        <f t="shared" si="16"/>
        <v>-3.2016373164527434</v>
      </c>
      <c r="M23" s="3"/>
      <c r="S23" s="3"/>
      <c r="T23" s="3">
        <v>1.0669999999999999</v>
      </c>
      <c r="U23" s="7">
        <f>USA!AU70</f>
        <v>45.663792968387206</v>
      </c>
      <c r="W23">
        <v>1983</v>
      </c>
      <c r="X23" s="7">
        <f t="shared" si="7"/>
        <v>63.398150083682111</v>
      </c>
      <c r="AC23">
        <v>1983</v>
      </c>
      <c r="AD23" s="7">
        <f t="shared" si="8"/>
        <v>73.181773333161431</v>
      </c>
      <c r="AE23" s="7">
        <f t="shared" si="9"/>
        <v>76.205512562168991</v>
      </c>
      <c r="AJ23">
        <v>1983</v>
      </c>
      <c r="AK23" s="9">
        <v>57669.715068493133</v>
      </c>
      <c r="AM23" s="9">
        <f t="shared" si="0"/>
        <v>57669.715068493133</v>
      </c>
      <c r="AN23" s="9">
        <f t="shared" si="2"/>
        <v>58774.463975510036</v>
      </c>
      <c r="AO23" s="4"/>
      <c r="AP23" s="3">
        <v>2.8630462426071146</v>
      </c>
      <c r="AQ23" s="9">
        <f t="shared" si="13"/>
        <v>398.34376047524557</v>
      </c>
      <c r="AR23" s="9">
        <f t="shared" si="15"/>
        <v>389.52703316850426</v>
      </c>
      <c r="AT23" s="2">
        <f t="shared" si="4"/>
        <v>150.88673948358542</v>
      </c>
      <c r="AU23" s="7">
        <f t="shared" si="5"/>
        <v>-5.3295644959119421</v>
      </c>
      <c r="AV23" s="7">
        <f t="shared" si="6"/>
        <v>-4.4522584755229131</v>
      </c>
      <c r="AW23" s="3"/>
      <c r="AY23">
        <v>1983</v>
      </c>
      <c r="AZ23" s="2">
        <v>-1.2750000000000001</v>
      </c>
      <c r="BA23" s="3">
        <f t="shared" ref="BA23:BA54" si="17">BA24-(AZ24*365/1000)</f>
        <v>4.543587500000001</v>
      </c>
      <c r="BC23">
        <v>0</v>
      </c>
      <c r="BJ23">
        <v>1983</v>
      </c>
      <c r="BK23" s="7">
        <v>59.41719782913038</v>
      </c>
      <c r="BL23" s="3">
        <v>61.872209559110324</v>
      </c>
      <c r="BN23" s="3">
        <v>-4.4522584755229131</v>
      </c>
      <c r="BO23" s="12">
        <v>0</v>
      </c>
      <c r="BP23">
        <v>0</v>
      </c>
      <c r="BQ23">
        <v>0</v>
      </c>
      <c r="BR23">
        <v>0</v>
      </c>
      <c r="BS23" s="3">
        <v>-3.2016373164527434</v>
      </c>
    </row>
    <row r="24" spans="1:71">
      <c r="A24">
        <v>1984</v>
      </c>
      <c r="B24" s="7">
        <f>USA!Z71*'World Oil Price analysis'!U$50/'World Oil Price analysis'!U24/'World Oil Price analysis'!T24</f>
        <v>58.49701537504626</v>
      </c>
      <c r="C24" s="3">
        <f t="shared" si="11"/>
        <v>57.785600080135978</v>
      </c>
      <c r="D24" s="3"/>
      <c r="E24" s="3"/>
      <c r="G24" s="3">
        <f t="shared" si="12"/>
        <v>-3.2463529539142777</v>
      </c>
      <c r="H24" s="12">
        <f t="shared" si="14"/>
        <v>0</v>
      </c>
      <c r="I24">
        <v>0</v>
      </c>
      <c r="J24">
        <v>0</v>
      </c>
      <c r="K24">
        <v>0</v>
      </c>
      <c r="L24" s="3">
        <f t="shared" si="16"/>
        <v>-1.1830419190702379</v>
      </c>
      <c r="M24" s="3"/>
      <c r="S24" s="3"/>
      <c r="T24" s="3">
        <v>1.0229999999999999</v>
      </c>
      <c r="U24" s="7">
        <f>USA!AU71</f>
        <v>47.65847915495609</v>
      </c>
      <c r="W24">
        <v>1984</v>
      </c>
      <c r="X24" s="7">
        <f t="shared" si="7"/>
        <v>59.842446728672321</v>
      </c>
      <c r="AC24">
        <v>1984</v>
      </c>
      <c r="AD24" s="7">
        <f t="shared" si="8"/>
        <v>69.077352673839016</v>
      </c>
      <c r="AE24" s="7">
        <f t="shared" si="9"/>
        <v>68.237263911890935</v>
      </c>
      <c r="AJ24">
        <v>1984</v>
      </c>
      <c r="AK24" s="9">
        <v>59110.931506849316</v>
      </c>
      <c r="AM24" s="9">
        <f t="shared" si="0"/>
        <v>59110.931506849316</v>
      </c>
      <c r="AN24" s="9">
        <f t="shared" si="2"/>
        <v>58303.802739726023</v>
      </c>
      <c r="AO24" s="4"/>
      <c r="AP24" s="3">
        <v>4.5833201421584091</v>
      </c>
      <c r="AQ24" s="9">
        <f>AQ23*(1+AP24/100)</f>
        <v>416.60113028413878</v>
      </c>
      <c r="AR24" s="9">
        <f t="shared" si="15"/>
        <v>400.7337735238786</v>
      </c>
      <c r="AT24" s="2">
        <f t="shared" si="4"/>
        <v>145.49261028594552</v>
      </c>
      <c r="AU24" s="7">
        <f t="shared" si="5"/>
        <v>-3.574952455133884</v>
      </c>
      <c r="AV24" s="7">
        <f t="shared" si="6"/>
        <v>-3.2463529539142777</v>
      </c>
      <c r="AW24" s="3"/>
      <c r="AZ24" s="2">
        <v>-0.35</v>
      </c>
      <c r="BA24" s="3">
        <f t="shared" si="17"/>
        <v>4.4158375000000012</v>
      </c>
      <c r="BC24">
        <v>0</v>
      </c>
      <c r="BJ24">
        <v>1984</v>
      </c>
      <c r="BK24" s="7">
        <v>58.49701537504626</v>
      </c>
      <c r="BL24" s="3">
        <v>57.785600080135978</v>
      </c>
      <c r="BN24" s="3">
        <v>-3.2463529539142777</v>
      </c>
      <c r="BO24" s="12">
        <v>0</v>
      </c>
      <c r="BP24">
        <v>0</v>
      </c>
      <c r="BQ24">
        <v>0</v>
      </c>
      <c r="BR24">
        <v>0</v>
      </c>
      <c r="BS24" s="3">
        <v>-1.1830419190702379</v>
      </c>
    </row>
    <row r="25" spans="1:71" s="12" customFormat="1">
      <c r="A25" s="12">
        <v>1985</v>
      </c>
      <c r="B25" s="7">
        <f>USA!Z72*'World Oil Price analysis'!U$50/'World Oil Price analysis'!U25/'World Oil Price analysis'!T25</f>
        <v>52.786815702870925</v>
      </c>
      <c r="C25" s="7">
        <f t="shared" si="11"/>
        <v>53.806678651742764</v>
      </c>
      <c r="D25" s="7"/>
      <c r="E25" s="7"/>
      <c r="F25"/>
      <c r="G25" s="7">
        <f t="shared" si="12"/>
        <v>-2.2713403624391115</v>
      </c>
      <c r="H25" s="22">
        <f>BD25</f>
        <v>0</v>
      </c>
      <c r="I25" s="12">
        <v>0.2</v>
      </c>
      <c r="J25" s="12">
        <v>0</v>
      </c>
      <c r="K25" s="12">
        <v>0</v>
      </c>
      <c r="L25" s="7">
        <f t="shared" si="16"/>
        <v>2.5392908756366905</v>
      </c>
      <c r="M25" s="7"/>
      <c r="N25"/>
      <c r="O25"/>
      <c r="P25"/>
      <c r="Q25"/>
      <c r="R25"/>
      <c r="S25" s="7"/>
      <c r="T25" s="7">
        <v>1.024</v>
      </c>
      <c r="U25" s="7">
        <f>USA!AU72</f>
        <v>49.339823833290041</v>
      </c>
      <c r="W25" s="12">
        <v>1985</v>
      </c>
      <c r="X25" s="7">
        <f t="shared" si="7"/>
        <v>54.053699279739831</v>
      </c>
      <c r="AC25" s="12">
        <v>1985</v>
      </c>
      <c r="AD25" s="7">
        <f t="shared" si="8"/>
        <v>62.395283825906951</v>
      </c>
      <c r="AE25" s="7">
        <f t="shared" si="9"/>
        <v>63.600786323283849</v>
      </c>
      <c r="AJ25" s="12">
        <v>1985</v>
      </c>
      <c r="AK25" s="44">
        <v>59204.242840798906</v>
      </c>
      <c r="AM25" s="44">
        <f t="shared" si="0"/>
        <v>59204.242840798906</v>
      </c>
      <c r="AN25" s="44">
        <f t="shared" si="2"/>
        <v>58661.629805380457</v>
      </c>
      <c r="AO25" s="21"/>
      <c r="AP25" s="7">
        <v>3.4533751237696197</v>
      </c>
      <c r="AQ25" s="44">
        <f t="shared" si="13"/>
        <v>430.98793008271429</v>
      </c>
      <c r="AR25" s="44">
        <f t="shared" si="15"/>
        <v>415.31094028069953</v>
      </c>
      <c r="AT25" s="32">
        <f t="shared" si="4"/>
        <v>141.24749462591174</v>
      </c>
      <c r="AU25" s="7">
        <f t="shared" si="5"/>
        <v>-2.9177534526946713</v>
      </c>
      <c r="AV25" s="7">
        <f t="shared" si="6"/>
        <v>-2.2713403624391115</v>
      </c>
      <c r="AW25" s="7"/>
      <c r="AY25" s="12">
        <v>1985</v>
      </c>
      <c r="AZ25" s="32">
        <v>-0.32500000000000001</v>
      </c>
      <c r="BA25" s="7">
        <f t="shared" si="17"/>
        <v>4.2972125000000014</v>
      </c>
      <c r="BB25" s="7">
        <v>4.3</v>
      </c>
      <c r="BC25" s="7">
        <f>BB25-BA25</f>
        <v>2.7874999999983885E-3</v>
      </c>
      <c r="BJ25" s="12">
        <v>1985</v>
      </c>
      <c r="BK25" s="7">
        <v>52.786815702870925</v>
      </c>
      <c r="BL25" s="7">
        <v>53.806678651742764</v>
      </c>
      <c r="BN25" s="7">
        <v>-2.2713403624391115</v>
      </c>
      <c r="BO25" s="22">
        <v>0</v>
      </c>
      <c r="BP25" s="12">
        <v>0.2</v>
      </c>
      <c r="BQ25" s="12">
        <v>0</v>
      </c>
      <c r="BR25" s="12">
        <v>0</v>
      </c>
      <c r="BS25" s="7">
        <v>2.5392908756366905</v>
      </c>
    </row>
    <row r="26" spans="1:71">
      <c r="A26">
        <v>1986</v>
      </c>
      <c r="B26" s="7">
        <f>USA!Z73*'World Oil Price analysis'!U$50/'World Oil Price analysis'!U26/'World Oil Price analysis'!T26</f>
        <v>25.378370676486295</v>
      </c>
      <c r="C26" s="3">
        <f t="shared" si="11"/>
        <v>28.145633171317254</v>
      </c>
      <c r="D26" s="3"/>
      <c r="E26" s="3"/>
      <c r="G26" s="3">
        <f t="shared" si="12"/>
        <v>-1.7295767469287293</v>
      </c>
      <c r="H26" s="22">
        <f>BD26</f>
        <v>2.7874999999983885E-3</v>
      </c>
      <c r="I26">
        <v>1</v>
      </c>
      <c r="J26">
        <v>0</v>
      </c>
      <c r="K26">
        <v>0</v>
      </c>
      <c r="L26" s="3">
        <f t="shared" si="16"/>
        <v>2.4118110432172708</v>
      </c>
      <c r="M26" s="3"/>
      <c r="S26" s="3"/>
      <c r="T26" s="3">
        <v>1.179</v>
      </c>
      <c r="U26" s="7">
        <f>USA!AU73</f>
        <v>50.298954547521411</v>
      </c>
      <c r="W26">
        <v>1986</v>
      </c>
      <c r="X26" s="7">
        <f t="shared" si="7"/>
        <v>29.921099027577341</v>
      </c>
      <c r="AC26">
        <v>1986</v>
      </c>
      <c r="AD26" s="7">
        <f t="shared" si="8"/>
        <v>34.538532812471416</v>
      </c>
      <c r="AE26" s="7">
        <f t="shared" si="9"/>
        <v>38.304621175543332</v>
      </c>
      <c r="AJ26">
        <v>1986</v>
      </c>
      <c r="AK26" s="9">
        <v>61474.887462343897</v>
      </c>
      <c r="AM26" s="9">
        <f t="shared" si="0"/>
        <v>61474.887462343897</v>
      </c>
      <c r="AN26" s="9">
        <f t="shared" si="2"/>
        <v>59930.020603330711</v>
      </c>
      <c r="AO26" s="4"/>
      <c r="AP26" s="3">
        <v>3.5547340253155424</v>
      </c>
      <c r="AQ26" s="9">
        <f t="shared" si="13"/>
        <v>446.30840467836771</v>
      </c>
      <c r="AR26" s="9">
        <f t="shared" si="15"/>
        <v>431.29915501507361</v>
      </c>
      <c r="AT26" s="2">
        <f t="shared" si="4"/>
        <v>138.9523255644593</v>
      </c>
      <c r="AU26" s="7">
        <f t="shared" si="5"/>
        <v>-1.6249272721835517</v>
      </c>
      <c r="AV26" s="7">
        <f t="shared" si="6"/>
        <v>-1.7295767469287293</v>
      </c>
      <c r="AW26" s="3"/>
      <c r="AY26">
        <v>1986</v>
      </c>
      <c r="AZ26" s="2">
        <v>0.35000000000000009</v>
      </c>
      <c r="BA26" s="3">
        <f t="shared" si="17"/>
        <v>4.4249625000000012</v>
      </c>
      <c r="BB26" s="7">
        <f>BB25+(BB49-BB25)/24</f>
        <v>4.3965117008782961</v>
      </c>
      <c r="BC26" s="3">
        <f>BB26-BA26</f>
        <v>-2.8450799121705117E-2</v>
      </c>
      <c r="BD26" s="3">
        <f>BC25</f>
        <v>2.7874999999983885E-3</v>
      </c>
      <c r="BJ26">
        <v>1986</v>
      </c>
      <c r="BK26" s="7">
        <v>25.378370676486295</v>
      </c>
      <c r="BL26" s="3">
        <v>28.145633171317254</v>
      </c>
      <c r="BN26" s="3">
        <v>-1.7295767469287293</v>
      </c>
      <c r="BO26" s="22">
        <v>2.7874999999983885E-3</v>
      </c>
      <c r="BP26">
        <v>1</v>
      </c>
      <c r="BQ26">
        <v>0</v>
      </c>
      <c r="BR26">
        <v>0</v>
      </c>
      <c r="BS26" s="3">
        <v>2.4118110432172708</v>
      </c>
    </row>
    <row r="27" spans="1:71">
      <c r="A27">
        <v>1987</v>
      </c>
      <c r="B27" s="7">
        <f>USA!Z74*'World Oil Price analysis'!U$50/'World Oil Price analysis'!U27/'World Oil Price analysis'!T27</f>
        <v>28.326737977139747</v>
      </c>
      <c r="C27" s="3">
        <f t="shared" si="11"/>
        <v>24.283646525530646</v>
      </c>
      <c r="D27" s="3"/>
      <c r="E27" s="3"/>
      <c r="G27" s="3">
        <f t="shared" si="12"/>
        <v>-1.3769495471320725</v>
      </c>
      <c r="H27" s="22">
        <f t="shared" ref="H27:H57" si="18">BD27</f>
        <v>-2.8450799121705117E-2</v>
      </c>
      <c r="I27">
        <v>1</v>
      </c>
      <c r="J27">
        <v>0</v>
      </c>
      <c r="K27">
        <v>0</v>
      </c>
      <c r="L27" s="3">
        <f t="shared" si="16"/>
        <v>1.9500251829503323</v>
      </c>
      <c r="M27" s="3"/>
      <c r="S27" s="3"/>
      <c r="T27" s="3">
        <v>1.3009999999999999</v>
      </c>
      <c r="U27" s="7">
        <f>USA!AU74</f>
        <v>52.098757600919789</v>
      </c>
      <c r="W27">
        <v>1987</v>
      </c>
      <c r="X27" s="7">
        <f t="shared" si="7"/>
        <v>36.853086108258807</v>
      </c>
      <c r="AC27">
        <v>1987</v>
      </c>
      <c r="AD27" s="7">
        <f t="shared" si="8"/>
        <v>42.540266405915901</v>
      </c>
      <c r="AE27" s="7">
        <f t="shared" si="9"/>
        <v>36.468469943021546</v>
      </c>
      <c r="AJ27">
        <v>1987</v>
      </c>
      <c r="AK27" s="9">
        <v>62168.858481374911</v>
      </c>
      <c r="AM27" s="9">
        <f t="shared" si="0"/>
        <v>62168.858481374911</v>
      </c>
      <c r="AN27" s="9">
        <f t="shared" si="2"/>
        <v>60949.329594839241</v>
      </c>
      <c r="AO27" s="4"/>
      <c r="AP27" s="3">
        <v>3.783797596493077</v>
      </c>
      <c r="AQ27" s="9">
        <f t="shared" si="13"/>
        <v>463.19581136753436</v>
      </c>
      <c r="AR27" s="9">
        <f t="shared" si="15"/>
        <v>446.83071537620543</v>
      </c>
      <c r="AT27" s="2">
        <f t="shared" si="4"/>
        <v>136.40362557333029</v>
      </c>
      <c r="AU27" s="7">
        <f t="shared" si="5"/>
        <v>-1.8342262216739069</v>
      </c>
      <c r="AV27" s="7">
        <f t="shared" si="6"/>
        <v>-1.3769495471320725</v>
      </c>
      <c r="AW27" s="3"/>
      <c r="AY27">
        <v>1987</v>
      </c>
      <c r="AZ27" s="2">
        <v>8.7499999999999994E-2</v>
      </c>
      <c r="BA27" s="3">
        <f t="shared" si="17"/>
        <v>4.456900000000001</v>
      </c>
      <c r="BB27" s="7">
        <f>BB26+(BB49-BB25)/24</f>
        <v>4.4930234017565924</v>
      </c>
      <c r="BC27" s="3">
        <f t="shared" ref="BC27:BC57" si="19">BB27-BA27</f>
        <v>3.6123401756591456E-2</v>
      </c>
      <c r="BD27" s="3">
        <f t="shared" ref="BD27:BD46" si="20">BC26</f>
        <v>-2.8450799121705117E-2</v>
      </c>
      <c r="BJ27">
        <v>1987</v>
      </c>
      <c r="BK27" s="7">
        <v>28.326737977139747</v>
      </c>
      <c r="BL27" s="3">
        <v>24.283646525530646</v>
      </c>
      <c r="BN27" s="3">
        <v>-1.3769495471320725</v>
      </c>
      <c r="BO27" s="22">
        <v>-2.8450799121705117E-2</v>
      </c>
      <c r="BP27">
        <v>1</v>
      </c>
      <c r="BQ27">
        <v>0</v>
      </c>
      <c r="BR27">
        <v>0</v>
      </c>
      <c r="BS27" s="3">
        <v>1.9500251829503323</v>
      </c>
    </row>
    <row r="28" spans="1:71">
      <c r="A28">
        <v>1988</v>
      </c>
      <c r="B28" s="7">
        <f>USA!Z75*'World Oil Price analysis'!U$50/'World Oil Price analysis'!U28/'World Oil Price analysis'!T28</f>
        <v>21.925556419614566</v>
      </c>
      <c r="C28" s="3">
        <f t="shared" si="11"/>
        <v>21.231498862958098</v>
      </c>
      <c r="D28" s="3"/>
      <c r="E28" s="3"/>
      <c r="G28" s="3">
        <f t="shared" si="12"/>
        <v>-1.1369079929062498</v>
      </c>
      <c r="H28" s="22">
        <f t="shared" si="18"/>
        <v>3.6123401756591456E-2</v>
      </c>
      <c r="I28">
        <v>1</v>
      </c>
      <c r="J28">
        <v>0</v>
      </c>
      <c r="K28">
        <v>0</v>
      </c>
      <c r="L28" s="3">
        <f t="shared" si="16"/>
        <v>1.0835272310207644</v>
      </c>
      <c r="M28" s="3"/>
      <c r="S28" s="3"/>
      <c r="T28" s="3">
        <v>1.343</v>
      </c>
      <c r="U28" s="7">
        <f>USA!AU75</f>
        <v>54.234829589984898</v>
      </c>
      <c r="W28">
        <v>1988</v>
      </c>
      <c r="X28" s="7">
        <f t="shared" si="7"/>
        <v>29.446022271542361</v>
      </c>
      <c r="AC28">
        <v>1988</v>
      </c>
      <c r="AD28" s="7">
        <f t="shared" si="8"/>
        <v>33.990142056114721</v>
      </c>
      <c r="AE28" s="7">
        <f t="shared" si="9"/>
        <v>32.914177802602381</v>
      </c>
      <c r="AJ28">
        <v>1988</v>
      </c>
      <c r="AK28" s="9">
        <v>64541.568443799704</v>
      </c>
      <c r="AM28" s="9">
        <f t="shared" si="0"/>
        <v>64541.568443799704</v>
      </c>
      <c r="AN28" s="9">
        <f t="shared" si="2"/>
        <v>62728.438129172835</v>
      </c>
      <c r="AO28" s="4"/>
      <c r="AP28" s="3">
        <v>4.2588475766652811</v>
      </c>
      <c r="AQ28" s="9">
        <f t="shared" si="13"/>
        <v>482.92261495517567</v>
      </c>
      <c r="AR28" s="9">
        <f t="shared" si="15"/>
        <v>464.14227700035923</v>
      </c>
      <c r="AT28" s="2">
        <f t="shared" si="4"/>
        <v>135.1491584317028</v>
      </c>
      <c r="AU28" s="7">
        <f t="shared" si="5"/>
        <v>-0.91967287259023811</v>
      </c>
      <c r="AV28" s="7">
        <f t="shared" si="6"/>
        <v>-1.1369079929062498</v>
      </c>
      <c r="AW28" s="3"/>
      <c r="AY28">
        <v>1988</v>
      </c>
      <c r="AZ28" s="2">
        <v>0.37</v>
      </c>
      <c r="BA28" s="3">
        <f t="shared" si="17"/>
        <v>4.5919500000000006</v>
      </c>
      <c r="BB28" s="7">
        <f>BB27+(BB49-BB25)/24</f>
        <v>4.5895351026348887</v>
      </c>
      <c r="BC28" s="3">
        <f t="shared" si="19"/>
        <v>-2.4148973651119121E-3</v>
      </c>
      <c r="BD28" s="3">
        <f t="shared" si="20"/>
        <v>3.6123401756591456E-2</v>
      </c>
      <c r="BJ28">
        <v>1988</v>
      </c>
      <c r="BK28" s="7">
        <v>21.925556419614566</v>
      </c>
      <c r="BL28" s="3">
        <v>21.231498862958098</v>
      </c>
      <c r="BN28" s="3">
        <v>-1.1369079929062498</v>
      </c>
      <c r="BO28" s="22">
        <v>3.6123401756591456E-2</v>
      </c>
      <c r="BP28">
        <v>1</v>
      </c>
      <c r="BQ28">
        <v>0</v>
      </c>
      <c r="BR28">
        <v>0</v>
      </c>
      <c r="BS28" s="3">
        <v>1.0835272310207644</v>
      </c>
    </row>
    <row r="29" spans="1:71">
      <c r="A29">
        <v>1989</v>
      </c>
      <c r="B29" s="7">
        <f>USA!Z76*'World Oil Price analysis'!U$50/'World Oil Price analysis'!U29/'World Oil Price analysis'!T29</f>
        <v>26.913724633883639</v>
      </c>
      <c r="C29" s="3">
        <f t="shared" si="11"/>
        <v>19.186844867913152</v>
      </c>
      <c r="D29" s="3"/>
      <c r="E29" s="3"/>
      <c r="G29" s="3">
        <f t="shared" si="12"/>
        <v>-1.0216588240748781</v>
      </c>
      <c r="H29" s="22">
        <f t="shared" si="18"/>
        <v>-2.4148973651119121E-3</v>
      </c>
      <c r="I29">
        <v>1</v>
      </c>
      <c r="J29">
        <v>0</v>
      </c>
      <c r="K29">
        <v>0</v>
      </c>
      <c r="L29" s="3">
        <f t="shared" si="16"/>
        <v>0.7052543995933136</v>
      </c>
      <c r="M29" s="3"/>
      <c r="S29" s="3"/>
      <c r="T29" s="3">
        <v>1.284</v>
      </c>
      <c r="U29" s="7">
        <f>USA!AU76</f>
        <v>56.833271365591884</v>
      </c>
      <c r="W29">
        <v>1989</v>
      </c>
      <c r="X29" s="7">
        <f t="shared" si="7"/>
        <v>34.557222429906595</v>
      </c>
      <c r="AC29">
        <v>1989</v>
      </c>
      <c r="AD29" s="7">
        <f t="shared" si="8"/>
        <v>39.89010429406818</v>
      </c>
      <c r="AE29" s="7">
        <f t="shared" si="9"/>
        <v>28.437730312941845</v>
      </c>
      <c r="AJ29">
        <v>1989</v>
      </c>
      <c r="AK29" s="9">
        <v>65833.591353330892</v>
      </c>
      <c r="AM29" s="9">
        <f t="shared" si="0"/>
        <v>65833.591353330892</v>
      </c>
      <c r="AN29" s="9">
        <f t="shared" si="2"/>
        <v>64181.339426168503</v>
      </c>
      <c r="AO29" s="4"/>
      <c r="AP29" s="3">
        <v>3.1462306215271463</v>
      </c>
      <c r="AQ29" s="9">
        <f t="shared" si="13"/>
        <v>498.11647414517506</v>
      </c>
      <c r="AR29" s="9">
        <f t="shared" si="15"/>
        <v>481.41163348929507</v>
      </c>
      <c r="AT29" s="2">
        <f t="shared" si="4"/>
        <v>133.31904541022206</v>
      </c>
      <c r="AU29" s="7">
        <f t="shared" si="5"/>
        <v>-1.3541431132222614</v>
      </c>
      <c r="AV29" s="7">
        <f t="shared" si="6"/>
        <v>-1.0216588240748781</v>
      </c>
      <c r="AW29" s="3"/>
      <c r="AY29">
        <v>1989</v>
      </c>
      <c r="AZ29" s="2">
        <v>0.19999999999999996</v>
      </c>
      <c r="BA29" s="3">
        <f t="shared" si="17"/>
        <v>4.664950000000001</v>
      </c>
      <c r="BB29" s="7">
        <f>BB28+(BB49-BB25)/24</f>
        <v>4.686046803513185</v>
      </c>
      <c r="BC29" s="3">
        <f t="shared" si="19"/>
        <v>2.1096803513183993E-2</v>
      </c>
      <c r="BD29" s="3">
        <f t="shared" si="20"/>
        <v>-2.4148973651119121E-3</v>
      </c>
      <c r="BJ29">
        <v>1989</v>
      </c>
      <c r="BK29" s="7">
        <v>26.913724633883639</v>
      </c>
      <c r="BL29" s="3">
        <v>19.186844867913152</v>
      </c>
      <c r="BN29" s="3">
        <v>-1.0216588240748781</v>
      </c>
      <c r="BO29" s="22">
        <v>-2.4148973651119121E-3</v>
      </c>
      <c r="BP29">
        <v>1</v>
      </c>
      <c r="BQ29">
        <v>0</v>
      </c>
      <c r="BR29">
        <v>0</v>
      </c>
      <c r="BS29" s="3">
        <v>0.7052543995933136</v>
      </c>
    </row>
    <row r="30" spans="1:71">
      <c r="A30">
        <v>1990</v>
      </c>
      <c r="B30" s="7">
        <f>USA!Z77*'World Oil Price analysis'!U$50/'World Oil Price analysis'!U30/'World Oil Price analysis'!T30</f>
        <v>30.126983820590109</v>
      </c>
      <c r="C30" s="3">
        <f t="shared" si="11"/>
        <v>18.72253625150238</v>
      </c>
      <c r="D30" s="3"/>
      <c r="E30" s="3"/>
      <c r="G30" s="3">
        <f t="shared" si="12"/>
        <v>-0.99624028077753835</v>
      </c>
      <c r="H30" s="22">
        <f t="shared" si="18"/>
        <v>2.1096803513183993E-2</v>
      </c>
      <c r="I30">
        <v>1</v>
      </c>
      <c r="J30">
        <v>0</v>
      </c>
      <c r="K30">
        <v>0</v>
      </c>
      <c r="L30" s="3">
        <f t="shared" si="16"/>
        <v>0.48008310845164548</v>
      </c>
      <c r="M30" s="3"/>
      <c r="S30" s="3"/>
      <c r="T30" s="3">
        <v>1.359</v>
      </c>
      <c r="U30" s="7">
        <f>USA!AU77</f>
        <v>59.913189117267208</v>
      </c>
      <c r="W30">
        <v>1990</v>
      </c>
      <c r="X30" s="7">
        <f t="shared" si="7"/>
        <v>40.942571012181958</v>
      </c>
      <c r="AC30">
        <v>1990</v>
      </c>
      <c r="AD30" s="7">
        <f t="shared" si="8"/>
        <v>47.260841957304422</v>
      </c>
      <c r="AE30" s="7">
        <f t="shared" si="9"/>
        <v>29.370441863397424</v>
      </c>
      <c r="AJ30">
        <v>1990</v>
      </c>
      <c r="AK30" s="9">
        <v>66837.683957329296</v>
      </c>
      <c r="AM30" s="9">
        <f t="shared" si="0"/>
        <v>66837.683957329296</v>
      </c>
      <c r="AN30" s="9">
        <f t="shared" si="2"/>
        <v>65737.614584819952</v>
      </c>
      <c r="AO30" s="4"/>
      <c r="AP30" s="3">
        <v>2.0807734180321669</v>
      </c>
      <c r="AQ30" s="9">
        <f t="shared" si="13"/>
        <v>508.48114933002694</v>
      </c>
      <c r="AR30" s="9">
        <f t="shared" si="15"/>
        <v>496.50674614345922</v>
      </c>
      <c r="AT30" s="2">
        <f t="shared" si="4"/>
        <v>132.40024449904638</v>
      </c>
      <c r="AU30" s="7">
        <f t="shared" si="5"/>
        <v>-0.6891745349274947</v>
      </c>
      <c r="AV30" s="7">
        <f t="shared" si="6"/>
        <v>-0.99624028077753835</v>
      </c>
      <c r="AW30" s="3"/>
      <c r="AY30">
        <v>1990</v>
      </c>
      <c r="AZ30" s="2">
        <v>0.57500000000000007</v>
      </c>
      <c r="BA30" s="3">
        <f t="shared" si="17"/>
        <v>4.8748250000000013</v>
      </c>
      <c r="BB30" s="7">
        <f>BB29+(BB49-BB25)/24</f>
        <v>4.7825585043914813</v>
      </c>
      <c r="BC30" s="3">
        <f t="shared" si="19"/>
        <v>-9.2266495608519961E-2</v>
      </c>
      <c r="BD30" s="3">
        <f t="shared" si="20"/>
        <v>2.1096803513183993E-2</v>
      </c>
      <c r="BJ30">
        <v>1990</v>
      </c>
      <c r="BK30" s="7">
        <v>30.126983820590109</v>
      </c>
      <c r="BL30" s="3">
        <v>18.72253625150238</v>
      </c>
      <c r="BN30" s="3">
        <v>-0.99624028077753835</v>
      </c>
      <c r="BO30" s="22">
        <v>2.1096803513183993E-2</v>
      </c>
      <c r="BP30">
        <v>1</v>
      </c>
      <c r="BQ30">
        <v>0</v>
      </c>
      <c r="BR30">
        <v>0</v>
      </c>
      <c r="BS30" s="3">
        <v>0.48008310845164548</v>
      </c>
    </row>
    <row r="31" spans="1:71">
      <c r="A31">
        <v>1991</v>
      </c>
      <c r="B31" s="7">
        <f>USA!Z78*'World Oil Price analysis'!U$50/'World Oil Price analysis'!U31/'World Oil Price analysis'!T31</f>
        <v>25.217583773540373</v>
      </c>
      <c r="C31" s="3">
        <f t="shared" si="11"/>
        <v>20.555601692184446</v>
      </c>
      <c r="D31" s="3"/>
      <c r="E31" s="3"/>
      <c r="G31" s="3">
        <f t="shared" si="12"/>
        <v>-1.4821349341727741</v>
      </c>
      <c r="H31" s="22">
        <f t="shared" si="18"/>
        <v>-9.2266495608519961E-2</v>
      </c>
      <c r="I31">
        <v>1</v>
      </c>
      <c r="J31">
        <v>0</v>
      </c>
      <c r="K31">
        <v>0</v>
      </c>
      <c r="L31" s="3">
        <f t="shared" si="16"/>
        <v>0.23049833766274341</v>
      </c>
      <c r="M31" s="3"/>
      <c r="S31" s="3"/>
      <c r="T31" s="3">
        <v>1.3680000000000001</v>
      </c>
      <c r="U31" s="7">
        <f>USA!AU78</f>
        <v>62.439027372673394</v>
      </c>
      <c r="W31">
        <v>1991</v>
      </c>
      <c r="X31" s="7">
        <f t="shared" si="7"/>
        <v>34.497654602203234</v>
      </c>
      <c r="AC31">
        <v>1991</v>
      </c>
      <c r="AD31" s="7">
        <f t="shared" si="8"/>
        <v>39.821343939717423</v>
      </c>
      <c r="AE31" s="7">
        <f t="shared" si="9"/>
        <v>32.459560448895274</v>
      </c>
      <c r="AJ31">
        <v>1991</v>
      </c>
      <c r="AK31" s="9">
        <v>66191.971598864475</v>
      </c>
      <c r="AM31" s="9">
        <f t="shared" si="0"/>
        <v>66191.971598864475</v>
      </c>
      <c r="AN31" s="9">
        <f t="shared" si="2"/>
        <v>66287.748969841559</v>
      </c>
      <c r="AO31" s="4"/>
      <c r="AP31" s="3">
        <v>1.3256514993728041</v>
      </c>
      <c r="AQ31" s="9">
        <f t="shared" si="13"/>
        <v>515.22183731014854</v>
      </c>
      <c r="AR31" s="9">
        <f t="shared" si="15"/>
        <v>507.27315359511687</v>
      </c>
      <c r="AT31" s="2">
        <f t="shared" si="4"/>
        <v>130.67466413322066</v>
      </c>
      <c r="AU31" s="7">
        <f t="shared" si="5"/>
        <v>-1.303306026627582</v>
      </c>
      <c r="AV31" s="7">
        <f t="shared" si="6"/>
        <v>-1.4821349341727741</v>
      </c>
      <c r="AW31" s="3"/>
      <c r="AY31">
        <v>1991</v>
      </c>
      <c r="AZ31" s="2">
        <v>5.2500000000000019E-2</v>
      </c>
      <c r="BA31" s="3">
        <f t="shared" si="17"/>
        <v>4.8939875000000015</v>
      </c>
      <c r="BB31" s="7">
        <f>BB30+(BB49-BB25)/24</f>
        <v>4.8790702052697776</v>
      </c>
      <c r="BC31" s="3">
        <f t="shared" si="19"/>
        <v>-1.4917294730223851E-2</v>
      </c>
      <c r="BD31" s="3">
        <f t="shared" si="20"/>
        <v>-9.2266495608519961E-2</v>
      </c>
      <c r="BJ31">
        <v>1991</v>
      </c>
      <c r="BK31" s="7">
        <v>25.217583773540373</v>
      </c>
      <c r="BL31" s="3">
        <v>20.555601692184446</v>
      </c>
      <c r="BN31" s="3">
        <v>-1.4821349341727741</v>
      </c>
      <c r="BO31" s="22">
        <v>-9.2266495608519961E-2</v>
      </c>
      <c r="BP31">
        <v>1</v>
      </c>
      <c r="BQ31">
        <v>0</v>
      </c>
      <c r="BR31">
        <v>0</v>
      </c>
      <c r="BS31" s="3">
        <v>0.23049833766274341</v>
      </c>
    </row>
    <row r="32" spans="1:71">
      <c r="A32">
        <v>1992</v>
      </c>
      <c r="B32" s="7">
        <f>USA!Z79*'World Oil Price analysis'!U$50/'World Oil Price analysis'!U32/'World Oil Price analysis'!T32</f>
        <v>22.718200420677974</v>
      </c>
      <c r="C32" s="3">
        <f t="shared" si="11"/>
        <v>23.160886031272629</v>
      </c>
      <c r="D32" s="3"/>
      <c r="E32" s="3"/>
      <c r="G32" s="3">
        <f t="shared" si="12"/>
        <v>-1.799417213344201</v>
      </c>
      <c r="H32" s="22">
        <f t="shared" si="18"/>
        <v>-1.4917294730223851E-2</v>
      </c>
      <c r="I32">
        <v>1</v>
      </c>
      <c r="J32">
        <v>0</v>
      </c>
      <c r="K32">
        <v>0</v>
      </c>
      <c r="L32" s="3">
        <f t="shared" si="16"/>
        <v>5.0837086594679448E-2</v>
      </c>
      <c r="M32" s="3"/>
      <c r="S32" s="3"/>
      <c r="T32" s="3">
        <v>1.4079999999999999</v>
      </c>
      <c r="U32" s="7">
        <f>USA!AU79</f>
        <v>64.338182611609682</v>
      </c>
      <c r="W32">
        <v>1992</v>
      </c>
      <c r="X32" s="7">
        <f t="shared" si="7"/>
        <v>31.987226192314584</v>
      </c>
      <c r="AC32">
        <v>1992</v>
      </c>
      <c r="AD32" s="7">
        <f t="shared" si="8"/>
        <v>36.923505396808793</v>
      </c>
      <c r="AE32" s="7">
        <f t="shared" si="9"/>
        <v>37.642994803064923</v>
      </c>
      <c r="AJ32">
        <v>1992</v>
      </c>
      <c r="AK32" s="9">
        <v>66132.696205000379</v>
      </c>
      <c r="AM32" s="9">
        <f t="shared" si="0"/>
        <v>66132.696205000379</v>
      </c>
      <c r="AN32" s="9">
        <f t="shared" si="2"/>
        <v>66387.450587064726</v>
      </c>
      <c r="AO32" s="4"/>
      <c r="AP32" s="3">
        <v>2.1206451128843451</v>
      </c>
      <c r="AQ32" s="9">
        <f t="shared" si="13"/>
        <v>526.14786402357913</v>
      </c>
      <c r="AR32" s="9">
        <f t="shared" si="15"/>
        <v>516.6169502212515</v>
      </c>
      <c r="AT32" s="2">
        <f t="shared" si="4"/>
        <v>128.50420521168147</v>
      </c>
      <c r="AU32" s="7">
        <f t="shared" si="5"/>
        <v>-1.6609638417179662</v>
      </c>
      <c r="AV32" s="7">
        <f>AVERAGE(AU32:AU33)</f>
        <v>-1.799417213344201</v>
      </c>
      <c r="AW32" s="3"/>
      <c r="AY32">
        <v>1992</v>
      </c>
      <c r="AZ32" s="2">
        <v>0.19999999999999996</v>
      </c>
      <c r="BA32" s="3">
        <f t="shared" si="17"/>
        <v>4.9669875000000019</v>
      </c>
      <c r="BB32" s="7">
        <f>BB31+(BB49-BB25)/24</f>
        <v>4.9755819061480739</v>
      </c>
      <c r="BC32" s="3">
        <f t="shared" si="19"/>
        <v>8.5944061480720535E-3</v>
      </c>
      <c r="BD32" s="3">
        <f t="shared" si="20"/>
        <v>-1.4917294730223851E-2</v>
      </c>
      <c r="BJ32">
        <v>1992</v>
      </c>
      <c r="BK32" s="7">
        <v>22.718200420677974</v>
      </c>
      <c r="BL32" s="3">
        <v>23.160886031272629</v>
      </c>
      <c r="BN32" s="3">
        <v>-1.799417213344201</v>
      </c>
      <c r="BO32" s="22">
        <v>-1.4917294730223851E-2</v>
      </c>
      <c r="BP32">
        <v>1</v>
      </c>
      <c r="BQ32">
        <v>0</v>
      </c>
      <c r="BR32">
        <v>0</v>
      </c>
      <c r="BS32" s="3">
        <v>5.0837086594679448E-2</v>
      </c>
    </row>
    <row r="33" spans="1:71">
      <c r="A33">
        <v>1993</v>
      </c>
      <c r="B33" s="7">
        <f>USA!Z80*'World Oil Price analysis'!U$50/'World Oil Price analysis'!U33/'World Oil Price analysis'!T33</f>
        <v>19.927916307818762</v>
      </c>
      <c r="C33" s="3">
        <f t="shared" si="11"/>
        <v>20.403702155137939</v>
      </c>
      <c r="D33" s="3"/>
      <c r="E33" s="3"/>
      <c r="G33" s="3">
        <f t="shared" si="12"/>
        <v>-1.7044945820873014</v>
      </c>
      <c r="H33" s="22">
        <f t="shared" si="18"/>
        <v>8.5944061480720535E-3</v>
      </c>
      <c r="I33">
        <v>1</v>
      </c>
      <c r="J33">
        <v>0</v>
      </c>
      <c r="K33">
        <v>0</v>
      </c>
      <c r="L33" s="3">
        <f t="shared" si="16"/>
        <v>-0.97178930679047149</v>
      </c>
      <c r="M33" s="3"/>
      <c r="S33" s="3"/>
      <c r="T33" s="3">
        <v>1.3959999999999999</v>
      </c>
      <c r="U33" s="7">
        <f>USA!AU80</f>
        <v>66.248801564261839</v>
      </c>
      <c r="W33">
        <v>1993</v>
      </c>
      <c r="X33" s="7">
        <f t="shared" si="7"/>
        <v>27.81937116571499</v>
      </c>
      <c r="AC33">
        <v>1993</v>
      </c>
      <c r="AD33" s="7">
        <f t="shared" si="8"/>
        <v>32.11246561978863</v>
      </c>
      <c r="AE33" s="7">
        <f t="shared" si="9"/>
        <v>32.879161767464865</v>
      </c>
      <c r="AJ33">
        <v>1993</v>
      </c>
      <c r="AK33" s="9">
        <v>66655.319770368282</v>
      </c>
      <c r="AM33" s="9">
        <f t="shared" si="0"/>
        <v>66655.319770368282</v>
      </c>
      <c r="AN33" s="9">
        <f t="shared" si="2"/>
        <v>66326.662524744388</v>
      </c>
      <c r="AO33" s="4"/>
      <c r="AP33" s="3">
        <v>2.1883084861207935</v>
      </c>
      <c r="AQ33" s="9">
        <f t="shared" si="13"/>
        <v>537.66160238155044</v>
      </c>
      <c r="AR33" s="9">
        <f t="shared" si="15"/>
        <v>526.3437679050927</v>
      </c>
      <c r="AT33" s="2">
        <f t="shared" si="4"/>
        <v>126.01396001843425</v>
      </c>
      <c r="AU33" s="7">
        <f t="shared" si="5"/>
        <v>-1.9378705849704358</v>
      </c>
      <c r="AV33" s="7">
        <f t="shared" si="6"/>
        <v>-1.7044945820873014</v>
      </c>
      <c r="AW33" s="3"/>
      <c r="AY33">
        <v>1993</v>
      </c>
      <c r="AZ33" s="2">
        <v>0.30249999999999999</v>
      </c>
      <c r="BA33" s="3">
        <f t="shared" si="17"/>
        <v>5.0774000000000017</v>
      </c>
      <c r="BB33" s="7">
        <f>BB32+(BB49-BB25)/24</f>
        <v>5.0720936070263702</v>
      </c>
      <c r="BC33" s="3">
        <f t="shared" si="19"/>
        <v>-5.3063929736314464E-3</v>
      </c>
      <c r="BD33" s="3">
        <f t="shared" si="20"/>
        <v>8.5944061480720535E-3</v>
      </c>
      <c r="BJ33">
        <v>1993</v>
      </c>
      <c r="BK33" s="7">
        <v>19.927916307818762</v>
      </c>
      <c r="BL33" s="3">
        <v>20.403702155137939</v>
      </c>
      <c r="BN33" s="3">
        <v>-1.7044945820873014</v>
      </c>
      <c r="BO33" s="22">
        <v>8.5944061480720535E-3</v>
      </c>
      <c r="BP33">
        <v>1</v>
      </c>
      <c r="BQ33">
        <v>0</v>
      </c>
      <c r="BR33">
        <v>0</v>
      </c>
      <c r="BS33" s="3">
        <v>-0.97178930679047149</v>
      </c>
    </row>
    <row r="34" spans="1:71">
      <c r="A34">
        <v>1994</v>
      </c>
      <c r="B34" s="7">
        <f>USA!Z81*'World Oil Price analysis'!U$50/'World Oil Price analysis'!U34/'World Oil Price analysis'!T34</f>
        <v>17.610224664640008</v>
      </c>
      <c r="C34" s="3">
        <f t="shared" si="11"/>
        <v>18.286763078403187</v>
      </c>
      <c r="D34" s="3"/>
      <c r="E34" s="3"/>
      <c r="G34" s="3">
        <f t="shared" si="12"/>
        <v>-1.3212064468234974</v>
      </c>
      <c r="H34" s="22">
        <f t="shared" si="18"/>
        <v>-5.3063929736314464E-3</v>
      </c>
      <c r="I34">
        <v>1</v>
      </c>
      <c r="J34">
        <v>0</v>
      </c>
      <c r="K34">
        <v>0</v>
      </c>
      <c r="L34" s="3">
        <f t="shared" si="16"/>
        <v>-0.63456455834285386</v>
      </c>
      <c r="M34" s="3"/>
      <c r="S34" s="3"/>
      <c r="T34" s="3">
        <v>1.4370000000000001</v>
      </c>
      <c r="U34" s="7">
        <f>USA!AU81</f>
        <v>67.968358621648804</v>
      </c>
      <c r="W34">
        <v>1994</v>
      </c>
      <c r="X34" s="7">
        <f t="shared" si="7"/>
        <v>25.30589284308769</v>
      </c>
      <c r="AC34">
        <v>1994</v>
      </c>
      <c r="AD34" s="7">
        <f t="shared" si="8"/>
        <v>29.211106500610327</v>
      </c>
      <c r="AE34" s="7">
        <f t="shared" si="9"/>
        <v>30.333320216365564</v>
      </c>
      <c r="AJ34">
        <v>1994</v>
      </c>
      <c r="AK34" s="9">
        <v>68387.677139728301</v>
      </c>
      <c r="AM34" s="9">
        <f t="shared" si="0"/>
        <v>68387.677139728301</v>
      </c>
      <c r="AN34" s="9">
        <f t="shared" si="2"/>
        <v>67058.564371698987</v>
      </c>
      <c r="AO34" s="4"/>
      <c r="AP34" s="3">
        <v>3.5005207372220681</v>
      </c>
      <c r="AQ34" s="9">
        <f t="shared" si="13"/>
        <v>556.48255826899708</v>
      </c>
      <c r="AR34" s="9">
        <f t="shared" si="15"/>
        <v>540.09734155804222</v>
      </c>
      <c r="AT34" s="2">
        <f t="shared" si="4"/>
        <v>124.16014524021215</v>
      </c>
      <c r="AU34" s="7">
        <f t="shared" si="5"/>
        <v>-1.471118579204167</v>
      </c>
      <c r="AV34" s="7">
        <f t="shared" si="6"/>
        <v>-1.3212064468234974</v>
      </c>
      <c r="AW34" s="3"/>
      <c r="AY34">
        <v>1994</v>
      </c>
      <c r="AZ34" s="2">
        <v>0.17500000000000002</v>
      </c>
      <c r="BA34" s="3">
        <f t="shared" si="17"/>
        <v>5.141275000000002</v>
      </c>
      <c r="BB34" s="7">
        <f>BB33+(BB49-BB25)/24</f>
        <v>5.1686053079046665</v>
      </c>
      <c r="BC34" s="3">
        <f t="shared" si="19"/>
        <v>2.7330307904664508E-2</v>
      </c>
      <c r="BD34" s="3">
        <f t="shared" si="20"/>
        <v>-5.3063929736314464E-3</v>
      </c>
      <c r="BJ34">
        <v>1994</v>
      </c>
      <c r="BK34" s="7">
        <v>17.610224664640008</v>
      </c>
      <c r="BL34" s="3">
        <v>18.286763078403187</v>
      </c>
      <c r="BN34" s="3">
        <v>-1.3212064468234974</v>
      </c>
      <c r="BO34" s="22">
        <v>-5.3063929736314464E-3</v>
      </c>
      <c r="BP34">
        <v>1</v>
      </c>
      <c r="BQ34">
        <v>0</v>
      </c>
      <c r="BR34">
        <v>0</v>
      </c>
      <c r="BS34" s="3">
        <v>-0.63456455834285386</v>
      </c>
    </row>
    <row r="35" spans="1:71">
      <c r="A35">
        <v>1995</v>
      </c>
      <c r="B35" s="7">
        <f>USA!Z82*'World Oil Price analysis'!U$50/'World Oil Price analysis'!U35/'World Oil Price analysis'!T35</f>
        <v>17.329574131880065</v>
      </c>
      <c r="C35" s="3">
        <f t="shared" si="11"/>
        <v>18.929233178439969</v>
      </c>
      <c r="D35" s="3"/>
      <c r="E35" s="3"/>
      <c r="G35" s="3">
        <f t="shared" si="12"/>
        <v>-1.1080946884537479</v>
      </c>
      <c r="H35" s="22">
        <f t="shared" si="18"/>
        <v>2.7330307904664508E-2</v>
      </c>
      <c r="I35">
        <v>1</v>
      </c>
      <c r="J35">
        <v>0</v>
      </c>
      <c r="K35">
        <v>0</v>
      </c>
      <c r="L35" s="3">
        <f t="shared" si="16"/>
        <v>0.18984526251379918</v>
      </c>
      <c r="M35" s="3"/>
      <c r="S35" s="3"/>
      <c r="T35" s="3">
        <v>1.522</v>
      </c>
      <c r="U35" s="7">
        <f>USA!AU82</f>
        <v>69.875156336395719</v>
      </c>
      <c r="W35">
        <v>1995</v>
      </c>
      <c r="X35" s="7">
        <f t="shared" si="7"/>
        <v>26.37561182872146</v>
      </c>
      <c r="AC35">
        <v>1995</v>
      </c>
      <c r="AD35" s="7">
        <f t="shared" si="8"/>
        <v>30.445904869860836</v>
      </c>
      <c r="AE35" s="7">
        <f t="shared" si="9"/>
        <v>33.256306717311858</v>
      </c>
      <c r="AJ35">
        <v>1995</v>
      </c>
      <c r="AK35" s="9">
        <v>70361.763866414985</v>
      </c>
      <c r="AM35" s="9">
        <f t="shared" si="0"/>
        <v>70361.763866414985</v>
      </c>
      <c r="AN35" s="9">
        <f t="shared" si="2"/>
        <v>68468.253592170528</v>
      </c>
      <c r="AO35" s="4"/>
      <c r="AP35" s="3">
        <v>4.1930700151257216</v>
      </c>
      <c r="AQ35" s="9">
        <f t="shared" si="13"/>
        <v>579.81626155917888</v>
      </c>
      <c r="AR35" s="9">
        <f t="shared" si="15"/>
        <v>557.9868074032421</v>
      </c>
      <c r="AT35" s="2">
        <f t="shared" si="4"/>
        <v>122.70586451820958</v>
      </c>
      <c r="AU35" s="7">
        <f t="shared" si="5"/>
        <v>-1.1712943144428278</v>
      </c>
      <c r="AV35" s="7">
        <f t="shared" si="6"/>
        <v>-1.1080946884537479</v>
      </c>
      <c r="AW35" s="3"/>
      <c r="AY35">
        <v>1995</v>
      </c>
      <c r="AZ35" s="2">
        <v>-0.3</v>
      </c>
      <c r="BA35" s="3">
        <f t="shared" si="17"/>
        <v>5.0317750000000023</v>
      </c>
      <c r="BB35" s="7">
        <f>BB34+(BB49-BB25)/24</f>
        <v>5.2651170087829628</v>
      </c>
      <c r="BC35" s="3">
        <f t="shared" si="19"/>
        <v>0.23334200878296052</v>
      </c>
      <c r="BD35" s="3">
        <f t="shared" si="20"/>
        <v>2.7330307904664508E-2</v>
      </c>
      <c r="BJ35">
        <v>1995</v>
      </c>
      <c r="BK35" s="7">
        <v>17.329574131880065</v>
      </c>
      <c r="BL35" s="3">
        <v>18.929233178439969</v>
      </c>
      <c r="BN35" s="3">
        <v>-1.1080946884537479</v>
      </c>
      <c r="BO35" s="22">
        <v>2.7330307904664508E-2</v>
      </c>
      <c r="BP35">
        <v>1</v>
      </c>
      <c r="BQ35">
        <v>0</v>
      </c>
      <c r="BR35">
        <v>0</v>
      </c>
      <c r="BS35" s="3">
        <v>0.18984526251379918</v>
      </c>
    </row>
    <row r="36" spans="1:71">
      <c r="A36">
        <v>1996</v>
      </c>
      <c r="B36" s="7">
        <f>USA!Z83*'World Oil Price analysis'!U$50/'World Oil Price analysis'!U36/'World Oil Price analysis'!T36</f>
        <v>21.194578827543335</v>
      </c>
      <c r="C36" s="3">
        <f t="shared" si="11"/>
        <v>21.847307662162404</v>
      </c>
      <c r="D36" s="3"/>
      <c r="E36" s="3"/>
      <c r="G36" s="3">
        <f t="shared" si="12"/>
        <v>-1.0594526119220515</v>
      </c>
      <c r="H36" s="22">
        <f t="shared" si="18"/>
        <v>0.23334200878296052</v>
      </c>
      <c r="I36">
        <v>1</v>
      </c>
      <c r="J36">
        <v>0</v>
      </c>
      <c r="K36">
        <v>0</v>
      </c>
      <c r="L36" s="3">
        <f t="shared" si="16"/>
        <v>0.76657627052760802</v>
      </c>
      <c r="M36" s="3"/>
      <c r="S36" s="3"/>
      <c r="T36" s="3">
        <v>1.4510000000000001</v>
      </c>
      <c r="U36" s="7">
        <f>USA!AU83</f>
        <v>71.92716109154415</v>
      </c>
      <c r="W36">
        <v>1996</v>
      </c>
      <c r="X36" s="7">
        <f t="shared" si="7"/>
        <v>30.753333878765382</v>
      </c>
      <c r="AC36">
        <v>1996</v>
      </c>
      <c r="AD36" s="7">
        <f t="shared" si="8"/>
        <v>35.499198418001072</v>
      </c>
      <c r="AE36" s="7">
        <f t="shared" si="9"/>
        <v>36.592466210762339</v>
      </c>
      <c r="AJ36">
        <v>1996</v>
      </c>
      <c r="AK36" s="9">
        <v>72017.81160731797</v>
      </c>
      <c r="AM36" s="9">
        <f t="shared" si="0"/>
        <v>72017.81160731797</v>
      </c>
      <c r="AN36" s="9">
        <f t="shared" si="2"/>
        <v>70255.750871153752</v>
      </c>
      <c r="AO36" s="4"/>
      <c r="AP36" s="3">
        <v>3.39497678272902</v>
      </c>
      <c r="AQ36" s="9">
        <f t="shared" si="13"/>
        <v>599.50088902160041</v>
      </c>
      <c r="AR36" s="9">
        <f t="shared" si="15"/>
        <v>578.59990294992542</v>
      </c>
      <c r="AT36" s="2">
        <f t="shared" si="4"/>
        <v>121.42371699850422</v>
      </c>
      <c r="AU36" s="7">
        <f t="shared" si="5"/>
        <v>-1.044895062464668</v>
      </c>
      <c r="AV36" s="7">
        <f t="shared" si="6"/>
        <v>-1.0594526119220515</v>
      </c>
      <c r="AW36" s="3"/>
      <c r="AY36">
        <v>1996</v>
      </c>
      <c r="AZ36" s="2">
        <v>0</v>
      </c>
      <c r="BA36" s="3">
        <f t="shared" si="17"/>
        <v>5.0317750000000023</v>
      </c>
      <c r="BB36" s="7">
        <f>BB35+(BB49-BB25)/24</f>
        <v>5.3616287096612592</v>
      </c>
      <c r="BC36" s="3">
        <f t="shared" si="19"/>
        <v>0.32985370966125682</v>
      </c>
      <c r="BD36" s="3">
        <f t="shared" si="20"/>
        <v>0.23334200878296052</v>
      </c>
      <c r="BJ36">
        <v>1996</v>
      </c>
      <c r="BK36" s="7">
        <v>21.194578827543335</v>
      </c>
      <c r="BL36" s="3">
        <v>21.847307662162404</v>
      </c>
      <c r="BN36" s="3">
        <v>-1.0594526119220515</v>
      </c>
      <c r="BO36" s="22">
        <v>0.23334200878296052</v>
      </c>
      <c r="BP36">
        <v>1</v>
      </c>
      <c r="BQ36">
        <v>0</v>
      </c>
      <c r="BR36">
        <v>0</v>
      </c>
      <c r="BS36" s="3">
        <v>0.76657627052760802</v>
      </c>
    </row>
    <row r="37" spans="1:71">
      <c r="A37">
        <v>1997</v>
      </c>
      <c r="B37" s="7">
        <f>USA!Z84*'World Oil Price analysis'!U$50/'World Oil Price analysis'!U37/'World Oil Price analysis'!T37</f>
        <v>20.392921748364621</v>
      </c>
      <c r="C37" s="3">
        <f t="shared" si="11"/>
        <v>19.993054031070066</v>
      </c>
      <c r="D37" s="3"/>
      <c r="E37" s="3"/>
      <c r="G37" s="3">
        <f t="shared" si="12"/>
        <v>-0.7786520316744483</v>
      </c>
      <c r="H37" s="22">
        <f t="shared" si="18"/>
        <v>0.32985370966125682</v>
      </c>
      <c r="I37">
        <v>1</v>
      </c>
      <c r="J37">
        <v>0</v>
      </c>
      <c r="K37">
        <v>0</v>
      </c>
      <c r="L37" s="3">
        <f t="shared" si="16"/>
        <v>0.42622351673949899</v>
      </c>
      <c r="M37" s="3"/>
      <c r="S37" s="3"/>
      <c r="T37" s="3">
        <v>1.373</v>
      </c>
      <c r="U37" s="7">
        <f>USA!AU84</f>
        <v>73.608505769878093</v>
      </c>
      <c r="W37">
        <v>1997</v>
      </c>
      <c r="X37" s="7">
        <f t="shared" si="7"/>
        <v>27.999481560504623</v>
      </c>
      <c r="AC37">
        <v>1997</v>
      </c>
      <c r="AD37" s="7">
        <f t="shared" si="8"/>
        <v>32.320370709590833</v>
      </c>
      <c r="AE37" s="7">
        <f t="shared" si="9"/>
        <v>31.686627638478704</v>
      </c>
      <c r="AJ37">
        <v>1997</v>
      </c>
      <c r="AK37" s="9">
        <v>74105.508311573154</v>
      </c>
      <c r="AM37" s="9">
        <f t="shared" si="0"/>
        <v>74105.508311573154</v>
      </c>
      <c r="AN37" s="9">
        <f t="shared" si="2"/>
        <v>72161.694595102032</v>
      </c>
      <c r="AO37" s="4"/>
      <c r="AP37" s="3">
        <v>3.9078970387476986</v>
      </c>
      <c r="AQ37" s="9">
        <f t="shared" si="13"/>
        <v>622.92876651094161</v>
      </c>
      <c r="AR37" s="9">
        <f t="shared" si="15"/>
        <v>600.7486390305736</v>
      </c>
      <c r="AT37" s="2">
        <f t="shared" si="4"/>
        <v>120.11961393961568</v>
      </c>
      <c r="AU37" s="7">
        <f t="shared" si="5"/>
        <v>-1.0740101613794351</v>
      </c>
      <c r="AV37" s="7">
        <f t="shared" si="6"/>
        <v>-0.7786520316744483</v>
      </c>
      <c r="AW37" s="3"/>
      <c r="AY37">
        <v>1997</v>
      </c>
      <c r="AZ37" s="2">
        <v>0.74999999999999989</v>
      </c>
      <c r="BA37" s="3">
        <f t="shared" si="17"/>
        <v>5.305525000000002</v>
      </c>
      <c r="BB37" s="7">
        <f>BB36+(BB49-BB25)/24</f>
        <v>5.4581404105395555</v>
      </c>
      <c r="BC37" s="3">
        <f t="shared" si="19"/>
        <v>0.15261541053955341</v>
      </c>
      <c r="BD37" s="3">
        <f t="shared" si="20"/>
        <v>0.32985370966125682</v>
      </c>
      <c r="BJ37">
        <v>1997</v>
      </c>
      <c r="BK37" s="7">
        <v>20.392921748364621</v>
      </c>
      <c r="BL37" s="3">
        <v>19.993054031070066</v>
      </c>
      <c r="BN37" s="3">
        <v>-0.7786520316744483</v>
      </c>
      <c r="BO37" s="22">
        <v>0.32985370966125682</v>
      </c>
      <c r="BP37">
        <v>1</v>
      </c>
      <c r="BQ37">
        <v>0</v>
      </c>
      <c r="BR37">
        <v>0</v>
      </c>
      <c r="BS37" s="3">
        <v>0.42622351673949899</v>
      </c>
    </row>
    <row r="38" spans="1:71">
      <c r="A38">
        <v>1998</v>
      </c>
      <c r="B38" s="7">
        <f>USA!Z85*'World Oil Price analysis'!U$50/'World Oil Price analysis'!U38/'World Oil Price analysis'!T38</f>
        <v>14.205952566041114</v>
      </c>
      <c r="C38" s="3">
        <f t="shared" si="11"/>
        <v>19.505559761203244</v>
      </c>
      <c r="D38" s="3"/>
      <c r="E38" s="3"/>
      <c r="G38" s="3">
        <f t="shared" si="12"/>
        <v>-1.0505366278189932</v>
      </c>
      <c r="H38" s="22">
        <f t="shared" si="18"/>
        <v>0.15261541053955341</v>
      </c>
      <c r="I38">
        <v>1</v>
      </c>
      <c r="J38">
        <v>0</v>
      </c>
      <c r="K38">
        <v>0</v>
      </c>
      <c r="L38" s="3">
        <f t="shared" si="16"/>
        <v>9.7284153063392775E-2</v>
      </c>
      <c r="M38" s="3"/>
      <c r="S38" s="3"/>
      <c r="T38" s="3">
        <v>1.3580000000000001</v>
      </c>
      <c r="U38" s="7">
        <f>USA!AU85</f>
        <v>74.74723466565878</v>
      </c>
      <c r="W38">
        <v>1998</v>
      </c>
      <c r="X38" s="7">
        <f t="shared" si="7"/>
        <v>19.291683584683835</v>
      </c>
      <c r="AC38">
        <v>1998</v>
      </c>
      <c r="AD38" s="7">
        <f t="shared" si="8"/>
        <v>22.268782503052613</v>
      </c>
      <c r="AE38" s="7">
        <f t="shared" si="9"/>
        <v>30.576271876401023</v>
      </c>
      <c r="AJ38">
        <v>1998</v>
      </c>
      <c r="AK38" s="9">
        <v>75843.589520361522</v>
      </c>
      <c r="AM38" s="9">
        <f t="shared" si="0"/>
        <v>75843.589520361522</v>
      </c>
      <c r="AN38" s="9">
        <f t="shared" si="2"/>
        <v>73988.969813084215</v>
      </c>
      <c r="AO38" s="4"/>
      <c r="AP38" s="3">
        <v>1.8457904347698451</v>
      </c>
      <c r="AQ38" s="9">
        <f t="shared" si="13"/>
        <v>634.42672609863041</v>
      </c>
      <c r="AR38" s="9">
        <f t="shared" si="15"/>
        <v>618.95212721039081</v>
      </c>
      <c r="AT38" s="2">
        <f t="shared" si="4"/>
        <v>119.53908317037626</v>
      </c>
      <c r="AU38" s="7">
        <f t="shared" si="5"/>
        <v>-0.48329390196946154</v>
      </c>
      <c r="AV38" s="7">
        <f t="shared" si="6"/>
        <v>-1.0505366278189932</v>
      </c>
      <c r="AW38" s="3"/>
      <c r="AY38">
        <v>1998</v>
      </c>
      <c r="AZ38" s="2">
        <v>0.79999999999999993</v>
      </c>
      <c r="BA38" s="3">
        <f t="shared" si="17"/>
        <v>5.5975250000000019</v>
      </c>
      <c r="BB38" s="7">
        <f>BB37+(BB49-BB25)/24</f>
        <v>5.5546521114178518</v>
      </c>
      <c r="BC38" s="3">
        <f t="shared" si="19"/>
        <v>-4.2872888582150104E-2</v>
      </c>
      <c r="BD38" s="3">
        <f t="shared" si="20"/>
        <v>0.15261541053955341</v>
      </c>
      <c r="BJ38">
        <v>1998</v>
      </c>
      <c r="BK38" s="7">
        <v>14.205952566041114</v>
      </c>
      <c r="BL38" s="3">
        <v>19.505559761203244</v>
      </c>
      <c r="BN38" s="3">
        <v>-1.0505366278189932</v>
      </c>
      <c r="BO38" s="22">
        <v>0.15261541053955341</v>
      </c>
      <c r="BP38">
        <v>1</v>
      </c>
      <c r="BQ38">
        <v>0</v>
      </c>
      <c r="BR38">
        <v>0</v>
      </c>
      <c r="BS38" s="3">
        <v>9.7284153063392775E-2</v>
      </c>
    </row>
    <row r="39" spans="1:71">
      <c r="A39">
        <v>1999</v>
      </c>
      <c r="B39" s="7">
        <f>USA!Z86*'World Oil Price analysis'!U$50/'World Oil Price analysis'!U39/'World Oil Price analysis'!T39</f>
        <v>16.764550201840873</v>
      </c>
      <c r="C39" s="3">
        <f t="shared" si="11"/>
        <v>22.782242978086114</v>
      </c>
      <c r="D39" s="3"/>
      <c r="E39" s="3"/>
      <c r="G39" s="3">
        <f t="shared" si="12"/>
        <v>-1.623161051166605</v>
      </c>
      <c r="H39" s="22">
        <f t="shared" si="18"/>
        <v>-4.2872888582150104E-2</v>
      </c>
      <c r="I39">
        <v>1</v>
      </c>
      <c r="J39">
        <v>0</v>
      </c>
      <c r="K39">
        <v>0</v>
      </c>
      <c r="L39" s="3">
        <f t="shared" si="16"/>
        <v>0.56160116049520648</v>
      </c>
      <c r="M39" s="3"/>
      <c r="S39" s="3"/>
      <c r="T39" s="3">
        <v>1.365</v>
      </c>
      <c r="U39" s="7">
        <f>USA!AU86</f>
        <v>76.386545727034331</v>
      </c>
      <c r="W39">
        <v>1999</v>
      </c>
      <c r="X39" s="7">
        <f t="shared" si="7"/>
        <v>22.883611025512792</v>
      </c>
      <c r="AC39">
        <v>1999</v>
      </c>
      <c r="AD39" s="7">
        <f t="shared" si="8"/>
        <v>26.415017360961585</v>
      </c>
      <c r="AE39" s="7">
        <f t="shared" si="9"/>
        <v>35.896778412922075</v>
      </c>
      <c r="AJ39">
        <v>1999</v>
      </c>
      <c r="AK39" s="9">
        <v>75153.980049495585</v>
      </c>
      <c r="AM39" s="9">
        <f t="shared" si="0"/>
        <v>75153.980049495585</v>
      </c>
      <c r="AN39" s="9">
        <f t="shared" si="2"/>
        <v>75034.359293810092</v>
      </c>
      <c r="AO39" s="4"/>
      <c r="AP39" s="3">
        <v>3.5110265133647012</v>
      </c>
      <c r="AQ39" s="9">
        <f t="shared" si="13"/>
        <v>656.70161665982494</v>
      </c>
      <c r="AR39" s="9">
        <f t="shared" si="15"/>
        <v>638.01903642313243</v>
      </c>
      <c r="AT39" s="2">
        <f t="shared" si="4"/>
        <v>117.60520456328126</v>
      </c>
      <c r="AU39" s="7">
        <f t="shared" si="5"/>
        <v>-1.6177793536685248</v>
      </c>
      <c r="AV39" s="7">
        <f t="shared" si="6"/>
        <v>-1.623161051166605</v>
      </c>
      <c r="AW39" s="3"/>
      <c r="AY39">
        <v>1999</v>
      </c>
      <c r="AZ39" s="2">
        <v>-0.72499999999999998</v>
      </c>
      <c r="BA39" s="3">
        <f t="shared" si="17"/>
        <v>5.3329000000000022</v>
      </c>
      <c r="BB39" s="7">
        <f>BB38+(BB49-BB25)/24</f>
        <v>5.6511638122961481</v>
      </c>
      <c r="BC39" s="3">
        <f t="shared" si="19"/>
        <v>0.31826381229614586</v>
      </c>
      <c r="BD39" s="3">
        <f t="shared" si="20"/>
        <v>-4.2872888582150104E-2</v>
      </c>
      <c r="BJ39">
        <v>1999</v>
      </c>
      <c r="BK39" s="7">
        <v>16.764550201840873</v>
      </c>
      <c r="BL39" s="3">
        <v>22.782242978086114</v>
      </c>
      <c r="BN39" s="3">
        <v>-1.623161051166605</v>
      </c>
      <c r="BO39" s="22">
        <v>-4.2872888582150104E-2</v>
      </c>
      <c r="BP39">
        <v>1</v>
      </c>
      <c r="BQ39">
        <v>0</v>
      </c>
      <c r="BR39">
        <v>0</v>
      </c>
      <c r="BS39" s="3">
        <v>0.56160116049520648</v>
      </c>
    </row>
    <row r="40" spans="1:71">
      <c r="A40">
        <v>2000</v>
      </c>
      <c r="B40" s="7">
        <f>USA!Z87*'World Oil Price analysis'!U$50/'World Oil Price analysis'!U40/'World Oil Price analysis'!T40</f>
        <v>26.54152388194677</v>
      </c>
      <c r="C40" s="3">
        <f t="shared" si="11"/>
        <v>27.531962904405063</v>
      </c>
      <c r="D40" s="3"/>
      <c r="E40" s="3"/>
      <c r="G40" s="3">
        <f t="shared" si="12"/>
        <v>-2.1525163699351477</v>
      </c>
      <c r="H40" s="22">
        <f t="shared" si="18"/>
        <v>0.31826381229614586</v>
      </c>
      <c r="I40">
        <v>1</v>
      </c>
      <c r="J40">
        <v>0</v>
      </c>
      <c r="K40">
        <v>0</v>
      </c>
      <c r="L40" s="3">
        <f t="shared" si="16"/>
        <v>-0.54376919228908971</v>
      </c>
      <c r="M40" s="3"/>
      <c r="S40" s="3"/>
      <c r="T40" s="3">
        <v>1.3169999999999999</v>
      </c>
      <c r="U40" s="7">
        <f>USA!AU87</f>
        <v>78.958238837304165</v>
      </c>
      <c r="W40">
        <v>2000</v>
      </c>
      <c r="X40" s="7">
        <f t="shared" si="7"/>
        <v>34.955186952523896</v>
      </c>
      <c r="AC40">
        <v>2000</v>
      </c>
      <c r="AD40" s="7">
        <f t="shared" si="8"/>
        <v>40.34948283193367</v>
      </c>
      <c r="AE40" s="7">
        <f t="shared" si="9"/>
        <v>41.855187723277183</v>
      </c>
      <c r="AJ40">
        <v>2000</v>
      </c>
      <c r="AK40" s="9">
        <v>77940.522696093904</v>
      </c>
      <c r="AM40" s="9">
        <f t="shared" si="0"/>
        <v>77940.522696093904</v>
      </c>
      <c r="AN40" s="9">
        <f t="shared" si="2"/>
        <v>76312.697421983656</v>
      </c>
      <c r="AO40" s="4"/>
      <c r="AP40" s="3">
        <v>4.7302303438072624</v>
      </c>
      <c r="AQ40" s="9">
        <f t="shared" si="13"/>
        <v>687.76511579934083</v>
      </c>
      <c r="AR40" s="9">
        <f t="shared" si="15"/>
        <v>659.6311528525988</v>
      </c>
      <c r="AT40" s="2">
        <f t="shared" si="4"/>
        <v>115.68995353231368</v>
      </c>
      <c r="AU40" s="7">
        <f t="shared" ref="AU40:AU71" si="21">(AT40/AT39-1)*100</f>
        <v>-1.6285427486646853</v>
      </c>
      <c r="AV40" s="7">
        <f t="shared" si="6"/>
        <v>-2.1525163699351477</v>
      </c>
      <c r="AW40" s="3"/>
      <c r="AY40">
        <v>2000</v>
      </c>
      <c r="AZ40" s="2">
        <v>1.2749999999999999</v>
      </c>
      <c r="BA40" s="3">
        <f t="shared" si="17"/>
        <v>5.7982750000000021</v>
      </c>
      <c r="BB40" s="7">
        <f>BB39+(BB49-BB25)/24</f>
        <v>5.7476755131744444</v>
      </c>
      <c r="BC40" s="3">
        <f t="shared" si="19"/>
        <v>-5.0599486825557705E-2</v>
      </c>
      <c r="BD40" s="3">
        <f t="shared" si="20"/>
        <v>0.31826381229614586</v>
      </c>
      <c r="BJ40">
        <v>2000</v>
      </c>
      <c r="BK40" s="7">
        <v>26.54152388194677</v>
      </c>
      <c r="BL40" s="3">
        <v>27.531962904405063</v>
      </c>
      <c r="BN40" s="3">
        <v>-2.1525163699351477</v>
      </c>
      <c r="BO40" s="22">
        <v>0.31826381229614586</v>
      </c>
      <c r="BP40">
        <v>1</v>
      </c>
      <c r="BQ40">
        <v>0</v>
      </c>
      <c r="BR40">
        <v>0</v>
      </c>
      <c r="BS40" s="3">
        <v>-0.54376919228908971</v>
      </c>
    </row>
    <row r="41" spans="1:71">
      <c r="A41">
        <v>2001</v>
      </c>
      <c r="B41" s="7">
        <f>USA!Z88*'World Oil Price analysis'!U$50/'World Oil Price analysis'!U41/'World Oil Price analysis'!T41</f>
        <v>22.406884041211946</v>
      </c>
      <c r="C41" s="3">
        <f t="shared" si="11"/>
        <v>26.138396256185313</v>
      </c>
      <c r="D41" s="3"/>
      <c r="E41" s="3"/>
      <c r="G41" s="3">
        <f t="shared" si="12"/>
        <v>-2.6392634106289781</v>
      </c>
      <c r="H41" s="22">
        <f t="shared" si="18"/>
        <v>-5.0599486825557705E-2</v>
      </c>
      <c r="I41">
        <v>1</v>
      </c>
      <c r="J41">
        <v>0</v>
      </c>
      <c r="K41">
        <v>0</v>
      </c>
      <c r="L41" s="3">
        <f t="shared" si="16"/>
        <v>-1.1452488466952238</v>
      </c>
      <c r="M41" s="3"/>
      <c r="S41" s="3"/>
      <c r="T41" s="3">
        <v>1.2709999999999999</v>
      </c>
      <c r="U41" s="7">
        <f>USA!AU88</f>
        <v>81.182199298191293</v>
      </c>
      <c r="W41">
        <v>2001</v>
      </c>
      <c r="X41" s="7">
        <f t="shared" si="7"/>
        <v>28.479149616380379</v>
      </c>
      <c r="AC41">
        <v>2001</v>
      </c>
      <c r="AD41" s="7">
        <f t="shared" si="8"/>
        <v>32.874061296680885</v>
      </c>
      <c r="AE41" s="7">
        <f t="shared" si="9"/>
        <v>38.348716365128908</v>
      </c>
      <c r="AJ41">
        <v>2001</v>
      </c>
      <c r="AK41" s="9">
        <v>77941.319015901507</v>
      </c>
      <c r="AM41" s="9">
        <f t="shared" si="0"/>
        <v>77941.319015901507</v>
      </c>
      <c r="AN41" s="9">
        <f t="shared" si="2"/>
        <v>77011.940587163655</v>
      </c>
      <c r="AO41" s="4"/>
      <c r="AP41" s="3">
        <v>2.8663967535468071</v>
      </c>
      <c r="AQ41" s="9">
        <f t="shared" si="13"/>
        <v>707.47919275064055</v>
      </c>
      <c r="AR41" s="9">
        <f t="shared" si="15"/>
        <v>683.9819750699354</v>
      </c>
      <c r="AT41" s="2">
        <f t="shared" si="4"/>
        <v>112.59352350519089</v>
      </c>
      <c r="AU41" s="7">
        <f t="shared" si="21"/>
        <v>-2.6764899912056106</v>
      </c>
      <c r="AV41" s="7">
        <f t="shared" si="6"/>
        <v>-2.6392634106289781</v>
      </c>
      <c r="AW41" s="3"/>
      <c r="AY41">
        <v>2001</v>
      </c>
      <c r="AZ41" s="2">
        <v>0.7</v>
      </c>
      <c r="BA41" s="3">
        <f t="shared" si="17"/>
        <v>6.0537750000000017</v>
      </c>
      <c r="BB41" s="7">
        <f>BB40+(BB49-BB25)/24</f>
        <v>5.8441872140527407</v>
      </c>
      <c r="BC41" s="3">
        <f t="shared" si="19"/>
        <v>-0.20958778594726102</v>
      </c>
      <c r="BD41" s="3">
        <f t="shared" si="20"/>
        <v>-5.0599486825557705E-2</v>
      </c>
      <c r="BJ41">
        <v>2001</v>
      </c>
      <c r="BK41" s="7">
        <v>22.406884041211946</v>
      </c>
      <c r="BL41" s="3">
        <v>26.138396256185313</v>
      </c>
      <c r="BN41" s="3">
        <v>-2.6392634106289781</v>
      </c>
      <c r="BO41" s="22">
        <v>-5.0599486825557705E-2</v>
      </c>
      <c r="BP41">
        <v>1</v>
      </c>
      <c r="BQ41">
        <v>0</v>
      </c>
      <c r="BR41">
        <v>0</v>
      </c>
      <c r="BS41" s="3">
        <v>-1.1452488466952238</v>
      </c>
    </row>
    <row r="42" spans="1:71">
      <c r="A42">
        <v>2002</v>
      </c>
      <c r="B42" s="7">
        <f>USA!Z89*'World Oil Price analysis'!U$50/'World Oil Price analysis'!U42/'World Oil Price analysis'!T42</f>
        <v>22.736945637603462</v>
      </c>
      <c r="C42" s="3">
        <f t="shared" si="11"/>
        <v>25.07708245442711</v>
      </c>
      <c r="D42" s="3"/>
      <c r="E42" s="3"/>
      <c r="G42" s="3">
        <f t="shared" si="12"/>
        <v>-2.6759340017172786</v>
      </c>
      <c r="H42" s="22">
        <f t="shared" si="18"/>
        <v>-0.20958778594726102</v>
      </c>
      <c r="I42">
        <v>1</v>
      </c>
      <c r="J42">
        <v>0</v>
      </c>
      <c r="K42">
        <v>0</v>
      </c>
      <c r="L42" s="3">
        <f t="shared" si="16"/>
        <v>-1.0587106375370858</v>
      </c>
      <c r="M42" s="3"/>
      <c r="S42" s="3"/>
      <c r="T42" s="3">
        <v>1.2989999999999999</v>
      </c>
      <c r="U42" s="7">
        <f>USA!AU89</f>
        <v>82.477598948089508</v>
      </c>
      <c r="W42">
        <v>2002</v>
      </c>
      <c r="X42" s="7">
        <f t="shared" si="7"/>
        <v>29.535292383246894</v>
      </c>
      <c r="AC42">
        <v>2002</v>
      </c>
      <c r="AD42" s="7">
        <f t="shared" si="8"/>
        <v>34.093188360645129</v>
      </c>
      <c r="AE42" s="7">
        <f t="shared" si="9"/>
        <v>37.602134837330212</v>
      </c>
      <c r="AJ42">
        <v>2002</v>
      </c>
      <c r="AK42" s="9">
        <v>77331.745267968159</v>
      </c>
      <c r="AM42" s="9">
        <f t="shared" si="0"/>
        <v>77331.745267968159</v>
      </c>
      <c r="AN42" s="9">
        <f t="shared" si="2"/>
        <v>77737.862326654533</v>
      </c>
      <c r="AO42" s="4"/>
      <c r="AP42" s="3">
        <v>3.3781599423452047</v>
      </c>
      <c r="AQ42" s="9">
        <f t="shared" si="13"/>
        <v>731.3789714405699</v>
      </c>
      <c r="AR42" s="9">
        <f t="shared" si="15"/>
        <v>708.87442666351706</v>
      </c>
      <c r="AT42" s="2">
        <f t="shared" si="4"/>
        <v>109.66379855533218</v>
      </c>
      <c r="AU42" s="7">
        <f t="shared" si="21"/>
        <v>-2.6020368300523455</v>
      </c>
      <c r="AV42" s="7">
        <f>AVERAGE(AU42:AU43)</f>
        <v>-2.6759340017172786</v>
      </c>
      <c r="AW42" s="3"/>
      <c r="AY42">
        <v>2002</v>
      </c>
      <c r="AZ42" s="2">
        <v>-0.6</v>
      </c>
      <c r="BA42" s="3">
        <f t="shared" si="17"/>
        <v>5.8347750000000014</v>
      </c>
      <c r="BB42" s="7">
        <f>BB41+(BB49-BB25)/24</f>
        <v>5.940698914931037</v>
      </c>
      <c r="BC42" s="3">
        <f t="shared" si="19"/>
        <v>0.10592391493103559</v>
      </c>
      <c r="BD42" s="3">
        <f t="shared" si="20"/>
        <v>-0.20958778594726102</v>
      </c>
      <c r="BJ42">
        <v>2002</v>
      </c>
      <c r="BK42" s="7">
        <v>22.736945637603462</v>
      </c>
      <c r="BL42" s="3">
        <v>25.07708245442711</v>
      </c>
      <c r="BN42" s="3">
        <v>-2.6759340017172786</v>
      </c>
      <c r="BO42" s="22">
        <v>-0.20958778594726102</v>
      </c>
      <c r="BP42">
        <v>1</v>
      </c>
      <c r="BQ42">
        <v>0</v>
      </c>
      <c r="BR42">
        <v>0</v>
      </c>
      <c r="BS42" s="3">
        <v>-1.0587106375370858</v>
      </c>
    </row>
    <row r="43" spans="1:71">
      <c r="A43">
        <v>2003</v>
      </c>
      <c r="B43" s="7">
        <f>USA!Z90*'World Oil Price analysis'!U$50/'World Oil Price analysis'!U43/'World Oil Price analysis'!T43</f>
        <v>23.721167813751634</v>
      </c>
      <c r="C43" s="3">
        <f t="shared" si="11"/>
        <v>26.197500091749191</v>
      </c>
      <c r="D43" s="3"/>
      <c r="E43" s="3"/>
      <c r="G43" s="3">
        <f t="shared" si="12"/>
        <v>-2.3846138502781775</v>
      </c>
      <c r="H43" s="22">
        <f t="shared" si="18"/>
        <v>0.10592391493103559</v>
      </c>
      <c r="I43">
        <v>1</v>
      </c>
      <c r="J43">
        <v>0</v>
      </c>
      <c r="K43">
        <v>0</v>
      </c>
      <c r="L43" s="3">
        <f t="shared" si="16"/>
        <v>-0.97349408138766025</v>
      </c>
      <c r="M43" s="3"/>
      <c r="S43" s="3"/>
      <c r="T43" s="3">
        <v>1.4039999999999999</v>
      </c>
      <c r="U43" s="7">
        <f>USA!AU90</f>
        <v>84.372932949120482</v>
      </c>
      <c r="W43">
        <v>2003</v>
      </c>
      <c r="X43" s="7">
        <f t="shared" si="7"/>
        <v>33.304519610507292</v>
      </c>
      <c r="AC43">
        <v>2003</v>
      </c>
      <c r="AD43" s="7">
        <f t="shared" si="8"/>
        <v>38.444083965997315</v>
      </c>
      <c r="AE43" s="7">
        <f t="shared" si="9"/>
        <v>42.457390847451016</v>
      </c>
      <c r="AJ43">
        <v>2003</v>
      </c>
      <c r="AK43" s="9">
        <v>79939.845868942401</v>
      </c>
      <c r="AM43" s="9">
        <f t="shared" si="0"/>
        <v>79939.845868942401</v>
      </c>
      <c r="AN43" s="9">
        <f t="shared" si="2"/>
        <v>78404.303384270694</v>
      </c>
      <c r="AO43" s="4"/>
      <c r="AP43" s="3">
        <v>4.8217301139305224</v>
      </c>
      <c r="AQ43" s="9">
        <f t="shared" si="13"/>
        <v>766.64409155347516</v>
      </c>
      <c r="AR43" s="9">
        <f t="shared" si="15"/>
        <v>735.16741858156183</v>
      </c>
      <c r="AT43" s="2">
        <f t="shared" si="4"/>
        <v>106.64822923674258</v>
      </c>
      <c r="AU43" s="7">
        <f t="shared" si="21"/>
        <v>-2.7498311733822112</v>
      </c>
      <c r="AV43" s="7">
        <f t="shared" si="6"/>
        <v>-2.3846138502781775</v>
      </c>
      <c r="AW43" s="3"/>
      <c r="AY43">
        <v>2003</v>
      </c>
      <c r="AZ43" s="2">
        <v>-3.4694469519536142E-17</v>
      </c>
      <c r="BA43" s="3">
        <f t="shared" si="17"/>
        <v>5.8347750000000014</v>
      </c>
      <c r="BB43" s="7">
        <f>BB42+(BB49-BB25)/24</f>
        <v>6.0372106158093333</v>
      </c>
      <c r="BC43" s="3">
        <f t="shared" si="19"/>
        <v>0.20243561580933189</v>
      </c>
      <c r="BD43" s="3">
        <f t="shared" si="20"/>
        <v>0.10592391493103559</v>
      </c>
      <c r="BJ43">
        <v>2003</v>
      </c>
      <c r="BK43" s="7">
        <v>23.721167813751634</v>
      </c>
      <c r="BL43" s="3">
        <v>26.197500091749191</v>
      </c>
      <c r="BN43" s="3">
        <v>-2.3846138502781775</v>
      </c>
      <c r="BO43" s="22">
        <v>0.10592391493103559</v>
      </c>
      <c r="BP43">
        <v>1</v>
      </c>
      <c r="BQ43">
        <v>0</v>
      </c>
      <c r="BR43">
        <v>0</v>
      </c>
      <c r="BS43" s="3">
        <v>-0.97349408138766025</v>
      </c>
    </row>
    <row r="44" spans="1:71">
      <c r="A44">
        <v>2004</v>
      </c>
      <c r="B44" s="7">
        <f>USA!Z91*'World Oil Price analysis'!U$50/'World Oil Price analysis'!U44/'World Oil Price analysis'!T44</f>
        <v>28.100482104718832</v>
      </c>
      <c r="C44" s="3">
        <f t="shared" si="11"/>
        <v>30.316776569465926</v>
      </c>
      <c r="D44" s="3"/>
      <c r="E44" s="3"/>
      <c r="G44" s="3">
        <f t="shared" si="12"/>
        <v>-1.7964302431199564</v>
      </c>
      <c r="H44" s="22">
        <f t="shared" si="18"/>
        <v>0.20243561580933189</v>
      </c>
      <c r="I44">
        <v>0.8</v>
      </c>
      <c r="J44">
        <v>0</v>
      </c>
      <c r="K44">
        <v>0</v>
      </c>
      <c r="L44" s="3">
        <f t="shared" si="16"/>
        <v>-7.3341182176600572E-2</v>
      </c>
      <c r="M44" s="3"/>
      <c r="S44" s="3"/>
      <c r="T44" s="3">
        <v>1.4810000000000001</v>
      </c>
      <c r="U44" s="7">
        <f>USA!AU91</f>
        <v>86.623642075344748</v>
      </c>
      <c r="W44">
        <v>2004</v>
      </c>
      <c r="X44" s="7">
        <f t="shared" si="7"/>
        <v>41.616813997088592</v>
      </c>
      <c r="AC44">
        <v>2004</v>
      </c>
      <c r="AD44" s="7">
        <f t="shared" si="8"/>
        <v>48.03913434009133</v>
      </c>
      <c r="AE44" s="7">
        <f t="shared" si="9"/>
        <v>51.827997005593694</v>
      </c>
      <c r="AJ44">
        <v>2004</v>
      </c>
      <c r="AK44" s="9">
        <v>83699.797014333395</v>
      </c>
      <c r="AM44" s="9">
        <f t="shared" si="0"/>
        <v>83699.797014333395</v>
      </c>
      <c r="AN44" s="9">
        <f t="shared" si="2"/>
        <v>80323.796050414647</v>
      </c>
      <c r="AO44" s="4"/>
      <c r="AP44" s="3">
        <v>5.4</v>
      </c>
      <c r="AQ44" s="9">
        <f t="shared" si="13"/>
        <v>808.04287249736285</v>
      </c>
      <c r="AR44" s="9">
        <f>AVERAGE(AQ42:AQ44)</f>
        <v>768.68864516380256</v>
      </c>
      <c r="AT44" s="2">
        <f t="shared" si="4"/>
        <v>104.49457859924308</v>
      </c>
      <c r="AU44" s="7">
        <f t="shared" si="21"/>
        <v>-2.0193965271741443</v>
      </c>
      <c r="AV44" s="7">
        <f t="shared" si="6"/>
        <v>-1.7964302431199564</v>
      </c>
      <c r="AW44" s="3"/>
      <c r="AY44">
        <v>2004</v>
      </c>
      <c r="AZ44" s="2">
        <v>0.49999999999999994</v>
      </c>
      <c r="BA44" s="3">
        <f t="shared" si="17"/>
        <v>6.0172750000000015</v>
      </c>
      <c r="BB44" s="7">
        <f>BB43+(BB49-BB25)/24</f>
        <v>6.1337223166876296</v>
      </c>
      <c r="BC44" s="3">
        <f t="shared" si="19"/>
        <v>0.11644731668762809</v>
      </c>
      <c r="BD44" s="3">
        <f t="shared" si="20"/>
        <v>0.20243561580933189</v>
      </c>
      <c r="BJ44">
        <v>2004</v>
      </c>
      <c r="BK44" s="7">
        <v>28.100482104718832</v>
      </c>
      <c r="BL44" s="3">
        <v>30.316776569465926</v>
      </c>
      <c r="BN44" s="3">
        <v>-1.7964302431199564</v>
      </c>
      <c r="BO44" s="22">
        <v>0.20243561580933189</v>
      </c>
      <c r="BP44">
        <v>0.8</v>
      </c>
      <c r="BQ44">
        <v>0</v>
      </c>
      <c r="BR44">
        <v>0</v>
      </c>
      <c r="BS44" s="3">
        <v>-7.3341182176600572E-2</v>
      </c>
    </row>
    <row r="45" spans="1:71">
      <c r="A45">
        <v>2005</v>
      </c>
      <c r="B45" s="7">
        <f>USA!Z92*'World Oil Price analysis'!U$50/'World Oil Price analysis'!U45/'World Oil Price analysis'!T45</f>
        <v>38.395251293511997</v>
      </c>
      <c r="C45" s="3">
        <f t="shared" si="11"/>
        <v>38.380986207414814</v>
      </c>
      <c r="D45" s="3"/>
      <c r="E45" s="3"/>
      <c r="G45" s="3">
        <f t="shared" si="12"/>
        <v>-2.0797575672362791</v>
      </c>
      <c r="H45" s="22">
        <f t="shared" si="18"/>
        <v>0.11644731668762809</v>
      </c>
      <c r="I45">
        <v>0.6</v>
      </c>
      <c r="J45">
        <v>0</v>
      </c>
      <c r="K45">
        <v>0</v>
      </c>
      <c r="L45" s="3">
        <f t="shared" si="16"/>
        <v>0.58264030287820123</v>
      </c>
      <c r="M45" s="3"/>
      <c r="S45" s="3"/>
      <c r="T45" s="3">
        <v>1.4730000000000001</v>
      </c>
      <c r="U45" s="7">
        <f>USA!AU92</f>
        <v>89.539246597092017</v>
      </c>
      <c r="W45">
        <v>2005</v>
      </c>
      <c r="X45" s="7">
        <f t="shared" si="7"/>
        <v>56.556205155343171</v>
      </c>
      <c r="AC45">
        <v>2005</v>
      </c>
      <c r="AD45" s="7">
        <f t="shared" si="8"/>
        <v>65.283977226449025</v>
      </c>
      <c r="AE45" s="7">
        <f t="shared" si="9"/>
        <v>65.259722103106228</v>
      </c>
      <c r="AJ45">
        <v>2005</v>
      </c>
      <c r="AK45" s="9">
        <v>85497.328623123598</v>
      </c>
      <c r="AM45" s="9">
        <f t="shared" si="0"/>
        <v>85497.328623123598</v>
      </c>
      <c r="AN45" s="9">
        <f t="shared" si="2"/>
        <v>83045.657168799793</v>
      </c>
      <c r="AO45" s="4"/>
      <c r="AP45" s="3">
        <v>4.9000000000000004</v>
      </c>
      <c r="AQ45" s="9">
        <f t="shared" si="13"/>
        <v>847.63697324973361</v>
      </c>
      <c r="AR45" s="9">
        <f t="shared" si="15"/>
        <v>807.44131243352388</v>
      </c>
      <c r="AT45" s="2">
        <f t="shared" si="4"/>
        <v>102.85039406580634</v>
      </c>
      <c r="AU45" s="7">
        <f t="shared" si="21"/>
        <v>-1.5734639590657684</v>
      </c>
      <c r="AV45" s="7">
        <f t="shared" si="6"/>
        <v>-2.0797575672362791</v>
      </c>
      <c r="AW45" s="3"/>
      <c r="AY45">
        <v>2005</v>
      </c>
      <c r="AZ45" s="2">
        <v>7.4999999999999956E-2</v>
      </c>
      <c r="BA45" s="3">
        <f t="shared" si="17"/>
        <v>6.0446500000000016</v>
      </c>
      <c r="BB45" s="7">
        <f>BB44+(BB49-BB25)/24</f>
        <v>6.2302340175659259</v>
      </c>
      <c r="BC45" s="3">
        <f t="shared" si="19"/>
        <v>0.18558401756592424</v>
      </c>
      <c r="BD45" s="3">
        <f t="shared" si="20"/>
        <v>0.11644731668762809</v>
      </c>
      <c r="BJ45">
        <v>2005</v>
      </c>
      <c r="BK45" s="7">
        <v>38.395251293511997</v>
      </c>
      <c r="BL45" s="3">
        <v>38.380986207414814</v>
      </c>
      <c r="BN45" s="3">
        <v>-2.0797575672362791</v>
      </c>
      <c r="BO45" s="22">
        <v>0.11644731668762809</v>
      </c>
      <c r="BP45">
        <v>0.6</v>
      </c>
      <c r="BQ45">
        <v>0</v>
      </c>
      <c r="BR45">
        <v>0</v>
      </c>
      <c r="BS45" s="3">
        <v>0.58264030287820123</v>
      </c>
    </row>
    <row r="46" spans="1:71">
      <c r="A46">
        <v>2006</v>
      </c>
      <c r="B46" s="7">
        <f>USA!Z93*'World Oil Price analysis'!U$50/'World Oil Price analysis'!U46/'World Oil Price analysis'!T46</f>
        <v>44.865261126876618</v>
      </c>
      <c r="C46" s="3">
        <f t="shared" si="11"/>
        <v>43.926446662255721</v>
      </c>
      <c r="D46" s="3"/>
      <c r="E46" s="3"/>
      <c r="G46" s="3">
        <f t="shared" si="12"/>
        <v>-3.4273245819476106</v>
      </c>
      <c r="H46" s="22">
        <f t="shared" si="18"/>
        <v>0.18558401756592424</v>
      </c>
      <c r="I46">
        <v>0</v>
      </c>
      <c r="J46">
        <v>0.9</v>
      </c>
      <c r="K46">
        <v>0</v>
      </c>
      <c r="L46" s="3">
        <f t="shared" si="16"/>
        <v>1.1763672143164428</v>
      </c>
      <c r="M46" s="3"/>
      <c r="S46" s="3"/>
      <c r="T46" s="3">
        <v>1.4730000000000001</v>
      </c>
      <c r="U46" s="7">
        <f>USA!AU93</f>
        <v>92.424281215596821</v>
      </c>
      <c r="W46">
        <v>2006</v>
      </c>
      <c r="X46" s="7">
        <f t="shared" si="7"/>
        <v>66.086529639889264</v>
      </c>
      <c r="AC46">
        <v>2006</v>
      </c>
      <c r="AD46" s="7">
        <f t="shared" si="8"/>
        <v>76.285024501471085</v>
      </c>
      <c r="AE46" s="7">
        <f t="shared" si="9"/>
        <v>74.688745272572575</v>
      </c>
      <c r="AJ46">
        <v>2006</v>
      </c>
      <c r="AK46" s="9">
        <v>86197.729409666106</v>
      </c>
      <c r="AM46" s="9">
        <f t="shared" si="0"/>
        <v>86197.729409666106</v>
      </c>
      <c r="AN46" s="9">
        <f t="shared" si="2"/>
        <v>85131.618349041033</v>
      </c>
      <c r="AO46" s="4"/>
      <c r="AP46" s="3">
        <v>5.4</v>
      </c>
      <c r="AQ46" s="9">
        <f t="shared" si="13"/>
        <v>893.40936980521928</v>
      </c>
      <c r="AR46" s="9">
        <f t="shared" si="15"/>
        <v>849.69640518410517</v>
      </c>
      <c r="AT46" s="2">
        <f t="shared" si="4"/>
        <v>100.19063024115704</v>
      </c>
      <c r="AU46" s="7">
        <f t="shared" si="21"/>
        <v>-2.5860511754067894</v>
      </c>
      <c r="AV46" s="7">
        <f t="shared" si="6"/>
        <v>-3.4273245819476106</v>
      </c>
      <c r="AW46" s="3"/>
      <c r="AY46">
        <v>2006</v>
      </c>
      <c r="AZ46" s="2">
        <v>4.9999999999999989E-2</v>
      </c>
      <c r="BA46" s="3">
        <f t="shared" si="17"/>
        <v>6.0629000000000017</v>
      </c>
      <c r="BB46" s="7">
        <f>BB45+(BB49-BB25)/24</f>
        <v>6.3267457184442222</v>
      </c>
      <c r="BC46" s="3">
        <f t="shared" si="19"/>
        <v>0.26384571844422045</v>
      </c>
      <c r="BD46" s="3">
        <f t="shared" si="20"/>
        <v>0.18558401756592424</v>
      </c>
      <c r="BJ46">
        <v>2006</v>
      </c>
      <c r="BK46" s="7">
        <v>44.865261126876618</v>
      </c>
      <c r="BL46" s="3">
        <v>43.926446662255721</v>
      </c>
      <c r="BN46" s="3">
        <v>-3.4273245819476106</v>
      </c>
      <c r="BO46" s="22">
        <v>0.18558401756592424</v>
      </c>
      <c r="BP46">
        <v>0</v>
      </c>
      <c r="BQ46">
        <v>0.9</v>
      </c>
      <c r="BR46">
        <v>0</v>
      </c>
      <c r="BS46" s="3">
        <v>1.1763672143164428</v>
      </c>
    </row>
    <row r="47" spans="1:71">
      <c r="A47">
        <v>2007</v>
      </c>
      <c r="B47" s="7">
        <f>USA!Z94*'World Oil Price analysis'!U$50/'World Oil Price analysis'!U47/'World Oil Price analysis'!T47</f>
        <v>47.36583359030093</v>
      </c>
      <c r="C47" s="3">
        <f t="shared" si="11"/>
        <v>48.303927165660909</v>
      </c>
      <c r="D47" s="3"/>
      <c r="E47" s="3"/>
      <c r="G47" s="3">
        <f t="shared" si="12"/>
        <v>-4.028210431325391</v>
      </c>
      <c r="H47" s="22">
        <f t="shared" si="18"/>
        <v>0.86314491932251691</v>
      </c>
      <c r="I47">
        <v>0</v>
      </c>
      <c r="J47">
        <v>1</v>
      </c>
      <c r="K47">
        <v>0</v>
      </c>
      <c r="L47" s="3">
        <f t="shared" si="16"/>
        <v>-0.56665464823264511</v>
      </c>
      <c r="M47" s="3"/>
      <c r="S47" s="3"/>
      <c r="T47" s="3">
        <v>1.534</v>
      </c>
      <c r="U47" s="7">
        <f>USA!AU94</f>
        <v>95.074004003892881</v>
      </c>
      <c r="W47">
        <v>2007</v>
      </c>
      <c r="X47" s="7">
        <f t="shared" si="7"/>
        <v>72.659188727521624</v>
      </c>
      <c r="AC47">
        <v>2007</v>
      </c>
      <c r="AD47" s="7">
        <f t="shared" si="8"/>
        <v>83.871978488493781</v>
      </c>
      <c r="AE47" s="7">
        <f t="shared" si="9"/>
        <v>85.533086468843933</v>
      </c>
      <c r="AJ47">
        <v>2007</v>
      </c>
      <c r="AK47" s="9">
        <v>85784.511489592755</v>
      </c>
      <c r="AM47" s="9">
        <f t="shared" si="0"/>
        <v>85784.511489592755</v>
      </c>
      <c r="AN47" s="9">
        <f t="shared" si="2"/>
        <v>85826.523174127491</v>
      </c>
      <c r="AO47" s="4"/>
      <c r="AP47" s="3">
        <v>5.6</v>
      </c>
      <c r="AQ47" s="9">
        <f t="shared" si="13"/>
        <v>943.44029451431163</v>
      </c>
      <c r="AR47" s="9">
        <f t="shared" si="15"/>
        <v>894.82887918975484</v>
      </c>
      <c r="AT47" s="2">
        <f t="shared" si="4"/>
        <v>95.913895014029123</v>
      </c>
      <c r="AU47" s="7">
        <f t="shared" si="21"/>
        <v>-4.2685979884884322</v>
      </c>
      <c r="AV47" s="7">
        <f t="shared" si="6"/>
        <v>-4.028210431325391</v>
      </c>
      <c r="AW47" s="3"/>
      <c r="AY47">
        <v>2007</v>
      </c>
      <c r="AZ47" s="2">
        <v>-1.3774999999999999</v>
      </c>
      <c r="BA47" s="3">
        <f t="shared" si="17"/>
        <v>5.5601125000000016</v>
      </c>
      <c r="BB47" s="7">
        <f>BB46+(BB49-BB25)/24</f>
        <v>6.4232574193225185</v>
      </c>
      <c r="BC47" s="3">
        <f t="shared" si="19"/>
        <v>0.86314491932251691</v>
      </c>
      <c r="BD47" s="3">
        <f>BC47</f>
        <v>0.86314491932251691</v>
      </c>
      <c r="BJ47">
        <v>2007</v>
      </c>
      <c r="BK47" s="7">
        <v>47.36583359030093</v>
      </c>
      <c r="BL47" s="3">
        <v>48.303927165660909</v>
      </c>
      <c r="BN47" s="3">
        <v>-4.028210431325391</v>
      </c>
      <c r="BO47" s="22">
        <v>0.86314491932251691</v>
      </c>
      <c r="BP47">
        <v>0</v>
      </c>
      <c r="BQ47">
        <v>1</v>
      </c>
      <c r="BR47">
        <v>0</v>
      </c>
      <c r="BS47" s="3">
        <v>-0.56665464823264511</v>
      </c>
    </row>
    <row r="48" spans="1:71">
      <c r="A48">
        <v>2008</v>
      </c>
      <c r="B48" s="7">
        <f>USA!Z95*'World Oil Price analysis'!U$50/'World Oil Price analysis'!U48/'World Oil Price analysis'!T48</f>
        <v>60.41110623004873</v>
      </c>
      <c r="C48" s="3">
        <f t="shared" si="11"/>
        <v>59.790035848707703</v>
      </c>
      <c r="D48" s="3"/>
      <c r="E48" s="3"/>
      <c r="G48" s="3">
        <f t="shared" si="12"/>
        <v>-3.2063330739530214</v>
      </c>
      <c r="H48" s="22">
        <f t="shared" si="18"/>
        <v>0.98429412020081308</v>
      </c>
      <c r="I48">
        <v>0</v>
      </c>
      <c r="J48">
        <v>0.15</v>
      </c>
      <c r="K48">
        <v>0</v>
      </c>
      <c r="L48" s="3">
        <f t="shared" si="16"/>
        <v>-2.6951340294226638</v>
      </c>
      <c r="M48" s="3"/>
      <c r="S48" s="3"/>
      <c r="T48" s="3">
        <v>1.5840000000000001</v>
      </c>
      <c r="U48" s="7">
        <f>USA!AU95</f>
        <v>98.70291900542334</v>
      </c>
      <c r="W48">
        <v>2008</v>
      </c>
      <c r="X48" s="7">
        <f t="shared" si="7"/>
        <v>95.691192268397188</v>
      </c>
      <c r="AC48">
        <v>2008</v>
      </c>
      <c r="AD48" s="7">
        <f t="shared" si="8"/>
        <v>110.45828834630711</v>
      </c>
      <c r="AE48" s="7">
        <f t="shared" si="9"/>
        <v>109.32269630791144</v>
      </c>
      <c r="AJ48">
        <v>2008</v>
      </c>
      <c r="AK48" s="9">
        <v>87197.114253612002</v>
      </c>
      <c r="AM48" s="9">
        <f t="shared" si="0"/>
        <v>87197.114253612002</v>
      </c>
      <c r="AN48" s="9">
        <f t="shared" si="2"/>
        <v>86393.118384290297</v>
      </c>
      <c r="AO48" s="4"/>
      <c r="AP48" s="3">
        <v>3</v>
      </c>
      <c r="AQ48" s="9">
        <f t="shared" si="13"/>
        <v>971.74350334974099</v>
      </c>
      <c r="AR48" s="9">
        <f t="shared" si="15"/>
        <v>936.19772255642386</v>
      </c>
      <c r="AT48" s="2">
        <f t="shared" si="4"/>
        <v>92.280846559187665</v>
      </c>
      <c r="AU48" s="7">
        <f t="shared" si="21"/>
        <v>-3.7878228741623499</v>
      </c>
      <c r="AV48" s="7">
        <f t="shared" si="6"/>
        <v>-3.2063330739530214</v>
      </c>
      <c r="AW48" s="3"/>
      <c r="AY48">
        <v>2008</v>
      </c>
      <c r="AZ48" s="2">
        <v>-6.7499999999999977E-2</v>
      </c>
      <c r="BA48" s="3">
        <f t="shared" si="17"/>
        <v>5.5354750000000017</v>
      </c>
      <c r="BB48" s="7">
        <f>BB47+(BB49-BB25)/24</f>
        <v>6.5197691202008148</v>
      </c>
      <c r="BC48" s="3">
        <f t="shared" si="19"/>
        <v>0.98429412020081308</v>
      </c>
      <c r="BD48" s="3">
        <f t="shared" ref="BD48:BD80" si="22">BC48</f>
        <v>0.98429412020081308</v>
      </c>
      <c r="BJ48">
        <v>2008</v>
      </c>
      <c r="BK48" s="7">
        <v>60.41110623004873</v>
      </c>
      <c r="BL48" s="3">
        <v>59.790035848707703</v>
      </c>
      <c r="BN48" s="3">
        <v>-3.2063330739530214</v>
      </c>
      <c r="BO48" s="22">
        <v>0.98429412020081308</v>
      </c>
      <c r="BP48">
        <v>0</v>
      </c>
      <c r="BQ48">
        <v>0.15</v>
      </c>
      <c r="BR48">
        <v>0</v>
      </c>
      <c r="BS48" s="3">
        <v>-2.6951340294226638</v>
      </c>
    </row>
    <row r="49" spans="1:71">
      <c r="A49">
        <v>2009</v>
      </c>
      <c r="B49" s="7">
        <f>USA!Z96*'World Oil Price analysis'!U$50/'World Oil Price analysis'!U49/'World Oil Price analysis'!T49</f>
        <v>40.250770631115643</v>
      </c>
      <c r="C49" s="3">
        <f t="shared" si="11"/>
        <v>39.608091059044462</v>
      </c>
      <c r="D49" s="3"/>
      <c r="E49" s="3"/>
      <c r="G49" s="3">
        <f t="shared" si="12"/>
        <v>-2.1677843484679435</v>
      </c>
      <c r="H49" s="22">
        <f t="shared" si="18"/>
        <v>1.076243321079116</v>
      </c>
      <c r="I49">
        <v>0</v>
      </c>
      <c r="J49">
        <v>0</v>
      </c>
      <c r="K49">
        <v>1</v>
      </c>
      <c r="L49" s="3">
        <f t="shared" si="16"/>
        <v>-1.2017716987555604</v>
      </c>
      <c r="M49" s="3"/>
      <c r="S49" s="3"/>
      <c r="T49" s="3">
        <v>1.541960128596602</v>
      </c>
      <c r="U49" s="7">
        <f>USA!AU96</f>
        <v>98.380597588110902</v>
      </c>
      <c r="W49">
        <v>2009</v>
      </c>
      <c r="X49" s="7">
        <f t="shared" si="7"/>
        <v>62.065083458467406</v>
      </c>
      <c r="AC49">
        <v>2009</v>
      </c>
      <c r="AD49" s="7">
        <f t="shared" si="8"/>
        <v>71.642987430486102</v>
      </c>
      <c r="AE49" s="7">
        <f t="shared" si="9"/>
        <v>70.49907182882724</v>
      </c>
      <c r="AJ49">
        <v>2009</v>
      </c>
      <c r="AK49" s="9">
        <v>86346.355067960263</v>
      </c>
      <c r="AM49" s="9">
        <f t="shared" si="0"/>
        <v>86346.355067960263</v>
      </c>
      <c r="AN49" s="44">
        <f>AVERAGE(AM47:AM49)</f>
        <v>86442.66027038834</v>
      </c>
      <c r="AO49" s="4"/>
      <c r="AP49" s="3">
        <v>-0.1</v>
      </c>
      <c r="AQ49" s="44">
        <f t="shared" si="13"/>
        <v>970.77175984639121</v>
      </c>
      <c r="AR49" s="44">
        <f t="shared" si="15"/>
        <v>961.98518590348124</v>
      </c>
      <c r="AT49" s="2">
        <f t="shared" si="4"/>
        <v>89.858618965325093</v>
      </c>
      <c r="AU49" s="7">
        <f t="shared" si="21"/>
        <v>-2.6248432737436933</v>
      </c>
      <c r="AV49" s="7">
        <f t="shared" si="6"/>
        <v>-2.1677843484679435</v>
      </c>
      <c r="AW49" s="3"/>
      <c r="AY49">
        <v>2009</v>
      </c>
      <c r="AZ49" s="2">
        <v>1.2499999999999983E-2</v>
      </c>
      <c r="BA49" s="3">
        <f t="shared" si="17"/>
        <v>5.5400375000000013</v>
      </c>
      <c r="BB49" s="3">
        <v>6.6162808210791173</v>
      </c>
      <c r="BC49" s="3">
        <f t="shared" si="19"/>
        <v>1.076243321079116</v>
      </c>
      <c r="BD49" s="3">
        <f t="shared" si="22"/>
        <v>1.076243321079116</v>
      </c>
      <c r="BJ49">
        <v>2009</v>
      </c>
      <c r="BK49" s="7">
        <v>40.250770631115643</v>
      </c>
      <c r="BL49" s="3">
        <v>39.608091059044462</v>
      </c>
      <c r="BN49" s="3">
        <v>-2.1677843484679435</v>
      </c>
      <c r="BO49" s="22">
        <v>1.076243321079116</v>
      </c>
      <c r="BP49">
        <v>0</v>
      </c>
      <c r="BQ49">
        <v>0</v>
      </c>
      <c r="BR49">
        <v>1</v>
      </c>
      <c r="BS49" s="3">
        <v>-1.2017716987555604</v>
      </c>
    </row>
    <row r="50" spans="1:71">
      <c r="A50">
        <v>2010</v>
      </c>
      <c r="B50" s="7">
        <f>USA!Z97*'World Oil Price analysis'!U$50/'World Oil Price analysis'!U50/'World Oil Price analysis'!T50</f>
        <v>50.822862087170627</v>
      </c>
      <c r="C50" s="3">
        <f t="shared" si="11"/>
        <v>51.15469972800966</v>
      </c>
      <c r="D50" s="3"/>
      <c r="E50" s="3"/>
      <c r="G50" s="3">
        <f t="shared" si="12"/>
        <v>-2.0684308338894839</v>
      </c>
      <c r="H50" s="22">
        <f t="shared" si="18"/>
        <v>1.0388308210791157</v>
      </c>
      <c r="I50">
        <v>0</v>
      </c>
      <c r="J50">
        <v>0</v>
      </c>
      <c r="K50">
        <v>0.7</v>
      </c>
      <c r="L50" s="3">
        <f t="shared" si="16"/>
        <v>1.6437547147447389</v>
      </c>
      <c r="M50" s="3"/>
      <c r="S50" s="3"/>
      <c r="T50" s="3">
        <v>1.5239204723881725</v>
      </c>
      <c r="U50" s="7">
        <f>USA!AU97</f>
        <v>100</v>
      </c>
      <c r="W50">
        <v>2010</v>
      </c>
      <c r="X50" s="7">
        <f t="shared" si="7"/>
        <v>77.45</v>
      </c>
      <c r="AC50">
        <v>2010</v>
      </c>
      <c r="AD50" s="7">
        <f t="shared" si="8"/>
        <v>89.402109322937591</v>
      </c>
      <c r="AE50" s="7">
        <f t="shared" si="9"/>
        <v>89.985842387653108</v>
      </c>
      <c r="AJ50">
        <v>2010</v>
      </c>
      <c r="AK50" s="9">
        <v>88392.029585562239</v>
      </c>
      <c r="AM50" s="9">
        <f t="shared" si="0"/>
        <v>88392.029585562239</v>
      </c>
      <c r="AN50" s="9">
        <f t="shared" si="2"/>
        <v>87311.832969044845</v>
      </c>
      <c r="AO50" s="4"/>
      <c r="AP50" s="3">
        <v>5.4</v>
      </c>
      <c r="AQ50" s="9">
        <f t="shared" si="13"/>
        <v>1023.1934348780964</v>
      </c>
      <c r="AR50" s="9">
        <f t="shared" si="15"/>
        <v>988.56956602474293</v>
      </c>
      <c r="AT50" s="2">
        <f t="shared" si="4"/>
        <v>88.321384725755877</v>
      </c>
      <c r="AU50" s="7">
        <f t="shared" si="21"/>
        <v>-1.7107254231921942</v>
      </c>
      <c r="AV50" s="7">
        <f t="shared" si="6"/>
        <v>-2.0684308338894839</v>
      </c>
      <c r="AW50" s="3"/>
      <c r="AY50">
        <v>2010</v>
      </c>
      <c r="AZ50" s="2">
        <v>0.10249999999999999</v>
      </c>
      <c r="BA50" s="3">
        <f t="shared" si="17"/>
        <v>5.5774500000000016</v>
      </c>
      <c r="BB50" s="3">
        <v>6.6162808210791173</v>
      </c>
      <c r="BC50" s="3">
        <f t="shared" si="19"/>
        <v>1.0388308210791157</v>
      </c>
      <c r="BD50" s="3">
        <f t="shared" si="22"/>
        <v>1.0388308210791157</v>
      </c>
      <c r="BJ50">
        <v>2010</v>
      </c>
      <c r="BK50" s="7">
        <v>50.822862087170627</v>
      </c>
      <c r="BL50" s="3">
        <v>51.15469972800966</v>
      </c>
      <c r="BN50" s="3">
        <v>-2.0684308338894839</v>
      </c>
      <c r="BO50" s="22">
        <v>1.0388308210791157</v>
      </c>
      <c r="BP50">
        <v>0</v>
      </c>
      <c r="BQ50">
        <v>0</v>
      </c>
      <c r="BR50">
        <v>0.7</v>
      </c>
      <c r="BS50" s="3">
        <v>1.6437547147447389</v>
      </c>
    </row>
    <row r="51" spans="1:71">
      <c r="A51">
        <v>2011</v>
      </c>
      <c r="B51" s="7">
        <f>USA!Z98*'World Oil Price analysis'!U$50/'World Oil Price analysis'!U51/'World Oil Price analysis'!T51</f>
        <v>65.864539914281522</v>
      </c>
      <c r="C51" s="3">
        <f t="shared" si="11"/>
        <v>67.506112808216926</v>
      </c>
      <c r="D51" s="3"/>
      <c r="E51" s="3"/>
      <c r="G51" s="3">
        <f t="shared" si="12"/>
        <v>-2.3468031671215197</v>
      </c>
      <c r="H51" s="22">
        <f t="shared" si="18"/>
        <v>1.464968321079116</v>
      </c>
      <c r="I51">
        <v>0</v>
      </c>
      <c r="J51">
        <v>0</v>
      </c>
      <c r="K51">
        <v>0.25</v>
      </c>
      <c r="L51" s="3">
        <f t="shared" si="16"/>
        <v>2.0770974509701556</v>
      </c>
      <c r="M51" s="3"/>
      <c r="S51" s="3"/>
      <c r="T51" s="3">
        <v>1.5818245934063679</v>
      </c>
      <c r="U51" s="7">
        <f>USA!AU98</f>
        <v>103.13271097869961</v>
      </c>
      <c r="W51">
        <v>2011</v>
      </c>
      <c r="X51" s="7">
        <f t="shared" si="7"/>
        <v>104.18614906980586</v>
      </c>
      <c r="AC51">
        <v>2011</v>
      </c>
      <c r="AD51" s="7">
        <f t="shared" si="8"/>
        <v>120.26418965880769</v>
      </c>
      <c r="AE51" s="7">
        <f t="shared" si="9"/>
        <v>123.26159059885735</v>
      </c>
      <c r="AJ51">
        <v>2011</v>
      </c>
      <c r="AK51" s="9">
        <v>89067.711305894758</v>
      </c>
      <c r="AM51" s="9">
        <f t="shared" si="0"/>
        <v>89067.711305894758</v>
      </c>
      <c r="AN51" s="9">
        <f t="shared" si="2"/>
        <v>87935.365319805758</v>
      </c>
      <c r="AO51" s="4"/>
      <c r="AP51" s="3">
        <v>4.3</v>
      </c>
      <c r="AQ51" s="9">
        <f t="shared" si="13"/>
        <v>1067.1907525778545</v>
      </c>
      <c r="AR51" s="9">
        <f t="shared" si="15"/>
        <v>1020.3853157674472</v>
      </c>
      <c r="AT51" s="2">
        <f t="shared" si="4"/>
        <v>86.178587599203382</v>
      </c>
      <c r="AU51" s="7">
        <f t="shared" si="21"/>
        <v>-2.426136244586774</v>
      </c>
      <c r="AV51" s="7">
        <f t="shared" si="6"/>
        <v>-2.3468031671215197</v>
      </c>
      <c r="AW51" s="3"/>
      <c r="AY51">
        <v>2011</v>
      </c>
      <c r="AZ51" s="2">
        <v>-1.1675000000000002</v>
      </c>
      <c r="BA51" s="3">
        <f t="shared" si="17"/>
        <v>5.1513125000000013</v>
      </c>
      <c r="BB51" s="3">
        <v>6.6162808210791173</v>
      </c>
      <c r="BC51" s="3">
        <f t="shared" si="19"/>
        <v>1.464968321079116</v>
      </c>
      <c r="BD51" s="3">
        <f t="shared" si="22"/>
        <v>1.464968321079116</v>
      </c>
      <c r="BJ51">
        <v>2011</v>
      </c>
      <c r="BK51" s="7">
        <v>65.864539914281522</v>
      </c>
      <c r="BL51" s="3">
        <v>67.506112808216926</v>
      </c>
      <c r="BN51" s="3">
        <v>-2.3468031671215197</v>
      </c>
      <c r="BO51" s="22">
        <v>1.464968321079116</v>
      </c>
      <c r="BP51">
        <v>0</v>
      </c>
      <c r="BQ51">
        <v>0</v>
      </c>
      <c r="BR51">
        <v>0.25</v>
      </c>
      <c r="BS51" s="3">
        <v>2.0770974509701556</v>
      </c>
    </row>
    <row r="52" spans="1:71">
      <c r="A52">
        <v>2012</v>
      </c>
      <c r="B52" s="7">
        <f>USA!Z99*'World Oil Price analysis'!U$50/'World Oil Price analysis'!U52/'World Oil Price analysis'!T52</f>
        <v>67.886985516243257</v>
      </c>
      <c r="C52" s="3">
        <f t="shared" si="11"/>
        <v>66.91123703715563</v>
      </c>
      <c r="D52" s="3"/>
      <c r="E52" s="3"/>
      <c r="G52" s="3">
        <f t="shared" si="12"/>
        <v>-2.3119093292280182</v>
      </c>
      <c r="H52" s="22">
        <f t="shared" si="18"/>
        <v>1.3299183210791163</v>
      </c>
      <c r="I52">
        <v>0</v>
      </c>
      <c r="J52">
        <v>0</v>
      </c>
      <c r="K52">
        <v>0</v>
      </c>
      <c r="L52" s="3">
        <f t="shared" si="16"/>
        <v>0.19870702915691929</v>
      </c>
      <c r="M52" s="3"/>
      <c r="S52" s="3"/>
      <c r="T52" s="3">
        <v>1.5330318019607805</v>
      </c>
      <c r="U52" s="7">
        <f>USA!AU99</f>
        <v>105.21072267093371</v>
      </c>
      <c r="W52">
        <v>2012</v>
      </c>
      <c r="X52" s="7">
        <f t="shared" si="7"/>
        <v>104.07290773565181</v>
      </c>
      <c r="AC52">
        <v>2012</v>
      </c>
      <c r="AD52" s="7">
        <f t="shared" si="8"/>
        <v>120.13347288494178</v>
      </c>
      <c r="AE52" s="7">
        <f t="shared" si="9"/>
        <v>118.40677884242976</v>
      </c>
      <c r="AJ52">
        <v>2012</v>
      </c>
      <c r="AK52" s="9">
        <v>91631.400324259113</v>
      </c>
      <c r="AM52" s="9">
        <f t="shared" si="0"/>
        <v>91631.400324259113</v>
      </c>
      <c r="AN52" s="9">
        <f t="shared" si="2"/>
        <v>89697.047071905385</v>
      </c>
      <c r="AO52" s="4"/>
      <c r="AP52" s="3">
        <v>3.5</v>
      </c>
      <c r="AQ52" s="9">
        <f t="shared" si="13"/>
        <v>1104.5424289180794</v>
      </c>
      <c r="AR52" s="9">
        <f t="shared" si="15"/>
        <v>1064.9755387913435</v>
      </c>
      <c r="AT52" s="2">
        <f t="shared" si="4"/>
        <v>84.224513901703219</v>
      </c>
      <c r="AU52" s="7">
        <f t="shared" si="21"/>
        <v>-2.267470089656265</v>
      </c>
      <c r="AV52" s="7">
        <f t="shared" si="6"/>
        <v>-2.3119093292280182</v>
      </c>
      <c r="AW52" s="3"/>
      <c r="AY52">
        <v>2012</v>
      </c>
      <c r="AZ52" s="2">
        <v>0.37</v>
      </c>
      <c r="BA52" s="3">
        <f t="shared" si="17"/>
        <v>5.286362500000001</v>
      </c>
      <c r="BB52" s="3">
        <v>6.6162808210791173</v>
      </c>
      <c r="BC52" s="3">
        <f t="shared" si="19"/>
        <v>1.3299183210791163</v>
      </c>
      <c r="BD52" s="3">
        <f t="shared" si="22"/>
        <v>1.3299183210791163</v>
      </c>
      <c r="BJ52">
        <v>2012</v>
      </c>
      <c r="BK52" s="7">
        <v>67.886985516243257</v>
      </c>
      <c r="BL52" s="3">
        <v>66.91123703715563</v>
      </c>
      <c r="BN52" s="3">
        <v>-2.3119093292280182</v>
      </c>
      <c r="BO52" s="22">
        <v>1.3299183210791163</v>
      </c>
      <c r="BP52">
        <v>0</v>
      </c>
      <c r="BQ52">
        <v>0</v>
      </c>
      <c r="BR52">
        <v>0</v>
      </c>
      <c r="BS52" s="3">
        <v>0.19870702915691929</v>
      </c>
    </row>
    <row r="53" spans="1:71">
      <c r="A53">
        <v>2013</v>
      </c>
      <c r="B53" s="7">
        <f>USA!Z100*'World Oil Price analysis'!U$50/'World Oil Price analysis'!U53/'World Oil Price analysis'!T53</f>
        <v>65.311137437317441</v>
      </c>
      <c r="C53" s="3">
        <f t="shared" si="11"/>
        <v>63.964251627604632</v>
      </c>
      <c r="D53" s="3"/>
      <c r="E53" s="3"/>
      <c r="G53" s="3">
        <f t="shared" si="12"/>
        <v>-1.9356609168294348</v>
      </c>
      <c r="H53" s="22">
        <f t="shared" si="18"/>
        <v>1.4813933210791168</v>
      </c>
      <c r="I53">
        <v>0</v>
      </c>
      <c r="J53">
        <v>0</v>
      </c>
      <c r="K53">
        <v>0</v>
      </c>
      <c r="L53" s="3">
        <f t="shared" si="16"/>
        <v>-0.55674466646407073</v>
      </c>
      <c r="M53" s="3"/>
      <c r="S53" s="3"/>
      <c r="T53" s="3">
        <v>1.5202058217828602</v>
      </c>
      <c r="U53" s="7">
        <f>USA!AU100</f>
        <v>106.69767516878358</v>
      </c>
      <c r="W53">
        <v>2013</v>
      </c>
      <c r="X53" s="7">
        <f t="shared" si="7"/>
        <v>99.286371359470493</v>
      </c>
      <c r="AC53">
        <v>2013</v>
      </c>
      <c r="AD53" s="7">
        <f t="shared" si="8"/>
        <v>114.6082766501893</v>
      </c>
      <c r="AE53" s="7">
        <f t="shared" si="9"/>
        <v>112.24475539558043</v>
      </c>
      <c r="AJ53">
        <v>2013</v>
      </c>
      <c r="AK53" s="9">
        <v>91920.747419989479</v>
      </c>
      <c r="AM53" s="9">
        <f t="shared" si="0"/>
        <v>91920.747419989479</v>
      </c>
      <c r="AN53" s="9">
        <f t="shared" si="2"/>
        <v>90873.286350047783</v>
      </c>
      <c r="AO53" s="4"/>
      <c r="AP53" s="3">
        <v>3.5</v>
      </c>
      <c r="AQ53" s="9">
        <f t="shared" si="13"/>
        <v>1143.2014139302121</v>
      </c>
      <c r="AR53" s="9">
        <f t="shared" si="15"/>
        <v>1104.978198475382</v>
      </c>
      <c r="AT53" s="2">
        <f t="shared" si="4"/>
        <v>82.239890773801875</v>
      </c>
      <c r="AU53" s="7">
        <f t="shared" si="21"/>
        <v>-2.3563485687997709</v>
      </c>
      <c r="AV53" s="7">
        <f t="shared" si="6"/>
        <v>-1.9356609168294348</v>
      </c>
      <c r="AW53" s="3"/>
      <c r="AY53">
        <v>2013</v>
      </c>
      <c r="AZ53" s="2">
        <v>-0.41500000000000004</v>
      </c>
      <c r="BA53" s="3">
        <f t="shared" si="17"/>
        <v>5.1348875000000005</v>
      </c>
      <c r="BB53" s="3">
        <v>6.6162808210791173</v>
      </c>
      <c r="BC53" s="3">
        <f t="shared" si="19"/>
        <v>1.4813933210791168</v>
      </c>
      <c r="BD53" s="3">
        <f t="shared" si="22"/>
        <v>1.4813933210791168</v>
      </c>
      <c r="BJ53">
        <v>2013</v>
      </c>
      <c r="BK53" s="7">
        <v>65.311137437317441</v>
      </c>
      <c r="BL53" s="3">
        <v>63.964251627604632</v>
      </c>
      <c r="BN53" s="3">
        <v>-1.9356609168294348</v>
      </c>
      <c r="BO53" s="22">
        <v>1.4813933210791168</v>
      </c>
      <c r="BP53">
        <v>0</v>
      </c>
      <c r="BQ53">
        <v>0</v>
      </c>
      <c r="BR53">
        <v>0</v>
      </c>
      <c r="BS53" s="3">
        <v>-0.55674466646407073</v>
      </c>
    </row>
    <row r="54" spans="1:71">
      <c r="A54">
        <v>2014</v>
      </c>
      <c r="B54" s="7">
        <f>USA!Z101*'World Oil Price analysis'!U$50/'World Oil Price analysis'!U54/'World Oil Price analysis'!T54</f>
        <v>58.509475805917226</v>
      </c>
      <c r="C54" s="3">
        <f t="shared" si="11"/>
        <v>58.513148015549085</v>
      </c>
      <c r="D54" s="3"/>
      <c r="E54" s="3"/>
      <c r="G54" s="3">
        <f t="shared" si="12"/>
        <v>-1.4214671325179451</v>
      </c>
      <c r="H54" s="22">
        <f t="shared" si="18"/>
        <v>1.1483308210791172</v>
      </c>
      <c r="I54">
        <v>0</v>
      </c>
      <c r="J54">
        <v>0</v>
      </c>
      <c r="K54">
        <v>0</v>
      </c>
      <c r="L54" s="3">
        <f t="shared" si="16"/>
        <v>6.9787675787003067E-2</v>
      </c>
      <c r="M54" s="3"/>
      <c r="S54" s="3"/>
      <c r="T54" s="3">
        <v>1.5157843935020019</v>
      </c>
      <c r="U54" s="7">
        <f>USA!AU101</f>
        <v>108.45811062912946</v>
      </c>
      <c r="W54">
        <v>2014</v>
      </c>
      <c r="X54" s="7">
        <f t="shared" si="7"/>
        <v>88.687750298592292</v>
      </c>
      <c r="AC54">
        <v>2014</v>
      </c>
      <c r="AD54" s="7">
        <f t="shared" si="8"/>
        <v>102.37407292188689</v>
      </c>
      <c r="AE54" s="7">
        <f t="shared" si="9"/>
        <v>102.38049818978509</v>
      </c>
      <c r="AJ54">
        <v>2014</v>
      </c>
      <c r="AK54" s="9">
        <v>94427.326694712319</v>
      </c>
      <c r="AM54" s="9">
        <f t="shared" si="0"/>
        <v>94427.326694712319</v>
      </c>
      <c r="AN54" s="9">
        <f t="shared" si="2"/>
        <v>92659.824812986961</v>
      </c>
      <c r="AO54" s="4"/>
      <c r="AP54" s="3">
        <v>3.6</v>
      </c>
      <c r="AQ54" s="9">
        <f t="shared" si="13"/>
        <v>1184.3566648316998</v>
      </c>
      <c r="AR54" s="9">
        <f t="shared" si="15"/>
        <v>1144.033502559997</v>
      </c>
      <c r="AT54" s="2">
        <f t="shared" si="4"/>
        <v>80.993978415529455</v>
      </c>
      <c r="AU54" s="7">
        <f t="shared" si="21"/>
        <v>-1.5149732648590986</v>
      </c>
      <c r="AV54" s="7">
        <f t="shared" si="6"/>
        <v>-1.4214671325179451</v>
      </c>
      <c r="AW54" s="3"/>
      <c r="AY54">
        <v>2014</v>
      </c>
      <c r="AZ54" s="2">
        <v>0.91249999999999998</v>
      </c>
      <c r="BA54" s="3">
        <f t="shared" si="17"/>
        <v>5.4679500000000001</v>
      </c>
      <c r="BB54" s="3">
        <v>6.6162808210791173</v>
      </c>
      <c r="BC54" s="3">
        <f t="shared" si="19"/>
        <v>1.1483308210791172</v>
      </c>
      <c r="BD54" s="3">
        <f t="shared" si="22"/>
        <v>1.1483308210791172</v>
      </c>
      <c r="BJ54">
        <v>2014</v>
      </c>
      <c r="BK54" s="7">
        <v>58.509475805917226</v>
      </c>
      <c r="BL54" s="3">
        <v>58.513148015549085</v>
      </c>
      <c r="BN54" s="3">
        <v>-1.4214671325179451</v>
      </c>
      <c r="BO54" s="22">
        <v>1.1483308210791172</v>
      </c>
      <c r="BP54">
        <v>0</v>
      </c>
      <c r="BQ54">
        <v>0</v>
      </c>
      <c r="BR54">
        <v>0</v>
      </c>
      <c r="BS54" s="3">
        <v>6.9787675787003067E-2</v>
      </c>
    </row>
    <row r="55" spans="1:71">
      <c r="A55">
        <v>2015</v>
      </c>
      <c r="B55" s="7">
        <f>USA!Z102*'World Oil Price analysis'!U$50/'World Oil Price analysis'!U55/'World Oil Price analysis'!T55</f>
        <v>32.623358804674254</v>
      </c>
      <c r="C55" s="3">
        <f t="shared" si="11"/>
        <v>32.117836403605786</v>
      </c>
      <c r="D55" s="3"/>
      <c r="E55" s="3"/>
      <c r="G55" s="3">
        <f t="shared" si="12"/>
        <v>-1.2330868373068016</v>
      </c>
      <c r="H55" s="22">
        <f t="shared" si="18"/>
        <v>0.47764332107911756</v>
      </c>
      <c r="I55">
        <v>0.75</v>
      </c>
      <c r="J55">
        <v>0</v>
      </c>
      <c r="K55">
        <v>0</v>
      </c>
      <c r="L55" s="3">
        <f t="shared" si="16"/>
        <v>0.7524968247971664</v>
      </c>
      <c r="M55" s="3"/>
      <c r="S55" s="3"/>
      <c r="T55" s="3">
        <v>1.3964318388661605</v>
      </c>
      <c r="U55" s="7">
        <f>USA!AU102</f>
        <v>108.69337137051741</v>
      </c>
      <c r="W55">
        <v>2015</v>
      </c>
      <c r="X55" s="7">
        <f t="shared" si="7"/>
        <v>45.556296925601814</v>
      </c>
      <c r="AC55">
        <v>2015</v>
      </c>
      <c r="AD55" s="7">
        <f t="shared" si="8"/>
        <v>52.586559562180234</v>
      </c>
      <c r="AE55" s="7">
        <f t="shared" si="9"/>
        <v>51.771693011713502</v>
      </c>
      <c r="AJ55">
        <v>2015</v>
      </c>
      <c r="AK55" s="9">
        <v>97631.384694536784</v>
      </c>
      <c r="AM55" s="9">
        <f t="shared" si="0"/>
        <v>97631.384694536784</v>
      </c>
      <c r="AN55" s="9">
        <f t="shared" si="2"/>
        <v>94659.819603079522</v>
      </c>
      <c r="AO55" s="4"/>
      <c r="AP55" s="3">
        <v>3.5</v>
      </c>
      <c r="AQ55" s="9">
        <f t="shared" si="13"/>
        <v>1225.8091481008094</v>
      </c>
      <c r="AR55" s="9">
        <f t="shared" si="15"/>
        <v>1184.4557422875739</v>
      </c>
      <c r="AT55" s="2">
        <f t="shared" si="4"/>
        <v>79.918409969679615</v>
      </c>
      <c r="AU55" s="7">
        <f t="shared" si="21"/>
        <v>-1.3279610001767916</v>
      </c>
      <c r="AV55" s="7">
        <f t="shared" si="6"/>
        <v>-1.2330868373068016</v>
      </c>
      <c r="AW55" s="3"/>
      <c r="AY55">
        <v>2015</v>
      </c>
      <c r="AZ55" s="2">
        <v>1.8374999999999999</v>
      </c>
      <c r="BA55" s="3">
        <f>BA56-(AZ56*365/1000)</f>
        <v>6.1386374999999997</v>
      </c>
      <c r="BB55" s="3">
        <v>6.6162808210791173</v>
      </c>
      <c r="BC55" s="3">
        <f t="shared" si="19"/>
        <v>0.47764332107911756</v>
      </c>
      <c r="BD55" s="3">
        <f t="shared" si="22"/>
        <v>0.47764332107911756</v>
      </c>
      <c r="BJ55">
        <v>2015</v>
      </c>
      <c r="BK55" s="7">
        <v>32.623358804674254</v>
      </c>
      <c r="BL55" s="3">
        <v>32.117836403605786</v>
      </c>
      <c r="BN55" s="3">
        <v>-1.2330868373068016</v>
      </c>
      <c r="BO55" s="22">
        <v>0.47764332107911756</v>
      </c>
      <c r="BP55">
        <v>0.75</v>
      </c>
      <c r="BQ55">
        <v>0</v>
      </c>
      <c r="BR55">
        <v>0</v>
      </c>
      <c r="BS55" s="3">
        <v>0.7524968247971664</v>
      </c>
    </row>
    <row r="56" spans="1:71">
      <c r="A56">
        <v>2016</v>
      </c>
      <c r="B56" s="7">
        <f>USA!Z103*'World Oil Price analysis'!U$50/'World Oil Price analysis'!U56/'World Oil Price analysis'!T56</f>
        <v>26.650767151737266</v>
      </c>
      <c r="C56" s="3">
        <f t="shared" si="11"/>
        <v>25.862528088760239</v>
      </c>
      <c r="D56" s="3"/>
      <c r="E56" s="3"/>
      <c r="G56" s="3">
        <f t="shared" si="12"/>
        <v>-1.3740160236538068</v>
      </c>
      <c r="H56" s="22">
        <f t="shared" si="18"/>
        <v>0.35628082107911752</v>
      </c>
      <c r="I56">
        <v>1</v>
      </c>
      <c r="J56">
        <v>0</v>
      </c>
      <c r="K56">
        <v>0</v>
      </c>
      <c r="L56" s="3">
        <f>AU55-AU53</f>
        <v>1.0283875686229793</v>
      </c>
      <c r="M56" s="3"/>
      <c r="S56" s="3"/>
      <c r="T56" s="3">
        <v>1.386740291395536</v>
      </c>
      <c r="U56" s="7">
        <f>USA!AU103</f>
        <v>110.08253978538585</v>
      </c>
      <c r="W56">
        <v>2016</v>
      </c>
      <c r="X56" s="7">
        <f t="shared" si="7"/>
        <v>36.957692605914716</v>
      </c>
      <c r="AC56">
        <v>2016</v>
      </c>
      <c r="AD56" s="7">
        <f t="shared" si="8"/>
        <v>42.66101581249206</v>
      </c>
      <c r="AE56" s="7">
        <f t="shared" si="9"/>
        <v>41.399248039045624</v>
      </c>
      <c r="AJ56">
        <v>2016</v>
      </c>
      <c r="AK56" s="9">
        <v>98314.382050839398</v>
      </c>
      <c r="AM56" s="9">
        <f t="shared" si="0"/>
        <v>98314.382050839398</v>
      </c>
      <c r="AN56" s="142">
        <f t="shared" si="2"/>
        <v>96791.031146696172</v>
      </c>
      <c r="AO56" s="4"/>
      <c r="AP56" s="3">
        <v>3.2</v>
      </c>
      <c r="AQ56" s="142">
        <f t="shared" si="13"/>
        <v>1265.0350408400352</v>
      </c>
      <c r="AR56" s="142">
        <f t="shared" si="15"/>
        <v>1225.0669512575148</v>
      </c>
      <c r="AT56" s="2">
        <f t="shared" si="4"/>
        <v>79.008768498196346</v>
      </c>
      <c r="AU56" s="117">
        <f t="shared" si="21"/>
        <v>-1.1382126744368115</v>
      </c>
      <c r="AV56" s="117">
        <f>AVERAGE(AU56:AU57)</f>
        <v>-1.3740160236538068</v>
      </c>
      <c r="AW56" s="3"/>
      <c r="AY56">
        <v>2016</v>
      </c>
      <c r="AZ56" s="2">
        <v>0.33250000000000002</v>
      </c>
      <c r="BA56" s="8">
        <v>6.26</v>
      </c>
      <c r="BB56" s="3">
        <v>6.6162808210791173</v>
      </c>
      <c r="BC56" s="3">
        <f t="shared" si="19"/>
        <v>0.35628082107911752</v>
      </c>
      <c r="BD56" s="3">
        <f t="shared" si="22"/>
        <v>0.35628082107911752</v>
      </c>
      <c r="BJ56">
        <v>2016</v>
      </c>
      <c r="BK56" s="7">
        <v>26.650767151737266</v>
      </c>
      <c r="BL56" s="3">
        <v>25.862528088760239</v>
      </c>
      <c r="BN56" s="3">
        <v>-1.3740160236538068</v>
      </c>
      <c r="BO56" s="22">
        <v>0.35628082107911752</v>
      </c>
      <c r="BP56">
        <v>1</v>
      </c>
      <c r="BQ56">
        <v>0</v>
      </c>
      <c r="BR56">
        <v>0</v>
      </c>
      <c r="BS56" s="3">
        <v>1.0283875686229793</v>
      </c>
    </row>
    <row r="57" spans="1:71">
      <c r="A57">
        <v>2017</v>
      </c>
      <c r="B57" s="7">
        <f>USA!Z104*'World Oil Price analysis'!U$50/'World Oil Price analysis'!U57/'World Oil Price analysis'!T57</f>
        <v>33.58932103739815</v>
      </c>
      <c r="C57" s="3">
        <f t="shared" si="11"/>
        <v>34.074315793034117</v>
      </c>
      <c r="D57" s="3"/>
      <c r="E57" s="3"/>
      <c r="G57" s="3">
        <f t="shared" si="12"/>
        <v>-1.9176954927233036</v>
      </c>
      <c r="H57" s="22">
        <f t="shared" si="18"/>
        <v>0.53969332107911772</v>
      </c>
      <c r="I57">
        <v>0.85</v>
      </c>
      <c r="J57">
        <v>0</v>
      </c>
      <c r="K57">
        <v>0</v>
      </c>
      <c r="L57" s="3">
        <f t="shared" si="16"/>
        <v>0.37676059042228704</v>
      </c>
      <c r="M57" s="3"/>
      <c r="S57" s="3"/>
      <c r="T57" s="3">
        <v>1.3904936830606234</v>
      </c>
      <c r="U57" s="7">
        <f>USA!AU104</f>
        <v>112.42729788281457</v>
      </c>
      <c r="W57">
        <v>2017</v>
      </c>
      <c r="X57" s="7">
        <f t="shared" si="7"/>
        <v>46.705738720797434</v>
      </c>
      <c r="AC57">
        <v>2017</v>
      </c>
      <c r="AD57" s="7">
        <f t="shared" si="8"/>
        <v>53.913383591030232</v>
      </c>
      <c r="AE57" s="7">
        <f t="shared" si="9"/>
        <v>54.69183660802117</v>
      </c>
      <c r="AJ57">
        <v>2017</v>
      </c>
      <c r="AK57" s="9">
        <v>99124.201344418369</v>
      </c>
      <c r="AM57" s="9">
        <f t="shared" si="0"/>
        <v>99124.201344418369</v>
      </c>
      <c r="AN57" s="142">
        <f>AVERAGE(AM55:AM57)</f>
        <v>98356.656029931502</v>
      </c>
      <c r="AO57" s="4"/>
      <c r="AP57" s="17">
        <v>3.1520000000000001</v>
      </c>
      <c r="AQ57" s="142">
        <f>AQ56*(1+AP57/100)</f>
        <v>1304.9089453273132</v>
      </c>
      <c r="AR57" s="142">
        <f>AVERAGE(AQ55:AQ57)</f>
        <v>1265.2510447560526</v>
      </c>
      <c r="AT57" s="2">
        <f t="shared" si="4"/>
        <v>77.73687003664574</v>
      </c>
      <c r="AU57" s="117">
        <f t="shared" si="21"/>
        <v>-1.6098193728708021</v>
      </c>
      <c r="AV57" s="117">
        <f>AVERAGE(AU57:AU58)</f>
        <v>-1.9176954927233036</v>
      </c>
      <c r="AW57" s="3"/>
      <c r="AY57">
        <v>2017</v>
      </c>
      <c r="AZ57" s="2">
        <v>-0.50249999999999995</v>
      </c>
      <c r="BA57" s="3">
        <f>BA56+(AZ57*365/1000)</f>
        <v>6.0765874999999996</v>
      </c>
      <c r="BB57" s="3">
        <v>6.6162808210791173</v>
      </c>
      <c r="BC57" s="3">
        <f t="shared" si="19"/>
        <v>0.53969332107911772</v>
      </c>
      <c r="BD57" s="3">
        <f t="shared" si="22"/>
        <v>0.53969332107911772</v>
      </c>
      <c r="BJ57">
        <v>2017</v>
      </c>
      <c r="BK57" s="7">
        <v>33.58932103739815</v>
      </c>
      <c r="BL57" s="3">
        <v>34.074315793034117</v>
      </c>
      <c r="BN57" s="3">
        <v>-1.9176954927233036</v>
      </c>
      <c r="BO57" s="22">
        <v>0.53969332107911772</v>
      </c>
      <c r="BP57">
        <v>0.85</v>
      </c>
      <c r="BQ57">
        <v>0</v>
      </c>
      <c r="BR57">
        <v>0</v>
      </c>
      <c r="BS57" s="3">
        <v>0.37676059042228704</v>
      </c>
    </row>
    <row r="58" spans="1:71" s="137" customFormat="1">
      <c r="A58" s="137">
        <v>2018</v>
      </c>
      <c r="B58" s="7">
        <f>USA!Z105*'World Oil Price analysis'!U$50/'World Oil Price analysis'!U58/'World Oil Price analysis'!T58</f>
        <v>42.978527578386846</v>
      </c>
      <c r="C58" s="130">
        <f t="shared" si="11"/>
        <v>43.184163951661525</v>
      </c>
      <c r="D58" s="130">
        <f t="shared" ref="D58:E58" si="23">C58</f>
        <v>43.184163951661525</v>
      </c>
      <c r="E58" s="130">
        <f t="shared" si="23"/>
        <v>43.184163951661525</v>
      </c>
      <c r="F58"/>
      <c r="G58" s="131">
        <f t="shared" si="12"/>
        <v>-2.2817582621275587</v>
      </c>
      <c r="H58" s="147">
        <f>BD58</f>
        <v>0.39004332107911743</v>
      </c>
      <c r="I58" s="130">
        <v>0.5</v>
      </c>
      <c r="J58" s="137">
        <v>0</v>
      </c>
      <c r="K58" s="137">
        <v>0</v>
      </c>
      <c r="L58" s="130">
        <f t="shared" si="16"/>
        <v>-0.28185837269401048</v>
      </c>
      <c r="M58" s="130"/>
      <c r="N58"/>
      <c r="O58"/>
      <c r="P58"/>
      <c r="Q58"/>
      <c r="R58"/>
      <c r="S58" s="130"/>
      <c r="T58" s="3">
        <v>1.415089388560731</v>
      </c>
      <c r="U58" s="7">
        <f>USA!AU105</f>
        <v>115.43203269585229</v>
      </c>
      <c r="W58" s="137">
        <v>2018</v>
      </c>
      <c r="X58" s="7">
        <f>B58*$T58</f>
        <v>60.818458312139953</v>
      </c>
      <c r="Y58" s="7">
        <f>C58*$T58</f>
        <v>61.109452161863068</v>
      </c>
      <c r="Z58" s="7">
        <f>D58*$T58</f>
        <v>61.109452161863068</v>
      </c>
      <c r="AA58" s="7">
        <f>E58*$T58</f>
        <v>61.109452161863068</v>
      </c>
      <c r="AB58" s="137">
        <v>60.818458312139953</v>
      </c>
      <c r="AC58" s="137">
        <v>2018</v>
      </c>
      <c r="AD58" s="7">
        <f>B58*T58*$U$58/$U$50</f>
        <v>70.203982683982687</v>
      </c>
      <c r="AE58" s="7">
        <f>C58*T58*$U$58/$U$50</f>
        <v>70.539882799737995</v>
      </c>
      <c r="AF58" s="130">
        <f>AE58</f>
        <v>70.539882799737995</v>
      </c>
      <c r="AG58" s="130">
        <f>AF58</f>
        <v>70.539882799737995</v>
      </c>
      <c r="AJ58" s="137">
        <v>2018</v>
      </c>
      <c r="AK58" s="149">
        <v>100202.72651542029</v>
      </c>
      <c r="AL58" s="150"/>
      <c r="AM58" s="149">
        <f t="shared" si="0"/>
        <v>100202.72651542029</v>
      </c>
      <c r="AN58" s="149">
        <f>AVERAGE(AM56:AM58)</f>
        <v>99213.769970226029</v>
      </c>
      <c r="AO58" s="151"/>
      <c r="AP58" s="131">
        <v>3.1520000000000001</v>
      </c>
      <c r="AQ58" s="149">
        <f t="shared" si="13"/>
        <v>1346.0396752840302</v>
      </c>
      <c r="AR58" s="149">
        <f>AVERAGE(AQ56:AQ58)</f>
        <v>1305.3278871504594</v>
      </c>
      <c r="AS58" s="150"/>
      <c r="AT58" s="144">
        <f t="shared" si="4"/>
        <v>76.006780324605202</v>
      </c>
      <c r="AU58" s="131">
        <f t="shared" si="21"/>
        <v>-2.2255716125758052</v>
      </c>
      <c r="AV58" s="131">
        <f>AVERAGE(AU58:AU59)</f>
        <v>-2.2817582621275587</v>
      </c>
      <c r="AW58" s="131"/>
      <c r="AX58" s="137">
        <v>0.32750000000000001</v>
      </c>
      <c r="AY58" s="137">
        <v>2018</v>
      </c>
      <c r="AZ58" s="148">
        <v>0.41</v>
      </c>
      <c r="BA58" s="130">
        <f>BA57+(AZ58*365/1000)</f>
        <v>6.2262374999999999</v>
      </c>
      <c r="BB58" s="130">
        <v>6.6162808210791173</v>
      </c>
      <c r="BC58" s="130">
        <f>BB58-BA58</f>
        <v>0.39004332107911743</v>
      </c>
      <c r="BD58" s="130">
        <f t="shared" si="22"/>
        <v>0.39004332107911743</v>
      </c>
      <c r="BE58" s="17">
        <f>BD58</f>
        <v>0.39004332107911743</v>
      </c>
      <c r="BF58" s="17">
        <f>BE58</f>
        <v>0.39004332107911743</v>
      </c>
      <c r="BJ58" s="137">
        <v>2018</v>
      </c>
      <c r="BK58" s="7">
        <v>42.978527578386846</v>
      </c>
      <c r="BL58" s="130">
        <v>43.184163951661525</v>
      </c>
      <c r="BN58" s="131">
        <v>-2.2817582621275587</v>
      </c>
      <c r="BO58" s="147">
        <v>0.39004332107911743</v>
      </c>
      <c r="BP58" s="130">
        <v>0.5</v>
      </c>
      <c r="BQ58" s="137">
        <v>0</v>
      </c>
      <c r="BR58" s="137">
        <v>0</v>
      </c>
      <c r="BS58" s="130">
        <v>-0.28185837269401048</v>
      </c>
    </row>
    <row r="59" spans="1:71">
      <c r="A59">
        <v>2019</v>
      </c>
      <c r="B59" s="25"/>
      <c r="C59" s="3">
        <f>C$87+C$88*G59+C$89*H59+C$90*I59+C$91*J59+C$92*K59+C$93*L59</f>
        <v>40.014133359188854</v>
      </c>
      <c r="D59" s="3">
        <f>Z59/T59</f>
        <v>64.722686795496074</v>
      </c>
      <c r="E59" s="3">
        <f>AA59/T59</f>
        <v>18.492196227284591</v>
      </c>
      <c r="G59" s="7">
        <f t="shared" si="12"/>
        <v>-2.1590178507272406</v>
      </c>
      <c r="H59" s="24">
        <v>0.34</v>
      </c>
      <c r="I59" s="157">
        <v>0.5</v>
      </c>
      <c r="J59">
        <v>0</v>
      </c>
      <c r="K59">
        <v>0</v>
      </c>
      <c r="L59" s="3">
        <f t="shared" si="16"/>
        <v>-1.0873589381389936</v>
      </c>
      <c r="M59" s="3"/>
      <c r="S59" s="3"/>
      <c r="T59" s="3">
        <v>1.4</v>
      </c>
      <c r="U59" s="3"/>
      <c r="W59">
        <v>2019</v>
      </c>
      <c r="Y59" s="7">
        <f>C59*$T59</f>
        <v>56.019786702864394</v>
      </c>
      <c r="Z59" s="7">
        <v>90.611761513694489</v>
      </c>
      <c r="AA59" s="7">
        <v>25.889074718198426</v>
      </c>
      <c r="AB59">
        <v>90.611761513694489</v>
      </c>
      <c r="AC59">
        <v>2019</v>
      </c>
      <c r="AE59" s="7">
        <f t="shared" si="9"/>
        <v>64.664778502997137</v>
      </c>
      <c r="AF59" s="7">
        <f>D59*T59*$U$58/$U$50</f>
        <v>104.59499817677553</v>
      </c>
      <c r="AG59" s="7">
        <f>E59*T59*$U$58/$U$50</f>
        <v>29.884285193364434</v>
      </c>
      <c r="AJ59">
        <v>2019</v>
      </c>
      <c r="AK59" s="45">
        <v>100566.97336008282</v>
      </c>
      <c r="AL59" s="23">
        <v>1200</v>
      </c>
      <c r="AM59" s="44">
        <f t="shared" si="0"/>
        <v>99366.973360082819</v>
      </c>
      <c r="AN59" s="44">
        <f t="shared" si="2"/>
        <v>99564.633739973826</v>
      </c>
      <c r="AO59" s="21"/>
      <c r="AP59" s="141">
        <v>2</v>
      </c>
      <c r="AQ59" s="44">
        <f t="shared" si="13"/>
        <v>1372.9604687897108</v>
      </c>
      <c r="AR59" s="44">
        <f t="shared" si="15"/>
        <v>1341.3030298003514</v>
      </c>
      <c r="AS59" s="12"/>
      <c r="AT59" s="32">
        <f t="shared" si="4"/>
        <v>74.22978367147482</v>
      </c>
      <c r="AU59" s="117">
        <f t="shared" si="21"/>
        <v>-2.3379449116793127</v>
      </c>
      <c r="AV59" s="7">
        <f t="shared" ref="AV59:AV80" si="24">AVERAGE(AU59:AU60)</f>
        <v>-2.1590178507272406</v>
      </c>
      <c r="AW59" s="7"/>
      <c r="AY59">
        <v>2019</v>
      </c>
      <c r="AZ59" s="2">
        <v>0.24</v>
      </c>
      <c r="BA59" s="3">
        <f t="shared" ref="BA59" si="25">BA58+(AZ59*365/1000)</f>
        <v>6.3138375</v>
      </c>
      <c r="BB59" s="3">
        <v>6.6162808210791173</v>
      </c>
      <c r="BC59" s="3">
        <f>BB59-BA59</f>
        <v>0.30244332107911731</v>
      </c>
      <c r="BD59" s="24">
        <v>0.34</v>
      </c>
      <c r="BE59" s="17">
        <f t="shared" ref="BE59:BF59" si="26">BD59</f>
        <v>0.34</v>
      </c>
      <c r="BF59" s="17">
        <f t="shared" si="26"/>
        <v>0.34</v>
      </c>
      <c r="BJ59">
        <v>2019</v>
      </c>
      <c r="BK59" s="25"/>
      <c r="BL59" s="3">
        <v>40.014133359188854</v>
      </c>
      <c r="BN59" s="7">
        <v>-2.1590178507272406</v>
      </c>
      <c r="BO59" s="24">
        <v>0.34</v>
      </c>
      <c r="BP59" s="157">
        <v>0.5</v>
      </c>
      <c r="BQ59">
        <v>0</v>
      </c>
      <c r="BR59">
        <v>0</v>
      </c>
      <c r="BS59" s="3">
        <v>-1.0873589381389936</v>
      </c>
    </row>
    <row r="60" spans="1:71">
      <c r="A60">
        <v>2020</v>
      </c>
      <c r="C60" s="3">
        <f t="shared" si="11"/>
        <v>40.179736302613506</v>
      </c>
      <c r="D60" s="3">
        <f t="shared" ref="D60:D80" si="27">Z60/T60</f>
        <v>75.201597990957339</v>
      </c>
      <c r="E60" s="3">
        <f t="shared" ref="E60:E80" si="28">AA60/T60</f>
        <v>19.108602768194078</v>
      </c>
      <c r="G60" s="7">
        <f t="shared" si="12"/>
        <v>-2.0825023856202831</v>
      </c>
      <c r="H60" s="24">
        <v>0.33</v>
      </c>
      <c r="I60" s="157">
        <v>0.5</v>
      </c>
      <c r="J60">
        <v>0</v>
      </c>
      <c r="K60">
        <v>0</v>
      </c>
      <c r="L60" s="3">
        <f t="shared" si="16"/>
        <v>-0.72812553880851061</v>
      </c>
      <c r="M60" s="3"/>
      <c r="S60" s="3"/>
      <c r="T60" s="3">
        <v>1.4</v>
      </c>
      <c r="U60" s="3"/>
      <c r="W60">
        <v>2020</v>
      </c>
      <c r="Y60" s="7">
        <f>C60*$T60</f>
        <v>56.251630823658907</v>
      </c>
      <c r="Z60" s="7">
        <v>105.28223718734027</v>
      </c>
      <c r="AA60" s="7">
        <v>26.752043875471706</v>
      </c>
      <c r="AB60">
        <v>105.28223718734027</v>
      </c>
      <c r="AC60">
        <v>2020</v>
      </c>
      <c r="AE60" s="7">
        <f t="shared" si="9"/>
        <v>64.932400884316081</v>
      </c>
      <c r="AF60" s="7">
        <f t="shared" ref="AF60:AF79" si="29">D60*T60*$U$58/$U$50</f>
        <v>121.52942645301539</v>
      </c>
      <c r="AG60" s="7">
        <f t="shared" ref="AG60:AG80" si="30">E60*T60*$U$58/$U$50</f>
        <v>30.880428033143254</v>
      </c>
      <c r="AJ60">
        <v>2020</v>
      </c>
      <c r="AK60" s="45">
        <v>100360.18306633823</v>
      </c>
      <c r="AL60" s="23">
        <v>1200</v>
      </c>
      <c r="AM60" s="44">
        <f t="shared" si="0"/>
        <v>99160.183066338228</v>
      </c>
      <c r="AN60" s="44">
        <f t="shared" si="2"/>
        <v>99576.627647280446</v>
      </c>
      <c r="AO60" s="21"/>
      <c r="AP60" s="141">
        <v>1</v>
      </c>
      <c r="AQ60" s="44">
        <f t="shared" si="13"/>
        <v>1386.6900734776079</v>
      </c>
      <c r="AR60" s="44">
        <f t="shared" si="15"/>
        <v>1368.5634058504495</v>
      </c>
      <c r="AS60" s="12"/>
      <c r="AT60" s="32">
        <f t="shared" si="4"/>
        <v>72.759966561725918</v>
      </c>
      <c r="AU60" s="117">
        <f t="shared" si="21"/>
        <v>-1.9800907897751685</v>
      </c>
      <c r="AV60" s="7">
        <f t="shared" si="24"/>
        <v>-2.0825023856202831</v>
      </c>
      <c r="AW60" s="7"/>
      <c r="AY60">
        <v>2020</v>
      </c>
      <c r="BA60" s="3"/>
      <c r="BB60" s="3">
        <v>6.6162808210791173</v>
      </c>
      <c r="BC60" s="7">
        <v>0.33</v>
      </c>
      <c r="BD60" s="24">
        <v>0.33</v>
      </c>
      <c r="BE60" s="17">
        <f t="shared" ref="BE60:BF60" si="31">BD60</f>
        <v>0.33</v>
      </c>
      <c r="BF60" s="17">
        <f t="shared" si="31"/>
        <v>0.33</v>
      </c>
      <c r="BJ60">
        <v>2020</v>
      </c>
      <c r="BL60" s="3">
        <v>40.179736302613506</v>
      </c>
      <c r="BN60" s="7">
        <v>-2.0825023856202831</v>
      </c>
      <c r="BO60" s="24">
        <v>0.33</v>
      </c>
      <c r="BP60" s="157">
        <v>0.5</v>
      </c>
      <c r="BQ60">
        <v>0</v>
      </c>
      <c r="BR60">
        <v>0</v>
      </c>
      <c r="BS60" s="3">
        <v>-0.72812553880851061</v>
      </c>
    </row>
    <row r="61" spans="1:71">
      <c r="A61">
        <v>2021</v>
      </c>
      <c r="C61" s="3">
        <f t="shared" si="11"/>
        <v>45.058778561736894</v>
      </c>
      <c r="D61" s="3">
        <f t="shared" si="27"/>
        <v>86.296915727328084</v>
      </c>
      <c r="E61" s="3">
        <f t="shared" si="28"/>
        <v>20.341415850013053</v>
      </c>
      <c r="G61" s="7">
        <f t="shared" si="12"/>
        <v>-2.3177962633199325</v>
      </c>
      <c r="H61" s="6">
        <f>H60+(H64-H60)/4</f>
        <v>0.435</v>
      </c>
      <c r="I61" s="157">
        <v>0.5</v>
      </c>
      <c r="J61">
        <v>0</v>
      </c>
      <c r="K61">
        <v>0</v>
      </c>
      <c r="L61" s="3">
        <f t="shared" si="16"/>
        <v>0.24548082280063666</v>
      </c>
      <c r="M61" s="3"/>
      <c r="S61" s="3"/>
      <c r="T61" s="3">
        <v>1.4</v>
      </c>
      <c r="U61" s="3"/>
      <c r="W61">
        <v>2021</v>
      </c>
      <c r="Y61" s="7">
        <f t="shared" ref="Y61:Y80" si="32">C61*$T61</f>
        <v>63.082289986431647</v>
      </c>
      <c r="Z61" s="7">
        <v>120.81568201825931</v>
      </c>
      <c r="AA61" s="7">
        <v>28.477982190018274</v>
      </c>
      <c r="AB61">
        <v>120.81568201825931</v>
      </c>
      <c r="AC61">
        <v>2021</v>
      </c>
      <c r="AE61" s="7">
        <f t="shared" si="9"/>
        <v>72.817169602430127</v>
      </c>
      <c r="AF61" s="7">
        <f t="shared" si="29"/>
        <v>139.45999756903402</v>
      </c>
      <c r="AG61" s="7">
        <f t="shared" si="30"/>
        <v>32.872713712700886</v>
      </c>
      <c r="AJ61">
        <v>2021</v>
      </c>
      <c r="AK61" s="45">
        <v>100729.5647658556</v>
      </c>
      <c r="AL61" s="23">
        <v>1200</v>
      </c>
      <c r="AM61" s="44">
        <f t="shared" si="0"/>
        <v>99529.564765855597</v>
      </c>
      <c r="AN61" s="44">
        <f t="shared" si="2"/>
        <v>99352.240397425543</v>
      </c>
      <c r="AO61" s="21"/>
      <c r="AP61" s="141">
        <v>3</v>
      </c>
      <c r="AQ61" s="44">
        <f t="shared" si="13"/>
        <v>1428.2907756819361</v>
      </c>
      <c r="AR61" s="44">
        <f t="shared" si="15"/>
        <v>1395.9804393164184</v>
      </c>
      <c r="AS61" s="12"/>
      <c r="AT61" s="32">
        <f t="shared" si="4"/>
        <v>71.170223879409221</v>
      </c>
      <c r="AU61" s="117">
        <f t="shared" si="21"/>
        <v>-2.1849139814653973</v>
      </c>
      <c r="AV61" s="7">
        <f t="shared" si="24"/>
        <v>-2.3177962633199325</v>
      </c>
      <c r="AW61" s="7"/>
      <c r="AY61">
        <v>2021</v>
      </c>
      <c r="BA61" s="3"/>
      <c r="BB61" s="3">
        <v>6.6162808210791173</v>
      </c>
      <c r="BC61" s="7"/>
      <c r="BD61" s="6">
        <f>BD60+(BD64-BD60)/4</f>
        <v>0.435</v>
      </c>
      <c r="BE61" s="6">
        <f>BE60+(BE64-BE60)/4</f>
        <v>0.4975</v>
      </c>
      <c r="BF61" s="6">
        <f>BF60+(BF64-BF60)/4</f>
        <v>0.3725</v>
      </c>
      <c r="BJ61">
        <v>2021</v>
      </c>
      <c r="BL61" s="3">
        <v>45.058778561736894</v>
      </c>
      <c r="BN61" s="7">
        <v>-2.3177962633199325</v>
      </c>
      <c r="BO61" s="6">
        <v>0.435</v>
      </c>
      <c r="BP61" s="157">
        <v>0.5</v>
      </c>
      <c r="BQ61">
        <v>0</v>
      </c>
      <c r="BR61">
        <v>0</v>
      </c>
      <c r="BS61" s="3">
        <v>0.24548082280063666</v>
      </c>
    </row>
    <row r="62" spans="1:71">
      <c r="A62">
        <v>2022</v>
      </c>
      <c r="C62" s="3">
        <f>C$87+C$88*G62+C$89*H62+C$90*I62+C$91*J62+C$92*K62+C$93*L62</f>
        <v>48.691561007850829</v>
      </c>
      <c r="D62" s="3">
        <f t="shared" si="27"/>
        <v>91.228168054603998</v>
      </c>
      <c r="E62" s="3">
        <f t="shared" si="28"/>
        <v>20.957822390922534</v>
      </c>
      <c r="G62" s="7">
        <f t="shared" si="12"/>
        <v>-2.7143009262405258</v>
      </c>
      <c r="H62" s="6">
        <f>H61+(H64-H60)/4</f>
        <v>0.54</v>
      </c>
      <c r="I62" s="157">
        <v>0.5</v>
      </c>
      <c r="J62">
        <v>0</v>
      </c>
      <c r="K62">
        <v>0</v>
      </c>
      <c r="L62" s="3">
        <f t="shared" si="16"/>
        <v>0.15303093021391545</v>
      </c>
      <c r="M62" s="3"/>
      <c r="S62" s="3"/>
      <c r="T62" s="3">
        <v>1.4</v>
      </c>
      <c r="U62" s="3"/>
      <c r="W62">
        <v>2022</v>
      </c>
      <c r="Y62" s="7">
        <f t="shared" si="32"/>
        <v>68.168185410991157</v>
      </c>
      <c r="Z62" s="7">
        <v>127.71943527644558</v>
      </c>
      <c r="AA62" s="7">
        <v>29.340951347291547</v>
      </c>
      <c r="AB62">
        <v>127.71943527644558</v>
      </c>
      <c r="AC62">
        <v>2022</v>
      </c>
      <c r="AE62" s="7">
        <f t="shared" si="9"/>
        <v>78.687922071784527</v>
      </c>
      <c r="AF62" s="7">
        <f t="shared" si="29"/>
        <v>147.42914028726457</v>
      </c>
      <c r="AG62" s="7">
        <f t="shared" si="30"/>
        <v>33.868856552479684</v>
      </c>
      <c r="AJ62">
        <v>2022</v>
      </c>
      <c r="AK62" s="45">
        <v>100574.54858858087</v>
      </c>
      <c r="AL62" s="23">
        <v>1200</v>
      </c>
      <c r="AM62" s="44">
        <f t="shared" si="0"/>
        <v>99374.548588580874</v>
      </c>
      <c r="AN62" s="44">
        <f t="shared" si="2"/>
        <v>99354.765473591571</v>
      </c>
      <c r="AO62" s="21"/>
      <c r="AP62" s="141">
        <v>3.5</v>
      </c>
      <c r="AQ62" s="44">
        <f t="shared" si="13"/>
        <v>1478.2809528308037</v>
      </c>
      <c r="AR62" s="44">
        <f t="shared" si="15"/>
        <v>1431.0872673301158</v>
      </c>
      <c r="AS62" s="12"/>
      <c r="AT62" s="32">
        <f t="shared" si="4"/>
        <v>69.426070472243907</v>
      </c>
      <c r="AU62" s="117">
        <f t="shared" si="21"/>
        <v>-2.4506785451744673</v>
      </c>
      <c r="AV62" s="7">
        <f t="shared" si="24"/>
        <v>-2.7143009262405258</v>
      </c>
      <c r="AW62" s="7"/>
      <c r="AY62">
        <v>2022</v>
      </c>
      <c r="BA62" s="3"/>
      <c r="BB62" s="3">
        <v>6.6162808210791173</v>
      </c>
      <c r="BC62" s="7"/>
      <c r="BD62" s="6">
        <f>BD61+(BD64-BD60)/4</f>
        <v>0.54</v>
      </c>
      <c r="BE62" s="6">
        <f>BE61+(BE64-BE60)/4</f>
        <v>0.66500000000000004</v>
      </c>
      <c r="BF62" s="6">
        <f>BF61+(BF64-BF60)/4</f>
        <v>0.41499999999999998</v>
      </c>
      <c r="BJ62">
        <v>2022</v>
      </c>
      <c r="BL62" s="3">
        <v>48.691561007850829</v>
      </c>
      <c r="BN62" s="7">
        <v>-2.7143009262405258</v>
      </c>
      <c r="BO62" s="6">
        <v>0.54</v>
      </c>
      <c r="BP62" s="157">
        <v>0.5</v>
      </c>
      <c r="BQ62">
        <v>0</v>
      </c>
      <c r="BR62">
        <v>0</v>
      </c>
      <c r="BS62" s="3">
        <v>0.15303093021391545</v>
      </c>
    </row>
    <row r="63" spans="1:71">
      <c r="A63">
        <v>2023</v>
      </c>
      <c r="C63" s="3">
        <f t="shared" si="11"/>
        <v>50.363244962517705</v>
      </c>
      <c r="D63" s="3">
        <f t="shared" si="27"/>
        <v>94.926607300060908</v>
      </c>
      <c r="E63" s="3">
        <f t="shared" si="28"/>
        <v>20.957822390922534</v>
      </c>
      <c r="G63" s="7">
        <f t="shared" si="12"/>
        <v>-3.0038943019942979</v>
      </c>
      <c r="H63" s="6">
        <f>H62+(H64-H60)/4</f>
        <v>0.64500000000000002</v>
      </c>
      <c r="I63" s="157">
        <v>0.5</v>
      </c>
      <c r="J63">
        <v>0</v>
      </c>
      <c r="K63">
        <v>0</v>
      </c>
      <c r="L63" s="3">
        <f t="shared" si="16"/>
        <v>-0.47058775539929876</v>
      </c>
      <c r="M63" s="3"/>
      <c r="S63" s="3"/>
      <c r="T63" s="130">
        <v>1.4</v>
      </c>
      <c r="U63" s="3"/>
      <c r="W63">
        <v>2023</v>
      </c>
      <c r="Y63" s="7">
        <f t="shared" si="32"/>
        <v>70.508542947524788</v>
      </c>
      <c r="Z63" s="7">
        <v>132.89725022008525</v>
      </c>
      <c r="AA63" s="7">
        <v>29.340951347291547</v>
      </c>
      <c r="AB63">
        <v>132.89725022008525</v>
      </c>
      <c r="AC63">
        <v>2023</v>
      </c>
      <c r="AE63" s="7">
        <f t="shared" si="9"/>
        <v>81.389444348555855</v>
      </c>
      <c r="AF63" s="7">
        <f t="shared" si="29"/>
        <v>153.40599732593745</v>
      </c>
      <c r="AG63" s="7">
        <f t="shared" si="30"/>
        <v>33.868856552479684</v>
      </c>
      <c r="AJ63">
        <v>2023</v>
      </c>
      <c r="AK63" s="45">
        <v>100737.76517166937</v>
      </c>
      <c r="AL63" s="23">
        <v>600</v>
      </c>
      <c r="AM63" s="44">
        <f t="shared" si="0"/>
        <v>100137.76517166937</v>
      </c>
      <c r="AN63" s="44">
        <f>AVERAGE(AM61:AM63)</f>
        <v>99680.626175368612</v>
      </c>
      <c r="AO63" s="21"/>
      <c r="AP63" s="141">
        <v>3.7</v>
      </c>
      <c r="AQ63" s="44">
        <f t="shared" si="13"/>
        <v>1532.9773480855433</v>
      </c>
      <c r="AR63" s="44">
        <f t="shared" si="15"/>
        <v>1479.8496921994276</v>
      </c>
      <c r="AS63" s="12"/>
      <c r="AT63" s="32">
        <f t="shared" si="4"/>
        <v>67.358615338303863</v>
      </c>
      <c r="AU63" s="117">
        <f t="shared" si="21"/>
        <v>-2.9779233073065847</v>
      </c>
      <c r="AV63" s="7">
        <f t="shared" si="24"/>
        <v>-3.0038943019942979</v>
      </c>
      <c r="AW63" s="7"/>
      <c r="AY63">
        <v>2023</v>
      </c>
      <c r="BA63" s="3"/>
      <c r="BB63" s="3">
        <v>6.6162808210791173</v>
      </c>
      <c r="BC63" s="7"/>
      <c r="BD63" s="6">
        <f>BD62+(BD64-BD60)/4</f>
        <v>0.64500000000000002</v>
      </c>
      <c r="BE63" s="6">
        <f>BE62+(BE64-BE60)/4</f>
        <v>0.83250000000000002</v>
      </c>
      <c r="BF63" s="6">
        <f>BF62+(BF64-BF60)/4</f>
        <v>0.45749999999999996</v>
      </c>
      <c r="BJ63">
        <v>2023</v>
      </c>
      <c r="BL63" s="3">
        <v>50.363244962517705</v>
      </c>
      <c r="BN63" s="7">
        <v>-3.0038943019942979</v>
      </c>
      <c r="BO63" s="6">
        <v>0.64500000000000002</v>
      </c>
      <c r="BP63" s="157">
        <v>0.5</v>
      </c>
      <c r="BQ63">
        <v>0</v>
      </c>
      <c r="BR63">
        <v>0</v>
      </c>
      <c r="BS63" s="3">
        <v>-0.47058775539929876</v>
      </c>
    </row>
    <row r="64" spans="1:71">
      <c r="A64">
        <v>2024</v>
      </c>
      <c r="C64" s="3">
        <f t="shared" si="11"/>
        <v>50.805217289200705</v>
      </c>
      <c r="D64" s="3">
        <f t="shared" si="27"/>
        <v>98.008640004608338</v>
      </c>
      <c r="E64" s="3">
        <f t="shared" si="28"/>
        <v>20.957822390922534</v>
      </c>
      <c r="G64" s="7">
        <f t="shared" si="12"/>
        <v>-3.0269387459692432</v>
      </c>
      <c r="H64" s="156">
        <v>0.75</v>
      </c>
      <c r="I64" s="157">
        <v>0.5</v>
      </c>
      <c r="J64">
        <v>0</v>
      </c>
      <c r="K64">
        <v>0</v>
      </c>
      <c r="L64" s="3">
        <f t="shared" si="16"/>
        <v>-0.79300932584118744</v>
      </c>
      <c r="M64" s="3"/>
      <c r="S64" s="3"/>
      <c r="T64" s="3">
        <v>1.4</v>
      </c>
      <c r="U64" s="3"/>
      <c r="W64">
        <v>2024</v>
      </c>
      <c r="Y64" s="7">
        <f t="shared" si="32"/>
        <v>71.127304204880986</v>
      </c>
      <c r="Z64" s="7">
        <v>137.21209600645167</v>
      </c>
      <c r="AA64" s="7">
        <v>29.340951347291547</v>
      </c>
      <c r="AB64">
        <v>137.21209600645167</v>
      </c>
      <c r="AC64">
        <v>2024</v>
      </c>
      <c r="AE64" s="7">
        <f t="shared" si="9"/>
        <v>82.103693045456524</v>
      </c>
      <c r="AF64" s="7">
        <f t="shared" si="29"/>
        <v>158.38671152483153</v>
      </c>
      <c r="AG64" s="7">
        <f t="shared" si="30"/>
        <v>33.868856552479684</v>
      </c>
      <c r="AJ64">
        <v>2024</v>
      </c>
      <c r="AK64" s="45">
        <v>100991.69565129433</v>
      </c>
      <c r="AL64" s="23">
        <v>0</v>
      </c>
      <c r="AM64" s="44">
        <f t="shared" si="0"/>
        <v>100991.69565129433</v>
      </c>
      <c r="AN64" s="44">
        <f t="shared" si="2"/>
        <v>100168.00313718151</v>
      </c>
      <c r="AO64" s="21"/>
      <c r="AP64" s="141">
        <v>3.68</v>
      </c>
      <c r="AQ64" s="44">
        <f t="shared" si="13"/>
        <v>1589.3909144950912</v>
      </c>
      <c r="AR64" s="44">
        <f t="shared" si="15"/>
        <v>1533.5497384704795</v>
      </c>
      <c r="AS64" s="12"/>
      <c r="AT64" s="32">
        <f t="shared" si="4"/>
        <v>65.317740027843072</v>
      </c>
      <c r="AU64" s="117">
        <f t="shared" si="21"/>
        <v>-3.0298652966820105</v>
      </c>
      <c r="AV64" s="7">
        <f t="shared" si="24"/>
        <v>-3.0269387459692432</v>
      </c>
      <c r="AW64" s="7"/>
      <c r="AY64">
        <v>2024</v>
      </c>
      <c r="BA64" s="3"/>
      <c r="BB64" s="3">
        <v>6.6162808210791173</v>
      </c>
      <c r="BC64" s="7"/>
      <c r="BD64" s="156">
        <v>0.75</v>
      </c>
      <c r="BE64" s="156">
        <v>1</v>
      </c>
      <c r="BF64" s="156">
        <v>0.5</v>
      </c>
      <c r="BJ64">
        <v>2024</v>
      </c>
      <c r="BL64" s="3">
        <v>50.805217289200705</v>
      </c>
      <c r="BN64" s="7">
        <v>-3.0269387459692432</v>
      </c>
      <c r="BO64" s="6">
        <v>0.75</v>
      </c>
      <c r="BP64" s="157">
        <v>0.5</v>
      </c>
      <c r="BQ64">
        <v>0</v>
      </c>
      <c r="BR64">
        <v>0</v>
      </c>
      <c r="BS64" s="3">
        <v>-0.79300932584118744</v>
      </c>
    </row>
    <row r="65" spans="1:71">
      <c r="A65">
        <v>2025</v>
      </c>
      <c r="C65" s="3">
        <f t="shared" si="11"/>
        <v>53.11780338629606</v>
      </c>
      <c r="D65" s="3">
        <f t="shared" si="27"/>
        <v>101.09067270915577</v>
      </c>
      <c r="E65" s="3">
        <f t="shared" si="28"/>
        <v>21.574228931832021</v>
      </c>
      <c r="G65" s="7">
        <f t="shared" si="12"/>
        <v>-3.1397964549700119</v>
      </c>
      <c r="H65" s="6">
        <f>H64+(H71-H64)/7</f>
        <v>0.8571428571428571</v>
      </c>
      <c r="I65" s="157">
        <v>0.5</v>
      </c>
      <c r="J65">
        <v>0</v>
      </c>
      <c r="K65">
        <v>0</v>
      </c>
      <c r="L65" s="3">
        <f>AU64-AU62</f>
        <v>-0.57918675150754328</v>
      </c>
      <c r="M65" s="3"/>
      <c r="S65" s="3"/>
      <c r="T65" s="3">
        <v>1.4</v>
      </c>
      <c r="U65" s="3"/>
      <c r="W65">
        <v>2025</v>
      </c>
      <c r="Y65" s="7">
        <f t="shared" si="32"/>
        <v>74.364924740814473</v>
      </c>
      <c r="Z65" s="7">
        <v>141.52694179281806</v>
      </c>
      <c r="AA65" s="7">
        <v>30.203920504564827</v>
      </c>
      <c r="AB65">
        <v>141.52694179281806</v>
      </c>
      <c r="AC65">
        <v>2025</v>
      </c>
      <c r="AE65" s="7">
        <f t="shared" si="9"/>
        <v>85.840944241062914</v>
      </c>
      <c r="AF65" s="7">
        <f t="shared" si="29"/>
        <v>163.36742572372557</v>
      </c>
      <c r="AG65" s="7">
        <f t="shared" si="30"/>
        <v>34.864999392258504</v>
      </c>
      <c r="AJ65">
        <v>2025</v>
      </c>
      <c r="AK65" s="45">
        <v>101009.99881959231</v>
      </c>
      <c r="AL65" s="23">
        <v>0</v>
      </c>
      <c r="AM65" s="44">
        <f t="shared" si="0"/>
        <v>101009.99881959231</v>
      </c>
      <c r="AN65" s="44">
        <f t="shared" si="2"/>
        <v>100713.15321418532</v>
      </c>
      <c r="AO65" s="21"/>
      <c r="AP65" s="141">
        <v>3.66</v>
      </c>
      <c r="AQ65" s="44">
        <f t="shared" si="13"/>
        <v>1647.5626219656115</v>
      </c>
      <c r="AR65" s="44">
        <f t="shared" si="15"/>
        <v>1589.9769615154153</v>
      </c>
      <c r="AS65" s="12"/>
      <c r="AT65" s="32">
        <f t="shared" si="4"/>
        <v>63.342523603735174</v>
      </c>
      <c r="AU65" s="117">
        <f t="shared" si="21"/>
        <v>-3.0240121952564758</v>
      </c>
      <c r="AV65" s="7">
        <f t="shared" si="24"/>
        <v>-3.1397964549700119</v>
      </c>
      <c r="AW65" s="7"/>
      <c r="AY65">
        <v>2025</v>
      </c>
      <c r="BA65" s="3"/>
      <c r="BB65" s="3">
        <v>6.6162808210791173</v>
      </c>
      <c r="BC65" s="7"/>
      <c r="BD65" s="6">
        <f>BD64+(BD71-BD64)/7</f>
        <v>0.7857142857142857</v>
      </c>
      <c r="BE65" s="6">
        <f>BE64+(BE71-BE64)/7</f>
        <v>1.0714285714285714</v>
      </c>
      <c r="BF65" s="6">
        <f>BF64+(BF71-BF64)/7</f>
        <v>0.51428571428571423</v>
      </c>
      <c r="BJ65">
        <v>2025</v>
      </c>
      <c r="BL65" s="3">
        <v>53.11780338629606</v>
      </c>
      <c r="BN65" s="7">
        <v>-3.1397964549700119</v>
      </c>
      <c r="BO65" s="6">
        <v>0.8571428571428571</v>
      </c>
      <c r="BP65" s="157">
        <v>0.5</v>
      </c>
      <c r="BQ65">
        <v>0</v>
      </c>
      <c r="BR65">
        <v>0</v>
      </c>
      <c r="BS65" s="3">
        <v>-0.57918675150754328</v>
      </c>
    </row>
    <row r="66" spans="1:71">
      <c r="A66">
        <v>2026</v>
      </c>
      <c r="C66" s="3">
        <f t="shared" si="11"/>
        <v>57.182442904285224</v>
      </c>
      <c r="D66" s="3">
        <f t="shared" si="27"/>
        <v>104.17270541370321</v>
      </c>
      <c r="E66" s="3">
        <f t="shared" si="28"/>
        <v>22.190635472741508</v>
      </c>
      <c r="G66" s="7">
        <f t="shared" si="12"/>
        <v>-3.3970105408324791</v>
      </c>
      <c r="H66" s="6">
        <f>H65+(H71-H64)/7</f>
        <v>0.96428571428571419</v>
      </c>
      <c r="I66" s="157">
        <v>0.5</v>
      </c>
      <c r="J66">
        <v>0</v>
      </c>
      <c r="K66">
        <v>0</v>
      </c>
      <c r="L66" s="3">
        <f t="shared" si="16"/>
        <v>-4.6088887949891078E-2</v>
      </c>
      <c r="M66" s="3"/>
      <c r="S66" s="3"/>
      <c r="T66" s="3">
        <v>1.4</v>
      </c>
      <c r="U66" s="3"/>
      <c r="W66">
        <v>2026</v>
      </c>
      <c r="Y66" s="7">
        <f t="shared" si="32"/>
        <v>80.055420065999314</v>
      </c>
      <c r="Z66" s="7">
        <v>145.84178757918448</v>
      </c>
      <c r="AA66" s="7">
        <v>31.066889661838108</v>
      </c>
      <c r="AB66">
        <v>145.84178757918448</v>
      </c>
      <c r="AC66">
        <v>2026</v>
      </c>
      <c r="AE66" s="7">
        <f t="shared" si="9"/>
        <v>92.409598665386227</v>
      </c>
      <c r="AF66" s="7">
        <f t="shared" si="29"/>
        <v>168.34813992261968</v>
      </c>
      <c r="AG66" s="7">
        <f t="shared" si="30"/>
        <v>35.861142232037324</v>
      </c>
      <c r="AJ66">
        <v>2026</v>
      </c>
      <c r="AK66" s="45">
        <v>100998.25903007301</v>
      </c>
      <c r="AL66" s="23">
        <v>0</v>
      </c>
      <c r="AM66" s="44">
        <f t="shared" si="0"/>
        <v>100998.25903007301</v>
      </c>
      <c r="AN66" s="44">
        <f t="shared" si="2"/>
        <v>100999.98450031989</v>
      </c>
      <c r="AO66" s="21"/>
      <c r="AP66" s="141">
        <v>3.64</v>
      </c>
      <c r="AQ66" s="44">
        <f t="shared" si="13"/>
        <v>1707.5339014051597</v>
      </c>
      <c r="AR66" s="44">
        <f t="shared" si="15"/>
        <v>1648.1624792886207</v>
      </c>
      <c r="AS66" s="12"/>
      <c r="AT66" s="32">
        <f t="shared" si="4"/>
        <v>61.2803566210981</v>
      </c>
      <c r="AU66" s="117">
        <f t="shared" si="21"/>
        <v>-3.255580714683548</v>
      </c>
      <c r="AV66" s="7">
        <f>AVERAGE(AU66:AU67)</f>
        <v>-3.3970105408324791</v>
      </c>
      <c r="AW66" s="7"/>
      <c r="AY66">
        <v>2026</v>
      </c>
      <c r="BA66" s="3"/>
      <c r="BB66" s="3">
        <v>6.6162808210791173</v>
      </c>
      <c r="BC66" s="7"/>
      <c r="BD66" s="6">
        <f>BD65+(BD71-BD64)/7</f>
        <v>0.8214285714285714</v>
      </c>
      <c r="BE66" s="6">
        <f>BE65+(BE71-BE64)/7</f>
        <v>1.1428571428571428</v>
      </c>
      <c r="BF66" s="6">
        <f>BF65+(BF71-BF64)/7</f>
        <v>0.52857142857142847</v>
      </c>
      <c r="BJ66">
        <v>2026</v>
      </c>
      <c r="BL66" s="3">
        <v>57.182442904285224</v>
      </c>
      <c r="BN66" s="7">
        <v>-3.3970105408324791</v>
      </c>
      <c r="BO66" s="6">
        <v>0.96428571428571419</v>
      </c>
      <c r="BP66" s="157">
        <v>0.5</v>
      </c>
      <c r="BQ66">
        <v>0</v>
      </c>
      <c r="BR66">
        <v>0</v>
      </c>
      <c r="BS66" s="3">
        <v>-4.6088887949891078E-2</v>
      </c>
    </row>
    <row r="67" spans="1:71">
      <c r="A67">
        <v>2027</v>
      </c>
      <c r="C67" s="3">
        <f t="shared" si="11"/>
        <v>59.277255264476814</v>
      </c>
      <c r="D67" s="3">
        <f t="shared" si="27"/>
        <v>107.25473811825063</v>
      </c>
      <c r="E67" s="3">
        <f t="shared" si="28"/>
        <v>22.807042013650999</v>
      </c>
      <c r="G67" s="7">
        <f t="shared" si="12"/>
        <v>-3.6032024321154212</v>
      </c>
      <c r="H67" s="6">
        <f>H66+(H71-H64)/7</f>
        <v>1.0714285714285714</v>
      </c>
      <c r="I67" s="157">
        <v>0.5</v>
      </c>
      <c r="J67">
        <v>0</v>
      </c>
      <c r="K67">
        <v>0</v>
      </c>
      <c r="L67" s="3">
        <f t="shared" si="16"/>
        <v>-0.22571541800153749</v>
      </c>
      <c r="M67" s="3"/>
      <c r="S67" s="3"/>
      <c r="T67" s="3">
        <v>1.4</v>
      </c>
      <c r="U67" s="3"/>
      <c r="W67">
        <v>2027</v>
      </c>
      <c r="Y67" s="7">
        <f t="shared" si="32"/>
        <v>82.98815737026753</v>
      </c>
      <c r="Z67" s="7">
        <v>150.15663336555087</v>
      </c>
      <c r="AA67" s="7">
        <v>31.929858819111395</v>
      </c>
      <c r="AB67">
        <v>150.15663336555087</v>
      </c>
      <c r="AC67">
        <v>2027</v>
      </c>
      <c r="AE67" s="7">
        <f t="shared" si="9"/>
        <v>95.79491694933256</v>
      </c>
      <c r="AF67" s="7">
        <f t="shared" si="29"/>
        <v>173.32885412151373</v>
      </c>
      <c r="AG67" s="7">
        <f t="shared" si="30"/>
        <v>36.857285071816143</v>
      </c>
      <c r="AJ67">
        <v>2027</v>
      </c>
      <c r="AK67" s="45">
        <v>100907.76295369283</v>
      </c>
      <c r="AL67" s="23">
        <v>0</v>
      </c>
      <c r="AM67" s="44">
        <f t="shared" si="0"/>
        <v>100907.76295369283</v>
      </c>
      <c r="AN67" s="44">
        <f t="shared" si="2"/>
        <v>100972.0069344527</v>
      </c>
      <c r="AO67" s="21"/>
      <c r="AP67" s="141">
        <v>3.62</v>
      </c>
      <c r="AQ67" s="44">
        <f t="shared" si="13"/>
        <v>1769.3466286360265</v>
      </c>
      <c r="AR67" s="44">
        <f t="shared" si="15"/>
        <v>1708.1477173355991</v>
      </c>
      <c r="AS67" s="12"/>
      <c r="AT67" s="32">
        <f t="shared" si="4"/>
        <v>59.111987745386998</v>
      </c>
      <c r="AU67" s="117">
        <f t="shared" si="21"/>
        <v>-3.5384403669814102</v>
      </c>
      <c r="AV67" s="7">
        <f t="shared" si="24"/>
        <v>-3.6032024321154212</v>
      </c>
      <c r="AW67" s="7"/>
      <c r="AY67">
        <v>2027</v>
      </c>
      <c r="BA67" s="3"/>
      <c r="BB67" s="3">
        <v>6.6162808210791173</v>
      </c>
      <c r="BC67" s="7"/>
      <c r="BD67" s="6">
        <f>BD66+(BD71-BD64)/7</f>
        <v>0.8571428571428571</v>
      </c>
      <c r="BE67" s="6">
        <f>BE66+(BE71-BE64)/7</f>
        <v>1.2142857142857142</v>
      </c>
      <c r="BF67" s="6">
        <f>BF66+(BF71-BF64)/7</f>
        <v>0.5428571428571427</v>
      </c>
      <c r="BJ67">
        <v>2027</v>
      </c>
      <c r="BL67" s="3">
        <v>59.277255264476814</v>
      </c>
      <c r="BN67" s="7">
        <v>-3.6032024321154212</v>
      </c>
      <c r="BO67" s="6">
        <v>1.0714285714285714</v>
      </c>
      <c r="BP67" s="157">
        <v>0.5</v>
      </c>
      <c r="BQ67">
        <v>0</v>
      </c>
      <c r="BR67">
        <v>0</v>
      </c>
      <c r="BS67" s="3">
        <v>-0.22571541800153749</v>
      </c>
    </row>
    <row r="68" spans="1:71">
      <c r="A68">
        <v>2028</v>
      </c>
      <c r="C68" s="3">
        <f t="shared" si="11"/>
        <v>60.60332375384278</v>
      </c>
      <c r="D68" s="3">
        <f t="shared" si="27"/>
        <v>109.72036428188858</v>
      </c>
      <c r="E68" s="3">
        <f t="shared" si="28"/>
        <v>22.807042013650999</v>
      </c>
      <c r="G68" s="7">
        <f t="shared" si="12"/>
        <v>-3.7363039302016232</v>
      </c>
      <c r="H68" s="6">
        <f>H67+(H71-H64)/7</f>
        <v>1.1785714285714286</v>
      </c>
      <c r="I68" s="157">
        <v>0.5</v>
      </c>
      <c r="J68">
        <v>0</v>
      </c>
      <c r="K68">
        <v>0</v>
      </c>
      <c r="L68" s="3">
        <f t="shared" si="16"/>
        <v>-0.51442817172493438</v>
      </c>
      <c r="M68" s="3"/>
      <c r="S68" s="3"/>
      <c r="T68" s="3">
        <v>1.4</v>
      </c>
      <c r="U68" s="3"/>
      <c r="W68">
        <v>2028</v>
      </c>
      <c r="Y68" s="7">
        <f t="shared" si="32"/>
        <v>84.844653255379882</v>
      </c>
      <c r="Z68" s="7">
        <v>153.60850999464401</v>
      </c>
      <c r="AA68" s="7">
        <v>31.929858819111395</v>
      </c>
      <c r="AB68">
        <v>153.60850999464401</v>
      </c>
      <c r="AC68">
        <v>2028</v>
      </c>
      <c r="AE68" s="7">
        <f t="shared" si="9"/>
        <v>97.937907886432598</v>
      </c>
      <c r="AF68" s="7">
        <f t="shared" si="29"/>
        <v>177.31342548062901</v>
      </c>
      <c r="AG68" s="7">
        <f t="shared" si="30"/>
        <v>36.857285071816143</v>
      </c>
      <c r="AJ68">
        <v>2028</v>
      </c>
      <c r="AK68" s="45">
        <v>100461.10685876083</v>
      </c>
      <c r="AL68" s="23">
        <v>0</v>
      </c>
      <c r="AM68" s="44">
        <f t="shared" si="0"/>
        <v>100461.10685876083</v>
      </c>
      <c r="AN68" s="44">
        <f t="shared" si="2"/>
        <v>100789.04294750887</v>
      </c>
      <c r="AO68" s="21"/>
      <c r="AP68" s="141">
        <v>3.6</v>
      </c>
      <c r="AQ68" s="44">
        <f t="shared" si="13"/>
        <v>1833.0431072669235</v>
      </c>
      <c r="AR68" s="44">
        <f t="shared" si="15"/>
        <v>1769.9745457693698</v>
      </c>
      <c r="AS68" s="12"/>
      <c r="AT68" s="32">
        <f t="shared" si="4"/>
        <v>56.943781021267768</v>
      </c>
      <c r="AU68" s="117">
        <f t="shared" si="21"/>
        <v>-3.6679644972494319</v>
      </c>
      <c r="AV68" s="7">
        <f t="shared" si="24"/>
        <v>-3.7363039302016232</v>
      </c>
      <c r="AW68" s="7"/>
      <c r="AY68">
        <v>2028</v>
      </c>
      <c r="BA68" s="3"/>
      <c r="BB68" s="3">
        <v>6.6162808210791173</v>
      </c>
      <c r="BC68" s="7"/>
      <c r="BD68" s="6">
        <f>BD67+(BD71-BD64)/7</f>
        <v>0.89285714285714279</v>
      </c>
      <c r="BE68" s="6">
        <f>BE67+(BE71-BE64)/7</f>
        <v>1.2857142857142856</v>
      </c>
      <c r="BF68" s="6">
        <f>BF67+(BF71-BF64)/7</f>
        <v>0.55714285714285694</v>
      </c>
      <c r="BJ68">
        <v>2028</v>
      </c>
      <c r="BL68" s="3">
        <v>60.60332375384278</v>
      </c>
      <c r="BN68" s="7">
        <v>-3.7363039302016232</v>
      </c>
      <c r="BO68" s="6">
        <v>1.1785714285714286</v>
      </c>
      <c r="BP68" s="157">
        <v>0.5</v>
      </c>
      <c r="BQ68">
        <v>0</v>
      </c>
      <c r="BR68">
        <v>0</v>
      </c>
      <c r="BS68" s="3">
        <v>-0.51442817172493438</v>
      </c>
    </row>
    <row r="69" spans="1:71">
      <c r="A69">
        <v>2029</v>
      </c>
      <c r="C69" s="3">
        <f t="shared" si="11"/>
        <v>62.400721120889578</v>
      </c>
      <c r="D69" s="3">
        <f t="shared" si="27"/>
        <v>112.80239698643601</v>
      </c>
      <c r="E69" s="3">
        <f t="shared" si="28"/>
        <v>22.807042013650999</v>
      </c>
      <c r="G69" s="7">
        <f t="shared" si="12"/>
        <v>-3.812342997536228</v>
      </c>
      <c r="H69" s="6">
        <f>H68+(H71-H64)/7</f>
        <v>1.2857142857142858</v>
      </c>
      <c r="I69" s="157">
        <v>0.5</v>
      </c>
      <c r="J69">
        <v>0</v>
      </c>
      <c r="K69">
        <v>0</v>
      </c>
      <c r="L69" s="3">
        <f t="shared" si="16"/>
        <v>-0.41238378256588382</v>
      </c>
      <c r="M69" s="3"/>
      <c r="S69" s="3"/>
      <c r="T69" s="3">
        <v>1.4</v>
      </c>
      <c r="U69" s="3"/>
      <c r="W69">
        <v>2029</v>
      </c>
      <c r="Y69" s="7">
        <f t="shared" si="32"/>
        <v>87.361009569245411</v>
      </c>
      <c r="Z69" s="7">
        <v>157.9233557810104</v>
      </c>
      <c r="AA69" s="7">
        <v>31.929858819111395</v>
      </c>
      <c r="AB69">
        <v>157.9233557810104</v>
      </c>
      <c r="AC69">
        <v>2029</v>
      </c>
      <c r="AE69" s="7">
        <f t="shared" si="9"/>
        <v>100.84258912939801</v>
      </c>
      <c r="AF69" s="7">
        <f t="shared" si="29"/>
        <v>182.29413967952306</v>
      </c>
      <c r="AG69" s="7">
        <f t="shared" si="30"/>
        <v>36.857285071816143</v>
      </c>
      <c r="AJ69">
        <v>2029</v>
      </c>
      <c r="AK69" s="45">
        <v>99963.966085730208</v>
      </c>
      <c r="AL69" s="23">
        <v>0</v>
      </c>
      <c r="AM69" s="44">
        <f t="shared" si="0"/>
        <v>99963.966085730208</v>
      </c>
      <c r="AN69" s="44">
        <f t="shared" si="2"/>
        <v>100444.27863272796</v>
      </c>
      <c r="AO69" s="21"/>
      <c r="AP69" s="141">
        <v>3.58</v>
      </c>
      <c r="AQ69" s="44">
        <f t="shared" si="13"/>
        <v>1898.6660505070795</v>
      </c>
      <c r="AR69" s="44">
        <f t="shared" si="15"/>
        <v>1833.6852621366763</v>
      </c>
      <c r="AS69" s="12"/>
      <c r="AT69" s="32">
        <f t="shared" si="4"/>
        <v>54.777273235913263</v>
      </c>
      <c r="AU69" s="117">
        <f t="shared" si="21"/>
        <v>-3.8046433631538146</v>
      </c>
      <c r="AV69" s="7">
        <f t="shared" si="24"/>
        <v>-3.812342997536228</v>
      </c>
      <c r="AW69" s="7"/>
      <c r="AY69">
        <v>2029</v>
      </c>
      <c r="BA69" s="3"/>
      <c r="BB69" s="3">
        <v>6.6162808210791173</v>
      </c>
      <c r="BC69" s="7"/>
      <c r="BD69" s="6">
        <f>BD68+(BD71-BD64)/7</f>
        <v>0.92857142857142849</v>
      </c>
      <c r="BE69" s="6">
        <f>BE68+(BE71-BE64)/7</f>
        <v>1.357142857142857</v>
      </c>
      <c r="BF69" s="6">
        <f>BF68+(BF71-BF64)/7</f>
        <v>0.57142857142857117</v>
      </c>
      <c r="BJ69">
        <v>2029</v>
      </c>
      <c r="BL69" s="3">
        <v>62.400721120889578</v>
      </c>
      <c r="BN69" s="7">
        <v>-3.812342997536228</v>
      </c>
      <c r="BO69" s="6">
        <v>1.2857142857142858</v>
      </c>
      <c r="BP69" s="157">
        <v>0.5</v>
      </c>
      <c r="BQ69">
        <v>0</v>
      </c>
      <c r="BR69">
        <v>0</v>
      </c>
      <c r="BS69" s="3">
        <v>-0.41238378256588382</v>
      </c>
    </row>
    <row r="70" spans="1:71">
      <c r="A70">
        <v>2030</v>
      </c>
      <c r="C70" s="3">
        <f t="shared" si="11"/>
        <v>63.77506336166973</v>
      </c>
      <c r="D70" s="3">
        <f t="shared" si="27"/>
        <v>114.65161660916445</v>
      </c>
      <c r="E70" s="3">
        <f t="shared" si="28"/>
        <v>23.423448554560487</v>
      </c>
      <c r="G70" s="7">
        <f t="shared" si="12"/>
        <v>-3.8153925211965145</v>
      </c>
      <c r="H70" s="6">
        <f>H69+(H71-H64)/7</f>
        <v>1.392857142857143</v>
      </c>
      <c r="I70" s="157">
        <v>0.5</v>
      </c>
      <c r="J70">
        <v>0</v>
      </c>
      <c r="K70">
        <v>0</v>
      </c>
      <c r="L70" s="3">
        <f t="shared" si="16"/>
        <v>-0.26620299617240439</v>
      </c>
      <c r="M70" s="3"/>
      <c r="S70" s="3"/>
      <c r="T70" s="3">
        <v>1.4</v>
      </c>
      <c r="U70" s="3"/>
      <c r="W70">
        <v>2030</v>
      </c>
      <c r="Y70" s="7">
        <f t="shared" si="32"/>
        <v>89.285088706337618</v>
      </c>
      <c r="Z70" s="7">
        <v>160.51226325283022</v>
      </c>
      <c r="AA70" s="7">
        <v>32.792827976384679</v>
      </c>
      <c r="AB70">
        <v>160.51226325283022</v>
      </c>
      <c r="AC70">
        <v>2030</v>
      </c>
      <c r="AE70" s="7">
        <f t="shared" si="9"/>
        <v>103.06359278802036</v>
      </c>
      <c r="AF70" s="7">
        <f t="shared" si="29"/>
        <v>185.28256819885948</v>
      </c>
      <c r="AG70" s="7">
        <f t="shared" si="30"/>
        <v>37.853427911594956</v>
      </c>
      <c r="AJ70">
        <v>2030</v>
      </c>
      <c r="AK70" s="45">
        <v>99770.977719006391</v>
      </c>
      <c r="AL70" s="23">
        <v>0</v>
      </c>
      <c r="AM70" s="44">
        <f t="shared" ref="AM70:AM80" si="33">AK70-AL70</f>
        <v>99770.977719006391</v>
      </c>
      <c r="AN70" s="44">
        <f t="shared" si="2"/>
        <v>100065.35022116581</v>
      </c>
      <c r="AO70" s="21"/>
      <c r="AP70" s="141">
        <v>3.56</v>
      </c>
      <c r="AQ70" s="44">
        <f t="shared" si="13"/>
        <v>1966.2585619051317</v>
      </c>
      <c r="AR70" s="44">
        <f t="shared" si="15"/>
        <v>1899.3225732263782</v>
      </c>
      <c r="AS70" s="12"/>
      <c r="AT70" s="32">
        <f t="shared" si="4"/>
        <v>52.684758045698814</v>
      </c>
      <c r="AU70" s="117">
        <f t="shared" si="21"/>
        <v>-3.8200426319186409</v>
      </c>
      <c r="AV70" s="7">
        <f t="shared" si="24"/>
        <v>-3.8153925211965145</v>
      </c>
      <c r="AW70" s="7"/>
      <c r="AY70">
        <v>2030</v>
      </c>
      <c r="BA70" s="3"/>
      <c r="BB70" s="3">
        <v>6.6162808210791173</v>
      </c>
      <c r="BC70" s="7"/>
      <c r="BD70" s="6">
        <f>BD69+(BD71-BD64)/7</f>
        <v>0.96428571428571419</v>
      </c>
      <c r="BE70" s="6">
        <f>BE69+(BE71-BE64)/7</f>
        <v>1.4285714285714284</v>
      </c>
      <c r="BF70" s="6">
        <f>BF69+(BF71-BF64)/7</f>
        <v>0.58571428571428541</v>
      </c>
      <c r="BJ70">
        <v>2030</v>
      </c>
      <c r="BL70" s="3">
        <v>63.77506336166973</v>
      </c>
      <c r="BN70" s="7">
        <v>-3.8153925211965145</v>
      </c>
      <c r="BO70" s="6">
        <v>1.392857142857143</v>
      </c>
      <c r="BP70" s="157">
        <v>0.5</v>
      </c>
      <c r="BQ70">
        <v>0</v>
      </c>
      <c r="BR70">
        <v>0</v>
      </c>
      <c r="BS70" s="3">
        <v>-0.26620299617240439</v>
      </c>
    </row>
    <row r="71" spans="1:71">
      <c r="A71">
        <v>2031</v>
      </c>
      <c r="C71" s="3">
        <f t="shared" si="11"/>
        <v>64.915973753698594</v>
      </c>
      <c r="D71" s="3">
        <f t="shared" si="27"/>
        <v>115.88442969098345</v>
      </c>
      <c r="E71" s="3">
        <f t="shared" si="28"/>
        <v>23.731651825015227</v>
      </c>
      <c r="G71" s="7">
        <f t="shared" si="12"/>
        <v>-3.7959117848968384</v>
      </c>
      <c r="H71" s="156">
        <v>1.5</v>
      </c>
      <c r="I71" s="157">
        <v>0.5</v>
      </c>
      <c r="J71">
        <v>0</v>
      </c>
      <c r="K71">
        <v>0</v>
      </c>
      <c r="L71" s="3">
        <f t="shared" si="16"/>
        <v>-0.15207813466920905</v>
      </c>
      <c r="M71" s="3"/>
      <c r="S71" s="3"/>
      <c r="T71" s="3">
        <v>1.4</v>
      </c>
      <c r="U71" s="3"/>
      <c r="W71">
        <v>2031</v>
      </c>
      <c r="Y71" s="7">
        <f t="shared" si="32"/>
        <v>90.882363255178021</v>
      </c>
      <c r="Z71" s="7">
        <v>162.23820156737682</v>
      </c>
      <c r="AA71" s="7">
        <v>33.224312555021314</v>
      </c>
      <c r="AC71">
        <v>2031</v>
      </c>
      <c r="AE71" s="7">
        <f t="shared" si="9"/>
        <v>104.90735926748033</v>
      </c>
      <c r="AF71" s="7">
        <f t="shared" si="29"/>
        <v>187.27485387841716</v>
      </c>
      <c r="AG71" s="7">
        <f t="shared" si="30"/>
        <v>38.351499331484362</v>
      </c>
      <c r="AJ71">
        <v>2031</v>
      </c>
      <c r="AK71" s="45">
        <v>99299.784594658689</v>
      </c>
      <c r="AL71" s="23">
        <v>0</v>
      </c>
      <c r="AM71" s="44">
        <f t="shared" si="33"/>
        <v>99299.784594658689</v>
      </c>
      <c r="AN71" s="44">
        <f t="shared" si="2"/>
        <v>99678.242799798434</v>
      </c>
      <c r="AO71" s="21"/>
      <c r="AP71" s="141">
        <v>3.54</v>
      </c>
      <c r="AQ71" s="44">
        <f t="shared" si="13"/>
        <v>2035.8641149965736</v>
      </c>
      <c r="AR71" s="44">
        <f t="shared" si="15"/>
        <v>1966.9295758029282</v>
      </c>
      <c r="AS71" s="12"/>
      <c r="AT71" s="32">
        <f t="shared" si="4"/>
        <v>50.677077626995555</v>
      </c>
      <c r="AU71" s="117">
        <f t="shared" si="21"/>
        <v>-3.8107424104743881</v>
      </c>
      <c r="AV71" s="7">
        <f t="shared" si="24"/>
        <v>-3.7959117848968384</v>
      </c>
      <c r="AW71" s="7"/>
      <c r="AY71">
        <v>2031</v>
      </c>
      <c r="BA71" s="3"/>
      <c r="BB71" s="3">
        <v>6.6162808210791173</v>
      </c>
      <c r="BC71" s="7"/>
      <c r="BD71" s="156">
        <v>1</v>
      </c>
      <c r="BE71" s="157">
        <v>1.5</v>
      </c>
      <c r="BF71" s="156">
        <v>0.6</v>
      </c>
      <c r="BJ71">
        <v>2031</v>
      </c>
      <c r="BL71" s="3">
        <v>64.915973753698594</v>
      </c>
      <c r="BN71" s="7">
        <v>-3.7959117848968384</v>
      </c>
      <c r="BO71" s="156">
        <v>1.5</v>
      </c>
      <c r="BP71" s="157">
        <v>0.5</v>
      </c>
      <c r="BQ71">
        <v>0</v>
      </c>
      <c r="BR71">
        <v>0</v>
      </c>
      <c r="BS71" s="3">
        <v>-0.15207813466920905</v>
      </c>
    </row>
    <row r="72" spans="1:71">
      <c r="A72">
        <v>2032</v>
      </c>
      <c r="C72" s="3">
        <f t="shared" si="11"/>
        <v>65.37831665495689</v>
      </c>
      <c r="D72" s="3">
        <f t="shared" si="27"/>
        <v>117.73364931371189</v>
      </c>
      <c r="E72" s="3">
        <f t="shared" si="28"/>
        <v>24.039855095469971</v>
      </c>
      <c r="G72" s="7">
        <f t="shared" si="12"/>
        <v>-3.8145892206261522</v>
      </c>
      <c r="H72" s="156">
        <v>1.5</v>
      </c>
      <c r="I72" s="157">
        <v>0.5</v>
      </c>
      <c r="J72">
        <v>0</v>
      </c>
      <c r="K72">
        <v>0</v>
      </c>
      <c r="L72" s="3">
        <f t="shared" si="16"/>
        <v>-6.0990473205735363E-3</v>
      </c>
      <c r="M72" s="3"/>
      <c r="S72" s="3"/>
      <c r="T72" s="3">
        <v>1.4</v>
      </c>
      <c r="U72" s="3"/>
      <c r="W72">
        <v>2032</v>
      </c>
      <c r="Y72" s="7">
        <f t="shared" si="32"/>
        <v>91.529643316939641</v>
      </c>
      <c r="Z72" s="7">
        <v>164.82710903919664</v>
      </c>
      <c r="AA72" s="7">
        <v>33.655797133657956</v>
      </c>
      <c r="AC72">
        <v>2032</v>
      </c>
      <c r="AE72" s="7">
        <f t="shared" si="9"/>
        <v>105.65452780000675</v>
      </c>
      <c r="AF72" s="7">
        <f t="shared" si="29"/>
        <v>190.26328239775358</v>
      </c>
      <c r="AG72" s="7">
        <f t="shared" si="30"/>
        <v>38.849570751373768</v>
      </c>
      <c r="AJ72">
        <v>2032</v>
      </c>
      <c r="AK72" s="45">
        <v>98841.452914077265</v>
      </c>
      <c r="AL72" s="23">
        <v>0</v>
      </c>
      <c r="AM72" s="44">
        <f t="shared" si="33"/>
        <v>98841.452914077265</v>
      </c>
      <c r="AN72" s="44">
        <f t="shared" ref="AN72:AN80" si="34">AVERAGE(AM70:AM72)</f>
        <v>99304.071742580782</v>
      </c>
      <c r="AO72" s="21"/>
      <c r="AP72" s="141">
        <v>3.52</v>
      </c>
      <c r="AQ72" s="44">
        <f t="shared" si="13"/>
        <v>2107.5265318444526</v>
      </c>
      <c r="AR72" s="44">
        <f t="shared" si="15"/>
        <v>2036.5497362487192</v>
      </c>
      <c r="AS72" s="12"/>
      <c r="AT72" s="32">
        <f t="shared" ref="AT72:AT80" si="35">AN72/AR72</f>
        <v>48.760936192747614</v>
      </c>
      <c r="AU72" s="117">
        <f t="shared" ref="AU72:AU80" si="36">(AT72/AT71-1)*100</f>
        <v>-3.7810811593192883</v>
      </c>
      <c r="AV72" s="7">
        <f t="shared" si="24"/>
        <v>-3.8145892206261522</v>
      </c>
      <c r="AW72" s="7"/>
      <c r="AY72">
        <v>2032</v>
      </c>
      <c r="BA72" s="3"/>
      <c r="BB72" s="3">
        <v>6.6162808210791173</v>
      </c>
      <c r="BC72" s="7"/>
      <c r="BD72" s="24">
        <f t="shared" si="22"/>
        <v>0</v>
      </c>
      <c r="BE72" s="157">
        <v>1.5</v>
      </c>
      <c r="BF72" s="156">
        <v>0.6</v>
      </c>
      <c r="BJ72">
        <v>2032</v>
      </c>
      <c r="BL72" s="3">
        <v>65.37831665495689</v>
      </c>
      <c r="BN72" s="7">
        <v>-3.8145892206261522</v>
      </c>
      <c r="BO72" s="156">
        <v>1.5</v>
      </c>
      <c r="BP72" s="157">
        <v>0.5</v>
      </c>
      <c r="BQ72">
        <v>0</v>
      </c>
      <c r="BR72">
        <v>0</v>
      </c>
      <c r="BS72" s="3">
        <v>-6.0990473205735363E-3</v>
      </c>
    </row>
    <row r="73" spans="1:71">
      <c r="A73">
        <v>2033</v>
      </c>
      <c r="C73" s="3">
        <f t="shared" si="11"/>
        <v>65.334605909850282</v>
      </c>
      <c r="D73" s="3">
        <f t="shared" si="27"/>
        <v>118.96646239553087</v>
      </c>
      <c r="E73" s="3">
        <f t="shared" si="28"/>
        <v>24.348058365924707</v>
      </c>
      <c r="G73" s="7">
        <f t="shared" si="12"/>
        <v>-3.7943083961379465</v>
      </c>
      <c r="H73" s="156">
        <v>1.5</v>
      </c>
      <c r="I73" s="157">
        <v>0.5</v>
      </c>
      <c r="J73">
        <v>0</v>
      </c>
      <c r="K73">
        <v>0</v>
      </c>
      <c r="L73" s="3">
        <f t="shared" si="16"/>
        <v>3.8961472599352565E-2</v>
      </c>
      <c r="M73" s="3"/>
      <c r="S73" s="3"/>
      <c r="T73" s="3">
        <v>1.4</v>
      </c>
      <c r="U73" s="3"/>
      <c r="W73">
        <v>2033</v>
      </c>
      <c r="Y73" s="7">
        <f t="shared" si="32"/>
        <v>91.468448273790386</v>
      </c>
      <c r="Z73" s="7">
        <v>166.55304735374321</v>
      </c>
      <c r="AA73" s="7">
        <v>34.08728171229459</v>
      </c>
      <c r="AC73">
        <v>2033</v>
      </c>
      <c r="AE73" s="7">
        <f t="shared" si="9"/>
        <v>105.58388911779046</v>
      </c>
      <c r="AF73" s="7">
        <f t="shared" si="29"/>
        <v>192.25556807731121</v>
      </c>
      <c r="AG73" s="7">
        <f t="shared" si="30"/>
        <v>39.347642171263168</v>
      </c>
      <c r="AJ73">
        <v>2033</v>
      </c>
      <c r="AK73" s="45">
        <v>98388.680075394339</v>
      </c>
      <c r="AL73" s="23">
        <v>0</v>
      </c>
      <c r="AM73" s="44">
        <f t="shared" si="33"/>
        <v>98388.680075394339</v>
      </c>
      <c r="AN73" s="44">
        <f t="shared" si="34"/>
        <v>98843.305861376764</v>
      </c>
      <c r="AO73" s="21"/>
      <c r="AP73" s="141">
        <v>3.5</v>
      </c>
      <c r="AQ73" s="44">
        <f t="shared" si="13"/>
        <v>2181.2899604590084</v>
      </c>
      <c r="AR73" s="44">
        <f t="shared" si="15"/>
        <v>2108.2268691000113</v>
      </c>
      <c r="AS73" s="12"/>
      <c r="AT73" s="32">
        <f t="shared" si="35"/>
        <v>46.884567932469402</v>
      </c>
      <c r="AU73" s="117">
        <f t="shared" si="36"/>
        <v>-3.8480972819330161</v>
      </c>
      <c r="AV73" s="7">
        <f t="shared" si="24"/>
        <v>-3.7943083961379465</v>
      </c>
      <c r="AW73" s="7"/>
      <c r="AY73">
        <v>2033</v>
      </c>
      <c r="BA73" s="3"/>
      <c r="BB73" s="3">
        <v>6.6162808210791173</v>
      </c>
      <c r="BC73" s="7"/>
      <c r="BD73" s="24">
        <f t="shared" si="22"/>
        <v>0</v>
      </c>
      <c r="BE73" s="157">
        <v>1.5</v>
      </c>
      <c r="BF73" s="156">
        <v>0.6</v>
      </c>
      <c r="BJ73">
        <v>2033</v>
      </c>
      <c r="BL73" s="3">
        <v>65.334605909850282</v>
      </c>
      <c r="BN73" s="7">
        <v>-3.7943083961379465</v>
      </c>
      <c r="BO73" s="156">
        <v>1.5</v>
      </c>
      <c r="BP73" s="157">
        <v>0.5</v>
      </c>
      <c r="BQ73">
        <v>0</v>
      </c>
      <c r="BR73">
        <v>0</v>
      </c>
      <c r="BS73" s="3">
        <v>3.8961472599352565E-2</v>
      </c>
    </row>
    <row r="74" spans="1:71">
      <c r="A74">
        <v>2034</v>
      </c>
      <c r="C74" s="3">
        <f t="shared" ref="C74:C79" si="37">C$87+C$88*G74+C$89*H74+C$90*I74+C$91*J74+C$92*K74+C$93*L74</f>
        <v>64.395148368539409</v>
      </c>
      <c r="D74" s="3">
        <f t="shared" si="27"/>
        <v>120.81568201825934</v>
      </c>
      <c r="E74" s="3">
        <f t="shared" si="28"/>
        <v>24.656261636379458</v>
      </c>
      <c r="G74" s="7">
        <f t="shared" si="12"/>
        <v>-3.6870592384152969</v>
      </c>
      <c r="H74" s="156">
        <v>1.5</v>
      </c>
      <c r="I74" s="157">
        <v>0.5</v>
      </c>
      <c r="J74">
        <v>0</v>
      </c>
      <c r="K74">
        <v>0</v>
      </c>
      <c r="L74" s="3">
        <f t="shared" si="16"/>
        <v>-3.7354871458628036E-2</v>
      </c>
      <c r="M74" s="3"/>
      <c r="S74" s="3"/>
      <c r="T74" s="3">
        <v>1.4</v>
      </c>
      <c r="U74" s="3"/>
      <c r="W74">
        <v>2034</v>
      </c>
      <c r="Y74" s="7">
        <f t="shared" si="32"/>
        <v>90.153207715955162</v>
      </c>
      <c r="Z74" s="7">
        <v>169.14195482556306</v>
      </c>
      <c r="AA74" s="7">
        <v>34.518766290931239</v>
      </c>
      <c r="AC74">
        <v>2034</v>
      </c>
      <c r="AE74" s="7">
        <f t="shared" ref="AE74:AE79" si="38">C74*T74*$U$58/$U$50</f>
        <v>104.06568020704098</v>
      </c>
      <c r="AF74" s="7">
        <f t="shared" si="29"/>
        <v>195.24399659664766</v>
      </c>
      <c r="AG74" s="7">
        <f t="shared" si="30"/>
        <v>39.845713591152588</v>
      </c>
      <c r="AJ74">
        <v>2034</v>
      </c>
      <c r="AK74" s="45">
        <v>98216.73676126849</v>
      </c>
      <c r="AL74" s="23">
        <v>0</v>
      </c>
      <c r="AM74" s="44">
        <f t="shared" si="33"/>
        <v>98216.73676126849</v>
      </c>
      <c r="AN74" s="44">
        <f t="shared" si="34"/>
        <v>98482.289916913374</v>
      </c>
      <c r="AO74" s="21"/>
      <c r="AP74" s="141">
        <v>3.5</v>
      </c>
      <c r="AQ74" s="44">
        <f t="shared" si="13"/>
        <v>2257.6351090750736</v>
      </c>
      <c r="AR74" s="44">
        <f t="shared" si="15"/>
        <v>2182.1505337928447</v>
      </c>
      <c r="AS74" s="12"/>
      <c r="AT74" s="32">
        <f t="shared" si="35"/>
        <v>45.130841521615423</v>
      </c>
      <c r="AU74" s="117">
        <f t="shared" si="36"/>
        <v>-3.7405195103428768</v>
      </c>
      <c r="AV74" s="7">
        <f t="shared" si="24"/>
        <v>-3.6870592384152969</v>
      </c>
      <c r="AW74" s="7"/>
      <c r="AY74">
        <v>2034</v>
      </c>
      <c r="BA74" s="3"/>
      <c r="BB74" s="3">
        <v>6.6162808210791173</v>
      </c>
      <c r="BC74" s="7"/>
      <c r="BD74" s="24">
        <f t="shared" si="22"/>
        <v>0</v>
      </c>
      <c r="BE74" s="157">
        <v>1.5</v>
      </c>
      <c r="BF74" s="156">
        <v>0.6</v>
      </c>
      <c r="BJ74">
        <v>2034</v>
      </c>
      <c r="BL74" s="3">
        <v>64.395148368539409</v>
      </c>
      <c r="BN74" s="7">
        <v>-3.6870592384152969</v>
      </c>
      <c r="BO74" s="156">
        <v>1.5</v>
      </c>
      <c r="BP74" s="157">
        <v>0.5</v>
      </c>
      <c r="BQ74">
        <v>0</v>
      </c>
      <c r="BR74">
        <v>0</v>
      </c>
      <c r="BS74" s="3">
        <v>-3.7354871458628036E-2</v>
      </c>
    </row>
    <row r="75" spans="1:71">
      <c r="A75">
        <v>2035</v>
      </c>
      <c r="C75" s="3">
        <f t="shared" si="37"/>
        <v>64.324617623652799</v>
      </c>
      <c r="D75" s="3">
        <f t="shared" si="27"/>
        <v>122.66490164098778</v>
      </c>
      <c r="E75" s="3">
        <f t="shared" si="28"/>
        <v>24.964464906834202</v>
      </c>
      <c r="G75" s="7">
        <f t="shared" ref="G75:G80" si="39">AV75</f>
        <v>-3.6526963998370743</v>
      </c>
      <c r="H75" s="156">
        <v>1.5</v>
      </c>
      <c r="I75" s="157">
        <v>0.5</v>
      </c>
      <c r="J75">
        <v>0</v>
      </c>
      <c r="K75">
        <v>0</v>
      </c>
      <c r="L75" s="3">
        <f t="shared" si="16"/>
        <v>4.0561648976411568E-2</v>
      </c>
      <c r="M75" s="3"/>
      <c r="S75" s="3"/>
      <c r="T75" s="3">
        <v>1.4</v>
      </c>
      <c r="U75" s="3"/>
      <c r="W75">
        <v>2035</v>
      </c>
      <c r="Y75" s="7">
        <f t="shared" si="32"/>
        <v>90.054464673113912</v>
      </c>
      <c r="Z75" s="7">
        <v>171.73086229738288</v>
      </c>
      <c r="AA75" s="7">
        <v>34.950250869567881</v>
      </c>
      <c r="AC75">
        <v>2035</v>
      </c>
      <c r="AE75" s="7">
        <f t="shared" si="38"/>
        <v>103.9516991055436</v>
      </c>
      <c r="AF75" s="7">
        <f t="shared" si="29"/>
        <v>198.23242511598409</v>
      </c>
      <c r="AG75" s="7">
        <f t="shared" si="30"/>
        <v>40.343785011041994</v>
      </c>
      <c r="AJ75">
        <v>2035</v>
      </c>
      <c r="AK75" s="45">
        <v>98071.001545367617</v>
      </c>
      <c r="AL75" s="23">
        <v>0</v>
      </c>
      <c r="AM75" s="44">
        <f t="shared" si="33"/>
        <v>98071.001545367617</v>
      </c>
      <c r="AN75" s="44">
        <f>AVERAGE(AM73:AM75)</f>
        <v>98225.472794010144</v>
      </c>
      <c r="AO75" s="21"/>
      <c r="AP75" s="141">
        <v>3.5</v>
      </c>
      <c r="AQ75" s="44">
        <f t="shared" ref="AQ75:AQ80" si="40">AQ74*(1+AP75/100)</f>
        <v>2336.6523378927009</v>
      </c>
      <c r="AR75" s="44">
        <f t="shared" si="15"/>
        <v>2258.5258024755944</v>
      </c>
      <c r="AS75" s="12"/>
      <c r="AT75" s="32">
        <f t="shared" si="35"/>
        <v>43.490967730518797</v>
      </c>
      <c r="AU75" s="117">
        <f t="shared" si="36"/>
        <v>-3.6335989664877166</v>
      </c>
      <c r="AV75" s="7">
        <f t="shared" si="24"/>
        <v>-3.6526963998370743</v>
      </c>
      <c r="AW75" s="7"/>
      <c r="AY75">
        <v>2035</v>
      </c>
      <c r="BA75" s="3"/>
      <c r="BB75" s="3">
        <v>6.6162808210791173</v>
      </c>
      <c r="BC75" s="7"/>
      <c r="BD75" s="24">
        <f t="shared" si="22"/>
        <v>0</v>
      </c>
      <c r="BE75" s="157">
        <v>1.5</v>
      </c>
      <c r="BF75" s="156">
        <v>0.6</v>
      </c>
      <c r="BJ75">
        <v>2035</v>
      </c>
      <c r="BL75" s="3">
        <v>64.324617623652799</v>
      </c>
      <c r="BN75" s="7">
        <v>-3.6526963998370743</v>
      </c>
      <c r="BO75" s="156">
        <v>1.5</v>
      </c>
      <c r="BP75" s="157">
        <v>0.5</v>
      </c>
      <c r="BQ75">
        <v>0</v>
      </c>
      <c r="BR75">
        <v>0</v>
      </c>
      <c r="BS75" s="3">
        <v>4.0561648976411568E-2</v>
      </c>
    </row>
    <row r="76" spans="1:71">
      <c r="A76">
        <v>2036</v>
      </c>
      <c r="C76" s="3">
        <f t="shared" si="37"/>
        <v>65.178612314742935</v>
      </c>
      <c r="D76" s="3">
        <f t="shared" si="27"/>
        <v>123.89771472280675</v>
      </c>
      <c r="E76" s="3">
        <f t="shared" si="28"/>
        <v>25.272668177288942</v>
      </c>
      <c r="G76" s="7">
        <f t="shared" si="39"/>
        <v>-3.7172986451430745</v>
      </c>
      <c r="H76" s="156">
        <v>1.5</v>
      </c>
      <c r="I76" s="157">
        <v>0.5</v>
      </c>
      <c r="J76">
        <v>0</v>
      </c>
      <c r="K76">
        <v>0</v>
      </c>
      <c r="L76" s="3">
        <f t="shared" si="16"/>
        <v>0.21449831544529951</v>
      </c>
      <c r="M76" s="3"/>
      <c r="S76" s="3"/>
      <c r="T76" s="3">
        <v>1.4</v>
      </c>
      <c r="U76" s="3"/>
      <c r="W76">
        <v>2036</v>
      </c>
      <c r="Y76" s="7">
        <f t="shared" si="32"/>
        <v>91.250057240640103</v>
      </c>
      <c r="Z76" s="7">
        <v>173.45680061192945</v>
      </c>
      <c r="AA76" s="7">
        <v>35.381735448204516</v>
      </c>
      <c r="AC76">
        <v>2036</v>
      </c>
      <c r="AE76" s="7">
        <f t="shared" si="38"/>
        <v>105.33179590899961</v>
      </c>
      <c r="AF76" s="7">
        <f t="shared" si="29"/>
        <v>200.22471079554171</v>
      </c>
      <c r="AG76" s="7">
        <f t="shared" si="30"/>
        <v>40.841856430931394</v>
      </c>
      <c r="AJ76">
        <v>2036</v>
      </c>
      <c r="AK76" s="45">
        <v>97503.747291229127</v>
      </c>
      <c r="AL76" s="23">
        <v>0</v>
      </c>
      <c r="AM76" s="44">
        <f t="shared" si="33"/>
        <v>97503.747291229127</v>
      </c>
      <c r="AN76" s="44">
        <f t="shared" si="34"/>
        <v>97930.495199288416</v>
      </c>
      <c r="AO76" s="21"/>
      <c r="AP76" s="141">
        <v>3.5</v>
      </c>
      <c r="AQ76" s="44">
        <f t="shared" si="40"/>
        <v>2418.4351697189454</v>
      </c>
      <c r="AR76" s="44">
        <f t="shared" si="15"/>
        <v>2337.57420556224</v>
      </c>
      <c r="AS76" s="12"/>
      <c r="AT76" s="32">
        <f t="shared" si="35"/>
        <v>41.894069059396507</v>
      </c>
      <c r="AU76" s="117">
        <f>(AT76/AT75-1)*100</f>
        <v>-3.6717938331864319</v>
      </c>
      <c r="AV76" s="7">
        <f t="shared" si="24"/>
        <v>-3.7172986451430745</v>
      </c>
      <c r="AW76" s="7"/>
      <c r="AY76">
        <v>2036</v>
      </c>
      <c r="BA76" s="3"/>
      <c r="BB76" s="3">
        <v>6.6162808210791173</v>
      </c>
      <c r="BC76" s="7"/>
      <c r="BD76" s="24">
        <f t="shared" si="22"/>
        <v>0</v>
      </c>
      <c r="BE76" s="157">
        <v>1.5</v>
      </c>
      <c r="BF76" s="156">
        <v>0.6</v>
      </c>
      <c r="BJ76">
        <v>2036</v>
      </c>
      <c r="BL76" s="3">
        <v>65.178612314742935</v>
      </c>
      <c r="BN76" s="7">
        <v>-3.7172986451430745</v>
      </c>
      <c r="BO76" s="156">
        <v>1.5</v>
      </c>
      <c r="BP76" s="157">
        <v>0.5</v>
      </c>
      <c r="BQ76">
        <v>0</v>
      </c>
      <c r="BR76">
        <v>0</v>
      </c>
      <c r="BS76" s="3">
        <v>0.21449831544529951</v>
      </c>
    </row>
    <row r="77" spans="1:71">
      <c r="A77">
        <v>2037</v>
      </c>
      <c r="C77" s="3">
        <f t="shared" si="37"/>
        <v>65.537112991897544</v>
      </c>
      <c r="D77" s="3">
        <f t="shared" si="27"/>
        <v>125.13052780462574</v>
      </c>
      <c r="E77" s="3">
        <f t="shared" si="28"/>
        <v>25.88907471819843</v>
      </c>
      <c r="G77" s="7">
        <f t="shared" si="39"/>
        <v>-3.8132389233860255</v>
      </c>
      <c r="H77" s="156">
        <v>1.5</v>
      </c>
      <c r="I77" s="157">
        <v>0.5</v>
      </c>
      <c r="J77">
        <v>0</v>
      </c>
      <c r="K77">
        <v>0</v>
      </c>
      <c r="L77" s="3">
        <f t="shared" si="16"/>
        <v>6.8725677156444842E-2</v>
      </c>
      <c r="M77" s="3"/>
      <c r="S77" s="3"/>
      <c r="T77" s="3">
        <v>1.4</v>
      </c>
      <c r="U77" s="3"/>
      <c r="W77">
        <v>2037</v>
      </c>
      <c r="Y77" s="7">
        <f t="shared" si="32"/>
        <v>91.751958188656559</v>
      </c>
      <c r="Z77" s="7">
        <v>175.18273892647602</v>
      </c>
      <c r="AA77" s="7">
        <v>36.2447046054778</v>
      </c>
      <c r="AC77">
        <v>2037</v>
      </c>
      <c r="AE77" s="7">
        <f t="shared" si="38"/>
        <v>105.91115037541476</v>
      </c>
      <c r="AF77" s="7">
        <f t="shared" si="29"/>
        <v>202.21699647509934</v>
      </c>
      <c r="AG77" s="7">
        <f t="shared" si="30"/>
        <v>41.837999270710213</v>
      </c>
      <c r="AJ77">
        <v>2037</v>
      </c>
      <c r="AK77" s="45">
        <v>97057.724714266704</v>
      </c>
      <c r="AL77" s="23">
        <v>0</v>
      </c>
      <c r="AM77" s="44">
        <f t="shared" si="33"/>
        <v>97057.724714266704</v>
      </c>
      <c r="AN77" s="44">
        <f t="shared" si="34"/>
        <v>97544.157850287811</v>
      </c>
      <c r="AO77" s="21"/>
      <c r="AP77" s="141">
        <v>3.5</v>
      </c>
      <c r="AQ77" s="44">
        <f t="shared" si="40"/>
        <v>2503.0804006591084</v>
      </c>
      <c r="AR77" s="44">
        <f t="shared" ref="AR77:AR80" si="41">AVERAGE(AQ75:AQ77)</f>
        <v>2419.3893027569179</v>
      </c>
      <c r="AS77" s="12"/>
      <c r="AT77" s="32">
        <f t="shared" si="35"/>
        <v>40.317677580509795</v>
      </c>
      <c r="AU77" s="117">
        <f t="shared" si="36"/>
        <v>-3.7628034570997171</v>
      </c>
      <c r="AV77" s="7">
        <f t="shared" si="24"/>
        <v>-3.8132389233860255</v>
      </c>
      <c r="AW77" s="7"/>
      <c r="AY77">
        <v>2037</v>
      </c>
      <c r="BA77" s="3"/>
      <c r="BB77" s="3">
        <v>6.6162808210791173</v>
      </c>
      <c r="BC77" s="7"/>
      <c r="BD77" s="24">
        <f t="shared" si="22"/>
        <v>0</v>
      </c>
      <c r="BE77" s="157">
        <v>1.5</v>
      </c>
      <c r="BF77" s="156">
        <v>0.6</v>
      </c>
      <c r="BJ77">
        <v>2037</v>
      </c>
      <c r="BL77" s="3">
        <v>65.537112991897544</v>
      </c>
      <c r="BN77" s="7">
        <v>-3.8132389233860255</v>
      </c>
      <c r="BO77" s="156">
        <v>1.5</v>
      </c>
      <c r="BP77" s="157">
        <v>0.5</v>
      </c>
      <c r="BQ77">
        <v>0</v>
      </c>
      <c r="BR77">
        <v>0</v>
      </c>
      <c r="BS77" s="3">
        <v>6.8725677156444842E-2</v>
      </c>
    </row>
    <row r="78" spans="1:71">
      <c r="A78">
        <v>2038</v>
      </c>
      <c r="C78" s="3">
        <f t="shared" si="37"/>
        <v>65.707518630536057</v>
      </c>
      <c r="D78" s="3">
        <f t="shared" si="27"/>
        <v>126.9797474273542</v>
      </c>
      <c r="E78" s="3">
        <f t="shared" si="28"/>
        <v>26.505481259107913</v>
      </c>
      <c r="G78" s="7">
        <f t="shared" si="39"/>
        <v>-3.8993060824491446</v>
      </c>
      <c r="H78" s="156">
        <v>1.5</v>
      </c>
      <c r="I78" s="157">
        <v>0.5</v>
      </c>
      <c r="J78">
        <v>0</v>
      </c>
      <c r="K78">
        <v>0</v>
      </c>
      <c r="L78" s="3">
        <f t="shared" ref="L78:L80" si="42">AU77-AU75</f>
        <v>-0.12920449061200046</v>
      </c>
      <c r="M78" s="3"/>
      <c r="S78" s="3"/>
      <c r="T78" s="3">
        <v>1.4</v>
      </c>
      <c r="U78" s="3"/>
      <c r="W78">
        <v>2038</v>
      </c>
      <c r="Y78" s="7">
        <f t="shared" si="32"/>
        <v>91.990526082750478</v>
      </c>
      <c r="Z78" s="7">
        <v>177.77164639829587</v>
      </c>
      <c r="AA78" s="7">
        <v>37.107673762751077</v>
      </c>
      <c r="AC78">
        <v>2038</v>
      </c>
      <c r="AE78" s="7">
        <f t="shared" si="38"/>
        <v>106.18653414492707</v>
      </c>
      <c r="AF78" s="7">
        <f t="shared" si="29"/>
        <v>205.20542499443582</v>
      </c>
      <c r="AG78" s="7">
        <f t="shared" si="30"/>
        <v>42.834142110489019</v>
      </c>
      <c r="AJ78">
        <v>2038</v>
      </c>
      <c r="AK78" s="45">
        <v>96611.04937542275</v>
      </c>
      <c r="AL78" s="23">
        <v>0</v>
      </c>
      <c r="AM78" s="44">
        <f t="shared" si="33"/>
        <v>96611.04937542275</v>
      </c>
      <c r="AN78" s="44">
        <f t="shared" si="34"/>
        <v>97057.507126972851</v>
      </c>
      <c r="AO78" s="21"/>
      <c r="AP78" s="141">
        <v>3.5</v>
      </c>
      <c r="AQ78" s="44">
        <f t="shared" si="40"/>
        <v>2590.6882146821767</v>
      </c>
      <c r="AR78" s="44">
        <f t="shared" si="41"/>
        <v>2504.06792835341</v>
      </c>
      <c r="AS78" s="12"/>
      <c r="AT78" s="32">
        <f t="shared" si="35"/>
        <v>38.759933797320976</v>
      </c>
      <c r="AU78" s="117">
        <f t="shared" si="36"/>
        <v>-3.8636743896723336</v>
      </c>
      <c r="AV78" s="7">
        <f t="shared" si="24"/>
        <v>-3.8993060824491446</v>
      </c>
      <c r="AW78" s="7"/>
      <c r="AY78">
        <v>2038</v>
      </c>
      <c r="BA78" s="3"/>
      <c r="BB78" s="3">
        <v>6.6162808210791173</v>
      </c>
      <c r="BC78" s="7"/>
      <c r="BD78" s="24">
        <f t="shared" si="22"/>
        <v>0</v>
      </c>
      <c r="BE78" s="157">
        <v>1.5</v>
      </c>
      <c r="BF78" s="156">
        <v>0.6</v>
      </c>
      <c r="BJ78">
        <v>2038</v>
      </c>
      <c r="BL78" s="3">
        <v>65.707518630536057</v>
      </c>
      <c r="BN78" s="7">
        <v>-3.8993060824491446</v>
      </c>
      <c r="BO78" s="156">
        <v>1.5</v>
      </c>
      <c r="BP78" s="157">
        <v>0.5</v>
      </c>
      <c r="BQ78">
        <v>0</v>
      </c>
      <c r="BR78">
        <v>0</v>
      </c>
      <c r="BS78" s="3">
        <v>-0.12920449061200046</v>
      </c>
    </row>
    <row r="79" spans="1:71">
      <c r="A79">
        <v>2039</v>
      </c>
      <c r="C79" s="3">
        <f t="shared" si="37"/>
        <v>66.234137388002324</v>
      </c>
      <c r="D79" s="3">
        <f t="shared" si="27"/>
        <v>128.82896705008264</v>
      </c>
      <c r="E79" s="3">
        <f t="shared" si="28"/>
        <v>27.121887800017408</v>
      </c>
      <c r="G79" s="7">
        <f t="shared" si="39"/>
        <v>-3.9925965108141726</v>
      </c>
      <c r="H79" s="156">
        <v>1.5</v>
      </c>
      <c r="I79" s="157">
        <v>0.5</v>
      </c>
      <c r="J79">
        <v>0</v>
      </c>
      <c r="K79">
        <v>0</v>
      </c>
      <c r="L79" s="3">
        <f t="shared" si="42"/>
        <v>-0.19188055648590163</v>
      </c>
      <c r="M79" s="3"/>
      <c r="S79" s="3"/>
      <c r="T79" s="3">
        <v>1.4</v>
      </c>
      <c r="U79" s="3"/>
      <c r="W79">
        <v>2039</v>
      </c>
      <c r="Y79" s="7">
        <f t="shared" si="32"/>
        <v>92.727792343203248</v>
      </c>
      <c r="Z79" s="7">
        <v>180.36055387011569</v>
      </c>
      <c r="AA79" s="7">
        <v>37.970642920024368</v>
      </c>
      <c r="AC79">
        <v>2039</v>
      </c>
      <c r="AE79" s="7">
        <f t="shared" si="38"/>
        <v>107.03757557574838</v>
      </c>
      <c r="AF79" s="7">
        <f t="shared" si="29"/>
        <v>208.19385351377224</v>
      </c>
      <c r="AG79" s="7">
        <f t="shared" si="30"/>
        <v>43.830284950267853</v>
      </c>
      <c r="AJ79">
        <v>2039</v>
      </c>
      <c r="AK79" s="45">
        <v>95836.316990944266</v>
      </c>
      <c r="AL79" s="23">
        <v>0</v>
      </c>
      <c r="AM79" s="44">
        <f t="shared" si="33"/>
        <v>95836.316990944266</v>
      </c>
      <c r="AN79" s="44">
        <f t="shared" si="34"/>
        <v>96501.697026877897</v>
      </c>
      <c r="AO79" s="21"/>
      <c r="AP79" s="141">
        <v>3.5</v>
      </c>
      <c r="AQ79" s="44">
        <f t="shared" si="40"/>
        <v>2681.362302196053</v>
      </c>
      <c r="AR79" s="44">
        <f t="shared" si="41"/>
        <v>2591.7103058457792</v>
      </c>
      <c r="AS79" s="12"/>
      <c r="AT79" s="32">
        <f t="shared" si="35"/>
        <v>37.234754520677619</v>
      </c>
      <c r="AU79" s="117">
        <f t="shared" si="36"/>
        <v>-3.9349377752259551</v>
      </c>
      <c r="AV79" s="7">
        <f t="shared" si="24"/>
        <v>-3.9925965108141726</v>
      </c>
      <c r="AW79" s="7"/>
      <c r="AY79">
        <v>2039</v>
      </c>
      <c r="BA79" s="3"/>
      <c r="BB79" s="3">
        <v>6.6162808210791173</v>
      </c>
      <c r="BC79" s="7"/>
      <c r="BD79" s="24">
        <f t="shared" si="22"/>
        <v>0</v>
      </c>
      <c r="BE79" s="157">
        <v>1.5</v>
      </c>
      <c r="BF79" s="156">
        <v>0.6</v>
      </c>
      <c r="BJ79">
        <v>2039</v>
      </c>
      <c r="BL79" s="3">
        <v>66.234137388002324</v>
      </c>
      <c r="BN79" s="7">
        <v>-3.9925965108141726</v>
      </c>
      <c r="BO79" s="156">
        <v>1.5</v>
      </c>
      <c r="BP79" s="157">
        <v>0.5</v>
      </c>
      <c r="BQ79">
        <v>0</v>
      </c>
      <c r="BR79">
        <v>0</v>
      </c>
      <c r="BS79" s="3">
        <v>-0.19188055648590163</v>
      </c>
    </row>
    <row r="80" spans="1:71">
      <c r="A80">
        <v>2040</v>
      </c>
      <c r="C80" s="3">
        <f>C$87+C$88*G80+C$89*H80+C$90*I80+C$91*J80+C$92*K80+C$93*L80</f>
        <v>66.691287914947566</v>
      </c>
      <c r="D80" s="3">
        <f t="shared" si="27"/>
        <v>129.44537359099215</v>
      </c>
      <c r="E80" s="3">
        <f t="shared" si="28"/>
        <v>27.738294340926885</v>
      </c>
      <c r="G80" s="7">
        <f t="shared" si="39"/>
        <v>-4.05025524640239</v>
      </c>
      <c r="H80" s="156">
        <v>1.5</v>
      </c>
      <c r="I80" s="157">
        <v>0.5</v>
      </c>
      <c r="J80">
        <v>0</v>
      </c>
      <c r="K80">
        <v>0</v>
      </c>
      <c r="L80" s="3">
        <f t="shared" si="42"/>
        <v>-0.17213431812623803</v>
      </c>
      <c r="M80" s="3"/>
      <c r="S80" s="3"/>
      <c r="T80" s="3">
        <v>1.4</v>
      </c>
      <c r="U80" s="3"/>
      <c r="W80">
        <v>2040</v>
      </c>
      <c r="Y80" s="7">
        <f t="shared" si="32"/>
        <v>93.367803080926592</v>
      </c>
      <c r="Z80" s="7">
        <v>181.22352302738898</v>
      </c>
      <c r="AA80" s="7">
        <v>38.833612077297637</v>
      </c>
      <c r="AC80">
        <v>2040</v>
      </c>
      <c r="AE80" s="7">
        <f>C80*T80*$U$58/$U$50</f>
        <v>107.77635297977416</v>
      </c>
      <c r="AF80" s="7">
        <f>D80*T80*$U$58/$U$50</f>
        <v>209.18999635355107</v>
      </c>
      <c r="AG80" s="7">
        <f t="shared" si="30"/>
        <v>44.826427790046658</v>
      </c>
      <c r="AJ80">
        <v>2040</v>
      </c>
      <c r="AK80" s="45">
        <v>95054.308432090009</v>
      </c>
      <c r="AL80" s="23">
        <v>0</v>
      </c>
      <c r="AM80" s="44">
        <f t="shared" si="33"/>
        <v>95054.308432090009</v>
      </c>
      <c r="AN80" s="44">
        <f t="shared" si="34"/>
        <v>95833.891599485694</v>
      </c>
      <c r="AO80" s="21"/>
      <c r="AP80" s="141">
        <v>3.5</v>
      </c>
      <c r="AQ80" s="44">
        <f t="shared" si="40"/>
        <v>2775.2099827729144</v>
      </c>
      <c r="AR80" s="44">
        <f t="shared" si="41"/>
        <v>2682.4201665503811</v>
      </c>
      <c r="AS80" s="12"/>
      <c r="AT80" s="32">
        <f t="shared" si="35"/>
        <v>35.726651922218821</v>
      </c>
      <c r="AU80" s="117">
        <f t="shared" si="36"/>
        <v>-4.05025524640239</v>
      </c>
      <c r="AV80" s="7">
        <f t="shared" si="24"/>
        <v>-4.05025524640239</v>
      </c>
      <c r="AW80" s="7"/>
      <c r="AY80">
        <v>2040</v>
      </c>
      <c r="BA80" s="3"/>
      <c r="BB80" s="3">
        <v>6.6162808210791173</v>
      </c>
      <c r="BC80" s="7"/>
      <c r="BD80" s="24">
        <f t="shared" si="22"/>
        <v>0</v>
      </c>
      <c r="BE80" s="157">
        <v>1.5</v>
      </c>
      <c r="BF80" s="156">
        <v>0.6</v>
      </c>
      <c r="BJ80">
        <v>2040</v>
      </c>
      <c r="BL80" s="3">
        <v>66.691287914947566</v>
      </c>
      <c r="BN80" s="7">
        <v>-4.05025524640239</v>
      </c>
      <c r="BO80" s="156">
        <v>1.5</v>
      </c>
      <c r="BP80" s="157">
        <v>0.5</v>
      </c>
      <c r="BQ80">
        <v>0</v>
      </c>
      <c r="BR80">
        <v>0</v>
      </c>
      <c r="BS80" s="3">
        <v>-0.17213431812623803</v>
      </c>
    </row>
    <row r="81" spans="2:33">
      <c r="E81" s="3"/>
      <c r="AG81" s="7"/>
    </row>
    <row r="87" spans="2:33">
      <c r="B87" s="13" t="s">
        <v>88</v>
      </c>
      <c r="C87" s="13">
        <v>37.213270492538612</v>
      </c>
      <c r="D87" s="13"/>
      <c r="E87" s="13"/>
    </row>
    <row r="88" spans="2:33">
      <c r="B88" t="s">
        <v>2164</v>
      </c>
      <c r="C88" s="13">
        <v>-7.1575217175665866</v>
      </c>
      <c r="D88" s="13"/>
      <c r="E88" s="13"/>
    </row>
    <row r="89" spans="2:33">
      <c r="B89" t="s">
        <v>2170</v>
      </c>
      <c r="C89" s="13">
        <v>9.5517552885794608</v>
      </c>
      <c r="D89" s="13"/>
      <c r="E89" s="13"/>
    </row>
    <row r="90" spans="2:33">
      <c r="B90" t="s">
        <v>2165</v>
      </c>
      <c r="C90" s="13">
        <v>-26.903721011410461</v>
      </c>
      <c r="D90" s="13"/>
      <c r="E90" s="13"/>
    </row>
    <row r="91" spans="2:33">
      <c r="B91" t="s">
        <v>2166</v>
      </c>
      <c r="C91" s="13">
        <v>-24.710124185721039</v>
      </c>
      <c r="D91" s="13"/>
      <c r="E91" s="13"/>
    </row>
    <row r="92" spans="2:33">
      <c r="B92" t="s">
        <v>2167</v>
      </c>
      <c r="C92" s="13">
        <v>-20.69547522790597</v>
      </c>
      <c r="D92" s="13"/>
      <c r="E92" s="13"/>
    </row>
    <row r="93" spans="2:33" ht="15.75" thickBot="1">
      <c r="B93" t="s">
        <v>2168</v>
      </c>
      <c r="C93" s="14">
        <v>2.2514098105870954</v>
      </c>
      <c r="D93" s="13"/>
      <c r="E93" s="13"/>
    </row>
    <row r="104" spans="1:8">
      <c r="F104" t="s">
        <v>51</v>
      </c>
    </row>
    <row r="105" spans="1:8">
      <c r="B105" s="32" t="s">
        <v>2481</v>
      </c>
      <c r="C105" s="8" t="s">
        <v>2478</v>
      </c>
      <c r="D105" s="8" t="s">
        <v>2479</v>
      </c>
      <c r="G105" s="32" t="s">
        <v>2481</v>
      </c>
      <c r="H105" s="3" t="s">
        <v>2482</v>
      </c>
    </row>
    <row r="106" spans="1:8">
      <c r="A106" s="12">
        <v>1970</v>
      </c>
      <c r="B106" s="7">
        <v>19.491740993610982</v>
      </c>
      <c r="C106" s="3">
        <f>-G10*3</f>
        <v>-10.458610227429988</v>
      </c>
      <c r="D106">
        <f>H10*10</f>
        <v>0</v>
      </c>
      <c r="F106" s="12">
        <v>1970</v>
      </c>
      <c r="G106" s="7">
        <v>19.491740993610982</v>
      </c>
      <c r="H106" s="3">
        <f>AV10</f>
        <v>3.4862034091433292</v>
      </c>
    </row>
    <row r="107" spans="1:8">
      <c r="A107">
        <v>1971</v>
      </c>
      <c r="B107" s="7">
        <v>18.793578391027218</v>
      </c>
      <c r="C107" s="3">
        <f t="shared" ref="C107:C154" si="43">-G11*3</f>
        <v>-8.0407284036116735</v>
      </c>
      <c r="D107">
        <f t="shared" ref="D107:D154" si="44">H11*10</f>
        <v>0</v>
      </c>
      <c r="F107">
        <v>1971</v>
      </c>
      <c r="G107" s="7">
        <v>18.793578391027218</v>
      </c>
      <c r="H107" s="3">
        <f t="shared" ref="H107:H154" si="45">AV11</f>
        <v>2.6802428012038915</v>
      </c>
    </row>
    <row r="108" spans="1:8">
      <c r="A108">
        <v>1972</v>
      </c>
      <c r="B108" s="7">
        <v>17.439690979476033</v>
      </c>
      <c r="C108" s="3">
        <f t="shared" si="43"/>
        <v>-5.3076135988309403</v>
      </c>
      <c r="D108">
        <f t="shared" si="44"/>
        <v>0</v>
      </c>
      <c r="F108">
        <v>1972</v>
      </c>
      <c r="G108" s="7">
        <v>17.439690979476033</v>
      </c>
      <c r="H108" s="3">
        <f t="shared" si="45"/>
        <v>1.7692045329436468</v>
      </c>
    </row>
    <row r="109" spans="1:8">
      <c r="A109">
        <v>1973</v>
      </c>
      <c r="B109" s="7">
        <v>15.893205250610167</v>
      </c>
      <c r="C109" s="3">
        <f t="shared" si="43"/>
        <v>-2.4594236387229906</v>
      </c>
      <c r="D109">
        <f t="shared" si="44"/>
        <v>0</v>
      </c>
      <c r="F109">
        <v>1973</v>
      </c>
      <c r="G109" s="7">
        <v>15.893205250610167</v>
      </c>
      <c r="H109" s="3">
        <f t="shared" si="45"/>
        <v>0.81980787957433021</v>
      </c>
    </row>
    <row r="110" spans="1:8">
      <c r="A110">
        <v>1974</v>
      </c>
      <c r="B110" s="7">
        <v>45.154443786859268</v>
      </c>
      <c r="C110" s="3">
        <f t="shared" si="43"/>
        <v>2.2491734860985657</v>
      </c>
      <c r="D110">
        <f t="shared" si="44"/>
        <v>0</v>
      </c>
      <c r="F110">
        <v>1974</v>
      </c>
      <c r="G110" s="7">
        <v>45.154443786859268</v>
      </c>
      <c r="H110" s="3">
        <f t="shared" si="45"/>
        <v>-0.74972449536618857</v>
      </c>
    </row>
    <row r="111" spans="1:8">
      <c r="A111">
        <v>1975</v>
      </c>
      <c r="B111" s="7">
        <v>42.354994859681113</v>
      </c>
      <c r="C111" s="3">
        <f t="shared" si="43"/>
        <v>5.4112226944123707</v>
      </c>
      <c r="D111">
        <f t="shared" si="44"/>
        <v>0</v>
      </c>
      <c r="F111">
        <v>1975</v>
      </c>
      <c r="G111" s="7">
        <v>42.354994859681113</v>
      </c>
      <c r="H111" s="3">
        <f t="shared" si="45"/>
        <v>-1.803740898137457</v>
      </c>
    </row>
    <row r="112" spans="1:8">
      <c r="A112">
        <v>1976</v>
      </c>
      <c r="B112" s="7">
        <v>44.212643376667735</v>
      </c>
      <c r="C112" s="3">
        <f t="shared" si="43"/>
        <v>4.6319944703419216</v>
      </c>
      <c r="D112">
        <f t="shared" si="44"/>
        <v>0</v>
      </c>
      <c r="F112">
        <v>1976</v>
      </c>
      <c r="G112" s="7">
        <v>44.212643376667735</v>
      </c>
      <c r="H112" s="3">
        <f t="shared" si="45"/>
        <v>-1.5439981567806405</v>
      </c>
    </row>
    <row r="113" spans="1:19">
      <c r="A113">
        <v>1977</v>
      </c>
      <c r="B113" s="7">
        <v>44.193923022410409</v>
      </c>
      <c r="C113" s="3">
        <f t="shared" si="43"/>
        <v>2.4261318752532568</v>
      </c>
      <c r="D113">
        <f t="shared" si="44"/>
        <v>0</v>
      </c>
      <c r="F113">
        <v>1977</v>
      </c>
      <c r="G113" s="7">
        <v>44.193923022410409</v>
      </c>
      <c r="H113" s="3">
        <f t="shared" si="45"/>
        <v>-0.80871062508441893</v>
      </c>
    </row>
    <row r="114" spans="1:19">
      <c r="A114">
        <v>1978</v>
      </c>
      <c r="B114" s="7">
        <v>38.102909568822163</v>
      </c>
      <c r="C114" s="3">
        <f t="shared" si="43"/>
        <v>1.7959924639077751</v>
      </c>
      <c r="D114">
        <f t="shared" si="44"/>
        <v>0</v>
      </c>
      <c r="F114">
        <v>1978</v>
      </c>
      <c r="G114" s="7">
        <v>38.102909568822163</v>
      </c>
      <c r="H114" s="3">
        <f t="shared" si="45"/>
        <v>-0.59866415463592504</v>
      </c>
      <c r="J114" t="s">
        <v>2483</v>
      </c>
      <c r="Q114" t="s">
        <v>2484</v>
      </c>
    </row>
    <row r="115" spans="1:19">
      <c r="A115">
        <v>1979</v>
      </c>
      <c r="B115" s="7">
        <v>49.758314706931465</v>
      </c>
      <c r="C115" s="3">
        <f t="shared" si="43"/>
        <v>5.5038719699773697</v>
      </c>
      <c r="D115">
        <f t="shared" si="44"/>
        <v>0</v>
      </c>
      <c r="F115">
        <v>1979</v>
      </c>
      <c r="G115" s="7">
        <v>49.758314706931465</v>
      </c>
      <c r="H115" s="3">
        <f t="shared" si="45"/>
        <v>-1.8346239899924566</v>
      </c>
    </row>
    <row r="116" spans="1:19">
      <c r="A116">
        <v>1980</v>
      </c>
      <c r="B116" s="7">
        <v>68.85799256247951</v>
      </c>
      <c r="C116" s="3">
        <f t="shared" si="43"/>
        <v>10.588692886739302</v>
      </c>
      <c r="D116">
        <f t="shared" si="44"/>
        <v>0</v>
      </c>
      <c r="F116">
        <v>1980</v>
      </c>
      <c r="G116" s="7">
        <v>68.85799256247951</v>
      </c>
      <c r="H116" s="3">
        <f t="shared" si="45"/>
        <v>-3.5295642955797675</v>
      </c>
      <c r="J116" t="s">
        <v>267</v>
      </c>
      <c r="K116" t="s">
        <v>268</v>
      </c>
      <c r="L116" t="s">
        <v>266</v>
      </c>
      <c r="Q116" t="s">
        <v>267</v>
      </c>
      <c r="R116" t="s">
        <v>268</v>
      </c>
      <c r="S116" t="s">
        <v>266</v>
      </c>
    </row>
    <row r="117" spans="1:19">
      <c r="A117">
        <v>1981</v>
      </c>
      <c r="B117" s="7">
        <v>74.251447206907059</v>
      </c>
      <c r="C117" s="3">
        <f t="shared" si="43"/>
        <v>15.391148861418417</v>
      </c>
      <c r="D117">
        <f t="shared" si="44"/>
        <v>0</v>
      </c>
      <c r="F117">
        <v>1981</v>
      </c>
      <c r="G117" s="7">
        <v>74.251447206907059</v>
      </c>
      <c r="H117" s="3">
        <f t="shared" si="45"/>
        <v>-5.130382953806139</v>
      </c>
      <c r="I117" s="23">
        <v>2019</v>
      </c>
      <c r="J117" s="24">
        <v>0.34</v>
      </c>
      <c r="K117" s="24">
        <v>0.34</v>
      </c>
      <c r="L117" s="24">
        <v>0.34</v>
      </c>
      <c r="Q117" s="24">
        <v>0.5</v>
      </c>
      <c r="R117" s="24">
        <v>0.5</v>
      </c>
      <c r="S117" s="24">
        <v>0.5</v>
      </c>
    </row>
    <row r="118" spans="1:19">
      <c r="A118">
        <v>1982</v>
      </c>
      <c r="B118" s="7">
        <v>68.060300646238474</v>
      </c>
      <c r="C118" s="3">
        <f t="shared" si="43"/>
        <v>17.165711740023774</v>
      </c>
      <c r="D118">
        <f t="shared" si="44"/>
        <v>0</v>
      </c>
      <c r="F118">
        <v>1982</v>
      </c>
      <c r="G118" s="7">
        <v>68.060300646238474</v>
      </c>
      <c r="H118" s="3">
        <f t="shared" si="45"/>
        <v>-5.7219039133412579</v>
      </c>
      <c r="I118" s="23">
        <v>2020</v>
      </c>
      <c r="J118" s="24">
        <v>0.33</v>
      </c>
      <c r="K118" s="24">
        <v>0.33</v>
      </c>
      <c r="L118" s="24">
        <v>0.33</v>
      </c>
      <c r="Q118" s="24">
        <v>0.5</v>
      </c>
      <c r="R118" s="24">
        <v>0.5</v>
      </c>
      <c r="S118" s="24">
        <v>0.5</v>
      </c>
    </row>
    <row r="119" spans="1:19">
      <c r="A119">
        <v>1983</v>
      </c>
      <c r="B119" s="7">
        <v>59.41719782913038</v>
      </c>
      <c r="C119" s="3">
        <f t="shared" si="43"/>
        <v>13.356775426568738</v>
      </c>
      <c r="D119">
        <f t="shared" si="44"/>
        <v>0</v>
      </c>
      <c r="F119">
        <v>1983</v>
      </c>
      <c r="G119" s="7">
        <v>59.41719782913038</v>
      </c>
      <c r="H119" s="3">
        <f t="shared" si="45"/>
        <v>-4.4522584755229131</v>
      </c>
      <c r="I119" s="23">
        <v>2021</v>
      </c>
      <c r="J119" s="6">
        <v>0.435</v>
      </c>
      <c r="K119" s="6">
        <v>0.4975</v>
      </c>
      <c r="L119" s="6">
        <v>0.3725</v>
      </c>
      <c r="Q119" s="6">
        <v>0.5</v>
      </c>
      <c r="R119" s="6">
        <v>0.375</v>
      </c>
      <c r="S119" s="6">
        <v>0.625</v>
      </c>
    </row>
    <row r="120" spans="1:19">
      <c r="A120">
        <v>1984</v>
      </c>
      <c r="B120" s="7">
        <v>58.49701537504626</v>
      </c>
      <c r="C120" s="3">
        <f t="shared" si="43"/>
        <v>9.7390588617428335</v>
      </c>
      <c r="D120">
        <f t="shared" si="44"/>
        <v>0</v>
      </c>
      <c r="F120">
        <v>1984</v>
      </c>
      <c r="G120" s="7">
        <v>58.49701537504626</v>
      </c>
      <c r="H120" s="3">
        <f t="shared" si="45"/>
        <v>-3.2463529539142777</v>
      </c>
      <c r="I120" s="23">
        <v>2022</v>
      </c>
      <c r="J120" s="6">
        <v>0.54</v>
      </c>
      <c r="K120" s="6">
        <v>0.66500000000000004</v>
      </c>
      <c r="L120" s="6">
        <v>0.41499999999999998</v>
      </c>
      <c r="Q120" s="6">
        <v>0.5</v>
      </c>
      <c r="R120" s="6">
        <v>0.25</v>
      </c>
      <c r="S120" s="6">
        <v>0.75</v>
      </c>
    </row>
    <row r="121" spans="1:19">
      <c r="A121" s="12">
        <v>1985</v>
      </c>
      <c r="B121" s="7">
        <v>52.786815702870925</v>
      </c>
      <c r="C121" s="3">
        <f t="shared" si="43"/>
        <v>6.8140210873173341</v>
      </c>
      <c r="D121">
        <f t="shared" si="44"/>
        <v>0</v>
      </c>
      <c r="F121" s="12">
        <v>1985</v>
      </c>
      <c r="G121" s="7">
        <v>52.786815702870925</v>
      </c>
      <c r="H121" s="3">
        <f t="shared" si="45"/>
        <v>-2.2713403624391115</v>
      </c>
      <c r="I121" s="23">
        <v>2023</v>
      </c>
      <c r="J121" s="6">
        <v>0.64500000000000002</v>
      </c>
      <c r="K121" s="6">
        <v>0.83250000000000002</v>
      </c>
      <c r="L121" s="6">
        <v>0.45749999999999996</v>
      </c>
      <c r="Q121" s="6">
        <v>0.5</v>
      </c>
      <c r="R121" s="6">
        <v>0.125</v>
      </c>
      <c r="S121" s="6">
        <v>0.875</v>
      </c>
    </row>
    <row r="122" spans="1:19">
      <c r="A122">
        <v>1986</v>
      </c>
      <c r="B122" s="7">
        <v>25.378370676486295</v>
      </c>
      <c r="C122" s="3">
        <f t="shared" si="43"/>
        <v>5.1887302407861879</v>
      </c>
      <c r="D122" s="3">
        <f t="shared" si="44"/>
        <v>2.7874999999983885E-2</v>
      </c>
      <c r="F122">
        <v>1986</v>
      </c>
      <c r="G122" s="7">
        <v>25.378370676486295</v>
      </c>
      <c r="H122" s="3">
        <f t="shared" si="45"/>
        <v>-1.7295767469287293</v>
      </c>
      <c r="I122" s="23">
        <v>2024</v>
      </c>
      <c r="J122" s="156">
        <v>0.75</v>
      </c>
      <c r="K122" s="156">
        <v>1</v>
      </c>
      <c r="L122" s="156">
        <v>0.5</v>
      </c>
      <c r="Q122" s="157">
        <v>0.5</v>
      </c>
      <c r="R122" s="157">
        <v>0</v>
      </c>
      <c r="S122" s="156">
        <v>1</v>
      </c>
    </row>
    <row r="123" spans="1:19">
      <c r="A123">
        <v>1987</v>
      </c>
      <c r="B123" s="7">
        <v>28.326737977139747</v>
      </c>
      <c r="C123" s="3">
        <f t="shared" si="43"/>
        <v>4.1308486413962173</v>
      </c>
      <c r="D123" s="3">
        <f t="shared" si="44"/>
        <v>-0.28450799121705117</v>
      </c>
      <c r="F123">
        <v>1987</v>
      </c>
      <c r="G123" s="7">
        <v>28.326737977139747</v>
      </c>
      <c r="H123" s="3">
        <f t="shared" si="45"/>
        <v>-1.3769495471320725</v>
      </c>
      <c r="I123" s="23">
        <v>2025</v>
      </c>
      <c r="J123" s="6">
        <v>0.7857142857142857</v>
      </c>
      <c r="K123" s="6">
        <v>1.0714285714285714</v>
      </c>
      <c r="L123" s="6">
        <v>0.51428571428571423</v>
      </c>
      <c r="Q123" s="6">
        <v>0.5</v>
      </c>
      <c r="R123" s="6">
        <v>0</v>
      </c>
      <c r="S123" s="6">
        <v>1</v>
      </c>
    </row>
    <row r="124" spans="1:19">
      <c r="A124">
        <v>1988</v>
      </c>
      <c r="B124" s="7">
        <v>21.925556419614566</v>
      </c>
      <c r="C124" s="3">
        <f t="shared" si="43"/>
        <v>3.4107239787187495</v>
      </c>
      <c r="D124" s="3">
        <f t="shared" si="44"/>
        <v>0.36123401756591456</v>
      </c>
      <c r="F124">
        <v>1988</v>
      </c>
      <c r="G124" s="7">
        <v>21.925556419614566</v>
      </c>
      <c r="H124" s="3">
        <f t="shared" si="45"/>
        <v>-1.1369079929062498</v>
      </c>
      <c r="I124" s="23">
        <v>2026</v>
      </c>
      <c r="J124" s="6">
        <v>0.8214285714285714</v>
      </c>
      <c r="K124" s="6">
        <v>1.1428571428571428</v>
      </c>
      <c r="L124" s="6">
        <v>0.52857142857142847</v>
      </c>
      <c r="Q124" s="6">
        <v>0.5</v>
      </c>
      <c r="R124" s="6">
        <v>0</v>
      </c>
      <c r="S124" s="6">
        <v>1</v>
      </c>
    </row>
    <row r="125" spans="1:19">
      <c r="A125">
        <v>1989</v>
      </c>
      <c r="B125" s="7">
        <v>26.913724633883639</v>
      </c>
      <c r="C125" s="3">
        <f t="shared" si="43"/>
        <v>3.0649764722246342</v>
      </c>
      <c r="D125" s="3">
        <f t="shared" si="44"/>
        <v>-2.4148973651119121E-2</v>
      </c>
      <c r="F125">
        <v>1989</v>
      </c>
      <c r="G125" s="7">
        <v>26.913724633883639</v>
      </c>
      <c r="H125" s="3">
        <f t="shared" si="45"/>
        <v>-1.0216588240748781</v>
      </c>
      <c r="I125" s="23">
        <v>2027</v>
      </c>
      <c r="J125" s="6">
        <v>0.8571428571428571</v>
      </c>
      <c r="K125" s="6">
        <v>1.2142857142857142</v>
      </c>
      <c r="L125" s="6">
        <v>0.5428571428571427</v>
      </c>
      <c r="Q125" s="6">
        <v>0.5</v>
      </c>
      <c r="R125" s="6">
        <v>0</v>
      </c>
      <c r="S125" s="6">
        <v>1</v>
      </c>
    </row>
    <row r="126" spans="1:19">
      <c r="A126">
        <v>1990</v>
      </c>
      <c r="B126" s="7">
        <v>30.126983820590109</v>
      </c>
      <c r="C126" s="3">
        <f t="shared" si="43"/>
        <v>2.988720842332615</v>
      </c>
      <c r="D126" s="3">
        <f t="shared" si="44"/>
        <v>0.21096803513183993</v>
      </c>
      <c r="F126">
        <v>1990</v>
      </c>
      <c r="G126" s="7">
        <v>30.126983820590109</v>
      </c>
      <c r="H126" s="3">
        <f t="shared" si="45"/>
        <v>-0.99624028077753835</v>
      </c>
      <c r="I126" s="23">
        <v>2028</v>
      </c>
      <c r="J126" s="6">
        <v>0.89285714285714279</v>
      </c>
      <c r="K126" s="6">
        <v>1.2857142857142856</v>
      </c>
      <c r="L126" s="6">
        <v>0.55714285714285694</v>
      </c>
      <c r="Q126" s="6">
        <v>0.5</v>
      </c>
      <c r="R126" s="6">
        <v>0</v>
      </c>
      <c r="S126" s="6">
        <v>1</v>
      </c>
    </row>
    <row r="127" spans="1:19">
      <c r="A127">
        <v>1991</v>
      </c>
      <c r="B127" s="7">
        <v>25.217583773540373</v>
      </c>
      <c r="C127" s="3">
        <f t="shared" si="43"/>
        <v>4.4464048025183223</v>
      </c>
      <c r="D127" s="3">
        <f t="shared" si="44"/>
        <v>-0.92266495608519961</v>
      </c>
      <c r="F127">
        <v>1991</v>
      </c>
      <c r="G127" s="7">
        <v>25.217583773540373</v>
      </c>
      <c r="H127" s="3">
        <f t="shared" si="45"/>
        <v>-1.4821349341727741</v>
      </c>
      <c r="I127" s="23">
        <v>2029</v>
      </c>
      <c r="J127" s="6">
        <v>0.92857142857142849</v>
      </c>
      <c r="K127" s="6">
        <v>1.357142857142857</v>
      </c>
      <c r="L127" s="6">
        <v>0.57142857142857117</v>
      </c>
      <c r="Q127" s="6">
        <v>0.5</v>
      </c>
      <c r="R127" s="6">
        <v>0</v>
      </c>
      <c r="S127" s="6">
        <v>1</v>
      </c>
    </row>
    <row r="128" spans="1:19">
      <c r="A128">
        <v>1992</v>
      </c>
      <c r="B128" s="7">
        <v>22.718200420677974</v>
      </c>
      <c r="C128" s="3">
        <f t="shared" si="43"/>
        <v>5.398251640032603</v>
      </c>
      <c r="D128" s="3">
        <f t="shared" si="44"/>
        <v>-0.14917294730223851</v>
      </c>
      <c r="F128">
        <v>1992</v>
      </c>
      <c r="G128" s="7">
        <v>22.718200420677974</v>
      </c>
      <c r="H128" s="3">
        <f t="shared" si="45"/>
        <v>-1.799417213344201</v>
      </c>
      <c r="I128" s="23">
        <v>2030</v>
      </c>
      <c r="J128" s="6">
        <v>0.96428571428571419</v>
      </c>
      <c r="K128" s="6">
        <v>1.4285714285714284</v>
      </c>
      <c r="L128" s="6">
        <v>0.58571428571428541</v>
      </c>
      <c r="Q128" s="6">
        <v>0.5</v>
      </c>
      <c r="R128" s="6">
        <v>0</v>
      </c>
      <c r="S128" s="6">
        <v>1</v>
      </c>
    </row>
    <row r="129" spans="1:19">
      <c r="A129">
        <v>1993</v>
      </c>
      <c r="B129" s="7">
        <v>19.927916307818762</v>
      </c>
      <c r="C129" s="3">
        <f t="shared" si="43"/>
        <v>5.1134837462619043</v>
      </c>
      <c r="D129" s="3">
        <f t="shared" si="44"/>
        <v>8.5944061480720535E-2</v>
      </c>
      <c r="F129">
        <v>1993</v>
      </c>
      <c r="G129" s="7">
        <v>19.927916307818762</v>
      </c>
      <c r="H129" s="3">
        <f t="shared" si="45"/>
        <v>-1.7044945820873014</v>
      </c>
      <c r="I129" s="23">
        <v>2031</v>
      </c>
      <c r="J129" s="156">
        <v>1</v>
      </c>
      <c r="K129" s="156">
        <v>1.5</v>
      </c>
      <c r="L129" s="156">
        <v>0.6</v>
      </c>
      <c r="Q129" s="156">
        <v>0.5</v>
      </c>
      <c r="R129" s="156">
        <v>0</v>
      </c>
      <c r="S129" s="156">
        <v>1</v>
      </c>
    </row>
    <row r="130" spans="1:19">
      <c r="A130">
        <v>1994</v>
      </c>
      <c r="B130" s="7">
        <v>17.610224664640008</v>
      </c>
      <c r="C130" s="3">
        <f t="shared" si="43"/>
        <v>3.9636193404704922</v>
      </c>
      <c r="D130" s="3">
        <f t="shared" si="44"/>
        <v>-5.3063929736314464E-2</v>
      </c>
      <c r="F130">
        <v>1994</v>
      </c>
      <c r="G130" s="7">
        <v>17.610224664640008</v>
      </c>
      <c r="H130" s="3">
        <f t="shared" si="45"/>
        <v>-1.3212064468234974</v>
      </c>
      <c r="I130" s="23">
        <v>2032</v>
      </c>
      <c r="J130" s="156">
        <v>1</v>
      </c>
      <c r="K130" s="156">
        <v>1.5</v>
      </c>
      <c r="L130" s="156">
        <v>0.6</v>
      </c>
      <c r="Q130" s="156">
        <v>0.5</v>
      </c>
      <c r="R130" s="156">
        <v>0</v>
      </c>
      <c r="S130" s="156">
        <v>1</v>
      </c>
    </row>
    <row r="131" spans="1:19">
      <c r="A131">
        <v>1995</v>
      </c>
      <c r="B131" s="7">
        <v>17.329574131880065</v>
      </c>
      <c r="C131" s="3">
        <f t="shared" si="43"/>
        <v>3.324284065361244</v>
      </c>
      <c r="D131" s="3">
        <f t="shared" si="44"/>
        <v>0.27330307904664508</v>
      </c>
      <c r="F131">
        <v>1995</v>
      </c>
      <c r="G131" s="7">
        <v>17.329574131880065</v>
      </c>
      <c r="H131" s="3">
        <f t="shared" si="45"/>
        <v>-1.1080946884537479</v>
      </c>
      <c r="I131" s="23">
        <v>2033</v>
      </c>
      <c r="J131" s="156">
        <v>1</v>
      </c>
      <c r="K131" s="156">
        <v>1.5</v>
      </c>
      <c r="L131" s="156">
        <v>0.6</v>
      </c>
      <c r="Q131" s="156">
        <v>0.5</v>
      </c>
      <c r="R131" s="156">
        <v>0</v>
      </c>
      <c r="S131" s="156">
        <v>1</v>
      </c>
    </row>
    <row r="132" spans="1:19">
      <c r="A132">
        <v>1996</v>
      </c>
      <c r="B132" s="7">
        <v>21.194578827543335</v>
      </c>
      <c r="C132" s="3">
        <f t="shared" si="43"/>
        <v>3.1783578357661546</v>
      </c>
      <c r="D132" s="3">
        <f t="shared" si="44"/>
        <v>2.3334200878296052</v>
      </c>
      <c r="F132">
        <v>1996</v>
      </c>
      <c r="G132" s="7">
        <v>21.194578827543335</v>
      </c>
      <c r="H132" s="3">
        <f t="shared" si="45"/>
        <v>-1.0594526119220515</v>
      </c>
      <c r="I132" s="23">
        <v>2034</v>
      </c>
      <c r="J132" s="156">
        <v>1</v>
      </c>
      <c r="K132" s="156">
        <v>1.5</v>
      </c>
      <c r="L132" s="156">
        <v>0.6</v>
      </c>
      <c r="Q132" s="156">
        <v>0.5</v>
      </c>
      <c r="R132" s="156">
        <v>0</v>
      </c>
      <c r="S132" s="156">
        <v>1</v>
      </c>
    </row>
    <row r="133" spans="1:19">
      <c r="A133">
        <v>1997</v>
      </c>
      <c r="B133" s="7">
        <v>20.392921748364621</v>
      </c>
      <c r="C133" s="3">
        <f t="shared" si="43"/>
        <v>2.3359560950233451</v>
      </c>
      <c r="D133" s="3">
        <f t="shared" si="44"/>
        <v>3.2985370966125682</v>
      </c>
      <c r="F133">
        <v>1997</v>
      </c>
      <c r="G133" s="7">
        <v>20.392921748364621</v>
      </c>
      <c r="H133" s="3">
        <f t="shared" si="45"/>
        <v>-0.7786520316744483</v>
      </c>
      <c r="I133" s="23">
        <v>2035</v>
      </c>
      <c r="J133" s="156">
        <v>1</v>
      </c>
      <c r="K133" s="156">
        <v>1.5</v>
      </c>
      <c r="L133" s="156">
        <v>0.6</v>
      </c>
      <c r="Q133" s="156">
        <v>0.5</v>
      </c>
      <c r="R133" s="156">
        <v>0</v>
      </c>
      <c r="S133" s="156">
        <v>1</v>
      </c>
    </row>
    <row r="134" spans="1:19">
      <c r="A134">
        <v>1998</v>
      </c>
      <c r="B134" s="7">
        <v>14.205952566041114</v>
      </c>
      <c r="C134" s="3">
        <f t="shared" si="43"/>
        <v>3.1516098834569792</v>
      </c>
      <c r="D134" s="3">
        <f t="shared" si="44"/>
        <v>1.5261541053955341</v>
      </c>
      <c r="F134">
        <v>1998</v>
      </c>
      <c r="G134" s="7">
        <v>14.205952566041114</v>
      </c>
      <c r="H134" s="3">
        <f t="shared" si="45"/>
        <v>-1.0505366278189932</v>
      </c>
      <c r="I134" s="23">
        <v>2036</v>
      </c>
      <c r="J134" s="156">
        <v>1</v>
      </c>
      <c r="K134" s="156">
        <v>1.5</v>
      </c>
      <c r="L134" s="156">
        <v>0.6</v>
      </c>
      <c r="Q134" s="156">
        <v>0.5</v>
      </c>
      <c r="R134" s="156">
        <v>0</v>
      </c>
      <c r="S134" s="156">
        <v>1</v>
      </c>
    </row>
    <row r="135" spans="1:19">
      <c r="A135">
        <v>1999</v>
      </c>
      <c r="B135" s="7">
        <v>16.764550201840873</v>
      </c>
      <c r="C135" s="3">
        <f t="shared" si="43"/>
        <v>4.8694831534998153</v>
      </c>
      <c r="D135" s="3">
        <f t="shared" si="44"/>
        <v>-0.42872888582150104</v>
      </c>
      <c r="F135">
        <v>1999</v>
      </c>
      <c r="G135" s="7">
        <v>16.764550201840873</v>
      </c>
      <c r="H135" s="3">
        <f t="shared" si="45"/>
        <v>-1.623161051166605</v>
      </c>
      <c r="I135" s="23">
        <v>2037</v>
      </c>
      <c r="J135" s="156">
        <v>1</v>
      </c>
      <c r="K135" s="156">
        <v>1.5</v>
      </c>
      <c r="L135" s="156">
        <v>0.6</v>
      </c>
      <c r="Q135" s="156">
        <v>0.5</v>
      </c>
      <c r="R135" s="156">
        <v>0</v>
      </c>
      <c r="S135" s="156">
        <v>1</v>
      </c>
    </row>
    <row r="136" spans="1:19">
      <c r="A136">
        <v>2000</v>
      </c>
      <c r="B136" s="7">
        <v>26.54152388194677</v>
      </c>
      <c r="C136" s="3">
        <f t="shared" si="43"/>
        <v>6.4575491098054432</v>
      </c>
      <c r="D136" s="3">
        <f t="shared" si="44"/>
        <v>3.1826381229614586</v>
      </c>
      <c r="F136">
        <v>2000</v>
      </c>
      <c r="G136" s="7">
        <v>26.54152388194677</v>
      </c>
      <c r="H136" s="3">
        <f t="shared" si="45"/>
        <v>-2.1525163699351477</v>
      </c>
      <c r="I136" s="23">
        <v>2038</v>
      </c>
      <c r="J136" s="156">
        <v>1</v>
      </c>
      <c r="K136" s="156">
        <v>1.5</v>
      </c>
      <c r="L136" s="156">
        <v>0.6</v>
      </c>
      <c r="Q136" s="156">
        <v>0.5</v>
      </c>
      <c r="R136" s="156">
        <v>0</v>
      </c>
      <c r="S136" s="156">
        <v>1</v>
      </c>
    </row>
    <row r="137" spans="1:19">
      <c r="A137">
        <v>2001</v>
      </c>
      <c r="B137" s="7">
        <v>22.406884041211946</v>
      </c>
      <c r="C137" s="3">
        <f t="shared" si="43"/>
        <v>7.9177902318869346</v>
      </c>
      <c r="D137" s="3">
        <f t="shared" si="44"/>
        <v>-0.50599486825557705</v>
      </c>
      <c r="F137">
        <v>2001</v>
      </c>
      <c r="G137" s="7">
        <v>22.406884041211946</v>
      </c>
      <c r="H137" s="3">
        <f t="shared" si="45"/>
        <v>-2.6392634106289781</v>
      </c>
      <c r="I137" s="23">
        <v>2039</v>
      </c>
      <c r="J137" s="156">
        <v>1</v>
      </c>
      <c r="K137" s="156">
        <v>1.5</v>
      </c>
      <c r="L137" s="156">
        <v>0.6</v>
      </c>
      <c r="Q137" s="156">
        <v>0.5</v>
      </c>
      <c r="R137" s="156">
        <v>0</v>
      </c>
      <c r="S137" s="156">
        <v>1</v>
      </c>
    </row>
    <row r="138" spans="1:19">
      <c r="A138">
        <v>2002</v>
      </c>
      <c r="B138" s="7">
        <v>22.736945637603462</v>
      </c>
      <c r="C138" s="3">
        <f t="shared" si="43"/>
        <v>8.0278020051518357</v>
      </c>
      <c r="D138" s="3">
        <f t="shared" si="44"/>
        <v>-2.0958778594726102</v>
      </c>
      <c r="F138">
        <v>2002</v>
      </c>
      <c r="G138" s="7">
        <v>22.736945637603462</v>
      </c>
      <c r="H138" s="3">
        <f t="shared" si="45"/>
        <v>-2.6759340017172786</v>
      </c>
      <c r="I138" s="23">
        <v>2040</v>
      </c>
      <c r="J138" s="156">
        <v>1</v>
      </c>
      <c r="K138" s="156">
        <v>1.5</v>
      </c>
      <c r="L138" s="156">
        <v>0.6</v>
      </c>
      <c r="Q138" s="156">
        <v>0.5</v>
      </c>
      <c r="R138" s="156">
        <v>0</v>
      </c>
      <c r="S138" s="156">
        <v>1</v>
      </c>
    </row>
    <row r="139" spans="1:19">
      <c r="A139">
        <v>2003</v>
      </c>
      <c r="B139" s="7">
        <v>23.721167813751634</v>
      </c>
      <c r="C139" s="3">
        <f t="shared" si="43"/>
        <v>7.1538415508345325</v>
      </c>
      <c r="D139" s="3">
        <f t="shared" si="44"/>
        <v>1.0592391493103559</v>
      </c>
      <c r="F139">
        <v>2003</v>
      </c>
      <c r="G139" s="7">
        <v>23.721167813751634</v>
      </c>
      <c r="H139" s="3">
        <f t="shared" si="45"/>
        <v>-2.3846138502781775</v>
      </c>
    </row>
    <row r="140" spans="1:19">
      <c r="A140">
        <v>2004</v>
      </c>
      <c r="B140" s="7">
        <v>28.100482104718832</v>
      </c>
      <c r="C140" s="3">
        <f t="shared" si="43"/>
        <v>5.3892907293598693</v>
      </c>
      <c r="D140" s="3">
        <f t="shared" si="44"/>
        <v>2.0243561580933189</v>
      </c>
      <c r="F140">
        <v>2004</v>
      </c>
      <c r="G140" s="7">
        <v>28.100482104718832</v>
      </c>
      <c r="H140" s="3">
        <f t="shared" si="45"/>
        <v>-1.7964302431199564</v>
      </c>
    </row>
    <row r="141" spans="1:19">
      <c r="A141">
        <v>2005</v>
      </c>
      <c r="B141" s="7">
        <v>38.395251293511997</v>
      </c>
      <c r="C141" s="3">
        <f t="shared" si="43"/>
        <v>6.2392727017088374</v>
      </c>
      <c r="D141" s="3">
        <f t="shared" si="44"/>
        <v>1.1644731668762809</v>
      </c>
      <c r="F141">
        <v>2005</v>
      </c>
      <c r="G141" s="7">
        <v>38.395251293511997</v>
      </c>
      <c r="H141" s="3">
        <f t="shared" si="45"/>
        <v>-2.0797575672362791</v>
      </c>
    </row>
    <row r="142" spans="1:19">
      <c r="A142">
        <v>2006</v>
      </c>
      <c r="B142" s="7">
        <v>44.865261126876618</v>
      </c>
      <c r="C142" s="3">
        <f t="shared" si="43"/>
        <v>10.281973745842832</v>
      </c>
      <c r="D142" s="3">
        <f t="shared" si="44"/>
        <v>1.8558401756592424</v>
      </c>
      <c r="F142">
        <v>2006</v>
      </c>
      <c r="G142" s="7">
        <v>44.865261126876618</v>
      </c>
      <c r="H142" s="3">
        <f t="shared" si="45"/>
        <v>-3.4273245819476106</v>
      </c>
    </row>
    <row r="143" spans="1:19">
      <c r="A143">
        <v>2007</v>
      </c>
      <c r="B143" s="7">
        <v>47.36583359030093</v>
      </c>
      <c r="C143" s="3">
        <f t="shared" si="43"/>
        <v>12.084631293976173</v>
      </c>
      <c r="D143" s="3">
        <f t="shared" si="44"/>
        <v>8.6314491932251691</v>
      </c>
      <c r="F143">
        <v>2007</v>
      </c>
      <c r="G143" s="7">
        <v>47.36583359030093</v>
      </c>
      <c r="H143" s="3">
        <f t="shared" si="45"/>
        <v>-4.028210431325391</v>
      </c>
    </row>
    <row r="144" spans="1:19">
      <c r="A144">
        <v>2008</v>
      </c>
      <c r="B144" s="7">
        <v>60.41110623004873</v>
      </c>
      <c r="C144" s="3">
        <f t="shared" si="43"/>
        <v>9.6189992218590632</v>
      </c>
      <c r="D144" s="3">
        <f t="shared" si="44"/>
        <v>9.8429412020081308</v>
      </c>
      <c r="F144">
        <v>2008</v>
      </c>
      <c r="G144" s="7">
        <v>60.41110623004873</v>
      </c>
      <c r="H144" s="3">
        <f t="shared" si="45"/>
        <v>-3.2063330739530214</v>
      </c>
    </row>
    <row r="145" spans="1:8">
      <c r="A145">
        <v>2009</v>
      </c>
      <c r="B145" s="7">
        <v>40.250770631115643</v>
      </c>
      <c r="C145" s="3">
        <f t="shared" si="43"/>
        <v>6.5033530454038306</v>
      </c>
      <c r="D145" s="3">
        <f t="shared" si="44"/>
        <v>10.76243321079116</v>
      </c>
      <c r="F145">
        <v>2009</v>
      </c>
      <c r="G145" s="7">
        <v>40.250770631115643</v>
      </c>
      <c r="H145" s="3">
        <f t="shared" si="45"/>
        <v>-2.1677843484679435</v>
      </c>
    </row>
    <row r="146" spans="1:8">
      <c r="A146">
        <v>2010</v>
      </c>
      <c r="B146" s="7">
        <v>50.822862087170627</v>
      </c>
      <c r="C146" s="3">
        <f t="shared" si="43"/>
        <v>6.2052925016684517</v>
      </c>
      <c r="D146" s="3">
        <f t="shared" si="44"/>
        <v>10.388308210791157</v>
      </c>
      <c r="F146">
        <v>2010</v>
      </c>
      <c r="G146" s="7">
        <v>50.822862087170627</v>
      </c>
      <c r="H146" s="3">
        <f t="shared" si="45"/>
        <v>-2.0684308338894839</v>
      </c>
    </row>
    <row r="147" spans="1:8">
      <c r="A147">
        <v>2011</v>
      </c>
      <c r="B147" s="7">
        <v>65.864539914281522</v>
      </c>
      <c r="C147" s="3">
        <f t="shared" si="43"/>
        <v>7.0404095013645591</v>
      </c>
      <c r="D147" s="3">
        <f t="shared" si="44"/>
        <v>14.64968321079116</v>
      </c>
      <c r="F147">
        <v>2011</v>
      </c>
      <c r="G147" s="7">
        <v>65.864539914281522</v>
      </c>
      <c r="H147" s="3">
        <f t="shared" si="45"/>
        <v>-2.3468031671215197</v>
      </c>
    </row>
    <row r="148" spans="1:8">
      <c r="A148">
        <v>2012</v>
      </c>
      <c r="B148" s="7">
        <v>67.886985516243257</v>
      </c>
      <c r="C148" s="3">
        <f t="shared" si="43"/>
        <v>6.9357279876840545</v>
      </c>
      <c r="D148" s="3">
        <f t="shared" si="44"/>
        <v>13.299183210791163</v>
      </c>
      <c r="F148">
        <v>2012</v>
      </c>
      <c r="G148" s="7">
        <v>67.886985516243257</v>
      </c>
      <c r="H148" s="3">
        <f t="shared" si="45"/>
        <v>-2.3119093292280182</v>
      </c>
    </row>
    <row r="149" spans="1:8">
      <c r="A149">
        <v>2013</v>
      </c>
      <c r="B149" s="7">
        <v>65.311137437317441</v>
      </c>
      <c r="C149" s="3">
        <f t="shared" si="43"/>
        <v>5.806982750488304</v>
      </c>
      <c r="D149" s="3">
        <f t="shared" si="44"/>
        <v>14.813933210791168</v>
      </c>
      <c r="F149">
        <v>2013</v>
      </c>
      <c r="G149" s="7">
        <v>65.311137437317441</v>
      </c>
      <c r="H149" s="3">
        <f t="shared" si="45"/>
        <v>-1.9356609168294348</v>
      </c>
    </row>
    <row r="150" spans="1:8">
      <c r="A150">
        <v>2014</v>
      </c>
      <c r="B150" s="7">
        <v>58.509475805917226</v>
      </c>
      <c r="C150" s="3">
        <f t="shared" si="43"/>
        <v>4.2644013975538355</v>
      </c>
      <c r="D150" s="3">
        <f t="shared" si="44"/>
        <v>11.483308210791172</v>
      </c>
      <c r="F150">
        <v>2014</v>
      </c>
      <c r="G150" s="7">
        <v>58.509475805917226</v>
      </c>
      <c r="H150" s="3">
        <f t="shared" si="45"/>
        <v>-1.4214671325179451</v>
      </c>
    </row>
    <row r="151" spans="1:8">
      <c r="A151">
        <v>2015</v>
      </c>
      <c r="B151" s="7">
        <v>32.623358804674254</v>
      </c>
      <c r="C151" s="3">
        <f t="shared" si="43"/>
        <v>3.6992605119204045</v>
      </c>
      <c r="D151" s="3">
        <f t="shared" si="44"/>
        <v>4.7764332107911756</v>
      </c>
      <c r="F151">
        <v>2015</v>
      </c>
      <c r="G151" s="7">
        <v>32.623358804674254</v>
      </c>
      <c r="H151" s="3">
        <f t="shared" si="45"/>
        <v>-1.2330868373068016</v>
      </c>
    </row>
    <row r="152" spans="1:8">
      <c r="A152">
        <v>2016</v>
      </c>
      <c r="B152" s="7">
        <v>26.650767151737266</v>
      </c>
      <c r="C152" s="3">
        <f t="shared" si="43"/>
        <v>4.1220480709614202</v>
      </c>
      <c r="D152" s="3">
        <f t="shared" si="44"/>
        <v>3.5628082107911752</v>
      </c>
      <c r="F152">
        <v>2016</v>
      </c>
      <c r="G152" s="7">
        <v>26.650767151737266</v>
      </c>
      <c r="H152" s="3">
        <f t="shared" si="45"/>
        <v>-1.3740160236538068</v>
      </c>
    </row>
    <row r="153" spans="1:8">
      <c r="A153" s="25">
        <v>2017</v>
      </c>
      <c r="B153" s="7">
        <v>33.58932103739815</v>
      </c>
      <c r="C153" s="3">
        <f t="shared" si="43"/>
        <v>5.7530864781699105</v>
      </c>
      <c r="D153" s="3">
        <f t="shared" si="44"/>
        <v>5.3969332107911772</v>
      </c>
      <c r="F153" s="25">
        <v>2017</v>
      </c>
      <c r="G153" s="7">
        <v>33.58932103739815</v>
      </c>
      <c r="H153" s="3">
        <f t="shared" si="45"/>
        <v>-1.9176954927233036</v>
      </c>
    </row>
    <row r="154" spans="1:8">
      <c r="A154" s="25">
        <v>2018</v>
      </c>
      <c r="B154" s="7">
        <v>42.978527578386846</v>
      </c>
      <c r="C154" s="3">
        <f t="shared" si="43"/>
        <v>6.8452747863826762</v>
      </c>
      <c r="D154" s="3">
        <f t="shared" si="44"/>
        <v>3.9004332107911743</v>
      </c>
      <c r="F154" s="25">
        <v>2018</v>
      </c>
      <c r="G154" s="7">
        <v>42.978527578386846</v>
      </c>
      <c r="H154" s="3">
        <f t="shared" si="45"/>
        <v>-2.2817582621275587</v>
      </c>
    </row>
    <row r="155" spans="1:8">
      <c r="A155" s="25">
        <v>2019</v>
      </c>
      <c r="B155" s="7"/>
      <c r="C155" s="3">
        <f t="shared" ref="C155:C166" si="46">-G59*3</f>
        <v>6.4770535521817223</v>
      </c>
      <c r="D155" s="3">
        <f t="shared" ref="D155:D166" si="47">H59*10</f>
        <v>3.4000000000000004</v>
      </c>
    </row>
    <row r="156" spans="1:8">
      <c r="A156" s="25">
        <v>2020</v>
      </c>
      <c r="B156" s="7"/>
      <c r="C156" s="3">
        <f t="shared" si="46"/>
        <v>6.2475071568608493</v>
      </c>
      <c r="D156" s="3">
        <f t="shared" si="47"/>
        <v>3.3000000000000003</v>
      </c>
    </row>
    <row r="157" spans="1:8">
      <c r="A157" s="25">
        <v>2021</v>
      </c>
      <c r="B157" s="7"/>
      <c r="C157" s="3">
        <f t="shared" si="46"/>
        <v>6.9533887899597975</v>
      </c>
      <c r="D157" s="3">
        <f t="shared" si="47"/>
        <v>4.3499999999999996</v>
      </c>
    </row>
    <row r="158" spans="1:8">
      <c r="A158" s="25">
        <v>2022</v>
      </c>
      <c r="B158" s="7"/>
      <c r="C158" s="3">
        <f t="shared" si="46"/>
        <v>8.1429027787215773</v>
      </c>
      <c r="D158" s="3">
        <f t="shared" si="47"/>
        <v>5.4</v>
      </c>
    </row>
    <row r="159" spans="1:8">
      <c r="A159" s="25">
        <v>2023</v>
      </c>
      <c r="B159" s="7"/>
      <c r="C159" s="3">
        <f t="shared" si="46"/>
        <v>9.0116829059828945</v>
      </c>
      <c r="D159" s="3">
        <f t="shared" si="47"/>
        <v>6.45</v>
      </c>
    </row>
    <row r="160" spans="1:8">
      <c r="A160" s="25">
        <v>2024</v>
      </c>
      <c r="B160" s="7"/>
      <c r="C160" s="3">
        <f t="shared" si="46"/>
        <v>9.0808162379077295</v>
      </c>
      <c r="D160" s="3">
        <f t="shared" si="47"/>
        <v>7.5</v>
      </c>
    </row>
    <row r="161" spans="1:4">
      <c r="A161" s="25">
        <v>2025</v>
      </c>
      <c r="B161" s="7"/>
      <c r="C161" s="3">
        <f t="shared" si="46"/>
        <v>9.4193893649100353</v>
      </c>
      <c r="D161" s="3">
        <f t="shared" si="47"/>
        <v>8.5714285714285712</v>
      </c>
    </row>
    <row r="162" spans="1:4">
      <c r="A162" s="25">
        <v>2026</v>
      </c>
      <c r="B162" s="7"/>
      <c r="C162" s="3">
        <f t="shared" si="46"/>
        <v>10.191031622497437</v>
      </c>
      <c r="D162" s="3">
        <f t="shared" si="47"/>
        <v>9.6428571428571423</v>
      </c>
    </row>
    <row r="163" spans="1:4">
      <c r="A163" s="25">
        <v>2027</v>
      </c>
      <c r="B163" s="7"/>
      <c r="C163" s="3">
        <f t="shared" si="46"/>
        <v>10.809607296346265</v>
      </c>
      <c r="D163" s="3">
        <f t="shared" si="47"/>
        <v>10.714285714285714</v>
      </c>
    </row>
    <row r="164" spans="1:4">
      <c r="A164" s="25">
        <v>2028</v>
      </c>
      <c r="B164" s="7"/>
      <c r="C164" s="3">
        <f t="shared" si="46"/>
        <v>11.208911790604869</v>
      </c>
      <c r="D164" s="3">
        <f t="shared" si="47"/>
        <v>11.785714285714286</v>
      </c>
    </row>
    <row r="165" spans="1:4">
      <c r="A165" s="25">
        <v>2029</v>
      </c>
      <c r="B165" s="7"/>
      <c r="C165" s="3">
        <f t="shared" si="46"/>
        <v>11.437028992608685</v>
      </c>
      <c r="D165" s="3">
        <f t="shared" si="47"/>
        <v>12.857142857142858</v>
      </c>
    </row>
    <row r="166" spans="1:4">
      <c r="A166" s="25">
        <v>2030</v>
      </c>
      <c r="B166" s="7"/>
      <c r="C166" s="3">
        <f t="shared" si="46"/>
        <v>11.446177563589544</v>
      </c>
      <c r="D166" s="3">
        <f t="shared" si="47"/>
        <v>13.928571428571431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U172"/>
  <sheetViews>
    <sheetView zoomScale="75" zoomScaleNormal="75" workbookViewId="0">
      <pane xSplit="1" ySplit="4" topLeftCell="AL48" activePane="bottomRight" state="frozen"/>
      <selection activeCell="BN97" sqref="BN97"/>
      <selection pane="topRight" activeCell="BN97" sqref="BN97"/>
      <selection pane="bottomLeft" activeCell="BN97" sqref="BN97"/>
      <selection pane="bottomRight" activeCell="AQ42" sqref="AQ42:BH97"/>
    </sheetView>
  </sheetViews>
  <sheetFormatPr defaultRowHeight="15"/>
  <cols>
    <col min="1" max="1" width="6.7109375" customWidth="1"/>
    <col min="2" max="2" width="9.140625" customWidth="1"/>
    <col min="3" max="3" width="9.7109375" customWidth="1"/>
    <col min="4" max="5" width="10.42578125" customWidth="1"/>
    <col min="6" max="6" width="10.28515625" customWidth="1"/>
    <col min="7" max="9" width="9.28515625" bestFit="1" customWidth="1"/>
    <col min="10" max="10" width="9.28515625" style="12" bestFit="1" customWidth="1"/>
    <col min="11" max="12" width="9.28515625" bestFit="1" customWidth="1"/>
    <col min="13" max="14" width="9.85546875" customWidth="1"/>
    <col min="15" max="15" width="11.85546875" style="23" customWidth="1"/>
    <col min="16" max="16" width="11.5703125" style="7" customWidth="1"/>
    <col min="17" max="17" width="10.5703125" style="12" customWidth="1"/>
    <col min="18" max="18" width="8" style="23" customWidth="1"/>
    <col min="19" max="20" width="9.28515625" bestFit="1" customWidth="1"/>
    <col min="21" max="21" width="8" customWidth="1"/>
    <col min="22" max="22" width="9.28515625" bestFit="1" customWidth="1"/>
    <col min="23" max="23" width="10.5703125" style="23" customWidth="1"/>
    <col min="24" max="29" width="9.28515625" bestFit="1" customWidth="1"/>
    <col min="40" max="42" width="9.140625" style="3"/>
    <col min="43" max="43" width="6.7109375" style="3" customWidth="1"/>
    <col min="44" max="46" width="7.85546875" style="3" customWidth="1"/>
    <col min="47" max="47" width="7.42578125" style="3" customWidth="1"/>
    <col min="48" max="48" width="7.5703125" style="3" customWidth="1"/>
    <col min="49" max="49" width="2.85546875" style="3" customWidth="1"/>
    <col min="50" max="50" width="7.140625" style="3" customWidth="1"/>
    <col min="51" max="51" width="2.7109375" style="3" customWidth="1"/>
    <col min="52" max="52" width="8.42578125" style="3" customWidth="1"/>
    <col min="53" max="53" width="9.28515625" style="3" customWidth="1"/>
    <col min="54" max="54" width="9.140625" style="3"/>
    <col min="55" max="55" width="8.5703125" style="3" customWidth="1"/>
    <col min="56" max="56" width="9.5703125" style="3" customWidth="1"/>
    <col min="57" max="57" width="9.85546875" style="3" customWidth="1"/>
    <col min="58" max="58" width="5.5703125" style="3" customWidth="1"/>
    <col min="59" max="59" width="6.140625" style="3" customWidth="1"/>
    <col min="60" max="60" width="5.85546875" customWidth="1"/>
  </cols>
  <sheetData>
    <row r="1" spans="1:63">
      <c r="A1" s="23" t="s">
        <v>125</v>
      </c>
      <c r="B1" s="23"/>
      <c r="C1" s="23"/>
      <c r="G1" s="8" t="s">
        <v>121</v>
      </c>
      <c r="H1" t="s">
        <v>3</v>
      </c>
      <c r="I1" t="s">
        <v>3</v>
      </c>
      <c r="J1" t="s">
        <v>3</v>
      </c>
      <c r="K1" s="12"/>
      <c r="L1" s="12"/>
      <c r="M1" s="12"/>
      <c r="N1" s="12"/>
      <c r="O1"/>
      <c r="P1"/>
      <c r="Q1"/>
      <c r="R1"/>
      <c r="S1" s="23"/>
      <c r="T1" s="7"/>
      <c r="U1" s="12"/>
      <c r="V1" s="23"/>
      <c r="W1"/>
      <c r="AA1" s="23"/>
      <c r="AN1"/>
      <c r="AO1"/>
      <c r="AP1"/>
      <c r="AQ1"/>
      <c r="AR1" s="3" t="s">
        <v>1851</v>
      </c>
      <c r="AZ1" s="3" t="s">
        <v>2038</v>
      </c>
      <c r="BH1" s="3"/>
      <c r="BI1" s="3"/>
      <c r="BJ1" s="3"/>
      <c r="BK1" s="3"/>
    </row>
    <row r="2" spans="1:63">
      <c r="D2" t="s">
        <v>45</v>
      </c>
      <c r="F2" t="s">
        <v>46</v>
      </c>
      <c r="H2" s="3" t="s">
        <v>1851</v>
      </c>
      <c r="I2" s="3" t="s">
        <v>1851</v>
      </c>
      <c r="J2" s="3" t="s">
        <v>1851</v>
      </c>
      <c r="K2" s="12"/>
      <c r="L2" s="12"/>
      <c r="M2" s="12"/>
      <c r="N2" s="12"/>
      <c r="O2" s="3" t="s">
        <v>1851</v>
      </c>
      <c r="P2"/>
      <c r="Q2"/>
      <c r="R2" s="23" t="s">
        <v>125</v>
      </c>
      <c r="S2" s="23"/>
      <c r="T2" s="24" t="s">
        <v>125</v>
      </c>
      <c r="U2" s="26" t="s">
        <v>142</v>
      </c>
      <c r="V2" s="23"/>
      <c r="W2" s="23" t="s">
        <v>125</v>
      </c>
      <c r="AA2" s="23"/>
      <c r="AB2" s="23" t="s">
        <v>125</v>
      </c>
      <c r="AC2" s="23" t="s">
        <v>125</v>
      </c>
      <c r="AD2" s="23" t="s">
        <v>125</v>
      </c>
      <c r="AE2" s="23" t="s">
        <v>125</v>
      </c>
      <c r="AF2" s="23" t="s">
        <v>125</v>
      </c>
      <c r="AG2" t="s">
        <v>113</v>
      </c>
      <c r="AN2"/>
      <c r="AO2"/>
      <c r="AP2"/>
      <c r="AQ2"/>
      <c r="BH2" s="3"/>
      <c r="BI2" s="3"/>
      <c r="BJ2" s="3"/>
      <c r="BK2" s="3"/>
    </row>
    <row r="3" spans="1:63">
      <c r="B3" t="s">
        <v>182</v>
      </c>
      <c r="C3" t="s">
        <v>218</v>
      </c>
      <c r="D3" s="23" t="s">
        <v>125</v>
      </c>
      <c r="F3" s="23" t="s">
        <v>125</v>
      </c>
      <c r="H3" s="23" t="s">
        <v>125</v>
      </c>
      <c r="I3" s="23" t="s">
        <v>125</v>
      </c>
      <c r="J3" s="23" t="s">
        <v>125</v>
      </c>
      <c r="K3" s="12"/>
      <c r="L3" s="12"/>
      <c r="M3" s="12"/>
      <c r="N3" s="12"/>
      <c r="O3" s="23" t="s">
        <v>125</v>
      </c>
      <c r="P3" t="s">
        <v>25</v>
      </c>
      <c r="Q3" s="3" t="s">
        <v>1851</v>
      </c>
      <c r="R3" t="s">
        <v>5</v>
      </c>
      <c r="S3" s="23"/>
      <c r="T3" s="30" t="s">
        <v>133</v>
      </c>
      <c r="U3" s="26" t="s">
        <v>133</v>
      </c>
      <c r="V3" s="23"/>
      <c r="W3" s="3" t="s">
        <v>128</v>
      </c>
      <c r="X3" s="3"/>
      <c r="Y3" s="3"/>
      <c r="Z3" s="3"/>
      <c r="AA3" s="23"/>
      <c r="AB3" t="s">
        <v>61</v>
      </c>
      <c r="AC3" t="s">
        <v>61</v>
      </c>
      <c r="AD3" t="s">
        <v>61</v>
      </c>
      <c r="AE3" t="s">
        <v>61</v>
      </c>
      <c r="AF3" s="26" t="s">
        <v>61</v>
      </c>
      <c r="AG3" t="s">
        <v>61</v>
      </c>
      <c r="AN3"/>
      <c r="AO3"/>
      <c r="AP3"/>
      <c r="AQ3" s="46" t="s">
        <v>2103</v>
      </c>
      <c r="AR3" s="46" t="s">
        <v>1851</v>
      </c>
      <c r="AS3" s="46" t="s">
        <v>1851</v>
      </c>
      <c r="AT3" s="46" t="s">
        <v>1851</v>
      </c>
      <c r="AU3" s="46" t="s">
        <v>1851</v>
      </c>
      <c r="AV3" s="46" t="s">
        <v>1851</v>
      </c>
      <c r="AX3" s="46"/>
      <c r="AZ3" s="46" t="s">
        <v>2113</v>
      </c>
      <c r="BA3" s="46" t="s">
        <v>2113</v>
      </c>
      <c r="BB3" s="46" t="s">
        <v>2113</v>
      </c>
      <c r="BC3" s="46" t="s">
        <v>2113</v>
      </c>
      <c r="BD3" s="46" t="s">
        <v>2113</v>
      </c>
      <c r="BE3" s="46" t="s">
        <v>2114</v>
      </c>
      <c r="BF3" s="46" t="s">
        <v>2098</v>
      </c>
      <c r="BG3" s="46" t="s">
        <v>2098</v>
      </c>
      <c r="BH3" s="46" t="s">
        <v>2098</v>
      </c>
      <c r="BI3" s="3"/>
      <c r="BJ3" s="46" t="s">
        <v>2443</v>
      </c>
      <c r="BK3" s="46" t="s">
        <v>2443</v>
      </c>
    </row>
    <row r="4" spans="1:63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s="29" t="s">
        <v>110</v>
      </c>
      <c r="J4" s="26" t="s">
        <v>135</v>
      </c>
      <c r="K4" s="3" t="s">
        <v>1851</v>
      </c>
      <c r="L4" s="3" t="s">
        <v>1852</v>
      </c>
      <c r="M4" s="3" t="s">
        <v>1693</v>
      </c>
      <c r="N4" s="3" t="s">
        <v>1703</v>
      </c>
      <c r="O4" s="29" t="s">
        <v>8</v>
      </c>
      <c r="P4" t="s">
        <v>9</v>
      </c>
      <c r="Q4" s="29" t="s">
        <v>145</v>
      </c>
      <c r="R4" t="s">
        <v>10</v>
      </c>
      <c r="S4" s="23"/>
      <c r="T4" s="30" t="s">
        <v>101</v>
      </c>
      <c r="U4" s="26" t="s">
        <v>103</v>
      </c>
      <c r="V4" s="23"/>
      <c r="W4" s="13" t="s">
        <v>229</v>
      </c>
      <c r="X4" s="3" t="s">
        <v>163</v>
      </c>
      <c r="Y4" s="3" t="s">
        <v>164</v>
      </c>
      <c r="Z4" s="3" t="s">
        <v>148</v>
      </c>
      <c r="AA4" s="23"/>
      <c r="AB4" t="s">
        <v>109</v>
      </c>
      <c r="AC4" t="s">
        <v>111</v>
      </c>
      <c r="AD4" t="s">
        <v>152</v>
      </c>
      <c r="AE4" t="s">
        <v>112</v>
      </c>
      <c r="AF4" s="26" t="s">
        <v>87</v>
      </c>
      <c r="AG4" t="s">
        <v>87</v>
      </c>
      <c r="AN4"/>
      <c r="AO4"/>
      <c r="AP4"/>
      <c r="AQ4" s="46"/>
      <c r="AR4" s="46" t="s">
        <v>131</v>
      </c>
      <c r="AS4" s="46" t="s">
        <v>111</v>
      </c>
      <c r="AT4" s="46" t="s">
        <v>112</v>
      </c>
      <c r="AU4" s="46" t="s">
        <v>67</v>
      </c>
      <c r="AV4" s="46" t="s">
        <v>133</v>
      </c>
      <c r="AX4" s="46" t="s">
        <v>237</v>
      </c>
      <c r="AZ4" s="46" t="s">
        <v>131</v>
      </c>
      <c r="BA4" s="46" t="s">
        <v>2097</v>
      </c>
      <c r="BB4" s="46" t="s">
        <v>67</v>
      </c>
      <c r="BC4" s="46" t="s">
        <v>133</v>
      </c>
      <c r="BD4" s="46" t="s">
        <v>2097</v>
      </c>
      <c r="BE4" s="46" t="s">
        <v>1943</v>
      </c>
      <c r="BF4" s="46">
        <v>7388</v>
      </c>
      <c r="BG4" s="46">
        <v>8909</v>
      </c>
      <c r="BH4" s="46">
        <v>6572</v>
      </c>
      <c r="BI4" s="3"/>
      <c r="BJ4" s="46" t="s">
        <v>131</v>
      </c>
      <c r="BK4" s="46" t="s">
        <v>2097</v>
      </c>
    </row>
    <row r="5" spans="1:63">
      <c r="A5">
        <v>1926</v>
      </c>
      <c r="K5" s="12"/>
      <c r="L5" s="12"/>
      <c r="M5" s="12"/>
      <c r="N5" s="12"/>
      <c r="O5"/>
      <c r="P5"/>
      <c r="Q5"/>
      <c r="R5"/>
      <c r="S5" s="23"/>
      <c r="T5" s="7"/>
      <c r="U5" s="12"/>
      <c r="V5" s="23"/>
      <c r="W5"/>
      <c r="AA5" s="23"/>
      <c r="AN5"/>
      <c r="AO5"/>
      <c r="AP5"/>
      <c r="AQ5">
        <v>1926</v>
      </c>
      <c r="BH5" s="3"/>
      <c r="BI5" s="3"/>
      <c r="BJ5" s="3"/>
      <c r="BK5" s="3"/>
    </row>
    <row r="6" spans="1:63">
      <c r="A6">
        <v>1927</v>
      </c>
      <c r="K6" s="12"/>
      <c r="L6" s="12"/>
      <c r="M6" s="12"/>
      <c r="N6" s="12"/>
      <c r="O6"/>
      <c r="P6"/>
      <c r="Q6"/>
      <c r="R6"/>
      <c r="S6" s="23"/>
      <c r="T6" s="7"/>
      <c r="U6" s="12"/>
      <c r="V6" s="23"/>
      <c r="W6"/>
      <c r="AA6" s="23"/>
      <c r="AN6"/>
      <c r="AO6"/>
      <c r="AP6"/>
      <c r="AQ6">
        <v>1927</v>
      </c>
      <c r="BH6" s="3"/>
      <c r="BI6" s="3"/>
      <c r="BJ6" s="3"/>
      <c r="BK6" s="3"/>
    </row>
    <row r="7" spans="1:63">
      <c r="A7">
        <v>1928</v>
      </c>
      <c r="K7" s="12"/>
      <c r="L7" s="12"/>
      <c r="M7" s="12"/>
      <c r="N7" s="12"/>
      <c r="O7"/>
      <c r="P7"/>
      <c r="Q7"/>
      <c r="R7"/>
      <c r="S7" s="23"/>
      <c r="T7" s="7"/>
      <c r="U7" s="12"/>
      <c r="V7" s="23"/>
      <c r="W7"/>
      <c r="AA7" s="23"/>
      <c r="AN7"/>
      <c r="AO7"/>
      <c r="AP7"/>
      <c r="AQ7">
        <v>1928</v>
      </c>
      <c r="BH7" s="3"/>
      <c r="BI7" s="3"/>
      <c r="BJ7" s="3"/>
      <c r="BK7" s="3"/>
    </row>
    <row r="8" spans="1:63">
      <c r="A8">
        <v>1929</v>
      </c>
      <c r="K8" s="12"/>
      <c r="L8" s="12"/>
      <c r="M8" s="12"/>
      <c r="N8" s="12"/>
      <c r="O8"/>
      <c r="P8"/>
      <c r="Q8"/>
      <c r="R8"/>
      <c r="S8" s="23"/>
      <c r="T8" s="7"/>
      <c r="U8" s="12"/>
      <c r="V8" s="23"/>
      <c r="W8"/>
      <c r="AA8" s="23"/>
      <c r="AN8"/>
      <c r="AO8"/>
      <c r="AP8"/>
      <c r="AQ8">
        <v>1929</v>
      </c>
      <c r="BH8" s="3"/>
      <c r="BI8" s="3"/>
      <c r="BJ8" s="3"/>
      <c r="BK8" s="3"/>
    </row>
    <row r="9" spans="1:63">
      <c r="A9">
        <v>1930</v>
      </c>
      <c r="K9" s="12"/>
      <c r="L9" s="12"/>
      <c r="M9" s="12"/>
      <c r="N9" s="12"/>
      <c r="O9"/>
      <c r="P9"/>
      <c r="Q9"/>
      <c r="R9"/>
      <c r="S9" s="23"/>
      <c r="T9" s="7"/>
      <c r="U9" s="12"/>
      <c r="V9" s="23"/>
      <c r="W9"/>
      <c r="AA9" s="23"/>
      <c r="AN9"/>
      <c r="AO9"/>
      <c r="AP9"/>
      <c r="AQ9">
        <v>1930</v>
      </c>
      <c r="BH9" s="3"/>
      <c r="BI9" s="3"/>
      <c r="BJ9" s="3"/>
      <c r="BK9" s="3"/>
    </row>
    <row r="10" spans="1:63">
      <c r="A10">
        <v>1931</v>
      </c>
      <c r="K10" s="12"/>
      <c r="L10" s="12"/>
      <c r="M10" s="12"/>
      <c r="N10" s="12"/>
      <c r="O10"/>
      <c r="P10"/>
      <c r="Q10"/>
      <c r="R10"/>
      <c r="S10" s="23"/>
      <c r="T10" s="7"/>
      <c r="U10" s="12"/>
      <c r="V10" s="23"/>
      <c r="W10"/>
      <c r="AA10" s="23"/>
      <c r="AN10"/>
      <c r="AO10"/>
      <c r="AP10"/>
      <c r="AQ10">
        <v>1931</v>
      </c>
      <c r="BH10" s="3"/>
      <c r="BI10" s="3"/>
      <c r="BJ10" s="3"/>
      <c r="BK10" s="3"/>
    </row>
    <row r="11" spans="1:63">
      <c r="A11">
        <v>1932</v>
      </c>
      <c r="K11" s="12"/>
      <c r="L11" s="12"/>
      <c r="M11" s="12"/>
      <c r="N11" s="12"/>
      <c r="O11"/>
      <c r="P11"/>
      <c r="Q11"/>
      <c r="R11"/>
      <c r="S11" s="23"/>
      <c r="T11" s="7"/>
      <c r="U11" s="12"/>
      <c r="V11" s="23"/>
      <c r="W11"/>
      <c r="AA11" s="23"/>
      <c r="AN11"/>
      <c r="AO11"/>
      <c r="AP11"/>
      <c r="AQ11">
        <v>1932</v>
      </c>
      <c r="BH11" s="3"/>
      <c r="BI11" s="3"/>
      <c r="BJ11" s="3"/>
      <c r="BK11" s="3"/>
    </row>
    <row r="12" spans="1:63">
      <c r="A12">
        <v>1933</v>
      </c>
      <c r="K12" s="12"/>
      <c r="L12" s="12"/>
      <c r="M12" s="12"/>
      <c r="N12" s="12"/>
      <c r="O12"/>
      <c r="P12"/>
      <c r="Q12"/>
      <c r="R12"/>
      <c r="S12" s="23"/>
      <c r="T12" s="7"/>
      <c r="U12" s="12"/>
      <c r="V12" s="23"/>
      <c r="W12"/>
      <c r="AA12" s="23"/>
      <c r="AN12"/>
      <c r="AO12"/>
      <c r="AP12"/>
      <c r="AQ12">
        <v>1933</v>
      </c>
      <c r="BH12" s="3"/>
      <c r="BI12" s="3"/>
      <c r="BJ12" s="3"/>
      <c r="BK12" s="3"/>
    </row>
    <row r="13" spans="1:63">
      <c r="A13">
        <v>1934</v>
      </c>
      <c r="K13" s="12"/>
      <c r="L13" s="12"/>
      <c r="M13" s="12"/>
      <c r="N13" s="12"/>
      <c r="O13"/>
      <c r="P13"/>
      <c r="Q13"/>
      <c r="R13"/>
      <c r="S13" s="23"/>
      <c r="T13" s="7"/>
      <c r="U13" s="12"/>
      <c r="V13" s="23"/>
      <c r="W13"/>
      <c r="AA13" s="23"/>
      <c r="AN13"/>
      <c r="AO13"/>
      <c r="AP13"/>
      <c r="AQ13">
        <v>1934</v>
      </c>
      <c r="BH13" s="3"/>
      <c r="BI13" s="3"/>
      <c r="BJ13" s="3"/>
      <c r="BK13" s="3"/>
    </row>
    <row r="14" spans="1:63">
      <c r="A14">
        <v>1935</v>
      </c>
      <c r="K14" s="12"/>
      <c r="L14" s="12"/>
      <c r="M14" s="12"/>
      <c r="N14" s="12"/>
      <c r="O14"/>
      <c r="P14"/>
      <c r="Q14"/>
      <c r="R14"/>
      <c r="S14" s="23"/>
      <c r="T14" s="7"/>
      <c r="U14" s="12"/>
      <c r="V14" s="23"/>
      <c r="W14"/>
      <c r="AA14" s="23"/>
      <c r="AN14"/>
      <c r="AO14"/>
      <c r="AP14"/>
      <c r="AQ14">
        <v>1935</v>
      </c>
      <c r="BH14" s="3"/>
      <c r="BI14" s="3"/>
      <c r="BJ14" s="3"/>
      <c r="BK14" s="3"/>
    </row>
    <row r="15" spans="1:63">
      <c r="A15">
        <v>1936</v>
      </c>
      <c r="K15" s="12"/>
      <c r="L15" s="12"/>
      <c r="M15" s="12"/>
      <c r="N15" s="12"/>
      <c r="O15"/>
      <c r="P15"/>
      <c r="Q15"/>
      <c r="R15"/>
      <c r="S15" s="23"/>
      <c r="T15" s="7"/>
      <c r="U15" s="12"/>
      <c r="V15" s="23"/>
      <c r="W15"/>
      <c r="AA15" s="23"/>
      <c r="AN15"/>
      <c r="AO15"/>
      <c r="AP15"/>
      <c r="AQ15">
        <v>1936</v>
      </c>
      <c r="BH15" s="3"/>
      <c r="BI15" s="3"/>
      <c r="BJ15" s="3"/>
      <c r="BK15" s="3"/>
    </row>
    <row r="16" spans="1:63">
      <c r="A16">
        <v>1937</v>
      </c>
      <c r="K16" s="12"/>
      <c r="L16" s="12"/>
      <c r="M16" s="12"/>
      <c r="N16" s="12"/>
      <c r="O16"/>
      <c r="P16"/>
      <c r="Q16"/>
      <c r="R16"/>
      <c r="S16" s="23"/>
      <c r="T16" s="7"/>
      <c r="U16" s="12"/>
      <c r="V16" s="23"/>
      <c r="W16"/>
      <c r="AA16" s="23"/>
      <c r="AN16"/>
      <c r="AO16"/>
      <c r="AP16"/>
      <c r="AQ16">
        <v>1937</v>
      </c>
      <c r="BH16" s="3"/>
      <c r="BI16" s="3"/>
      <c r="BJ16" s="3"/>
      <c r="BK16" s="3"/>
    </row>
    <row r="17" spans="1:63">
      <c r="A17">
        <v>1938</v>
      </c>
      <c r="K17" s="12"/>
      <c r="L17" s="12"/>
      <c r="M17" s="12"/>
      <c r="N17" s="12"/>
      <c r="O17"/>
      <c r="P17"/>
      <c r="Q17"/>
      <c r="R17"/>
      <c r="S17" s="23"/>
      <c r="T17" s="7"/>
      <c r="U17" s="12"/>
      <c r="V17" s="23"/>
      <c r="W17"/>
      <c r="AA17" s="23"/>
      <c r="AN17"/>
      <c r="AO17"/>
      <c r="AP17"/>
      <c r="AQ17">
        <v>1938</v>
      </c>
      <c r="BH17" s="3"/>
      <c r="BI17" s="3"/>
      <c r="BJ17" s="3"/>
      <c r="BK17" s="3"/>
    </row>
    <row r="18" spans="1:63">
      <c r="A18">
        <v>1939</v>
      </c>
      <c r="K18" s="12"/>
      <c r="L18" s="12"/>
      <c r="M18" s="12"/>
      <c r="N18" s="12"/>
      <c r="O18"/>
      <c r="P18"/>
      <c r="Q18"/>
      <c r="R18"/>
      <c r="S18" s="23"/>
      <c r="T18" s="7"/>
      <c r="U18" s="12"/>
      <c r="V18" s="23"/>
      <c r="W18"/>
      <c r="AA18" s="23"/>
      <c r="AN18"/>
      <c r="AO18"/>
      <c r="AP18"/>
      <c r="AQ18">
        <v>1939</v>
      </c>
      <c r="BH18" s="3"/>
      <c r="BI18" s="3"/>
      <c r="BJ18" s="3"/>
      <c r="BK18" s="3"/>
    </row>
    <row r="19" spans="1:63">
      <c r="A19">
        <v>1940</v>
      </c>
      <c r="K19" s="12"/>
      <c r="L19" s="12"/>
      <c r="M19" s="12"/>
      <c r="N19" s="12"/>
      <c r="O19"/>
      <c r="P19"/>
      <c r="Q19"/>
      <c r="R19"/>
      <c r="S19" s="23"/>
      <c r="T19" s="7"/>
      <c r="U19" s="12"/>
      <c r="V19" s="23"/>
      <c r="W19"/>
      <c r="AA19" s="23"/>
      <c r="AN19"/>
      <c r="AO19"/>
      <c r="AP19"/>
      <c r="AQ19">
        <v>1940</v>
      </c>
      <c r="BH19" s="3"/>
      <c r="BI19" s="3"/>
      <c r="BJ19" s="3"/>
      <c r="BK19" s="3"/>
    </row>
    <row r="20" spans="1:63">
      <c r="A20">
        <v>1941</v>
      </c>
      <c r="K20" s="12"/>
      <c r="L20" s="12"/>
      <c r="M20" s="12"/>
      <c r="N20" s="12"/>
      <c r="O20"/>
      <c r="P20"/>
      <c r="Q20"/>
      <c r="R20"/>
      <c r="S20" s="23"/>
      <c r="T20" s="7"/>
      <c r="U20" s="12"/>
      <c r="V20" s="23"/>
      <c r="W20"/>
      <c r="AA20" s="23"/>
      <c r="AN20"/>
      <c r="AO20"/>
      <c r="AP20"/>
      <c r="AQ20">
        <v>1941</v>
      </c>
      <c r="BH20" s="3"/>
      <c r="BI20" s="3"/>
      <c r="BJ20" s="3"/>
      <c r="BK20" s="3"/>
    </row>
    <row r="21" spans="1:63">
      <c r="A21">
        <v>1942</v>
      </c>
      <c r="K21" s="12"/>
      <c r="L21" s="12"/>
      <c r="M21" s="12"/>
      <c r="N21" s="12"/>
      <c r="O21"/>
      <c r="P21"/>
      <c r="Q21"/>
      <c r="R21"/>
      <c r="S21" s="23"/>
      <c r="T21" s="7"/>
      <c r="U21" s="12"/>
      <c r="V21" s="23"/>
      <c r="W21"/>
      <c r="AA21" s="23"/>
      <c r="AN21"/>
      <c r="AO21"/>
      <c r="AP21"/>
      <c r="AQ21">
        <v>1942</v>
      </c>
      <c r="BH21" s="3"/>
      <c r="BI21" s="3"/>
      <c r="BJ21" s="3"/>
      <c r="BK21" s="3"/>
    </row>
    <row r="22" spans="1:63">
      <c r="A22">
        <v>1943</v>
      </c>
      <c r="K22" s="12"/>
      <c r="L22" s="12"/>
      <c r="M22" s="12"/>
      <c r="N22" s="12"/>
      <c r="O22"/>
      <c r="P22"/>
      <c r="Q22"/>
      <c r="R22"/>
      <c r="S22" s="23"/>
      <c r="T22" s="7"/>
      <c r="U22" s="12"/>
      <c r="V22" s="23"/>
      <c r="W22"/>
      <c r="AA22" s="23"/>
      <c r="AN22"/>
      <c r="AO22"/>
      <c r="AP22"/>
      <c r="AQ22">
        <v>1943</v>
      </c>
      <c r="BH22" s="3"/>
      <c r="BI22" s="3"/>
      <c r="BJ22" s="3"/>
      <c r="BK22" s="3"/>
    </row>
    <row r="23" spans="1:63">
      <c r="A23">
        <v>1944</v>
      </c>
      <c r="K23" s="12"/>
      <c r="L23" s="12"/>
      <c r="M23" s="12"/>
      <c r="N23" s="12"/>
      <c r="O23"/>
      <c r="P23"/>
      <c r="Q23"/>
      <c r="R23"/>
      <c r="S23" s="23"/>
      <c r="T23" s="7"/>
      <c r="U23" s="12"/>
      <c r="V23" s="23"/>
      <c r="W23"/>
      <c r="AA23" s="23"/>
      <c r="AN23"/>
      <c r="AO23"/>
      <c r="AP23"/>
      <c r="AQ23">
        <v>1944</v>
      </c>
      <c r="BH23" s="3"/>
      <c r="BI23" s="3"/>
      <c r="BJ23" s="3"/>
      <c r="BK23" s="3"/>
    </row>
    <row r="24" spans="1:63">
      <c r="A24">
        <v>1945</v>
      </c>
      <c r="K24" s="12"/>
      <c r="L24" s="12"/>
      <c r="M24" s="12"/>
      <c r="N24" s="12"/>
      <c r="O24"/>
      <c r="P24"/>
      <c r="Q24"/>
      <c r="R24"/>
      <c r="S24" s="23"/>
      <c r="T24" s="7"/>
      <c r="U24" s="12"/>
      <c r="V24" s="23"/>
      <c r="W24"/>
      <c r="AA24" s="23"/>
      <c r="AN24"/>
      <c r="AO24"/>
      <c r="AP24"/>
      <c r="AQ24">
        <v>1945</v>
      </c>
      <c r="BH24" s="3"/>
      <c r="BI24" s="3"/>
      <c r="BJ24" s="3"/>
      <c r="BK24" s="3"/>
    </row>
    <row r="25" spans="1:63">
      <c r="A25">
        <v>1946</v>
      </c>
      <c r="K25" s="12"/>
      <c r="L25" s="12"/>
      <c r="M25" s="12"/>
      <c r="N25" s="12"/>
      <c r="O25"/>
      <c r="P25"/>
      <c r="Q25"/>
      <c r="R25"/>
      <c r="S25" s="23"/>
      <c r="T25" s="7"/>
      <c r="U25" s="12"/>
      <c r="V25" s="23"/>
      <c r="W25"/>
      <c r="AA25" s="23"/>
      <c r="AN25"/>
      <c r="AO25"/>
      <c r="AP25"/>
      <c r="AQ25">
        <v>1946</v>
      </c>
      <c r="BH25" s="3"/>
      <c r="BI25" s="3"/>
      <c r="BJ25" s="3"/>
      <c r="BK25" s="3"/>
    </row>
    <row r="26" spans="1:63">
      <c r="A26">
        <v>1947</v>
      </c>
      <c r="K26" s="12"/>
      <c r="L26" s="12"/>
      <c r="M26" s="12"/>
      <c r="N26" s="12"/>
      <c r="O26"/>
      <c r="P26"/>
      <c r="Q26"/>
      <c r="R26"/>
      <c r="S26" s="23"/>
      <c r="T26" s="7"/>
      <c r="U26" s="12"/>
      <c r="V26" s="23"/>
      <c r="W26"/>
      <c r="AA26" s="23"/>
      <c r="AN26"/>
      <c r="AO26"/>
      <c r="AP26"/>
      <c r="AQ26">
        <v>1947</v>
      </c>
      <c r="BH26" s="3"/>
      <c r="BI26" s="3"/>
      <c r="BJ26" s="3"/>
      <c r="BK26" s="3"/>
    </row>
    <row r="27" spans="1:63">
      <c r="A27">
        <v>1948</v>
      </c>
      <c r="K27" s="12"/>
      <c r="L27" s="12"/>
      <c r="M27" s="12"/>
      <c r="N27" s="12"/>
      <c r="O27"/>
      <c r="P27"/>
      <c r="Q27"/>
      <c r="R27"/>
      <c r="S27" s="23"/>
      <c r="T27" s="7"/>
      <c r="U27" s="12"/>
      <c r="V27" s="23"/>
      <c r="W27"/>
      <c r="AA27" s="23"/>
      <c r="AN27"/>
      <c r="AO27"/>
      <c r="AP27"/>
      <c r="AQ27">
        <v>1948</v>
      </c>
      <c r="BH27" s="3"/>
      <c r="BI27" s="3"/>
      <c r="BJ27" s="3"/>
      <c r="BK27" s="3"/>
    </row>
    <row r="28" spans="1:63">
      <c r="A28">
        <v>1949</v>
      </c>
      <c r="K28" s="12"/>
      <c r="L28" s="12"/>
      <c r="M28" s="12"/>
      <c r="N28" s="12"/>
      <c r="O28"/>
      <c r="P28"/>
      <c r="Q28"/>
      <c r="R28"/>
      <c r="S28" s="23"/>
      <c r="T28" s="7"/>
      <c r="U28" s="12"/>
      <c r="V28" s="23"/>
      <c r="W28"/>
      <c r="AA28" s="23"/>
      <c r="AN28"/>
      <c r="AO28"/>
      <c r="AP28"/>
      <c r="AQ28">
        <v>1949</v>
      </c>
      <c r="BH28" s="3"/>
      <c r="BI28" s="3"/>
      <c r="BJ28" s="3"/>
      <c r="BK28" s="3"/>
    </row>
    <row r="29" spans="1:63">
      <c r="A29">
        <v>1950</v>
      </c>
      <c r="K29" s="12"/>
      <c r="L29" s="12"/>
      <c r="M29" s="12"/>
      <c r="N29" s="12"/>
      <c r="O29"/>
      <c r="P29"/>
      <c r="Q29"/>
      <c r="R29"/>
      <c r="S29" s="23"/>
      <c r="T29" s="7"/>
      <c r="U29" s="12"/>
      <c r="V29" s="23"/>
      <c r="W29"/>
      <c r="AA29" s="23"/>
      <c r="AN29"/>
      <c r="AO29"/>
      <c r="AP29"/>
      <c r="AQ29">
        <v>1950</v>
      </c>
      <c r="BH29" s="3"/>
      <c r="BI29" s="3"/>
      <c r="BJ29" s="3"/>
      <c r="BK29" s="3"/>
    </row>
    <row r="30" spans="1:63">
      <c r="A30">
        <v>1951</v>
      </c>
      <c r="K30" s="12"/>
      <c r="L30" s="12"/>
      <c r="M30" s="12"/>
      <c r="N30" s="12"/>
      <c r="O30"/>
      <c r="P30"/>
      <c r="Q30"/>
      <c r="R30"/>
      <c r="S30" s="23"/>
      <c r="T30" s="7"/>
      <c r="U30" s="12"/>
      <c r="V30" s="23"/>
      <c r="W30"/>
      <c r="AA30" s="23"/>
      <c r="AN30"/>
      <c r="AO30"/>
      <c r="AP30"/>
      <c r="AQ30">
        <v>1951</v>
      </c>
      <c r="BH30" s="3"/>
      <c r="BI30" s="3"/>
      <c r="BJ30" s="3"/>
      <c r="BK30" s="3"/>
    </row>
    <row r="31" spans="1:63">
      <c r="A31">
        <v>1952</v>
      </c>
      <c r="K31" s="12"/>
      <c r="L31" s="12"/>
      <c r="M31" s="12"/>
      <c r="N31" s="12"/>
      <c r="O31"/>
      <c r="P31"/>
      <c r="Q31"/>
      <c r="R31"/>
      <c r="S31" s="23"/>
      <c r="T31" s="7"/>
      <c r="U31" s="12"/>
      <c r="V31" s="23"/>
      <c r="W31"/>
      <c r="AA31" s="23"/>
      <c r="AN31"/>
      <c r="AO31"/>
      <c r="AP31"/>
      <c r="AQ31">
        <v>1952</v>
      </c>
      <c r="BH31" s="3"/>
      <c r="BI31" s="3"/>
      <c r="BJ31" s="3"/>
      <c r="BK31" s="3"/>
    </row>
    <row r="32" spans="1:63">
      <c r="A32">
        <v>1953</v>
      </c>
      <c r="K32" s="12"/>
      <c r="L32" s="12"/>
      <c r="M32" s="12"/>
      <c r="N32" s="12"/>
      <c r="O32"/>
      <c r="P32"/>
      <c r="Q32"/>
      <c r="R32"/>
      <c r="S32" s="23"/>
      <c r="T32" s="7"/>
      <c r="U32" s="12"/>
      <c r="V32" s="23"/>
      <c r="W32"/>
      <c r="AA32" s="23"/>
      <c r="AN32"/>
      <c r="AO32"/>
      <c r="AP32"/>
      <c r="AQ32">
        <v>1953</v>
      </c>
      <c r="BH32" s="3"/>
      <c r="BI32" s="3"/>
      <c r="BJ32" s="3"/>
      <c r="BK32" s="3"/>
    </row>
    <row r="33" spans="1:63">
      <c r="A33">
        <v>1954</v>
      </c>
      <c r="K33" s="12"/>
      <c r="L33" s="12"/>
      <c r="M33" s="12"/>
      <c r="N33" s="12"/>
      <c r="O33"/>
      <c r="P33"/>
      <c r="Q33"/>
      <c r="R33"/>
      <c r="S33" s="23"/>
      <c r="T33" s="7"/>
      <c r="U33" s="12"/>
      <c r="V33" s="23"/>
      <c r="W33"/>
      <c r="AA33" s="23"/>
      <c r="AN33"/>
      <c r="AO33"/>
      <c r="AP33"/>
      <c r="AQ33">
        <v>1954</v>
      </c>
      <c r="BH33" s="3"/>
      <c r="BI33" s="3"/>
      <c r="BJ33" s="3"/>
      <c r="BK33" s="3"/>
    </row>
    <row r="34" spans="1:63">
      <c r="A34">
        <v>1955</v>
      </c>
      <c r="K34" s="12"/>
      <c r="L34" s="12"/>
      <c r="M34" s="12"/>
      <c r="N34" s="12"/>
      <c r="O34"/>
      <c r="P34"/>
      <c r="Q34"/>
      <c r="R34"/>
      <c r="S34" s="23"/>
      <c r="T34" s="7"/>
      <c r="U34" s="12"/>
      <c r="V34" s="23"/>
      <c r="W34"/>
      <c r="AA34" s="23"/>
      <c r="AN34"/>
      <c r="AO34"/>
      <c r="AP34"/>
      <c r="AQ34">
        <v>1955</v>
      </c>
      <c r="BH34" s="3"/>
      <c r="BI34" s="3"/>
      <c r="BJ34" s="3"/>
      <c r="BK34" s="3"/>
    </row>
    <row r="35" spans="1:63">
      <c r="A35">
        <v>1956</v>
      </c>
      <c r="K35" s="12"/>
      <c r="L35" s="12"/>
      <c r="M35" s="12"/>
      <c r="N35" s="12"/>
      <c r="O35"/>
      <c r="P35"/>
      <c r="Q35"/>
      <c r="R35"/>
      <c r="S35" s="23"/>
      <c r="T35" s="7"/>
      <c r="U35" s="12"/>
      <c r="V35" s="23"/>
      <c r="W35"/>
      <c r="AA35" s="23"/>
      <c r="AN35"/>
      <c r="AO35"/>
      <c r="AP35"/>
      <c r="AQ35">
        <v>1956</v>
      </c>
      <c r="BH35" s="3"/>
      <c r="BI35" s="3"/>
      <c r="BJ35" s="3"/>
      <c r="BK35" s="3"/>
    </row>
    <row r="36" spans="1:63">
      <c r="A36">
        <v>1957</v>
      </c>
      <c r="K36" s="12"/>
      <c r="L36" s="12"/>
      <c r="M36" s="12"/>
      <c r="N36" s="12"/>
      <c r="O36"/>
      <c r="P36"/>
      <c r="Q36"/>
      <c r="R36"/>
      <c r="S36" s="23"/>
      <c r="T36" s="7"/>
      <c r="U36" s="12"/>
      <c r="V36" s="23"/>
      <c r="W36"/>
      <c r="AA36" s="23"/>
      <c r="AN36"/>
      <c r="AO36"/>
      <c r="AP36"/>
      <c r="AQ36">
        <v>1957</v>
      </c>
      <c r="BH36" s="3"/>
      <c r="BI36" s="3"/>
      <c r="BJ36" s="3"/>
      <c r="BK36" s="3"/>
    </row>
    <row r="37" spans="1:63">
      <c r="A37">
        <v>1958</v>
      </c>
      <c r="K37" s="12"/>
      <c r="L37" s="12"/>
      <c r="M37" s="12"/>
      <c r="N37" s="12"/>
      <c r="O37"/>
      <c r="P37"/>
      <c r="Q37"/>
      <c r="R37"/>
      <c r="S37" s="23"/>
      <c r="T37" s="7"/>
      <c r="U37" s="12"/>
      <c r="V37" s="23"/>
      <c r="W37"/>
      <c r="AA37" s="23"/>
      <c r="AN37"/>
      <c r="AO37"/>
      <c r="AP37"/>
      <c r="AQ37">
        <v>1958</v>
      </c>
      <c r="BH37" s="3"/>
      <c r="BI37" s="3"/>
      <c r="BJ37" s="3"/>
      <c r="BK37" s="3"/>
    </row>
    <row r="38" spans="1:63">
      <c r="A38">
        <v>1959</v>
      </c>
      <c r="K38" s="12"/>
      <c r="L38" s="12"/>
      <c r="M38" s="12"/>
      <c r="N38" s="12"/>
      <c r="O38"/>
      <c r="P38"/>
      <c r="Q38"/>
      <c r="R38"/>
      <c r="S38" s="23"/>
      <c r="T38" s="7"/>
      <c r="U38" s="12"/>
      <c r="V38" s="23"/>
      <c r="W38"/>
      <c r="AA38" s="23"/>
      <c r="AN38"/>
      <c r="AO38"/>
      <c r="AP38"/>
      <c r="AQ38">
        <v>1959</v>
      </c>
      <c r="BH38" s="3"/>
      <c r="BI38" s="3"/>
      <c r="BJ38" s="3"/>
      <c r="BK38" s="3"/>
    </row>
    <row r="39" spans="1:63">
      <c r="A39">
        <v>1960</v>
      </c>
      <c r="K39" s="12"/>
      <c r="L39" s="12"/>
      <c r="M39" s="12"/>
      <c r="N39" s="12"/>
      <c r="O39"/>
      <c r="P39"/>
      <c r="Q39"/>
      <c r="R39"/>
      <c r="S39" s="23"/>
      <c r="T39" s="7"/>
      <c r="U39" s="12"/>
      <c r="V39" s="23"/>
      <c r="W39"/>
      <c r="AA39" s="23"/>
      <c r="AN39"/>
      <c r="AO39"/>
      <c r="AP39"/>
      <c r="AQ39">
        <v>1960</v>
      </c>
      <c r="BH39" s="3"/>
      <c r="BI39" s="3"/>
      <c r="BJ39" s="3"/>
      <c r="BK39" s="3"/>
    </row>
    <row r="40" spans="1:63">
      <c r="A40">
        <v>1961</v>
      </c>
      <c r="K40" s="12"/>
      <c r="L40" s="12"/>
      <c r="M40" s="12"/>
      <c r="N40" s="12"/>
      <c r="O40"/>
      <c r="P40"/>
      <c r="Q40"/>
      <c r="R40"/>
      <c r="S40" s="23"/>
      <c r="T40" s="7"/>
      <c r="U40" s="12"/>
      <c r="V40" s="23"/>
      <c r="W40"/>
      <c r="AA40" s="23"/>
      <c r="AN40"/>
      <c r="AO40"/>
      <c r="AP40"/>
      <c r="AQ40">
        <v>1961</v>
      </c>
      <c r="BH40" s="3"/>
      <c r="BI40" s="3"/>
      <c r="BJ40" s="3"/>
      <c r="BK40" s="3"/>
    </row>
    <row r="41" spans="1:63">
      <c r="A41">
        <v>1962</v>
      </c>
      <c r="K41" s="12"/>
      <c r="L41" s="12"/>
      <c r="M41" s="12"/>
      <c r="N41" s="12"/>
      <c r="O41"/>
      <c r="P41"/>
      <c r="Q41"/>
      <c r="R41"/>
      <c r="S41" s="23"/>
      <c r="T41" s="7"/>
      <c r="U41" s="12"/>
      <c r="V41" s="23"/>
      <c r="W41"/>
      <c r="AA41" s="23"/>
      <c r="AN41"/>
      <c r="AO41"/>
      <c r="AP41"/>
      <c r="AQ41">
        <v>1962</v>
      </c>
      <c r="BH41" s="3"/>
      <c r="BI41" s="3"/>
      <c r="BJ41" s="3"/>
      <c r="BK41" s="3"/>
    </row>
    <row r="42" spans="1:63">
      <c r="A42">
        <v>1963</v>
      </c>
      <c r="K42" s="12"/>
      <c r="L42" s="12"/>
      <c r="M42" s="12"/>
      <c r="N42" s="12"/>
      <c r="O42"/>
      <c r="P42"/>
      <c r="Q42"/>
      <c r="R42"/>
      <c r="S42" s="23"/>
      <c r="T42" s="7"/>
      <c r="U42" s="12"/>
      <c r="V42" s="23"/>
      <c r="W42"/>
      <c r="AA42" s="23"/>
      <c r="AN42"/>
      <c r="AO42"/>
      <c r="AP42"/>
      <c r="AQ42" s="46" t="s">
        <v>2103</v>
      </c>
      <c r="AR42" s="46" t="s">
        <v>1851</v>
      </c>
      <c r="AS42" s="46" t="s">
        <v>1851</v>
      </c>
      <c r="AT42" s="46" t="s">
        <v>1851</v>
      </c>
      <c r="AU42" s="46" t="s">
        <v>1851</v>
      </c>
      <c r="AV42" s="46" t="s">
        <v>1851</v>
      </c>
      <c r="AX42" s="46"/>
      <c r="AZ42" s="46" t="s">
        <v>2113</v>
      </c>
      <c r="BA42" s="46" t="s">
        <v>2113</v>
      </c>
      <c r="BB42" s="46" t="s">
        <v>2113</v>
      </c>
      <c r="BC42" s="46" t="s">
        <v>2113</v>
      </c>
      <c r="BD42" s="46" t="s">
        <v>2113</v>
      </c>
      <c r="BE42" s="46" t="s">
        <v>2114</v>
      </c>
      <c r="BF42" s="46" t="s">
        <v>2098</v>
      </c>
      <c r="BG42" s="46" t="s">
        <v>2098</v>
      </c>
      <c r="BH42" s="46" t="s">
        <v>2098</v>
      </c>
      <c r="BI42" s="3"/>
      <c r="BJ42" s="46" t="s">
        <v>2443</v>
      </c>
      <c r="BK42" s="46" t="s">
        <v>2443</v>
      </c>
    </row>
    <row r="43" spans="1:63">
      <c r="A43">
        <v>1964</v>
      </c>
      <c r="K43" s="12"/>
      <c r="L43" s="12"/>
      <c r="M43" s="12"/>
      <c r="N43" s="12"/>
      <c r="O43"/>
      <c r="P43"/>
      <c r="Q43"/>
      <c r="R43"/>
      <c r="S43" s="23"/>
      <c r="T43" s="7"/>
      <c r="U43" s="12"/>
      <c r="V43" s="23"/>
      <c r="W43"/>
      <c r="AA43" s="23"/>
      <c r="AB43" s="3"/>
      <c r="AN43"/>
      <c r="AO43"/>
      <c r="AP43"/>
      <c r="AQ43" s="46"/>
      <c r="AR43" s="46" t="s">
        <v>131</v>
      </c>
      <c r="AS43" s="46" t="s">
        <v>111</v>
      </c>
      <c r="AT43" s="46" t="s">
        <v>112</v>
      </c>
      <c r="AU43" s="46" t="s">
        <v>67</v>
      </c>
      <c r="AV43" s="46" t="s">
        <v>133</v>
      </c>
      <c r="AX43" s="139" t="s">
        <v>237</v>
      </c>
      <c r="AZ43" s="46" t="s">
        <v>131</v>
      </c>
      <c r="BA43" s="46" t="s">
        <v>2097</v>
      </c>
      <c r="BB43" s="46" t="s">
        <v>67</v>
      </c>
      <c r="BC43" s="46" t="s">
        <v>133</v>
      </c>
      <c r="BD43" s="46" t="s">
        <v>2097</v>
      </c>
      <c r="BE43" s="46" t="s">
        <v>1943</v>
      </c>
      <c r="BF43" s="46">
        <v>7388</v>
      </c>
      <c r="BG43" s="46">
        <v>8909</v>
      </c>
      <c r="BH43" s="46">
        <v>6572</v>
      </c>
      <c r="BI43" s="3"/>
      <c r="BJ43" s="46" t="s">
        <v>131</v>
      </c>
      <c r="BK43" s="46" t="s">
        <v>2097</v>
      </c>
    </row>
    <row r="44" spans="1:63">
      <c r="A44">
        <v>1965</v>
      </c>
      <c r="B44" s="3">
        <f t="shared" ref="B44:B88" si="0">I44/G44*100/C44*100</f>
        <v>99.591837606229035</v>
      </c>
      <c r="C44" s="3">
        <f t="shared" ref="C44:C87" si="1">E44/E$89*100</f>
        <v>14.459024846529534</v>
      </c>
      <c r="D44" s="22">
        <v>69.589799999999997</v>
      </c>
      <c r="E44" s="3">
        <v>20.692699999999999</v>
      </c>
      <c r="F44" s="3">
        <f>D44*E44/100</f>
        <v>14.400008544599999</v>
      </c>
      <c r="G44" s="3">
        <v>6.9070999999999989</v>
      </c>
      <c r="H44" s="3">
        <f>F44*G44/100</f>
        <v>0.99462299018406641</v>
      </c>
      <c r="I44" s="21">
        <f t="shared" ref="I44:I67" si="2">H44</f>
        <v>0.99462299018406641</v>
      </c>
      <c r="J44" s="21">
        <f t="shared" ref="J44:J89" si="3">U44+AF44</f>
        <v>1.1683005785303124</v>
      </c>
      <c r="K44" s="21"/>
      <c r="L44" s="21"/>
      <c r="M44" s="21"/>
      <c r="N44" s="21"/>
      <c r="O44"/>
      <c r="P44"/>
      <c r="Q44"/>
      <c r="R44"/>
      <c r="S44" s="23"/>
      <c r="T44" s="7">
        <f t="shared" ref="T44:T78" si="4">I44-AF44</f>
        <v>0.44373447002078481</v>
      </c>
      <c r="U44" s="21">
        <f t="shared" ref="U44:U88" si="5">U$92+U$93*W44+U$94*X44+U$95*Y44+U$96*Z44</f>
        <v>0.61741205836703084</v>
      </c>
      <c r="V44" s="27"/>
      <c r="W44">
        <f>USA!Z52*G44</f>
        <v>22.793429999999994</v>
      </c>
      <c r="X44">
        <v>1</v>
      </c>
      <c r="Y44">
        <v>0</v>
      </c>
      <c r="Z44">
        <v>0</v>
      </c>
      <c r="AA44" s="23"/>
      <c r="AB44" s="3">
        <v>0.67</v>
      </c>
      <c r="AC44" s="3">
        <f t="shared" ref="AC44:AC68" si="6">AF44-AE44</f>
        <v>0.39916636911825454</v>
      </c>
      <c r="AD44" s="3">
        <v>0.18</v>
      </c>
      <c r="AE44" s="4">
        <f t="shared" ref="AE44:AE90" si="7">AD44*(I44*(1/(1+AD44)))</f>
        <v>0.15172215104502709</v>
      </c>
      <c r="AF44" s="3">
        <f t="shared" ref="AF44:AF67" si="8">I44*(AB$69/AB$68)*AB44</f>
        <v>0.5508885201632816</v>
      </c>
      <c r="AH44" s="4"/>
      <c r="AN44"/>
      <c r="AO44"/>
      <c r="AP44"/>
      <c r="AQ44">
        <v>1965</v>
      </c>
      <c r="AR44" s="3">
        <f t="shared" ref="AR44:AR90" si="9">I44</f>
        <v>0.99462299018406641</v>
      </c>
      <c r="AS44" s="3">
        <f>AC44</f>
        <v>0.39916636911825454</v>
      </c>
      <c r="AT44" s="3">
        <f>AE44</f>
        <v>0.15172215104502709</v>
      </c>
      <c r="AU44" s="3">
        <f>AF44</f>
        <v>0.5508885201632816</v>
      </c>
      <c r="AV44" s="3">
        <f t="shared" ref="AV44:AV75" si="10">AR44-AU44</f>
        <v>0.44373447002078481</v>
      </c>
      <c r="AX44" s="3">
        <v>10.777856577253695</v>
      </c>
      <c r="AZ44" s="3">
        <f t="shared" ref="AZ44:AZ75" si="11">AR44/$AX44*100</f>
        <v>9.2283932621926414</v>
      </c>
      <c r="BA44" s="3">
        <f>BD44+BB44</f>
        <v>9.2563850544388231</v>
      </c>
      <c r="BB44" s="3">
        <f t="shared" ref="BB44:BB89" si="12">AU44/$AX44*100</f>
        <v>5.1112994148197641</v>
      </c>
      <c r="BC44" s="3">
        <f t="shared" ref="BC44:BC51" si="13">AZ44-BB44</f>
        <v>4.1170938473728773</v>
      </c>
      <c r="BD44" s="3">
        <f t="shared" ref="BD44:BD75" si="14">BA$99+BA$100*BE44+BA$101*BF44+BA$102*BG44+BA$103*BH44</f>
        <v>4.1450856396190598</v>
      </c>
      <c r="BE44" s="3">
        <f t="shared" ref="BE44:BE75" si="15">W44/AX44*100</f>
        <v>211.48388676933001</v>
      </c>
      <c r="BF44" s="7">
        <v>0</v>
      </c>
      <c r="BG44" s="7">
        <v>0</v>
      </c>
      <c r="BH44" s="24">
        <v>1</v>
      </c>
      <c r="BI44" s="3"/>
      <c r="BJ44" s="3">
        <f t="shared" ref="BJ44:BJ96" si="16">AZ44*$AX$97/$AX$89</f>
        <v>10.110594801987354</v>
      </c>
      <c r="BK44" s="3">
        <f t="shared" ref="BK44:BK96" si="17">BA44*$AX$97/$AX$89</f>
        <v>10.141262509912417</v>
      </c>
    </row>
    <row r="45" spans="1:63">
      <c r="A45">
        <v>1966</v>
      </c>
      <c r="B45" s="3">
        <f t="shared" si="0"/>
        <v>96.699530058252321</v>
      </c>
      <c r="C45" s="3">
        <f t="shared" si="1"/>
        <v>14.891495218110531</v>
      </c>
      <c r="D45" s="22">
        <v>67.568799999999996</v>
      </c>
      <c r="E45" s="3">
        <v>21.311620000000001</v>
      </c>
      <c r="F45" s="3">
        <f t="shared" ref="F45:F78" si="18">D45*E45/100</f>
        <v>14.40000589456</v>
      </c>
      <c r="G45" s="3">
        <v>6.9070999999999989</v>
      </c>
      <c r="H45" s="3">
        <f t="shared" ref="H45:H78" si="19">F45*G45/100</f>
        <v>0.99462280714315354</v>
      </c>
      <c r="I45" s="21">
        <f t="shared" si="2"/>
        <v>0.99462280714315354</v>
      </c>
      <c r="J45" s="21">
        <f t="shared" si="3"/>
        <v>1.1683004771500523</v>
      </c>
      <c r="K45" s="21"/>
      <c r="L45" s="21"/>
      <c r="M45" s="21"/>
      <c r="N45" s="21"/>
      <c r="O45"/>
      <c r="P45"/>
      <c r="Q45"/>
      <c r="R45"/>
      <c r="S45" s="23"/>
      <c r="T45" s="7">
        <f t="shared" si="4"/>
        <v>0.44373438836013213</v>
      </c>
      <c r="U45" s="21">
        <f t="shared" si="5"/>
        <v>0.61741205836703084</v>
      </c>
      <c r="V45" s="27"/>
      <c r="W45">
        <f>USA!Z53*G45</f>
        <v>22.793429999999994</v>
      </c>
      <c r="X45">
        <v>1</v>
      </c>
      <c r="Y45">
        <v>0</v>
      </c>
      <c r="Z45">
        <v>0</v>
      </c>
      <c r="AA45" s="23"/>
      <c r="AB45" s="3">
        <v>0.67</v>
      </c>
      <c r="AC45" s="3">
        <f t="shared" si="6"/>
        <v>0.39916629565948952</v>
      </c>
      <c r="AD45" s="3">
        <v>0.18</v>
      </c>
      <c r="AE45" s="4">
        <f t="shared" si="7"/>
        <v>0.15172212312353189</v>
      </c>
      <c r="AF45" s="3">
        <f t="shared" si="8"/>
        <v>0.55088841878302142</v>
      </c>
      <c r="AH45" s="4"/>
      <c r="AN45"/>
      <c r="AO45"/>
      <c r="AP45"/>
      <c r="AQ45">
        <v>1966</v>
      </c>
      <c r="AR45" s="3">
        <f t="shared" si="9"/>
        <v>0.99462280714315354</v>
      </c>
      <c r="AS45" s="3">
        <f t="shared" ref="AS45:AS96" si="20">AC45</f>
        <v>0.39916629565948952</v>
      </c>
      <c r="AT45" s="3">
        <f t="shared" ref="AT45:AT96" si="21">AE45</f>
        <v>0.15172212312353189</v>
      </c>
      <c r="AU45" s="3">
        <f t="shared" ref="AU45:AU76" si="22">AF45</f>
        <v>0.55088841878302142</v>
      </c>
      <c r="AV45" s="3">
        <f t="shared" si="10"/>
        <v>0.44373438836013213</v>
      </c>
      <c r="AX45" s="3">
        <v>11.365249760633228</v>
      </c>
      <c r="AZ45" s="3">
        <f t="shared" si="11"/>
        <v>8.7514381829804773</v>
      </c>
      <c r="BA45" s="3">
        <f t="shared" ref="BA45:BA95" si="23">BD45+BB45</f>
        <v>8.926783072407785</v>
      </c>
      <c r="BB45" s="3">
        <f t="shared" si="12"/>
        <v>4.8471298949467876</v>
      </c>
      <c r="BC45" s="3">
        <f t="shared" si="13"/>
        <v>3.9043082880336897</v>
      </c>
      <c r="BD45" s="3">
        <f t="shared" si="14"/>
        <v>4.0796531774609974</v>
      </c>
      <c r="BE45" s="3">
        <f t="shared" si="15"/>
        <v>200.55370959775573</v>
      </c>
      <c r="BF45" s="7">
        <v>0</v>
      </c>
      <c r="BG45" s="7">
        <v>0</v>
      </c>
      <c r="BH45" s="24">
        <v>1</v>
      </c>
      <c r="BI45" s="3"/>
      <c r="BJ45" s="3">
        <f t="shared" si="16"/>
        <v>9.5880445153171667</v>
      </c>
      <c r="BK45" s="3">
        <f t="shared" si="17"/>
        <v>9.7801517518890915</v>
      </c>
    </row>
    <row r="46" spans="1:63">
      <c r="A46">
        <v>1967</v>
      </c>
      <c r="B46" s="3">
        <f t="shared" si="0"/>
        <v>107.80908227667562</v>
      </c>
      <c r="C46" s="3">
        <f t="shared" si="1"/>
        <v>15.30482682623647</v>
      </c>
      <c r="D46" s="22">
        <v>75.331599999999995</v>
      </c>
      <c r="E46" s="3">
        <v>21.90315</v>
      </c>
      <c r="F46" s="3">
        <f t="shared" si="18"/>
        <v>16.4999933454</v>
      </c>
      <c r="G46" s="3">
        <v>6.9564999999999992</v>
      </c>
      <c r="H46" s="3">
        <f t="shared" si="19"/>
        <v>1.1478220370727508</v>
      </c>
      <c r="I46" s="21">
        <f t="shared" si="2"/>
        <v>1.1478220370727508</v>
      </c>
      <c r="J46" s="21">
        <f t="shared" si="3"/>
        <v>1.25447032733584</v>
      </c>
      <c r="K46" s="21"/>
      <c r="L46" s="21"/>
      <c r="M46" s="21"/>
      <c r="N46" s="21"/>
      <c r="O46"/>
      <c r="P46"/>
      <c r="Q46"/>
      <c r="R46"/>
      <c r="S46" s="23"/>
      <c r="T46" s="7">
        <f t="shared" si="4"/>
        <v>0.51208167147272321</v>
      </c>
      <c r="U46" s="21">
        <f t="shared" si="5"/>
        <v>0.61872996173581241</v>
      </c>
      <c r="V46" s="27"/>
      <c r="W46">
        <f>USA!Z54*G46</f>
        <v>22.956449999999997</v>
      </c>
      <c r="X46">
        <v>1</v>
      </c>
      <c r="Y46">
        <v>0</v>
      </c>
      <c r="Z46">
        <v>0</v>
      </c>
      <c r="AA46" s="23"/>
      <c r="AB46" s="3">
        <v>0.67</v>
      </c>
      <c r="AC46" s="3">
        <f t="shared" si="6"/>
        <v>0.46064886841943842</v>
      </c>
      <c r="AD46" s="3">
        <v>0.18</v>
      </c>
      <c r="AE46" s="4">
        <f t="shared" si="7"/>
        <v>0.17509149718058911</v>
      </c>
      <c r="AF46" s="3">
        <f t="shared" si="8"/>
        <v>0.63574036560002756</v>
      </c>
      <c r="AH46" s="4"/>
      <c r="AN46"/>
      <c r="AO46"/>
      <c r="AP46"/>
      <c r="AQ46">
        <v>1967</v>
      </c>
      <c r="AR46" s="3">
        <f t="shared" si="9"/>
        <v>1.1478220370727508</v>
      </c>
      <c r="AS46" s="3">
        <f t="shared" si="20"/>
        <v>0.46064886841943842</v>
      </c>
      <c r="AT46" s="3">
        <f t="shared" si="21"/>
        <v>0.17509149718058911</v>
      </c>
      <c r="AU46" s="3">
        <f t="shared" si="22"/>
        <v>0.63574036560002756</v>
      </c>
      <c r="AV46" s="3">
        <f t="shared" si="10"/>
        <v>0.51208167147272321</v>
      </c>
      <c r="AX46" s="3">
        <v>12.239821072801133</v>
      </c>
      <c r="AZ46" s="3">
        <f t="shared" si="11"/>
        <v>9.3777681082560704</v>
      </c>
      <c r="BA46" s="3">
        <f t="shared" si="23"/>
        <v>9.1958734271999276</v>
      </c>
      <c r="BB46" s="3">
        <f t="shared" si="12"/>
        <v>5.1940331628927625</v>
      </c>
      <c r="BC46" s="3">
        <f t="shared" si="13"/>
        <v>4.1837349453633079</v>
      </c>
      <c r="BD46" s="3">
        <f t="shared" si="14"/>
        <v>4.001840264307166</v>
      </c>
      <c r="BE46" s="3">
        <f t="shared" si="15"/>
        <v>187.55543780793457</v>
      </c>
      <c r="BF46" s="7">
        <v>0</v>
      </c>
      <c r="BG46" s="7">
        <v>0</v>
      </c>
      <c r="BH46" s="24">
        <v>1</v>
      </c>
      <c r="BI46" s="3"/>
      <c r="BJ46" s="3">
        <f t="shared" si="16"/>
        <v>10.274249351511582</v>
      </c>
      <c r="BK46" s="3">
        <f t="shared" si="17"/>
        <v>10.074966186550489</v>
      </c>
    </row>
    <row r="47" spans="1:63">
      <c r="A47">
        <v>1968</v>
      </c>
      <c r="B47" s="3">
        <f t="shared" si="0"/>
        <v>104.69995899712126</v>
      </c>
      <c r="C47" s="3">
        <f t="shared" si="1"/>
        <v>15.950346083448959</v>
      </c>
      <c r="D47" s="22">
        <v>73.159099999999995</v>
      </c>
      <c r="E47" s="3">
        <v>22.826969999999999</v>
      </c>
      <c r="F47" s="3">
        <f t="shared" si="18"/>
        <v>16.700005809269999</v>
      </c>
      <c r="G47" s="3">
        <v>7.5</v>
      </c>
      <c r="H47" s="3">
        <f t="shared" si="19"/>
        <v>1.2525004356952498</v>
      </c>
      <c r="I47" s="21">
        <f t="shared" si="2"/>
        <v>1.2525004356952498</v>
      </c>
      <c r="J47" s="21">
        <f t="shared" si="3"/>
        <v>1.3476558151335625</v>
      </c>
      <c r="K47" s="21"/>
      <c r="L47" s="21"/>
      <c r="M47" s="21"/>
      <c r="N47" s="21"/>
      <c r="O47"/>
      <c r="P47"/>
      <c r="Q47"/>
      <c r="R47"/>
      <c r="S47" s="23"/>
      <c r="T47" s="7">
        <f t="shared" si="4"/>
        <v>0.53807418717467936</v>
      </c>
      <c r="U47" s="21">
        <f t="shared" si="5"/>
        <v>0.63322956661299212</v>
      </c>
      <c r="V47" s="27"/>
      <c r="W47">
        <f>USA!Z55*G47</f>
        <v>24.75</v>
      </c>
      <c r="X47">
        <v>1</v>
      </c>
      <c r="Y47">
        <v>0</v>
      </c>
      <c r="Z47">
        <v>0</v>
      </c>
      <c r="AA47" s="23"/>
      <c r="AB47" s="3">
        <v>0.69</v>
      </c>
      <c r="AC47" s="3">
        <f t="shared" si="6"/>
        <v>0.52336686002468491</v>
      </c>
      <c r="AD47" s="3">
        <v>0.18</v>
      </c>
      <c r="AE47" s="4">
        <f t="shared" si="7"/>
        <v>0.19105938849588555</v>
      </c>
      <c r="AF47" s="3">
        <f t="shared" si="8"/>
        <v>0.71442624852057046</v>
      </c>
      <c r="AH47" s="4"/>
      <c r="AN47"/>
      <c r="AO47"/>
      <c r="AP47"/>
      <c r="AQ47">
        <v>1968</v>
      </c>
      <c r="AR47" s="3">
        <f t="shared" si="9"/>
        <v>1.2525004356952498</v>
      </c>
      <c r="AS47" s="3">
        <f t="shared" si="20"/>
        <v>0.52336686002468491</v>
      </c>
      <c r="AT47" s="3">
        <f t="shared" si="21"/>
        <v>0.19105938849588555</v>
      </c>
      <c r="AU47" s="3">
        <f t="shared" si="22"/>
        <v>0.71442624852057046</v>
      </c>
      <c r="AV47" s="3">
        <f t="shared" si="10"/>
        <v>0.53807418717467936</v>
      </c>
      <c r="AX47" s="3">
        <v>13.219641638144269</v>
      </c>
      <c r="AZ47" s="3">
        <f t="shared" si="11"/>
        <v>9.4745415191986382</v>
      </c>
      <c r="BA47" s="3">
        <f t="shared" si="23"/>
        <v>9.4041191451901938</v>
      </c>
      <c r="BB47" s="3">
        <f t="shared" si="12"/>
        <v>5.4042784825509029</v>
      </c>
      <c r="BC47" s="3">
        <f t="shared" si="13"/>
        <v>4.0702630366477353</v>
      </c>
      <c r="BD47" s="3">
        <f t="shared" si="14"/>
        <v>3.9998406626392913</v>
      </c>
      <c r="BE47" s="3">
        <f t="shared" si="15"/>
        <v>187.22141399495854</v>
      </c>
      <c r="BF47" s="7">
        <v>0</v>
      </c>
      <c r="BG47" s="7">
        <v>0</v>
      </c>
      <c r="BH47" s="24">
        <v>1</v>
      </c>
      <c r="BI47" s="3"/>
      <c r="BJ47" s="3">
        <f t="shared" si="16"/>
        <v>10.380273955995552</v>
      </c>
      <c r="BK47" s="3">
        <f t="shared" si="17"/>
        <v>10.303119453758375</v>
      </c>
    </row>
    <row r="48" spans="1:63">
      <c r="A48">
        <v>1969</v>
      </c>
      <c r="B48" s="3">
        <f t="shared" si="0"/>
        <v>101.82339384549672</v>
      </c>
      <c r="C48" s="3">
        <f t="shared" si="1"/>
        <v>16.814008114047141</v>
      </c>
      <c r="D48" s="22">
        <v>71.149100000000004</v>
      </c>
      <c r="E48" s="3">
        <v>24.06298</v>
      </c>
      <c r="F48" s="3">
        <f t="shared" si="18"/>
        <v>17.120593703179999</v>
      </c>
      <c r="G48" s="3">
        <v>7.5</v>
      </c>
      <c r="H48" s="3">
        <f t="shared" si="19"/>
        <v>1.2840445277384998</v>
      </c>
      <c r="I48" s="21">
        <f t="shared" si="2"/>
        <v>1.2840445277384998</v>
      </c>
      <c r="J48" s="21">
        <f t="shared" si="3"/>
        <v>1.3974928695229472</v>
      </c>
      <c r="K48" s="21"/>
      <c r="L48" s="21"/>
      <c r="M48" s="21"/>
      <c r="N48" s="21"/>
      <c r="O48"/>
      <c r="P48"/>
      <c r="Q48"/>
      <c r="R48"/>
      <c r="S48" s="23"/>
      <c r="T48" s="7">
        <f t="shared" si="4"/>
        <v>0.51978122482854472</v>
      </c>
      <c r="U48" s="21">
        <f t="shared" si="5"/>
        <v>0.63322956661299212</v>
      </c>
      <c r="V48" s="27"/>
      <c r="W48">
        <f>USA!Z56*G48</f>
        <v>24.75</v>
      </c>
      <c r="X48">
        <v>1</v>
      </c>
      <c r="Y48">
        <v>0</v>
      </c>
      <c r="Z48">
        <v>0</v>
      </c>
      <c r="AA48" s="23"/>
      <c r="AB48" s="3">
        <v>0.72</v>
      </c>
      <c r="AC48" s="3">
        <f t="shared" si="6"/>
        <v>0.56839210376340421</v>
      </c>
      <c r="AD48" s="3">
        <v>0.18</v>
      </c>
      <c r="AE48" s="4">
        <f t="shared" si="7"/>
        <v>0.19587119914655082</v>
      </c>
      <c r="AF48" s="3">
        <f t="shared" si="8"/>
        <v>0.76426330290995503</v>
      </c>
      <c r="AH48" s="4"/>
      <c r="AN48"/>
      <c r="AO48"/>
      <c r="AP48"/>
      <c r="AQ48">
        <v>1969</v>
      </c>
      <c r="AR48" s="3">
        <f t="shared" si="9"/>
        <v>1.2840445277384998</v>
      </c>
      <c r="AS48" s="3">
        <f t="shared" si="20"/>
        <v>0.56839210376340421</v>
      </c>
      <c r="AT48" s="3">
        <f t="shared" si="21"/>
        <v>0.19587119914655082</v>
      </c>
      <c r="AU48" s="3">
        <f t="shared" si="22"/>
        <v>0.76426330290995503</v>
      </c>
      <c r="AV48" s="3">
        <f t="shared" si="10"/>
        <v>0.51978122482854472</v>
      </c>
      <c r="AX48" s="3">
        <v>13.680733616930011</v>
      </c>
      <c r="AZ48" s="3">
        <f t="shared" si="11"/>
        <v>9.3857870761366549</v>
      </c>
      <c r="BA48" s="3">
        <f t="shared" si="23"/>
        <v>9.5484865400709129</v>
      </c>
      <c r="BB48" s="3">
        <f t="shared" si="12"/>
        <v>5.586420467716537</v>
      </c>
      <c r="BC48" s="3">
        <f t="shared" si="13"/>
        <v>3.7993666084201179</v>
      </c>
      <c r="BD48" s="3">
        <f t="shared" si="14"/>
        <v>3.9620660723543759</v>
      </c>
      <c r="BE48" s="3">
        <f t="shared" si="15"/>
        <v>180.91135090425038</v>
      </c>
      <c r="BF48" s="7">
        <v>0</v>
      </c>
      <c r="BG48" s="7">
        <v>0</v>
      </c>
      <c r="BH48" s="24">
        <v>1</v>
      </c>
      <c r="BI48" s="3"/>
      <c r="BJ48" s="3">
        <f t="shared" si="16"/>
        <v>10.283034904171425</v>
      </c>
      <c r="BK48" s="3">
        <f t="shared" si="17"/>
        <v>10.461287857594977</v>
      </c>
    </row>
    <row r="49" spans="1:63">
      <c r="A49">
        <v>1970</v>
      </c>
      <c r="B49" s="3">
        <f t="shared" si="0"/>
        <v>102.77867107868548</v>
      </c>
      <c r="C49" s="3">
        <f t="shared" si="1"/>
        <v>17.805240938511318</v>
      </c>
      <c r="D49" s="22">
        <v>71.816599999999994</v>
      </c>
      <c r="E49" s="3">
        <v>25.481560000000002</v>
      </c>
      <c r="F49" s="3">
        <f t="shared" si="18"/>
        <v>18.299990018959999</v>
      </c>
      <c r="G49" s="3">
        <v>7.5</v>
      </c>
      <c r="H49" s="3">
        <f t="shared" si="19"/>
        <v>1.372499251422</v>
      </c>
      <c r="I49" s="21">
        <f t="shared" si="2"/>
        <v>1.372499251422</v>
      </c>
      <c r="J49" s="21">
        <f t="shared" si="3"/>
        <v>1.4077887601130024</v>
      </c>
      <c r="K49" s="21"/>
      <c r="L49" s="21"/>
      <c r="M49" s="21"/>
      <c r="N49" s="21"/>
      <c r="O49"/>
      <c r="P49"/>
      <c r="Q49"/>
      <c r="R49"/>
      <c r="S49" s="23"/>
      <c r="T49" s="7">
        <f t="shared" si="4"/>
        <v>0.60097167222264636</v>
      </c>
      <c r="U49" s="21">
        <f t="shared" si="5"/>
        <v>0.63626118091364869</v>
      </c>
      <c r="V49" s="27"/>
      <c r="W49">
        <f>USA!Z57*G49</f>
        <v>25.125</v>
      </c>
      <c r="X49">
        <v>1</v>
      </c>
      <c r="Y49">
        <v>0</v>
      </c>
      <c r="Z49">
        <v>0</v>
      </c>
      <c r="AA49" s="23"/>
      <c r="AB49" s="3">
        <v>0.68</v>
      </c>
      <c r="AC49" s="3">
        <f t="shared" si="6"/>
        <v>0.56216328660955706</v>
      </c>
      <c r="AD49" s="3">
        <v>0.18</v>
      </c>
      <c r="AE49" s="4">
        <f t="shared" si="7"/>
        <v>0.20936429258979664</v>
      </c>
      <c r="AF49" s="3">
        <f t="shared" si="8"/>
        <v>0.77152757919935366</v>
      </c>
      <c r="AH49" s="4"/>
      <c r="AN49"/>
      <c r="AO49"/>
      <c r="AP49"/>
      <c r="AQ49">
        <v>1970</v>
      </c>
      <c r="AR49" s="3">
        <f t="shared" si="9"/>
        <v>1.372499251422</v>
      </c>
      <c r="AS49" s="3">
        <f t="shared" si="20"/>
        <v>0.56216328660955706</v>
      </c>
      <c r="AT49" s="3">
        <f t="shared" si="21"/>
        <v>0.20936429258979664</v>
      </c>
      <c r="AU49" s="3">
        <f t="shared" si="22"/>
        <v>0.77152757919935366</v>
      </c>
      <c r="AV49" s="3">
        <f t="shared" si="10"/>
        <v>0.60097167222264636</v>
      </c>
      <c r="AX49" s="3">
        <v>14.572011112477206</v>
      </c>
      <c r="AZ49" s="3">
        <f t="shared" si="11"/>
        <v>9.4187359646384365</v>
      </c>
      <c r="BA49" s="3">
        <f t="shared" si="23"/>
        <v>9.2058163254208996</v>
      </c>
      <c r="BB49" s="3">
        <f t="shared" si="12"/>
        <v>5.2945854435887529</v>
      </c>
      <c r="BC49" s="3">
        <f t="shared" si="13"/>
        <v>4.1241505210496836</v>
      </c>
      <c r="BD49" s="3">
        <f t="shared" si="14"/>
        <v>3.9112308818321466</v>
      </c>
      <c r="BE49" s="3">
        <f t="shared" si="15"/>
        <v>172.41957754538669</v>
      </c>
      <c r="BF49" s="7">
        <v>0</v>
      </c>
      <c r="BG49" s="7">
        <v>0</v>
      </c>
      <c r="BH49" s="24">
        <v>1</v>
      </c>
      <c r="BI49" s="3"/>
      <c r="BJ49" s="3">
        <f t="shared" si="16"/>
        <v>10.319133589105256</v>
      </c>
      <c r="BK49" s="3">
        <f t="shared" si="17"/>
        <v>10.085859590441444</v>
      </c>
    </row>
    <row r="50" spans="1:63">
      <c r="A50">
        <v>1971</v>
      </c>
      <c r="B50" s="3">
        <f t="shared" si="0"/>
        <v>104.5089035504835</v>
      </c>
      <c r="C50" s="3">
        <f t="shared" si="1"/>
        <v>18.563021376325832</v>
      </c>
      <c r="D50" s="22">
        <v>73.025599999999997</v>
      </c>
      <c r="E50" s="3">
        <v>26.566040000000001</v>
      </c>
      <c r="F50" s="3">
        <f t="shared" si="18"/>
        <v>19.40001010624</v>
      </c>
      <c r="G50" s="3">
        <v>7.4169</v>
      </c>
      <c r="H50" s="3">
        <f t="shared" si="19"/>
        <v>1.4388793495697145</v>
      </c>
      <c r="I50" s="21">
        <f t="shared" si="2"/>
        <v>1.4388793495697145</v>
      </c>
      <c r="J50" s="21">
        <f t="shared" si="3"/>
        <v>1.4792338495320831</v>
      </c>
      <c r="K50" s="21"/>
      <c r="L50" s="21"/>
      <c r="M50" s="21"/>
      <c r="N50" s="21"/>
      <c r="O50"/>
      <c r="P50"/>
      <c r="Q50"/>
      <c r="R50"/>
      <c r="S50" s="23"/>
      <c r="T50" s="7">
        <f t="shared" si="4"/>
        <v>0.60624783261870641</v>
      </c>
      <c r="U50" s="21">
        <f t="shared" si="5"/>
        <v>0.64660233258107502</v>
      </c>
      <c r="V50" s="27"/>
      <c r="W50">
        <f>USA!Z58*G50</f>
        <v>26.404164000000002</v>
      </c>
      <c r="X50">
        <v>1</v>
      </c>
      <c r="Y50">
        <v>0</v>
      </c>
      <c r="Z50">
        <v>0</v>
      </c>
      <c r="AA50" s="23"/>
      <c r="AB50" s="3">
        <v>0.7</v>
      </c>
      <c r="AC50" s="3">
        <f t="shared" si="6"/>
        <v>0.61314144667766179</v>
      </c>
      <c r="AD50" s="3">
        <v>0.18</v>
      </c>
      <c r="AE50" s="4">
        <f t="shared" si="7"/>
        <v>0.2194900702733463</v>
      </c>
      <c r="AF50" s="3">
        <f t="shared" si="8"/>
        <v>0.83263151695100812</v>
      </c>
      <c r="AH50" s="4"/>
      <c r="AN50"/>
      <c r="AO50"/>
      <c r="AP50"/>
      <c r="AQ50">
        <v>1971</v>
      </c>
      <c r="AR50" s="3">
        <f t="shared" si="9"/>
        <v>1.4388793495697145</v>
      </c>
      <c r="AS50" s="3">
        <f t="shared" si="20"/>
        <v>0.61314144667766179</v>
      </c>
      <c r="AT50" s="3">
        <f t="shared" si="21"/>
        <v>0.2194900702733463</v>
      </c>
      <c r="AU50" s="3">
        <f t="shared" si="22"/>
        <v>0.83263151695100812</v>
      </c>
      <c r="AV50" s="3">
        <f t="shared" si="10"/>
        <v>0.60624783261870641</v>
      </c>
      <c r="AX50" s="3">
        <v>15.427370241205947</v>
      </c>
      <c r="AZ50" s="3">
        <f t="shared" si="11"/>
        <v>9.3267959935681066</v>
      </c>
      <c r="BA50" s="3">
        <f t="shared" si="23"/>
        <v>9.3007451556603478</v>
      </c>
      <c r="BB50" s="3">
        <f t="shared" si="12"/>
        <v>5.3971059482780772</v>
      </c>
      <c r="BC50" s="3">
        <f t="shared" si="13"/>
        <v>3.9296900452900294</v>
      </c>
      <c r="BD50" s="3">
        <f t="shared" si="14"/>
        <v>3.9036392073822697</v>
      </c>
      <c r="BE50" s="3">
        <f t="shared" si="15"/>
        <v>171.15142494911697</v>
      </c>
      <c r="BF50" s="7">
        <v>0</v>
      </c>
      <c r="BG50" s="7">
        <v>0</v>
      </c>
      <c r="BH50" s="24">
        <v>1</v>
      </c>
      <c r="BI50" s="3"/>
      <c r="BJ50" s="3">
        <f t="shared" si="16"/>
        <v>10.218404484136697</v>
      </c>
      <c r="BK50" s="3">
        <f t="shared" si="17"/>
        <v>10.189863278874382</v>
      </c>
    </row>
    <row r="51" spans="1:63">
      <c r="A51">
        <v>1972</v>
      </c>
      <c r="B51" s="3">
        <f t="shared" si="0"/>
        <v>107.005218273856</v>
      </c>
      <c r="C51" s="3">
        <f t="shared" si="1"/>
        <v>19.17664269444656</v>
      </c>
      <c r="D51" s="22">
        <v>74.769900000000007</v>
      </c>
      <c r="E51" s="3">
        <v>27.444210000000002</v>
      </c>
      <c r="F51" s="3">
        <f t="shared" si="18"/>
        <v>20.520008372790002</v>
      </c>
      <c r="G51" s="3">
        <v>6.9493</v>
      </c>
      <c r="H51" s="3">
        <f t="shared" si="19"/>
        <v>1.4259969418502956</v>
      </c>
      <c r="I51" s="21">
        <f t="shared" si="2"/>
        <v>1.4259969418502956</v>
      </c>
      <c r="J51" s="21">
        <f t="shared" si="3"/>
        <v>1.4583216431043831</v>
      </c>
      <c r="K51" s="21"/>
      <c r="L51" s="21"/>
      <c r="M51" s="21"/>
      <c r="N51" s="21" t="s">
        <v>174</v>
      </c>
      <c r="O51"/>
      <c r="P51"/>
      <c r="Q51"/>
      <c r="R51"/>
      <c r="S51" s="23"/>
      <c r="T51" s="7">
        <f t="shared" si="4"/>
        <v>0.60082004483292462</v>
      </c>
      <c r="U51" s="21">
        <f t="shared" si="5"/>
        <v>0.6331447460870121</v>
      </c>
      <c r="V51" s="27"/>
      <c r="W51">
        <f>USA!Z59*G51</f>
        <v>24.739508000000001</v>
      </c>
      <c r="X51">
        <v>1</v>
      </c>
      <c r="Y51">
        <v>0</v>
      </c>
      <c r="Z51">
        <v>0</v>
      </c>
      <c r="AA51" s="23"/>
      <c r="AB51" s="3">
        <v>0.7</v>
      </c>
      <c r="AC51" s="3">
        <f t="shared" si="6"/>
        <v>0.60765193978596987</v>
      </c>
      <c r="AD51" s="3">
        <v>0.18</v>
      </c>
      <c r="AE51" s="4">
        <f t="shared" si="7"/>
        <v>0.21752495723140103</v>
      </c>
      <c r="AF51" s="3">
        <f t="shared" si="8"/>
        <v>0.82517689701737096</v>
      </c>
      <c r="AH51" s="4"/>
      <c r="AN51"/>
      <c r="AO51"/>
      <c r="AP51"/>
      <c r="AQ51">
        <v>1972</v>
      </c>
      <c r="AR51" s="3">
        <f t="shared" si="9"/>
        <v>1.4259969418502956</v>
      </c>
      <c r="AS51" s="3">
        <f t="shared" si="20"/>
        <v>0.60765193978596987</v>
      </c>
      <c r="AT51" s="3">
        <f t="shared" si="21"/>
        <v>0.21752495723140103</v>
      </c>
      <c r="AU51" s="3">
        <f t="shared" si="22"/>
        <v>0.82517689701737096</v>
      </c>
      <c r="AV51" s="3">
        <f t="shared" si="10"/>
        <v>0.60082004483292462</v>
      </c>
      <c r="AX51" s="3">
        <v>16.439767963682321</v>
      </c>
      <c r="AZ51" s="3">
        <f t="shared" si="11"/>
        <v>8.6740697618148648</v>
      </c>
      <c r="BA51" s="3">
        <f t="shared" si="23"/>
        <v>8.7993211483969844</v>
      </c>
      <c r="BB51" s="3">
        <f t="shared" si="12"/>
        <v>5.0193950355035346</v>
      </c>
      <c r="BC51" s="3">
        <f t="shared" si="13"/>
        <v>3.6546747263113302</v>
      </c>
      <c r="BD51" s="3">
        <f t="shared" si="14"/>
        <v>3.7799261128934489</v>
      </c>
      <c r="BE51" s="3">
        <f t="shared" si="15"/>
        <v>150.48574927975221</v>
      </c>
      <c r="BF51" s="7">
        <v>0</v>
      </c>
      <c r="BG51" s="7">
        <v>0</v>
      </c>
      <c r="BH51" s="24">
        <v>1</v>
      </c>
      <c r="BI51" s="3"/>
      <c r="BJ51" s="3">
        <f t="shared" si="16"/>
        <v>9.5032799485447761</v>
      </c>
      <c r="BK51" s="3">
        <f t="shared" si="17"/>
        <v>9.640504921748617</v>
      </c>
    </row>
    <row r="52" spans="1:63">
      <c r="A52">
        <v>1973</v>
      </c>
      <c r="B52" s="3">
        <f t="shared" si="0"/>
        <v>135.49709520626752</v>
      </c>
      <c r="C52" s="3">
        <f t="shared" si="1"/>
        <v>20.369443941469338</v>
      </c>
      <c r="D52" s="22">
        <v>94.678600000000003</v>
      </c>
      <c r="E52" s="3">
        <v>29.151260000000001</v>
      </c>
      <c r="F52" s="3">
        <f t="shared" si="18"/>
        <v>27.600004850360001</v>
      </c>
      <c r="G52" s="3">
        <v>6.0495000000000001</v>
      </c>
      <c r="H52" s="3">
        <f t="shared" si="19"/>
        <v>1.6696622934225283</v>
      </c>
      <c r="I52" s="21">
        <f t="shared" si="2"/>
        <v>1.6696622934225283</v>
      </c>
      <c r="J52" s="21">
        <f t="shared" si="3"/>
        <v>1.6804432149844664</v>
      </c>
      <c r="K52" s="21"/>
      <c r="L52" s="21"/>
      <c r="M52" s="21"/>
      <c r="N52" s="21"/>
      <c r="O52"/>
      <c r="P52"/>
      <c r="Q52"/>
      <c r="R52"/>
      <c r="S52" s="23"/>
      <c r="T52" s="7">
        <f t="shared" si="4"/>
        <v>0.81390471263370168</v>
      </c>
      <c r="U52" s="21">
        <f t="shared" si="5"/>
        <v>0.82468563419563978</v>
      </c>
      <c r="V52" s="27"/>
      <c r="W52">
        <f>USA!Z60*G52</f>
        <v>23.411565</v>
      </c>
      <c r="X52">
        <v>0.5</v>
      </c>
      <c r="Y52">
        <v>0</v>
      </c>
      <c r="Z52">
        <v>0</v>
      </c>
      <c r="AA52" s="23"/>
      <c r="AB52" s="3">
        <v>0.62</v>
      </c>
      <c r="AC52" s="3">
        <f t="shared" si="6"/>
        <v>0.6010633326396273</v>
      </c>
      <c r="AD52" s="3">
        <v>0.18</v>
      </c>
      <c r="AE52" s="4">
        <f t="shared" si="7"/>
        <v>0.25469424814919922</v>
      </c>
      <c r="AF52" s="3">
        <f t="shared" si="8"/>
        <v>0.85575758078882658</v>
      </c>
      <c r="AH52" s="4"/>
      <c r="AN52"/>
      <c r="AO52"/>
      <c r="AP52"/>
      <c r="AQ52">
        <v>1973</v>
      </c>
      <c r="AR52" s="3">
        <f t="shared" si="9"/>
        <v>1.6696622934225283</v>
      </c>
      <c r="AS52" s="3">
        <f t="shared" si="20"/>
        <v>0.6010633326396273</v>
      </c>
      <c r="AT52" s="3">
        <f t="shared" si="21"/>
        <v>0.25469424814919922</v>
      </c>
      <c r="AU52" s="3">
        <f t="shared" si="22"/>
        <v>0.85575758078882658</v>
      </c>
      <c r="AV52" s="3">
        <f t="shared" si="10"/>
        <v>0.81390471263370168</v>
      </c>
      <c r="AX52" s="3">
        <v>17.969223528041066</v>
      </c>
      <c r="AZ52" s="3">
        <f t="shared" si="11"/>
        <v>9.2917887677061373</v>
      </c>
      <c r="BA52" s="3">
        <f t="shared" si="23"/>
        <v>9.4419256748671501</v>
      </c>
      <c r="BB52" s="3">
        <f t="shared" si="12"/>
        <v>4.7623514697416525</v>
      </c>
      <c r="BC52" s="3">
        <f>AZ52-BB52</f>
        <v>4.5294372979644848</v>
      </c>
      <c r="BD52" s="3">
        <f t="shared" si="14"/>
        <v>4.6795742051254976</v>
      </c>
      <c r="BE52" s="3">
        <f t="shared" si="15"/>
        <v>130.28701525954159</v>
      </c>
      <c r="BF52" s="24">
        <v>1</v>
      </c>
      <c r="BG52" s="7">
        <v>0</v>
      </c>
      <c r="BH52" s="7">
        <v>0</v>
      </c>
      <c r="BI52" s="3"/>
      <c r="BJ52" s="3">
        <f t="shared" si="16"/>
        <v>10.180050692119393</v>
      </c>
      <c r="BK52" s="3">
        <f t="shared" si="17"/>
        <v>10.344540153068952</v>
      </c>
    </row>
    <row r="53" spans="1:63">
      <c r="A53">
        <v>1974</v>
      </c>
      <c r="B53" s="3">
        <f t="shared" si="0"/>
        <v>167.21716517973351</v>
      </c>
      <c r="C53" s="3">
        <f t="shared" si="1"/>
        <v>22.617266903639468</v>
      </c>
      <c r="D53" s="22">
        <v>116.843</v>
      </c>
      <c r="E53" s="3">
        <v>32.368180000000002</v>
      </c>
      <c r="F53" s="3">
        <f t="shared" si="18"/>
        <v>37.819952557400001</v>
      </c>
      <c r="G53" s="3">
        <v>6.0949</v>
      </c>
      <c r="H53" s="3">
        <f t="shared" si="19"/>
        <v>2.3050882884209729</v>
      </c>
      <c r="I53" s="21">
        <f t="shared" si="2"/>
        <v>2.3050882884209729</v>
      </c>
      <c r="J53" s="21">
        <f t="shared" si="3"/>
        <v>2.2694836190491756</v>
      </c>
      <c r="K53" s="21"/>
      <c r="L53" s="21"/>
      <c r="M53" s="21"/>
      <c r="N53" s="21"/>
      <c r="O53"/>
      <c r="P53"/>
      <c r="Q53"/>
      <c r="R53"/>
      <c r="S53" s="23"/>
      <c r="T53" s="7">
        <f t="shared" si="4"/>
        <v>1.2760968764698506</v>
      </c>
      <c r="U53" s="21">
        <f t="shared" si="5"/>
        <v>1.2404922070980535</v>
      </c>
      <c r="V53" s="27"/>
      <c r="W53">
        <f>USA!Z61*G53</f>
        <v>74.845371999999998</v>
      </c>
      <c r="X53">
        <v>0.5</v>
      </c>
      <c r="Y53">
        <v>0</v>
      </c>
      <c r="Z53">
        <v>0</v>
      </c>
      <c r="AA53" s="23"/>
      <c r="AB53" s="3">
        <v>0.54</v>
      </c>
      <c r="AC53" s="3">
        <f t="shared" si="6"/>
        <v>0.67736777473436371</v>
      </c>
      <c r="AD53" s="3">
        <v>0.18</v>
      </c>
      <c r="AE53" s="4">
        <f t="shared" si="7"/>
        <v>0.3516236372167586</v>
      </c>
      <c r="AF53" s="3">
        <f t="shared" si="8"/>
        <v>1.0289914119511223</v>
      </c>
      <c r="AH53" s="4"/>
      <c r="AN53"/>
      <c r="AO53"/>
      <c r="AP53"/>
      <c r="AQ53">
        <v>1974</v>
      </c>
      <c r="AR53" s="3">
        <f t="shared" si="9"/>
        <v>2.3050882884209729</v>
      </c>
      <c r="AS53" s="3">
        <f t="shared" si="20"/>
        <v>0.67736777473436371</v>
      </c>
      <c r="AT53" s="3">
        <f t="shared" si="21"/>
        <v>0.3516236372167586</v>
      </c>
      <c r="AU53" s="3">
        <f t="shared" si="22"/>
        <v>1.0289914119511223</v>
      </c>
      <c r="AV53" s="3">
        <f t="shared" si="10"/>
        <v>1.2760968764698506</v>
      </c>
      <c r="AX53" s="3">
        <v>20.714058360396397</v>
      </c>
      <c r="AZ53" s="3">
        <f t="shared" si="11"/>
        <v>11.128134565982082</v>
      </c>
      <c r="BA53" s="3">
        <f t="shared" si="23"/>
        <v>10.359510547499225</v>
      </c>
      <c r="BB53" s="3">
        <f t="shared" si="12"/>
        <v>4.9675992702544018</v>
      </c>
      <c r="BC53" s="3">
        <f t="shared" ref="BC53:BC96" si="24">AZ53-BB53</f>
        <v>6.16053529572768</v>
      </c>
      <c r="BD53" s="3">
        <f t="shared" si="14"/>
        <v>5.391911277244823</v>
      </c>
      <c r="BE53" s="3">
        <f t="shared" si="15"/>
        <v>361.32645132978041</v>
      </c>
      <c r="BF53" s="24">
        <v>0.65</v>
      </c>
      <c r="BG53" s="7">
        <v>0</v>
      </c>
      <c r="BH53" s="7">
        <v>0</v>
      </c>
      <c r="BI53" s="3"/>
      <c r="BJ53" s="3">
        <f t="shared" si="16"/>
        <v>12.191944610724322</v>
      </c>
      <c r="BK53" s="3">
        <f t="shared" si="17"/>
        <v>11.349842872625118</v>
      </c>
    </row>
    <row r="54" spans="1:63">
      <c r="A54">
        <v>1975</v>
      </c>
      <c r="B54" s="3">
        <f t="shared" si="0"/>
        <v>142.20507340462296</v>
      </c>
      <c r="C54" s="3">
        <f t="shared" si="1"/>
        <v>24.682660206706046</v>
      </c>
      <c r="D54" s="22">
        <v>99.365799999999993</v>
      </c>
      <c r="E54" s="3">
        <v>35.324019999999997</v>
      </c>
      <c r="F54" s="3">
        <f t="shared" si="18"/>
        <v>35.099995065159995</v>
      </c>
      <c r="G54" s="3">
        <v>5.7462</v>
      </c>
      <c r="H54" s="3">
        <f t="shared" si="19"/>
        <v>2.0169159164342236</v>
      </c>
      <c r="I54" s="21">
        <f t="shared" si="2"/>
        <v>2.0169159164342236</v>
      </c>
      <c r="J54" s="21">
        <f t="shared" si="3"/>
        <v>2.1076700890005755</v>
      </c>
      <c r="K54" s="21"/>
      <c r="L54" s="21"/>
      <c r="M54" s="21"/>
      <c r="N54" s="21"/>
      <c r="O54"/>
      <c r="P54"/>
      <c r="Q54"/>
      <c r="R54"/>
      <c r="S54" s="23"/>
      <c r="T54" s="7">
        <f t="shared" si="4"/>
        <v>1.1332378229138422</v>
      </c>
      <c r="U54" s="21">
        <f t="shared" si="5"/>
        <v>1.2239919954801941</v>
      </c>
      <c r="V54" s="27"/>
      <c r="W54">
        <f>USA!Z62*G54</f>
        <v>72.804354000000004</v>
      </c>
      <c r="X54">
        <v>0.5</v>
      </c>
      <c r="Y54">
        <v>0</v>
      </c>
      <c r="Z54">
        <v>0</v>
      </c>
      <c r="AA54" s="23"/>
      <c r="AB54" s="3">
        <v>0.53</v>
      </c>
      <c r="AC54" s="3">
        <f t="shared" si="6"/>
        <v>0.57601295372533023</v>
      </c>
      <c r="AD54" s="3">
        <v>0.18</v>
      </c>
      <c r="AE54" s="4">
        <f t="shared" si="7"/>
        <v>0.30766513979505106</v>
      </c>
      <c r="AF54" s="3">
        <f t="shared" si="8"/>
        <v>0.88367809352038129</v>
      </c>
      <c r="AH54" s="4"/>
      <c r="AN54"/>
      <c r="AO54"/>
      <c r="AP54"/>
      <c r="AQ54">
        <v>1975</v>
      </c>
      <c r="AR54" s="3">
        <f t="shared" si="9"/>
        <v>2.0169159164342236</v>
      </c>
      <c r="AS54" s="3">
        <f t="shared" si="20"/>
        <v>0.57601295372533023</v>
      </c>
      <c r="AT54" s="3">
        <f t="shared" si="21"/>
        <v>0.30766513979505106</v>
      </c>
      <c r="AU54" s="3">
        <f t="shared" si="22"/>
        <v>0.88367809352038129</v>
      </c>
      <c r="AV54" s="3">
        <f t="shared" si="10"/>
        <v>1.1332378229138422</v>
      </c>
      <c r="AX54" s="3">
        <v>22.703770850230804</v>
      </c>
      <c r="AZ54" s="3">
        <f t="shared" si="11"/>
        <v>8.8836164253909384</v>
      </c>
      <c r="BA54" s="3">
        <f t="shared" si="23"/>
        <v>9.0407383248356066</v>
      </c>
      <c r="BB54" s="3">
        <f t="shared" si="12"/>
        <v>3.8922084765112839</v>
      </c>
      <c r="BC54" s="3">
        <f t="shared" si="24"/>
        <v>4.9914079488796546</v>
      </c>
      <c r="BD54" s="3">
        <f t="shared" si="14"/>
        <v>5.1485298483243227</v>
      </c>
      <c r="BE54" s="3">
        <f t="shared" si="15"/>
        <v>320.67075764755566</v>
      </c>
      <c r="BF54" s="24">
        <v>0.65</v>
      </c>
      <c r="BG54" s="7">
        <v>0</v>
      </c>
      <c r="BH54" s="7">
        <v>0</v>
      </c>
      <c r="BI54" s="3"/>
      <c r="BJ54" s="3">
        <f t="shared" si="16"/>
        <v>9.7328585271046872</v>
      </c>
      <c r="BK54" s="3">
        <f t="shared" si="17"/>
        <v>9.9050007207313815</v>
      </c>
    </row>
    <row r="55" spans="1:63">
      <c r="A55">
        <v>1976</v>
      </c>
      <c r="B55" s="3">
        <f t="shared" si="0"/>
        <v>173.34238848767035</v>
      </c>
      <c r="C55" s="3">
        <f t="shared" si="1"/>
        <v>26.098712089869402</v>
      </c>
      <c r="D55" s="22">
        <v>121.123</v>
      </c>
      <c r="E55" s="3">
        <v>37.350569999999998</v>
      </c>
      <c r="F55" s="3">
        <f t="shared" si="18"/>
        <v>45.240130901100002</v>
      </c>
      <c r="G55" s="3">
        <v>6.044999999999999</v>
      </c>
      <c r="H55" s="3">
        <f t="shared" si="19"/>
        <v>2.7347659129714947</v>
      </c>
      <c r="I55" s="21">
        <f t="shared" si="2"/>
        <v>2.7347659129714947</v>
      </c>
      <c r="J55" s="21">
        <f t="shared" si="3"/>
        <v>2.7106288663792757</v>
      </c>
      <c r="K55" s="21"/>
      <c r="L55" s="21"/>
      <c r="M55" s="21"/>
      <c r="N55" s="21"/>
      <c r="O55"/>
      <c r="P55"/>
      <c r="Q55"/>
      <c r="R55"/>
      <c r="S55" s="23"/>
      <c r="T55" s="7">
        <f t="shared" si="4"/>
        <v>1.3104998254959401</v>
      </c>
      <c r="U55" s="21">
        <f t="shared" si="5"/>
        <v>1.2863627789037209</v>
      </c>
      <c r="V55" s="27"/>
      <c r="W55">
        <f>USA!Z63*G55</f>
        <v>80.51939999999999</v>
      </c>
      <c r="X55">
        <v>0.5</v>
      </c>
      <c r="Y55">
        <v>0</v>
      </c>
      <c r="Z55">
        <v>0</v>
      </c>
      <c r="AA55" s="23"/>
      <c r="AB55" s="3">
        <v>0.63</v>
      </c>
      <c r="AC55" s="3">
        <f t="shared" si="6"/>
        <v>1.007098405835835</v>
      </c>
      <c r="AD55" s="3">
        <v>0.18</v>
      </c>
      <c r="AE55" s="4">
        <f t="shared" si="7"/>
        <v>0.41716768163971957</v>
      </c>
      <c r="AF55" s="3">
        <f t="shared" si="8"/>
        <v>1.4242660874755546</v>
      </c>
      <c r="AH55" s="21"/>
      <c r="AN55"/>
      <c r="AO55"/>
      <c r="AP55"/>
      <c r="AQ55">
        <v>1976</v>
      </c>
      <c r="AR55" s="3">
        <f t="shared" si="9"/>
        <v>2.7347659129714947</v>
      </c>
      <c r="AS55" s="3">
        <f t="shared" si="20"/>
        <v>1.007098405835835</v>
      </c>
      <c r="AT55" s="3">
        <f t="shared" si="21"/>
        <v>0.41716768163971957</v>
      </c>
      <c r="AU55" s="3">
        <f t="shared" si="22"/>
        <v>1.4242660874755546</v>
      </c>
      <c r="AV55" s="3">
        <f t="shared" si="10"/>
        <v>1.3104998254959401</v>
      </c>
      <c r="AX55" s="3">
        <v>24.749449169224565</v>
      </c>
      <c r="AZ55" s="3">
        <f t="shared" si="11"/>
        <v>11.049805166460514</v>
      </c>
      <c r="BA55" s="3">
        <f t="shared" si="23"/>
        <v>10.931209276241342</v>
      </c>
      <c r="BB55" s="3">
        <f t="shared" si="12"/>
        <v>5.7547385306926362</v>
      </c>
      <c r="BC55" s="3">
        <f t="shared" si="24"/>
        <v>5.2950666357678777</v>
      </c>
      <c r="BD55" s="3">
        <f t="shared" si="14"/>
        <v>5.1764707455487056</v>
      </c>
      <c r="BE55" s="3">
        <f t="shared" si="15"/>
        <v>325.33814974809309</v>
      </c>
      <c r="BF55" s="24">
        <v>0.65</v>
      </c>
      <c r="BG55" s="7">
        <v>0</v>
      </c>
      <c r="BH55" s="7">
        <v>0</v>
      </c>
      <c r="BI55" s="3"/>
      <c r="BJ55" s="3">
        <f t="shared" si="16"/>
        <v>12.106127199486542</v>
      </c>
      <c r="BK55" s="3">
        <f t="shared" si="17"/>
        <v>11.976193964402222</v>
      </c>
    </row>
    <row r="56" spans="1:63">
      <c r="A56">
        <v>1977</v>
      </c>
      <c r="B56" s="3">
        <f t="shared" si="0"/>
        <v>169.79891818149002</v>
      </c>
      <c r="C56" s="3">
        <f t="shared" si="1"/>
        <v>27.791594761847083</v>
      </c>
      <c r="D56" s="22">
        <v>118.64700000000001</v>
      </c>
      <c r="E56" s="3">
        <v>39.773299999999999</v>
      </c>
      <c r="F56" s="3">
        <f t="shared" si="18"/>
        <v>47.189827250999997</v>
      </c>
      <c r="G56" s="3">
        <v>6.0031999999999988</v>
      </c>
      <c r="H56" s="3">
        <f t="shared" si="19"/>
        <v>2.8328997095320312</v>
      </c>
      <c r="I56" s="21">
        <f t="shared" si="2"/>
        <v>2.8328997095320312</v>
      </c>
      <c r="J56" s="21">
        <f t="shared" si="3"/>
        <v>2.8077087672670071</v>
      </c>
      <c r="K56" s="21"/>
      <c r="L56" s="21"/>
      <c r="M56" s="21"/>
      <c r="N56" s="21"/>
      <c r="O56"/>
      <c r="P56"/>
      <c r="Q56"/>
      <c r="R56"/>
      <c r="S56" s="23"/>
      <c r="T56" s="7">
        <f t="shared" si="4"/>
        <v>1.3575255408077493</v>
      </c>
      <c r="U56" s="21">
        <f t="shared" si="5"/>
        <v>1.3323345985427253</v>
      </c>
      <c r="V56" s="27"/>
      <c r="W56">
        <f>USA!Z64*G56</f>
        <v>86.205951999999982</v>
      </c>
      <c r="X56">
        <v>0.5</v>
      </c>
      <c r="Y56">
        <v>0</v>
      </c>
      <c r="Z56">
        <v>0</v>
      </c>
      <c r="AA56" s="23"/>
      <c r="AB56" s="3">
        <v>0.63</v>
      </c>
      <c r="AC56" s="3">
        <f t="shared" si="6"/>
        <v>1.0432369248973619</v>
      </c>
      <c r="AD56" s="3">
        <v>0.18</v>
      </c>
      <c r="AE56" s="4">
        <f t="shared" si="7"/>
        <v>0.43213724382691998</v>
      </c>
      <c r="AF56" s="3">
        <f t="shared" si="8"/>
        <v>1.4753741687242818</v>
      </c>
      <c r="AH56" s="4"/>
      <c r="AN56"/>
      <c r="AO56"/>
      <c r="AP56"/>
      <c r="AQ56">
        <v>1977</v>
      </c>
      <c r="AR56" s="3">
        <f t="shared" si="9"/>
        <v>2.8328997095320312</v>
      </c>
      <c r="AS56" s="3">
        <f t="shared" si="20"/>
        <v>1.0432369248973619</v>
      </c>
      <c r="AT56" s="3">
        <f t="shared" si="21"/>
        <v>0.43213724382691998</v>
      </c>
      <c r="AU56" s="3">
        <f t="shared" si="22"/>
        <v>1.4753741687242818</v>
      </c>
      <c r="AV56" s="3">
        <f t="shared" si="10"/>
        <v>1.3575255408077493</v>
      </c>
      <c r="AX56" s="3">
        <v>27.452643406165276</v>
      </c>
      <c r="AZ56" s="3">
        <f t="shared" si="11"/>
        <v>10.319223790652607</v>
      </c>
      <c r="BA56" s="3">
        <f t="shared" si="23"/>
        <v>10.482949181127207</v>
      </c>
      <c r="BB56" s="3">
        <f t="shared" si="12"/>
        <v>5.3742517501718776</v>
      </c>
      <c r="BC56" s="3">
        <f t="shared" si="24"/>
        <v>4.9449720404807298</v>
      </c>
      <c r="BD56" s="3">
        <f t="shared" si="14"/>
        <v>5.1086974309553286</v>
      </c>
      <c r="BE56" s="3">
        <f t="shared" si="15"/>
        <v>314.0169444689613</v>
      </c>
      <c r="BF56" s="24">
        <v>0.65</v>
      </c>
      <c r="BG56" s="7">
        <v>0</v>
      </c>
      <c r="BH56" s="7">
        <v>0</v>
      </c>
      <c r="BI56" s="3"/>
      <c r="BJ56" s="3">
        <f t="shared" si="16"/>
        <v>11.305704845257877</v>
      </c>
      <c r="BK56" s="3">
        <f t="shared" si="17"/>
        <v>11.485081800146395</v>
      </c>
    </row>
    <row r="57" spans="1:63">
      <c r="A57">
        <v>1978</v>
      </c>
      <c r="B57" s="3">
        <f t="shared" si="0"/>
        <v>167.12986643632598</v>
      </c>
      <c r="C57" s="3">
        <f t="shared" si="1"/>
        <v>29.916940817905406</v>
      </c>
      <c r="D57" s="22">
        <v>116.782</v>
      </c>
      <c r="E57" s="3">
        <v>42.81494</v>
      </c>
      <c r="F57" s="3">
        <f t="shared" si="18"/>
        <v>50.000143230799992</v>
      </c>
      <c r="G57" s="3">
        <v>5.5145999999999988</v>
      </c>
      <c r="H57" s="3">
        <f t="shared" si="19"/>
        <v>2.757307898605696</v>
      </c>
      <c r="I57" s="21">
        <f t="shared" si="2"/>
        <v>2.757307898605696</v>
      </c>
      <c r="J57" s="21">
        <f t="shared" si="3"/>
        <v>2.7335207878432142</v>
      </c>
      <c r="K57" s="21"/>
      <c r="L57" s="21"/>
      <c r="M57" s="21"/>
      <c r="N57" s="21"/>
      <c r="O57"/>
      <c r="P57"/>
      <c r="Q57"/>
      <c r="R57"/>
      <c r="S57" s="23"/>
      <c r="T57" s="7">
        <f t="shared" si="4"/>
        <v>1.2985081997167089</v>
      </c>
      <c r="U57" s="21">
        <f t="shared" si="5"/>
        <v>1.2747210889542271</v>
      </c>
      <c r="V57" s="27"/>
      <c r="W57">
        <f>USA!Z65*G57</f>
        <v>79.079363999999984</v>
      </c>
      <c r="X57">
        <v>0.5</v>
      </c>
      <c r="Y57">
        <v>0</v>
      </c>
      <c r="Z57">
        <v>0</v>
      </c>
      <c r="AA57" s="23"/>
      <c r="AB57" s="3">
        <v>0.64</v>
      </c>
      <c r="AC57" s="3">
        <f t="shared" si="6"/>
        <v>1.0381934092711691</v>
      </c>
      <c r="AD57" s="3">
        <v>0.18</v>
      </c>
      <c r="AE57" s="4">
        <f t="shared" si="7"/>
        <v>0.42060628961781804</v>
      </c>
      <c r="AF57" s="3">
        <f t="shared" si="8"/>
        <v>1.4587996988889871</v>
      </c>
      <c r="AH57" s="4"/>
      <c r="AN57"/>
      <c r="AO57"/>
      <c r="AP57"/>
      <c r="AQ57">
        <v>1978</v>
      </c>
      <c r="AR57" s="3">
        <f t="shared" si="9"/>
        <v>2.757307898605696</v>
      </c>
      <c r="AS57" s="3">
        <f t="shared" si="20"/>
        <v>1.0381934092711691</v>
      </c>
      <c r="AT57" s="3">
        <f t="shared" si="21"/>
        <v>0.42060628961781804</v>
      </c>
      <c r="AU57" s="3">
        <f t="shared" si="22"/>
        <v>1.4587996988889871</v>
      </c>
      <c r="AV57" s="3">
        <f t="shared" si="10"/>
        <v>1.2985081997167089</v>
      </c>
      <c r="AX57" s="3">
        <v>30.256560319419076</v>
      </c>
      <c r="AZ57" s="3">
        <f t="shared" si="11"/>
        <v>9.1130910767673026</v>
      </c>
      <c r="BA57" s="3">
        <f t="shared" si="23"/>
        <v>9.6149205624613572</v>
      </c>
      <c r="BB57" s="3">
        <f t="shared" si="12"/>
        <v>4.8214327190150206</v>
      </c>
      <c r="BC57" s="3">
        <f t="shared" si="24"/>
        <v>4.291658357752282</v>
      </c>
      <c r="BD57" s="3">
        <f t="shared" si="14"/>
        <v>4.7934878434463357</v>
      </c>
      <c r="BE57" s="3">
        <f t="shared" si="15"/>
        <v>261.36270337790432</v>
      </c>
      <c r="BF57" s="24">
        <v>0.65</v>
      </c>
      <c r="BG57" s="7">
        <v>0</v>
      </c>
      <c r="BH57" s="7">
        <v>0</v>
      </c>
      <c r="BI57" s="3"/>
      <c r="BJ57" s="3">
        <f t="shared" si="16"/>
        <v>9.9842701381485011</v>
      </c>
      <c r="BK57" s="3">
        <f t="shared" si="17"/>
        <v>10.534072735999295</v>
      </c>
    </row>
    <row r="58" spans="1:63">
      <c r="A58">
        <v>1979</v>
      </c>
      <c r="B58" s="3">
        <f t="shared" si="0"/>
        <v>193.16635887588066</v>
      </c>
      <c r="C58" s="3">
        <f t="shared" si="1"/>
        <v>33.287054161079702</v>
      </c>
      <c r="D58" s="22">
        <v>134.97499999999999</v>
      </c>
      <c r="E58" s="3">
        <v>47.637999999999998</v>
      </c>
      <c r="F58" s="3">
        <f t="shared" si="18"/>
        <v>64.299390499999987</v>
      </c>
      <c r="G58" s="3">
        <v>5.2609999999999992</v>
      </c>
      <c r="H58" s="3">
        <f t="shared" si="19"/>
        <v>3.3827909342049987</v>
      </c>
      <c r="I58" s="21">
        <f t="shared" si="2"/>
        <v>3.3827909342049987</v>
      </c>
      <c r="J58" s="21">
        <f t="shared" si="3"/>
        <v>3.4829395400613627</v>
      </c>
      <c r="K58" s="21"/>
      <c r="L58" s="21"/>
      <c r="M58" s="21"/>
      <c r="N58" s="21"/>
      <c r="O58"/>
      <c r="P58"/>
      <c r="Q58"/>
      <c r="R58"/>
      <c r="S58" s="23"/>
      <c r="T58" s="7">
        <f t="shared" si="4"/>
        <v>1.6489978207271301</v>
      </c>
      <c r="U58" s="21">
        <f t="shared" si="5"/>
        <v>1.7491464265834944</v>
      </c>
      <c r="V58" s="27"/>
      <c r="W58">
        <f>USA!Z66*G58</f>
        <v>112.74322999999998</v>
      </c>
      <c r="X58">
        <v>0</v>
      </c>
      <c r="Y58">
        <v>0</v>
      </c>
      <c r="Z58">
        <v>0</v>
      </c>
      <c r="AA58" s="23"/>
      <c r="AB58" s="3">
        <v>0.62</v>
      </c>
      <c r="AC58" s="3">
        <f t="shared" si="6"/>
        <v>1.1699946244437021</v>
      </c>
      <c r="AD58" s="3">
        <v>0.2</v>
      </c>
      <c r="AE58" s="4">
        <f t="shared" si="7"/>
        <v>0.56379848903416652</v>
      </c>
      <c r="AF58" s="3">
        <f t="shared" si="8"/>
        <v>1.7337931134778686</v>
      </c>
      <c r="AH58" s="4"/>
      <c r="AN58"/>
      <c r="AO58"/>
      <c r="AP58"/>
      <c r="AQ58">
        <v>1979</v>
      </c>
      <c r="AR58" s="3">
        <f t="shared" si="9"/>
        <v>3.3827909342049987</v>
      </c>
      <c r="AS58" s="3">
        <f t="shared" si="20"/>
        <v>1.1699946244437021</v>
      </c>
      <c r="AT58" s="3">
        <f t="shared" si="21"/>
        <v>0.56379848903416652</v>
      </c>
      <c r="AU58" s="3">
        <f t="shared" si="22"/>
        <v>1.7337931134778686</v>
      </c>
      <c r="AV58" s="3">
        <f t="shared" si="10"/>
        <v>1.6489978207271301</v>
      </c>
      <c r="AX58" s="3">
        <v>33.164534972826615</v>
      </c>
      <c r="AZ58" s="3">
        <f t="shared" si="11"/>
        <v>10.200025228686881</v>
      </c>
      <c r="BA58" s="3">
        <f t="shared" si="23"/>
        <v>10.491803223054127</v>
      </c>
      <c r="BB58" s="3">
        <f t="shared" si="12"/>
        <v>5.2278529305429826</v>
      </c>
      <c r="BC58" s="3">
        <f t="shared" si="24"/>
        <v>4.9721722981438985</v>
      </c>
      <c r="BD58" s="3">
        <f t="shared" si="14"/>
        <v>5.2639502925111437</v>
      </c>
      <c r="BE58" s="3">
        <f t="shared" si="15"/>
        <v>339.95118608590838</v>
      </c>
      <c r="BF58" s="24">
        <v>0.65</v>
      </c>
      <c r="BG58" s="7">
        <v>0</v>
      </c>
      <c r="BH58" s="7">
        <v>0</v>
      </c>
      <c r="BI58" s="3"/>
      <c r="BJ58" s="3">
        <f t="shared" si="16"/>
        <v>11.17511132515374</v>
      </c>
      <c r="BK58" s="3">
        <f t="shared" si="17"/>
        <v>11.494782256958269</v>
      </c>
    </row>
    <row r="59" spans="1:63">
      <c r="A59">
        <v>1980</v>
      </c>
      <c r="B59" s="3">
        <f t="shared" si="0"/>
        <v>213.05186772255874</v>
      </c>
      <c r="C59" s="3">
        <f t="shared" si="1"/>
        <v>37.784321185500851</v>
      </c>
      <c r="D59" s="22">
        <v>148.87</v>
      </c>
      <c r="E59" s="3">
        <v>54.074159999999999</v>
      </c>
      <c r="F59" s="3">
        <f t="shared" si="18"/>
        <v>80.500201992000001</v>
      </c>
      <c r="G59" s="3">
        <v>5.6359000000000004</v>
      </c>
      <c r="H59" s="3">
        <f t="shared" si="19"/>
        <v>4.5369108840671286</v>
      </c>
      <c r="I59" s="21">
        <f t="shared" si="2"/>
        <v>4.5369108840671286</v>
      </c>
      <c r="J59" s="21">
        <f t="shared" si="3"/>
        <v>4.4400291862257149</v>
      </c>
      <c r="K59" s="21"/>
      <c r="L59" s="21"/>
      <c r="M59" s="21"/>
      <c r="N59" s="21"/>
      <c r="O59"/>
      <c r="P59"/>
      <c r="Q59"/>
      <c r="R59"/>
      <c r="S59" s="23"/>
      <c r="T59" s="7">
        <f t="shared" si="4"/>
        <v>2.4741287354446073</v>
      </c>
      <c r="U59" s="21">
        <f t="shared" si="5"/>
        <v>2.377247037603194</v>
      </c>
      <c r="V59" s="27"/>
      <c r="W59">
        <f>USA!Z67*G59</f>
        <v>190.437061</v>
      </c>
      <c r="X59">
        <v>0</v>
      </c>
      <c r="Y59">
        <v>0</v>
      </c>
      <c r="Z59">
        <v>0</v>
      </c>
      <c r="AA59" s="23"/>
      <c r="AB59" s="3">
        <v>0.55000000000000004</v>
      </c>
      <c r="AC59" s="3">
        <f t="shared" si="6"/>
        <v>1.2753843918835981</v>
      </c>
      <c r="AD59" s="3">
        <v>0.21</v>
      </c>
      <c r="AE59" s="4">
        <f t="shared" si="7"/>
        <v>0.7873977567389232</v>
      </c>
      <c r="AF59" s="3">
        <f t="shared" si="8"/>
        <v>2.0627821486225213</v>
      </c>
      <c r="AH59" s="4"/>
      <c r="AN59"/>
      <c r="AO59"/>
      <c r="AP59"/>
      <c r="AQ59">
        <v>1980</v>
      </c>
      <c r="AR59" s="3">
        <f t="shared" si="9"/>
        <v>4.5369108840671286</v>
      </c>
      <c r="AS59" s="3">
        <f t="shared" si="20"/>
        <v>1.2753843918835981</v>
      </c>
      <c r="AT59" s="3">
        <f t="shared" si="21"/>
        <v>0.7873977567389232</v>
      </c>
      <c r="AU59" s="3">
        <f t="shared" si="22"/>
        <v>2.0627821486225213</v>
      </c>
      <c r="AV59" s="3">
        <f t="shared" si="10"/>
        <v>2.4741287354446073</v>
      </c>
      <c r="AX59" s="3">
        <v>37.245537127744846</v>
      </c>
      <c r="AZ59" s="3">
        <f t="shared" si="11"/>
        <v>12.181085933883621</v>
      </c>
      <c r="BA59" s="3">
        <f t="shared" si="23"/>
        <v>11.828057467158562</v>
      </c>
      <c r="BB59" s="3">
        <f t="shared" si="12"/>
        <v>5.5383337379390865</v>
      </c>
      <c r="BC59" s="3">
        <f t="shared" si="24"/>
        <v>6.6427521959445341</v>
      </c>
      <c r="BD59" s="3">
        <f t="shared" si="14"/>
        <v>6.2897237292194763</v>
      </c>
      <c r="BE59" s="3">
        <f t="shared" si="15"/>
        <v>511.30169058064172</v>
      </c>
      <c r="BF59" s="24">
        <v>0.65</v>
      </c>
      <c r="BG59" s="7">
        <v>0</v>
      </c>
      <c r="BH59" s="7">
        <v>0</v>
      </c>
      <c r="BI59" s="3"/>
      <c r="BJ59" s="3">
        <f t="shared" si="16"/>
        <v>13.345554380549119</v>
      </c>
      <c r="BK59" s="3">
        <f t="shared" si="17"/>
        <v>12.958777649300902</v>
      </c>
    </row>
    <row r="60" spans="1:63">
      <c r="A60">
        <v>1981</v>
      </c>
      <c r="B60" s="3">
        <f t="shared" si="0"/>
        <v>178.73487480176044</v>
      </c>
      <c r="C60" s="3">
        <f t="shared" si="1"/>
        <v>41.681969842500045</v>
      </c>
      <c r="D60" s="22">
        <v>124.89100000000001</v>
      </c>
      <c r="E60" s="3">
        <v>59.652189999999997</v>
      </c>
      <c r="F60" s="3">
        <f t="shared" si="18"/>
        <v>74.500216612900005</v>
      </c>
      <c r="G60" s="3">
        <v>7.1233999999999993</v>
      </c>
      <c r="H60" s="3">
        <f t="shared" si="19"/>
        <v>5.3069484302033185</v>
      </c>
      <c r="I60" s="21">
        <f t="shared" si="2"/>
        <v>5.3069484302033185</v>
      </c>
      <c r="J60" s="21">
        <f t="shared" si="3"/>
        <v>5.2596162942733145</v>
      </c>
      <c r="K60" s="21"/>
      <c r="L60" s="21"/>
      <c r="M60" s="21"/>
      <c r="N60" s="21"/>
      <c r="O60"/>
      <c r="P60"/>
      <c r="Q60"/>
      <c r="R60"/>
      <c r="S60" s="23"/>
      <c r="T60" s="7">
        <f t="shared" si="4"/>
        <v>2.9817974246502379</v>
      </c>
      <c r="U60" s="21">
        <f t="shared" si="5"/>
        <v>2.9344652887202343</v>
      </c>
      <c r="V60" s="27"/>
      <c r="W60">
        <f>USA!Z68*G60</f>
        <v>259.36299399999996</v>
      </c>
      <c r="X60">
        <v>0</v>
      </c>
      <c r="Y60">
        <v>0</v>
      </c>
      <c r="Z60">
        <v>0</v>
      </c>
      <c r="AA60" s="23"/>
      <c r="AB60" s="3">
        <v>0.53</v>
      </c>
      <c r="AC60" s="3">
        <f t="shared" si="6"/>
        <v>1.3681603050246134</v>
      </c>
      <c r="AD60" s="3">
        <v>0.22</v>
      </c>
      <c r="AE60" s="4">
        <f t="shared" si="7"/>
        <v>0.95699070052846724</v>
      </c>
      <c r="AF60" s="3">
        <f t="shared" si="8"/>
        <v>2.3251510055530806</v>
      </c>
      <c r="AH60" s="4"/>
      <c r="AN60"/>
      <c r="AO60"/>
      <c r="AP60"/>
      <c r="AQ60">
        <v>1981</v>
      </c>
      <c r="AR60" s="3">
        <f t="shared" si="9"/>
        <v>5.3069484302033185</v>
      </c>
      <c r="AS60" s="3">
        <f t="shared" si="20"/>
        <v>1.3681603050246134</v>
      </c>
      <c r="AT60" s="3">
        <f t="shared" si="21"/>
        <v>0.95699070052846724</v>
      </c>
      <c r="AU60" s="3">
        <f t="shared" si="22"/>
        <v>2.3251510055530806</v>
      </c>
      <c r="AV60" s="3">
        <f t="shared" si="10"/>
        <v>2.9817974246502379</v>
      </c>
      <c r="AX60" s="3">
        <v>41.628364739161377</v>
      </c>
      <c r="AZ60" s="3">
        <f t="shared" si="11"/>
        <v>12.748395147049511</v>
      </c>
      <c r="BA60" s="3">
        <f t="shared" si="23"/>
        <v>12.544154756674356</v>
      </c>
      <c r="BB60" s="3">
        <f t="shared" si="12"/>
        <v>5.5854968604272921</v>
      </c>
      <c r="BC60" s="3">
        <f t="shared" si="24"/>
        <v>7.1628982866222186</v>
      </c>
      <c r="BD60" s="3">
        <f t="shared" si="14"/>
        <v>6.9586578962470629</v>
      </c>
      <c r="BE60" s="3">
        <f t="shared" si="15"/>
        <v>623.04391639003632</v>
      </c>
      <c r="BF60" s="24">
        <v>0.65</v>
      </c>
      <c r="BG60" s="7">
        <v>0</v>
      </c>
      <c r="BH60" s="7">
        <v>0</v>
      </c>
      <c r="BI60" s="3"/>
      <c r="BJ60" s="3">
        <f t="shared" si="16"/>
        <v>13.967096334689009</v>
      </c>
      <c r="BK60" s="3">
        <f t="shared" si="17"/>
        <v>13.743331290155972</v>
      </c>
    </row>
    <row r="61" spans="1:63">
      <c r="A61">
        <v>1982</v>
      </c>
      <c r="B61" s="3">
        <f t="shared" si="0"/>
        <v>160.90446424251166</v>
      </c>
      <c r="C61" s="3">
        <f t="shared" si="1"/>
        <v>44.24984128314113</v>
      </c>
      <c r="D61" s="22">
        <v>112.432</v>
      </c>
      <c r="E61" s="3">
        <v>63.32714</v>
      </c>
      <c r="F61" s="3">
        <f t="shared" si="18"/>
        <v>71.199970044799997</v>
      </c>
      <c r="G61" s="3">
        <v>8.332399999999998</v>
      </c>
      <c r="H61" s="3">
        <f t="shared" si="19"/>
        <v>5.9326663040129128</v>
      </c>
      <c r="I61" s="21">
        <f t="shared" si="2"/>
        <v>5.9326663040129128</v>
      </c>
      <c r="J61" s="21">
        <f t="shared" si="3"/>
        <v>5.9676620590997294</v>
      </c>
      <c r="K61" s="21"/>
      <c r="L61" s="21"/>
      <c r="M61" s="21"/>
      <c r="N61" s="21"/>
      <c r="O61"/>
      <c r="P61"/>
      <c r="Q61"/>
      <c r="R61"/>
      <c r="S61" s="23"/>
      <c r="T61" s="7">
        <f t="shared" si="4"/>
        <v>3.0391071920023482</v>
      </c>
      <c r="U61" s="21">
        <f t="shared" si="5"/>
        <v>3.0741029470891648</v>
      </c>
      <c r="V61" s="27"/>
      <c r="W61">
        <f>USA!Z69*G61</f>
        <v>276.63567999999998</v>
      </c>
      <c r="X61">
        <v>0</v>
      </c>
      <c r="Y61">
        <v>0</v>
      </c>
      <c r="Z61">
        <v>0</v>
      </c>
      <c r="AA61" s="23"/>
      <c r="AB61" s="3">
        <v>0.59</v>
      </c>
      <c r="AC61" s="3">
        <f t="shared" si="6"/>
        <v>1.8237340407951212</v>
      </c>
      <c r="AD61" s="3">
        <v>0.22</v>
      </c>
      <c r="AE61" s="4">
        <f t="shared" si="7"/>
        <v>1.0698250712154433</v>
      </c>
      <c r="AF61" s="3">
        <f t="shared" si="8"/>
        <v>2.8935591120105646</v>
      </c>
      <c r="AH61" s="4"/>
      <c r="AN61"/>
      <c r="AO61"/>
      <c r="AP61"/>
      <c r="AQ61">
        <v>1982</v>
      </c>
      <c r="AR61" s="3">
        <f t="shared" si="9"/>
        <v>5.9326663040129128</v>
      </c>
      <c r="AS61" s="3">
        <f t="shared" si="20"/>
        <v>1.8237340407951212</v>
      </c>
      <c r="AT61" s="3">
        <f t="shared" si="21"/>
        <v>1.0698250712154433</v>
      </c>
      <c r="AU61" s="3">
        <f t="shared" si="22"/>
        <v>2.8935591120105646</v>
      </c>
      <c r="AV61" s="3">
        <f t="shared" si="10"/>
        <v>3.0391071920023482</v>
      </c>
      <c r="AX61" s="3">
        <v>45.841496603355374</v>
      </c>
      <c r="AZ61" s="3">
        <f t="shared" si="11"/>
        <v>12.941694193244709</v>
      </c>
      <c r="BA61" s="3">
        <f t="shared" si="23"/>
        <v>13.153523932473467</v>
      </c>
      <c r="BB61" s="3">
        <f t="shared" si="12"/>
        <v>6.3120956478518853</v>
      </c>
      <c r="BC61" s="3">
        <f t="shared" si="24"/>
        <v>6.6295985453928239</v>
      </c>
      <c r="BD61" s="3">
        <f t="shared" si="14"/>
        <v>6.8414282846215819</v>
      </c>
      <c r="BE61" s="3">
        <f t="shared" si="15"/>
        <v>603.46127525808481</v>
      </c>
      <c r="BF61" s="24">
        <v>0.65</v>
      </c>
      <c r="BG61" s="7">
        <v>0</v>
      </c>
      <c r="BH61" s="7">
        <v>0</v>
      </c>
      <c r="BI61" s="3"/>
      <c r="BJ61" s="3">
        <f t="shared" si="16"/>
        <v>14.178874081493216</v>
      </c>
      <c r="BK61" s="3">
        <f t="shared" si="17"/>
        <v>14.410953989609718</v>
      </c>
    </row>
    <row r="62" spans="1:63">
      <c r="A62">
        <v>1983</v>
      </c>
      <c r="B62" s="3">
        <f t="shared" si="0"/>
        <v>145.16779239810214</v>
      </c>
      <c r="C62" s="3">
        <f t="shared" si="1"/>
        <v>45.671336429076113</v>
      </c>
      <c r="D62" s="22">
        <v>101.43600000000001</v>
      </c>
      <c r="E62" s="3">
        <v>65.36148</v>
      </c>
      <c r="F62" s="3">
        <f t="shared" si="18"/>
        <v>66.300070852800005</v>
      </c>
      <c r="G62" s="3">
        <v>9.1449999999999978</v>
      </c>
      <c r="H62" s="3">
        <f t="shared" si="19"/>
        <v>6.063141479488559</v>
      </c>
      <c r="I62" s="21">
        <f t="shared" si="2"/>
        <v>6.063141479488559</v>
      </c>
      <c r="J62" s="21">
        <f t="shared" si="3"/>
        <v>5.7347056235147544</v>
      </c>
      <c r="K62" s="21"/>
      <c r="L62" s="21"/>
      <c r="M62" s="21"/>
      <c r="N62" s="21"/>
      <c r="O62"/>
      <c r="P62"/>
      <c r="Q62"/>
      <c r="R62"/>
      <c r="S62" s="23"/>
      <c r="T62" s="7">
        <f t="shared" si="4"/>
        <v>3.3064331534810938</v>
      </c>
      <c r="U62" s="21">
        <f t="shared" si="5"/>
        <v>2.9779972975072893</v>
      </c>
      <c r="V62" s="27"/>
      <c r="W62">
        <f>USA!Z70*G62</f>
        <v>264.74774999999994</v>
      </c>
      <c r="X62">
        <v>0</v>
      </c>
      <c r="Y62">
        <v>0</v>
      </c>
      <c r="Z62">
        <v>0</v>
      </c>
      <c r="AA62" s="23"/>
      <c r="AB62" s="3">
        <v>0.55000000000000004</v>
      </c>
      <c r="AC62" s="3">
        <f t="shared" si="6"/>
        <v>1.6633549444603479</v>
      </c>
      <c r="AD62" s="3">
        <v>0.22</v>
      </c>
      <c r="AE62" s="4">
        <f t="shared" si="7"/>
        <v>1.0933533815471173</v>
      </c>
      <c r="AF62" s="3">
        <f t="shared" si="8"/>
        <v>2.7567083260074652</v>
      </c>
      <c r="AH62" s="4"/>
      <c r="AN62"/>
      <c r="AO62"/>
      <c r="AP62"/>
      <c r="AQ62">
        <v>1983</v>
      </c>
      <c r="AR62" s="3">
        <f t="shared" si="9"/>
        <v>6.063141479488559</v>
      </c>
      <c r="AS62" s="3">
        <f t="shared" si="20"/>
        <v>1.6633549444603479</v>
      </c>
      <c r="AT62" s="3">
        <f t="shared" si="21"/>
        <v>1.0933533815471173</v>
      </c>
      <c r="AU62" s="3">
        <f t="shared" si="22"/>
        <v>2.7567083260074652</v>
      </c>
      <c r="AV62" s="3">
        <f t="shared" si="10"/>
        <v>3.3064331534810938</v>
      </c>
      <c r="AX62" s="3">
        <v>49.008332165742388</v>
      </c>
      <c r="AZ62" s="3">
        <f t="shared" si="11"/>
        <v>12.371654393345775</v>
      </c>
      <c r="BA62" s="3">
        <f t="shared" si="23"/>
        <v>12.0877574589422</v>
      </c>
      <c r="BB62" s="3">
        <f t="shared" si="12"/>
        <v>5.6249788641745466</v>
      </c>
      <c r="BC62" s="3">
        <f t="shared" si="24"/>
        <v>6.7466755291712284</v>
      </c>
      <c r="BD62" s="3">
        <f t="shared" si="14"/>
        <v>6.4627785947676522</v>
      </c>
      <c r="BE62" s="3">
        <f t="shared" si="15"/>
        <v>540.20967109152696</v>
      </c>
      <c r="BF62" s="24">
        <v>0.65</v>
      </c>
      <c r="BG62" s="7">
        <v>0</v>
      </c>
      <c r="BH62" s="7">
        <v>0</v>
      </c>
      <c r="BI62" s="3"/>
      <c r="BJ62" s="3">
        <f t="shared" si="16"/>
        <v>13.554340506250378</v>
      </c>
      <c r="BK62" s="3">
        <f t="shared" si="17"/>
        <v>13.243304035682918</v>
      </c>
    </row>
    <row r="63" spans="1:63">
      <c r="A63">
        <v>1984</v>
      </c>
      <c r="B63" s="3">
        <f t="shared" si="0"/>
        <v>121.31877748802904</v>
      </c>
      <c r="C63" s="3">
        <f t="shared" si="1"/>
        <v>47.643090239969929</v>
      </c>
      <c r="D63" s="22">
        <v>84.771500000000003</v>
      </c>
      <c r="E63" s="3">
        <v>68.183310000000006</v>
      </c>
      <c r="F63" s="3">
        <f t="shared" si="18"/>
        <v>57.800014636650005</v>
      </c>
      <c r="G63" s="3">
        <v>10.3566</v>
      </c>
      <c r="H63" s="3">
        <f t="shared" si="19"/>
        <v>5.9861163158592943</v>
      </c>
      <c r="I63" s="21">
        <f t="shared" si="2"/>
        <v>5.9861163158592943</v>
      </c>
      <c r="J63" s="21">
        <f t="shared" si="3"/>
        <v>5.8977610991810003</v>
      </c>
      <c r="K63" s="21"/>
      <c r="L63" s="21"/>
      <c r="M63" s="21"/>
      <c r="N63" s="21"/>
      <c r="O63"/>
      <c r="P63"/>
      <c r="Q63"/>
      <c r="R63"/>
      <c r="S63" s="23"/>
      <c r="T63" s="7">
        <f t="shared" si="4"/>
        <v>3.313913992459705</v>
      </c>
      <c r="U63" s="21">
        <f t="shared" si="5"/>
        <v>3.225558775781411</v>
      </c>
      <c r="V63" s="27"/>
      <c r="W63">
        <f>USA!Z71*G63</f>
        <v>295.37023199999999</v>
      </c>
      <c r="X63">
        <v>0</v>
      </c>
      <c r="Y63">
        <v>0</v>
      </c>
      <c r="Z63">
        <v>0</v>
      </c>
      <c r="AA63" s="23"/>
      <c r="AB63" s="3">
        <v>0.54</v>
      </c>
      <c r="AC63" s="3">
        <f t="shared" si="6"/>
        <v>1.5927387254577492</v>
      </c>
      <c r="AD63" s="3">
        <v>0.22</v>
      </c>
      <c r="AE63" s="4">
        <f t="shared" si="7"/>
        <v>1.0794635979418401</v>
      </c>
      <c r="AF63" s="3">
        <f t="shared" si="8"/>
        <v>2.6722023233995893</v>
      </c>
      <c r="AH63" s="4"/>
      <c r="AN63"/>
      <c r="AO63"/>
      <c r="AP63"/>
      <c r="AQ63">
        <v>1984</v>
      </c>
      <c r="AR63" s="3">
        <f t="shared" si="9"/>
        <v>5.9861163158592943</v>
      </c>
      <c r="AS63" s="3">
        <f t="shared" si="20"/>
        <v>1.5927387254577492</v>
      </c>
      <c r="AT63" s="3">
        <f t="shared" si="21"/>
        <v>1.0794635979418401</v>
      </c>
      <c r="AU63" s="3">
        <f t="shared" si="22"/>
        <v>2.6722023233995893</v>
      </c>
      <c r="AV63" s="3">
        <f t="shared" si="10"/>
        <v>3.313913992459705</v>
      </c>
      <c r="AX63" s="3">
        <v>52.091339504125116</v>
      </c>
      <c r="AZ63" s="3">
        <f t="shared" si="11"/>
        <v>11.491576858731484</v>
      </c>
      <c r="BA63" s="3">
        <f t="shared" si="23"/>
        <v>11.753138029446266</v>
      </c>
      <c r="BB63" s="3">
        <f t="shared" si="12"/>
        <v>5.1298399097377354</v>
      </c>
      <c r="BC63" s="3">
        <f t="shared" si="24"/>
        <v>6.361736948993749</v>
      </c>
      <c r="BD63" s="3">
        <f t="shared" si="14"/>
        <v>6.6232981197085294</v>
      </c>
      <c r="BE63" s="3">
        <f t="shared" si="15"/>
        <v>567.02368342171269</v>
      </c>
      <c r="BF63" s="24">
        <v>0.65</v>
      </c>
      <c r="BG63" s="7">
        <v>0</v>
      </c>
      <c r="BH63" s="7">
        <v>0</v>
      </c>
      <c r="BI63" s="3"/>
      <c r="BJ63" s="3">
        <f t="shared" si="16"/>
        <v>12.590130692688215</v>
      </c>
      <c r="BK63" s="3">
        <f t="shared" si="17"/>
        <v>12.876696180080792</v>
      </c>
    </row>
    <row r="64" spans="1:63">
      <c r="A64">
        <v>1985</v>
      </c>
      <c r="B64" s="3">
        <f t="shared" si="0"/>
        <v>117.34969002956363</v>
      </c>
      <c r="C64" s="3">
        <f t="shared" si="1"/>
        <v>49.339718212134507</v>
      </c>
      <c r="D64" s="22">
        <v>81.998099999999994</v>
      </c>
      <c r="E64" s="3">
        <v>70.611400000000003</v>
      </c>
      <c r="F64" s="3">
        <f t="shared" si="18"/>
        <v>57.900006383399997</v>
      </c>
      <c r="G64" s="3">
        <v>10.596399999999999</v>
      </c>
      <c r="H64" s="3">
        <f t="shared" si="19"/>
        <v>6.1353162764105971</v>
      </c>
      <c r="I64" s="21">
        <f t="shared" si="2"/>
        <v>6.1353162764105971</v>
      </c>
      <c r="J64" s="21">
        <f t="shared" si="3"/>
        <v>5.7597366934078629</v>
      </c>
      <c r="K64" s="21"/>
      <c r="L64" s="21"/>
      <c r="M64" s="21"/>
      <c r="N64" s="21"/>
      <c r="O64"/>
      <c r="P64"/>
      <c r="Q64"/>
      <c r="R64"/>
      <c r="S64" s="23"/>
      <c r="T64" s="7">
        <f t="shared" si="4"/>
        <v>3.4979483197242285</v>
      </c>
      <c r="U64" s="21">
        <f t="shared" si="5"/>
        <v>3.1223687367214947</v>
      </c>
      <c r="V64" s="27"/>
      <c r="W64">
        <f>USA!Z72*G64</f>
        <v>282.60598799999997</v>
      </c>
      <c r="X64">
        <v>0</v>
      </c>
      <c r="Y64">
        <v>0</v>
      </c>
      <c r="Z64">
        <v>0</v>
      </c>
      <c r="AA64" s="23"/>
      <c r="AB64" s="3">
        <v>0.52</v>
      </c>
      <c r="AC64" s="3">
        <f t="shared" si="6"/>
        <v>1.5309994478254412</v>
      </c>
      <c r="AD64" s="3">
        <v>0.22</v>
      </c>
      <c r="AE64" s="4">
        <f t="shared" si="7"/>
        <v>1.1063685088609274</v>
      </c>
      <c r="AF64" s="3">
        <f t="shared" si="8"/>
        <v>2.6373679566863686</v>
      </c>
      <c r="AH64" s="4"/>
      <c r="AN64"/>
      <c r="AO64"/>
      <c r="AP64"/>
      <c r="AQ64">
        <v>1985</v>
      </c>
      <c r="AR64" s="3">
        <f t="shared" si="9"/>
        <v>6.1353162764105971</v>
      </c>
      <c r="AS64" s="3">
        <f t="shared" si="20"/>
        <v>1.5309994478254412</v>
      </c>
      <c r="AT64" s="3">
        <f t="shared" si="21"/>
        <v>1.1063685088609274</v>
      </c>
      <c r="AU64" s="3">
        <f t="shared" si="22"/>
        <v>2.6373679566863686</v>
      </c>
      <c r="AV64" s="3">
        <f t="shared" si="10"/>
        <v>3.4979483197242285</v>
      </c>
      <c r="AX64" s="3">
        <v>54.528560967520789</v>
      </c>
      <c r="AZ64" s="3">
        <f t="shared" si="11"/>
        <v>11.251564625123734</v>
      </c>
      <c r="BA64" s="3">
        <f t="shared" si="23"/>
        <v>11.16812037676169</v>
      </c>
      <c r="BB64" s="3">
        <f t="shared" si="12"/>
        <v>4.836672580186522</v>
      </c>
      <c r="BC64" s="3">
        <f t="shared" si="24"/>
        <v>6.4148920449372122</v>
      </c>
      <c r="BD64" s="3">
        <f t="shared" si="14"/>
        <v>6.3314477965751683</v>
      </c>
      <c r="BE64" s="3">
        <f t="shared" si="15"/>
        <v>518.27149476460693</v>
      </c>
      <c r="BF64" s="24">
        <v>0.65</v>
      </c>
      <c r="BG64" s="7">
        <v>0</v>
      </c>
      <c r="BH64" s="7">
        <v>0</v>
      </c>
      <c r="BI64" s="3"/>
      <c r="BJ64" s="3">
        <f t="shared" si="16"/>
        <v>12.327174144068904</v>
      </c>
      <c r="BK64" s="3">
        <f t="shared" si="17"/>
        <v>12.235752922652017</v>
      </c>
    </row>
    <row r="65" spans="1:63">
      <c r="A65">
        <v>1986</v>
      </c>
      <c r="B65" s="3">
        <f t="shared" si="0"/>
        <v>157.9878275365362</v>
      </c>
      <c r="C65" s="3">
        <f t="shared" si="1"/>
        <v>50.256813657899102</v>
      </c>
      <c r="D65" s="22">
        <v>110.39400000000001</v>
      </c>
      <c r="E65" s="3">
        <v>71.923879999999997</v>
      </c>
      <c r="F65" s="3">
        <f t="shared" si="18"/>
        <v>79.399648087200006</v>
      </c>
      <c r="G65" s="3">
        <v>8.0909999999999993</v>
      </c>
      <c r="H65" s="3">
        <f t="shared" si="19"/>
        <v>6.4242255267353521</v>
      </c>
      <c r="I65" s="21">
        <f t="shared" si="2"/>
        <v>6.4242255267353521</v>
      </c>
      <c r="J65" s="21">
        <f t="shared" si="3"/>
        <v>6.5694811738150278</v>
      </c>
      <c r="K65" s="21"/>
      <c r="L65" s="21"/>
      <c r="M65" s="21"/>
      <c r="N65" s="21"/>
      <c r="O65"/>
      <c r="P65"/>
      <c r="Q65"/>
      <c r="R65"/>
      <c r="S65" s="23"/>
      <c r="T65" s="7">
        <f t="shared" si="4"/>
        <v>2.4943126311804464</v>
      </c>
      <c r="U65" s="21">
        <f t="shared" si="5"/>
        <v>2.6395682782601217</v>
      </c>
      <c r="V65" s="27"/>
      <c r="W65">
        <f>USA!Z73*G65</f>
        <v>121.76955</v>
      </c>
      <c r="X65">
        <v>0</v>
      </c>
      <c r="Y65">
        <v>1</v>
      </c>
      <c r="Z65">
        <v>0</v>
      </c>
      <c r="AA65" s="23"/>
      <c r="AB65" s="3">
        <v>0.74</v>
      </c>
      <c r="AC65" s="3">
        <f t="shared" si="6"/>
        <v>2.7714459972911536</v>
      </c>
      <c r="AD65" s="3">
        <v>0.22</v>
      </c>
      <c r="AE65" s="4">
        <f t="shared" si="7"/>
        <v>1.158466898263752</v>
      </c>
      <c r="AF65" s="3">
        <f t="shared" si="8"/>
        <v>3.9299128955549056</v>
      </c>
      <c r="AH65" s="4"/>
      <c r="AN65"/>
      <c r="AO65"/>
      <c r="AP65"/>
      <c r="AQ65">
        <v>1986</v>
      </c>
      <c r="AR65" s="3">
        <f t="shared" si="9"/>
        <v>6.4242255267353521</v>
      </c>
      <c r="AS65" s="3">
        <f t="shared" si="20"/>
        <v>2.7714459972911536</v>
      </c>
      <c r="AT65" s="3">
        <f t="shared" si="21"/>
        <v>1.158466898263752</v>
      </c>
      <c r="AU65" s="3">
        <f t="shared" si="22"/>
        <v>3.9299128955549056</v>
      </c>
      <c r="AV65" s="3">
        <f t="shared" si="10"/>
        <v>2.4943126311804464</v>
      </c>
      <c r="AX65" s="3">
        <v>56.534223408315214</v>
      </c>
      <c r="AZ65" s="3">
        <f t="shared" si="11"/>
        <v>11.363427565523892</v>
      </c>
      <c r="BA65" s="3">
        <f t="shared" si="23"/>
        <v>11.469669214712304</v>
      </c>
      <c r="BB65" s="3">
        <f t="shared" si="12"/>
        <v>6.9513874227498151</v>
      </c>
      <c r="BC65" s="3">
        <f t="shared" si="24"/>
        <v>4.4120401427740772</v>
      </c>
      <c r="BD65" s="3">
        <f t="shared" si="14"/>
        <v>4.5182817919624885</v>
      </c>
      <c r="BE65" s="3">
        <f t="shared" si="15"/>
        <v>215.39086001151259</v>
      </c>
      <c r="BF65" s="24">
        <v>0.65</v>
      </c>
      <c r="BG65" s="7">
        <v>0</v>
      </c>
      <c r="BH65" s="7">
        <v>0</v>
      </c>
      <c r="BI65" s="3"/>
      <c r="BJ65" s="3">
        <f t="shared" si="16"/>
        <v>12.449730783302993</v>
      </c>
      <c r="BK65" s="3">
        <f t="shared" si="17"/>
        <v>12.566128755899115</v>
      </c>
    </row>
    <row r="66" spans="1:63">
      <c r="A66">
        <v>1987</v>
      </c>
      <c r="B66" s="3">
        <f t="shared" si="0"/>
        <v>186.04936459775695</v>
      </c>
      <c r="C66" s="3">
        <f t="shared" si="1"/>
        <v>52.136856526716379</v>
      </c>
      <c r="D66" s="22">
        <v>130.00200000000001</v>
      </c>
      <c r="E66" s="3">
        <v>74.614459999999994</v>
      </c>
      <c r="F66" s="3">
        <f t="shared" si="18"/>
        <v>97.000290289199995</v>
      </c>
      <c r="G66" s="3">
        <v>6.8403</v>
      </c>
      <c r="H66" s="3">
        <f t="shared" si="19"/>
        <v>6.6351108566521475</v>
      </c>
      <c r="I66" s="21">
        <f t="shared" si="2"/>
        <v>6.6351108566521475</v>
      </c>
      <c r="J66" s="21">
        <f t="shared" si="3"/>
        <v>6.6661062489674308</v>
      </c>
      <c r="K66" s="21"/>
      <c r="L66" s="21"/>
      <c r="M66" s="21"/>
      <c r="N66" s="21"/>
      <c r="O66"/>
      <c r="P66"/>
      <c r="Q66"/>
      <c r="R66"/>
      <c r="S66" s="23"/>
      <c r="T66" s="7">
        <f t="shared" si="4"/>
        <v>2.6858928747727897</v>
      </c>
      <c r="U66" s="21">
        <f t="shared" si="5"/>
        <v>2.716888267088073</v>
      </c>
      <c r="V66" s="27"/>
      <c r="W66">
        <f>USA!Z74*G66</f>
        <v>131.33375999999998</v>
      </c>
      <c r="X66">
        <v>0</v>
      </c>
      <c r="Y66">
        <v>1</v>
      </c>
      <c r="Z66">
        <v>0</v>
      </c>
      <c r="AA66" s="23"/>
      <c r="AB66" s="3">
        <v>0.72</v>
      </c>
      <c r="AC66" s="3">
        <f t="shared" si="6"/>
        <v>2.7527225814994623</v>
      </c>
      <c r="AD66" s="3">
        <v>0.22</v>
      </c>
      <c r="AE66" s="4">
        <f t="shared" si="7"/>
        <v>1.1964954003798955</v>
      </c>
      <c r="AF66" s="3">
        <f t="shared" si="8"/>
        <v>3.9492179818793578</v>
      </c>
      <c r="AH66" s="4"/>
      <c r="AN66"/>
      <c r="AO66"/>
      <c r="AP66"/>
      <c r="AQ66">
        <v>1987</v>
      </c>
      <c r="AR66" s="3">
        <f t="shared" si="9"/>
        <v>6.6351108566521475</v>
      </c>
      <c r="AS66" s="3">
        <f t="shared" si="20"/>
        <v>2.7527225814994623</v>
      </c>
      <c r="AT66" s="3">
        <f t="shared" si="21"/>
        <v>1.1964954003798955</v>
      </c>
      <c r="AU66" s="3">
        <f t="shared" si="22"/>
        <v>3.9492179818793578</v>
      </c>
      <c r="AV66" s="3">
        <f t="shared" si="10"/>
        <v>2.6858928747727897</v>
      </c>
      <c r="AX66" s="3">
        <v>58.806893535907143</v>
      </c>
      <c r="AZ66" s="3">
        <f t="shared" si="11"/>
        <v>11.282879366176328</v>
      </c>
      <c r="BA66" s="3">
        <f t="shared" si="23"/>
        <v>11.28138179934653</v>
      </c>
      <c r="BB66" s="3">
        <f t="shared" si="12"/>
        <v>6.7155697987481497</v>
      </c>
      <c r="BC66" s="3">
        <f t="shared" si="24"/>
        <v>4.5673095674281781</v>
      </c>
      <c r="BD66" s="3">
        <f t="shared" si="14"/>
        <v>4.5658120005983811</v>
      </c>
      <c r="BE66" s="3">
        <f t="shared" si="15"/>
        <v>223.3305520887757</v>
      </c>
      <c r="BF66" s="24">
        <v>0.65</v>
      </c>
      <c r="BG66" s="7">
        <v>0</v>
      </c>
      <c r="BH66" s="7">
        <v>0</v>
      </c>
      <c r="BI66" s="3"/>
      <c r="BJ66" s="3">
        <f t="shared" si="16"/>
        <v>12.361482462875497</v>
      </c>
      <c r="BK66" s="3">
        <f t="shared" si="17"/>
        <v>12.359841733988594</v>
      </c>
    </row>
    <row r="67" spans="1:63">
      <c r="A67">
        <v>1988</v>
      </c>
      <c r="B67" s="3">
        <f t="shared" si="0"/>
        <v>178.87798749587114</v>
      </c>
      <c r="C67" s="3">
        <f t="shared" si="1"/>
        <v>54.227069431021505</v>
      </c>
      <c r="D67" s="22">
        <v>124.991</v>
      </c>
      <c r="E67" s="3">
        <v>77.605819999999994</v>
      </c>
      <c r="F67" s="3">
        <f t="shared" si="18"/>
        <v>97.000290476199993</v>
      </c>
      <c r="G67" s="3">
        <v>6.7314999999999987</v>
      </c>
      <c r="H67" s="3">
        <f t="shared" si="19"/>
        <v>6.5295745534054017</v>
      </c>
      <c r="I67" s="21">
        <f t="shared" si="2"/>
        <v>6.5295745534054017</v>
      </c>
      <c r="J67" s="21">
        <f t="shared" si="3"/>
        <v>6.3566504578014129</v>
      </c>
      <c r="K67" s="21"/>
      <c r="L67" s="21"/>
      <c r="M67" s="21"/>
      <c r="N67" s="21"/>
      <c r="O67"/>
      <c r="P67"/>
      <c r="Q67"/>
      <c r="R67"/>
      <c r="S67" s="23"/>
      <c r="T67" s="7">
        <f t="shared" si="4"/>
        <v>2.6971495955266582</v>
      </c>
      <c r="U67" s="21">
        <f t="shared" si="5"/>
        <v>2.524225499922669</v>
      </c>
      <c r="V67" s="27"/>
      <c r="W67">
        <f>USA!Z75*G67</f>
        <v>107.50205499999998</v>
      </c>
      <c r="X67">
        <v>0</v>
      </c>
      <c r="Y67">
        <v>1</v>
      </c>
      <c r="Z67">
        <v>0</v>
      </c>
      <c r="AA67" s="23"/>
      <c r="AB67" s="3">
        <v>0.71</v>
      </c>
      <c r="AC67" s="3">
        <f t="shared" si="6"/>
        <v>2.6549606941499002</v>
      </c>
      <c r="AD67" s="3">
        <v>0.22</v>
      </c>
      <c r="AE67" s="4">
        <f t="shared" si="7"/>
        <v>1.1774642637288431</v>
      </c>
      <c r="AF67" s="3">
        <f t="shared" si="8"/>
        <v>3.8324249578787435</v>
      </c>
      <c r="AH67" s="4"/>
      <c r="AN67"/>
      <c r="AO67"/>
      <c r="AP67"/>
      <c r="AQ67">
        <v>1988</v>
      </c>
      <c r="AR67" s="3">
        <f t="shared" si="9"/>
        <v>6.5295745534054017</v>
      </c>
      <c r="AS67" s="3">
        <f t="shared" si="20"/>
        <v>2.6549606941499002</v>
      </c>
      <c r="AT67" s="3">
        <f t="shared" si="21"/>
        <v>1.1774642637288431</v>
      </c>
      <c r="AU67" s="3">
        <f t="shared" si="22"/>
        <v>3.8324249578787435</v>
      </c>
      <c r="AV67" s="3">
        <f t="shared" si="10"/>
        <v>2.6971495955266582</v>
      </c>
      <c r="AX67" s="3">
        <v>61.473865547066808</v>
      </c>
      <c r="AZ67" s="3">
        <f t="shared" si="11"/>
        <v>10.621708095460667</v>
      </c>
      <c r="BA67" s="3">
        <f t="shared" si="23"/>
        <v>10.509968424575</v>
      </c>
      <c r="BB67" s="3">
        <f t="shared" si="12"/>
        <v>6.2342345381623812</v>
      </c>
      <c r="BC67" s="3">
        <f t="shared" si="24"/>
        <v>4.3874735572982857</v>
      </c>
      <c r="BD67" s="3">
        <f t="shared" si="14"/>
        <v>4.2757338864126178</v>
      </c>
      <c r="BE67" s="3">
        <f t="shared" si="15"/>
        <v>174.87440238761656</v>
      </c>
      <c r="BF67" s="24">
        <v>0.65</v>
      </c>
      <c r="BG67" s="7">
        <v>0</v>
      </c>
      <c r="BH67" s="7">
        <v>0</v>
      </c>
      <c r="BI67" s="3"/>
      <c r="BJ67" s="3">
        <f t="shared" si="16"/>
        <v>11.637105572663426</v>
      </c>
      <c r="BK67" s="3">
        <f t="shared" si="17"/>
        <v>11.514683987070532</v>
      </c>
    </row>
    <row r="68" spans="1:63">
      <c r="A68">
        <v>1989</v>
      </c>
      <c r="B68" s="3">
        <f t="shared" si="0"/>
        <v>164.83576994973191</v>
      </c>
      <c r="C68" s="3">
        <f t="shared" si="1"/>
        <v>56.844608024141067</v>
      </c>
      <c r="D68" s="22">
        <v>115.179</v>
      </c>
      <c r="E68" s="3">
        <v>81.351849999999999</v>
      </c>
      <c r="F68" s="3">
        <f t="shared" si="18"/>
        <v>93.700247311500007</v>
      </c>
      <c r="G68" s="3">
        <v>7.3102</v>
      </c>
      <c r="H68" s="3">
        <f t="shared" si="19"/>
        <v>6.8496754789652732</v>
      </c>
      <c r="I68" s="21">
        <f>H68</f>
        <v>6.8496754789652732</v>
      </c>
      <c r="J68" s="21">
        <f t="shared" si="3"/>
        <v>7.1356348608024884</v>
      </c>
      <c r="K68" s="21"/>
      <c r="L68" s="21"/>
      <c r="M68" s="21"/>
      <c r="N68" s="21"/>
      <c r="O68"/>
      <c r="P68"/>
      <c r="Q68"/>
      <c r="R68"/>
      <c r="S68" s="23"/>
      <c r="T68" s="7">
        <f t="shared" si="4"/>
        <v>1.7124188697413185</v>
      </c>
      <c r="U68" s="21">
        <f t="shared" si="5"/>
        <v>1.9983782515785342</v>
      </c>
      <c r="V68" s="27"/>
      <c r="W68">
        <f>USA!Z76*G68</f>
        <v>143.572328</v>
      </c>
      <c r="X68">
        <v>0</v>
      </c>
      <c r="Y68">
        <v>0</v>
      </c>
      <c r="Z68">
        <v>0</v>
      </c>
      <c r="AA68" s="23"/>
      <c r="AB68" s="3">
        <v>0.75</v>
      </c>
      <c r="AC68" s="3">
        <f t="shared" si="6"/>
        <v>3.9020692277712001</v>
      </c>
      <c r="AD68" s="3">
        <v>0.22</v>
      </c>
      <c r="AE68" s="4">
        <f t="shared" si="7"/>
        <v>1.2351873814527543</v>
      </c>
      <c r="AF68" s="3">
        <f>I68*AB68</f>
        <v>5.1372566092239547</v>
      </c>
      <c r="AH68" s="4"/>
      <c r="AN68"/>
      <c r="AO68"/>
      <c r="AP68"/>
      <c r="AQ68">
        <v>1989</v>
      </c>
      <c r="AR68" s="3">
        <f t="shared" si="9"/>
        <v>6.8496754789652732</v>
      </c>
      <c r="AS68" s="3">
        <f t="shared" si="20"/>
        <v>3.9020692277712001</v>
      </c>
      <c r="AT68" s="3">
        <f t="shared" si="21"/>
        <v>1.2351873814527543</v>
      </c>
      <c r="AU68" s="3">
        <f t="shared" si="22"/>
        <v>5.1372566092239547</v>
      </c>
      <c r="AV68" s="3">
        <f t="shared" si="10"/>
        <v>1.7124188697413185</v>
      </c>
      <c r="AX68" s="3">
        <v>64.407845325975359</v>
      </c>
      <c r="AZ68" s="3">
        <f t="shared" si="11"/>
        <v>10.634846491600976</v>
      </c>
      <c r="BA68" s="3">
        <f t="shared" si="23"/>
        <v>10.856187824631743</v>
      </c>
      <c r="BB68" s="3">
        <f t="shared" si="12"/>
        <v>7.976134868700731</v>
      </c>
      <c r="BC68" s="3">
        <f t="shared" si="24"/>
        <v>2.6587116229002454</v>
      </c>
      <c r="BD68" s="3">
        <f t="shared" si="14"/>
        <v>2.8800529559310113</v>
      </c>
      <c r="BE68" s="3">
        <f t="shared" si="15"/>
        <v>222.91124205966568</v>
      </c>
      <c r="BF68" s="7">
        <v>0</v>
      </c>
      <c r="BG68" s="24">
        <v>1</v>
      </c>
      <c r="BH68" s="7">
        <v>0</v>
      </c>
      <c r="BI68" s="3"/>
      <c r="BJ68" s="3">
        <f t="shared" si="16"/>
        <v>11.651499952697803</v>
      </c>
      <c r="BK68" s="3">
        <f t="shared" si="17"/>
        <v>11.894000729119428</v>
      </c>
    </row>
    <row r="69" spans="1:63">
      <c r="A69">
        <v>1990</v>
      </c>
      <c r="B69" s="3">
        <f t="shared" si="0"/>
        <v>148.38210350782782</v>
      </c>
      <c r="C69" s="3">
        <f t="shared" si="1"/>
        <v>59.913057002261802</v>
      </c>
      <c r="D69" s="22">
        <v>103.682</v>
      </c>
      <c r="E69" s="3">
        <v>85.743189999999998</v>
      </c>
      <c r="F69" s="3">
        <f t="shared" si="18"/>
        <v>88.900254255799993</v>
      </c>
      <c r="G69" s="3">
        <v>6.1885599999999998</v>
      </c>
      <c r="H69" s="3">
        <f t="shared" si="19"/>
        <v>5.5016455747727351</v>
      </c>
      <c r="I69" s="21">
        <f t="shared" ref="I69:I78" si="25">H69</f>
        <v>5.5016455747727351</v>
      </c>
      <c r="J69" s="21">
        <f t="shared" si="3"/>
        <v>5.507036749205751</v>
      </c>
      <c r="K69" s="21"/>
      <c r="L69" s="21"/>
      <c r="M69" s="21"/>
      <c r="N69" s="21"/>
      <c r="O69" s="4"/>
      <c r="P69"/>
      <c r="Q69"/>
      <c r="R69"/>
      <c r="S69" s="23"/>
      <c r="T69" s="7">
        <f t="shared" si="4"/>
        <v>2.0595455530924056</v>
      </c>
      <c r="U69" s="21">
        <f t="shared" si="5"/>
        <v>2.0649367275254216</v>
      </c>
      <c r="V69" s="27"/>
      <c r="W69">
        <f>USA!Z77*G69</f>
        <v>151.8053768</v>
      </c>
      <c r="X69">
        <v>0</v>
      </c>
      <c r="Y69">
        <v>0</v>
      </c>
      <c r="Z69">
        <v>0</v>
      </c>
      <c r="AA69" s="23"/>
      <c r="AB69" s="3">
        <v>0.62</v>
      </c>
      <c r="AC69" s="7">
        <v>2.4500000000000002</v>
      </c>
      <c r="AD69" s="3">
        <v>0.22</v>
      </c>
      <c r="AE69" s="4">
        <f t="shared" si="7"/>
        <v>0.99210002168032929</v>
      </c>
      <c r="AF69" s="3">
        <f t="shared" ref="AF69:AF97" si="26">AC69+AE69</f>
        <v>3.4421000216803295</v>
      </c>
      <c r="AH69" s="4"/>
      <c r="AN69"/>
      <c r="AO69"/>
      <c r="AP69"/>
      <c r="AQ69">
        <v>1990</v>
      </c>
      <c r="AR69" s="3">
        <f t="shared" si="9"/>
        <v>5.5016455747727351</v>
      </c>
      <c r="AS69" s="3">
        <f t="shared" si="20"/>
        <v>2.4500000000000002</v>
      </c>
      <c r="AT69" s="3">
        <f t="shared" si="21"/>
        <v>0.99210002168032929</v>
      </c>
      <c r="AU69" s="3">
        <f t="shared" si="22"/>
        <v>3.4421000216803295</v>
      </c>
      <c r="AV69" s="3">
        <f t="shared" si="10"/>
        <v>2.0595455530924056</v>
      </c>
      <c r="AX69" s="3">
        <v>66.109242968106329</v>
      </c>
      <c r="AZ69" s="3">
        <f t="shared" si="11"/>
        <v>8.3220519972176099</v>
      </c>
      <c r="BA69" s="3">
        <f t="shared" si="23"/>
        <v>8.1269475642485016</v>
      </c>
      <c r="BB69" s="3">
        <f t="shared" si="12"/>
        <v>5.2066849764728547</v>
      </c>
      <c r="BC69" s="3">
        <f t="shared" si="24"/>
        <v>3.1153670207447552</v>
      </c>
      <c r="BD69" s="3">
        <f t="shared" si="14"/>
        <v>2.9202625877756465</v>
      </c>
      <c r="BE69" s="3">
        <f t="shared" si="15"/>
        <v>229.62806709681553</v>
      </c>
      <c r="BF69" s="7">
        <v>0</v>
      </c>
      <c r="BG69" s="24">
        <v>1</v>
      </c>
      <c r="BH69" s="7">
        <v>0</v>
      </c>
      <c r="BI69" s="3"/>
      <c r="BJ69" s="3">
        <f t="shared" si="16"/>
        <v>9.1176105389493536</v>
      </c>
      <c r="BK69" s="3">
        <f t="shared" si="17"/>
        <v>8.9038548168234133</v>
      </c>
    </row>
    <row r="70" spans="1:63">
      <c r="A70">
        <v>1991</v>
      </c>
      <c r="B70" s="3">
        <f t="shared" si="0"/>
        <v>131.14417950219729</v>
      </c>
      <c r="C70" s="3">
        <f t="shared" si="1"/>
        <v>62.450351141377027</v>
      </c>
      <c r="D70" s="22">
        <v>91.637</v>
      </c>
      <c r="E70" s="3">
        <v>89.374380000000002</v>
      </c>
      <c r="F70" s="3">
        <f t="shared" si="18"/>
        <v>81.900000600600009</v>
      </c>
      <c r="G70" s="3">
        <v>6.3964600000000003</v>
      </c>
      <c r="H70" s="3">
        <f t="shared" si="19"/>
        <v>5.2387007784171393</v>
      </c>
      <c r="I70" s="21">
        <f t="shared" si="25"/>
        <v>5.2387007784171393</v>
      </c>
      <c r="J70" s="21">
        <f t="shared" si="3"/>
        <v>5.1462330194314125</v>
      </c>
      <c r="K70" s="21"/>
      <c r="L70" s="21"/>
      <c r="M70" s="21"/>
      <c r="N70" s="21"/>
      <c r="O70" s="4"/>
      <c r="P70"/>
      <c r="Q70"/>
      <c r="R70"/>
      <c r="S70" s="23"/>
      <c r="T70" s="7">
        <f t="shared" si="4"/>
        <v>2.0440170314894583</v>
      </c>
      <c r="U70" s="21">
        <f t="shared" si="5"/>
        <v>1.9515492725037316</v>
      </c>
      <c r="V70" s="27"/>
      <c r="W70">
        <f>USA!Z78*G70</f>
        <v>137.77974839999999</v>
      </c>
      <c r="X70">
        <v>0</v>
      </c>
      <c r="Y70">
        <v>0</v>
      </c>
      <c r="Z70">
        <v>0</v>
      </c>
      <c r="AA70" s="23"/>
      <c r="AB70" s="3">
        <v>0.67</v>
      </c>
      <c r="AC70" s="7">
        <v>2.25</v>
      </c>
      <c r="AD70" s="3">
        <v>0.22</v>
      </c>
      <c r="AE70" s="4">
        <f t="shared" si="7"/>
        <v>0.94468374692768087</v>
      </c>
      <c r="AF70" s="3">
        <f t="shared" si="26"/>
        <v>3.194683746927681</v>
      </c>
      <c r="AH70" s="4"/>
      <c r="AN70"/>
      <c r="AO70"/>
      <c r="AP70"/>
      <c r="AQ70">
        <v>1991</v>
      </c>
      <c r="AR70" s="3">
        <f t="shared" si="9"/>
        <v>5.2387007784171393</v>
      </c>
      <c r="AS70" s="3">
        <f t="shared" si="20"/>
        <v>2.25</v>
      </c>
      <c r="AT70" s="3">
        <f t="shared" si="21"/>
        <v>0.94468374692768087</v>
      </c>
      <c r="AU70" s="3">
        <f t="shared" si="22"/>
        <v>3.194683746927681</v>
      </c>
      <c r="AV70" s="3">
        <f t="shared" si="10"/>
        <v>2.0440170314894583</v>
      </c>
      <c r="AX70" s="3">
        <v>67.692660484334212</v>
      </c>
      <c r="AZ70" s="3">
        <f t="shared" si="11"/>
        <v>7.7389494532121486</v>
      </c>
      <c r="BA70" s="3">
        <f t="shared" si="23"/>
        <v>7.4834667016526755</v>
      </c>
      <c r="BB70" s="3">
        <f t="shared" si="12"/>
        <v>4.7193945755271525</v>
      </c>
      <c r="BC70" s="3">
        <f t="shared" si="24"/>
        <v>3.0195548776849961</v>
      </c>
      <c r="BD70" s="3">
        <f t="shared" si="14"/>
        <v>2.7640721261255234</v>
      </c>
      <c r="BE70" s="3">
        <f t="shared" si="15"/>
        <v>203.53720390689284</v>
      </c>
      <c r="BF70" s="7">
        <v>0</v>
      </c>
      <c r="BG70" s="24">
        <v>1</v>
      </c>
      <c r="BH70" s="7">
        <v>0</v>
      </c>
      <c r="BI70" s="3"/>
      <c r="BJ70" s="3">
        <f t="shared" si="16"/>
        <v>8.4787654677710087</v>
      </c>
      <c r="BK70" s="3">
        <f t="shared" si="17"/>
        <v>8.1988594747638466</v>
      </c>
    </row>
    <row r="71" spans="1:63">
      <c r="A71">
        <v>1992</v>
      </c>
      <c r="B71" s="3">
        <f t="shared" si="0"/>
        <v>129.77559280841692</v>
      </c>
      <c r="C71" s="3">
        <f t="shared" si="1"/>
        <v>64.341860498266513</v>
      </c>
      <c r="D71" s="22">
        <v>90.680700000000002</v>
      </c>
      <c r="E71" s="3">
        <v>92.081370000000007</v>
      </c>
      <c r="F71" s="3">
        <f t="shared" si="18"/>
        <v>83.500030885590007</v>
      </c>
      <c r="G71" s="3">
        <v>6.03613</v>
      </c>
      <c r="H71" s="3">
        <f t="shared" si="19"/>
        <v>5.040170414294364</v>
      </c>
      <c r="I71" s="21">
        <f t="shared" si="25"/>
        <v>5.040170414294364</v>
      </c>
      <c r="J71" s="21">
        <f t="shared" si="3"/>
        <v>5.0999909591992463</v>
      </c>
      <c r="K71" s="21"/>
      <c r="L71" s="21"/>
      <c r="M71" s="21"/>
      <c r="N71" s="21"/>
      <c r="O71" s="4"/>
      <c r="P71"/>
      <c r="Q71"/>
      <c r="R71"/>
      <c r="S71" s="23"/>
      <c r="T71" s="7">
        <f t="shared" si="4"/>
        <v>1.782136331435491</v>
      </c>
      <c r="U71" s="21">
        <f t="shared" si="5"/>
        <v>1.8419568763403737</v>
      </c>
      <c r="V71" s="27"/>
      <c r="W71">
        <f>USA!Z79*G71</f>
        <v>124.2235554</v>
      </c>
      <c r="X71">
        <v>0</v>
      </c>
      <c r="Y71">
        <v>0</v>
      </c>
      <c r="Z71">
        <v>0</v>
      </c>
      <c r="AA71" s="23"/>
      <c r="AB71" s="3">
        <v>0.63</v>
      </c>
      <c r="AC71" s="7">
        <v>2.25</v>
      </c>
      <c r="AD71" s="3">
        <v>0.25</v>
      </c>
      <c r="AE71" s="4">
        <f t="shared" si="7"/>
        <v>1.0080340828588727</v>
      </c>
      <c r="AF71" s="3">
        <f t="shared" si="26"/>
        <v>3.258034082858873</v>
      </c>
      <c r="AH71" s="4"/>
      <c r="AN71"/>
      <c r="AO71"/>
      <c r="AP71"/>
      <c r="AQ71">
        <v>1992</v>
      </c>
      <c r="AR71" s="3">
        <f t="shared" si="9"/>
        <v>5.040170414294364</v>
      </c>
      <c r="AS71" s="3">
        <f t="shared" si="20"/>
        <v>2.25</v>
      </c>
      <c r="AT71" s="3">
        <f t="shared" si="21"/>
        <v>1.0080340828588727</v>
      </c>
      <c r="AU71" s="3">
        <f t="shared" si="22"/>
        <v>3.258034082858873</v>
      </c>
      <c r="AV71" s="3">
        <f t="shared" si="10"/>
        <v>1.782136331435491</v>
      </c>
      <c r="AX71" s="3">
        <v>69.111527079003253</v>
      </c>
      <c r="AZ71" s="3">
        <f t="shared" si="11"/>
        <v>7.292807187624156</v>
      </c>
      <c r="BA71" s="3">
        <f t="shared" si="23"/>
        <v>7.335802914696357</v>
      </c>
      <c r="BB71" s="3">
        <f t="shared" si="12"/>
        <v>4.7141688522299994</v>
      </c>
      <c r="BC71" s="3">
        <f t="shared" si="24"/>
        <v>2.5786383353941567</v>
      </c>
      <c r="BD71" s="3">
        <f t="shared" si="14"/>
        <v>2.6216340624663577</v>
      </c>
      <c r="BE71" s="3">
        <f t="shared" si="15"/>
        <v>179.74361246279031</v>
      </c>
      <c r="BF71" s="7">
        <v>0</v>
      </c>
      <c r="BG71" s="24">
        <v>1</v>
      </c>
      <c r="BH71" s="7">
        <v>0</v>
      </c>
      <c r="BI71" s="3"/>
      <c r="BJ71" s="3">
        <f t="shared" si="16"/>
        <v>7.9899735900038626</v>
      </c>
      <c r="BK71" s="3">
        <f t="shared" si="17"/>
        <v>8.0370795555054428</v>
      </c>
    </row>
    <row r="72" spans="1:63">
      <c r="A72">
        <v>1993</v>
      </c>
      <c r="B72" s="3">
        <f t="shared" si="0"/>
        <v>121.37502077681452</v>
      </c>
      <c r="C72" s="3">
        <f t="shared" si="1"/>
        <v>66.241014180537462</v>
      </c>
      <c r="D72" s="22">
        <v>84.8108</v>
      </c>
      <c r="E72" s="3">
        <v>94.799300000000002</v>
      </c>
      <c r="F72" s="3">
        <f t="shared" si="18"/>
        <v>80.400044724400004</v>
      </c>
      <c r="G72" s="3">
        <v>6.4839399999999996</v>
      </c>
      <c r="H72" s="3">
        <f t="shared" si="19"/>
        <v>5.2130906599032611</v>
      </c>
      <c r="I72" s="21">
        <f t="shared" si="25"/>
        <v>5.2130906599032611</v>
      </c>
      <c r="J72" s="21">
        <f t="shared" si="3"/>
        <v>5.0963803772117977</v>
      </c>
      <c r="K72" s="21"/>
      <c r="L72" s="21"/>
      <c r="M72" s="21"/>
      <c r="N72" s="21"/>
      <c r="O72" s="4"/>
      <c r="P72"/>
      <c r="Q72" s="4"/>
      <c r="R72" s="3"/>
      <c r="S72" s="23"/>
      <c r="T72" s="7">
        <f t="shared" si="4"/>
        <v>1.9204725279226089</v>
      </c>
      <c r="U72" s="21">
        <f t="shared" si="5"/>
        <v>1.8037622452311455</v>
      </c>
      <c r="V72" s="27"/>
      <c r="W72">
        <f>USA!Z80*G72</f>
        <v>119.49901419999999</v>
      </c>
      <c r="X72">
        <v>0</v>
      </c>
      <c r="Y72">
        <v>0</v>
      </c>
      <c r="Z72">
        <v>0</v>
      </c>
      <c r="AA72" s="23"/>
      <c r="AB72" s="3">
        <v>0.71</v>
      </c>
      <c r="AC72" s="7">
        <v>2.25</v>
      </c>
      <c r="AD72" s="3">
        <v>0.25</v>
      </c>
      <c r="AE72" s="4">
        <f t="shared" si="7"/>
        <v>1.0426181319806522</v>
      </c>
      <c r="AF72" s="3">
        <f t="shared" si="26"/>
        <v>3.2926181319806522</v>
      </c>
      <c r="AH72" s="4"/>
      <c r="AN72"/>
      <c r="AO72"/>
      <c r="AP72"/>
      <c r="AQ72">
        <v>1993</v>
      </c>
      <c r="AR72" s="3">
        <f t="shared" si="9"/>
        <v>5.2130906599032611</v>
      </c>
      <c r="AS72" s="3">
        <f t="shared" si="20"/>
        <v>2.25</v>
      </c>
      <c r="AT72" s="3">
        <f t="shared" si="21"/>
        <v>1.0426181319806522</v>
      </c>
      <c r="AU72" s="3">
        <f t="shared" si="22"/>
        <v>3.2926181319806522</v>
      </c>
      <c r="AV72" s="3">
        <f t="shared" si="10"/>
        <v>1.9204725279226089</v>
      </c>
      <c r="AX72" s="3">
        <v>69.980854715749743</v>
      </c>
      <c r="AZ72" s="3">
        <f t="shared" si="11"/>
        <v>7.4493097877668735</v>
      </c>
      <c r="BA72" s="3">
        <f t="shared" si="23"/>
        <v>7.2728790475486029</v>
      </c>
      <c r="BB72" s="3">
        <f t="shared" si="12"/>
        <v>4.7050270325429775</v>
      </c>
      <c r="BC72" s="3">
        <f t="shared" si="24"/>
        <v>2.744282755223896</v>
      </c>
      <c r="BD72" s="3">
        <f t="shared" si="14"/>
        <v>2.5678520150056259</v>
      </c>
      <c r="BE72" s="3">
        <f t="shared" si="15"/>
        <v>170.75958086734514</v>
      </c>
      <c r="BF72" s="7">
        <v>0</v>
      </c>
      <c r="BG72" s="24">
        <v>1</v>
      </c>
      <c r="BH72" s="7">
        <v>0</v>
      </c>
      <c r="BI72" s="3"/>
      <c r="BJ72" s="3">
        <f t="shared" si="16"/>
        <v>8.1614372815202447</v>
      </c>
      <c r="BK72" s="3">
        <f t="shared" si="17"/>
        <v>7.9681403906877248</v>
      </c>
    </row>
    <row r="73" spans="1:63">
      <c r="A73">
        <v>1994</v>
      </c>
      <c r="B73" s="3">
        <f t="shared" si="0"/>
        <v>124.46997589965196</v>
      </c>
      <c r="C73" s="3">
        <f t="shared" si="1"/>
        <v>67.968212466727536</v>
      </c>
      <c r="D73" s="22">
        <v>86.973399999999998</v>
      </c>
      <c r="E73" s="3">
        <v>97.271140000000003</v>
      </c>
      <c r="F73" s="3">
        <f t="shared" si="18"/>
        <v>84.600017676760004</v>
      </c>
      <c r="G73" s="3">
        <v>6.3605499999999999</v>
      </c>
      <c r="H73" s="3">
        <f t="shared" si="19"/>
        <v>5.3810264243391588</v>
      </c>
      <c r="I73" s="21">
        <f t="shared" si="25"/>
        <v>5.3810264243391588</v>
      </c>
      <c r="J73" s="21">
        <f t="shared" si="3"/>
        <v>5.2983358241939804</v>
      </c>
      <c r="K73" s="21"/>
      <c r="L73" s="21"/>
      <c r="M73" s="21"/>
      <c r="N73" s="21"/>
      <c r="O73" s="4"/>
      <c r="P73"/>
      <c r="Q73" s="4"/>
      <c r="R73" s="3"/>
      <c r="S73" s="23"/>
      <c r="T73" s="7">
        <f t="shared" si="4"/>
        <v>1.8048211394713269</v>
      </c>
      <c r="U73" s="21">
        <f t="shared" si="5"/>
        <v>1.7221305393261486</v>
      </c>
      <c r="V73" s="27"/>
      <c r="W73">
        <f>USA!Z81*G73</f>
        <v>109.40146</v>
      </c>
      <c r="X73">
        <v>0</v>
      </c>
      <c r="Y73">
        <v>0</v>
      </c>
      <c r="Z73">
        <v>0</v>
      </c>
      <c r="AA73" s="23"/>
      <c r="AB73" s="3">
        <v>0.66</v>
      </c>
      <c r="AC73" s="7">
        <v>2.5</v>
      </c>
      <c r="AD73" s="3">
        <v>0.25</v>
      </c>
      <c r="AE73" s="4">
        <f t="shared" si="7"/>
        <v>1.0762052848678318</v>
      </c>
      <c r="AF73" s="3">
        <f t="shared" si="26"/>
        <v>3.5762052848678318</v>
      </c>
      <c r="AH73" s="4"/>
      <c r="AI73" t="s">
        <v>1885</v>
      </c>
      <c r="AN73"/>
      <c r="AO73"/>
      <c r="AP73"/>
      <c r="AQ73">
        <v>1994</v>
      </c>
      <c r="AR73" s="3">
        <f t="shared" si="9"/>
        <v>5.3810264243391588</v>
      </c>
      <c r="AS73" s="3">
        <f t="shared" si="20"/>
        <v>2.5</v>
      </c>
      <c r="AT73" s="3">
        <f t="shared" si="21"/>
        <v>1.0762052848678318</v>
      </c>
      <c r="AU73" s="3">
        <f t="shared" si="22"/>
        <v>3.5762052848678318</v>
      </c>
      <c r="AV73" s="3">
        <f t="shared" si="10"/>
        <v>1.8048211394713269</v>
      </c>
      <c r="AX73" s="3">
        <v>71.374883139007139</v>
      </c>
      <c r="AZ73" s="3">
        <f t="shared" si="11"/>
        <v>7.5391036561969091</v>
      </c>
      <c r="BA73" s="3">
        <f t="shared" si="23"/>
        <v>7.4736491627507755</v>
      </c>
      <c r="BB73" s="3">
        <f t="shared" si="12"/>
        <v>5.010453436264048</v>
      </c>
      <c r="BC73" s="3">
        <f t="shared" si="24"/>
        <v>2.5286502199328611</v>
      </c>
      <c r="BD73" s="3">
        <f t="shared" si="14"/>
        <v>2.4631957264867275</v>
      </c>
      <c r="BE73" s="3">
        <f t="shared" si="15"/>
        <v>153.27725270937913</v>
      </c>
      <c r="BF73" s="7">
        <v>0</v>
      </c>
      <c r="BG73" s="24">
        <v>1</v>
      </c>
      <c r="BH73" s="7">
        <v>0</v>
      </c>
      <c r="BI73" s="3"/>
      <c r="BJ73" s="3">
        <f t="shared" si="16"/>
        <v>8.2598151240769191</v>
      </c>
      <c r="BK73" s="3">
        <f t="shared" si="17"/>
        <v>8.1881034140965454</v>
      </c>
    </row>
    <row r="74" spans="1:63">
      <c r="A74">
        <v>1995</v>
      </c>
      <c r="B74" s="3">
        <f t="shared" si="0"/>
        <v>149.1234272633211</v>
      </c>
      <c r="C74" s="3">
        <f t="shared" si="1"/>
        <v>69.875003486879606</v>
      </c>
      <c r="D74" s="22">
        <v>104.2</v>
      </c>
      <c r="E74" s="3">
        <v>100</v>
      </c>
      <c r="F74" s="3">
        <f t="shared" si="18"/>
        <v>104.2</v>
      </c>
      <c r="G74" s="3">
        <v>5.6023699999999996</v>
      </c>
      <c r="H74" s="3">
        <f t="shared" si="19"/>
        <v>5.8376695399999994</v>
      </c>
      <c r="I74" s="21">
        <f t="shared" si="25"/>
        <v>5.8376695399999994</v>
      </c>
      <c r="J74" s="21">
        <f t="shared" si="3"/>
        <v>5.8099477440665641</v>
      </c>
      <c r="K74" s="21"/>
      <c r="L74" s="21"/>
      <c r="M74" s="21"/>
      <c r="N74" s="21"/>
      <c r="O74" s="4"/>
      <c r="P74"/>
      <c r="Q74" s="4">
        <f t="shared" ref="Q74:Q87" si="27">G74*R74/100</f>
        <v>6.0505595999999988</v>
      </c>
      <c r="R74" s="6">
        <v>108</v>
      </c>
      <c r="S74" s="23"/>
      <c r="T74" s="7">
        <f t="shared" si="4"/>
        <v>1.7001356319999994</v>
      </c>
      <c r="U74" s="21">
        <f t="shared" si="5"/>
        <v>1.6724138360665641</v>
      </c>
      <c r="V74" s="27"/>
      <c r="W74">
        <f>USA!Z82*G74</f>
        <v>103.25167909999999</v>
      </c>
      <c r="X74">
        <v>0</v>
      </c>
      <c r="Y74">
        <v>0</v>
      </c>
      <c r="Z74">
        <v>0</v>
      </c>
      <c r="AA74" s="23"/>
      <c r="AB74" s="3">
        <v>0.72199999999999998</v>
      </c>
      <c r="AC74" s="7">
        <v>2.97</v>
      </c>
      <c r="AD74" s="3">
        <v>0.25</v>
      </c>
      <c r="AE74" s="4">
        <f t="shared" si="7"/>
        <v>1.167533908</v>
      </c>
      <c r="AF74" s="3">
        <f t="shared" si="26"/>
        <v>4.137533908</v>
      </c>
      <c r="AH74" s="4"/>
      <c r="AI74">
        <v>2.95</v>
      </c>
      <c r="AN74"/>
      <c r="AO74"/>
      <c r="AP74"/>
      <c r="AQ74">
        <v>1995</v>
      </c>
      <c r="AR74" s="3">
        <f t="shared" si="9"/>
        <v>5.8376695399999994</v>
      </c>
      <c r="AS74" s="3">
        <f t="shared" si="20"/>
        <v>2.97</v>
      </c>
      <c r="AT74" s="3">
        <f t="shared" si="21"/>
        <v>1.167533908</v>
      </c>
      <c r="AU74" s="3">
        <f t="shared" si="22"/>
        <v>4.137533908</v>
      </c>
      <c r="AV74" s="3">
        <f t="shared" si="10"/>
        <v>1.7001356319999994</v>
      </c>
      <c r="AX74" s="3">
        <v>72.862053772835651</v>
      </c>
      <c r="AZ74" s="3">
        <f t="shared" si="11"/>
        <v>8.0119475607979531</v>
      </c>
      <c r="BA74" s="3">
        <f t="shared" si="23"/>
        <v>8.0725254738168264</v>
      </c>
      <c r="BB74" s="3">
        <f t="shared" si="12"/>
        <v>5.678585345534894</v>
      </c>
      <c r="BC74" s="3">
        <f t="shared" si="24"/>
        <v>2.3333622152630591</v>
      </c>
      <c r="BD74" s="3">
        <f t="shared" si="14"/>
        <v>2.3939401282819328</v>
      </c>
      <c r="BE74" s="3">
        <f t="shared" si="15"/>
        <v>141.70843910317302</v>
      </c>
      <c r="BF74" s="7">
        <v>0</v>
      </c>
      <c r="BG74" s="24">
        <v>1</v>
      </c>
      <c r="BH74" s="7">
        <v>0</v>
      </c>
      <c r="BI74" s="3"/>
      <c r="BJ74" s="3">
        <f t="shared" si="16"/>
        <v>8.7778612224802757</v>
      </c>
      <c r="BK74" s="3">
        <f t="shared" si="17"/>
        <v>8.8442301683067495</v>
      </c>
    </row>
    <row r="75" spans="1:63">
      <c r="A75">
        <v>1996</v>
      </c>
      <c r="B75" s="3">
        <f t="shared" si="0"/>
        <v>152.94167394219386</v>
      </c>
      <c r="C75" s="3">
        <f t="shared" si="1"/>
        <v>71.923179589087013</v>
      </c>
      <c r="D75" s="22">
        <v>106.86799999999999</v>
      </c>
      <c r="E75" s="3">
        <v>102.9312</v>
      </c>
      <c r="F75" s="3">
        <f t="shared" si="18"/>
        <v>110.00051481599999</v>
      </c>
      <c r="G75" s="3">
        <v>5.7986700000000004</v>
      </c>
      <c r="H75" s="3">
        <f t="shared" si="19"/>
        <v>6.3785668524809473</v>
      </c>
      <c r="I75" s="21">
        <f t="shared" si="25"/>
        <v>6.3785668524809473</v>
      </c>
      <c r="J75" s="21">
        <f t="shared" si="3"/>
        <v>6.4203552932576606</v>
      </c>
      <c r="K75" s="21"/>
      <c r="L75" s="21"/>
      <c r="M75" s="21"/>
      <c r="N75" s="21"/>
      <c r="O75" s="4"/>
      <c r="P75"/>
      <c r="Q75" s="4">
        <f t="shared" si="27"/>
        <v>6.2045769000000011</v>
      </c>
      <c r="R75" s="3">
        <f>R74+(R$77-R$74)/3</f>
        <v>107</v>
      </c>
      <c r="S75" s="23"/>
      <c r="T75" s="7">
        <f t="shared" si="4"/>
        <v>1.8328534819847579</v>
      </c>
      <c r="U75" s="21">
        <f t="shared" si="5"/>
        <v>1.8746419227614717</v>
      </c>
      <c r="V75" s="27"/>
      <c r="W75">
        <f>USA!Z83*G75</f>
        <v>128.26658040000001</v>
      </c>
      <c r="X75">
        <v>0</v>
      </c>
      <c r="Y75">
        <v>0</v>
      </c>
      <c r="Z75">
        <v>0</v>
      </c>
      <c r="AA75" s="23"/>
      <c r="AB75" s="3">
        <v>0.72199999999999998</v>
      </c>
      <c r="AC75" s="7">
        <v>3.27</v>
      </c>
      <c r="AD75" s="3">
        <v>0.25</v>
      </c>
      <c r="AE75" s="4">
        <f t="shared" si="7"/>
        <v>1.2757133704961896</v>
      </c>
      <c r="AF75" s="3">
        <f t="shared" si="26"/>
        <v>4.5457133704961894</v>
      </c>
      <c r="AH75" s="4"/>
      <c r="AI75">
        <v>3.27</v>
      </c>
      <c r="AN75"/>
      <c r="AO75"/>
      <c r="AP75"/>
      <c r="AQ75">
        <v>1996</v>
      </c>
      <c r="AR75" s="3">
        <f t="shared" si="9"/>
        <v>6.3785668524809473</v>
      </c>
      <c r="AS75" s="3">
        <f t="shared" si="20"/>
        <v>3.27</v>
      </c>
      <c r="AT75" s="3">
        <f t="shared" si="21"/>
        <v>1.2757133704961896</v>
      </c>
      <c r="AU75" s="3">
        <f t="shared" si="22"/>
        <v>4.5457133704961894</v>
      </c>
      <c r="AV75" s="3">
        <f t="shared" si="10"/>
        <v>1.8328534819847579</v>
      </c>
      <c r="AX75" s="3">
        <v>74.411319622207458</v>
      </c>
      <c r="AZ75" s="3">
        <f t="shared" si="11"/>
        <v>8.5720383469416603</v>
      </c>
      <c r="BA75" s="3">
        <f t="shared" si="23"/>
        <v>8.6864234737032735</v>
      </c>
      <c r="BB75" s="3">
        <f t="shared" si="12"/>
        <v>6.1089003576003744</v>
      </c>
      <c r="BC75" s="3">
        <f t="shared" si="24"/>
        <v>2.4631379893412859</v>
      </c>
      <c r="BD75" s="3">
        <f t="shared" si="14"/>
        <v>2.5775231161028986</v>
      </c>
      <c r="BE75" s="3">
        <f t="shared" si="15"/>
        <v>172.37509165436154</v>
      </c>
      <c r="BF75" s="7">
        <v>0</v>
      </c>
      <c r="BG75" s="24">
        <v>1</v>
      </c>
      <c r="BH75" s="7">
        <v>0</v>
      </c>
      <c r="BI75" s="3"/>
      <c r="BJ75" s="3">
        <f t="shared" si="16"/>
        <v>9.3914946936745984</v>
      </c>
      <c r="BK75" s="3">
        <f t="shared" si="17"/>
        <v>9.5168146313064987</v>
      </c>
    </row>
    <row r="76" spans="1:63">
      <c r="A76">
        <v>1997</v>
      </c>
      <c r="B76" s="3">
        <f t="shared" si="0"/>
        <v>135.45358894725788</v>
      </c>
      <c r="C76" s="3">
        <f t="shared" si="1"/>
        <v>73.604511922988308</v>
      </c>
      <c r="D76" s="22">
        <v>94.648200000000003</v>
      </c>
      <c r="E76" s="3">
        <v>105.3374</v>
      </c>
      <c r="F76" s="3">
        <f t="shared" si="18"/>
        <v>99.699953026800017</v>
      </c>
      <c r="G76" s="3">
        <v>6.6044600000000004</v>
      </c>
      <c r="H76" s="3">
        <f t="shared" si="19"/>
        <v>6.5846435176737961</v>
      </c>
      <c r="I76" s="21">
        <f t="shared" si="25"/>
        <v>6.5846435176737961</v>
      </c>
      <c r="J76" s="21">
        <f t="shared" si="3"/>
        <v>6.5750432535752683</v>
      </c>
      <c r="K76" s="21"/>
      <c r="L76" s="21"/>
      <c r="M76" s="21"/>
      <c r="N76" s="21"/>
      <c r="O76" s="4"/>
      <c r="P76"/>
      <c r="Q76" s="4">
        <f t="shared" si="27"/>
        <v>7.0007276000000003</v>
      </c>
      <c r="R76" s="3">
        <f>R75+(R$77-R$74)/3</f>
        <v>106</v>
      </c>
      <c r="S76" s="23"/>
      <c r="T76" s="7">
        <f t="shared" si="4"/>
        <v>1.9477148141390375</v>
      </c>
      <c r="U76" s="21">
        <f t="shared" si="5"/>
        <v>1.9381145500405093</v>
      </c>
      <c r="V76" s="27"/>
      <c r="W76">
        <f>USA!Z84*G76</f>
        <v>136.11792060000002</v>
      </c>
      <c r="X76">
        <v>0</v>
      </c>
      <c r="Y76">
        <v>0</v>
      </c>
      <c r="Z76">
        <v>0</v>
      </c>
      <c r="AA76" s="23"/>
      <c r="AB76" s="3">
        <v>0.72199999999999998</v>
      </c>
      <c r="AC76" s="7">
        <v>3.32</v>
      </c>
      <c r="AD76" s="3">
        <v>0.25</v>
      </c>
      <c r="AE76" s="4">
        <f t="shared" si="7"/>
        <v>1.3169287035347592</v>
      </c>
      <c r="AF76" s="3">
        <f t="shared" si="26"/>
        <v>4.6369287035347586</v>
      </c>
      <c r="AH76" s="4"/>
      <c r="AI76">
        <v>3.32</v>
      </c>
      <c r="AN76"/>
      <c r="AO76"/>
      <c r="AP76"/>
      <c r="AQ76">
        <v>1997</v>
      </c>
      <c r="AR76" s="3">
        <f t="shared" si="9"/>
        <v>6.5846435176737961</v>
      </c>
      <c r="AS76" s="3">
        <f t="shared" si="20"/>
        <v>3.32</v>
      </c>
      <c r="AT76" s="3">
        <f t="shared" si="21"/>
        <v>1.3169287035347592</v>
      </c>
      <c r="AU76" s="3">
        <f t="shared" si="22"/>
        <v>4.6369287035347586</v>
      </c>
      <c r="AV76" s="3">
        <f t="shared" ref="AV76:AV96" si="28">AR76-AU76</f>
        <v>1.9477148141390375</v>
      </c>
      <c r="AX76" s="3">
        <v>76.035098883267793</v>
      </c>
      <c r="AZ76" s="3">
        <f t="shared" ref="AZ76:AZ96" si="29">AR76/$AX76*100</f>
        <v>8.6600052007334281</v>
      </c>
      <c r="BA76" s="3">
        <f t="shared" si="23"/>
        <v>8.7157069000315186</v>
      </c>
      <c r="BB76" s="3">
        <f t="shared" si="12"/>
        <v>6.098405567478201</v>
      </c>
      <c r="BC76" s="3">
        <f t="shared" si="24"/>
        <v>2.5615996332552271</v>
      </c>
      <c r="BD76" s="3">
        <f t="shared" ref="BD76:BD97" si="30">BA$99+BA$100*BE76+BA$101*BF76+BA$102*BG76+BA$103*BH76</f>
        <v>2.6173013325533181</v>
      </c>
      <c r="BE76" s="3">
        <f t="shared" ref="BE76:BE96" si="31">W76/AX76*100</f>
        <v>179.01985083096145</v>
      </c>
      <c r="BF76" s="7">
        <v>0</v>
      </c>
      <c r="BG76" s="24">
        <v>1</v>
      </c>
      <c r="BH76" s="7">
        <v>0</v>
      </c>
      <c r="BI76" s="3"/>
      <c r="BJ76" s="3">
        <f t="shared" si="16"/>
        <v>9.4878708654983512</v>
      </c>
      <c r="BK76" s="3">
        <f t="shared" si="17"/>
        <v>9.5488974489332357</v>
      </c>
    </row>
    <row r="77" spans="1:63">
      <c r="A77">
        <v>1998</v>
      </c>
      <c r="B77" s="3">
        <f t="shared" si="0"/>
        <v>127.09537827311223</v>
      </c>
      <c r="C77" s="3">
        <f t="shared" si="1"/>
        <v>74.747038105002289</v>
      </c>
      <c r="D77" s="22">
        <v>88.807900000000004</v>
      </c>
      <c r="E77" s="3">
        <v>106.9725</v>
      </c>
      <c r="F77" s="3">
        <f t="shared" si="18"/>
        <v>95.000030827499998</v>
      </c>
      <c r="G77" s="3">
        <v>6.7008299999999998</v>
      </c>
      <c r="H77" s="3">
        <f t="shared" si="19"/>
        <v>6.3657905656983678</v>
      </c>
      <c r="I77" s="21">
        <f t="shared" si="25"/>
        <v>6.3657905656983678</v>
      </c>
      <c r="J77" s="21">
        <f t="shared" si="3"/>
        <v>6.2620076859960783</v>
      </c>
      <c r="K77" s="21"/>
      <c r="L77" s="21"/>
      <c r="M77" s="21"/>
      <c r="N77" s="21"/>
      <c r="O77" s="4"/>
      <c r="P77"/>
      <c r="Q77" s="4">
        <f t="shared" si="27"/>
        <v>7.0358714999999998</v>
      </c>
      <c r="R77" s="6">
        <v>105</v>
      </c>
      <c r="S77" s="23"/>
      <c r="T77" s="7">
        <f t="shared" si="4"/>
        <v>1.7226324525586945</v>
      </c>
      <c r="U77" s="21">
        <f t="shared" si="5"/>
        <v>1.618849572856405</v>
      </c>
      <c r="V77" s="27"/>
      <c r="W77">
        <f>USA!Z85*G77</f>
        <v>96.625968599999993</v>
      </c>
      <c r="X77">
        <v>0</v>
      </c>
      <c r="Y77">
        <v>0</v>
      </c>
      <c r="Z77">
        <v>0</v>
      </c>
      <c r="AA77" s="23"/>
      <c r="AB77" s="3">
        <v>0.72199999999999998</v>
      </c>
      <c r="AC77" s="7">
        <v>3.37</v>
      </c>
      <c r="AD77" s="3">
        <v>0.25</v>
      </c>
      <c r="AE77" s="4">
        <f t="shared" si="7"/>
        <v>1.2731581131396736</v>
      </c>
      <c r="AF77" s="3">
        <f t="shared" si="26"/>
        <v>4.6431581131396733</v>
      </c>
      <c r="AH77" s="4"/>
      <c r="AI77">
        <v>3.37</v>
      </c>
      <c r="AN77"/>
      <c r="AO77"/>
      <c r="AP77"/>
      <c r="AQ77">
        <v>1998</v>
      </c>
      <c r="AR77" s="3">
        <f t="shared" si="9"/>
        <v>6.3657905656983678</v>
      </c>
      <c r="AS77" s="3">
        <f t="shared" si="20"/>
        <v>3.37</v>
      </c>
      <c r="AT77" s="3">
        <f t="shared" si="21"/>
        <v>1.2731581131396736</v>
      </c>
      <c r="AU77" s="3">
        <f t="shared" ref="AU77:AU96" si="32">AF77</f>
        <v>4.6431581131396733</v>
      </c>
      <c r="AV77" s="3">
        <f t="shared" si="28"/>
        <v>1.7226324525586945</v>
      </c>
      <c r="AX77" s="3">
        <v>77.43844144615781</v>
      </c>
      <c r="AZ77" s="3">
        <f t="shared" si="29"/>
        <v>8.2204528485047579</v>
      </c>
      <c r="BA77" s="3">
        <f t="shared" si="23"/>
        <v>8.2885207107879815</v>
      </c>
      <c r="BB77" s="3">
        <f t="shared" si="12"/>
        <v>5.9959343530538582</v>
      </c>
      <c r="BC77" s="3">
        <f t="shared" si="24"/>
        <v>2.2245184954508996</v>
      </c>
      <c r="BD77" s="3">
        <f t="shared" si="30"/>
        <v>2.2925863577341228</v>
      </c>
      <c r="BE77" s="3">
        <f t="shared" si="31"/>
        <v>124.77778064165079</v>
      </c>
      <c r="BF77" s="7">
        <v>0</v>
      </c>
      <c r="BG77" s="24">
        <v>1</v>
      </c>
      <c r="BH77" s="7">
        <v>0</v>
      </c>
      <c r="BI77" s="3"/>
      <c r="BJ77" s="3">
        <f t="shared" si="16"/>
        <v>9.0062988733454503</v>
      </c>
      <c r="BK77" s="3">
        <f t="shared" si="17"/>
        <v>9.0808737809192994</v>
      </c>
    </row>
    <row r="78" spans="1:63">
      <c r="A78">
        <v>1999</v>
      </c>
      <c r="B78" s="3">
        <f t="shared" si="0"/>
        <v>137.19942070271395</v>
      </c>
      <c r="C78" s="3">
        <f t="shared" si="1"/>
        <v>75.889564287016256</v>
      </c>
      <c r="D78" s="22">
        <v>95.868099999999998</v>
      </c>
      <c r="E78" s="3">
        <v>108.60760000000001</v>
      </c>
      <c r="F78" s="3">
        <f t="shared" si="18"/>
        <v>104.1200425756</v>
      </c>
      <c r="G78" s="3">
        <v>6.9762399999999998</v>
      </c>
      <c r="H78" s="3">
        <f t="shared" si="19"/>
        <v>7.2636640581760368</v>
      </c>
      <c r="I78" s="21">
        <f t="shared" si="25"/>
        <v>7.2636640581760368</v>
      </c>
      <c r="J78" s="21">
        <f t="shared" si="3"/>
        <v>7.0462665258321078</v>
      </c>
      <c r="K78" s="21"/>
      <c r="L78" s="21"/>
      <c r="M78" s="21"/>
      <c r="N78" s="21"/>
      <c r="O78" s="4"/>
      <c r="P78"/>
      <c r="Q78" s="4">
        <f t="shared" si="27"/>
        <v>7.1855272000000001</v>
      </c>
      <c r="R78" s="3">
        <f>(R77+R79)/2</f>
        <v>103</v>
      </c>
      <c r="S78" s="23"/>
      <c r="T78" s="7">
        <f t="shared" si="4"/>
        <v>2.0409312465408291</v>
      </c>
      <c r="U78" s="21">
        <f t="shared" si="5"/>
        <v>1.8235337141968997</v>
      </c>
      <c r="V78" s="27"/>
      <c r="W78">
        <f>USA!Z86*G78</f>
        <v>121.94467520000001</v>
      </c>
      <c r="X78">
        <v>0</v>
      </c>
      <c r="Y78">
        <v>0</v>
      </c>
      <c r="Z78">
        <v>0</v>
      </c>
      <c r="AA78" s="23"/>
      <c r="AB78" s="3"/>
      <c r="AC78" s="7">
        <v>3.77</v>
      </c>
      <c r="AD78" s="3">
        <v>0.25</v>
      </c>
      <c r="AE78" s="4">
        <f t="shared" si="7"/>
        <v>1.4527328116352074</v>
      </c>
      <c r="AF78" s="3">
        <f t="shared" si="26"/>
        <v>5.2227328116352076</v>
      </c>
      <c r="AH78" s="4"/>
      <c r="AI78">
        <v>3.77</v>
      </c>
      <c r="AN78"/>
      <c r="AO78"/>
      <c r="AP78"/>
      <c r="AQ78">
        <v>1999</v>
      </c>
      <c r="AR78" s="3">
        <f t="shared" si="9"/>
        <v>7.2636640581760368</v>
      </c>
      <c r="AS78" s="3">
        <f t="shared" si="20"/>
        <v>3.77</v>
      </c>
      <c r="AT78" s="3">
        <f t="shared" si="21"/>
        <v>1.4527328116352074</v>
      </c>
      <c r="AU78" s="3">
        <f t="shared" si="32"/>
        <v>5.2227328116352076</v>
      </c>
      <c r="AV78" s="3">
        <f t="shared" si="28"/>
        <v>2.0409312465408291</v>
      </c>
      <c r="AX78" s="3">
        <v>79.372694964677876</v>
      </c>
      <c r="AZ78" s="3">
        <f t="shared" si="29"/>
        <v>9.1513385823783402</v>
      </c>
      <c r="BA78" s="3">
        <f t="shared" si="23"/>
        <v>9.045352576899516</v>
      </c>
      <c r="BB78" s="3">
        <f t="shared" si="12"/>
        <v>6.5800119473824195</v>
      </c>
      <c r="BC78" s="3">
        <f t="shared" si="24"/>
        <v>2.5713266349959207</v>
      </c>
      <c r="BD78" s="3">
        <f t="shared" si="30"/>
        <v>2.4653406295170961</v>
      </c>
      <c r="BE78" s="3">
        <f t="shared" si="31"/>
        <v>153.63554841405769</v>
      </c>
      <c r="BF78" s="7">
        <v>0</v>
      </c>
      <c r="BG78" s="24">
        <v>1</v>
      </c>
      <c r="BH78" s="7">
        <v>0</v>
      </c>
      <c r="BI78" s="3"/>
      <c r="BJ78" s="3">
        <f t="shared" si="16"/>
        <v>10.026173969122437</v>
      </c>
      <c r="BK78" s="3">
        <f t="shared" si="17"/>
        <v>9.9100560788643666</v>
      </c>
    </row>
    <row r="79" spans="1:63">
      <c r="A79">
        <v>2000</v>
      </c>
      <c r="B79" s="3">
        <f t="shared" si="0"/>
        <v>130.04706007040488</v>
      </c>
      <c r="C79" s="3">
        <f t="shared" si="1"/>
        <v>78.958238837304293</v>
      </c>
      <c r="D79" s="2">
        <f>F79/E79*100</f>
        <v>90.870387758779799</v>
      </c>
      <c r="E79" s="2">
        <v>112.9992628224058</v>
      </c>
      <c r="F79" s="2">
        <f>I79/G79*100</f>
        <v>102.68286829128286</v>
      </c>
      <c r="G79" s="3">
        <v>8.0831400000000002</v>
      </c>
      <c r="H79" s="21">
        <f t="shared" ref="H79:H89" si="33">(U79+AC79)+AD79*(U79+AC79)</f>
        <v>8.1390763179371994</v>
      </c>
      <c r="I79" s="21">
        <f t="shared" ref="I79:I89" si="34">O79</f>
        <v>8.3000000000000007</v>
      </c>
      <c r="J79" s="21">
        <f t="shared" si="3"/>
        <v>8.1712610543497597</v>
      </c>
      <c r="K79" s="21"/>
      <c r="L79" s="21"/>
      <c r="M79" s="21"/>
      <c r="N79" s="21"/>
      <c r="O79">
        <v>8.3000000000000007</v>
      </c>
      <c r="P79"/>
      <c r="Q79" s="4">
        <f t="shared" si="27"/>
        <v>8.1639714000000012</v>
      </c>
      <c r="R79" s="6">
        <v>101</v>
      </c>
      <c r="S79" s="23"/>
      <c r="T79" s="7">
        <f t="shared" ref="T79:T88" si="35">O79-AF79</f>
        <v>2.7700000000000005</v>
      </c>
      <c r="U79" s="21">
        <f t="shared" si="5"/>
        <v>2.641261054349759</v>
      </c>
      <c r="V79" s="27"/>
      <c r="W79">
        <f>USA!Z87*G79</f>
        <v>223.09466400000002</v>
      </c>
      <c r="X79">
        <v>0</v>
      </c>
      <c r="Y79">
        <v>0</v>
      </c>
      <c r="Z79">
        <v>0</v>
      </c>
      <c r="AA79" s="23"/>
      <c r="AC79" s="7">
        <v>3.87</v>
      </c>
      <c r="AD79" s="3">
        <v>0.25</v>
      </c>
      <c r="AE79" s="4">
        <f t="shared" si="7"/>
        <v>1.6600000000000001</v>
      </c>
      <c r="AF79" s="3">
        <f t="shared" si="26"/>
        <v>5.53</v>
      </c>
      <c r="AH79" s="4"/>
      <c r="AI79">
        <v>3.87</v>
      </c>
      <c r="AN79"/>
      <c r="AO79"/>
      <c r="AP79"/>
      <c r="AQ79">
        <v>2000</v>
      </c>
      <c r="AR79" s="3">
        <f t="shared" si="9"/>
        <v>8.3000000000000007</v>
      </c>
      <c r="AS79" s="3">
        <f t="shared" si="20"/>
        <v>3.87</v>
      </c>
      <c r="AT79" s="3">
        <f t="shared" si="21"/>
        <v>1.6600000000000001</v>
      </c>
      <c r="AU79" s="3">
        <f t="shared" si="32"/>
        <v>5.53</v>
      </c>
      <c r="AV79" s="3">
        <f t="shared" si="28"/>
        <v>2.7700000000000005</v>
      </c>
      <c r="AX79" s="3">
        <v>81.677104161867518</v>
      </c>
      <c r="AZ79" s="3">
        <f t="shared" si="29"/>
        <v>10.161966545179023</v>
      </c>
      <c r="BA79" s="3">
        <f t="shared" si="23"/>
        <v>9.9513192243325381</v>
      </c>
      <c r="BB79" s="3">
        <f t="shared" si="12"/>
        <v>6.7705632523903603</v>
      </c>
      <c r="BC79" s="3">
        <f t="shared" si="24"/>
        <v>3.391403292788663</v>
      </c>
      <c r="BD79" s="3">
        <f t="shared" si="30"/>
        <v>3.1807559719421783</v>
      </c>
      <c r="BE79" s="3">
        <f t="shared" si="31"/>
        <v>273.14223035854883</v>
      </c>
      <c r="BF79" s="7">
        <v>0</v>
      </c>
      <c r="BG79" s="24">
        <v>1</v>
      </c>
      <c r="BH79" s="7">
        <v>0</v>
      </c>
      <c r="BI79" s="3"/>
      <c r="BJ79" s="3">
        <f t="shared" si="16"/>
        <v>11.133414367003777</v>
      </c>
      <c r="BK79" s="3">
        <f t="shared" si="17"/>
        <v>10.902629912257101</v>
      </c>
    </row>
    <row r="80" spans="1:63">
      <c r="A80">
        <v>2001</v>
      </c>
      <c r="B80" s="3">
        <f t="shared" si="0"/>
        <v>120.62193582463414</v>
      </c>
      <c r="C80" s="3">
        <f t="shared" si="1"/>
        <v>81.182199298191421</v>
      </c>
      <c r="D80" s="2">
        <f t="shared" ref="D80:D89" si="36">F80/E80*100</f>
        <v>84.284581863404782</v>
      </c>
      <c r="E80" s="2">
        <v>116.1820325539375</v>
      </c>
      <c r="F80" s="2">
        <f t="shared" ref="F80:F89" si="37">I80/G80*100</f>
        <v>97.923540338491051</v>
      </c>
      <c r="G80" s="3">
        <v>8.3228200000000001</v>
      </c>
      <c r="H80" s="21">
        <f t="shared" si="33"/>
        <v>7.9541335143060898</v>
      </c>
      <c r="I80" s="21">
        <f t="shared" si="34"/>
        <v>8.15</v>
      </c>
      <c r="J80" s="21">
        <f t="shared" si="3"/>
        <v>7.9933068114448718</v>
      </c>
      <c r="K80" s="21"/>
      <c r="L80" s="21"/>
      <c r="M80" s="21"/>
      <c r="N80" s="21"/>
      <c r="O80">
        <v>8.15</v>
      </c>
      <c r="P80"/>
      <c r="Q80" s="4">
        <f t="shared" si="27"/>
        <v>8.7389609999999998</v>
      </c>
      <c r="R80" s="3">
        <f>(R79+R81)/2</f>
        <v>105</v>
      </c>
      <c r="S80" s="23"/>
      <c r="T80" s="7">
        <f t="shared" si="35"/>
        <v>2.5499999999999998</v>
      </c>
      <c r="U80" s="21">
        <f t="shared" si="5"/>
        <v>2.3933068114448712</v>
      </c>
      <c r="V80" s="27"/>
      <c r="W80">
        <f>USA!Z88*G80</f>
        <v>192.4235984</v>
      </c>
      <c r="X80">
        <v>0</v>
      </c>
      <c r="Y80">
        <v>0</v>
      </c>
      <c r="Z80">
        <v>0</v>
      </c>
      <c r="AA80" s="23"/>
      <c r="AC80" s="7">
        <v>3.97</v>
      </c>
      <c r="AD80" s="3">
        <v>0.25</v>
      </c>
      <c r="AE80" s="4">
        <f t="shared" si="7"/>
        <v>1.6300000000000001</v>
      </c>
      <c r="AF80" s="3">
        <f t="shared" si="26"/>
        <v>5.6000000000000005</v>
      </c>
      <c r="AH80" s="4"/>
      <c r="AI80">
        <v>3.97</v>
      </c>
      <c r="AN80"/>
      <c r="AO80"/>
      <c r="AP80"/>
      <c r="AQ80">
        <v>2001</v>
      </c>
      <c r="AR80" s="3">
        <f t="shared" si="9"/>
        <v>8.15</v>
      </c>
      <c r="AS80" s="3">
        <f t="shared" si="20"/>
        <v>3.97</v>
      </c>
      <c r="AT80" s="3">
        <f t="shared" si="21"/>
        <v>1.6300000000000001</v>
      </c>
      <c r="AU80" s="3">
        <f t="shared" si="32"/>
        <v>5.6000000000000005</v>
      </c>
      <c r="AV80" s="3">
        <f t="shared" si="28"/>
        <v>2.5499999999999998</v>
      </c>
      <c r="AX80" s="3">
        <v>83.596516109671413</v>
      </c>
      <c r="AZ80" s="3">
        <f t="shared" si="29"/>
        <v>9.7492101097944115</v>
      </c>
      <c r="BA80" s="3">
        <f t="shared" si="23"/>
        <v>9.6224185843987904</v>
      </c>
      <c r="BB80" s="3">
        <f t="shared" si="12"/>
        <v>6.6988437564231544</v>
      </c>
      <c r="BC80" s="3">
        <f t="shared" si="24"/>
        <v>3.0503663533712571</v>
      </c>
      <c r="BD80" s="3">
        <f t="shared" si="30"/>
        <v>2.9235748279756368</v>
      </c>
      <c r="BE80" s="3">
        <f t="shared" si="31"/>
        <v>230.18136084469938</v>
      </c>
      <c r="BF80" s="7">
        <v>0</v>
      </c>
      <c r="BG80" s="24">
        <v>1</v>
      </c>
      <c r="BH80" s="7">
        <v>0</v>
      </c>
      <c r="BI80" s="3"/>
      <c r="BJ80" s="3">
        <f t="shared" si="16"/>
        <v>10.681199885943078</v>
      </c>
      <c r="BK80" s="3">
        <f t="shared" si="17"/>
        <v>10.54228754213856</v>
      </c>
    </row>
    <row r="81" spans="1:63">
      <c r="A81">
        <v>2002</v>
      </c>
      <c r="B81" s="3">
        <f t="shared" si="0"/>
        <v>124.70499183734781</v>
      </c>
      <c r="C81" s="3">
        <f t="shared" si="1"/>
        <v>82.47759894808965</v>
      </c>
      <c r="D81" s="2">
        <f t="shared" si="36"/>
        <v>87.137617394659699</v>
      </c>
      <c r="E81" s="2">
        <v>118.03591389240708</v>
      </c>
      <c r="F81" s="2">
        <f t="shared" si="37"/>
        <v>102.85368303585565</v>
      </c>
      <c r="G81" s="3">
        <v>7.8947099999999999</v>
      </c>
      <c r="H81" s="21">
        <f t="shared" si="33"/>
        <v>8.0780374563875252</v>
      </c>
      <c r="I81" s="21">
        <f t="shared" si="34"/>
        <v>8.1199999999999992</v>
      </c>
      <c r="J81" s="21">
        <f t="shared" si="3"/>
        <v>8.0864299651100193</v>
      </c>
      <c r="K81" s="21"/>
      <c r="L81" s="21"/>
      <c r="M81" s="21"/>
      <c r="N81" s="21"/>
      <c r="O81">
        <v>8.1199999999999992</v>
      </c>
      <c r="P81"/>
      <c r="Q81" s="4">
        <f t="shared" si="27"/>
        <v>8.6052339</v>
      </c>
      <c r="R81" s="6">
        <v>109</v>
      </c>
      <c r="S81" s="23"/>
      <c r="T81" s="7">
        <f t="shared" si="35"/>
        <v>2.4259999999999993</v>
      </c>
      <c r="U81" s="21">
        <f t="shared" si="5"/>
        <v>2.3924299651100198</v>
      </c>
      <c r="V81" s="27"/>
      <c r="W81">
        <f>USA!Z89*G81</f>
        <v>192.31513559999999</v>
      </c>
      <c r="X81">
        <v>0</v>
      </c>
      <c r="Y81">
        <v>0</v>
      </c>
      <c r="Z81">
        <v>0</v>
      </c>
      <c r="AA81" s="23"/>
      <c r="AC81" s="7">
        <v>4.07</v>
      </c>
      <c r="AD81" s="3">
        <v>0.25</v>
      </c>
      <c r="AE81" s="4">
        <f t="shared" si="7"/>
        <v>1.6239999999999999</v>
      </c>
      <c r="AF81" s="3">
        <f t="shared" si="26"/>
        <v>5.694</v>
      </c>
      <c r="AH81" s="4"/>
      <c r="AI81">
        <v>4.07</v>
      </c>
      <c r="AN81"/>
      <c r="AO81"/>
      <c r="AP81"/>
      <c r="AQ81">
        <v>2002</v>
      </c>
      <c r="AR81" s="3">
        <f t="shared" si="9"/>
        <v>8.1199999999999992</v>
      </c>
      <c r="AS81" s="3">
        <f t="shared" si="20"/>
        <v>4.07</v>
      </c>
      <c r="AT81" s="3">
        <f t="shared" si="21"/>
        <v>1.6239999999999999</v>
      </c>
      <c r="AU81" s="3">
        <f t="shared" si="32"/>
        <v>5.694</v>
      </c>
      <c r="AV81" s="3">
        <f t="shared" si="28"/>
        <v>2.4259999999999993</v>
      </c>
      <c r="AX81" s="3">
        <v>85.624830919517777</v>
      </c>
      <c r="AZ81" s="3">
        <f t="shared" si="29"/>
        <v>9.4832304050122023</v>
      </c>
      <c r="BA81" s="3">
        <f t="shared" si="23"/>
        <v>9.5401150251693636</v>
      </c>
      <c r="BB81" s="3">
        <f t="shared" si="12"/>
        <v>6.6499401386871284</v>
      </c>
      <c r="BC81" s="3">
        <f t="shared" si="24"/>
        <v>2.8332902663250739</v>
      </c>
      <c r="BD81" s="3">
        <f t="shared" si="30"/>
        <v>2.8901748864822348</v>
      </c>
      <c r="BE81" s="3">
        <f t="shared" si="31"/>
        <v>224.60206173226166</v>
      </c>
      <c r="BF81" s="7">
        <v>0</v>
      </c>
      <c r="BG81" s="24">
        <v>1</v>
      </c>
      <c r="BH81" s="7">
        <v>0</v>
      </c>
      <c r="BI81" s="3"/>
      <c r="BJ81" s="3">
        <f t="shared" si="16"/>
        <v>10.389793468357643</v>
      </c>
      <c r="BK81" s="3">
        <f t="shared" si="17"/>
        <v>10.452116055674146</v>
      </c>
    </row>
    <row r="82" spans="1:63">
      <c r="A82">
        <v>2003</v>
      </c>
      <c r="B82" s="3">
        <f t="shared" si="0"/>
        <v>146.98975792182068</v>
      </c>
      <c r="C82" s="3">
        <f t="shared" si="1"/>
        <v>84.37293294912061</v>
      </c>
      <c r="D82" s="2">
        <f t="shared" si="36"/>
        <v>102.7090984732281</v>
      </c>
      <c r="E82" s="2">
        <v>120.74837744367809</v>
      </c>
      <c r="F82" s="2">
        <f t="shared" si="37"/>
        <v>124.01956989345247</v>
      </c>
      <c r="G82" s="3">
        <v>6.5876700000000001</v>
      </c>
      <c r="H82" s="21">
        <f t="shared" si="33"/>
        <v>8.0052624576558902</v>
      </c>
      <c r="I82" s="21">
        <f t="shared" si="34"/>
        <v>8.17</v>
      </c>
      <c r="J82" s="21">
        <f t="shared" si="3"/>
        <v>8.0382099661247128</v>
      </c>
      <c r="K82" s="21"/>
      <c r="L82" s="21"/>
      <c r="M82" s="21"/>
      <c r="N82" s="21"/>
      <c r="O82">
        <v>8.17</v>
      </c>
      <c r="P82"/>
      <c r="Q82" s="4">
        <f t="shared" si="27"/>
        <v>8.5639710000000004</v>
      </c>
      <c r="R82" s="3">
        <f>(R81+R83)/2</f>
        <v>130</v>
      </c>
      <c r="S82" s="23"/>
      <c r="T82" s="7">
        <f t="shared" si="35"/>
        <v>2.4659999999999993</v>
      </c>
      <c r="U82" s="21">
        <f t="shared" si="5"/>
        <v>2.3342099661247118</v>
      </c>
      <c r="V82" s="27"/>
      <c r="W82">
        <f>USA!Z90*G82</f>
        <v>185.113527</v>
      </c>
      <c r="X82">
        <v>0</v>
      </c>
      <c r="Y82">
        <v>0</v>
      </c>
      <c r="Z82">
        <v>0</v>
      </c>
      <c r="AA82" s="23"/>
      <c r="AC82" s="7">
        <v>4.07</v>
      </c>
      <c r="AD82" s="3">
        <v>0.25</v>
      </c>
      <c r="AE82" s="4">
        <f t="shared" si="7"/>
        <v>1.6340000000000001</v>
      </c>
      <c r="AF82" s="3">
        <f t="shared" si="26"/>
        <v>5.7040000000000006</v>
      </c>
      <c r="AH82" s="4"/>
      <c r="AI82">
        <v>4.07</v>
      </c>
      <c r="AN82"/>
      <c r="AO82"/>
      <c r="AP82"/>
      <c r="AQ82">
        <v>2003</v>
      </c>
      <c r="AR82" s="3">
        <f t="shared" si="9"/>
        <v>8.17</v>
      </c>
      <c r="AS82" s="3">
        <f t="shared" si="20"/>
        <v>4.07</v>
      </c>
      <c r="AT82" s="3">
        <f t="shared" si="21"/>
        <v>1.6340000000000001</v>
      </c>
      <c r="AU82" s="3">
        <f t="shared" si="32"/>
        <v>5.7040000000000006</v>
      </c>
      <c r="AV82" s="3">
        <f t="shared" si="28"/>
        <v>2.4659999999999993</v>
      </c>
      <c r="AX82" s="3">
        <v>87.414920759687405</v>
      </c>
      <c r="AZ82" s="3">
        <f t="shared" si="29"/>
        <v>9.3462305164814694</v>
      </c>
      <c r="BA82" s="3">
        <f t="shared" si="23"/>
        <v>9.3385242050778743</v>
      </c>
      <c r="BB82" s="3">
        <f t="shared" si="12"/>
        <v>6.5252018195851056</v>
      </c>
      <c r="BC82" s="3">
        <f t="shared" si="24"/>
        <v>2.8210286968963638</v>
      </c>
      <c r="BD82" s="3">
        <f t="shared" si="30"/>
        <v>2.8133223854927696</v>
      </c>
      <c r="BE82" s="3">
        <f t="shared" si="31"/>
        <v>211.7642221616789</v>
      </c>
      <c r="BF82" s="7">
        <v>0</v>
      </c>
      <c r="BG82" s="24">
        <v>1</v>
      </c>
      <c r="BH82" s="7">
        <v>0</v>
      </c>
      <c r="BI82" s="3"/>
      <c r="BJ82" s="3">
        <f t="shared" si="16"/>
        <v>10.239696878247377</v>
      </c>
      <c r="BK82" s="3">
        <f t="shared" si="17"/>
        <v>10.231253870910564</v>
      </c>
    </row>
    <row r="83" spans="1:63">
      <c r="A83">
        <v>2004</v>
      </c>
      <c r="B83" s="3">
        <f t="shared" si="0"/>
        <v>160.70372443276975</v>
      </c>
      <c r="C83" s="3">
        <f t="shared" si="1"/>
        <v>86.62364207534489</v>
      </c>
      <c r="D83" s="2">
        <f t="shared" si="36"/>
        <v>112.29173305094324</v>
      </c>
      <c r="E83" s="2">
        <v>123.96942791081244</v>
      </c>
      <c r="F83" s="2">
        <f t="shared" si="37"/>
        <v>139.20741905439104</v>
      </c>
      <c r="G83" s="3">
        <v>5.9910600000000001</v>
      </c>
      <c r="H83" s="21">
        <f t="shared" si="33"/>
        <v>8.3171568165082945</v>
      </c>
      <c r="I83" s="21">
        <f t="shared" si="34"/>
        <v>8.34</v>
      </c>
      <c r="J83" s="21">
        <f t="shared" si="3"/>
        <v>8.3217254532066356</v>
      </c>
      <c r="K83" s="21"/>
      <c r="L83" s="21"/>
      <c r="M83" s="21"/>
      <c r="N83" s="21"/>
      <c r="O83">
        <v>8.34</v>
      </c>
      <c r="P83"/>
      <c r="Q83" s="4">
        <f t="shared" si="27"/>
        <v>9.0465005999999999</v>
      </c>
      <c r="R83" s="6">
        <v>151</v>
      </c>
      <c r="S83" s="23"/>
      <c r="T83" s="7">
        <f t="shared" si="35"/>
        <v>2.6019999999999994</v>
      </c>
      <c r="U83" s="21">
        <f t="shared" si="5"/>
        <v>2.5837254532066352</v>
      </c>
      <c r="V83" s="27"/>
      <c r="W83">
        <f>USA!Z91*G83</f>
        <v>215.97771299999999</v>
      </c>
      <c r="X83">
        <v>0</v>
      </c>
      <c r="Y83">
        <v>0</v>
      </c>
      <c r="Z83">
        <v>0</v>
      </c>
      <c r="AA83" s="23"/>
      <c r="AC83" s="7">
        <v>4.07</v>
      </c>
      <c r="AD83" s="3">
        <v>0.25</v>
      </c>
      <c r="AE83" s="4">
        <f t="shared" si="7"/>
        <v>1.6680000000000001</v>
      </c>
      <c r="AF83" s="3">
        <f t="shared" si="26"/>
        <v>5.7380000000000004</v>
      </c>
      <c r="AH83" s="4"/>
      <c r="AI83">
        <v>4.07</v>
      </c>
      <c r="AN83"/>
      <c r="AO83"/>
      <c r="AP83"/>
      <c r="AQ83">
        <v>2004</v>
      </c>
      <c r="AR83" s="3">
        <f t="shared" si="9"/>
        <v>8.34</v>
      </c>
      <c r="AS83" s="3">
        <f t="shared" si="20"/>
        <v>4.07</v>
      </c>
      <c r="AT83" s="3">
        <f t="shared" si="21"/>
        <v>1.6680000000000001</v>
      </c>
      <c r="AU83" s="3">
        <f t="shared" si="32"/>
        <v>5.7380000000000004</v>
      </c>
      <c r="AV83" s="3">
        <f t="shared" si="28"/>
        <v>2.6019999999999994</v>
      </c>
      <c r="AX83" s="3">
        <v>88.429078075119037</v>
      </c>
      <c r="AZ83" s="3">
        <f t="shared" si="29"/>
        <v>9.4312868363450626</v>
      </c>
      <c r="BA83" s="3">
        <f t="shared" si="23"/>
        <v>9.4965414073637717</v>
      </c>
      <c r="BB83" s="3">
        <f t="shared" si="12"/>
        <v>6.488815811384649</v>
      </c>
      <c r="BC83" s="3">
        <f t="shared" si="24"/>
        <v>2.9424710249604136</v>
      </c>
      <c r="BD83" s="3">
        <f t="shared" si="30"/>
        <v>3.0077255959791231</v>
      </c>
      <c r="BE83" s="3">
        <f t="shared" si="31"/>
        <v>244.23834071472564</v>
      </c>
      <c r="BF83" s="7">
        <v>0</v>
      </c>
      <c r="BG83" s="24">
        <v>1</v>
      </c>
      <c r="BH83" s="7">
        <v>0</v>
      </c>
      <c r="BI83" s="3"/>
      <c r="BJ83" s="3">
        <f t="shared" si="16"/>
        <v>10.332884279461863</v>
      </c>
      <c r="BK83" s="3">
        <f t="shared" si="17"/>
        <v>10.40437695514254</v>
      </c>
    </row>
    <row r="84" spans="1:63">
      <c r="A84">
        <v>2005</v>
      </c>
      <c r="B84" s="3">
        <f t="shared" si="0"/>
        <v>167.05192176189917</v>
      </c>
      <c r="C84" s="3">
        <f t="shared" si="1"/>
        <v>89.539246597092159</v>
      </c>
      <c r="D84" s="2">
        <f t="shared" si="36"/>
        <v>116.72753615602642</v>
      </c>
      <c r="E84" s="2">
        <v>128.14202809149756</v>
      </c>
      <c r="F84" s="2">
        <f t="shared" si="37"/>
        <v>149.57703217156836</v>
      </c>
      <c r="G84" s="3">
        <v>5.9969099999999997</v>
      </c>
      <c r="H84" s="21">
        <f t="shared" si="33"/>
        <v>9.1534574366005987</v>
      </c>
      <c r="I84" s="21">
        <f t="shared" si="34"/>
        <v>8.9700000000000006</v>
      </c>
      <c r="J84" s="21">
        <f t="shared" si="3"/>
        <v>9.1167659492804791</v>
      </c>
      <c r="K84" s="3">
        <f t="shared" ref="K84:K97" si="38">N84/M84*L84</f>
        <v>9.0361870893158152</v>
      </c>
      <c r="L84" s="3">
        <f>'Exchange Rates'!I44</f>
        <v>5.9969099999999997</v>
      </c>
      <c r="M84" s="3">
        <f>Britain!M84</f>
        <v>0.8041058333333333</v>
      </c>
      <c r="N84" s="3">
        <f>'EU petrol prices nominal'!AB3</f>
        <v>1.2116324489795913</v>
      </c>
      <c r="O84">
        <v>8.9700000000000006</v>
      </c>
      <c r="P84"/>
      <c r="Q84" s="4">
        <f t="shared" si="27"/>
        <v>9.2652259499999996</v>
      </c>
      <c r="R84" s="3">
        <f>(R83+R85)/2</f>
        <v>154.5</v>
      </c>
      <c r="S84" s="23"/>
      <c r="T84" s="7">
        <f t="shared" si="35"/>
        <v>3.1459999999999999</v>
      </c>
      <c r="U84" s="21">
        <f t="shared" si="5"/>
        <v>3.2927659492804784</v>
      </c>
      <c r="V84" s="27"/>
      <c r="W84">
        <f>USA!Z92*G84</f>
        <v>303.68352240000002</v>
      </c>
      <c r="X84">
        <v>0</v>
      </c>
      <c r="Y84">
        <v>0</v>
      </c>
      <c r="Z84">
        <v>0</v>
      </c>
      <c r="AA84" s="23"/>
      <c r="AC84" s="7">
        <v>4.03</v>
      </c>
      <c r="AD84" s="3">
        <v>0.25</v>
      </c>
      <c r="AE84" s="4">
        <f t="shared" si="7"/>
        <v>1.7940000000000003</v>
      </c>
      <c r="AF84" s="3">
        <f t="shared" si="26"/>
        <v>5.8240000000000007</v>
      </c>
      <c r="AH84" s="4"/>
      <c r="AI84">
        <v>3.81</v>
      </c>
      <c r="AN84"/>
      <c r="AO84"/>
      <c r="AP84"/>
      <c r="AQ84">
        <v>2005</v>
      </c>
      <c r="AR84" s="3">
        <f t="shared" si="9"/>
        <v>8.9700000000000006</v>
      </c>
      <c r="AS84" s="3">
        <f t="shared" si="20"/>
        <v>4.03</v>
      </c>
      <c r="AT84" s="3">
        <f t="shared" si="21"/>
        <v>1.7940000000000003</v>
      </c>
      <c r="AU84" s="3">
        <f t="shared" si="32"/>
        <v>5.8240000000000007</v>
      </c>
      <c r="AV84" s="3">
        <f t="shared" si="28"/>
        <v>3.1459999999999999</v>
      </c>
      <c r="AX84" s="3">
        <v>90.028587660795694</v>
      </c>
      <c r="AZ84" s="3">
        <f t="shared" si="29"/>
        <v>9.9635018532075925</v>
      </c>
      <c r="BA84" s="3">
        <f t="shared" si="23"/>
        <v>10.034000291042354</v>
      </c>
      <c r="BB84" s="3">
        <f t="shared" si="12"/>
        <v>6.4690562757057997</v>
      </c>
      <c r="BC84" s="3">
        <f t="shared" si="24"/>
        <v>3.4944455775017929</v>
      </c>
      <c r="BD84" s="3">
        <f t="shared" si="30"/>
        <v>3.5649440153365544</v>
      </c>
      <c r="BE84" s="3">
        <f t="shared" si="31"/>
        <v>337.31898976822845</v>
      </c>
      <c r="BF84" s="7">
        <v>0</v>
      </c>
      <c r="BG84" s="24">
        <v>1</v>
      </c>
      <c r="BH84" s="7">
        <v>0</v>
      </c>
      <c r="BI84" s="3"/>
      <c r="BJ84" s="3">
        <f t="shared" si="16"/>
        <v>10.915977157078503</v>
      </c>
      <c r="BK84" s="3">
        <f t="shared" si="17"/>
        <v>10.993214994572979</v>
      </c>
    </row>
    <row r="85" spans="1:63">
      <c r="A85">
        <v>2006</v>
      </c>
      <c r="B85" s="3">
        <f t="shared" si="0"/>
        <v>173.20841776064299</v>
      </c>
      <c r="C85" s="3">
        <f t="shared" si="1"/>
        <v>92.424281215596963</v>
      </c>
      <c r="D85" s="2">
        <f t="shared" si="36"/>
        <v>121.02938794981827</v>
      </c>
      <c r="E85" s="2">
        <v>132.27087886006535</v>
      </c>
      <c r="F85" s="2">
        <f t="shared" si="37"/>
        <v>160.08663512018268</v>
      </c>
      <c r="G85" s="3">
        <v>5.9467800000000004</v>
      </c>
      <c r="H85" s="21">
        <f t="shared" si="33"/>
        <v>9.7551904326806991</v>
      </c>
      <c r="I85" s="21">
        <f t="shared" si="34"/>
        <v>9.52</v>
      </c>
      <c r="J85" s="21">
        <f t="shared" si="3"/>
        <v>9.7081523461445585</v>
      </c>
      <c r="K85" s="3">
        <f t="shared" si="38"/>
        <v>9.5434307798929616</v>
      </c>
      <c r="L85" s="3">
        <f>'Exchange Rates'!I45</f>
        <v>5.9467800000000004</v>
      </c>
      <c r="M85" s="3">
        <f>Britain!M85</f>
        <v>0.7971408333333333</v>
      </c>
      <c r="N85" s="3">
        <f>'EU petrol prices nominal'!AB4</f>
        <v>1.2792567346938777</v>
      </c>
      <c r="O85">
        <v>9.52</v>
      </c>
      <c r="P85"/>
      <c r="Q85" s="4">
        <f t="shared" si="27"/>
        <v>9.3959124000000003</v>
      </c>
      <c r="R85" s="6">
        <v>158</v>
      </c>
      <c r="S85" s="23"/>
      <c r="T85" s="7">
        <f t="shared" si="35"/>
        <v>3.5859999999999994</v>
      </c>
      <c r="U85" s="21">
        <f t="shared" si="5"/>
        <v>3.7741523461445592</v>
      </c>
      <c r="V85" s="27"/>
      <c r="W85">
        <f>USA!Z93*G85</f>
        <v>363.2293224</v>
      </c>
      <c r="X85">
        <v>0</v>
      </c>
      <c r="Y85">
        <v>0</v>
      </c>
      <c r="Z85">
        <v>0</v>
      </c>
      <c r="AA85" s="23"/>
      <c r="AC85" s="7">
        <v>4.03</v>
      </c>
      <c r="AD85" s="3">
        <v>0.25</v>
      </c>
      <c r="AE85" s="4">
        <f t="shared" si="7"/>
        <v>1.9039999999999999</v>
      </c>
      <c r="AF85" s="3">
        <f t="shared" si="26"/>
        <v>5.9340000000000002</v>
      </c>
      <c r="AH85" s="4"/>
      <c r="AI85">
        <v>3.81</v>
      </c>
      <c r="AN85"/>
      <c r="AO85"/>
      <c r="AP85"/>
      <c r="AQ85">
        <v>2006</v>
      </c>
      <c r="AR85" s="3">
        <f t="shared" si="9"/>
        <v>9.52</v>
      </c>
      <c r="AS85" s="3">
        <f t="shared" si="20"/>
        <v>4.03</v>
      </c>
      <c r="AT85" s="3">
        <f t="shared" si="21"/>
        <v>1.9039999999999999</v>
      </c>
      <c r="AU85" s="3">
        <f t="shared" si="32"/>
        <v>5.9340000000000002</v>
      </c>
      <c r="AV85" s="3">
        <f t="shared" si="28"/>
        <v>3.5859999999999994</v>
      </c>
      <c r="AX85" s="3">
        <v>91.730193688453724</v>
      </c>
      <c r="AZ85" s="3">
        <f t="shared" si="29"/>
        <v>10.378262180861721</v>
      </c>
      <c r="BA85" s="3">
        <f t="shared" si="23"/>
        <v>10.385058516002216</v>
      </c>
      <c r="BB85" s="3">
        <f t="shared" si="12"/>
        <v>6.4689714055917502</v>
      </c>
      <c r="BC85" s="3">
        <f t="shared" si="24"/>
        <v>3.9092907752699713</v>
      </c>
      <c r="BD85" s="3">
        <f t="shared" si="30"/>
        <v>3.9160871104104653</v>
      </c>
      <c r="BE85" s="3">
        <f t="shared" si="31"/>
        <v>395.97574996259976</v>
      </c>
      <c r="BF85" s="7">
        <v>0</v>
      </c>
      <c r="BG85" s="24">
        <v>1</v>
      </c>
      <c r="BH85" s="7">
        <v>0</v>
      </c>
      <c r="BI85" s="3"/>
      <c r="BJ85" s="3">
        <f t="shared" si="16"/>
        <v>11.370387095375179</v>
      </c>
      <c r="BK85" s="3">
        <f t="shared" si="17"/>
        <v>11.37783313595795</v>
      </c>
    </row>
    <row r="86" spans="1:63">
      <c r="A86">
        <v>2007</v>
      </c>
      <c r="B86" s="3">
        <f t="shared" si="0"/>
        <v>187.03349503943298</v>
      </c>
      <c r="C86" s="3">
        <f t="shared" si="1"/>
        <v>95.074004003893037</v>
      </c>
      <c r="D86" s="2">
        <f t="shared" si="36"/>
        <v>130.68966118043656</v>
      </c>
      <c r="E86" s="2">
        <v>136.06296852886032</v>
      </c>
      <c r="F86" s="2">
        <f t="shared" si="37"/>
        <v>177.8202325624116</v>
      </c>
      <c r="G86" s="3">
        <v>5.4436999999999998</v>
      </c>
      <c r="H86" s="21">
        <f t="shared" si="33"/>
        <v>9.8847563084181971</v>
      </c>
      <c r="I86" s="21">
        <f t="shared" si="34"/>
        <v>9.68</v>
      </c>
      <c r="J86" s="21">
        <f t="shared" si="3"/>
        <v>9.843805046734559</v>
      </c>
      <c r="K86" s="3">
        <f t="shared" si="38"/>
        <v>9.7192444081856113</v>
      </c>
      <c r="L86" s="3">
        <f>'Exchange Rates'!I46</f>
        <v>5.4436999999999998</v>
      </c>
      <c r="M86" s="3">
        <f>Britain!M86</f>
        <v>0.73063749999999994</v>
      </c>
      <c r="N86" s="3">
        <f>'EU petrol prices nominal'!AB5</f>
        <v>1.3044885714285714</v>
      </c>
      <c r="O86">
        <v>9.68</v>
      </c>
      <c r="P86"/>
      <c r="Q86" s="4">
        <f t="shared" si="27"/>
        <v>9.7442229999999999</v>
      </c>
      <c r="R86" s="3">
        <f>(R85+R87)/2</f>
        <v>179</v>
      </c>
      <c r="S86" s="23"/>
      <c r="T86" s="7">
        <f t="shared" si="35"/>
        <v>3.7139999999999995</v>
      </c>
      <c r="U86" s="21">
        <f t="shared" si="5"/>
        <v>3.8778050467345579</v>
      </c>
      <c r="V86" s="27"/>
      <c r="W86">
        <f>USA!Z94*G86</f>
        <v>376.05079599999999</v>
      </c>
      <c r="X86">
        <v>0</v>
      </c>
      <c r="Y86">
        <v>0</v>
      </c>
      <c r="Z86">
        <v>0</v>
      </c>
      <c r="AA86" s="23"/>
      <c r="AC86" s="7">
        <v>4.03</v>
      </c>
      <c r="AD86" s="3">
        <v>0.25</v>
      </c>
      <c r="AE86" s="4">
        <f t="shared" si="7"/>
        <v>1.9359999999999999</v>
      </c>
      <c r="AF86" s="3">
        <f t="shared" si="26"/>
        <v>5.9660000000000002</v>
      </c>
      <c r="AH86" s="4"/>
      <c r="AI86">
        <v>3.81</v>
      </c>
      <c r="AN86"/>
      <c r="AO86"/>
      <c r="AP86"/>
      <c r="AQ86">
        <v>2007</v>
      </c>
      <c r="AR86" s="3">
        <f t="shared" si="9"/>
        <v>9.68</v>
      </c>
      <c r="AS86" s="3">
        <f t="shared" si="20"/>
        <v>4.03</v>
      </c>
      <c r="AT86" s="3">
        <f t="shared" si="21"/>
        <v>1.9359999999999999</v>
      </c>
      <c r="AU86" s="3">
        <f t="shared" si="32"/>
        <v>5.9660000000000002</v>
      </c>
      <c r="AV86" s="3">
        <f t="shared" si="28"/>
        <v>3.7139999999999995</v>
      </c>
      <c r="AX86" s="3">
        <v>93.302477644633868</v>
      </c>
      <c r="AZ86" s="3">
        <f t="shared" si="29"/>
        <v>10.374858465033194</v>
      </c>
      <c r="BA86" s="3">
        <f t="shared" si="23"/>
        <v>10.352662155011643</v>
      </c>
      <c r="BB86" s="3">
        <f t="shared" si="12"/>
        <v>6.3942567771062029</v>
      </c>
      <c r="BC86" s="3">
        <f t="shared" si="24"/>
        <v>3.980601687926991</v>
      </c>
      <c r="BD86" s="3">
        <f t="shared" si="30"/>
        <v>3.9584053779054407</v>
      </c>
      <c r="BE86" s="3">
        <f t="shared" si="31"/>
        <v>403.04481241354028</v>
      </c>
      <c r="BF86" s="7">
        <v>0</v>
      </c>
      <c r="BG86" s="24">
        <v>1</v>
      </c>
      <c r="BH86" s="7">
        <v>0</v>
      </c>
      <c r="BI86" s="3"/>
      <c r="BJ86" s="3">
        <f t="shared" si="16"/>
        <v>11.366657996431774</v>
      </c>
      <c r="BK86" s="3">
        <f t="shared" si="17"/>
        <v>11.342339798198219</v>
      </c>
    </row>
    <row r="87" spans="1:63">
      <c r="A87">
        <v>2008</v>
      </c>
      <c r="B87" s="3">
        <f t="shared" si="0"/>
        <v>202.90130484818732</v>
      </c>
      <c r="C87" s="3">
        <f t="shared" si="1"/>
        <v>98.70291900542351</v>
      </c>
      <c r="D87" s="2">
        <f t="shared" si="36"/>
        <v>141.7772938375951</v>
      </c>
      <c r="E87" s="2">
        <v>141.25640655453694</v>
      </c>
      <c r="F87" s="2">
        <f t="shared" si="37"/>
        <v>200.26951058525378</v>
      </c>
      <c r="G87" s="3">
        <v>5.0981300000000003</v>
      </c>
      <c r="H87" s="21">
        <f t="shared" si="33"/>
        <v>10.228337254890281</v>
      </c>
      <c r="I87" s="21">
        <f t="shared" si="34"/>
        <v>10.210000000000001</v>
      </c>
      <c r="J87" s="21">
        <f t="shared" si="3"/>
        <v>10.224669803912224</v>
      </c>
      <c r="K87" s="3">
        <f t="shared" si="38"/>
        <v>10.35951577093892</v>
      </c>
      <c r="L87" s="3">
        <f>'Exchange Rates'!I47</f>
        <v>5.0981300000000003</v>
      </c>
      <c r="M87" s="3">
        <f>Britain!M87</f>
        <v>0.68267416666666658</v>
      </c>
      <c r="N87" s="3">
        <f>'EU petrol prices nominal'!AB6</f>
        <v>1.3872093877551019</v>
      </c>
      <c r="O87">
        <v>10.210000000000001</v>
      </c>
      <c r="P87"/>
      <c r="Q87" s="4">
        <f t="shared" si="27"/>
        <v>10.196260000000001</v>
      </c>
      <c r="R87" s="6">
        <v>200</v>
      </c>
      <c r="S87" s="23"/>
      <c r="T87" s="7">
        <f t="shared" si="35"/>
        <v>4.0650000000000013</v>
      </c>
      <c r="U87" s="21">
        <f t="shared" si="5"/>
        <v>4.0796698039122248</v>
      </c>
      <c r="V87" s="27"/>
      <c r="W87">
        <f>USA!Z95*G87</f>
        <v>481.51837850000004</v>
      </c>
      <c r="X87">
        <v>0</v>
      </c>
      <c r="Y87">
        <v>0</v>
      </c>
      <c r="Z87">
        <v>1</v>
      </c>
      <c r="AA87" s="23"/>
      <c r="AC87" s="7">
        <v>4.1029999999999998</v>
      </c>
      <c r="AD87" s="3">
        <v>0.25</v>
      </c>
      <c r="AE87" s="4">
        <f t="shared" si="7"/>
        <v>2.0420000000000003</v>
      </c>
      <c r="AF87" s="3">
        <f t="shared" si="26"/>
        <v>6.1449999999999996</v>
      </c>
      <c r="AH87" s="4"/>
      <c r="AI87">
        <v>3.86</v>
      </c>
      <c r="AN87"/>
      <c r="AO87"/>
      <c r="AP87"/>
      <c r="AQ87">
        <v>2008</v>
      </c>
      <c r="AR87" s="3">
        <f t="shared" si="9"/>
        <v>10.210000000000001</v>
      </c>
      <c r="AS87" s="3">
        <f t="shared" si="20"/>
        <v>4.1029999999999998</v>
      </c>
      <c r="AT87" s="3">
        <f t="shared" si="21"/>
        <v>2.0420000000000003</v>
      </c>
      <c r="AU87" s="3">
        <f t="shared" si="32"/>
        <v>6.1449999999999996</v>
      </c>
      <c r="AV87" s="3">
        <f t="shared" si="28"/>
        <v>4.0650000000000013</v>
      </c>
      <c r="AX87" s="3">
        <v>96.474272046543788</v>
      </c>
      <c r="AZ87" s="3">
        <f t="shared" si="29"/>
        <v>10.583132459475008</v>
      </c>
      <c r="BA87" s="3">
        <f t="shared" si="23"/>
        <v>10.90309929066682</v>
      </c>
      <c r="BB87" s="3">
        <f t="shared" si="12"/>
        <v>6.3695738455900015</v>
      </c>
      <c r="BC87" s="3">
        <f t="shared" si="24"/>
        <v>4.2135586138850067</v>
      </c>
      <c r="BD87" s="3">
        <f t="shared" si="30"/>
        <v>4.533525445076819</v>
      </c>
      <c r="BE87" s="3">
        <f t="shared" si="31"/>
        <v>499.11584538071725</v>
      </c>
      <c r="BF87" s="7">
        <v>0</v>
      </c>
      <c r="BG87" s="24">
        <v>1</v>
      </c>
      <c r="BH87" s="7">
        <v>0</v>
      </c>
      <c r="BI87" s="3"/>
      <c r="BJ87" s="3">
        <f t="shared" si="16"/>
        <v>11.594842243219304</v>
      </c>
      <c r="BK87" s="3">
        <f t="shared" si="17"/>
        <v>11.945396764287434</v>
      </c>
    </row>
    <row r="88" spans="1:63">
      <c r="A88">
        <v>2009</v>
      </c>
      <c r="B88" s="3">
        <f t="shared" si="0"/>
        <v>179.55820158686646</v>
      </c>
      <c r="C88" s="3">
        <f>E88/E$89*100</f>
        <v>98.380597588111073</v>
      </c>
      <c r="D88" s="2">
        <f t="shared" si="36"/>
        <v>125.46629961980125</v>
      </c>
      <c r="E88" s="2">
        <v>140.7951236905254</v>
      </c>
      <c r="F88" s="2">
        <f t="shared" si="37"/>
        <v>176.65043173962437</v>
      </c>
      <c r="G88" s="3">
        <v>5.3608700000000002</v>
      </c>
      <c r="H88" s="21">
        <f t="shared" si="33"/>
        <v>9.5887118217384764</v>
      </c>
      <c r="I88" s="21">
        <f t="shared" si="34"/>
        <v>9.4700000000000006</v>
      </c>
      <c r="J88" s="21">
        <f t="shared" si="3"/>
        <v>9.5649694573907809</v>
      </c>
      <c r="K88" s="3">
        <f t="shared" si="38"/>
        <v>9.540170895701733</v>
      </c>
      <c r="L88" s="3">
        <f>'Exchange Rates'!I48</f>
        <v>5.3608700000000002</v>
      </c>
      <c r="M88" s="3">
        <f>Britain!M88</f>
        <v>0.71984416666666673</v>
      </c>
      <c r="N88" s="3">
        <f>'EU petrol prices nominal'!AB7</f>
        <v>1.2810302000000002</v>
      </c>
      <c r="O88">
        <v>9.4700000000000006</v>
      </c>
      <c r="P88"/>
      <c r="Q88" s="4"/>
      <c r="R88" s="3">
        <v>180</v>
      </c>
      <c r="S88" s="23"/>
      <c r="T88" s="7">
        <f t="shared" si="35"/>
        <v>3.3890000000000002</v>
      </c>
      <c r="U88" s="21">
        <f t="shared" si="5"/>
        <v>3.4839694573907813</v>
      </c>
      <c r="V88" s="27"/>
      <c r="W88">
        <f>USA!Z96*G88</f>
        <v>327.33472220000004</v>
      </c>
      <c r="X88">
        <v>0</v>
      </c>
      <c r="Y88">
        <v>0</v>
      </c>
      <c r="Z88">
        <v>0</v>
      </c>
      <c r="AA88" s="23"/>
      <c r="AC88" s="7">
        <v>4.1870000000000003</v>
      </c>
      <c r="AD88" s="3">
        <v>0.25</v>
      </c>
      <c r="AE88" s="4">
        <f t="shared" si="7"/>
        <v>1.8940000000000001</v>
      </c>
      <c r="AF88" s="3">
        <f t="shared" si="26"/>
        <v>6.0810000000000004</v>
      </c>
      <c r="AH88" s="4"/>
      <c r="AI88">
        <v>3.96</v>
      </c>
      <c r="AN88"/>
      <c r="AO88"/>
      <c r="AP88"/>
      <c r="AQ88">
        <v>2009</v>
      </c>
      <c r="AR88" s="3">
        <f t="shared" si="9"/>
        <v>9.4700000000000006</v>
      </c>
      <c r="AS88" s="3">
        <f t="shared" si="20"/>
        <v>4.1870000000000003</v>
      </c>
      <c r="AT88" s="3">
        <f t="shared" si="21"/>
        <v>1.8940000000000001</v>
      </c>
      <c r="AU88" s="3">
        <f t="shared" si="32"/>
        <v>6.0810000000000004</v>
      </c>
      <c r="AV88" s="3">
        <f t="shared" si="28"/>
        <v>3.3890000000000002</v>
      </c>
      <c r="AX88" s="3">
        <v>97.753879778172987</v>
      </c>
      <c r="AZ88" s="3">
        <f t="shared" si="29"/>
        <v>9.6875950310000007</v>
      </c>
      <c r="BA88" s="3">
        <f t="shared" si="23"/>
        <v>9.7709244655313228</v>
      </c>
      <c r="BB88" s="3">
        <f t="shared" si="12"/>
        <v>6.2207249613000002</v>
      </c>
      <c r="BC88" s="3">
        <f t="shared" si="24"/>
        <v>3.4668700697000006</v>
      </c>
      <c r="BD88" s="3">
        <f t="shared" si="30"/>
        <v>3.550199504231323</v>
      </c>
      <c r="BE88" s="3">
        <f t="shared" si="31"/>
        <v>334.85599031240611</v>
      </c>
      <c r="BF88" s="7">
        <v>0</v>
      </c>
      <c r="BG88" s="24">
        <v>1</v>
      </c>
      <c r="BH88" s="7">
        <v>0</v>
      </c>
      <c r="BI88" s="3"/>
      <c r="BJ88" s="3">
        <f t="shared" si="16"/>
        <v>10.613694624985573</v>
      </c>
      <c r="BK88" s="3">
        <f t="shared" si="17"/>
        <v>10.704990056778295</v>
      </c>
    </row>
    <row r="89" spans="1:63">
      <c r="A89">
        <v>2010</v>
      </c>
      <c r="B89" s="3">
        <f>I89/G89*100/C89*100</f>
        <v>190.07553518608225</v>
      </c>
      <c r="C89" s="3">
        <f>CPIs!AB49</f>
        <v>99.999998509883881</v>
      </c>
      <c r="D89" s="2">
        <f t="shared" si="36"/>
        <v>132.81528485987803</v>
      </c>
      <c r="E89" s="2">
        <v>143.11269411067286</v>
      </c>
      <c r="F89" s="2">
        <f t="shared" si="37"/>
        <v>190.07553235373607</v>
      </c>
      <c r="G89" s="3">
        <v>5.6240800000000002</v>
      </c>
      <c r="H89" s="21">
        <f t="shared" si="33"/>
        <v>10.776372082078671</v>
      </c>
      <c r="I89" s="21">
        <f t="shared" si="34"/>
        <v>10.69</v>
      </c>
      <c r="J89" s="21">
        <f t="shared" si="3"/>
        <v>10.759097665662939</v>
      </c>
      <c r="K89" s="3">
        <f t="shared" si="38"/>
        <v>10.681592008858154</v>
      </c>
      <c r="L89" s="3">
        <f>'Exchange Rates'!I49</f>
        <v>5.6240800000000002</v>
      </c>
      <c r="M89" s="3">
        <f>Britain!M89</f>
        <v>0.75867129256384003</v>
      </c>
      <c r="N89" s="3">
        <f>'EU petrol prices nominal'!AB8</f>
        <v>1.4409142857142856</v>
      </c>
      <c r="O89">
        <v>10.69</v>
      </c>
      <c r="P89"/>
      <c r="Q89"/>
      <c r="R89"/>
      <c r="S89" s="23"/>
      <c r="T89" s="7">
        <f>O89-AF89</f>
        <v>4.29</v>
      </c>
      <c r="U89" s="21">
        <f>U$92+U$93*W89+U$94*X89+U$95*Y89+U$96*Z89</f>
        <v>4.3590976656629383</v>
      </c>
      <c r="V89" s="27"/>
      <c r="W89">
        <f>USA!Z97*G89</f>
        <v>435.58499600000005</v>
      </c>
      <c r="X89">
        <v>0</v>
      </c>
      <c r="Y89">
        <v>0</v>
      </c>
      <c r="Z89">
        <v>0</v>
      </c>
      <c r="AA89" s="23"/>
      <c r="AC89" s="7">
        <v>4.2619999999999996</v>
      </c>
      <c r="AD89" s="3">
        <v>0.25</v>
      </c>
      <c r="AE89" s="3">
        <f t="shared" si="7"/>
        <v>2.1379999999999999</v>
      </c>
      <c r="AF89" s="3">
        <f t="shared" si="26"/>
        <v>6.3999999999999995</v>
      </c>
      <c r="AH89" s="4"/>
      <c r="AI89">
        <v>3.82</v>
      </c>
      <c r="AN89"/>
      <c r="AO89"/>
      <c r="AP89"/>
      <c r="AQ89">
        <v>2010</v>
      </c>
      <c r="AR89" s="3">
        <f t="shared" si="9"/>
        <v>10.69</v>
      </c>
      <c r="AS89" s="3">
        <f t="shared" si="20"/>
        <v>4.2619999999999996</v>
      </c>
      <c r="AT89" s="3">
        <f t="shared" si="21"/>
        <v>2.1379999999999999</v>
      </c>
      <c r="AU89" s="3">
        <f t="shared" si="32"/>
        <v>6.3999999999999995</v>
      </c>
      <c r="AV89" s="3">
        <f t="shared" si="28"/>
        <v>4.29</v>
      </c>
      <c r="AX89" s="3">
        <v>100</v>
      </c>
      <c r="AZ89" s="3">
        <f t="shared" si="29"/>
        <v>10.69</v>
      </c>
      <c r="BA89" s="3">
        <f t="shared" si="23"/>
        <v>10.990758691864393</v>
      </c>
      <c r="BB89" s="3">
        <f t="shared" si="12"/>
        <v>6.4</v>
      </c>
      <c r="BC89" s="3">
        <f t="shared" si="24"/>
        <v>4.2899999999999991</v>
      </c>
      <c r="BD89" s="3">
        <f t="shared" si="30"/>
        <v>4.5907586918643926</v>
      </c>
      <c r="BE89" s="3">
        <f t="shared" si="31"/>
        <v>435.58499600000005</v>
      </c>
      <c r="BF89" s="7">
        <v>0</v>
      </c>
      <c r="BG89" s="7">
        <v>0</v>
      </c>
      <c r="BH89" s="7">
        <v>0</v>
      </c>
      <c r="BI89" s="3"/>
      <c r="BJ89" s="3">
        <f t="shared" si="16"/>
        <v>11.711925940135407</v>
      </c>
      <c r="BK89" s="3">
        <f t="shared" si="17"/>
        <v>12.041436092143618</v>
      </c>
    </row>
    <row r="90" spans="1:63">
      <c r="A90">
        <v>2011</v>
      </c>
      <c r="B90" s="3">
        <f t="shared" ref="B90:B96" si="39">I90/G90*100/C90*100</f>
        <v>218.23503602645266</v>
      </c>
      <c r="C90" s="3">
        <f>CPIs!AB50</f>
        <v>103.13271097869961</v>
      </c>
      <c r="G90" s="3">
        <f>'Exchange Rates'!I50</f>
        <v>5.362177</v>
      </c>
      <c r="I90" s="3">
        <f>K90</f>
        <v>12.068743411329086</v>
      </c>
      <c r="K90" s="3">
        <f t="shared" si="38"/>
        <v>12.068743411329086</v>
      </c>
      <c r="L90" s="3">
        <f>'Exchange Rates'!I50</f>
        <v>5.362177</v>
      </c>
      <c r="M90" s="3">
        <f>Britain!M90</f>
        <v>0.71544109992713056</v>
      </c>
      <c r="N90" s="3">
        <f>'EU petrol prices nominal'!AB9</f>
        <v>1.6102555102040816</v>
      </c>
      <c r="O90"/>
      <c r="P90"/>
      <c r="Q90"/>
      <c r="R90"/>
      <c r="S90" s="23"/>
      <c r="T90" s="7"/>
      <c r="U90" s="21"/>
      <c r="V90" s="23"/>
      <c r="W90">
        <f>USA!Z98*G90</f>
        <v>576.16591864999998</v>
      </c>
      <c r="AA90" s="23"/>
      <c r="AC90" s="7">
        <v>4.2530000000000001</v>
      </c>
      <c r="AD90" s="3">
        <v>0.25</v>
      </c>
      <c r="AE90" s="4">
        <f t="shared" si="7"/>
        <v>2.4137486822658172</v>
      </c>
      <c r="AF90" s="3">
        <f t="shared" si="26"/>
        <v>6.6667486822658173</v>
      </c>
      <c r="AH90" s="4"/>
      <c r="AN90"/>
      <c r="AO90"/>
      <c r="AP90"/>
      <c r="AQ90">
        <v>2011</v>
      </c>
      <c r="AR90" s="3">
        <f t="shared" si="9"/>
        <v>12.068743411329086</v>
      </c>
      <c r="AS90" s="3">
        <f t="shared" si="20"/>
        <v>4.2530000000000001</v>
      </c>
      <c r="AT90" s="3">
        <f t="shared" si="21"/>
        <v>2.4137486822658172</v>
      </c>
      <c r="AU90" s="3">
        <f t="shared" si="32"/>
        <v>6.6667486822658173</v>
      </c>
      <c r="AV90" s="3">
        <f t="shared" si="28"/>
        <v>5.4019947290632686</v>
      </c>
      <c r="AX90" s="3">
        <f>CPIs!I50</f>
        <v>102.75868225097656</v>
      </c>
      <c r="AZ90" s="3">
        <f t="shared" si="29"/>
        <v>11.744743263496249</v>
      </c>
      <c r="BA90" s="3">
        <f t="shared" si="23"/>
        <v>11.827507669849414</v>
      </c>
      <c r="BB90" s="3">
        <f t="shared" ref="BB90:BB96" si="40">AU90/$AX90*100</f>
        <v>6.4877716765411906</v>
      </c>
      <c r="BC90" s="3">
        <f t="shared" si="24"/>
        <v>5.256971586955058</v>
      </c>
      <c r="BD90" s="3">
        <f t="shared" si="30"/>
        <v>5.3397359933082242</v>
      </c>
      <c r="BE90" s="3">
        <f t="shared" si="31"/>
        <v>560.69804130300088</v>
      </c>
      <c r="BF90" s="7">
        <v>0</v>
      </c>
      <c r="BG90" s="7">
        <v>0</v>
      </c>
      <c r="BH90" s="7">
        <v>0</v>
      </c>
      <c r="BI90" s="3"/>
      <c r="BJ90" s="3">
        <f t="shared" si="16"/>
        <v>12.86749890439404</v>
      </c>
      <c r="BK90" s="3">
        <f t="shared" si="17"/>
        <v>12.958175293326457</v>
      </c>
    </row>
    <row r="91" spans="1:63">
      <c r="A91">
        <v>2012</v>
      </c>
      <c r="B91" s="3">
        <f t="shared" si="39"/>
        <v>208.82401499886458</v>
      </c>
      <c r="C91" s="3">
        <f>CPIs!AB51</f>
        <v>105.21072267093371</v>
      </c>
      <c r="G91" s="3">
        <f>'Exchange Rates'!I51</f>
        <v>5.7972159999999997</v>
      </c>
      <c r="I91" s="3">
        <f t="shared" ref="I91:I97" si="41">K91</f>
        <v>12.736788212557041</v>
      </c>
      <c r="K91" s="3">
        <f t="shared" si="38"/>
        <v>12.736788212557041</v>
      </c>
      <c r="L91" s="3">
        <f>'Exchange Rates'!I51</f>
        <v>5.7972159999999997</v>
      </c>
      <c r="M91" s="3">
        <f>Britain!M91</f>
        <v>0.773899446716382</v>
      </c>
      <c r="N91" s="3">
        <f>'EU petrol prices nominal'!AB10</f>
        <v>1.7002977551020406</v>
      </c>
      <c r="O91"/>
      <c r="P91"/>
      <c r="Q91"/>
      <c r="R91"/>
      <c r="S91" s="23"/>
      <c r="T91" s="7"/>
      <c r="U91" s="21"/>
      <c r="V91" s="23"/>
      <c r="W91">
        <f>USA!Z99*G91</f>
        <v>634.77114186373331</v>
      </c>
      <c r="AA91" s="23"/>
      <c r="AC91" s="7">
        <v>4.33</v>
      </c>
      <c r="AD91" s="3">
        <v>0.25</v>
      </c>
      <c r="AE91" s="4">
        <f t="shared" ref="AE91:AE96" si="42">AD91*(I91*(1/(1+AD91)))</f>
        <v>2.5473576425114084</v>
      </c>
      <c r="AF91" s="3">
        <f t="shared" si="26"/>
        <v>6.8773576425114085</v>
      </c>
      <c r="AH91" s="4"/>
      <c r="AN91"/>
      <c r="AO91"/>
      <c r="AP91"/>
      <c r="AQ91">
        <v>2012</v>
      </c>
      <c r="AR91" s="3">
        <f t="shared" ref="AR91:AR96" si="43">I91</f>
        <v>12.736788212557041</v>
      </c>
      <c r="AS91" s="3">
        <f t="shared" si="20"/>
        <v>4.33</v>
      </c>
      <c r="AT91" s="3">
        <f t="shared" si="21"/>
        <v>2.5473576425114084</v>
      </c>
      <c r="AU91" s="3">
        <f t="shared" si="32"/>
        <v>6.8773576425114085</v>
      </c>
      <c r="AV91" s="3">
        <f t="shared" si="28"/>
        <v>5.8594305700456326</v>
      </c>
      <c r="AX91" s="3">
        <f>CPIs!I51</f>
        <v>105.22274780273438</v>
      </c>
      <c r="AZ91" s="3">
        <f t="shared" si="29"/>
        <v>12.10459570627755</v>
      </c>
      <c r="BA91" s="3">
        <f t="shared" si="23"/>
        <v>12.130552994774362</v>
      </c>
      <c r="BB91" s="3">
        <f t="shared" si="40"/>
        <v>6.5359989033974744</v>
      </c>
      <c r="BC91" s="3">
        <f t="shared" si="24"/>
        <v>5.5685968028800756</v>
      </c>
      <c r="BD91" s="3">
        <f t="shared" si="30"/>
        <v>5.5945540913768887</v>
      </c>
      <c r="BE91" s="3">
        <f t="shared" si="31"/>
        <v>603.26417539842816</v>
      </c>
      <c r="BF91" s="7">
        <v>0</v>
      </c>
      <c r="BG91" s="7">
        <v>0</v>
      </c>
      <c r="BH91" s="7">
        <v>0</v>
      </c>
      <c r="BI91" s="3"/>
      <c r="BJ91" s="3">
        <f t="shared" si="16"/>
        <v>13.26175195951391</v>
      </c>
      <c r="BK91" s="3">
        <f t="shared" si="17"/>
        <v>13.290190672374658</v>
      </c>
    </row>
    <row r="92" spans="1:63">
      <c r="A92">
        <v>2013</v>
      </c>
      <c r="B92" s="3">
        <f t="shared" si="39"/>
        <v>208.99488221834167</v>
      </c>
      <c r="C92" s="3">
        <f>CPIs!AB52</f>
        <v>106.69767516878358</v>
      </c>
      <c r="G92" s="3">
        <f>'Exchange Rates'!I52</f>
        <v>5.617216</v>
      </c>
      <c r="I92" s="3">
        <f t="shared" si="41"/>
        <v>12.525980530610914</v>
      </c>
      <c r="K92" s="3">
        <f t="shared" si="38"/>
        <v>12.525980530610914</v>
      </c>
      <c r="L92" s="3">
        <f>'Exchange Rates'!I52</f>
        <v>5.617216</v>
      </c>
      <c r="M92" s="3">
        <f>Britain!M92</f>
        <v>0.75166876437654617</v>
      </c>
      <c r="N92" s="3">
        <f>'EU petrol prices nominal'!AB11</f>
        <v>1.6761663265306124</v>
      </c>
      <c r="O92"/>
      <c r="P92"/>
      <c r="Q92"/>
      <c r="R92"/>
      <c r="S92" s="23"/>
      <c r="T92" s="13" t="s">
        <v>88</v>
      </c>
      <c r="U92" s="13">
        <v>0.83769579092962221</v>
      </c>
      <c r="V92" s="28"/>
      <c r="W92">
        <f>USA!Z100*G92</f>
        <v>595.06679847999987</v>
      </c>
      <c r="AA92" s="23"/>
      <c r="AC92">
        <v>4.33</v>
      </c>
      <c r="AD92" s="3">
        <v>0.25</v>
      </c>
      <c r="AE92" s="4">
        <f t="shared" si="42"/>
        <v>2.5051961061221828</v>
      </c>
      <c r="AF92" s="3">
        <f t="shared" si="26"/>
        <v>6.8351961061221829</v>
      </c>
      <c r="AH92" s="4"/>
      <c r="AN92"/>
      <c r="AO92"/>
      <c r="AP92"/>
      <c r="AQ92">
        <v>2013</v>
      </c>
      <c r="AR92" s="3">
        <f t="shared" si="43"/>
        <v>12.525980530610914</v>
      </c>
      <c r="AS92" s="3">
        <f t="shared" si="20"/>
        <v>4.33</v>
      </c>
      <c r="AT92" s="3">
        <f t="shared" si="21"/>
        <v>2.5051961061221828</v>
      </c>
      <c r="AU92" s="3">
        <f t="shared" si="32"/>
        <v>6.8351961061221829</v>
      </c>
      <c r="AV92" s="3">
        <f t="shared" si="28"/>
        <v>5.6907844244887311</v>
      </c>
      <c r="AX92" s="3">
        <f>CPIs!I52</f>
        <v>106.05303192138672</v>
      </c>
      <c r="AZ92" s="3">
        <f t="shared" si="29"/>
        <v>11.811053681045131</v>
      </c>
      <c r="BA92" s="3">
        <f t="shared" si="23"/>
        <v>11.787234284647273</v>
      </c>
      <c r="BB92" s="3">
        <f t="shared" si="40"/>
        <v>6.4450737355522909</v>
      </c>
      <c r="BC92" s="3">
        <f t="shared" si="24"/>
        <v>5.3659799454928399</v>
      </c>
      <c r="BD92" s="3">
        <f t="shared" si="30"/>
        <v>5.3421605490949826</v>
      </c>
      <c r="BE92" s="3">
        <f t="shared" si="31"/>
        <v>561.1030516516505</v>
      </c>
      <c r="BF92" s="7">
        <v>0</v>
      </c>
      <c r="BG92" s="7">
        <v>0</v>
      </c>
      <c r="BH92" s="7">
        <v>0</v>
      </c>
      <c r="BI92" s="3"/>
      <c r="BJ92" s="3">
        <f t="shared" si="16"/>
        <v>12.940148361774018</v>
      </c>
      <c r="BK92" s="3">
        <f t="shared" si="17"/>
        <v>12.914051915885295</v>
      </c>
    </row>
    <row r="93" spans="1:63">
      <c r="A93">
        <v>2014</v>
      </c>
      <c r="B93" s="3">
        <f t="shared" si="39"/>
        <v>200.42504089616392</v>
      </c>
      <c r="C93" s="3">
        <f>CPIs!AB53</f>
        <v>108.45811062912946</v>
      </c>
      <c r="G93" s="3">
        <f>'Exchange Rates'!I53</f>
        <v>5.619046</v>
      </c>
      <c r="I93" s="3">
        <f t="shared" si="41"/>
        <v>12.214525568592487</v>
      </c>
      <c r="K93" s="3">
        <f t="shared" si="38"/>
        <v>12.214525568592487</v>
      </c>
      <c r="L93" s="3">
        <f>'Exchange Rates'!I53</f>
        <v>5.619046</v>
      </c>
      <c r="M93" s="3">
        <f>Britain!M93</f>
        <v>0.757387838338895</v>
      </c>
      <c r="N93" s="3">
        <f>'EU petrol prices nominal'!AB12</f>
        <v>1.6463885714285711</v>
      </c>
      <c r="O93"/>
      <c r="P93"/>
      <c r="Q93"/>
      <c r="R93"/>
      <c r="S93" s="23"/>
      <c r="T93" s="13" t="s">
        <v>99</v>
      </c>
      <c r="U93" s="13">
        <v>8.0843048017506004E-3</v>
      </c>
      <c r="V93" s="28"/>
      <c r="W93">
        <f>USA!Z101*G93</f>
        <v>540.49074347168323</v>
      </c>
      <c r="AA93" s="23"/>
      <c r="AC93">
        <v>4.4880000000000004</v>
      </c>
      <c r="AD93" s="3">
        <v>0.25</v>
      </c>
      <c r="AE93" s="4">
        <f t="shared" si="42"/>
        <v>2.4429051137184974</v>
      </c>
      <c r="AF93" s="3">
        <f t="shared" si="26"/>
        <v>6.9309051137184978</v>
      </c>
      <c r="AH93" s="4"/>
      <c r="AN93"/>
      <c r="AO93"/>
      <c r="AP93"/>
      <c r="AQ93">
        <v>2014</v>
      </c>
      <c r="AR93" s="3">
        <f t="shared" si="43"/>
        <v>12.214525568592487</v>
      </c>
      <c r="AS93" s="3">
        <f t="shared" si="20"/>
        <v>4.4880000000000004</v>
      </c>
      <c r="AT93" s="3">
        <f t="shared" si="21"/>
        <v>2.4429051137184974</v>
      </c>
      <c r="AU93" s="3">
        <f t="shared" si="32"/>
        <v>6.9309051137184978</v>
      </c>
      <c r="AV93" s="3">
        <f t="shared" si="28"/>
        <v>5.2836204548739891</v>
      </c>
      <c r="AX93" s="3">
        <f>CPIs!I53</f>
        <v>106.65119171142578</v>
      </c>
      <c r="AZ93" s="3">
        <f t="shared" si="29"/>
        <v>11.452779263491266</v>
      </c>
      <c r="BA93" s="3">
        <f t="shared" si="23"/>
        <v>11.515648663355609</v>
      </c>
      <c r="BB93" s="3">
        <f t="shared" si="40"/>
        <v>6.4986663557140307</v>
      </c>
      <c r="BC93" s="3">
        <f t="shared" si="24"/>
        <v>4.954112907777235</v>
      </c>
      <c r="BD93" s="3">
        <f t="shared" si="30"/>
        <v>5.0169823076415785</v>
      </c>
      <c r="BE93" s="3">
        <f t="shared" si="31"/>
        <v>506.78359500579234</v>
      </c>
      <c r="BF93" s="7">
        <v>0</v>
      </c>
      <c r="BG93" s="7">
        <v>0</v>
      </c>
      <c r="BH93" s="7">
        <v>0</v>
      </c>
      <c r="BI93" s="3"/>
      <c r="BJ93" s="3">
        <f t="shared" si="16"/>
        <v>12.547624185475044</v>
      </c>
      <c r="BK93" s="3">
        <f t="shared" si="17"/>
        <v>12.61650367613098</v>
      </c>
    </row>
    <row r="94" spans="1:63">
      <c r="A94">
        <v>2015</v>
      </c>
      <c r="B94" s="3">
        <f t="shared" si="39"/>
        <v>152.55597921683508</v>
      </c>
      <c r="C94" s="3">
        <f>CPIs!AB54</f>
        <v>108.69337137051741</v>
      </c>
      <c r="G94" s="3">
        <f>'Exchange Rates'!I54</f>
        <v>6.7268670000000004</v>
      </c>
      <c r="I94" s="3">
        <f t="shared" si="41"/>
        <v>11.154372267296646</v>
      </c>
      <c r="K94" s="3">
        <f t="shared" si="38"/>
        <v>11.154372267296646</v>
      </c>
      <c r="L94" s="3">
        <f>'Exchange Rates'!I54</f>
        <v>6.7268670000000004</v>
      </c>
      <c r="M94" s="3">
        <f>Britain!M94</f>
        <v>0.90592556207997499</v>
      </c>
      <c r="N94" s="3">
        <f>'EU petrol prices nominal'!AB13</f>
        <v>1.5021897959183672</v>
      </c>
      <c r="O94"/>
      <c r="P94"/>
      <c r="Q94"/>
      <c r="R94"/>
      <c r="S94" s="23"/>
      <c r="T94" s="13" t="s">
        <v>127</v>
      </c>
      <c r="U94" s="13">
        <v>-0.40455276815995739</v>
      </c>
      <c r="V94" s="28"/>
      <c r="W94">
        <f>USA!Z102*G94</f>
        <v>333.09208700722502</v>
      </c>
      <c r="AA94" s="23"/>
      <c r="AC94">
        <v>4.5679999999999996</v>
      </c>
      <c r="AD94" s="3">
        <v>0.25</v>
      </c>
      <c r="AE94" s="4">
        <f t="shared" si="42"/>
        <v>2.2308744534593292</v>
      </c>
      <c r="AF94" s="3">
        <f t="shared" si="26"/>
        <v>6.7988744534593284</v>
      </c>
      <c r="AH94" s="4"/>
      <c r="AN94"/>
      <c r="AO94"/>
      <c r="AP94"/>
      <c r="AQ94">
        <v>2015</v>
      </c>
      <c r="AR94" s="3">
        <f t="shared" si="43"/>
        <v>11.154372267296646</v>
      </c>
      <c r="AS94" s="3">
        <f t="shared" si="20"/>
        <v>4.5679999999999996</v>
      </c>
      <c r="AT94" s="3">
        <f t="shared" si="21"/>
        <v>2.2308744534593292</v>
      </c>
      <c r="AU94" s="3">
        <f t="shared" si="32"/>
        <v>6.7988744534593284</v>
      </c>
      <c r="AV94" s="3">
        <f t="shared" si="28"/>
        <v>4.3554978138373173</v>
      </c>
      <c r="AX94" s="3">
        <f>CPIs!I54</f>
        <v>107.13329315185547</v>
      </c>
      <c r="AZ94" s="3">
        <f t="shared" si="29"/>
        <v>10.411676836523586</v>
      </c>
      <c r="BA94" s="3">
        <f t="shared" si="23"/>
        <v>10.190608529597135</v>
      </c>
      <c r="BB94" s="3">
        <f t="shared" si="40"/>
        <v>6.3461826416763856</v>
      </c>
      <c r="BC94" s="3">
        <f t="shared" si="24"/>
        <v>4.0654941948472008</v>
      </c>
      <c r="BD94" s="3">
        <f t="shared" si="30"/>
        <v>3.8444258879207505</v>
      </c>
      <c r="BE94" s="3">
        <f t="shared" si="31"/>
        <v>310.91370124792633</v>
      </c>
      <c r="BF94" s="7">
        <v>0</v>
      </c>
      <c r="BG94" s="7">
        <v>0</v>
      </c>
      <c r="BH94" s="7">
        <v>0</v>
      </c>
      <c r="BI94" s="3"/>
      <c r="BJ94" s="3">
        <f t="shared" si="16"/>
        <v>11.406996073151312</v>
      </c>
      <c r="BK94" s="3">
        <f t="shared" si="17"/>
        <v>11.164794423157513</v>
      </c>
    </row>
    <row r="95" spans="1:63">
      <c r="A95">
        <v>2016</v>
      </c>
      <c r="B95" s="3">
        <f t="shared" si="39"/>
        <v>141.60332407888905</v>
      </c>
      <c r="C95" s="3">
        <f>CPIs!AB55</f>
        <v>110.08253978538585</v>
      </c>
      <c r="G95" s="3">
        <f>'Exchange Rates'!I55</f>
        <v>6.732704</v>
      </c>
      <c r="I95" s="3">
        <f t="shared" si="41"/>
        <v>10.494975053312007</v>
      </c>
      <c r="K95" s="3">
        <f t="shared" si="38"/>
        <v>10.494975053312007</v>
      </c>
      <c r="L95" s="3">
        <f>'Exchange Rates'!I55</f>
        <v>6.732704</v>
      </c>
      <c r="M95" s="3">
        <f>Britain!M95</f>
        <v>0.90674707708863456</v>
      </c>
      <c r="N95" s="3">
        <f>'EU petrol prices nominal'!AB14</f>
        <v>1.4134422</v>
      </c>
      <c r="O95"/>
      <c r="P95"/>
      <c r="Q95"/>
      <c r="R95"/>
      <c r="S95" s="23"/>
      <c r="T95" s="13" t="s">
        <v>136</v>
      </c>
      <c r="U95" s="13">
        <v>0.81745032955848984</v>
      </c>
      <c r="V95" s="23"/>
      <c r="W95">
        <f>USA!Z103*G95</f>
        <v>273.91310511253334</v>
      </c>
      <c r="AA95" s="23"/>
      <c r="AC95">
        <v>4.6040000000000001</v>
      </c>
      <c r="AD95" s="3">
        <v>0.25</v>
      </c>
      <c r="AE95" s="4">
        <f t="shared" si="42"/>
        <v>2.0989950106624016</v>
      </c>
      <c r="AF95" s="3">
        <f t="shared" si="26"/>
        <v>6.7029950106624021</v>
      </c>
      <c r="AH95" s="4"/>
      <c r="AN95"/>
      <c r="AO95"/>
      <c r="AP95"/>
      <c r="AQ95">
        <v>2016</v>
      </c>
      <c r="AR95" s="3">
        <f t="shared" si="43"/>
        <v>10.494975053312007</v>
      </c>
      <c r="AS95" s="3">
        <f t="shared" si="20"/>
        <v>4.6040000000000001</v>
      </c>
      <c r="AT95" s="3">
        <f t="shared" si="21"/>
        <v>2.0989950106624016</v>
      </c>
      <c r="AU95" s="3">
        <f t="shared" si="32"/>
        <v>6.7029950106624021</v>
      </c>
      <c r="AV95" s="3">
        <f t="shared" si="28"/>
        <v>3.7919800426496053</v>
      </c>
      <c r="AX95" s="3">
        <f>CPIs!I55</f>
        <v>107.401123046875</v>
      </c>
      <c r="AZ95" s="3">
        <f t="shared" si="29"/>
        <v>9.7717554114694849</v>
      </c>
      <c r="BA95" s="3">
        <f t="shared" si="23"/>
        <v>9.7510128094038357</v>
      </c>
      <c r="BB95" s="3">
        <f t="shared" si="40"/>
        <v>6.2410846558251478</v>
      </c>
      <c r="BC95" s="3">
        <f t="shared" si="24"/>
        <v>3.5306707556443371</v>
      </c>
      <c r="BD95" s="3">
        <f t="shared" si="30"/>
        <v>3.5099281535786879</v>
      </c>
      <c r="BE95" s="3">
        <f t="shared" si="31"/>
        <v>255.03746827021962</v>
      </c>
      <c r="BF95" s="7">
        <v>0</v>
      </c>
      <c r="BG95" s="7">
        <v>0</v>
      </c>
      <c r="BH95" s="7">
        <v>0</v>
      </c>
      <c r="BI95" s="3"/>
      <c r="BJ95" s="3">
        <f t="shared" si="16"/>
        <v>10.70590043818971</v>
      </c>
      <c r="BK95" s="3">
        <f t="shared" si="17"/>
        <v>10.68317491721697</v>
      </c>
    </row>
    <row r="96" spans="1:63" ht="15.75" thickBot="1">
      <c r="A96">
        <v>2017</v>
      </c>
      <c r="B96" s="3">
        <f t="shared" si="39"/>
        <v>150.009727109723</v>
      </c>
      <c r="C96" s="3">
        <f>CPIs!AB56</f>
        <v>112.42729788281457</v>
      </c>
      <c r="G96" s="3">
        <f>'Exchange Rates'!I56</f>
        <v>6.5970000000000004</v>
      </c>
      <c r="I96" s="3">
        <f t="shared" si="41"/>
        <v>11.12596470507328</v>
      </c>
      <c r="K96" s="3">
        <f t="shared" si="38"/>
        <v>11.12596470507328</v>
      </c>
      <c r="L96" s="3">
        <f>'Exchange Rates'!I56</f>
        <v>6.5970000000000004</v>
      </c>
      <c r="M96" s="3">
        <f>Britain!M96</f>
        <v>0.88700000000000001</v>
      </c>
      <c r="N96" s="3">
        <f>'EU petrol prices nominal'!AB15</f>
        <v>1.4959421999999998</v>
      </c>
      <c r="O96"/>
      <c r="P96"/>
      <c r="Q96"/>
      <c r="R96"/>
      <c r="S96" s="23"/>
      <c r="T96" s="14" t="s">
        <v>141</v>
      </c>
      <c r="U96" s="14">
        <v>-0.65076732645611135</v>
      </c>
      <c r="V96" s="23"/>
      <c r="W96">
        <f>USA!Z104*G96</f>
        <v>346.40847000000002</v>
      </c>
      <c r="AA96" s="23"/>
      <c r="AC96">
        <v>4.5940000000000003</v>
      </c>
      <c r="AD96" s="3">
        <v>0.25</v>
      </c>
      <c r="AE96" s="4">
        <f t="shared" si="42"/>
        <v>2.2251929410146558</v>
      </c>
      <c r="AF96" s="3">
        <f t="shared" si="26"/>
        <v>6.8191929410146557</v>
      </c>
      <c r="AH96" s="4"/>
      <c r="AN96"/>
      <c r="AO96"/>
      <c r="AP96"/>
      <c r="AQ96">
        <v>2017</v>
      </c>
      <c r="AR96" s="3">
        <f t="shared" si="43"/>
        <v>11.12596470507328</v>
      </c>
      <c r="AS96" s="3">
        <f t="shared" si="20"/>
        <v>4.5940000000000003</v>
      </c>
      <c r="AT96" s="3">
        <f t="shared" si="21"/>
        <v>2.2251929410146558</v>
      </c>
      <c r="AU96" s="3">
        <f t="shared" si="32"/>
        <v>6.8191929410146557</v>
      </c>
      <c r="AV96" s="3">
        <f t="shared" si="28"/>
        <v>4.3067717640586238</v>
      </c>
      <c r="AX96" s="3">
        <f>CPIs!I56</f>
        <v>108.63623596191407</v>
      </c>
      <c r="AZ96" s="3">
        <f t="shared" si="29"/>
        <v>10.24148582336178</v>
      </c>
      <c r="BA96" s="3">
        <f>BD96+BB96</f>
        <v>10.169144831483191</v>
      </c>
      <c r="BB96" s="3">
        <f t="shared" si="40"/>
        <v>6.2770887454213193</v>
      </c>
      <c r="BC96" s="3">
        <f t="shared" si="24"/>
        <v>3.9643970779404603</v>
      </c>
      <c r="BD96" s="3">
        <f t="shared" si="30"/>
        <v>3.8920560860618725</v>
      </c>
      <c r="BE96" s="3">
        <f t="shared" si="31"/>
        <v>318.8700960897105</v>
      </c>
      <c r="BF96" s="7">
        <v>0</v>
      </c>
      <c r="BG96" s="7">
        <v>0</v>
      </c>
      <c r="BH96" s="7">
        <v>0</v>
      </c>
      <c r="BI96" s="3"/>
      <c r="BJ96" s="3">
        <f t="shared" si="16"/>
        <v>11.220535405066403</v>
      </c>
      <c r="BK96" s="3">
        <f t="shared" si="17"/>
        <v>11.141278871921598</v>
      </c>
    </row>
    <row r="97" spans="1:63">
      <c r="A97">
        <v>2018</v>
      </c>
      <c r="G97" s="3">
        <f>'Exchange Rates'!I57</f>
        <v>6.3079999999999998</v>
      </c>
      <c r="I97" s="3">
        <f t="shared" si="41"/>
        <v>11.876834662665948</v>
      </c>
      <c r="K97" s="3">
        <f t="shared" si="38"/>
        <v>11.876834662665948</v>
      </c>
      <c r="L97" s="3">
        <f>'Exchange Rates'!I57</f>
        <v>6.3079999999999998</v>
      </c>
      <c r="M97" s="3">
        <f>Britain!M97</f>
        <v>0.84599999999999997</v>
      </c>
      <c r="N97" s="3">
        <f>'EU petrol prices nominal'!AB16</f>
        <v>1.5928665384615395</v>
      </c>
      <c r="O97"/>
      <c r="P97"/>
      <c r="Q97"/>
      <c r="R97"/>
      <c r="S97" s="23"/>
      <c r="T97" s="3"/>
      <c r="U97" s="12"/>
      <c r="V97" s="23"/>
      <c r="W97">
        <f>USA!Z105*G97</f>
        <v>442.84672277056279</v>
      </c>
      <c r="AA97" s="23"/>
      <c r="AC97">
        <v>4.6189999999999998</v>
      </c>
      <c r="AD97" s="3">
        <v>0.25</v>
      </c>
      <c r="AE97" s="4">
        <f>AD97*(I97*(1/(1+AD97)))</f>
        <v>2.3753669325331894</v>
      </c>
      <c r="AF97" s="3">
        <f t="shared" si="26"/>
        <v>6.9943669325331896</v>
      </c>
      <c r="AH97" s="4"/>
      <c r="AN97"/>
      <c r="AO97"/>
      <c r="AP97"/>
      <c r="AQ97">
        <v>2018</v>
      </c>
      <c r="AR97" s="3">
        <f t="shared" ref="AR97" si="44">I97</f>
        <v>11.876834662665948</v>
      </c>
      <c r="AS97" s="3">
        <f t="shared" ref="AS97" si="45">AC97</f>
        <v>4.6189999999999998</v>
      </c>
      <c r="AT97" s="3">
        <f t="shared" ref="AT97" si="46">AE97</f>
        <v>2.3753669325331894</v>
      </c>
      <c r="AU97" s="3">
        <f t="shared" ref="AU97" si="47">AF97</f>
        <v>6.9943669325331896</v>
      </c>
      <c r="AV97" s="3">
        <f t="shared" ref="AV97" si="48">AR97-AU97</f>
        <v>4.8824677301327579</v>
      </c>
      <c r="AX97" s="3">
        <f>CPIs!I57</f>
        <v>109.55964396759033</v>
      </c>
      <c r="AZ97" s="3">
        <f t="shared" ref="AZ97" si="49">AR97/$AX97*100</f>
        <v>10.840519586006799</v>
      </c>
      <c r="BA97" s="3">
        <f>BD97+BB97</f>
        <v>10.78698404670639</v>
      </c>
      <c r="BB97" s="3">
        <f t="shared" ref="BB97" si="50">AU97/$AX97*100</f>
        <v>6.3840723456551629</v>
      </c>
      <c r="BC97" s="3">
        <f t="shared" ref="BC97" si="51">AZ97-BB97</f>
        <v>4.4564472403516362</v>
      </c>
      <c r="BD97" s="3">
        <f t="shared" si="30"/>
        <v>4.4029117010512282</v>
      </c>
      <c r="BE97" s="3">
        <f t="shared" ref="BE97" si="52">W97/AX97*100</f>
        <v>404.20606231758535</v>
      </c>
      <c r="BF97" s="7">
        <v>0</v>
      </c>
      <c r="BG97" s="7">
        <v>0</v>
      </c>
      <c r="BH97" s="7">
        <v>0</v>
      </c>
      <c r="BI97" s="3"/>
      <c r="BJ97" s="3">
        <f>AZ97*$AX$97/$AX$89</f>
        <v>11.876834662665948</v>
      </c>
      <c r="BK97" s="3">
        <f>BA97*$AX$97/$AX$89</f>
        <v>11.818181316412289</v>
      </c>
    </row>
    <row r="98" spans="1:63">
      <c r="K98" s="12"/>
      <c r="L98" s="12"/>
      <c r="M98" s="12"/>
      <c r="N98" s="12"/>
      <c r="O98"/>
      <c r="P98"/>
      <c r="Q98"/>
      <c r="R98"/>
      <c r="S98" s="23"/>
      <c r="T98" s="31"/>
      <c r="U98" s="13"/>
      <c r="V98" s="23"/>
      <c r="W98"/>
      <c r="AA98" s="23"/>
      <c r="AN98"/>
      <c r="AO98"/>
      <c r="AP98"/>
      <c r="AQ98">
        <v>2019</v>
      </c>
      <c r="AX98" s="3">
        <f>AX97</f>
        <v>109.55964396759033</v>
      </c>
      <c r="BH98" s="3"/>
      <c r="BI98" s="3"/>
      <c r="BJ98" s="3"/>
      <c r="BK98" s="3"/>
    </row>
    <row r="99" spans="1:63">
      <c r="K99" s="12"/>
      <c r="L99" s="12"/>
      <c r="M99" s="12"/>
      <c r="N99" s="12"/>
      <c r="O99"/>
      <c r="P99"/>
      <c r="Q99"/>
      <c r="R99"/>
      <c r="S99" s="23"/>
      <c r="T99" s="31"/>
      <c r="U99" s="13"/>
      <c r="V99" s="23"/>
      <c r="W99"/>
      <c r="AA99" s="23"/>
      <c r="AN99"/>
      <c r="AO99"/>
      <c r="AP99"/>
      <c r="AQ99">
        <v>2020</v>
      </c>
      <c r="AX99" s="3">
        <f t="shared" ref="AX99:AX109" si="53">AX98</f>
        <v>109.55964396759033</v>
      </c>
      <c r="AZ99" s="13" t="s">
        <v>88</v>
      </c>
      <c r="BA99" s="13">
        <v>1.9831706976356491</v>
      </c>
      <c r="BH99" s="3"/>
      <c r="BI99" s="3"/>
      <c r="BJ99" s="3"/>
      <c r="BK99" s="3"/>
    </row>
    <row r="100" spans="1:63">
      <c r="K100" s="12"/>
      <c r="L100" s="12"/>
      <c r="M100" s="12"/>
      <c r="N100" s="12"/>
      <c r="O100"/>
      <c r="P100"/>
      <c r="Q100"/>
      <c r="R100"/>
      <c r="S100" s="23"/>
      <c r="T100" s="7"/>
      <c r="U100" s="12"/>
      <c r="V100" s="23"/>
      <c r="W100"/>
      <c r="AA100" s="23"/>
      <c r="AN100"/>
      <c r="AO100"/>
      <c r="AP100"/>
      <c r="AQ100">
        <v>2021</v>
      </c>
      <c r="AX100" s="3">
        <f t="shared" si="53"/>
        <v>109.55964396759033</v>
      </c>
      <c r="AZ100" s="3" t="s">
        <v>229</v>
      </c>
      <c r="BA100" s="13">
        <v>5.9864045322367892E-3</v>
      </c>
      <c r="BH100" s="3"/>
      <c r="BI100" s="3"/>
      <c r="BJ100" s="3"/>
      <c r="BK100" s="3"/>
    </row>
    <row r="101" spans="1:63">
      <c r="K101" s="12"/>
      <c r="L101" s="12"/>
      <c r="M101" s="12"/>
      <c r="N101" s="12"/>
      <c r="O101"/>
      <c r="P101"/>
      <c r="Q101"/>
      <c r="R101"/>
      <c r="S101" s="23"/>
      <c r="T101" s="7"/>
      <c r="U101" s="12"/>
      <c r="V101" s="23"/>
      <c r="W101"/>
      <c r="AA101" s="23"/>
      <c r="AN101"/>
      <c r="AO101"/>
      <c r="AP101"/>
      <c r="AQ101">
        <v>2022</v>
      </c>
      <c r="AX101" s="3">
        <f t="shared" si="53"/>
        <v>109.55964396759033</v>
      </c>
      <c r="AZ101" s="3" t="s">
        <v>2085</v>
      </c>
      <c r="BA101" s="13">
        <v>1.9164527288485247</v>
      </c>
      <c r="BH101" s="3"/>
      <c r="BI101" s="3"/>
      <c r="BJ101" s="3"/>
      <c r="BK101" s="3"/>
    </row>
    <row r="102" spans="1:63">
      <c r="K102" s="12"/>
      <c r="L102" s="12"/>
      <c r="M102" s="12"/>
      <c r="N102" s="12"/>
      <c r="O102"/>
      <c r="P102"/>
      <c r="Q102"/>
      <c r="R102"/>
      <c r="S102" s="23"/>
      <c r="T102" s="7"/>
      <c r="U102" s="12"/>
      <c r="V102" s="23"/>
      <c r="W102"/>
      <c r="AA102" s="23"/>
      <c r="AN102"/>
      <c r="AO102"/>
      <c r="AP102"/>
      <c r="AQ102">
        <v>2023</v>
      </c>
      <c r="AX102" s="3">
        <f t="shared" si="53"/>
        <v>109.55964396759033</v>
      </c>
      <c r="AZ102" s="3" t="s">
        <v>2003</v>
      </c>
      <c r="BA102" s="13">
        <v>-0.43755461145715235</v>
      </c>
      <c r="BH102" s="3"/>
      <c r="BI102" s="3"/>
      <c r="BJ102" s="3"/>
      <c r="BK102" s="3"/>
    </row>
    <row r="103" spans="1:63" ht="15.75" thickBot="1">
      <c r="K103" s="12"/>
      <c r="L103" s="12"/>
      <c r="M103" s="12"/>
      <c r="N103" s="12"/>
      <c r="O103"/>
      <c r="P103"/>
      <c r="Q103"/>
      <c r="R103"/>
      <c r="S103" s="23"/>
      <c r="T103" s="7"/>
      <c r="U103" s="12"/>
      <c r="V103" s="23"/>
      <c r="W103"/>
      <c r="AA103" s="23"/>
      <c r="AN103"/>
      <c r="AO103"/>
      <c r="AP103"/>
      <c r="AQ103">
        <v>2024</v>
      </c>
      <c r="AX103" s="3">
        <f t="shared" si="53"/>
        <v>109.55964396759033</v>
      </c>
      <c r="AZ103" s="3" t="s">
        <v>231</v>
      </c>
      <c r="BA103" s="14">
        <v>0.8958868437324421</v>
      </c>
      <c r="BH103" s="3"/>
      <c r="BI103" s="3"/>
      <c r="BJ103" s="3"/>
      <c r="BK103" s="3"/>
    </row>
    <row r="104" spans="1:63">
      <c r="K104" s="12"/>
      <c r="L104" s="12"/>
      <c r="M104" s="12"/>
      <c r="N104" s="12"/>
      <c r="O104"/>
      <c r="P104"/>
      <c r="Q104"/>
      <c r="R104"/>
      <c r="S104" s="23"/>
      <c r="T104" s="7"/>
      <c r="U104" s="12"/>
      <c r="V104" s="23"/>
      <c r="W104"/>
      <c r="AA104" s="23"/>
      <c r="AN104"/>
      <c r="AO104"/>
      <c r="AP104"/>
      <c r="AQ104">
        <v>2025</v>
      </c>
      <c r="AX104" s="3">
        <f t="shared" si="53"/>
        <v>109.55964396759033</v>
      </c>
      <c r="BH104" s="3"/>
      <c r="BI104" s="3"/>
      <c r="BJ104" s="3"/>
      <c r="BK104" s="3"/>
    </row>
    <row r="105" spans="1:63">
      <c r="K105" s="12"/>
      <c r="L105" s="12"/>
      <c r="M105" s="12"/>
      <c r="N105" s="12"/>
      <c r="O105"/>
      <c r="P105"/>
      <c r="Q105"/>
      <c r="R105"/>
      <c r="S105" s="23"/>
      <c r="T105" s="7"/>
      <c r="U105" s="12"/>
      <c r="V105" s="23"/>
      <c r="W105"/>
      <c r="AA105" s="23"/>
      <c r="AN105"/>
      <c r="AO105"/>
      <c r="AP105"/>
      <c r="AQ105">
        <v>2026</v>
      </c>
      <c r="AX105" s="3">
        <f t="shared" si="53"/>
        <v>109.55964396759033</v>
      </c>
      <c r="BH105" s="3"/>
      <c r="BI105" s="3"/>
      <c r="BJ105" s="3"/>
      <c r="BK105" s="3"/>
    </row>
    <row r="106" spans="1:63">
      <c r="K106" s="12"/>
      <c r="L106" s="12"/>
      <c r="M106" s="12"/>
      <c r="N106" s="12"/>
      <c r="O106"/>
      <c r="P106"/>
      <c r="Q106"/>
      <c r="R106"/>
      <c r="S106" s="23"/>
      <c r="T106" s="7"/>
      <c r="U106" s="12"/>
      <c r="V106" s="23"/>
      <c r="W106"/>
      <c r="AA106" s="23"/>
      <c r="AN106"/>
      <c r="AO106"/>
      <c r="AP106"/>
      <c r="AQ106">
        <v>2027</v>
      </c>
      <c r="AX106" s="3">
        <f t="shared" si="53"/>
        <v>109.55964396759033</v>
      </c>
      <c r="BH106" s="3"/>
      <c r="BI106" s="3"/>
      <c r="BJ106" s="3"/>
      <c r="BK106" s="3"/>
    </row>
    <row r="107" spans="1:63">
      <c r="K107" s="12"/>
      <c r="L107" s="12"/>
      <c r="M107" s="12"/>
      <c r="N107" s="12"/>
      <c r="O107"/>
      <c r="P107"/>
      <c r="Q107"/>
      <c r="R107"/>
      <c r="S107" s="23"/>
      <c r="T107" s="7"/>
      <c r="U107" s="12"/>
      <c r="V107" s="23"/>
      <c r="W107"/>
      <c r="AA107" s="23"/>
      <c r="AN107"/>
      <c r="AO107"/>
      <c r="AP107"/>
      <c r="AQ107">
        <v>2028</v>
      </c>
      <c r="AX107" s="3">
        <f t="shared" si="53"/>
        <v>109.55964396759033</v>
      </c>
      <c r="BH107" s="3"/>
      <c r="BI107" s="3"/>
      <c r="BJ107" s="3"/>
      <c r="BK107" s="3"/>
    </row>
    <row r="108" spans="1:63">
      <c r="K108" s="12"/>
      <c r="L108" s="12"/>
      <c r="M108" s="12"/>
      <c r="N108" s="12"/>
      <c r="O108"/>
      <c r="P108"/>
      <c r="Q108"/>
      <c r="R108"/>
      <c r="S108" s="23"/>
      <c r="T108" s="7"/>
      <c r="U108" s="12"/>
      <c r="V108" s="23"/>
      <c r="W108"/>
      <c r="AA108" s="23"/>
      <c r="AN108"/>
      <c r="AO108"/>
      <c r="AP108"/>
      <c r="AQ108">
        <v>2029</v>
      </c>
      <c r="AX108" s="3">
        <f t="shared" si="53"/>
        <v>109.55964396759033</v>
      </c>
      <c r="BH108" s="3"/>
      <c r="BI108" s="3"/>
      <c r="BJ108" s="3"/>
      <c r="BK108" s="3"/>
    </row>
    <row r="109" spans="1:63">
      <c r="K109" s="12"/>
      <c r="L109" s="12"/>
      <c r="M109" s="12"/>
      <c r="N109" s="12"/>
      <c r="O109"/>
      <c r="P109"/>
      <c r="Q109"/>
      <c r="R109"/>
      <c r="S109" s="23"/>
      <c r="T109" s="7"/>
      <c r="U109" s="12"/>
      <c r="V109" s="23"/>
      <c r="W109"/>
      <c r="AA109" s="23"/>
      <c r="AN109"/>
      <c r="AO109"/>
      <c r="AP109"/>
      <c r="AQ109">
        <v>2030</v>
      </c>
      <c r="AX109" s="3">
        <f t="shared" si="53"/>
        <v>109.55964396759033</v>
      </c>
      <c r="BH109" s="3"/>
      <c r="BI109" s="3"/>
      <c r="BJ109" s="3"/>
      <c r="BK109" s="3"/>
    </row>
    <row r="110" spans="1:63">
      <c r="K110" s="12"/>
      <c r="L110" s="12"/>
      <c r="M110" s="12"/>
      <c r="N110" s="12"/>
      <c r="O110"/>
      <c r="P110"/>
      <c r="Q110"/>
      <c r="R110"/>
      <c r="S110" s="23"/>
      <c r="T110" s="7"/>
      <c r="U110" s="12"/>
      <c r="W110"/>
      <c r="AA110" s="23"/>
      <c r="AN110"/>
      <c r="AO110"/>
      <c r="AP110"/>
      <c r="AQ110"/>
      <c r="BH110" s="3"/>
      <c r="BI110" s="3"/>
      <c r="BJ110" s="3"/>
      <c r="BK110" s="3"/>
    </row>
    <row r="111" spans="1:63">
      <c r="K111" s="12"/>
      <c r="L111" s="12"/>
      <c r="M111" s="12"/>
      <c r="N111" s="12"/>
      <c r="O111"/>
      <c r="P111"/>
      <c r="Q111"/>
      <c r="R111"/>
      <c r="S111" s="23"/>
      <c r="T111" s="7"/>
      <c r="U111" s="12"/>
      <c r="V111" s="13" t="s">
        <v>88</v>
      </c>
      <c r="W111" s="13">
        <f>BA99</f>
        <v>1.9831706976356491</v>
      </c>
      <c r="AA111" s="23"/>
      <c r="AN111"/>
      <c r="AO111"/>
      <c r="AP111"/>
      <c r="AQ111"/>
      <c r="BH111" s="3"/>
      <c r="BI111" s="3"/>
      <c r="BJ111" s="3"/>
      <c r="BK111" s="3"/>
    </row>
    <row r="112" spans="1:63">
      <c r="K112" s="12"/>
      <c r="L112" s="12"/>
      <c r="M112" s="12"/>
      <c r="N112" s="12"/>
      <c r="O112"/>
      <c r="P112"/>
      <c r="Q112"/>
      <c r="R112"/>
      <c r="S112" s="23"/>
      <c r="T112" s="7"/>
      <c r="U112" s="12"/>
      <c r="V112" s="3" t="s">
        <v>229</v>
      </c>
      <c r="W112" s="13">
        <f>BA100</f>
        <v>5.9864045322367892E-3</v>
      </c>
      <c r="AA112" s="23"/>
      <c r="AN112"/>
      <c r="AO112"/>
      <c r="AP112"/>
      <c r="AQ112"/>
      <c r="BH112" s="3"/>
      <c r="BI112" s="3"/>
      <c r="BJ112" s="3"/>
      <c r="BK112" s="3"/>
    </row>
    <row r="113" spans="1:73">
      <c r="K113" s="12"/>
      <c r="L113" s="12"/>
      <c r="M113" s="12"/>
      <c r="N113" s="12"/>
      <c r="O113"/>
      <c r="P113"/>
      <c r="Q113"/>
      <c r="R113"/>
      <c r="S113" s="23"/>
      <c r="T113" s="7"/>
      <c r="U113" s="12"/>
      <c r="W113"/>
      <c r="AA113" s="23"/>
      <c r="AN113"/>
      <c r="AO113"/>
      <c r="AP113"/>
      <c r="AQ113"/>
      <c r="BH113" s="3"/>
      <c r="BI113" s="3"/>
      <c r="BJ113" s="3"/>
      <c r="BK113" s="3"/>
    </row>
    <row r="114" spans="1:73">
      <c r="K114" s="12"/>
      <c r="L114" s="12"/>
      <c r="M114" s="12"/>
      <c r="N114" s="12"/>
      <c r="O114"/>
      <c r="P114"/>
      <c r="Q114"/>
      <c r="R114"/>
      <c r="S114" s="23"/>
      <c r="T114" s="7"/>
      <c r="U114" s="12"/>
      <c r="V114" s="23"/>
      <c r="W114"/>
      <c r="AA114" s="23"/>
      <c r="AN114"/>
      <c r="AO114"/>
      <c r="AP114"/>
      <c r="AQ114"/>
      <c r="BH114" s="3"/>
      <c r="BI114" s="3"/>
      <c r="BJ114" s="3"/>
      <c r="BK114" s="3"/>
    </row>
    <row r="115" spans="1:73">
      <c r="K115" s="12"/>
      <c r="L115" s="12"/>
      <c r="M115" s="12"/>
      <c r="N115" s="12"/>
      <c r="O115"/>
      <c r="P115"/>
      <c r="Q115"/>
      <c r="R115"/>
      <c r="S115" s="23"/>
      <c r="T115" s="7"/>
      <c r="U115" s="12"/>
      <c r="V115" s="23"/>
      <c r="W115"/>
      <c r="AA115" s="23"/>
      <c r="AN115"/>
      <c r="AO115"/>
      <c r="AP115"/>
      <c r="AQ115"/>
      <c r="BH115" s="3"/>
      <c r="BI115" s="3"/>
      <c r="BJ115" s="3"/>
      <c r="BK115" s="3"/>
    </row>
    <row r="116" spans="1:73">
      <c r="K116" s="12"/>
      <c r="L116" s="12"/>
      <c r="M116" s="12"/>
      <c r="N116" s="12"/>
      <c r="O116"/>
      <c r="P116"/>
      <c r="Q116"/>
      <c r="R116"/>
      <c r="S116" s="23"/>
      <c r="T116" s="7"/>
      <c r="U116" s="12"/>
      <c r="V116" s="23"/>
      <c r="W116"/>
      <c r="AA116" s="23"/>
      <c r="AN116"/>
      <c r="AO116"/>
      <c r="AP116"/>
      <c r="AQ116"/>
      <c r="BH116" s="3"/>
      <c r="BI116" s="3"/>
      <c r="BJ116" s="3"/>
      <c r="BK116" s="3"/>
    </row>
    <row r="117" spans="1:73">
      <c r="K117" s="12"/>
      <c r="L117" s="12"/>
      <c r="M117" s="12"/>
      <c r="N117" s="12"/>
      <c r="O117"/>
      <c r="P117"/>
      <c r="Q117"/>
      <c r="R117"/>
      <c r="S117" s="23"/>
      <c r="T117" s="7"/>
      <c r="U117" s="12"/>
      <c r="V117" s="23"/>
      <c r="W117"/>
      <c r="AA117" s="23"/>
      <c r="AN117"/>
      <c r="AO117"/>
      <c r="AP117"/>
      <c r="AQ117"/>
      <c r="BH117" s="3"/>
      <c r="BI117" s="3"/>
      <c r="BJ117" s="3"/>
      <c r="BK117" s="3"/>
    </row>
    <row r="118" spans="1:73">
      <c r="K118" s="12"/>
      <c r="L118" s="12"/>
      <c r="M118" s="12"/>
      <c r="N118" s="12"/>
      <c r="O118" s="12"/>
      <c r="P118"/>
      <c r="Q118"/>
      <c r="R118"/>
      <c r="T118" s="23"/>
      <c r="U118" s="7"/>
      <c r="V118" s="12"/>
      <c r="AB118" s="23"/>
      <c r="AN118"/>
      <c r="AO118"/>
      <c r="AP118"/>
      <c r="AQ118"/>
      <c r="AR118"/>
      <c r="AS118"/>
      <c r="BH118" s="3"/>
      <c r="BI118" s="3"/>
      <c r="BJ118" s="3"/>
      <c r="BK118" s="3"/>
      <c r="BL118" s="3"/>
      <c r="BM118" s="3"/>
    </row>
    <row r="119" spans="1:73">
      <c r="K119" s="12"/>
      <c r="L119" s="12"/>
      <c r="M119" s="12"/>
      <c r="N119" s="12"/>
      <c r="O119" s="12"/>
      <c r="P119"/>
      <c r="Q119"/>
      <c r="R119"/>
      <c r="T119" s="23"/>
      <c r="U119" s="7"/>
      <c r="V119" s="12"/>
      <c r="AK119" t="s">
        <v>1960</v>
      </c>
      <c r="AL119" t="s">
        <v>1960</v>
      </c>
      <c r="AM119" t="s">
        <v>1960</v>
      </c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</row>
    <row r="120" spans="1:73">
      <c r="B120" s="76" t="s">
        <v>2551</v>
      </c>
      <c r="C120" s="76"/>
      <c r="D120" s="76"/>
      <c r="E120" s="76"/>
      <c r="F120" s="26" t="s">
        <v>269</v>
      </c>
      <c r="G120" s="76" t="s">
        <v>2565</v>
      </c>
      <c r="H120" s="76"/>
      <c r="I120" s="76"/>
      <c r="J120" s="76"/>
      <c r="K120" s="26" t="s">
        <v>2566</v>
      </c>
      <c r="L120" s="26"/>
      <c r="M120" s="26"/>
      <c r="N120" s="26"/>
      <c r="O120" s="12"/>
      <c r="P120" s="77" t="s">
        <v>111</v>
      </c>
      <c r="Q120" s="26" t="s">
        <v>2596</v>
      </c>
      <c r="R120" s="26"/>
      <c r="S120" s="26"/>
      <c r="T120" s="79">
        <v>0.25</v>
      </c>
      <c r="U120" s="76" t="s">
        <v>2597</v>
      </c>
      <c r="V120" s="76"/>
      <c r="W120" s="76"/>
      <c r="X120" s="76"/>
      <c r="Y120" s="26" t="s">
        <v>2497</v>
      </c>
      <c r="Z120" s="26"/>
      <c r="AA120" s="26"/>
      <c r="AB120" s="79"/>
      <c r="AC120" s="26" t="s">
        <v>2076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N120"/>
      <c r="AO120"/>
      <c r="AP120"/>
      <c r="AQ120"/>
      <c r="AR120"/>
      <c r="AS120"/>
      <c r="AT120"/>
      <c r="AU120"/>
      <c r="AV120"/>
      <c r="BH120" s="3"/>
      <c r="BI120" s="3"/>
      <c r="BJ120" s="3"/>
      <c r="BK120" s="3"/>
      <c r="BL120" s="3"/>
      <c r="BM120" s="3"/>
      <c r="BN120" s="3"/>
    </row>
    <row r="121" spans="1:73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2568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N121"/>
      <c r="AO121"/>
      <c r="AP121"/>
      <c r="AQ121"/>
      <c r="AR121"/>
      <c r="AS121"/>
      <c r="AT121"/>
      <c r="AU121"/>
      <c r="AV121"/>
      <c r="BH121" s="3"/>
      <c r="BI121" s="3"/>
      <c r="BJ121" s="3"/>
      <c r="BK121" s="3"/>
      <c r="BL121" s="3"/>
      <c r="BM121" s="3"/>
      <c r="BN121" s="3"/>
    </row>
    <row r="122" spans="1:73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4">AL122</f>
        <v>77.45</v>
      </c>
      <c r="E122" s="3">
        <f t="shared" si="54"/>
        <v>77.45</v>
      </c>
      <c r="F122" s="6">
        <f>'Exchange Rates'!I49</f>
        <v>5.6240800000000002</v>
      </c>
      <c r="G122" s="3">
        <f>(B122*USA!$AU97/100)/$AX89*100*$F122</f>
        <v>435.58499600000005</v>
      </c>
      <c r="H122" s="3">
        <f>(C122*USA!$AU97/100)/$AX89*100*$F122</f>
        <v>435.58499600000005</v>
      </c>
      <c r="I122" s="3">
        <f>(D122*USA!$AU97/100)/$AX89*100*$F122</f>
        <v>435.58499600000005</v>
      </c>
      <c r="J122" s="3">
        <f>(E122*USA!$AU97/100)/$AX89*100*$F122</f>
        <v>435.58499600000005</v>
      </c>
      <c r="K122" s="6">
        <f>W$111+W$112*G122</f>
        <v>4.5907586918643926</v>
      </c>
      <c r="L122" s="6">
        <f>W$111+W$112*H122</f>
        <v>4.5907586918643926</v>
      </c>
      <c r="M122" s="6">
        <f>W$111+W$112*I122</f>
        <v>4.5907586918643926</v>
      </c>
      <c r="N122" s="6">
        <f>W$111+W$112*J122</f>
        <v>4.5907586918643926</v>
      </c>
      <c r="O122">
        <v>2010</v>
      </c>
      <c r="P122" s="24">
        <f t="shared" ref="P122:P130" si="55">AC89/AX89*100</f>
        <v>4.2619999999999996</v>
      </c>
      <c r="Q122" s="3">
        <f t="shared" ref="Q122:Q130" si="56">(K122+P122)*$T$120</f>
        <v>2.2131896729660978</v>
      </c>
      <c r="R122" s="3">
        <f t="shared" ref="R122:R142" si="57">(L122+P122)*$T$120</f>
        <v>2.2131896729660978</v>
      </c>
      <c r="S122" s="3">
        <f t="shared" ref="S122:S142" si="58">(M122+P122)*$T$120</f>
        <v>2.2131896729660978</v>
      </c>
      <c r="T122" s="3">
        <f t="shared" ref="T122:T142" si="59">(N122+P122)*$T$120</f>
        <v>2.2131896729660978</v>
      </c>
      <c r="U122" s="3">
        <f t="shared" ref="U122:U130" si="60">AZ89</f>
        <v>10.69</v>
      </c>
      <c r="V122" s="3">
        <f t="shared" ref="V122:V142" si="61">L122+$P122+R122</f>
        <v>11.06594836483049</v>
      </c>
      <c r="W122" s="3">
        <f t="shared" ref="W122:W142" si="62">M122+$P122+S122</f>
        <v>11.06594836483049</v>
      </c>
      <c r="X122" s="3">
        <f t="shared" ref="X122:X142" si="63">N122+$P122+T122</f>
        <v>11.06594836483049</v>
      </c>
      <c r="Y122" s="3">
        <f t="shared" ref="Y122:Y130" si="64">AZ89*$AX$97/100</f>
        <v>11.711925940135407</v>
      </c>
      <c r="Z122" s="3">
        <f>V122*$AX$97/100</f>
        <v>12.123813630145669</v>
      </c>
      <c r="AA122" s="3">
        <f>W122*$AX$97/100</f>
        <v>12.123813630145669</v>
      </c>
      <c r="AB122" s="3">
        <f>X122*$AX$97/100</f>
        <v>12.123813630145669</v>
      </c>
      <c r="AC122" s="3">
        <f>U122*$AX$96/100</f>
        <v>11.613213624328614</v>
      </c>
      <c r="AD122" s="3">
        <f>AC122</f>
        <v>11.613213624328614</v>
      </c>
      <c r="AE122" s="3">
        <f t="shared" ref="AE122:AF122" si="65">AD122</f>
        <v>11.613213624328614</v>
      </c>
      <c r="AF122" s="3">
        <f t="shared" si="65"/>
        <v>11.613213624328614</v>
      </c>
      <c r="AK122" s="3">
        <f>USA!AJ135</f>
        <v>77.45</v>
      </c>
      <c r="AL122" s="3">
        <f>USA!AK135</f>
        <v>77.45</v>
      </c>
      <c r="AM122" s="3">
        <f>USA!AL135</f>
        <v>77.45</v>
      </c>
      <c r="AN122"/>
      <c r="AO122"/>
      <c r="AP122"/>
      <c r="AQ122"/>
      <c r="AR122"/>
      <c r="AS122"/>
      <c r="AT122"/>
      <c r="AU122"/>
      <c r="AV122"/>
      <c r="BH122" s="3"/>
      <c r="BI122" s="3"/>
      <c r="BJ122" s="3"/>
      <c r="BK122" s="3"/>
      <c r="BL122" s="3"/>
      <c r="BM122" s="3"/>
      <c r="BN122" s="3"/>
    </row>
    <row r="123" spans="1:73">
      <c r="A123">
        <v>2011</v>
      </c>
      <c r="B123" s="3">
        <f>USA!Z98/USA!AU98*100</f>
        <v>104.18614906980585</v>
      </c>
      <c r="C123" s="3">
        <f t="shared" ref="C123:C142" si="66">AK123</f>
        <v>104.18614906980586</v>
      </c>
      <c r="D123" s="3">
        <f t="shared" ref="D123:D142" si="67">AL123</f>
        <v>104.18614906980586</v>
      </c>
      <c r="E123" s="3">
        <f t="shared" ref="E123:E142" si="68">AM123</f>
        <v>104.18614906980586</v>
      </c>
      <c r="F123" s="6">
        <f>'Exchange Rates'!I50</f>
        <v>5.362177</v>
      </c>
      <c r="G123" s="3">
        <f>(B123*USA!$AU98/100)/$AX90*100*$F123</f>
        <v>560.69804130300076</v>
      </c>
      <c r="H123" s="3">
        <f>(C123*USA!$AU98/100)/$AX90*100*$F123</f>
        <v>560.69804130300099</v>
      </c>
      <c r="I123" s="3">
        <f>(D123*USA!$AU98/100)/$AX90*100*$F123</f>
        <v>560.69804130300099</v>
      </c>
      <c r="J123" s="3">
        <f>(E123*USA!$AU98/100)/$AX90*100*$F123</f>
        <v>560.69804130300099</v>
      </c>
      <c r="K123" s="6">
        <f t="shared" ref="K123:K130" si="69">W$111+W$112*G123</f>
        <v>5.3397359933082233</v>
      </c>
      <c r="L123" s="6">
        <f t="shared" ref="L123:L142" si="70">W$111+W$112*H123</f>
        <v>5.3397359933082242</v>
      </c>
      <c r="M123" s="6">
        <f t="shared" ref="M123:M142" si="71">W$111+W$112*I123</f>
        <v>5.3397359933082242</v>
      </c>
      <c r="N123" s="6">
        <f t="shared" ref="N123:N142" si="72">W$111+W$112*J123</f>
        <v>5.3397359933082242</v>
      </c>
      <c r="O123">
        <v>2011</v>
      </c>
      <c r="P123" s="24">
        <f t="shared" si="55"/>
        <v>4.1388230238419403</v>
      </c>
      <c r="Q123" s="3">
        <f t="shared" si="56"/>
        <v>2.3696397542875411</v>
      </c>
      <c r="R123" s="3">
        <f t="shared" si="57"/>
        <v>2.3696397542875411</v>
      </c>
      <c r="S123" s="3">
        <f t="shared" si="58"/>
        <v>2.3696397542875411</v>
      </c>
      <c r="T123" s="3">
        <f t="shared" si="59"/>
        <v>2.3696397542875411</v>
      </c>
      <c r="U123" s="3">
        <f t="shared" si="60"/>
        <v>11.744743263496249</v>
      </c>
      <c r="V123" s="3">
        <f t="shared" si="61"/>
        <v>11.848198771437705</v>
      </c>
      <c r="W123" s="3">
        <f t="shared" si="62"/>
        <v>11.848198771437705</v>
      </c>
      <c r="X123" s="3">
        <f t="shared" si="63"/>
        <v>11.848198771437705</v>
      </c>
      <c r="Y123" s="3">
        <f t="shared" si="64"/>
        <v>12.86749890439404</v>
      </c>
      <c r="Z123" s="3">
        <f t="shared" ref="Z123:Z142" si="73">V123*$AX$97/100</f>
        <v>12.980844390559561</v>
      </c>
      <c r="AA123" s="3">
        <f t="shared" ref="AA123:AA142" si="74">W123*$AX$97/100</f>
        <v>12.980844390559561</v>
      </c>
      <c r="AB123" s="3">
        <f t="shared" ref="AB123:AB142" si="75">X123*$AX$97/100</f>
        <v>12.980844390559561</v>
      </c>
      <c r="AC123" s="3">
        <f t="shared" ref="AC123:AC130" si="76">U123*$AX$96/100</f>
        <v>12.759047004852791</v>
      </c>
      <c r="AD123" s="3">
        <f t="shared" ref="AD123:AF123" si="77">AC123</f>
        <v>12.759047004852791</v>
      </c>
      <c r="AE123" s="3">
        <f t="shared" si="77"/>
        <v>12.759047004852791</v>
      </c>
      <c r="AF123" s="3">
        <f t="shared" si="77"/>
        <v>12.759047004852791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/>
      <c r="AO123"/>
      <c r="AP123"/>
      <c r="AQ123"/>
      <c r="AR123"/>
      <c r="AS123"/>
      <c r="AT123"/>
      <c r="AU123"/>
      <c r="AV123"/>
      <c r="BH123" s="3"/>
      <c r="BI123" s="3"/>
      <c r="BJ123" s="3"/>
      <c r="BK123" s="3"/>
      <c r="BL123" s="3"/>
      <c r="BM123" s="3"/>
      <c r="BN123" s="3"/>
    </row>
    <row r="124" spans="1:73">
      <c r="A124">
        <v>2012</v>
      </c>
      <c r="B124" s="3">
        <f>USA!Z99/USA!AU99*100</f>
        <v>104.07290773565181</v>
      </c>
      <c r="C124" s="3">
        <f t="shared" si="66"/>
        <v>104.07290773565181</v>
      </c>
      <c r="D124" s="3">
        <f t="shared" si="67"/>
        <v>104.07290773565181</v>
      </c>
      <c r="E124" s="3">
        <f t="shared" si="68"/>
        <v>104.07290773565181</v>
      </c>
      <c r="F124" s="6">
        <f>'Exchange Rates'!I51</f>
        <v>5.7972159999999997</v>
      </c>
      <c r="G124" s="3">
        <f>(B124*USA!$AU99/100)/$AX91*100*$F124</f>
        <v>603.26417539842839</v>
      </c>
      <c r="H124" s="3">
        <f>(C124*USA!$AU99/100)/$AX91*100*$F124</f>
        <v>603.26417539842839</v>
      </c>
      <c r="I124" s="3">
        <f>(D124*USA!$AU99/100)/$AX91*100*$F124</f>
        <v>603.26417539842839</v>
      </c>
      <c r="J124" s="3">
        <f>(E124*USA!$AU99/100)/$AX91*100*$F124</f>
        <v>603.26417539842839</v>
      </c>
      <c r="K124" s="6">
        <f t="shared" si="69"/>
        <v>5.5945540913768905</v>
      </c>
      <c r="L124" s="6">
        <f t="shared" si="70"/>
        <v>5.5945540913768905</v>
      </c>
      <c r="M124" s="6">
        <f t="shared" si="71"/>
        <v>5.5945540913768905</v>
      </c>
      <c r="N124" s="6">
        <f t="shared" si="72"/>
        <v>5.5945540913768905</v>
      </c>
      <c r="O124">
        <v>2012</v>
      </c>
      <c r="P124" s="24">
        <f t="shared" si="55"/>
        <v>4.1150797621419635</v>
      </c>
      <c r="Q124" s="3">
        <f t="shared" si="56"/>
        <v>2.4274084633797135</v>
      </c>
      <c r="R124" s="3">
        <f t="shared" si="57"/>
        <v>2.4274084633797135</v>
      </c>
      <c r="S124" s="3">
        <f t="shared" si="58"/>
        <v>2.4274084633797135</v>
      </c>
      <c r="T124" s="3">
        <f t="shared" si="59"/>
        <v>2.4274084633797135</v>
      </c>
      <c r="U124" s="3">
        <f t="shared" si="60"/>
        <v>12.10459570627755</v>
      </c>
      <c r="V124" s="3">
        <f t="shared" si="61"/>
        <v>12.137042316898567</v>
      </c>
      <c r="W124" s="3">
        <f t="shared" si="62"/>
        <v>12.137042316898567</v>
      </c>
      <c r="X124" s="3">
        <f t="shared" si="63"/>
        <v>12.137042316898567</v>
      </c>
      <c r="Y124" s="3">
        <f t="shared" si="64"/>
        <v>13.26175195951391</v>
      </c>
      <c r="Z124" s="3">
        <f t="shared" si="73"/>
        <v>13.297300350589847</v>
      </c>
      <c r="AA124" s="3">
        <f t="shared" si="74"/>
        <v>13.297300350589847</v>
      </c>
      <c r="AB124" s="3">
        <f t="shared" si="75"/>
        <v>13.297300350589847</v>
      </c>
      <c r="AC124" s="3">
        <f t="shared" si="76"/>
        <v>13.149977153707399</v>
      </c>
      <c r="AD124" s="3">
        <f t="shared" ref="AD124:AF124" si="78">AC124</f>
        <v>13.149977153707399</v>
      </c>
      <c r="AE124" s="3">
        <f t="shared" si="78"/>
        <v>13.149977153707399</v>
      </c>
      <c r="AF124" s="3">
        <f t="shared" si="78"/>
        <v>13.149977153707399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/>
      <c r="AO124"/>
      <c r="AP124"/>
      <c r="AQ124"/>
      <c r="AR124"/>
      <c r="AS124"/>
      <c r="AT124"/>
      <c r="AU124"/>
      <c r="AV124"/>
      <c r="BH124" s="3"/>
      <c r="BI124" s="3"/>
      <c r="BJ124" s="3"/>
      <c r="BK124" s="3"/>
      <c r="BL124" s="3"/>
      <c r="BM124" s="3"/>
      <c r="BN124" s="3"/>
    </row>
    <row r="125" spans="1:73">
      <c r="A125">
        <v>2013</v>
      </c>
      <c r="B125" s="3">
        <f>USA!Z100/USA!AU100*100</f>
        <v>99.286371359470479</v>
      </c>
      <c r="C125" s="3">
        <f t="shared" si="66"/>
        <v>99.286371359470493</v>
      </c>
      <c r="D125" s="3">
        <f t="shared" si="67"/>
        <v>99.286371359470493</v>
      </c>
      <c r="E125" s="3">
        <f t="shared" si="68"/>
        <v>99.286371359470493</v>
      </c>
      <c r="F125" s="6">
        <f>'Exchange Rates'!I52</f>
        <v>5.617216</v>
      </c>
      <c r="G125" s="3">
        <f>(B125*USA!$AU100/100)/$AX92*100*$F125</f>
        <v>561.1030516516505</v>
      </c>
      <c r="H125" s="3">
        <f>(C125*USA!$AU100/100)/$AX92*100*$F125</f>
        <v>561.10305165165062</v>
      </c>
      <c r="I125" s="3">
        <f>(D125*USA!$AU100/100)/$AX92*100*$F125</f>
        <v>561.10305165165062</v>
      </c>
      <c r="J125" s="3">
        <f>(E125*USA!$AU100/100)/$AX92*100*$F125</f>
        <v>561.10305165165062</v>
      </c>
      <c r="K125" s="6">
        <f t="shared" si="69"/>
        <v>5.3421605490949826</v>
      </c>
      <c r="L125" s="6">
        <f t="shared" si="70"/>
        <v>5.3421605490949835</v>
      </c>
      <c r="M125" s="6">
        <f t="shared" si="71"/>
        <v>5.3421605490949835</v>
      </c>
      <c r="N125" s="6">
        <f t="shared" si="72"/>
        <v>5.3421605490949835</v>
      </c>
      <c r="O125">
        <v>2013</v>
      </c>
      <c r="P125" s="24">
        <f t="shared" si="55"/>
        <v>4.0828629993432646</v>
      </c>
      <c r="Q125" s="3">
        <f t="shared" si="56"/>
        <v>2.3562558871095618</v>
      </c>
      <c r="R125" s="3">
        <f t="shared" si="57"/>
        <v>2.3562558871095618</v>
      </c>
      <c r="S125" s="3">
        <f t="shared" si="58"/>
        <v>2.3562558871095618</v>
      </c>
      <c r="T125" s="3">
        <f t="shared" si="59"/>
        <v>2.3562558871095618</v>
      </c>
      <c r="U125" s="3">
        <f t="shared" si="60"/>
        <v>11.811053681045131</v>
      </c>
      <c r="V125" s="3">
        <f t="shared" si="61"/>
        <v>11.781279435547809</v>
      </c>
      <c r="W125" s="3">
        <f t="shared" si="62"/>
        <v>11.781279435547809</v>
      </c>
      <c r="X125" s="3">
        <f t="shared" si="63"/>
        <v>11.781279435547809</v>
      </c>
      <c r="Y125" s="3">
        <f t="shared" si="64"/>
        <v>12.940148361774018</v>
      </c>
      <c r="Z125" s="3">
        <f t="shared" si="73"/>
        <v>12.907527804413116</v>
      </c>
      <c r="AA125" s="3">
        <f t="shared" si="74"/>
        <v>12.907527804413116</v>
      </c>
      <c r="AB125" s="3">
        <f t="shared" si="75"/>
        <v>12.907527804413116</v>
      </c>
      <c r="AC125" s="3">
        <f t="shared" si="76"/>
        <v>12.831084146528527</v>
      </c>
      <c r="AD125" s="3">
        <f t="shared" ref="AD125:AF125" si="79">AC125</f>
        <v>12.831084146528527</v>
      </c>
      <c r="AE125" s="3">
        <f t="shared" si="79"/>
        <v>12.831084146528527</v>
      </c>
      <c r="AF125" s="3">
        <f t="shared" si="79"/>
        <v>12.831084146528527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/>
      <c r="AO125"/>
      <c r="AP125"/>
      <c r="AQ125"/>
      <c r="AR125"/>
      <c r="AS125"/>
      <c r="AT125"/>
      <c r="AU125"/>
      <c r="AV125"/>
      <c r="BH125" s="3"/>
      <c r="BI125" s="3"/>
      <c r="BJ125" s="3"/>
      <c r="BK125" s="3"/>
      <c r="BL125" s="3"/>
      <c r="BM125" s="3"/>
      <c r="BN125" s="3"/>
    </row>
    <row r="126" spans="1:73">
      <c r="A126">
        <v>2014</v>
      </c>
      <c r="B126" s="3">
        <f>USA!Z101/USA!AU101*100</f>
        <v>88.687750298592292</v>
      </c>
      <c r="C126" s="3">
        <f t="shared" si="66"/>
        <v>88.687750298592292</v>
      </c>
      <c r="D126" s="3">
        <f t="shared" si="67"/>
        <v>88.687750298592292</v>
      </c>
      <c r="E126" s="3">
        <f t="shared" si="68"/>
        <v>88.687750298592292</v>
      </c>
      <c r="F126" s="6">
        <f>'Exchange Rates'!I53</f>
        <v>5.619046</v>
      </c>
      <c r="G126" s="3">
        <f>(B126*USA!$AU101/100)/$AX93*100*$F126</f>
        <v>506.78359500579245</v>
      </c>
      <c r="H126" s="3">
        <f>(C126*USA!$AU101/100)/$AX93*100*$F126</f>
        <v>506.78359500579245</v>
      </c>
      <c r="I126" s="3">
        <f>(D126*USA!$AU101/100)/$AX93*100*$F126</f>
        <v>506.78359500579245</v>
      </c>
      <c r="J126" s="3">
        <f>(E126*USA!$AU101/100)/$AX93*100*$F126</f>
        <v>506.78359500579245</v>
      </c>
      <c r="K126" s="6">
        <f t="shared" si="69"/>
        <v>5.0169823076415785</v>
      </c>
      <c r="L126" s="6">
        <f t="shared" si="70"/>
        <v>5.0169823076415785</v>
      </c>
      <c r="M126" s="6">
        <f t="shared" si="71"/>
        <v>5.0169823076415785</v>
      </c>
      <c r="N126" s="6">
        <f t="shared" si="72"/>
        <v>5.0169823076415785</v>
      </c>
      <c r="O126">
        <v>2014</v>
      </c>
      <c r="P126" s="24">
        <f t="shared" si="55"/>
        <v>4.208110503015777</v>
      </c>
      <c r="Q126" s="3">
        <f t="shared" si="56"/>
        <v>2.3062732026643387</v>
      </c>
      <c r="R126" s="3">
        <f t="shared" si="57"/>
        <v>2.3062732026643387</v>
      </c>
      <c r="S126" s="3">
        <f t="shared" si="58"/>
        <v>2.3062732026643387</v>
      </c>
      <c r="T126" s="3">
        <f t="shared" si="59"/>
        <v>2.3062732026643387</v>
      </c>
      <c r="U126" s="3">
        <f t="shared" si="60"/>
        <v>11.452779263491266</v>
      </c>
      <c r="V126" s="3">
        <f t="shared" si="61"/>
        <v>11.531366013321694</v>
      </c>
      <c r="W126" s="3">
        <f t="shared" si="62"/>
        <v>11.531366013321694</v>
      </c>
      <c r="X126" s="3">
        <f t="shared" si="63"/>
        <v>11.531366013321694</v>
      </c>
      <c r="Y126" s="3">
        <f t="shared" si="64"/>
        <v>12.547624185475044</v>
      </c>
      <c r="Z126" s="3">
        <f t="shared" si="73"/>
        <v>12.633723548794963</v>
      </c>
      <c r="AA126" s="3">
        <f t="shared" si="74"/>
        <v>12.633723548794963</v>
      </c>
      <c r="AB126" s="3">
        <f t="shared" si="75"/>
        <v>12.633723548794963</v>
      </c>
      <c r="AC126" s="3">
        <f t="shared" si="76"/>
        <v>12.441868304883535</v>
      </c>
      <c r="AD126" s="3">
        <f t="shared" ref="AD126:AF126" si="80">AC126</f>
        <v>12.441868304883535</v>
      </c>
      <c r="AE126" s="3">
        <f t="shared" si="80"/>
        <v>12.441868304883535</v>
      </c>
      <c r="AF126" s="3">
        <f t="shared" si="80"/>
        <v>12.441868304883535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/>
      <c r="AO126"/>
      <c r="AP126"/>
      <c r="AQ126"/>
      <c r="AR126"/>
      <c r="AS126"/>
      <c r="AT126"/>
      <c r="AU126"/>
      <c r="AV126"/>
      <c r="BH126" s="3"/>
      <c r="BI126" s="3"/>
      <c r="BJ126" s="3"/>
      <c r="BK126" s="3"/>
      <c r="BL126" s="3"/>
      <c r="BM126" s="3"/>
      <c r="BN126" s="3"/>
    </row>
    <row r="127" spans="1:73">
      <c r="A127">
        <v>2015</v>
      </c>
      <c r="B127" s="3">
        <f>USA!Z102/USA!AU102*100</f>
        <v>45.556296925601828</v>
      </c>
      <c r="C127" s="3">
        <f t="shared" si="66"/>
        <v>45.556296925601814</v>
      </c>
      <c r="D127" s="3">
        <f t="shared" si="67"/>
        <v>45.556296925601814</v>
      </c>
      <c r="E127" s="3">
        <f t="shared" si="68"/>
        <v>45.556296925601814</v>
      </c>
      <c r="F127" s="6">
        <f>'Exchange Rates'!I54</f>
        <v>6.7268670000000004</v>
      </c>
      <c r="G127" s="3">
        <f>(B127*USA!$AU102/100)/$AX94*100*$F127</f>
        <v>310.91370124792633</v>
      </c>
      <c r="H127" s="3">
        <f>(C127*USA!$AU102/100)/$AX94*100*$F127</f>
        <v>310.91370124792621</v>
      </c>
      <c r="I127" s="3">
        <f>(D127*USA!$AU102/100)/$AX94*100*$F127</f>
        <v>310.91370124792621</v>
      </c>
      <c r="J127" s="3">
        <f>(E127*USA!$AU102/100)/$AX94*100*$F127</f>
        <v>310.91370124792621</v>
      </c>
      <c r="K127" s="6">
        <f t="shared" si="69"/>
        <v>3.8444258879207505</v>
      </c>
      <c r="L127" s="6">
        <f t="shared" si="70"/>
        <v>3.8444258879207496</v>
      </c>
      <c r="M127" s="6">
        <f t="shared" si="71"/>
        <v>3.8444258879207496</v>
      </c>
      <c r="N127" s="6">
        <f t="shared" si="72"/>
        <v>3.8444258879207496</v>
      </c>
      <c r="O127">
        <v>2015</v>
      </c>
      <c r="P127" s="24">
        <f t="shared" si="55"/>
        <v>4.2638472743716695</v>
      </c>
      <c r="Q127" s="3">
        <f t="shared" si="56"/>
        <v>2.027068290573105</v>
      </c>
      <c r="R127" s="3">
        <f t="shared" si="57"/>
        <v>2.027068290573105</v>
      </c>
      <c r="S127" s="3">
        <f t="shared" si="58"/>
        <v>2.027068290573105</v>
      </c>
      <c r="T127" s="3">
        <f t="shared" si="59"/>
        <v>2.027068290573105</v>
      </c>
      <c r="U127" s="3">
        <f t="shared" si="60"/>
        <v>10.411676836523586</v>
      </c>
      <c r="V127" s="3">
        <f t="shared" si="61"/>
        <v>10.135341452865525</v>
      </c>
      <c r="W127" s="3">
        <f t="shared" si="62"/>
        <v>10.135341452865525</v>
      </c>
      <c r="X127" s="3">
        <f t="shared" si="63"/>
        <v>10.135341452865525</v>
      </c>
      <c r="Y127" s="3">
        <f t="shared" si="64"/>
        <v>11.406996073151312</v>
      </c>
      <c r="Z127" s="3">
        <f t="shared" si="73"/>
        <v>11.104244010659068</v>
      </c>
      <c r="AA127" s="3">
        <f t="shared" si="74"/>
        <v>11.104244010659068</v>
      </c>
      <c r="AB127" s="3">
        <f t="shared" si="75"/>
        <v>11.104244010659068</v>
      </c>
      <c r="AC127" s="3">
        <f t="shared" si="76"/>
        <v>11.310853815717712</v>
      </c>
      <c r="AD127" s="3">
        <f t="shared" ref="AD127:AF127" si="81">AC127</f>
        <v>11.310853815717712</v>
      </c>
      <c r="AE127" s="3">
        <f t="shared" si="81"/>
        <v>11.310853815717712</v>
      </c>
      <c r="AF127" s="3">
        <f t="shared" si="81"/>
        <v>11.310853815717712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/>
      <c r="AO127"/>
      <c r="AP127"/>
      <c r="AQ127"/>
      <c r="AR127"/>
      <c r="AS127"/>
      <c r="AT127"/>
      <c r="AU127"/>
      <c r="AV127"/>
      <c r="BH127" s="3"/>
      <c r="BI127" s="3"/>
      <c r="BJ127" s="3"/>
      <c r="BK127" s="3"/>
      <c r="BL127" s="3"/>
      <c r="BM127" s="3"/>
      <c r="BN127" s="3"/>
    </row>
    <row r="128" spans="1:73">
      <c r="A128">
        <v>2016</v>
      </c>
      <c r="B128" s="3">
        <f>USA!Z103/USA!AU103*100</f>
        <v>36.957692605914716</v>
      </c>
      <c r="C128" s="3">
        <f t="shared" si="66"/>
        <v>36.957692605914716</v>
      </c>
      <c r="D128" s="3">
        <f t="shared" si="67"/>
        <v>36.957692605914716</v>
      </c>
      <c r="E128" s="3">
        <f t="shared" si="68"/>
        <v>36.957692605914716</v>
      </c>
      <c r="F128" s="6">
        <f>'Exchange Rates'!I55</f>
        <v>6.732704</v>
      </c>
      <c r="G128" s="3">
        <f>(B128*USA!$AU103/100)/$AX95*100*$F128</f>
        <v>255.03746827021962</v>
      </c>
      <c r="H128" s="3">
        <f>(C128*USA!$AU103/100)/$AX95*100*$F128</f>
        <v>255.03746827021962</v>
      </c>
      <c r="I128" s="3">
        <f>(D128*USA!$AU103/100)/$AX95*100*$F128</f>
        <v>255.03746827021962</v>
      </c>
      <c r="J128" s="3">
        <f>(E128*USA!$AU103/100)/$AX95*100*$F128</f>
        <v>255.03746827021962</v>
      </c>
      <c r="K128" s="6">
        <f t="shared" si="69"/>
        <v>3.5099281535786879</v>
      </c>
      <c r="L128" s="6">
        <f t="shared" si="70"/>
        <v>3.5099281535786879</v>
      </c>
      <c r="M128" s="6">
        <f t="shared" si="71"/>
        <v>3.5099281535786879</v>
      </c>
      <c r="N128" s="6">
        <f t="shared" si="72"/>
        <v>3.5099281535786879</v>
      </c>
      <c r="O128">
        <v>2016</v>
      </c>
      <c r="P128" s="24">
        <f t="shared" si="55"/>
        <v>4.2867335735312508</v>
      </c>
      <c r="Q128" s="3">
        <f t="shared" si="56"/>
        <v>1.9491654317774847</v>
      </c>
      <c r="R128" s="3">
        <f t="shared" si="57"/>
        <v>1.9491654317774847</v>
      </c>
      <c r="S128" s="3">
        <f t="shared" si="58"/>
        <v>1.9491654317774847</v>
      </c>
      <c r="T128" s="3">
        <f t="shared" si="59"/>
        <v>1.9491654317774847</v>
      </c>
      <c r="U128" s="3">
        <f t="shared" si="60"/>
        <v>9.7717554114694849</v>
      </c>
      <c r="V128" s="3">
        <f t="shared" si="61"/>
        <v>9.7458271588874226</v>
      </c>
      <c r="W128" s="3">
        <f t="shared" si="62"/>
        <v>9.7458271588874226</v>
      </c>
      <c r="X128" s="3">
        <f t="shared" si="63"/>
        <v>9.7458271588874226</v>
      </c>
      <c r="Y128" s="3">
        <f t="shared" si="64"/>
        <v>10.70590043818971</v>
      </c>
      <c r="Z128" s="3">
        <f t="shared" si="73"/>
        <v>10.677493536973785</v>
      </c>
      <c r="AA128" s="3">
        <f t="shared" si="74"/>
        <v>10.677493536973785</v>
      </c>
      <c r="AB128" s="3">
        <f t="shared" si="75"/>
        <v>10.677493536973785</v>
      </c>
      <c r="AC128" s="3">
        <f t="shared" si="76"/>
        <v>10.615667266425096</v>
      </c>
      <c r="AD128" s="3">
        <f t="shared" ref="AD128:AF128" si="82">AC128</f>
        <v>10.615667266425096</v>
      </c>
      <c r="AE128" s="3">
        <f t="shared" si="82"/>
        <v>10.615667266425096</v>
      </c>
      <c r="AF128" s="3">
        <f t="shared" si="82"/>
        <v>10.615667266425096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/>
      <c r="AO128"/>
      <c r="AP128"/>
      <c r="AQ128"/>
      <c r="AR128"/>
      <c r="AS128"/>
      <c r="AT128"/>
      <c r="AU128"/>
      <c r="AV128"/>
      <c r="BH128" s="3"/>
      <c r="BI128" s="3"/>
      <c r="BJ128" s="3"/>
      <c r="BK128" s="3"/>
      <c r="BL128" s="3"/>
      <c r="BM128" s="3"/>
      <c r="BN128" s="3"/>
    </row>
    <row r="129" spans="1:66">
      <c r="A129">
        <v>2017</v>
      </c>
      <c r="B129" s="3">
        <f>USA!Z104/USA!AU104*100</f>
        <v>46.705738720797434</v>
      </c>
      <c r="C129" s="3">
        <f t="shared" si="66"/>
        <v>46.705738720797434</v>
      </c>
      <c r="D129" s="3">
        <f t="shared" si="67"/>
        <v>46.705738720797434</v>
      </c>
      <c r="E129" s="3">
        <f t="shared" si="68"/>
        <v>46.705738720797434</v>
      </c>
      <c r="F129" s="6">
        <f>'Exchange Rates'!I56</f>
        <v>6.5970000000000004</v>
      </c>
      <c r="G129" s="3">
        <f>(B129*USA!$AU104/100)/$AX96*100*$F129</f>
        <v>318.8700960897105</v>
      </c>
      <c r="H129" s="3">
        <f>(C129*USA!$AU104/100)/$AX96*100*$F129</f>
        <v>318.8700960897105</v>
      </c>
      <c r="I129" s="3">
        <f>(D129*USA!$AU104/100)/$AX96*100*$F129</f>
        <v>318.8700960897105</v>
      </c>
      <c r="J129" s="3">
        <f>(E129*USA!$AU104/100)/$AX96*100*$F129</f>
        <v>318.8700960897105</v>
      </c>
      <c r="K129" s="6">
        <f t="shared" si="69"/>
        <v>3.8920560860618725</v>
      </c>
      <c r="L129" s="6">
        <f t="shared" si="70"/>
        <v>3.8920560860618725</v>
      </c>
      <c r="M129" s="6">
        <f t="shared" si="71"/>
        <v>3.8920560860618725</v>
      </c>
      <c r="N129" s="6">
        <f t="shared" si="72"/>
        <v>3.8920560860618725</v>
      </c>
      <c r="O129">
        <v>2017</v>
      </c>
      <c r="P129" s="24">
        <f t="shared" si="55"/>
        <v>4.2287915807489638</v>
      </c>
      <c r="Q129" s="3">
        <f t="shared" si="56"/>
        <v>2.0302119167027088</v>
      </c>
      <c r="R129" s="3">
        <f t="shared" si="57"/>
        <v>2.0302119167027088</v>
      </c>
      <c r="S129" s="3">
        <f t="shared" si="58"/>
        <v>2.0302119167027088</v>
      </c>
      <c r="T129" s="3">
        <f t="shared" si="59"/>
        <v>2.0302119167027088</v>
      </c>
      <c r="U129" s="3">
        <f t="shared" si="60"/>
        <v>10.24148582336178</v>
      </c>
      <c r="V129" s="3">
        <f t="shared" si="61"/>
        <v>10.151059583513543</v>
      </c>
      <c r="W129" s="3">
        <f t="shared" si="62"/>
        <v>10.151059583513543</v>
      </c>
      <c r="X129" s="3">
        <f t="shared" si="63"/>
        <v>10.151059583513543</v>
      </c>
      <c r="Y129" s="3">
        <f t="shared" si="64"/>
        <v>11.220535405066403</v>
      </c>
      <c r="Z129" s="3">
        <f t="shared" si="73"/>
        <v>11.121464738635396</v>
      </c>
      <c r="AA129" s="3">
        <f t="shared" si="74"/>
        <v>11.121464738635396</v>
      </c>
      <c r="AB129" s="3">
        <f t="shared" si="75"/>
        <v>11.121464738635396</v>
      </c>
      <c r="AC129" s="3">
        <f t="shared" si="76"/>
        <v>11.125964705073281</v>
      </c>
      <c r="AD129" s="3">
        <f t="shared" ref="AD129:AF129" si="83">AC129</f>
        <v>11.125964705073281</v>
      </c>
      <c r="AE129" s="3">
        <f t="shared" si="83"/>
        <v>11.125964705073281</v>
      </c>
      <c r="AF129" s="3">
        <f t="shared" si="83"/>
        <v>11.125964705073281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/>
      <c r="AO129"/>
      <c r="AP129"/>
      <c r="AQ129"/>
      <c r="AR129"/>
      <c r="AS129"/>
      <c r="AT129"/>
      <c r="AU129"/>
      <c r="AV129"/>
      <c r="BH129" s="3"/>
      <c r="BI129" s="3"/>
      <c r="BJ129" s="3"/>
      <c r="BK129" s="3"/>
      <c r="BL129" s="3"/>
      <c r="BM129" s="3"/>
      <c r="BN129" s="3"/>
    </row>
    <row r="130" spans="1:66">
      <c r="A130">
        <v>2018</v>
      </c>
      <c r="B130" s="3">
        <f>USA!Z105/USA!AU105*100</f>
        <v>60.818458312139953</v>
      </c>
      <c r="C130" s="3">
        <f t="shared" si="66"/>
        <v>60.818458312139953</v>
      </c>
      <c r="D130" s="3">
        <f t="shared" si="67"/>
        <v>60.818458312139953</v>
      </c>
      <c r="E130" s="3">
        <f t="shared" si="68"/>
        <v>60.818458312139953</v>
      </c>
      <c r="F130" s="6">
        <f>'Exchange Rates'!I57</f>
        <v>6.3079999999999998</v>
      </c>
      <c r="G130" s="3">
        <f>(B130*USA!$AU105/100)/$AX97*100*$F130</f>
        <v>404.20606231758535</v>
      </c>
      <c r="H130" s="3">
        <f>(C130*USA!$AU105/100)/$AX97*100*$F130</f>
        <v>404.20606231758535</v>
      </c>
      <c r="I130" s="3">
        <f>(D130*USA!$AU105/100)/$AX97*100*$F130</f>
        <v>404.20606231758535</v>
      </c>
      <c r="J130" s="3">
        <f>(E130*USA!$AU105/100)/$AX97*100*$F130</f>
        <v>404.20606231758535</v>
      </c>
      <c r="K130" s="6">
        <f t="shared" si="69"/>
        <v>4.4029117010512282</v>
      </c>
      <c r="L130" s="6">
        <f t="shared" si="70"/>
        <v>4.4029117010512282</v>
      </c>
      <c r="M130" s="6">
        <f t="shared" si="71"/>
        <v>4.4029117010512282</v>
      </c>
      <c r="N130" s="6">
        <f t="shared" si="72"/>
        <v>4.4029117010512282</v>
      </c>
      <c r="O130">
        <v>2018</v>
      </c>
      <c r="P130" s="24">
        <f t="shared" si="55"/>
        <v>4.2159684284538024</v>
      </c>
      <c r="Q130" s="3">
        <f t="shared" si="56"/>
        <v>2.1547200323762574</v>
      </c>
      <c r="R130" s="3">
        <f t="shared" si="57"/>
        <v>2.1547200323762574</v>
      </c>
      <c r="S130" s="3">
        <f t="shared" si="58"/>
        <v>2.1547200323762574</v>
      </c>
      <c r="T130" s="3">
        <f t="shared" si="59"/>
        <v>2.1547200323762574</v>
      </c>
      <c r="U130" s="3">
        <f t="shared" si="60"/>
        <v>10.840519586006799</v>
      </c>
      <c r="V130" s="3">
        <f t="shared" si="61"/>
        <v>10.773600161881287</v>
      </c>
      <c r="W130" s="3">
        <f t="shared" si="62"/>
        <v>10.773600161881287</v>
      </c>
      <c r="X130" s="3">
        <f t="shared" si="63"/>
        <v>10.773600161881287</v>
      </c>
      <c r="Y130" s="3">
        <f t="shared" si="64"/>
        <v>11.876834662665948</v>
      </c>
      <c r="Z130" s="3">
        <f t="shared" si="73"/>
        <v>11.803517979848873</v>
      </c>
      <c r="AA130" s="3">
        <f t="shared" si="74"/>
        <v>11.803517979848873</v>
      </c>
      <c r="AB130" s="3">
        <f t="shared" si="75"/>
        <v>11.803517979848873</v>
      </c>
      <c r="AC130" s="3">
        <f t="shared" si="76"/>
        <v>11.776732436951857</v>
      </c>
      <c r="AD130" s="3">
        <f t="shared" ref="AD130:AD142" si="84">V130*$AX$96/100</f>
        <v>11.704033693454512</v>
      </c>
      <c r="AE130" s="3">
        <f t="shared" ref="AE130:AE142" si="85">W130*$AX$96/100</f>
        <v>11.704033693454512</v>
      </c>
      <c r="AF130" s="3">
        <f t="shared" ref="AF130:AF142" si="86">X130*$AX$96/100</f>
        <v>11.704033693454512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/>
      <c r="AO130"/>
      <c r="AP130"/>
      <c r="AQ130"/>
      <c r="AR130"/>
      <c r="AS130"/>
      <c r="AT130"/>
      <c r="AU130"/>
      <c r="AV130"/>
      <c r="BH130" s="3"/>
      <c r="BI130" s="3"/>
      <c r="BJ130" s="3"/>
      <c r="BK130" s="3"/>
      <c r="BL130" s="3"/>
      <c r="BM130" s="3"/>
      <c r="BN130" s="3"/>
    </row>
    <row r="131" spans="1:66">
      <c r="A131">
        <v>2019</v>
      </c>
      <c r="B131" s="3"/>
      <c r="C131" s="3">
        <f>AK131</f>
        <v>90.611761513694489</v>
      </c>
      <c r="D131" s="3">
        <f t="shared" si="67"/>
        <v>56.019786702864394</v>
      </c>
      <c r="E131" s="3">
        <f t="shared" si="68"/>
        <v>25.889074718198426</v>
      </c>
      <c r="F131" s="6">
        <f>'Exchange Rates'!I58</f>
        <v>6.4349999999999996</v>
      </c>
      <c r="G131" s="3"/>
      <c r="H131" s="3">
        <f>(C131*USA!$AU106/100)/$AX98*100*$F131</f>
        <v>614.34008809544503</v>
      </c>
      <c r="I131" s="3">
        <f>(D131*USA!$AU106/100)/$AX98*100*$F131</f>
        <v>379.80942124080059</v>
      </c>
      <c r="J131" s="3">
        <f>(E131*USA!$AU106/100)/$AX98*100*$F131</f>
        <v>175.52573945584146</v>
      </c>
      <c r="K131" s="6"/>
      <c r="L131" s="6">
        <f t="shared" si="70"/>
        <v>5.6608589853449693</v>
      </c>
      <c r="M131" s="6">
        <f t="shared" si="71"/>
        <v>4.2568635383378091</v>
      </c>
      <c r="N131" s="6">
        <f t="shared" si="72"/>
        <v>3.0339387798383122</v>
      </c>
      <c r="O131">
        <v>2019</v>
      </c>
      <c r="P131" s="3">
        <f t="shared" ref="P131:P142" si="87">P130</f>
        <v>4.2159684284538024</v>
      </c>
      <c r="Q131" s="3"/>
      <c r="R131" s="3">
        <f t="shared" si="57"/>
        <v>2.4692068534496929</v>
      </c>
      <c r="S131" s="3">
        <f t="shared" si="58"/>
        <v>2.1182079916979029</v>
      </c>
      <c r="T131" s="3">
        <f t="shared" si="59"/>
        <v>1.8124768020730286</v>
      </c>
      <c r="U131" s="3"/>
      <c r="V131" s="3">
        <f t="shared" si="61"/>
        <v>12.346034267248465</v>
      </c>
      <c r="W131" s="3">
        <f t="shared" si="62"/>
        <v>10.591039958489514</v>
      </c>
      <c r="X131" s="3">
        <f t="shared" si="63"/>
        <v>9.0623840103651432</v>
      </c>
      <c r="Y131" s="3"/>
      <c r="Z131" s="3">
        <f t="shared" si="73"/>
        <v>13.526271187314119</v>
      </c>
      <c r="AA131" s="3">
        <f t="shared" si="74"/>
        <v>11.603505670986337</v>
      </c>
      <c r="AB131" s="3">
        <f t="shared" si="75"/>
        <v>9.9287156567318853</v>
      </c>
      <c r="AC131" s="3"/>
      <c r="AD131" s="3">
        <f t="shared" si="84"/>
        <v>13.412266918506809</v>
      </c>
      <c r="AE131" s="3">
        <f t="shared" si="85"/>
        <v>11.505707160125274</v>
      </c>
      <c r="AF131" s="3">
        <f t="shared" si="86"/>
        <v>9.8450328772750488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/>
      <c r="AO131"/>
      <c r="AP131"/>
      <c r="AQ131"/>
      <c r="AR131"/>
      <c r="AS131"/>
      <c r="AT131"/>
      <c r="AU131"/>
      <c r="AV131"/>
      <c r="BH131" s="3"/>
      <c r="BI131" s="3"/>
      <c r="BJ131" s="3"/>
      <c r="BK131" s="3"/>
      <c r="BL131" s="3"/>
      <c r="BM131" s="3"/>
      <c r="BN131" s="3"/>
    </row>
    <row r="132" spans="1:66">
      <c r="A132">
        <v>2020</v>
      </c>
      <c r="B132" s="3"/>
      <c r="C132" s="3">
        <f t="shared" si="66"/>
        <v>105.28223718734027</v>
      </c>
      <c r="D132" s="3">
        <f t="shared" si="67"/>
        <v>56.251630823658907</v>
      </c>
      <c r="E132" s="3">
        <f t="shared" si="68"/>
        <v>26.752043875471706</v>
      </c>
      <c r="F132" s="6">
        <f>'Exchange Rates'!I59</f>
        <v>6.4349999999999996</v>
      </c>
      <c r="G132" s="3"/>
      <c r="H132" s="3">
        <f>(C132*USA!$AU107/100)/$AX99*100*$F132</f>
        <v>713.80467378708863</v>
      </c>
      <c r="I132" s="3">
        <f>(D132*USA!$AU107/100)/$AX99*100*$F132</f>
        <v>381.38130479337661</v>
      </c>
      <c r="J132" s="3">
        <f>(E132*USA!$AU107/100)/$AX99*100*$F132</f>
        <v>181.37659743770286</v>
      </c>
      <c r="K132" s="6"/>
      <c r="L132" s="6">
        <f t="shared" si="70"/>
        <v>6.2562942319264794</v>
      </c>
      <c r="M132" s="6">
        <f t="shared" si="71"/>
        <v>4.2662734691610993</v>
      </c>
      <c r="N132" s="6">
        <f t="shared" si="72"/>
        <v>3.0689643825784012</v>
      </c>
      <c r="O132">
        <v>2020</v>
      </c>
      <c r="P132" s="3">
        <f t="shared" si="87"/>
        <v>4.2159684284538024</v>
      </c>
      <c r="Q132" s="3"/>
      <c r="R132" s="3">
        <f t="shared" si="57"/>
        <v>2.6180656650950702</v>
      </c>
      <c r="S132" s="3">
        <f t="shared" si="58"/>
        <v>2.1205604744037254</v>
      </c>
      <c r="T132" s="3">
        <f t="shared" si="59"/>
        <v>1.8212332027580509</v>
      </c>
      <c r="U132" s="3"/>
      <c r="V132" s="3">
        <f t="shared" si="61"/>
        <v>13.090328325475351</v>
      </c>
      <c r="W132" s="3">
        <f t="shared" si="62"/>
        <v>10.602802372018626</v>
      </c>
      <c r="X132" s="3">
        <f t="shared" si="63"/>
        <v>9.1061660137902543</v>
      </c>
      <c r="Y132" s="3"/>
      <c r="Z132" s="3">
        <f t="shared" si="73"/>
        <v>14.341717107579425</v>
      </c>
      <c r="AA132" s="3">
        <f t="shared" si="74"/>
        <v>11.616392529370831</v>
      </c>
      <c r="AB132" s="3">
        <f t="shared" si="75"/>
        <v>9.9766830638063144</v>
      </c>
      <c r="AC132" s="3"/>
      <c r="AD132" s="3">
        <f t="shared" si="84"/>
        <v>14.220839967852678</v>
      </c>
      <c r="AE132" s="3">
        <f t="shared" si="85"/>
        <v>11.518485403441577</v>
      </c>
      <c r="AF132" s="3">
        <f t="shared" si="86"/>
        <v>9.8925959978248041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/>
      <c r="AO132"/>
      <c r="AP132"/>
      <c r="AQ132"/>
      <c r="AR132"/>
      <c r="AS132"/>
      <c r="AT132"/>
      <c r="AU132"/>
      <c r="AV132"/>
      <c r="BH132" s="3"/>
      <c r="BI132" s="3"/>
      <c r="BJ132" s="3"/>
      <c r="BK132" s="3"/>
      <c r="BL132" s="3"/>
      <c r="BM132" s="3"/>
      <c r="BN132" s="3"/>
    </row>
    <row r="133" spans="1:66">
      <c r="A133">
        <v>2021</v>
      </c>
      <c r="B133" s="3"/>
      <c r="C133" s="3">
        <f t="shared" si="66"/>
        <v>120.81568201825931</v>
      </c>
      <c r="D133" s="3">
        <f t="shared" si="67"/>
        <v>63.082289986431647</v>
      </c>
      <c r="E133" s="3">
        <f t="shared" si="68"/>
        <v>28.477982190018274</v>
      </c>
      <c r="F133" s="6">
        <f>'Exchange Rates'!I60</f>
        <v>6.4349999999999996</v>
      </c>
      <c r="G133" s="3"/>
      <c r="H133" s="3">
        <f>(C133*USA!$AU108/100)/$AX100*100*$F133</f>
        <v>819.12011746059341</v>
      </c>
      <c r="I133" s="3">
        <f>(D133*USA!$AU108/100)/$AX100*100*$F133</f>
        <v>427.69259685642237</v>
      </c>
      <c r="J133" s="3">
        <f>(E133*USA!$AU108/100)/$AX100*100*$F133</f>
        <v>193.07831340142565</v>
      </c>
      <c r="K133" s="6"/>
      <c r="L133" s="6">
        <f t="shared" si="70"/>
        <v>6.8867550812480767</v>
      </c>
      <c r="M133" s="6">
        <f t="shared" si="71"/>
        <v>4.5435115978610581</v>
      </c>
      <c r="N133" s="6">
        <f t="shared" si="72"/>
        <v>3.1390155880585788</v>
      </c>
      <c r="O133">
        <v>2021</v>
      </c>
      <c r="P133" s="3">
        <f t="shared" si="87"/>
        <v>4.2159684284538024</v>
      </c>
      <c r="Q133" s="3"/>
      <c r="R133" s="3">
        <f t="shared" si="57"/>
        <v>2.7756808774254695</v>
      </c>
      <c r="S133" s="3">
        <f t="shared" si="58"/>
        <v>2.1898700065787153</v>
      </c>
      <c r="T133" s="3">
        <f t="shared" si="59"/>
        <v>1.8387460041280952</v>
      </c>
      <c r="U133" s="3"/>
      <c r="V133" s="3">
        <f t="shared" si="61"/>
        <v>13.878404387127347</v>
      </c>
      <c r="W133" s="3">
        <f t="shared" si="62"/>
        <v>10.949350032893577</v>
      </c>
      <c r="X133" s="3">
        <f t="shared" si="63"/>
        <v>9.1937300206404764</v>
      </c>
      <c r="Y133" s="3"/>
      <c r="Z133" s="3">
        <f t="shared" si="73"/>
        <v>15.205130434919159</v>
      </c>
      <c r="AA133" s="3">
        <f t="shared" si="74"/>
        <v>11.996068912803437</v>
      </c>
      <c r="AB133" s="3">
        <f t="shared" si="75"/>
        <v>10.072617877955174</v>
      </c>
      <c r="AC133" s="3"/>
      <c r="AD133" s="3">
        <f t="shared" si="84"/>
        <v>15.076976137748296</v>
      </c>
      <c r="AE133" s="3">
        <f t="shared" si="85"/>
        <v>11.894961738030181</v>
      </c>
      <c r="AF133" s="3">
        <f t="shared" si="86"/>
        <v>9.9877222389243183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/>
      <c r="AO133"/>
      <c r="AP133"/>
      <c r="AQ133"/>
      <c r="AR133"/>
      <c r="AS133"/>
      <c r="AT133"/>
      <c r="AU133"/>
      <c r="AV133"/>
      <c r="BH133" s="3"/>
      <c r="BI133" s="3"/>
      <c r="BJ133" s="3"/>
      <c r="BK133" s="3"/>
      <c r="BL133" s="3"/>
      <c r="BM133" s="3"/>
      <c r="BN133" s="3"/>
    </row>
    <row r="134" spans="1:66">
      <c r="A134">
        <v>2022</v>
      </c>
      <c r="B134" s="3"/>
      <c r="C134" s="3">
        <f t="shared" si="66"/>
        <v>127.71943527644558</v>
      </c>
      <c r="D134" s="3">
        <f t="shared" si="67"/>
        <v>68.168185410991157</v>
      </c>
      <c r="E134" s="3">
        <f t="shared" si="68"/>
        <v>29.340951347291547</v>
      </c>
      <c r="F134" s="6">
        <f>'Exchange Rates'!I61</f>
        <v>6.4349999999999996</v>
      </c>
      <c r="G134" s="3"/>
      <c r="H134" s="3">
        <f>(C134*USA!$AU109/100)/$AX101*100*$F134</f>
        <v>865.92698131548468</v>
      </c>
      <c r="I134" s="3">
        <f>(D134*USA!$AU109/100)/$AX101*100*$F134</f>
        <v>462.17453817367522</v>
      </c>
      <c r="J134" s="3">
        <f>(E134*USA!$AU109/100)/$AX101*100*$F134</f>
        <v>198.92917138328698</v>
      </c>
      <c r="K134" s="6"/>
      <c r="L134" s="6">
        <f t="shared" si="70"/>
        <v>7.1669599031687881</v>
      </c>
      <c r="M134" s="6">
        <f t="shared" si="71"/>
        <v>4.7499344476429837</v>
      </c>
      <c r="N134" s="6">
        <f t="shared" si="72"/>
        <v>3.1740411907986674</v>
      </c>
      <c r="O134">
        <v>2022</v>
      </c>
      <c r="P134" s="3">
        <f t="shared" si="87"/>
        <v>4.2159684284538024</v>
      </c>
      <c r="Q134" s="3"/>
      <c r="R134" s="3">
        <f t="shared" si="57"/>
        <v>2.8457320829056476</v>
      </c>
      <c r="S134" s="3">
        <f t="shared" si="58"/>
        <v>2.2414757190241965</v>
      </c>
      <c r="T134" s="3">
        <f t="shared" si="59"/>
        <v>1.8475024048131174</v>
      </c>
      <c r="U134" s="3"/>
      <c r="V134" s="3">
        <f t="shared" si="61"/>
        <v>14.228660414528239</v>
      </c>
      <c r="W134" s="3">
        <f t="shared" si="62"/>
        <v>11.207378595120982</v>
      </c>
      <c r="X134" s="3">
        <f t="shared" si="63"/>
        <v>9.2375120240655875</v>
      </c>
      <c r="Y134" s="3"/>
      <c r="Z134" s="3">
        <f t="shared" si="73"/>
        <v>15.588869691514601</v>
      </c>
      <c r="AA134" s="3">
        <f t="shared" si="74"/>
        <v>12.278764086914475</v>
      </c>
      <c r="AB134" s="3">
        <f t="shared" si="75"/>
        <v>10.120585285029605</v>
      </c>
      <c r="AC134" s="3"/>
      <c r="AD134" s="3">
        <f t="shared" si="84"/>
        <v>15.457481102146357</v>
      </c>
      <c r="AE134" s="3">
        <f t="shared" si="85"/>
        <v>12.17527425574068</v>
      </c>
      <c r="AF134" s="3">
        <f t="shared" si="86"/>
        <v>10.035285359474075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/>
      <c r="AO134"/>
      <c r="AP134"/>
      <c r="AQ134"/>
      <c r="AR134"/>
      <c r="AS134"/>
      <c r="AT134"/>
      <c r="AU134"/>
      <c r="AV134"/>
      <c r="BH134" s="3"/>
      <c r="BI134" s="3"/>
      <c r="BJ134" s="3"/>
      <c r="BK134" s="3"/>
      <c r="BL134" s="3"/>
      <c r="BM134" s="3"/>
      <c r="BN134" s="3"/>
    </row>
    <row r="135" spans="1:66">
      <c r="A135">
        <v>2023</v>
      </c>
      <c r="B135" s="3"/>
      <c r="C135" s="3">
        <f t="shared" si="66"/>
        <v>132.89725022008525</v>
      </c>
      <c r="D135" s="3">
        <f t="shared" si="67"/>
        <v>70.508542947524788</v>
      </c>
      <c r="E135" s="3">
        <f t="shared" si="68"/>
        <v>29.340951347291547</v>
      </c>
      <c r="F135" s="6">
        <f>'Exchange Rates'!I62</f>
        <v>6.4349999999999996</v>
      </c>
      <c r="G135" s="3"/>
      <c r="H135" s="3">
        <f>(C135*USA!$AU110/100)/$AX102*100*$F135</f>
        <v>901.03212920665294</v>
      </c>
      <c r="I135" s="3">
        <f>(D135*USA!$AU110/100)/$AX102*100*$F135</f>
        <v>478.04196455575254</v>
      </c>
      <c r="J135" s="3">
        <f>(E135*USA!$AU110/100)/$AX102*100*$F135</f>
        <v>198.92917138328698</v>
      </c>
      <c r="K135" s="6"/>
      <c r="L135" s="6">
        <f t="shared" si="70"/>
        <v>7.3771135196093205</v>
      </c>
      <c r="M135" s="6">
        <f t="shared" si="71"/>
        <v>4.8449232808515852</v>
      </c>
      <c r="N135" s="6">
        <f t="shared" si="72"/>
        <v>3.1740411907986674</v>
      </c>
      <c r="O135">
        <v>2023</v>
      </c>
      <c r="P135" s="3">
        <f t="shared" si="87"/>
        <v>4.2159684284538024</v>
      </c>
      <c r="Q135" s="3"/>
      <c r="R135" s="3">
        <f t="shared" si="57"/>
        <v>2.8982704870157807</v>
      </c>
      <c r="S135" s="3">
        <f t="shared" si="58"/>
        <v>2.2652229273263469</v>
      </c>
      <c r="T135" s="3">
        <f t="shared" si="59"/>
        <v>1.8475024048131174</v>
      </c>
      <c r="U135" s="3"/>
      <c r="V135" s="3">
        <f t="shared" si="61"/>
        <v>14.491352435078904</v>
      </c>
      <c r="W135" s="3">
        <f t="shared" si="62"/>
        <v>11.326114636631734</v>
      </c>
      <c r="X135" s="3">
        <f t="shared" si="63"/>
        <v>9.2375120240655875</v>
      </c>
      <c r="Y135" s="3"/>
      <c r="Z135" s="3">
        <f t="shared" si="73"/>
        <v>15.876674133961178</v>
      </c>
      <c r="AA135" s="3">
        <f t="shared" si="74"/>
        <v>12.408850871254865</v>
      </c>
      <c r="AB135" s="3">
        <f t="shared" si="75"/>
        <v>10.120585285029605</v>
      </c>
      <c r="AC135" s="3"/>
      <c r="AD135" s="3">
        <f t="shared" si="84"/>
        <v>15.742859825444897</v>
      </c>
      <c r="AE135" s="3">
        <f t="shared" si="85"/>
        <v>12.304264621968137</v>
      </c>
      <c r="AF135" s="3">
        <f t="shared" si="86"/>
        <v>10.035285359474075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/>
      <c r="AO135"/>
      <c r="AP135"/>
      <c r="AQ135"/>
      <c r="AR135"/>
      <c r="AS135"/>
      <c r="AT135"/>
      <c r="AU135"/>
      <c r="AV135"/>
      <c r="BH135" s="3"/>
      <c r="BI135" s="3"/>
      <c r="BJ135" s="3"/>
      <c r="BK135" s="3"/>
      <c r="BL135" s="3"/>
      <c r="BM135" s="3"/>
      <c r="BN135" s="3"/>
    </row>
    <row r="136" spans="1:66">
      <c r="A136">
        <v>2024</v>
      </c>
      <c r="B136" s="3"/>
      <c r="C136" s="3">
        <f t="shared" si="66"/>
        <v>137.21209600645167</v>
      </c>
      <c r="D136" s="3">
        <f t="shared" si="67"/>
        <v>71.127304204880986</v>
      </c>
      <c r="E136" s="3">
        <f t="shared" si="68"/>
        <v>29.340951347291547</v>
      </c>
      <c r="F136" s="6">
        <f>'Exchange Rates'!I63</f>
        <v>6.4349999999999996</v>
      </c>
      <c r="G136" s="3"/>
      <c r="H136" s="3">
        <f>(C136*USA!$AU111/100)/$AX103*100*$F136</f>
        <v>930.2864191159598</v>
      </c>
      <c r="I136" s="3">
        <f>(D136*USA!$AU111/100)/$AX103*100*$F136</f>
        <v>482.23711360709069</v>
      </c>
      <c r="J136" s="3">
        <f>(E136*USA!$AU111/100)/$AX103*100*$F136</f>
        <v>198.92917138328698</v>
      </c>
      <c r="K136" s="6"/>
      <c r="L136" s="6">
        <f t="shared" si="70"/>
        <v>7.5522415333097639</v>
      </c>
      <c r="M136" s="6">
        <f t="shared" si="71"/>
        <v>4.8700371401459241</v>
      </c>
      <c r="N136" s="6">
        <f t="shared" si="72"/>
        <v>3.1740411907986674</v>
      </c>
      <c r="O136">
        <v>2024</v>
      </c>
      <c r="P136" s="3">
        <f t="shared" si="87"/>
        <v>4.2159684284538024</v>
      </c>
      <c r="Q136" s="3"/>
      <c r="R136" s="3">
        <f t="shared" si="57"/>
        <v>2.9420524904408918</v>
      </c>
      <c r="S136" s="3">
        <f t="shared" si="58"/>
        <v>2.2715013921499319</v>
      </c>
      <c r="T136" s="3">
        <f t="shared" si="59"/>
        <v>1.8475024048131174</v>
      </c>
      <c r="U136" s="3"/>
      <c r="V136" s="3">
        <f t="shared" si="61"/>
        <v>14.710262452204459</v>
      </c>
      <c r="W136" s="3">
        <f t="shared" si="62"/>
        <v>11.35750696074966</v>
      </c>
      <c r="X136" s="3">
        <f t="shared" si="63"/>
        <v>9.2375120240655875</v>
      </c>
      <c r="Y136" s="3"/>
      <c r="Z136" s="3">
        <f t="shared" si="73"/>
        <v>16.116511169333329</v>
      </c>
      <c r="AA136" s="3">
        <f t="shared" si="74"/>
        <v>12.443244189791617</v>
      </c>
      <c r="AB136" s="3">
        <f t="shared" si="75"/>
        <v>10.120585285029605</v>
      </c>
      <c r="AC136" s="3"/>
      <c r="AD136" s="3">
        <f t="shared" si="84"/>
        <v>15.980675428193683</v>
      </c>
      <c r="AE136" s="3">
        <f t="shared" si="85"/>
        <v>12.338368061270817</v>
      </c>
      <c r="AF136" s="3">
        <f t="shared" si="86"/>
        <v>10.035285359474075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/>
      <c r="AO136"/>
      <c r="AP136"/>
      <c r="AQ136"/>
      <c r="AR136"/>
      <c r="AS136"/>
      <c r="AT136"/>
      <c r="AU136"/>
      <c r="AV136"/>
      <c r="BH136" s="3"/>
      <c r="BI136" s="3"/>
      <c r="BJ136" s="3"/>
      <c r="BK136" s="3"/>
      <c r="BL136" s="3"/>
      <c r="BM136" s="3"/>
      <c r="BN136" s="3"/>
    </row>
    <row r="137" spans="1:66">
      <c r="A137">
        <v>2025</v>
      </c>
      <c r="B137" s="3"/>
      <c r="C137" s="3">
        <f t="shared" si="66"/>
        <v>141.52694179281806</v>
      </c>
      <c r="D137" s="3">
        <f t="shared" si="67"/>
        <v>74.364924740814473</v>
      </c>
      <c r="E137" s="3">
        <f t="shared" si="68"/>
        <v>30.203920504564827</v>
      </c>
      <c r="F137" s="6">
        <f>'Exchange Rates'!I64</f>
        <v>6.4349999999999996</v>
      </c>
      <c r="G137" s="3"/>
      <c r="H137" s="3">
        <f>(C137*USA!$AU112/100)/$AX104*100*$F137</f>
        <v>959.54070902526655</v>
      </c>
      <c r="I137" s="3">
        <f>(D137*USA!$AU112/100)/$AX104*100*$F137</f>
        <v>504.18790732347162</v>
      </c>
      <c r="J137" s="3">
        <f>(E137*USA!$AU112/100)/$AX104*100*$F137</f>
        <v>204.78002936514835</v>
      </c>
      <c r="K137" s="6"/>
      <c r="L137" s="6">
        <f t="shared" si="70"/>
        <v>7.7273695470102073</v>
      </c>
      <c r="M137" s="6">
        <f t="shared" si="71"/>
        <v>5.001443471135862</v>
      </c>
      <c r="N137" s="6">
        <f t="shared" si="72"/>
        <v>3.209066793538756</v>
      </c>
      <c r="O137">
        <v>2025</v>
      </c>
      <c r="P137" s="3">
        <f t="shared" si="87"/>
        <v>4.2159684284538024</v>
      </c>
      <c r="Q137" s="3"/>
      <c r="R137" s="3">
        <f t="shared" si="57"/>
        <v>2.9858344938660024</v>
      </c>
      <c r="S137" s="3">
        <f t="shared" si="58"/>
        <v>2.3043529748974159</v>
      </c>
      <c r="T137" s="3">
        <f t="shared" si="59"/>
        <v>1.8562588054981397</v>
      </c>
      <c r="U137" s="3"/>
      <c r="V137" s="3">
        <f t="shared" si="61"/>
        <v>14.929172469330013</v>
      </c>
      <c r="W137" s="3">
        <f t="shared" si="62"/>
        <v>11.521764874487079</v>
      </c>
      <c r="X137" s="3">
        <f t="shared" si="63"/>
        <v>9.2812940274906985</v>
      </c>
      <c r="Y137" s="3"/>
      <c r="Z137" s="3">
        <f t="shared" si="73"/>
        <v>16.356348204705476</v>
      </c>
      <c r="AA137" s="3">
        <f t="shared" si="74"/>
        <v>12.623204575270925</v>
      </c>
      <c r="AB137" s="3">
        <f t="shared" si="75"/>
        <v>10.168552692104036</v>
      </c>
      <c r="AC137" s="3"/>
      <c r="AD137" s="3">
        <f t="shared" si="84"/>
        <v>16.218491030942467</v>
      </c>
      <c r="AE137" s="3">
        <f t="shared" si="85"/>
        <v>12.516811676024716</v>
      </c>
      <c r="AF137" s="3">
        <f t="shared" si="86"/>
        <v>10.082848480023832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/>
      <c r="AO137"/>
      <c r="AP137"/>
      <c r="AQ137"/>
      <c r="AR137"/>
      <c r="AS137"/>
      <c r="AT137"/>
      <c r="AU137"/>
      <c r="AV137"/>
      <c r="BH137" s="3"/>
      <c r="BI137" s="3"/>
      <c r="BJ137" s="3"/>
      <c r="BK137" s="3"/>
      <c r="BL137" s="3"/>
      <c r="BM137" s="3"/>
      <c r="BN137" s="3"/>
    </row>
    <row r="138" spans="1:66">
      <c r="A138">
        <v>2026</v>
      </c>
      <c r="B138" s="3"/>
      <c r="C138" s="3">
        <f t="shared" si="66"/>
        <v>145.84178757918448</v>
      </c>
      <c r="D138" s="3">
        <f t="shared" si="67"/>
        <v>80.055420065999314</v>
      </c>
      <c r="E138" s="3">
        <f t="shared" si="68"/>
        <v>31.066889661838108</v>
      </c>
      <c r="F138" s="6">
        <f>'Exchange Rates'!I65</f>
        <v>6.4349999999999996</v>
      </c>
      <c r="G138" s="3"/>
      <c r="H138" s="3">
        <f>(C138*USA!$AU113/100)/$AX105*100*$F138</f>
        <v>988.79499893457387</v>
      </c>
      <c r="I138" s="3">
        <f>(D138*USA!$AU113/100)/$AX105*100*$F138</f>
        <v>542.76898488979202</v>
      </c>
      <c r="J138" s="3">
        <f>(E138*USA!$AU113/100)/$AX105*100*$F138</f>
        <v>210.63088734700972</v>
      </c>
      <c r="K138" s="6"/>
      <c r="L138" s="6">
        <f t="shared" si="70"/>
        <v>7.9024975607106533</v>
      </c>
      <c r="M138" s="6">
        <f t="shared" si="71"/>
        <v>5.2324054087374616</v>
      </c>
      <c r="N138" s="6">
        <f t="shared" si="72"/>
        <v>3.2440923962788446</v>
      </c>
      <c r="O138">
        <v>2026</v>
      </c>
      <c r="P138" s="3">
        <f t="shared" si="87"/>
        <v>4.2159684284538024</v>
      </c>
      <c r="Q138" s="3"/>
      <c r="R138" s="3">
        <f t="shared" si="57"/>
        <v>3.0296164972911139</v>
      </c>
      <c r="S138" s="3">
        <f t="shared" si="58"/>
        <v>2.362093459297816</v>
      </c>
      <c r="T138" s="3">
        <f t="shared" si="59"/>
        <v>1.8650152061831617</v>
      </c>
      <c r="U138" s="3"/>
      <c r="V138" s="3">
        <f t="shared" si="61"/>
        <v>15.14808248645557</v>
      </c>
      <c r="W138" s="3">
        <f t="shared" si="62"/>
        <v>11.81046729648908</v>
      </c>
      <c r="X138" s="3">
        <f t="shared" si="63"/>
        <v>9.3250760309158096</v>
      </c>
      <c r="Y138" s="3"/>
      <c r="Z138" s="3">
        <f t="shared" si="73"/>
        <v>16.596185240077627</v>
      </c>
      <c r="AA138" s="3">
        <f t="shared" si="74"/>
        <v>12.939505920942127</v>
      </c>
      <c r="AB138" s="3">
        <f t="shared" si="75"/>
        <v>10.216520099178465</v>
      </c>
      <c r="AC138" s="3"/>
      <c r="AD138" s="3">
        <f t="shared" si="84"/>
        <v>16.456306633691252</v>
      </c>
      <c r="AE138" s="3">
        <f t="shared" si="85"/>
        <v>12.830447120418569</v>
      </c>
      <c r="AF138" s="3">
        <f t="shared" si="86"/>
        <v>10.13041160057359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/>
      <c r="AO138"/>
      <c r="AP138"/>
      <c r="AQ138"/>
      <c r="AR138"/>
      <c r="AS138"/>
      <c r="AT138"/>
      <c r="AU138"/>
      <c r="AV138"/>
      <c r="BH138" s="3"/>
      <c r="BI138" s="3"/>
      <c r="BJ138" s="3"/>
      <c r="BK138" s="3"/>
      <c r="BL138" s="3"/>
      <c r="BM138" s="3"/>
      <c r="BN138" s="3"/>
    </row>
    <row r="139" spans="1:66">
      <c r="A139">
        <v>2027</v>
      </c>
      <c r="B139" s="3"/>
      <c r="C139" s="3">
        <f t="shared" si="66"/>
        <v>150.15663336555087</v>
      </c>
      <c r="D139" s="3">
        <f t="shared" si="67"/>
        <v>82.98815737026753</v>
      </c>
      <c r="E139" s="3">
        <f t="shared" si="68"/>
        <v>31.929858819111395</v>
      </c>
      <c r="F139" s="6">
        <f>'Exchange Rates'!I66</f>
        <v>6.4349999999999996</v>
      </c>
      <c r="G139" s="3"/>
      <c r="H139" s="3">
        <f>(C139*USA!$AU114/100)/$AX106*100*$F139</f>
        <v>1018.0492888438806</v>
      </c>
      <c r="I139" s="3">
        <f>(D139*USA!$AU114/100)/$AX106*100*$F139</f>
        <v>562.65269605230628</v>
      </c>
      <c r="J139" s="3">
        <f>(E139*USA!$AU114/100)/$AX106*100*$F139</f>
        <v>216.48174532887117</v>
      </c>
      <c r="K139" s="6"/>
      <c r="L139" s="6">
        <f t="shared" si="70"/>
        <v>8.0776255744110959</v>
      </c>
      <c r="M139" s="6">
        <f t="shared" si="71"/>
        <v>5.3514373473584236</v>
      </c>
      <c r="N139" s="6">
        <f t="shared" si="72"/>
        <v>3.2791179990189336</v>
      </c>
      <c r="O139">
        <v>2027</v>
      </c>
      <c r="P139" s="3">
        <f t="shared" si="87"/>
        <v>4.2159684284538024</v>
      </c>
      <c r="Q139" s="3"/>
      <c r="R139" s="3">
        <f t="shared" si="57"/>
        <v>3.0733985007162246</v>
      </c>
      <c r="S139" s="3">
        <f t="shared" si="58"/>
        <v>2.3918514439530565</v>
      </c>
      <c r="T139" s="3">
        <f t="shared" si="59"/>
        <v>1.873771606868184</v>
      </c>
      <c r="U139" s="3"/>
      <c r="V139" s="3">
        <f t="shared" si="61"/>
        <v>15.366992503581123</v>
      </c>
      <c r="W139" s="3">
        <f t="shared" si="62"/>
        <v>11.959257219765282</v>
      </c>
      <c r="X139" s="3">
        <f t="shared" si="63"/>
        <v>9.3688580343409207</v>
      </c>
      <c r="Y139" s="3"/>
      <c r="Z139" s="3">
        <f t="shared" si="73"/>
        <v>16.836022275449775</v>
      </c>
      <c r="AA139" s="3">
        <f t="shared" si="74"/>
        <v>13.102519631143187</v>
      </c>
      <c r="AB139" s="3">
        <f t="shared" si="75"/>
        <v>10.264487506252895</v>
      </c>
      <c r="AC139" s="3"/>
      <c r="AD139" s="3">
        <f t="shared" si="84"/>
        <v>16.694122236440034</v>
      </c>
      <c r="AE139" s="3">
        <f t="shared" si="85"/>
        <v>12.992086892556456</v>
      </c>
      <c r="AF139" s="3">
        <f t="shared" si="86"/>
        <v>10.177974721123347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/>
      <c r="AO139"/>
      <c r="AP139"/>
      <c r="AQ139"/>
      <c r="AR139"/>
      <c r="AS139"/>
      <c r="AT139"/>
      <c r="AU139"/>
      <c r="AV139"/>
      <c r="BH139" s="3"/>
      <c r="BI139" s="3"/>
      <c r="BJ139" s="3"/>
      <c r="BK139" s="3"/>
      <c r="BL139" s="3"/>
      <c r="BM139" s="3"/>
      <c r="BN139" s="3"/>
    </row>
    <row r="140" spans="1:66">
      <c r="A140">
        <v>2028</v>
      </c>
      <c r="B140" s="3"/>
      <c r="C140" s="3">
        <f t="shared" si="66"/>
        <v>153.60850999464401</v>
      </c>
      <c r="D140" s="3">
        <f t="shared" si="67"/>
        <v>84.844653255379882</v>
      </c>
      <c r="E140" s="3">
        <f t="shared" si="68"/>
        <v>31.929858819111395</v>
      </c>
      <c r="F140" s="6">
        <f>'Exchange Rates'!I67</f>
        <v>6.4349999999999996</v>
      </c>
      <c r="G140" s="3"/>
      <c r="H140" s="3">
        <f>(C140*USA!$AU115/100)/$AX107*100*$F140</f>
        <v>1041.4527207713259</v>
      </c>
      <c r="I140" s="3">
        <f>(D140*USA!$AU115/100)/$AX107*100*$F140</f>
        <v>575.23958131483789</v>
      </c>
      <c r="J140" s="3">
        <f>(E140*USA!$AU115/100)/$AX107*100*$F140</f>
        <v>216.48174532887117</v>
      </c>
      <c r="K140" s="6"/>
      <c r="L140" s="6">
        <f t="shared" si="70"/>
        <v>8.2177279853714502</v>
      </c>
      <c r="M140" s="6">
        <f t="shared" si="71"/>
        <v>5.4267875343407876</v>
      </c>
      <c r="N140" s="6">
        <f t="shared" si="72"/>
        <v>3.2791179990189336</v>
      </c>
      <c r="O140">
        <v>2028</v>
      </c>
      <c r="P140" s="3">
        <f t="shared" si="87"/>
        <v>4.2159684284538024</v>
      </c>
      <c r="Q140" s="3"/>
      <c r="R140" s="3">
        <f t="shared" si="57"/>
        <v>3.1084241034563131</v>
      </c>
      <c r="S140" s="3">
        <f t="shared" si="58"/>
        <v>2.4106889906986475</v>
      </c>
      <c r="T140" s="3">
        <f t="shared" si="59"/>
        <v>1.873771606868184</v>
      </c>
      <c r="U140" s="3"/>
      <c r="V140" s="3">
        <f t="shared" si="61"/>
        <v>15.542120517281566</v>
      </c>
      <c r="W140" s="3">
        <f t="shared" si="62"/>
        <v>12.053444953493237</v>
      </c>
      <c r="X140" s="3">
        <f t="shared" si="63"/>
        <v>9.3688580343409207</v>
      </c>
      <c r="Y140" s="3"/>
      <c r="Z140" s="3">
        <f t="shared" si="73"/>
        <v>17.027891903747491</v>
      </c>
      <c r="AA140" s="3">
        <f t="shared" si="74"/>
        <v>13.205711376876675</v>
      </c>
      <c r="AB140" s="3">
        <f t="shared" si="75"/>
        <v>10.264487506252895</v>
      </c>
      <c r="AC140" s="3"/>
      <c r="AD140" s="3">
        <f t="shared" si="84"/>
        <v>16.884374718639059</v>
      </c>
      <c r="AE140" s="3">
        <f t="shared" si="85"/>
        <v>13.094408901216337</v>
      </c>
      <c r="AF140" s="3">
        <f t="shared" si="86"/>
        <v>10.177974721123347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/>
      <c r="AO140"/>
      <c r="AP140"/>
      <c r="AQ140"/>
      <c r="AR140"/>
      <c r="AS140"/>
      <c r="AT140"/>
      <c r="AU140"/>
      <c r="AV140"/>
      <c r="BH140" s="3"/>
      <c r="BI140" s="3"/>
      <c r="BJ140" s="3"/>
      <c r="BK140" s="3"/>
      <c r="BL140" s="3"/>
      <c r="BM140" s="3"/>
      <c r="BN140" s="3"/>
    </row>
    <row r="141" spans="1:66">
      <c r="A141">
        <v>2029</v>
      </c>
      <c r="B141" s="3"/>
      <c r="C141" s="3">
        <f t="shared" si="66"/>
        <v>157.9233557810104</v>
      </c>
      <c r="D141" s="3">
        <f t="shared" si="67"/>
        <v>87.361009569245411</v>
      </c>
      <c r="E141" s="3">
        <f t="shared" si="68"/>
        <v>31.929858819111395</v>
      </c>
      <c r="F141" s="6">
        <f>'Exchange Rates'!I68</f>
        <v>6.4349999999999996</v>
      </c>
      <c r="G141" s="3"/>
      <c r="H141" s="3">
        <f>(C141*USA!$AU116/100)/$AX108*100*$F141</f>
        <v>1070.7070106806329</v>
      </c>
      <c r="I141" s="3">
        <f>(D141*USA!$AU116/100)/$AX108*100*$F141</f>
        <v>592.30026453868243</v>
      </c>
      <c r="J141" s="3">
        <f>(E141*USA!$AU116/100)/$AX108*100*$F141</f>
        <v>216.48174532887117</v>
      </c>
      <c r="K141" s="6"/>
      <c r="L141" s="6">
        <f t="shared" si="70"/>
        <v>8.3928559990718945</v>
      </c>
      <c r="M141" s="6">
        <f t="shared" si="71"/>
        <v>5.5289196857150671</v>
      </c>
      <c r="N141" s="6">
        <f t="shared" si="72"/>
        <v>3.2791179990189336</v>
      </c>
      <c r="O141">
        <v>2029</v>
      </c>
      <c r="P141" s="3">
        <f t="shared" si="87"/>
        <v>4.2159684284538024</v>
      </c>
      <c r="Q141" s="3"/>
      <c r="R141" s="3">
        <f t="shared" si="57"/>
        <v>3.1522061068814242</v>
      </c>
      <c r="S141" s="3">
        <f t="shared" si="58"/>
        <v>2.4362220285422174</v>
      </c>
      <c r="T141" s="3">
        <f t="shared" si="59"/>
        <v>1.873771606868184</v>
      </c>
      <c r="U141" s="3"/>
      <c r="V141" s="3">
        <f t="shared" si="61"/>
        <v>15.761030534407121</v>
      </c>
      <c r="W141" s="3">
        <f t="shared" si="62"/>
        <v>12.181110142711088</v>
      </c>
      <c r="X141" s="3">
        <f t="shared" si="63"/>
        <v>9.3688580343409207</v>
      </c>
      <c r="Y141" s="3"/>
      <c r="Z141" s="3">
        <f t="shared" si="73"/>
        <v>17.267728939119642</v>
      </c>
      <c r="AA141" s="3">
        <f t="shared" si="74"/>
        <v>13.345580903654302</v>
      </c>
      <c r="AB141" s="3">
        <f t="shared" si="75"/>
        <v>10.264487506252895</v>
      </c>
      <c r="AC141" s="3"/>
      <c r="AD141" s="3">
        <f t="shared" si="84"/>
        <v>17.122190321387844</v>
      </c>
      <c r="AE141" s="3">
        <f t="shared" si="85"/>
        <v>13.233099557416265</v>
      </c>
      <c r="AF141" s="3">
        <f t="shared" si="86"/>
        <v>10.177974721123347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/>
      <c r="AO141"/>
      <c r="AP141"/>
      <c r="AQ141"/>
      <c r="AR141"/>
      <c r="AS141"/>
      <c r="AT141"/>
      <c r="AU141"/>
      <c r="AV141"/>
      <c r="BH141" s="3"/>
      <c r="BI141" s="3"/>
      <c r="BJ141" s="3"/>
      <c r="BK141" s="3"/>
      <c r="BL141" s="3"/>
      <c r="BM141" s="3"/>
      <c r="BN141" s="3"/>
    </row>
    <row r="142" spans="1:66">
      <c r="A142">
        <v>2030</v>
      </c>
      <c r="B142" s="3"/>
      <c r="C142" s="3">
        <f t="shared" si="66"/>
        <v>160.51226325283022</v>
      </c>
      <c r="D142" s="3">
        <f t="shared" si="67"/>
        <v>89.285088706337618</v>
      </c>
      <c r="E142" s="3">
        <f t="shared" si="68"/>
        <v>32.792827976384679</v>
      </c>
      <c r="F142" s="6">
        <f>'Exchange Rates'!I69</f>
        <v>6.4349999999999996</v>
      </c>
      <c r="G142" s="3"/>
      <c r="H142" s="3">
        <f>(C142*USA!$AU117/100)/$AX109*100*$F142</f>
        <v>1088.259584626217</v>
      </c>
      <c r="I142" s="3">
        <f>(D142*USA!$AU117/100)/$AX109*100*$F142</f>
        <v>605.34535854014041</v>
      </c>
      <c r="J142" s="3">
        <f>(E142*USA!$AU117/100)/$AX109*100*$F142</f>
        <v>222.33260331073251</v>
      </c>
      <c r="K142" s="6"/>
      <c r="L142" s="6">
        <f t="shared" si="70"/>
        <v>8.4979328072921607</v>
      </c>
      <c r="M142" s="6">
        <f t="shared" si="71"/>
        <v>5.6070128955688503</v>
      </c>
      <c r="N142" s="6">
        <f t="shared" si="72"/>
        <v>3.3141436017590227</v>
      </c>
      <c r="O142">
        <v>2030</v>
      </c>
      <c r="P142" s="3">
        <f t="shared" si="87"/>
        <v>4.2159684284538024</v>
      </c>
      <c r="Q142" s="3"/>
      <c r="R142" s="3">
        <f t="shared" si="57"/>
        <v>3.1784753089364908</v>
      </c>
      <c r="S142" s="3">
        <f t="shared" si="58"/>
        <v>2.4557453310056632</v>
      </c>
      <c r="T142" s="3">
        <f t="shared" si="59"/>
        <v>1.8825280075532063</v>
      </c>
      <c r="U142" s="3"/>
      <c r="V142" s="3">
        <f t="shared" si="61"/>
        <v>15.892376544682454</v>
      </c>
      <c r="W142" s="3">
        <f t="shared" si="62"/>
        <v>12.278726655028315</v>
      </c>
      <c r="X142" s="3">
        <f t="shared" si="63"/>
        <v>9.4126400377660318</v>
      </c>
      <c r="Y142" s="3"/>
      <c r="Z142" s="3">
        <f t="shared" si="73"/>
        <v>17.411631160342932</v>
      </c>
      <c r="AA142" s="3">
        <f t="shared" si="74"/>
        <v>13.452529207002636</v>
      </c>
      <c r="AB142" s="3">
        <f t="shared" si="75"/>
        <v>10.312454913327324</v>
      </c>
      <c r="AC142" s="3"/>
      <c r="AD142" s="3">
        <f t="shared" si="84"/>
        <v>17.264879683037115</v>
      </c>
      <c r="AE142" s="3">
        <f t="shared" si="85"/>
        <v>13.339146462074998</v>
      </c>
      <c r="AF142" s="3">
        <f t="shared" si="86"/>
        <v>10.225537841673104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/>
      <c r="AO142"/>
      <c r="AP142"/>
      <c r="AQ142"/>
      <c r="AR142"/>
      <c r="AS142"/>
      <c r="AT142"/>
      <c r="AU142"/>
      <c r="AV142"/>
      <c r="BH142" s="3"/>
      <c r="BI142" s="3"/>
      <c r="BJ142" s="3"/>
      <c r="BK142" s="3"/>
      <c r="BL142" s="3"/>
      <c r="BM142" s="3"/>
      <c r="BN142" s="3"/>
    </row>
    <row r="143" spans="1:66">
      <c r="G143" s="12"/>
      <c r="J143"/>
      <c r="L143" s="23"/>
      <c r="M143" s="7"/>
      <c r="N143" s="12"/>
      <c r="O143" s="12"/>
      <c r="P143" s="23"/>
      <c r="Q143"/>
      <c r="R143"/>
      <c r="U143" s="23"/>
      <c r="W14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/>
      <c r="AO143"/>
      <c r="AP143"/>
      <c r="AQ143"/>
      <c r="AR143"/>
      <c r="AS143"/>
      <c r="AT143"/>
      <c r="AU143"/>
      <c r="AV143"/>
      <c r="BH143" s="3"/>
      <c r="BI143" s="3"/>
      <c r="BJ143" s="3"/>
      <c r="BK143" s="3"/>
      <c r="BL143" s="3"/>
      <c r="BM143" s="3"/>
      <c r="BN143" s="3"/>
    </row>
    <row r="144" spans="1:66">
      <c r="G144" s="12"/>
      <c r="J144"/>
      <c r="L144" s="23"/>
      <c r="M144" s="7"/>
      <c r="N144" s="12"/>
      <c r="O144" s="12"/>
      <c r="P144" s="23"/>
      <c r="Q144"/>
      <c r="R144"/>
      <c r="U144" s="23"/>
      <c r="W144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/>
      <c r="AO144"/>
      <c r="AP144"/>
      <c r="AQ144"/>
      <c r="AR144"/>
      <c r="AS144"/>
      <c r="AT144"/>
      <c r="AU144"/>
      <c r="AV144"/>
      <c r="BH144" s="3"/>
      <c r="BI144" s="3"/>
      <c r="BJ144" s="3"/>
      <c r="BK144" s="3"/>
      <c r="BL144" s="3"/>
      <c r="BM144" s="3"/>
      <c r="BN144" s="3"/>
    </row>
    <row r="145" spans="7:69">
      <c r="G145" s="12"/>
      <c r="J145"/>
      <c r="L145" s="23"/>
      <c r="M145" s="7"/>
      <c r="N145" s="12"/>
      <c r="O145" s="12"/>
      <c r="P145" s="23"/>
      <c r="Q145"/>
      <c r="R145"/>
      <c r="U145" s="23"/>
      <c r="W145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/>
      <c r="AO145"/>
      <c r="AP145"/>
      <c r="AQ145"/>
      <c r="AR145"/>
      <c r="AS145"/>
      <c r="AT145"/>
      <c r="AU145"/>
      <c r="AV145"/>
      <c r="BH145" s="3"/>
      <c r="BI145" s="3"/>
      <c r="BJ145" s="3"/>
      <c r="BK145" s="3"/>
      <c r="BL145" s="3"/>
      <c r="BM145" s="3"/>
      <c r="BN145" s="3"/>
    </row>
    <row r="146" spans="7:69">
      <c r="G146" s="12"/>
      <c r="J146"/>
      <c r="L146" s="23"/>
      <c r="M146" s="7"/>
      <c r="N146" s="12"/>
      <c r="O146" s="12"/>
      <c r="P146" s="23"/>
      <c r="Q146"/>
      <c r="R146"/>
      <c r="S146">
        <v>13.433156009367215</v>
      </c>
      <c r="U146" s="23"/>
      <c r="W146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/>
      <c r="AO146"/>
      <c r="AP146"/>
      <c r="AQ146"/>
      <c r="AR146"/>
      <c r="AS146"/>
      <c r="AT146"/>
      <c r="AU146"/>
      <c r="AV146"/>
      <c r="BH146" s="3"/>
      <c r="BI146" s="3"/>
      <c r="BJ146" s="3"/>
      <c r="BK146" s="3"/>
      <c r="BL146" s="3"/>
      <c r="BM146" s="3"/>
      <c r="BN146" s="3"/>
    </row>
    <row r="147" spans="7:69">
      <c r="G147" s="12"/>
      <c r="J147"/>
      <c r="L147" s="23"/>
      <c r="M147" s="7"/>
      <c r="N147" s="12"/>
      <c r="O147" s="12"/>
      <c r="P147" s="23"/>
      <c r="Q147"/>
      <c r="R147"/>
      <c r="S147">
        <v>10.591039958489514</v>
      </c>
      <c r="U147" s="23"/>
      <c r="W147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/>
      <c r="AO147"/>
      <c r="AP147"/>
      <c r="AQ147"/>
      <c r="AR147"/>
      <c r="AS147"/>
      <c r="AT147"/>
      <c r="AU147"/>
      <c r="AV147"/>
      <c r="BH147" s="3"/>
      <c r="BI147" s="3"/>
      <c r="BJ147" s="3"/>
      <c r="BK147" s="3"/>
      <c r="BL147" s="3"/>
      <c r="BM147" s="3"/>
      <c r="BN147" s="3"/>
    </row>
    <row r="148" spans="7:69">
      <c r="G148" s="12"/>
      <c r="J148"/>
      <c r="L148" s="23"/>
      <c r="M148" s="7"/>
      <c r="N148" s="12"/>
      <c r="O148" s="12"/>
      <c r="P148" s="23"/>
      <c r="Q148"/>
      <c r="R148"/>
      <c r="S148">
        <f>S146/S147-1</f>
        <v>0.26835098932843993</v>
      </c>
      <c r="U148" s="23"/>
      <c r="W148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/>
      <c r="AO148"/>
      <c r="AP148"/>
      <c r="AQ148"/>
      <c r="AR148"/>
      <c r="AS148"/>
      <c r="AT148"/>
      <c r="AU148"/>
      <c r="AV148"/>
      <c r="BH148" s="3"/>
      <c r="BI148" s="3"/>
      <c r="BJ148" s="3"/>
      <c r="BK148" s="3"/>
      <c r="BL148" s="3"/>
      <c r="BM148" s="3"/>
      <c r="BN148" s="3"/>
    </row>
    <row r="149" spans="7:69">
      <c r="G149" s="12"/>
      <c r="J149"/>
      <c r="L149" s="23"/>
      <c r="M149" s="7"/>
      <c r="N149" s="12"/>
      <c r="O149" s="12"/>
      <c r="P149" s="23"/>
      <c r="Q149"/>
      <c r="R149"/>
      <c r="U149" s="23"/>
      <c r="W149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/>
      <c r="AO149"/>
      <c r="AP149"/>
      <c r="AQ149"/>
      <c r="AR149"/>
      <c r="AS149"/>
      <c r="AT149"/>
      <c r="AU149"/>
      <c r="AV149"/>
      <c r="BH149" s="3"/>
      <c r="BI149" s="3"/>
      <c r="BJ149" s="3"/>
      <c r="BK149" s="3"/>
      <c r="BL149" s="3"/>
      <c r="BM149" s="3"/>
      <c r="BN149" s="3"/>
    </row>
    <row r="150" spans="7:69">
      <c r="G150" s="12"/>
      <c r="J150"/>
      <c r="L150" s="23"/>
      <c r="M150" s="7"/>
      <c r="N150" s="12"/>
      <c r="O150" s="12"/>
      <c r="P150" s="23"/>
      <c r="Q150"/>
      <c r="R150"/>
      <c r="U150" s="23"/>
      <c r="W150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/>
      <c r="AO150"/>
      <c r="AP150"/>
      <c r="AQ150"/>
      <c r="AR150"/>
      <c r="AS150"/>
      <c r="AT150"/>
      <c r="AU150"/>
      <c r="AV150"/>
      <c r="BH150" s="3"/>
      <c r="BI150" s="3"/>
      <c r="BJ150" s="3"/>
      <c r="BK150" s="3"/>
      <c r="BL150" s="3"/>
      <c r="BM150" s="3"/>
      <c r="BN150" s="3"/>
    </row>
    <row r="151" spans="7:69">
      <c r="G151" s="12"/>
      <c r="J151"/>
      <c r="L151" s="23"/>
      <c r="M151" s="7"/>
      <c r="N151" s="12"/>
      <c r="O151" s="12"/>
      <c r="P151" s="23"/>
      <c r="Q151"/>
      <c r="R151"/>
      <c r="U151" s="23"/>
      <c r="W151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/>
      <c r="AO151"/>
      <c r="AP151"/>
      <c r="AQ151"/>
      <c r="AR151"/>
      <c r="AS151"/>
      <c r="AT151"/>
      <c r="AU151"/>
      <c r="AV151"/>
      <c r="BH151" s="3"/>
      <c r="BI151" s="3"/>
      <c r="BJ151" s="3"/>
      <c r="BK151" s="3"/>
      <c r="BL151" s="3"/>
      <c r="BM151" s="3"/>
      <c r="BN151" s="3"/>
    </row>
    <row r="152" spans="7:69">
      <c r="G152" s="12"/>
      <c r="J152"/>
      <c r="L152" s="23"/>
      <c r="M152" s="7"/>
      <c r="N152" s="12"/>
      <c r="O152" s="12"/>
      <c r="P152" s="23"/>
      <c r="Q152"/>
      <c r="R152"/>
      <c r="U152" s="23"/>
      <c r="W15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/>
      <c r="AO152"/>
      <c r="AP152"/>
      <c r="AQ152"/>
      <c r="AR152"/>
      <c r="AS152"/>
      <c r="AT152"/>
      <c r="AU152"/>
      <c r="AV152"/>
      <c r="BH152" s="3"/>
      <c r="BI152" s="3"/>
      <c r="BJ152" s="3"/>
      <c r="BK152" s="3"/>
      <c r="BL152" s="3"/>
      <c r="BM152" s="3"/>
      <c r="BN152" s="3"/>
    </row>
    <row r="153" spans="7:69">
      <c r="O153" s="12"/>
      <c r="P153" s="23"/>
      <c r="Q153" s="7"/>
      <c r="R153" s="12"/>
      <c r="S153" s="23"/>
      <c r="W153"/>
      <c r="X153" s="23"/>
      <c r="Y153" s="23"/>
      <c r="Z153" s="23"/>
      <c r="AA153" s="23"/>
      <c r="AB153" s="23"/>
      <c r="AC153" s="23"/>
      <c r="AD153" s="23"/>
      <c r="AE153" s="23"/>
      <c r="AF153" s="23"/>
      <c r="AN153"/>
      <c r="AO153"/>
      <c r="AP153"/>
      <c r="AQ153"/>
      <c r="AR153"/>
      <c r="AS153"/>
      <c r="AT153"/>
      <c r="AU153"/>
      <c r="AV153"/>
      <c r="AW153"/>
      <c r="AX153"/>
      <c r="AY15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7:69">
      <c r="O154" s="12"/>
      <c r="P154" s="23"/>
      <c r="Q154" s="7"/>
      <c r="R154" s="12"/>
      <c r="S154" s="23"/>
      <c r="W154"/>
      <c r="X154" s="23"/>
      <c r="AN154"/>
      <c r="BH154" s="3"/>
    </row>
    <row r="156" spans="7:69">
      <c r="AK156" s="3"/>
      <c r="AL156" s="3" t="s">
        <v>2423</v>
      </c>
    </row>
    <row r="157" spans="7:69">
      <c r="AK157" s="3"/>
      <c r="AL157" s="3"/>
    </row>
    <row r="158" spans="7:69">
      <c r="AL158" t="s">
        <v>2416</v>
      </c>
    </row>
    <row r="159" spans="7:69">
      <c r="AK159" s="78">
        <v>43101</v>
      </c>
      <c r="AL159">
        <v>1.99</v>
      </c>
    </row>
    <row r="160" spans="7:69">
      <c r="AK160" s="78">
        <v>43132</v>
      </c>
      <c r="AL160">
        <v>1.92</v>
      </c>
    </row>
    <row r="161" spans="37:38">
      <c r="AK161" s="78">
        <v>43160</v>
      </c>
      <c r="AL161">
        <v>1.94</v>
      </c>
    </row>
    <row r="162" spans="37:38">
      <c r="AK162" s="78">
        <v>43191</v>
      </c>
      <c r="AL162">
        <v>1.96</v>
      </c>
    </row>
    <row r="163" spans="37:38">
      <c r="AK163" s="78">
        <v>43221</v>
      </c>
      <c r="AL163">
        <v>1.99</v>
      </c>
    </row>
    <row r="164" spans="37:38">
      <c r="AK164" s="78">
        <v>43252</v>
      </c>
      <c r="AL164">
        <v>1.98</v>
      </c>
    </row>
    <row r="165" spans="37:38">
      <c r="AK165" s="78">
        <v>43282</v>
      </c>
      <c r="AL165">
        <v>2</v>
      </c>
    </row>
    <row r="166" spans="37:38">
      <c r="AK166" s="78">
        <v>43313</v>
      </c>
      <c r="AL166">
        <v>1.99</v>
      </c>
    </row>
    <row r="167" spans="37:38">
      <c r="AK167" s="78">
        <v>43344</v>
      </c>
      <c r="AL167">
        <v>1.99</v>
      </c>
    </row>
    <row r="168" spans="37:38">
      <c r="AK168" s="78">
        <v>43374</v>
      </c>
      <c r="AL168">
        <v>1.92</v>
      </c>
    </row>
    <row r="169" spans="37:38">
      <c r="AK169" s="78">
        <v>43405</v>
      </c>
      <c r="AL169">
        <v>1.83</v>
      </c>
    </row>
    <row r="170" spans="37:38">
      <c r="AK170" s="78">
        <v>43435</v>
      </c>
      <c r="AL170">
        <v>1.78</v>
      </c>
    </row>
    <row r="172" spans="37:38">
      <c r="AK172">
        <v>2018</v>
      </c>
      <c r="AL172" s="3">
        <f>AVERAGE(AL159:AL170)</f>
        <v>1.9408333333333332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showGridLines="0" workbookViewId="0">
      <selection activeCell="A3" sqref="A3:G21"/>
    </sheetView>
  </sheetViews>
  <sheetFormatPr defaultRowHeight="15"/>
  <cols>
    <col min="1" max="1" width="17.85546875" customWidth="1"/>
    <col min="2" max="7" width="13.285156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0.97715059428009265</v>
      </c>
    </row>
    <row r="5" spans="1:7">
      <c r="A5" s="13" t="s">
        <v>80</v>
      </c>
      <c r="B5" s="13">
        <v>0.95482328390193827</v>
      </c>
    </row>
    <row r="6" spans="1:7">
      <c r="A6" s="13" t="s">
        <v>81</v>
      </c>
      <c r="B6" s="13">
        <v>0.95113538871025971</v>
      </c>
    </row>
    <row r="7" spans="1:7">
      <c r="A7" s="13" t="s">
        <v>82</v>
      </c>
      <c r="B7" s="13">
        <v>2.9744613870813591E-2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0.91626499106782222</v>
      </c>
      <c r="D12" s="13">
        <v>0.22906624776695556</v>
      </c>
      <c r="E12" s="13">
        <v>258.90738057210325</v>
      </c>
      <c r="F12" s="13">
        <v>2.708179156811952E-32</v>
      </c>
    </row>
    <row r="13" spans="1:7">
      <c r="A13" s="13" t="s">
        <v>86</v>
      </c>
      <c r="B13" s="13">
        <v>49</v>
      </c>
      <c r="C13" s="13">
        <v>4.3352360661866013E-2</v>
      </c>
      <c r="D13" s="13">
        <v>8.8474205432379621E-4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0.95961735172968821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0.20149081191588439</v>
      </c>
      <c r="C17" s="13">
        <v>2.3953157397098825E-2</v>
      </c>
      <c r="D17" s="13">
        <v>8.4118685722947184</v>
      </c>
      <c r="E17" s="13">
        <v>4.5121025459503456E-11</v>
      </c>
      <c r="F17" s="13">
        <v>0.15335513995961553</v>
      </c>
      <c r="G17" s="13">
        <v>0.24962648387215325</v>
      </c>
    </row>
    <row r="18" spans="1:7">
      <c r="A18" s="13" t="s">
        <v>229</v>
      </c>
      <c r="B18" s="13">
        <v>5.5788284700330976E-3</v>
      </c>
      <c r="C18" s="13">
        <v>2.3919508225112335E-4</v>
      </c>
      <c r="D18" s="13">
        <v>23.323341004879282</v>
      </c>
      <c r="E18" s="13">
        <v>3.490966248661397E-28</v>
      </c>
      <c r="F18" s="13">
        <v>5.0981479558981488E-3</v>
      </c>
      <c r="G18" s="13">
        <v>6.0595089841680464E-3</v>
      </c>
    </row>
    <row r="19" spans="1:7">
      <c r="A19" s="13" t="s">
        <v>1914</v>
      </c>
      <c r="B19" s="13">
        <v>0.11778664078094071</v>
      </c>
      <c r="C19" s="13">
        <v>9.4324685117153032E-3</v>
      </c>
      <c r="D19" s="13">
        <v>12.487361143548743</v>
      </c>
      <c r="E19" s="13">
        <v>7.7015136706518396E-17</v>
      </c>
      <c r="F19" s="13">
        <v>9.8831385634796348E-2</v>
      </c>
      <c r="G19" s="13">
        <v>0.13674189592708508</v>
      </c>
    </row>
    <row r="20" spans="1:7">
      <c r="A20" s="13" t="s">
        <v>1986</v>
      </c>
      <c r="B20" s="13">
        <v>-7.4207954212161337E-2</v>
      </c>
      <c r="C20" s="13">
        <v>1.3327993481922398E-2</v>
      </c>
      <c r="D20" s="13">
        <v>-5.5678264183437882</v>
      </c>
      <c r="E20" s="13">
        <v>1.0762497415767929E-6</v>
      </c>
      <c r="F20" s="13">
        <v>-0.10099155987405249</v>
      </c>
      <c r="G20" s="13">
        <v>-4.7424348550270182E-2</v>
      </c>
    </row>
    <row r="21" spans="1:7" ht="15.75" thickBot="1">
      <c r="A21" s="14" t="s">
        <v>2438</v>
      </c>
      <c r="B21" s="14">
        <v>1.5360988263508112E-2</v>
      </c>
      <c r="C21" s="14">
        <v>2.1948395002060542E-2</v>
      </c>
      <c r="D21" s="14">
        <v>0.69986840778407733</v>
      </c>
      <c r="E21" s="14">
        <v>0.48731904881539823</v>
      </c>
      <c r="F21" s="14">
        <v>-2.87459628273639E-2</v>
      </c>
      <c r="G21" s="14">
        <v>5.946793935438012E-2</v>
      </c>
    </row>
    <row r="44" spans="17:17">
      <c r="Q44" t="s">
        <v>1901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R172"/>
  <sheetViews>
    <sheetView zoomScale="75" zoomScaleNormal="75" workbookViewId="0">
      <pane xSplit="1" ySplit="4" topLeftCell="AL51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E97"/>
    </sheetView>
  </sheetViews>
  <sheetFormatPr defaultRowHeight="15"/>
  <cols>
    <col min="1" max="1" width="6.7109375" customWidth="1"/>
    <col min="2" max="2" width="10.42578125" customWidth="1"/>
    <col min="3" max="3" width="10" customWidth="1"/>
    <col min="4" max="4" width="10.42578125" customWidth="1"/>
    <col min="5" max="6" width="9.85546875" customWidth="1"/>
    <col min="7" max="9" width="9.28515625" bestFit="1" customWidth="1"/>
    <col min="10" max="10" width="9.28515625" style="12" bestFit="1" customWidth="1"/>
    <col min="11" max="12" width="9.28515625" bestFit="1" customWidth="1"/>
    <col min="13" max="13" width="9.85546875" customWidth="1"/>
    <col min="14" max="14" width="8.28515625" customWidth="1"/>
    <col min="15" max="15" width="10.140625" style="23" customWidth="1"/>
    <col min="16" max="16" width="10" style="12" customWidth="1"/>
    <col min="17" max="17" width="9.140625" style="12" customWidth="1"/>
    <col min="18" max="18" width="8.7109375" style="23" customWidth="1"/>
    <col min="19" max="22" width="9.28515625" bestFit="1" customWidth="1"/>
    <col min="23" max="23" width="9.28515625" customWidth="1"/>
    <col min="24" max="24" width="10.85546875" style="23" customWidth="1"/>
    <col min="25" max="25" width="9.140625" customWidth="1"/>
    <col min="26" max="26" width="8.28515625" customWidth="1"/>
    <col min="27" max="27" width="10.140625" customWidth="1"/>
    <col min="28" max="28" width="12" customWidth="1"/>
    <col min="29" max="30" width="9.28515625" bestFit="1" customWidth="1"/>
    <col min="39" max="39" width="9.140625" style="9"/>
    <col min="40" max="40" width="9.140625" style="3"/>
    <col min="41" max="41" width="8" style="3" customWidth="1"/>
    <col min="42" max="42" width="7.85546875" style="3" customWidth="1"/>
    <col min="43" max="44" width="7.42578125" style="3" customWidth="1"/>
    <col min="45" max="45" width="7.5703125" style="3" customWidth="1"/>
    <col min="46" max="46" width="3.85546875" style="3" customWidth="1"/>
    <col min="47" max="47" width="7.85546875" style="3" customWidth="1"/>
    <col min="48" max="48" width="3.42578125" style="3" customWidth="1"/>
    <col min="49" max="49" width="9.140625" style="3"/>
    <col min="50" max="50" width="9.5703125" style="3" customWidth="1"/>
    <col min="51" max="52" width="9.140625" style="3"/>
    <col min="53" max="53" width="9.5703125" style="3" customWidth="1"/>
    <col min="54" max="54" width="9.7109375" style="3" customWidth="1"/>
    <col min="55" max="56" width="6.28515625" style="3" customWidth="1"/>
    <col min="57" max="60" width="9.140625" style="3"/>
  </cols>
  <sheetData>
    <row r="1" spans="1:61">
      <c r="A1" s="23" t="s">
        <v>165</v>
      </c>
      <c r="B1" s="23"/>
      <c r="C1" s="23"/>
      <c r="G1" s="8" t="s">
        <v>166</v>
      </c>
      <c r="K1" s="12"/>
      <c r="O1"/>
      <c r="P1" s="23"/>
      <c r="R1" s="12"/>
      <c r="S1" s="23"/>
      <c r="X1"/>
      <c r="Y1" s="23"/>
      <c r="AM1"/>
      <c r="AN1" s="9"/>
      <c r="BI1" s="3"/>
    </row>
    <row r="2" spans="1:61">
      <c r="D2" t="s">
        <v>45</v>
      </c>
      <c r="F2" t="s">
        <v>46</v>
      </c>
      <c r="H2" t="s">
        <v>1886</v>
      </c>
      <c r="I2" t="s">
        <v>1886</v>
      </c>
      <c r="J2" t="s">
        <v>1886</v>
      </c>
      <c r="K2" t="s">
        <v>1886</v>
      </c>
      <c r="L2" t="s">
        <v>1886</v>
      </c>
      <c r="O2" s="23" t="s">
        <v>165</v>
      </c>
      <c r="P2" s="23"/>
      <c r="Q2" s="23" t="s">
        <v>165</v>
      </c>
      <c r="R2" s="26" t="s">
        <v>142</v>
      </c>
      <c r="S2" s="23"/>
      <c r="T2" s="23" t="s">
        <v>165</v>
      </c>
      <c r="X2"/>
      <c r="Y2" s="23"/>
      <c r="Z2" s="23" t="s">
        <v>165</v>
      </c>
      <c r="AA2" s="23" t="s">
        <v>165</v>
      </c>
      <c r="AB2" s="23" t="s">
        <v>165</v>
      </c>
      <c r="AC2" s="23" t="s">
        <v>165</v>
      </c>
      <c r="AD2" s="23" t="s">
        <v>165</v>
      </c>
      <c r="AE2" t="s">
        <v>113</v>
      </c>
      <c r="AM2"/>
      <c r="AN2" s="9"/>
      <c r="BI2" s="3"/>
    </row>
    <row r="3" spans="1:61">
      <c r="B3" t="s">
        <v>182</v>
      </c>
      <c r="C3" t="s">
        <v>218</v>
      </c>
      <c r="D3" s="23" t="s">
        <v>165</v>
      </c>
      <c r="F3" s="23" t="s">
        <v>165</v>
      </c>
      <c r="H3" s="23" t="s">
        <v>165</v>
      </c>
      <c r="I3" s="23" t="s">
        <v>165</v>
      </c>
      <c r="J3" s="23" t="s">
        <v>165</v>
      </c>
      <c r="K3" s="23"/>
      <c r="L3" s="23" t="s">
        <v>165</v>
      </c>
      <c r="M3" t="s">
        <v>25</v>
      </c>
      <c r="N3" t="s">
        <v>1886</v>
      </c>
      <c r="O3" t="s">
        <v>5</v>
      </c>
      <c r="P3" s="23"/>
      <c r="Q3" s="26" t="s">
        <v>133</v>
      </c>
      <c r="R3" s="26" t="s">
        <v>133</v>
      </c>
      <c r="S3" s="23"/>
      <c r="T3" s="3" t="s">
        <v>128</v>
      </c>
      <c r="U3" s="3"/>
      <c r="V3" s="3"/>
      <c r="W3" s="3"/>
      <c r="X3" s="3"/>
      <c r="Y3" s="23"/>
      <c r="Z3" t="s">
        <v>61</v>
      </c>
      <c r="AA3" t="s">
        <v>61</v>
      </c>
      <c r="AB3" t="s">
        <v>61</v>
      </c>
      <c r="AC3" t="s">
        <v>61</v>
      </c>
      <c r="AD3" s="26" t="s">
        <v>61</v>
      </c>
      <c r="AE3" t="s">
        <v>61</v>
      </c>
      <c r="AM3"/>
      <c r="AN3" s="46" t="s">
        <v>2103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46" t="s">
        <v>1703</v>
      </c>
      <c r="AU3" s="46"/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2115</v>
      </c>
      <c r="BB3" s="46" t="s">
        <v>2102</v>
      </c>
      <c r="BC3" s="46" t="s">
        <v>2098</v>
      </c>
      <c r="BD3" s="46" t="s">
        <v>2098</v>
      </c>
      <c r="BE3" s="46" t="s">
        <v>2098</v>
      </c>
      <c r="BG3" s="46" t="s">
        <v>2444</v>
      </c>
      <c r="BH3" s="46" t="s">
        <v>2444</v>
      </c>
      <c r="BI3" s="3"/>
    </row>
    <row r="4" spans="1:61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s="29" t="s">
        <v>110</v>
      </c>
      <c r="J4" s="26" t="s">
        <v>135</v>
      </c>
      <c r="K4" s="26"/>
      <c r="L4" s="29" t="s">
        <v>8</v>
      </c>
      <c r="M4" t="s">
        <v>9</v>
      </c>
      <c r="N4" s="29" t="s">
        <v>145</v>
      </c>
      <c r="O4" t="s">
        <v>10</v>
      </c>
      <c r="P4" s="23"/>
      <c r="Q4" s="26" t="s">
        <v>101</v>
      </c>
      <c r="R4" s="26" t="s">
        <v>103</v>
      </c>
      <c r="S4" s="23"/>
      <c r="T4" s="13" t="s">
        <v>229</v>
      </c>
      <c r="U4" s="3" t="s">
        <v>231</v>
      </c>
      <c r="V4" s="3" t="s">
        <v>167</v>
      </c>
      <c r="W4" s="3" t="s">
        <v>148</v>
      </c>
      <c r="X4" s="3" t="s">
        <v>232</v>
      </c>
      <c r="Y4" s="23"/>
      <c r="Z4" t="s">
        <v>109</v>
      </c>
      <c r="AA4" t="s">
        <v>111</v>
      </c>
      <c r="AB4" t="s">
        <v>152</v>
      </c>
      <c r="AC4" t="s">
        <v>112</v>
      </c>
      <c r="AD4" s="26" t="s">
        <v>87</v>
      </c>
      <c r="AE4" t="s">
        <v>87</v>
      </c>
      <c r="AM4"/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U4" s="139" t="s">
        <v>237</v>
      </c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>
        <v>7391</v>
      </c>
      <c r="BD4" s="46">
        <v>9298</v>
      </c>
      <c r="BE4" s="46">
        <v>6516</v>
      </c>
      <c r="BG4" s="46" t="s">
        <v>131</v>
      </c>
      <c r="BH4" s="46" t="s">
        <v>2097</v>
      </c>
      <c r="BI4" s="3"/>
    </row>
    <row r="5" spans="1:61">
      <c r="A5">
        <v>1926</v>
      </c>
      <c r="K5" s="12"/>
      <c r="O5"/>
      <c r="P5" s="23"/>
      <c r="R5" s="12"/>
      <c r="S5" s="23"/>
      <c r="X5"/>
      <c r="Y5" s="23"/>
      <c r="AM5"/>
      <c r="AN5" s="9">
        <v>1926</v>
      </c>
      <c r="BI5" s="3"/>
    </row>
    <row r="6" spans="1:61">
      <c r="A6">
        <v>1927</v>
      </c>
      <c r="K6" s="12"/>
      <c r="O6"/>
      <c r="P6" s="23"/>
      <c r="R6" s="12"/>
      <c r="S6" s="23"/>
      <c r="X6"/>
      <c r="Y6" s="23"/>
      <c r="AM6"/>
      <c r="AN6" s="9">
        <v>1927</v>
      </c>
      <c r="BI6" s="3"/>
    </row>
    <row r="7" spans="1:61">
      <c r="A7">
        <v>1928</v>
      </c>
      <c r="K7" s="12"/>
      <c r="O7"/>
      <c r="P7" s="23"/>
      <c r="R7" s="12"/>
      <c r="S7" s="23"/>
      <c r="X7"/>
      <c r="Y7" s="23"/>
      <c r="AM7"/>
      <c r="AN7" s="9">
        <v>1928</v>
      </c>
      <c r="BI7" s="3"/>
    </row>
    <row r="8" spans="1:61">
      <c r="A8">
        <v>1929</v>
      </c>
      <c r="K8" s="12"/>
      <c r="O8"/>
      <c r="P8" s="23"/>
      <c r="R8" s="12"/>
      <c r="S8" s="23"/>
      <c r="X8"/>
      <c r="Y8" s="23"/>
      <c r="AM8"/>
      <c r="AN8" s="9">
        <v>1929</v>
      </c>
      <c r="BI8" s="3"/>
    </row>
    <row r="9" spans="1:61">
      <c r="A9">
        <v>1930</v>
      </c>
      <c r="K9" s="12"/>
      <c r="O9"/>
      <c r="P9" s="23"/>
      <c r="R9" s="12"/>
      <c r="S9" s="23"/>
      <c r="X9"/>
      <c r="Y9" s="23"/>
      <c r="AM9"/>
      <c r="AN9" s="9">
        <v>1930</v>
      </c>
      <c r="BI9" s="3"/>
    </row>
    <row r="10" spans="1:61">
      <c r="A10">
        <v>1931</v>
      </c>
      <c r="K10" s="12"/>
      <c r="O10"/>
      <c r="P10" s="23"/>
      <c r="R10" s="12"/>
      <c r="S10" s="23"/>
      <c r="X10"/>
      <c r="Y10" s="23"/>
      <c r="AM10"/>
      <c r="AN10" s="9">
        <v>1931</v>
      </c>
      <c r="BI10" s="3"/>
    </row>
    <row r="11" spans="1:61">
      <c r="A11">
        <v>1932</v>
      </c>
      <c r="K11" s="12"/>
      <c r="O11"/>
      <c r="P11" s="23"/>
      <c r="R11" s="12"/>
      <c r="S11" s="23"/>
      <c r="X11"/>
      <c r="Y11" s="23"/>
      <c r="AM11"/>
      <c r="AN11" s="9">
        <v>1932</v>
      </c>
      <c r="BI11" s="3"/>
    </row>
    <row r="12" spans="1:61">
      <c r="A12">
        <v>1933</v>
      </c>
      <c r="K12" s="12"/>
      <c r="O12"/>
      <c r="P12" s="23"/>
      <c r="R12" s="12"/>
      <c r="S12" s="23"/>
      <c r="X12"/>
      <c r="Y12" s="23"/>
      <c r="AM12"/>
      <c r="AN12" s="9">
        <v>1933</v>
      </c>
      <c r="BI12" s="3"/>
    </row>
    <row r="13" spans="1:61">
      <c r="A13">
        <v>1934</v>
      </c>
      <c r="K13" s="12"/>
      <c r="O13"/>
      <c r="P13" s="23"/>
      <c r="R13" s="12"/>
      <c r="S13" s="23"/>
      <c r="X13"/>
      <c r="Y13" s="23"/>
      <c r="AM13"/>
      <c r="AN13" s="9">
        <v>1934</v>
      </c>
      <c r="BI13" s="3"/>
    </row>
    <row r="14" spans="1:61">
      <c r="A14">
        <v>1935</v>
      </c>
      <c r="K14" s="12"/>
      <c r="O14"/>
      <c r="P14" s="23"/>
      <c r="R14" s="12"/>
      <c r="S14" s="23"/>
      <c r="X14"/>
      <c r="Y14" s="23"/>
      <c r="AM14"/>
      <c r="AN14" s="9">
        <v>1935</v>
      </c>
      <c r="BI14" s="3"/>
    </row>
    <row r="15" spans="1:61">
      <c r="A15">
        <v>1936</v>
      </c>
      <c r="K15" s="12"/>
      <c r="O15"/>
      <c r="P15" s="23"/>
      <c r="R15" s="12"/>
      <c r="S15" s="23"/>
      <c r="X15"/>
      <c r="Y15" s="23"/>
      <c r="AM15"/>
      <c r="AN15" s="9">
        <v>1936</v>
      </c>
      <c r="BI15" s="3"/>
    </row>
    <row r="16" spans="1:61">
      <c r="A16">
        <v>1937</v>
      </c>
      <c r="K16" s="12"/>
      <c r="O16"/>
      <c r="P16" s="23"/>
      <c r="R16" s="12"/>
      <c r="S16" s="23"/>
      <c r="X16"/>
      <c r="Y16" s="23"/>
      <c r="AM16"/>
      <c r="AN16" s="9">
        <v>1937</v>
      </c>
      <c r="BI16" s="3"/>
    </row>
    <row r="17" spans="1:61">
      <c r="A17">
        <v>1938</v>
      </c>
      <c r="K17" s="12"/>
      <c r="O17"/>
      <c r="P17" s="23"/>
      <c r="R17" s="12"/>
      <c r="S17" s="23"/>
      <c r="X17"/>
      <c r="Y17" s="23"/>
      <c r="AM17"/>
      <c r="AN17" s="9">
        <v>1938</v>
      </c>
      <c r="BI17" s="3"/>
    </row>
    <row r="18" spans="1:61">
      <c r="A18">
        <v>1939</v>
      </c>
      <c r="K18" s="12"/>
      <c r="O18"/>
      <c r="P18" s="23"/>
      <c r="R18" s="12"/>
      <c r="S18" s="23"/>
      <c r="X18"/>
      <c r="Y18" s="23"/>
      <c r="AM18"/>
      <c r="AN18" s="9">
        <v>1939</v>
      </c>
      <c r="BI18" s="3"/>
    </row>
    <row r="19" spans="1:61">
      <c r="A19">
        <v>1940</v>
      </c>
      <c r="K19" s="12"/>
      <c r="O19"/>
      <c r="P19" s="23"/>
      <c r="R19" s="12"/>
      <c r="S19" s="23"/>
      <c r="X19"/>
      <c r="Y19" s="23"/>
      <c r="AM19"/>
      <c r="AN19" s="9">
        <v>1940</v>
      </c>
      <c r="BI19" s="3"/>
    </row>
    <row r="20" spans="1:61">
      <c r="A20">
        <v>1941</v>
      </c>
      <c r="K20" s="12"/>
      <c r="O20"/>
      <c r="P20" s="23"/>
      <c r="R20" s="12"/>
      <c r="S20" s="23"/>
      <c r="X20"/>
      <c r="Y20" s="23"/>
      <c r="AM20"/>
      <c r="AN20" s="9">
        <v>1941</v>
      </c>
      <c r="BI20" s="3"/>
    </row>
    <row r="21" spans="1:61">
      <c r="A21">
        <v>1942</v>
      </c>
      <c r="K21" s="12"/>
      <c r="O21"/>
      <c r="P21" s="23"/>
      <c r="R21" s="12"/>
      <c r="S21" s="23"/>
      <c r="X21"/>
      <c r="Y21" s="23"/>
      <c r="AM21"/>
      <c r="AN21" s="9">
        <v>1942</v>
      </c>
      <c r="BI21" s="3"/>
    </row>
    <row r="22" spans="1:61">
      <c r="A22">
        <v>1943</v>
      </c>
      <c r="K22" s="12"/>
      <c r="O22"/>
      <c r="P22" s="23"/>
      <c r="R22" s="12"/>
      <c r="S22" s="23"/>
      <c r="X22"/>
      <c r="Y22" s="23"/>
      <c r="AM22"/>
      <c r="AN22" s="9">
        <v>1943</v>
      </c>
      <c r="BI22" s="3"/>
    </row>
    <row r="23" spans="1:61">
      <c r="A23">
        <v>1944</v>
      </c>
      <c r="K23" s="12"/>
      <c r="O23"/>
      <c r="P23" s="23"/>
      <c r="R23" s="12"/>
      <c r="S23" s="23"/>
      <c r="X23"/>
      <c r="Y23" s="23"/>
      <c r="AM23"/>
      <c r="AN23" s="9">
        <v>1944</v>
      </c>
      <c r="BI23" s="3"/>
    </row>
    <row r="24" spans="1:61">
      <c r="A24">
        <v>1945</v>
      </c>
      <c r="K24" s="12"/>
      <c r="O24"/>
      <c r="P24" s="23"/>
      <c r="R24" s="12"/>
      <c r="S24" s="23"/>
      <c r="X24"/>
      <c r="Y24" s="23"/>
      <c r="AM24"/>
      <c r="AN24" s="9">
        <v>1945</v>
      </c>
      <c r="BI24" s="3"/>
    </row>
    <row r="25" spans="1:61">
      <c r="A25">
        <v>1946</v>
      </c>
      <c r="K25" s="12"/>
      <c r="O25"/>
      <c r="P25" s="23"/>
      <c r="R25" s="12"/>
      <c r="S25" s="23"/>
      <c r="X25"/>
      <c r="Y25" s="23"/>
      <c r="AM25"/>
      <c r="AN25" s="9">
        <v>1946</v>
      </c>
      <c r="BI25" s="3"/>
    </row>
    <row r="26" spans="1:61">
      <c r="A26">
        <v>1947</v>
      </c>
      <c r="K26" s="12"/>
      <c r="O26"/>
      <c r="P26" s="23"/>
      <c r="R26" s="12"/>
      <c r="S26" s="23"/>
      <c r="X26"/>
      <c r="Y26" s="23"/>
      <c r="AM26"/>
      <c r="AN26" s="9">
        <v>1947</v>
      </c>
      <c r="BI26" s="3"/>
    </row>
    <row r="27" spans="1:61">
      <c r="A27">
        <v>1948</v>
      </c>
      <c r="K27" s="12"/>
      <c r="O27"/>
      <c r="P27" s="23"/>
      <c r="R27" s="12"/>
      <c r="S27" s="23"/>
      <c r="X27"/>
      <c r="Y27" s="23"/>
      <c r="AM27"/>
      <c r="AN27" s="9">
        <v>1948</v>
      </c>
      <c r="BI27" s="3"/>
    </row>
    <row r="28" spans="1:61">
      <c r="A28">
        <v>1949</v>
      </c>
      <c r="K28" s="12"/>
      <c r="O28"/>
      <c r="P28" s="23"/>
      <c r="R28" s="12"/>
      <c r="S28" s="23"/>
      <c r="X28"/>
      <c r="Y28" s="23"/>
      <c r="AM28"/>
      <c r="AN28" s="9">
        <v>1949</v>
      </c>
      <c r="BI28" s="3"/>
    </row>
    <row r="29" spans="1:61">
      <c r="A29">
        <v>1950</v>
      </c>
      <c r="K29" s="12"/>
      <c r="O29"/>
      <c r="P29" s="23"/>
      <c r="R29" s="12"/>
      <c r="S29" s="23"/>
      <c r="X29"/>
      <c r="Y29" s="23"/>
      <c r="AM29"/>
      <c r="AN29" s="9">
        <v>1950</v>
      </c>
      <c r="BI29" s="3"/>
    </row>
    <row r="30" spans="1:61">
      <c r="A30">
        <v>1951</v>
      </c>
      <c r="K30" s="12"/>
      <c r="O30"/>
      <c r="P30" s="23"/>
      <c r="R30" s="12"/>
      <c r="S30" s="23"/>
      <c r="X30"/>
      <c r="Y30" s="23"/>
      <c r="AM30"/>
      <c r="AN30" s="9">
        <v>1951</v>
      </c>
      <c r="BI30" s="3"/>
    </row>
    <row r="31" spans="1:61">
      <c r="A31">
        <v>1952</v>
      </c>
      <c r="K31" s="12"/>
      <c r="O31"/>
      <c r="P31" s="23"/>
      <c r="R31" s="12"/>
      <c r="S31" s="23"/>
      <c r="X31"/>
      <c r="Y31" s="23"/>
      <c r="AM31"/>
      <c r="AN31" s="9">
        <v>1952</v>
      </c>
      <c r="BI31" s="3"/>
    </row>
    <row r="32" spans="1:61">
      <c r="A32">
        <v>1953</v>
      </c>
      <c r="K32" s="12"/>
      <c r="O32"/>
      <c r="P32" s="23"/>
      <c r="R32" s="12"/>
      <c r="S32" s="23"/>
      <c r="X32"/>
      <c r="Y32" s="23"/>
      <c r="AM32"/>
      <c r="AN32" s="9">
        <v>1953</v>
      </c>
      <c r="BI32" s="3"/>
    </row>
    <row r="33" spans="1:61">
      <c r="A33">
        <v>1954</v>
      </c>
      <c r="K33" s="12"/>
      <c r="O33"/>
      <c r="P33" s="23"/>
      <c r="R33" s="12"/>
      <c r="S33" s="23"/>
      <c r="X33"/>
      <c r="Y33" s="23"/>
      <c r="AM33"/>
      <c r="AN33" s="9">
        <v>1954</v>
      </c>
      <c r="BI33" s="3"/>
    </row>
    <row r="34" spans="1:61">
      <c r="A34">
        <v>1955</v>
      </c>
      <c r="K34" s="12"/>
      <c r="O34"/>
      <c r="P34" s="23"/>
      <c r="R34" s="12"/>
      <c r="S34" s="23"/>
      <c r="X34"/>
      <c r="Y34" s="23"/>
      <c r="AM34"/>
      <c r="AN34" s="9">
        <v>1955</v>
      </c>
      <c r="BI34" s="3"/>
    </row>
    <row r="35" spans="1:61">
      <c r="A35">
        <v>1956</v>
      </c>
      <c r="K35" s="12"/>
      <c r="O35"/>
      <c r="P35" s="23"/>
      <c r="R35" s="12"/>
      <c r="S35" s="23"/>
      <c r="X35"/>
      <c r="Y35" s="23"/>
      <c r="AM35"/>
      <c r="AN35" s="9">
        <v>1956</v>
      </c>
      <c r="BI35" s="3"/>
    </row>
    <row r="36" spans="1:61">
      <c r="A36">
        <v>1957</v>
      </c>
      <c r="K36" s="12"/>
      <c r="O36"/>
      <c r="P36" s="23"/>
      <c r="R36" s="12"/>
      <c r="S36" s="23"/>
      <c r="X36"/>
      <c r="Y36" s="23"/>
      <c r="AM36"/>
      <c r="AN36" s="9">
        <v>1957</v>
      </c>
      <c r="BI36" s="3"/>
    </row>
    <row r="37" spans="1:61">
      <c r="A37">
        <v>1958</v>
      </c>
      <c r="K37" s="12"/>
      <c r="O37"/>
      <c r="P37" s="23"/>
      <c r="R37" s="12"/>
      <c r="S37" s="23"/>
      <c r="X37"/>
      <c r="Y37" s="23"/>
      <c r="AM37"/>
      <c r="AN37" s="9">
        <v>1958</v>
      </c>
      <c r="BI37" s="3"/>
    </row>
    <row r="38" spans="1:61">
      <c r="A38">
        <v>1959</v>
      </c>
      <c r="K38" s="12"/>
      <c r="O38"/>
      <c r="P38" s="23"/>
      <c r="R38" s="12"/>
      <c r="S38" s="23"/>
      <c r="X38"/>
      <c r="Y38" s="23"/>
      <c r="AM38"/>
      <c r="AN38" s="9">
        <v>1959</v>
      </c>
      <c r="BI38" s="3"/>
    </row>
    <row r="39" spans="1:61">
      <c r="A39">
        <v>1960</v>
      </c>
      <c r="K39" s="12"/>
      <c r="O39"/>
      <c r="P39" s="23"/>
      <c r="R39" s="12"/>
      <c r="S39" s="23"/>
      <c r="X39"/>
      <c r="Y39" s="23"/>
      <c r="AM39"/>
      <c r="AN39" s="9">
        <v>1960</v>
      </c>
      <c r="BI39" s="3"/>
    </row>
    <row r="40" spans="1:61">
      <c r="A40">
        <v>1961</v>
      </c>
      <c r="K40" s="12"/>
      <c r="O40"/>
      <c r="P40" s="23"/>
      <c r="R40" s="12"/>
      <c r="S40" s="23"/>
      <c r="X40"/>
      <c r="Y40" s="23"/>
      <c r="AM40"/>
      <c r="AN40" s="9">
        <v>1961</v>
      </c>
      <c r="BI40" s="3"/>
    </row>
    <row r="41" spans="1:61">
      <c r="A41">
        <v>1962</v>
      </c>
      <c r="K41" s="12"/>
      <c r="O41"/>
      <c r="P41" s="23"/>
      <c r="R41" s="12"/>
      <c r="S41" s="23"/>
      <c r="X41"/>
      <c r="Y41" s="23"/>
      <c r="AM41"/>
      <c r="AN41" s="9">
        <v>1962</v>
      </c>
      <c r="BI41" s="3"/>
    </row>
    <row r="42" spans="1:61">
      <c r="A42">
        <v>1963</v>
      </c>
      <c r="K42" s="12"/>
      <c r="O42"/>
      <c r="P42" s="23"/>
      <c r="R42" s="12"/>
      <c r="S42" s="23"/>
      <c r="X42"/>
      <c r="Y42" s="23"/>
      <c r="AM42"/>
      <c r="AN42" s="46" t="s">
        <v>2103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46" t="s">
        <v>1703</v>
      </c>
      <c r="AU42" s="46"/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2115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G42" s="46" t="s">
        <v>2444</v>
      </c>
      <c r="BH42" s="46" t="s">
        <v>2444</v>
      </c>
      <c r="BI42" s="3"/>
    </row>
    <row r="43" spans="1:61">
      <c r="A43">
        <v>1964</v>
      </c>
      <c r="K43" s="12"/>
      <c r="O43"/>
      <c r="P43" s="23"/>
      <c r="R43" s="12"/>
      <c r="S43" s="23"/>
      <c r="X43"/>
      <c r="Y43" s="23"/>
      <c r="Z43" s="3"/>
      <c r="AM43"/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U43" s="139" t="s">
        <v>237</v>
      </c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7391</v>
      </c>
      <c r="BD43" s="46">
        <v>9298</v>
      </c>
      <c r="BE43" s="46">
        <v>6516</v>
      </c>
      <c r="BG43" s="46" t="s">
        <v>131</v>
      </c>
      <c r="BH43" s="46" t="s">
        <v>2097</v>
      </c>
      <c r="BI43" s="3"/>
    </row>
    <row r="44" spans="1:61">
      <c r="A44">
        <v>1965</v>
      </c>
      <c r="B44" s="3">
        <f t="shared" ref="B44:B88" si="0">I44/G44*100/C44*100</f>
        <v>120.34002977300614</v>
      </c>
      <c r="C44" s="3">
        <f t="shared" ref="C44:C87" si="1">E44/E$89*100</f>
        <v>14.459024846529534</v>
      </c>
      <c r="D44" s="3">
        <v>84.087599999999995</v>
      </c>
      <c r="E44" s="3">
        <v>20.692699999999999</v>
      </c>
      <c r="F44" s="3">
        <f>D44*E44/100</f>
        <v>17.399994805199995</v>
      </c>
      <c r="G44" s="69">
        <v>0.53820136467683533</v>
      </c>
      <c r="H44" s="3">
        <f>F44*G44/100</f>
        <v>9.364700949528483E-2</v>
      </c>
      <c r="I44" s="7">
        <f t="shared" ref="I44:I77" si="2">H44</f>
        <v>9.364700949528483E-2</v>
      </c>
      <c r="J44" s="21">
        <f>R44+AD44</f>
        <v>0.1061089778122796</v>
      </c>
      <c r="K44" s="21"/>
      <c r="O44"/>
      <c r="P44" s="23"/>
      <c r="Q44" s="32">
        <f t="shared" ref="Q44:Q78" si="3">I44-AD44</f>
        <v>3.1839983228396838E-2</v>
      </c>
      <c r="R44" s="7">
        <f>R$92+R$93*T44+R$94*U44+R$95*V44+R$96*W44+R$97*X44</f>
        <v>4.4301951545391599E-2</v>
      </c>
      <c r="S44" s="27"/>
      <c r="T44">
        <f>USA!Z52*G44</f>
        <v>1.7760645034335565</v>
      </c>
      <c r="U44">
        <v>1</v>
      </c>
      <c r="V44">
        <v>0</v>
      </c>
      <c r="W44">
        <v>0</v>
      </c>
      <c r="X44">
        <v>0</v>
      </c>
      <c r="Y44" s="23"/>
      <c r="Z44" s="3">
        <v>0.66</v>
      </c>
      <c r="AA44" s="3">
        <f>AD44-AC44</f>
        <v>4.6788908035486312E-2</v>
      </c>
      <c r="AB44" s="2">
        <v>0.191</v>
      </c>
      <c r="AC44" s="2">
        <f t="shared" ref="AC44:AC90" si="4">AB44*(I44*(1/(1+AB44)))</f>
        <v>1.5018118231401681E-2</v>
      </c>
      <c r="AD44" s="3">
        <f t="shared" ref="AD44:AD78" si="5">I44*Z44</f>
        <v>6.1807026266887992E-2</v>
      </c>
      <c r="AF44" s="3"/>
      <c r="AM44"/>
      <c r="AN44" s="9">
        <v>1965</v>
      </c>
      <c r="AO44" s="1">
        <f t="shared" ref="AO44:AO89" si="6">I44</f>
        <v>9.364700949528483E-2</v>
      </c>
      <c r="AP44" s="1">
        <f>AA44</f>
        <v>4.6788908035486312E-2</v>
      </c>
      <c r="AQ44" s="1">
        <f>AC44</f>
        <v>1.5018118231401681E-2</v>
      </c>
      <c r="AR44" s="1">
        <f>AD44</f>
        <v>6.1807026266887992E-2</v>
      </c>
      <c r="AS44" s="1">
        <f t="shared" ref="AS44:AS75" si="7">AO44-AR44</f>
        <v>3.1839983228396838E-2</v>
      </c>
      <c r="AU44" s="3">
        <v>10.496444317513292</v>
      </c>
      <c r="AW44" s="1">
        <f t="shared" ref="AW44:AW75" si="8">AO44/$AU44*100</f>
        <v>0.89217840501506795</v>
      </c>
      <c r="AX44" s="1">
        <f>BA44+AY44</f>
        <v>0.90008683972131964</v>
      </c>
      <c r="AY44" s="1">
        <f t="shared" ref="AY44:AY89" si="9">AR44/$AU44*100</f>
        <v>0.58883774730994487</v>
      </c>
      <c r="AZ44" s="1">
        <f t="shared" ref="AZ44:AZ51" si="10">AW44-AY44</f>
        <v>0.30334065770512308</v>
      </c>
      <c r="BA44" s="1">
        <f t="shared" ref="BA44:BA75" si="11">AX$99+AX$100*BB44+AX$101*BC44+AX$102*BD44+AX$103*BE44</f>
        <v>0.31124909241137477</v>
      </c>
      <c r="BB44" s="3">
        <f t="shared" ref="BB44:BB75" si="12">T44/AU44*100</f>
        <v>16.92062997438282</v>
      </c>
      <c r="BC44" s="3">
        <v>0</v>
      </c>
      <c r="BD44" s="3">
        <v>0</v>
      </c>
      <c r="BE44" s="24">
        <v>1</v>
      </c>
      <c r="BG44" s="1">
        <f t="shared" ref="BG44:BG96" si="13">AW44*$AU$97/$AU$89</f>
        <v>0.99050124959402386</v>
      </c>
      <c r="BH44" s="1">
        <f t="shared" ref="BH44:BH96" si="14">AX44*$AU$97/$AU$89</f>
        <v>0.9992812362142367</v>
      </c>
      <c r="BI44" s="3"/>
    </row>
    <row r="45" spans="1:61">
      <c r="A45">
        <v>1966</v>
      </c>
      <c r="B45" s="3">
        <f t="shared" si="0"/>
        <v>128.26117427933775</v>
      </c>
      <c r="C45" s="3">
        <f t="shared" si="1"/>
        <v>14.891495218110531</v>
      </c>
      <c r="D45" s="3">
        <v>89.622500000000002</v>
      </c>
      <c r="E45" s="3">
        <v>21.311620000000001</v>
      </c>
      <c r="F45" s="3">
        <f t="shared" ref="F45:F78" si="15">D45*E45/100</f>
        <v>19.100006634500001</v>
      </c>
      <c r="G45" s="69">
        <v>0.53820136467683533</v>
      </c>
      <c r="H45" s="3">
        <f t="shared" ref="H45:H78" si="16">F45*G45/100</f>
        <v>0.10279649636024508</v>
      </c>
      <c r="I45" s="7">
        <f t="shared" si="2"/>
        <v>0.10279649636024508</v>
      </c>
      <c r="J45" s="21">
        <f t="shared" ref="J45:J88" si="17">R45+AD45</f>
        <v>0.11214763914315336</v>
      </c>
      <c r="K45" s="21"/>
      <c r="O45"/>
      <c r="P45" s="23"/>
      <c r="Q45" s="32">
        <f t="shared" si="3"/>
        <v>3.4950808762483326E-2</v>
      </c>
      <c r="R45" s="7">
        <f t="shared" ref="R45:R88" si="18">R$92+R$93*T45+R$94*U45+R$95*V45+R$96*W45+R$97*X45</f>
        <v>4.4301951545391599E-2</v>
      </c>
      <c r="S45" s="27"/>
      <c r="T45">
        <f>USA!Z53*G45</f>
        <v>1.7760645034335565</v>
      </c>
      <c r="U45">
        <v>1</v>
      </c>
      <c r="V45">
        <v>0</v>
      </c>
      <c r="W45">
        <v>0</v>
      </c>
      <c r="X45">
        <v>0</v>
      </c>
      <c r="Y45" s="23"/>
      <c r="Z45" s="3">
        <v>0.66</v>
      </c>
      <c r="AA45" s="3">
        <f t="shared" ref="AA45:AA65" si="19">AD45-AC45</f>
        <v>5.1360271304892902E-2</v>
      </c>
      <c r="AB45" s="2">
        <v>0.191</v>
      </c>
      <c r="AC45" s="2">
        <f t="shared" si="4"/>
        <v>1.648541629286886E-2</v>
      </c>
      <c r="AD45" s="3">
        <f t="shared" si="5"/>
        <v>6.7845687597761759E-2</v>
      </c>
      <c r="AF45" s="3"/>
      <c r="AM45"/>
      <c r="AN45" s="9">
        <v>1966</v>
      </c>
      <c r="AO45" s="1">
        <f t="shared" si="6"/>
        <v>0.10279649636024508</v>
      </c>
      <c r="AP45" s="1">
        <f t="shared" ref="AP45:AP96" si="20">AA45</f>
        <v>5.1360271304892902E-2</v>
      </c>
      <c r="AQ45" s="1">
        <f t="shared" ref="AQ45:AQ96" si="21">AC45</f>
        <v>1.648541629286886E-2</v>
      </c>
      <c r="AR45" s="1">
        <f t="shared" ref="AR45:AR76" si="22">AD45</f>
        <v>6.7845687597761759E-2</v>
      </c>
      <c r="AS45" s="1">
        <f t="shared" si="7"/>
        <v>3.4950808762483326E-2</v>
      </c>
      <c r="AU45" s="3">
        <v>10.903040777498635</v>
      </c>
      <c r="AW45" s="1">
        <f t="shared" si="8"/>
        <v>0.9428241025420484</v>
      </c>
      <c r="AX45" s="1">
        <f t="shared" ref="AX45:AX96" si="23">BA45+AY45</f>
        <v>0.92999273398749605</v>
      </c>
      <c r="AY45" s="1">
        <f t="shared" si="9"/>
        <v>0.62226390767775197</v>
      </c>
      <c r="AZ45" s="1">
        <f t="shared" si="10"/>
        <v>0.32056019486429643</v>
      </c>
      <c r="BA45" s="1">
        <f t="shared" si="11"/>
        <v>0.30772882630974407</v>
      </c>
      <c r="BB45" s="3">
        <f t="shared" si="12"/>
        <v>16.289625432741154</v>
      </c>
      <c r="BC45" s="3">
        <v>0</v>
      </c>
      <c r="BD45" s="3">
        <v>0</v>
      </c>
      <c r="BE45" s="24">
        <v>1</v>
      </c>
      <c r="BG45" s="1">
        <f t="shared" si="13"/>
        <v>1.0467283745782785</v>
      </c>
      <c r="BH45" s="1">
        <f t="shared" si="14"/>
        <v>1.032482920400231</v>
      </c>
      <c r="BI45" s="3"/>
    </row>
    <row r="46" spans="1:61">
      <c r="A46">
        <v>1967</v>
      </c>
      <c r="B46" s="3">
        <f t="shared" si="0"/>
        <v>103.88879624690195</v>
      </c>
      <c r="C46" s="3">
        <f t="shared" si="1"/>
        <v>15.30482682623647</v>
      </c>
      <c r="D46" s="3">
        <v>72.592299999999994</v>
      </c>
      <c r="E46" s="3">
        <v>21.90315</v>
      </c>
      <c r="F46" s="3">
        <f t="shared" si="15"/>
        <v>15.900000357449999</v>
      </c>
      <c r="G46" s="69">
        <v>0.58024666441294837</v>
      </c>
      <c r="H46" s="3">
        <f t="shared" si="16"/>
        <v>9.2259221715750475E-2</v>
      </c>
      <c r="I46" s="7">
        <f t="shared" si="2"/>
        <v>9.2259221715750475E-2</v>
      </c>
      <c r="J46" s="21">
        <f t="shared" si="17"/>
        <v>0.10640847698487953</v>
      </c>
      <c r="K46" s="21"/>
      <c r="O46"/>
      <c r="P46" s="23"/>
      <c r="Q46" s="32">
        <f t="shared" si="3"/>
        <v>3.1368135383355158E-2</v>
      </c>
      <c r="R46" s="7">
        <f t="shared" si="18"/>
        <v>4.551739065248421E-2</v>
      </c>
      <c r="S46" s="27"/>
      <c r="T46">
        <f>USA!Z54*G46</f>
        <v>1.9148139925627294</v>
      </c>
      <c r="U46">
        <v>1</v>
      </c>
      <c r="V46">
        <v>0</v>
      </c>
      <c r="W46">
        <v>0</v>
      </c>
      <c r="X46">
        <v>0</v>
      </c>
      <c r="Y46" s="23"/>
      <c r="Z46" s="3">
        <v>0.66</v>
      </c>
      <c r="AA46" s="3">
        <f t="shared" si="19"/>
        <v>4.6095526846494109E-2</v>
      </c>
      <c r="AB46" s="2">
        <v>0.191</v>
      </c>
      <c r="AC46" s="2">
        <f t="shared" si="4"/>
        <v>1.479555948590121E-2</v>
      </c>
      <c r="AD46" s="3">
        <f t="shared" si="5"/>
        <v>6.0891086332395317E-2</v>
      </c>
      <c r="AF46" s="3"/>
      <c r="AM46"/>
      <c r="AN46" s="9">
        <v>1967</v>
      </c>
      <c r="AO46" s="1">
        <f t="shared" si="6"/>
        <v>9.2259221715750475E-2</v>
      </c>
      <c r="AP46" s="1">
        <f t="shared" si="20"/>
        <v>4.6095526846494109E-2</v>
      </c>
      <c r="AQ46" s="1">
        <f t="shared" si="21"/>
        <v>1.479555948590121E-2</v>
      </c>
      <c r="AR46" s="1">
        <f t="shared" si="22"/>
        <v>6.0891086332395317E-2</v>
      </c>
      <c r="AS46" s="1">
        <f t="shared" si="7"/>
        <v>3.1368135383355158E-2</v>
      </c>
      <c r="AU46" s="3">
        <v>11.489382214792395</v>
      </c>
      <c r="AW46" s="1">
        <f t="shared" si="8"/>
        <v>0.80299549611090681</v>
      </c>
      <c r="AX46" s="1">
        <f t="shared" si="23"/>
        <v>0.83980526983394266</v>
      </c>
      <c r="AY46" s="1">
        <f t="shared" si="9"/>
        <v>0.52997702743319852</v>
      </c>
      <c r="AZ46" s="1">
        <f t="shared" si="10"/>
        <v>0.27301846867770829</v>
      </c>
      <c r="BA46" s="1">
        <f t="shared" si="11"/>
        <v>0.30982824240074414</v>
      </c>
      <c r="BB46" s="3">
        <f t="shared" si="12"/>
        <v>16.665943884236327</v>
      </c>
      <c r="BC46" s="3">
        <v>0</v>
      </c>
      <c r="BD46" s="3">
        <v>0</v>
      </c>
      <c r="BE46" s="24">
        <v>1</v>
      </c>
      <c r="BG46" s="1">
        <f t="shared" si="13"/>
        <v>0.89148990588131682</v>
      </c>
      <c r="BH46" s="1">
        <f t="shared" si="14"/>
        <v>0.93235631406267661</v>
      </c>
      <c r="BI46" s="3"/>
    </row>
    <row r="47" spans="1:61">
      <c r="A47">
        <v>1968</v>
      </c>
      <c r="B47" s="3">
        <f t="shared" si="0"/>
        <v>99.684431519318636</v>
      </c>
      <c r="C47" s="3">
        <f t="shared" si="1"/>
        <v>15.950346083448959</v>
      </c>
      <c r="D47" s="3">
        <v>69.654499999999999</v>
      </c>
      <c r="E47" s="3">
        <v>22.826969999999999</v>
      </c>
      <c r="F47" s="3">
        <f t="shared" si="15"/>
        <v>15.90001181865</v>
      </c>
      <c r="G47" s="69">
        <v>0.70638424550055234</v>
      </c>
      <c r="H47" s="3">
        <f t="shared" si="16"/>
        <v>0.11231517851966945</v>
      </c>
      <c r="I47" s="7">
        <f t="shared" si="2"/>
        <v>0.11231517851966945</v>
      </c>
      <c r="J47" s="21">
        <f t="shared" si="17"/>
        <v>0.12329177441625293</v>
      </c>
      <c r="K47" s="21"/>
      <c r="O47"/>
      <c r="P47" s="23"/>
      <c r="Q47" s="32">
        <f t="shared" si="3"/>
        <v>3.8187160696687608E-2</v>
      </c>
      <c r="R47" s="7">
        <f t="shared" si="18"/>
        <v>4.9163756593271088E-2</v>
      </c>
      <c r="S47" s="27"/>
      <c r="T47">
        <f>USA!Z55*G47</f>
        <v>2.3310680101518226</v>
      </c>
      <c r="U47">
        <v>1</v>
      </c>
      <c r="V47">
        <v>0</v>
      </c>
      <c r="W47">
        <v>0</v>
      </c>
      <c r="X47">
        <v>0</v>
      </c>
      <c r="Y47" s="23"/>
      <c r="Z47" s="3">
        <v>0.66</v>
      </c>
      <c r="AA47" s="3">
        <f t="shared" si="19"/>
        <v>5.6116095826964321E-2</v>
      </c>
      <c r="AB47" s="2">
        <v>0.191</v>
      </c>
      <c r="AC47" s="2">
        <f t="shared" si="4"/>
        <v>1.8011921996017519E-2</v>
      </c>
      <c r="AD47" s="3">
        <f t="shared" si="5"/>
        <v>7.412801782298184E-2</v>
      </c>
      <c r="AF47" s="3"/>
      <c r="AM47"/>
      <c r="AN47" s="9">
        <v>1968</v>
      </c>
      <c r="AO47" s="1">
        <f t="shared" si="6"/>
        <v>0.11231517851966945</v>
      </c>
      <c r="AP47" s="1">
        <f t="shared" si="20"/>
        <v>5.6116095826964321E-2</v>
      </c>
      <c r="AQ47" s="1">
        <f t="shared" si="21"/>
        <v>1.8011921996017519E-2</v>
      </c>
      <c r="AR47" s="1">
        <f t="shared" si="22"/>
        <v>7.412801782298184E-2</v>
      </c>
      <c r="AS47" s="1">
        <f t="shared" si="7"/>
        <v>3.8187160696687608E-2</v>
      </c>
      <c r="AU47" s="3">
        <v>12.545447968333336</v>
      </c>
      <c r="AW47" s="1">
        <f t="shared" si="8"/>
        <v>0.89526638509179135</v>
      </c>
      <c r="AX47" s="1">
        <f t="shared" si="23"/>
        <v>0.91138775157416596</v>
      </c>
      <c r="AY47" s="1">
        <f t="shared" si="9"/>
        <v>0.59087581416058232</v>
      </c>
      <c r="AZ47" s="1">
        <f t="shared" si="10"/>
        <v>0.30439057093120903</v>
      </c>
      <c r="BA47" s="1">
        <f t="shared" si="11"/>
        <v>0.32051193741358369</v>
      </c>
      <c r="BB47" s="3">
        <f t="shared" si="12"/>
        <v>18.580986633843615</v>
      </c>
      <c r="BC47" s="3">
        <v>0</v>
      </c>
      <c r="BD47" s="3">
        <v>0</v>
      </c>
      <c r="BE47" s="24">
        <v>1</v>
      </c>
      <c r="BG47" s="1">
        <f t="shared" si="13"/>
        <v>0.99392954163463243</v>
      </c>
      <c r="BH47" s="1">
        <f t="shared" si="14"/>
        <v>1.0118275691549079</v>
      </c>
      <c r="BI47" s="3"/>
    </row>
    <row r="48" spans="1:61">
      <c r="A48">
        <v>1969</v>
      </c>
      <c r="B48" s="3">
        <f t="shared" si="0"/>
        <v>94.564002436732864</v>
      </c>
      <c r="C48" s="3">
        <f t="shared" si="1"/>
        <v>16.814008114047141</v>
      </c>
      <c r="D48" s="3">
        <v>66.076599999999999</v>
      </c>
      <c r="E48" s="3">
        <v>24.06298</v>
      </c>
      <c r="F48" s="3">
        <f t="shared" si="15"/>
        <v>15.899999042679999</v>
      </c>
      <c r="G48" s="69">
        <v>0.70638424550055234</v>
      </c>
      <c r="H48" s="3">
        <f t="shared" si="16"/>
        <v>0.11231508827223015</v>
      </c>
      <c r="I48" s="7">
        <f t="shared" si="2"/>
        <v>0.11231508827223015</v>
      </c>
      <c r="J48" s="21">
        <f t="shared" si="17"/>
        <v>0.11879911132205379</v>
      </c>
      <c r="K48" s="21"/>
      <c r="O48"/>
      <c r="P48" s="23"/>
      <c r="Q48" s="32">
        <f t="shared" si="3"/>
        <v>4.2679733543447451E-2</v>
      </c>
      <c r="R48" s="7">
        <f t="shared" si="18"/>
        <v>4.9163756593271088E-2</v>
      </c>
      <c r="S48" s="27"/>
      <c r="T48">
        <f>USA!Z56*G48</f>
        <v>2.3310680101518226</v>
      </c>
      <c r="U48">
        <v>1</v>
      </c>
      <c r="V48">
        <v>0</v>
      </c>
      <c r="W48">
        <v>0</v>
      </c>
      <c r="X48">
        <v>0</v>
      </c>
      <c r="Y48" s="23"/>
      <c r="Z48" s="3">
        <v>0.62</v>
      </c>
      <c r="AA48" s="3">
        <f t="shared" si="19"/>
        <v>5.1623447205696248E-2</v>
      </c>
      <c r="AB48" s="2">
        <v>0.191</v>
      </c>
      <c r="AC48" s="2">
        <f t="shared" si="4"/>
        <v>1.801190752308645E-2</v>
      </c>
      <c r="AD48" s="3">
        <f t="shared" si="5"/>
        <v>6.9635354728782697E-2</v>
      </c>
      <c r="AF48" s="3"/>
      <c r="AM48"/>
      <c r="AN48" s="9">
        <v>1969</v>
      </c>
      <c r="AO48" s="1">
        <f t="shared" si="6"/>
        <v>0.11231508827223015</v>
      </c>
      <c r="AP48" s="1">
        <f t="shared" si="20"/>
        <v>5.1623447205696248E-2</v>
      </c>
      <c r="AQ48" s="1">
        <f t="shared" si="21"/>
        <v>1.801190752308645E-2</v>
      </c>
      <c r="AR48" s="1">
        <f t="shared" si="22"/>
        <v>6.9635354728782697E-2</v>
      </c>
      <c r="AS48" s="1">
        <f t="shared" si="7"/>
        <v>4.2679733543447451E-2</v>
      </c>
      <c r="AU48" s="3">
        <v>12.822150619631856</v>
      </c>
      <c r="AW48" s="1">
        <f t="shared" si="8"/>
        <v>0.87594578791069366</v>
      </c>
      <c r="AX48" s="1">
        <f t="shared" si="23"/>
        <v>0.86136133497515366</v>
      </c>
      <c r="AY48" s="1">
        <f t="shared" si="9"/>
        <v>0.54308638850463009</v>
      </c>
      <c r="AZ48" s="1">
        <f t="shared" si="10"/>
        <v>0.33285939940606357</v>
      </c>
      <c r="BA48" s="1">
        <f t="shared" si="11"/>
        <v>0.31827494647052362</v>
      </c>
      <c r="BB48" s="3">
        <f t="shared" si="12"/>
        <v>18.180008013497748</v>
      </c>
      <c r="BC48" s="3">
        <v>0</v>
      </c>
      <c r="BD48" s="3">
        <v>0</v>
      </c>
      <c r="BE48" s="24">
        <v>1</v>
      </c>
      <c r="BG48" s="1">
        <f t="shared" si="13"/>
        <v>0.97247971103661779</v>
      </c>
      <c r="BH48" s="1">
        <f t="shared" si="14"/>
        <v>0.95628797317780512</v>
      </c>
      <c r="BI48" s="3"/>
    </row>
    <row r="49" spans="1:61">
      <c r="A49">
        <v>1970</v>
      </c>
      <c r="B49" s="3">
        <f t="shared" si="0"/>
        <v>90.422750407252323</v>
      </c>
      <c r="C49" s="3">
        <f t="shared" si="1"/>
        <v>17.805240938511318</v>
      </c>
      <c r="D49" s="3">
        <v>63.182899999999997</v>
      </c>
      <c r="E49" s="3">
        <v>25.481560000000002</v>
      </c>
      <c r="F49" s="3">
        <f t="shared" si="15"/>
        <v>16.099988573240001</v>
      </c>
      <c r="G49" s="69">
        <v>0.70638424550055234</v>
      </c>
      <c r="H49" s="3">
        <f t="shared" si="16"/>
        <v>0.11372778280875652</v>
      </c>
      <c r="I49" s="7">
        <f t="shared" si="2"/>
        <v>0.11372778280875652</v>
      </c>
      <c r="J49" s="21">
        <f t="shared" si="17"/>
        <v>0.1199843766005847</v>
      </c>
      <c r="K49" s="21"/>
      <c r="O49"/>
      <c r="P49" s="23"/>
      <c r="Q49" s="32">
        <f t="shared" si="3"/>
        <v>4.3216557467327471E-2</v>
      </c>
      <c r="R49" s="7">
        <f t="shared" si="18"/>
        <v>4.9473151259155648E-2</v>
      </c>
      <c r="S49" s="27"/>
      <c r="T49">
        <f>USA!Z57*G49</f>
        <v>2.3663872224268503</v>
      </c>
      <c r="U49">
        <v>1</v>
      </c>
      <c r="V49">
        <v>0</v>
      </c>
      <c r="W49">
        <v>0</v>
      </c>
      <c r="X49">
        <v>0</v>
      </c>
      <c r="Y49" s="23"/>
      <c r="Z49" s="3">
        <v>0.62</v>
      </c>
      <c r="AA49" s="3">
        <f t="shared" si="19"/>
        <v>5.2272764790234676E-2</v>
      </c>
      <c r="AB49" s="2">
        <v>0.191</v>
      </c>
      <c r="AC49" s="2">
        <f t="shared" si="4"/>
        <v>1.8238460551194373E-2</v>
      </c>
      <c r="AD49" s="3">
        <f t="shared" si="5"/>
        <v>7.0511225341429049E-2</v>
      </c>
      <c r="AF49" s="3"/>
      <c r="AM49"/>
      <c r="AN49" s="9">
        <v>1970</v>
      </c>
      <c r="AO49" s="1">
        <f t="shared" si="6"/>
        <v>0.11372778280875652</v>
      </c>
      <c r="AP49" s="1">
        <f t="shared" si="20"/>
        <v>5.2272764790234676E-2</v>
      </c>
      <c r="AQ49" s="1">
        <f t="shared" si="21"/>
        <v>1.8238460551194373E-2</v>
      </c>
      <c r="AR49" s="1">
        <f t="shared" si="22"/>
        <v>7.0511225341429049E-2</v>
      </c>
      <c r="AS49" s="1">
        <f t="shared" si="7"/>
        <v>4.3216557467327471E-2</v>
      </c>
      <c r="AU49" s="3">
        <v>13.173534220515508</v>
      </c>
      <c r="AW49" s="1">
        <f t="shared" si="8"/>
        <v>0.8633050243392173</v>
      </c>
      <c r="AX49" s="1">
        <f t="shared" si="23"/>
        <v>0.8523144812468475</v>
      </c>
      <c r="AY49" s="1">
        <f t="shared" si="9"/>
        <v>0.53524911509031481</v>
      </c>
      <c r="AZ49" s="1">
        <f t="shared" si="10"/>
        <v>0.32805590924890249</v>
      </c>
      <c r="BA49" s="1">
        <f t="shared" si="11"/>
        <v>0.31706536615653275</v>
      </c>
      <c r="BB49" s="3">
        <f t="shared" si="12"/>
        <v>17.963191827001218</v>
      </c>
      <c r="BC49" s="3">
        <v>0</v>
      </c>
      <c r="BD49" s="3">
        <v>0</v>
      </c>
      <c r="BE49" s="24">
        <v>1</v>
      </c>
      <c r="BG49" s="1">
        <f t="shared" si="13"/>
        <v>0.95844586753290917</v>
      </c>
      <c r="BH49" s="1">
        <f t="shared" si="14"/>
        <v>0.94624410765448497</v>
      </c>
      <c r="BI49" s="3"/>
    </row>
    <row r="50" spans="1:61">
      <c r="A50">
        <v>1971</v>
      </c>
      <c r="B50" s="3">
        <f t="shared" si="0"/>
        <v>99.121855518769564</v>
      </c>
      <c r="C50" s="3">
        <f t="shared" si="1"/>
        <v>18.563021376325832</v>
      </c>
      <c r="D50" s="3">
        <v>69.261399999999995</v>
      </c>
      <c r="E50" s="3">
        <v>26.566040000000001</v>
      </c>
      <c r="F50" s="3">
        <f t="shared" si="15"/>
        <v>18.40001122856</v>
      </c>
      <c r="G50" s="69">
        <v>0.70375210445142966</v>
      </c>
      <c r="H50" s="3">
        <f t="shared" si="16"/>
        <v>0.12949046624029037</v>
      </c>
      <c r="I50" s="7">
        <f t="shared" si="2"/>
        <v>0.12949046624029037</v>
      </c>
      <c r="J50" s="21">
        <f t="shared" si="17"/>
        <v>0.13097461346036612</v>
      </c>
      <c r="K50" s="21"/>
      <c r="O50"/>
      <c r="P50" s="23"/>
      <c r="Q50" s="32">
        <f t="shared" si="3"/>
        <v>4.9206377171310337E-2</v>
      </c>
      <c r="R50" s="7">
        <f t="shared" si="18"/>
        <v>5.0690524391386091E-2</v>
      </c>
      <c r="S50" s="27"/>
      <c r="T50">
        <f>USA!Z58*G50</f>
        <v>2.5053574918470898</v>
      </c>
      <c r="U50">
        <v>1</v>
      </c>
      <c r="V50">
        <v>0</v>
      </c>
      <c r="W50">
        <v>0</v>
      </c>
      <c r="X50">
        <v>0</v>
      </c>
      <c r="Y50" s="23"/>
      <c r="Z50" s="3">
        <v>0.62</v>
      </c>
      <c r="AA50" s="3">
        <f t="shared" si="19"/>
        <v>5.951777584320718E-2</v>
      </c>
      <c r="AB50" s="2">
        <v>0.191</v>
      </c>
      <c r="AC50" s="2">
        <f t="shared" si="4"/>
        <v>2.076631322577285E-2</v>
      </c>
      <c r="AD50" s="3">
        <f t="shared" si="5"/>
        <v>8.0284089068980033E-2</v>
      </c>
      <c r="AF50" s="3"/>
      <c r="AM50"/>
      <c r="AN50" s="9">
        <v>1971</v>
      </c>
      <c r="AO50" s="1">
        <f t="shared" si="6"/>
        <v>0.12949046624029037</v>
      </c>
      <c r="AP50" s="1">
        <f t="shared" si="20"/>
        <v>5.951777584320718E-2</v>
      </c>
      <c r="AQ50" s="1">
        <f t="shared" si="21"/>
        <v>2.076631322577285E-2</v>
      </c>
      <c r="AR50" s="1">
        <f t="shared" si="22"/>
        <v>8.0284089068980033E-2</v>
      </c>
      <c r="AS50" s="1">
        <f t="shared" si="7"/>
        <v>4.9206377171310337E-2</v>
      </c>
      <c r="AU50" s="3">
        <v>14.026620811889305</v>
      </c>
      <c r="AW50" s="1">
        <f t="shared" si="8"/>
        <v>0.92317649401722679</v>
      </c>
      <c r="AX50" s="1">
        <f t="shared" si="23"/>
        <v>0.88886717748401978</v>
      </c>
      <c r="AY50" s="1">
        <f t="shared" si="9"/>
        <v>0.57236942629068066</v>
      </c>
      <c r="AZ50" s="1">
        <f t="shared" si="10"/>
        <v>0.35080706772654613</v>
      </c>
      <c r="BA50" s="1">
        <f t="shared" si="11"/>
        <v>0.31649775119333912</v>
      </c>
      <c r="BB50" s="3">
        <f t="shared" si="12"/>
        <v>17.861447353902143</v>
      </c>
      <c r="BC50" s="3">
        <v>0</v>
      </c>
      <c r="BD50" s="3">
        <v>0</v>
      </c>
      <c r="BE50" s="24">
        <v>1</v>
      </c>
      <c r="BG50" s="1">
        <f t="shared" si="13"/>
        <v>1.0249154942328487</v>
      </c>
      <c r="BH50" s="1">
        <f t="shared" si="14"/>
        <v>0.98682510703244963</v>
      </c>
      <c r="BI50" s="3"/>
    </row>
    <row r="51" spans="1:61">
      <c r="A51">
        <v>1972</v>
      </c>
      <c r="B51" s="3">
        <f t="shared" si="0"/>
        <v>90.109619832538186</v>
      </c>
      <c r="C51" s="3">
        <f t="shared" si="1"/>
        <v>19.17664269444656</v>
      </c>
      <c r="D51" s="3">
        <v>62.964100000000002</v>
      </c>
      <c r="E51" s="3">
        <v>27.444210000000002</v>
      </c>
      <c r="F51" s="3">
        <f t="shared" si="15"/>
        <v>17.279999828610002</v>
      </c>
      <c r="G51" s="69">
        <v>0.69736264512515689</v>
      </c>
      <c r="H51" s="3">
        <f t="shared" si="16"/>
        <v>0.12050426388241728</v>
      </c>
      <c r="I51" s="7">
        <f t="shared" si="2"/>
        <v>0.12050426388241728</v>
      </c>
      <c r="J51" s="21">
        <f t="shared" si="17"/>
        <v>0.12399886728900414</v>
      </c>
      <c r="K51" s="21"/>
      <c r="O51"/>
      <c r="P51" s="23"/>
      <c r="Q51" s="32">
        <f t="shared" si="3"/>
        <v>4.6996662914142742E-2</v>
      </c>
      <c r="R51" s="7">
        <f t="shared" si="18"/>
        <v>5.0491266320729603E-2</v>
      </c>
      <c r="S51" s="27"/>
      <c r="T51">
        <f>USA!Z59*G51</f>
        <v>2.4826110166455586</v>
      </c>
      <c r="U51">
        <v>1</v>
      </c>
      <c r="V51">
        <v>0</v>
      </c>
      <c r="W51">
        <v>0</v>
      </c>
      <c r="X51">
        <v>0</v>
      </c>
      <c r="Y51" s="23"/>
      <c r="Z51" s="3">
        <v>0.61</v>
      </c>
      <c r="AA51" s="3">
        <f t="shared" si="19"/>
        <v>5.4182399959423401E-2</v>
      </c>
      <c r="AB51" s="2">
        <v>0.191</v>
      </c>
      <c r="AC51" s="2">
        <f t="shared" si="4"/>
        <v>1.9325201008851135E-2</v>
      </c>
      <c r="AD51" s="3">
        <f t="shared" si="5"/>
        <v>7.3507600968274536E-2</v>
      </c>
      <c r="AF51" s="3"/>
      <c r="AM51"/>
      <c r="AN51" s="9">
        <v>1972</v>
      </c>
      <c r="AO51" s="1">
        <f t="shared" si="6"/>
        <v>0.12050426388241728</v>
      </c>
      <c r="AP51" s="1">
        <f t="shared" si="20"/>
        <v>5.4182399959423401E-2</v>
      </c>
      <c r="AQ51" s="1">
        <f t="shared" si="21"/>
        <v>1.9325201008851135E-2</v>
      </c>
      <c r="AR51" s="1">
        <f t="shared" si="22"/>
        <v>7.3507600968274536E-2</v>
      </c>
      <c r="AS51" s="1">
        <f t="shared" si="7"/>
        <v>4.6996662914142742E-2</v>
      </c>
      <c r="AU51" s="3">
        <v>14.961142600020725</v>
      </c>
      <c r="AW51" s="1">
        <f t="shared" si="8"/>
        <v>0.80544826758251975</v>
      </c>
      <c r="AX51" s="1">
        <f t="shared" si="23"/>
        <v>0.80074879470328386</v>
      </c>
      <c r="AY51" s="1">
        <f t="shared" si="9"/>
        <v>0.491323443225337</v>
      </c>
      <c r="AZ51" s="1">
        <f t="shared" si="10"/>
        <v>0.31412482435718275</v>
      </c>
      <c r="BA51" s="1">
        <f t="shared" si="11"/>
        <v>0.30942535147794686</v>
      </c>
      <c r="BB51" s="3">
        <f t="shared" si="12"/>
        <v>16.593726047649056</v>
      </c>
      <c r="BC51" s="3">
        <v>0</v>
      </c>
      <c r="BD51" s="3">
        <v>0</v>
      </c>
      <c r="BE51" s="24">
        <v>1</v>
      </c>
      <c r="BG51" s="1">
        <f t="shared" si="13"/>
        <v>0.89421298592219745</v>
      </c>
      <c r="BH51" s="1">
        <f t="shared" si="14"/>
        <v>0.88899560593053795</v>
      </c>
      <c r="BI51" s="3"/>
    </row>
    <row r="52" spans="1:61">
      <c r="A52">
        <v>1973</v>
      </c>
      <c r="B52" s="3">
        <f t="shared" si="0"/>
        <v>117.8235361597641</v>
      </c>
      <c r="C52" s="3">
        <f t="shared" si="1"/>
        <v>20.369443941469338</v>
      </c>
      <c r="D52" s="3">
        <v>82.3292</v>
      </c>
      <c r="E52" s="3">
        <v>29.151260000000001</v>
      </c>
      <c r="F52" s="3">
        <f t="shared" si="15"/>
        <v>23.999999147920004</v>
      </c>
      <c r="G52" s="69">
        <v>0.6426746589569321</v>
      </c>
      <c r="H52" s="3">
        <f t="shared" si="16"/>
        <v>0.15424191267356149</v>
      </c>
      <c r="I52" s="7">
        <f t="shared" si="2"/>
        <v>0.15424191267356149</v>
      </c>
      <c r="J52" s="21">
        <f t="shared" si="17"/>
        <v>0.17261551235984784</v>
      </c>
      <c r="K52" s="21"/>
      <c r="O52"/>
      <c r="P52" s="23"/>
      <c r="Q52" s="32">
        <f t="shared" si="3"/>
        <v>7.0951279829838287E-2</v>
      </c>
      <c r="R52" s="7">
        <f t="shared" si="18"/>
        <v>8.9324879516124625E-2</v>
      </c>
      <c r="S52" s="27"/>
      <c r="T52">
        <f>USA!Z60*G52</f>
        <v>2.4871509301633274</v>
      </c>
      <c r="U52">
        <v>0</v>
      </c>
      <c r="V52">
        <v>0</v>
      </c>
      <c r="W52">
        <v>0</v>
      </c>
      <c r="X52">
        <v>0</v>
      </c>
      <c r="Y52" s="23"/>
      <c r="Z52" s="3">
        <v>0.54</v>
      </c>
      <c r="AA52" s="3">
        <f t="shared" si="19"/>
        <v>5.8554944077434168E-2</v>
      </c>
      <c r="AB52" s="2">
        <v>0.191</v>
      </c>
      <c r="AC52" s="2">
        <f t="shared" si="4"/>
        <v>2.4735688766289038E-2</v>
      </c>
      <c r="AD52" s="3">
        <f t="shared" si="5"/>
        <v>8.3290632843723206E-2</v>
      </c>
      <c r="AF52" s="3"/>
      <c r="AM52"/>
      <c r="AN52" s="9">
        <v>1973</v>
      </c>
      <c r="AO52" s="1">
        <f t="shared" si="6"/>
        <v>0.15424191267356149</v>
      </c>
      <c r="AP52" s="1">
        <f t="shared" si="20"/>
        <v>5.8554944077434168E-2</v>
      </c>
      <c r="AQ52" s="1">
        <f t="shared" si="21"/>
        <v>2.4735688766289038E-2</v>
      </c>
      <c r="AR52" s="1">
        <f t="shared" si="22"/>
        <v>8.3290632843723206E-2</v>
      </c>
      <c r="AS52" s="1">
        <f t="shared" si="7"/>
        <v>7.0951279829838287E-2</v>
      </c>
      <c r="AU52" s="3">
        <v>16.570135688711431</v>
      </c>
      <c r="AW52" s="1">
        <f t="shared" si="8"/>
        <v>0.93084278590814629</v>
      </c>
      <c r="AX52" s="1">
        <f t="shared" si="23"/>
        <v>0.92103087061546862</v>
      </c>
      <c r="AY52" s="1">
        <f t="shared" si="9"/>
        <v>0.50265510439039895</v>
      </c>
      <c r="AZ52" s="1">
        <f>AW52-AY52</f>
        <v>0.42818768151774733</v>
      </c>
      <c r="BA52" s="1">
        <f t="shared" si="11"/>
        <v>0.41837576622506967</v>
      </c>
      <c r="BB52" s="3">
        <f t="shared" si="12"/>
        <v>15.009840455668227</v>
      </c>
      <c r="BC52" s="24">
        <v>1</v>
      </c>
      <c r="BD52" s="3">
        <v>0</v>
      </c>
      <c r="BE52" s="24">
        <v>1</v>
      </c>
      <c r="BG52" s="1">
        <f t="shared" si="13"/>
        <v>1.0334266526009781</v>
      </c>
      <c r="BH52" s="1">
        <f t="shared" si="14"/>
        <v>1.0225334116262161</v>
      </c>
      <c r="BI52" s="3"/>
    </row>
    <row r="53" spans="1:61">
      <c r="A53">
        <v>1974</v>
      </c>
      <c r="B53" s="3">
        <f t="shared" si="0"/>
        <v>145.64149541560846</v>
      </c>
      <c r="C53" s="3">
        <f t="shared" si="1"/>
        <v>22.617266903639468</v>
      </c>
      <c r="D53" s="3">
        <v>101.767</v>
      </c>
      <c r="E53" s="3">
        <v>32.368180000000002</v>
      </c>
      <c r="F53" s="3">
        <f t="shared" si="15"/>
        <v>32.940125740600003</v>
      </c>
      <c r="G53" s="69">
        <v>0.63469918748412724</v>
      </c>
      <c r="H53" s="3">
        <f t="shared" si="16"/>
        <v>0.20907071043183806</v>
      </c>
      <c r="I53" s="7">
        <f t="shared" si="2"/>
        <v>0.20907071043183806</v>
      </c>
      <c r="J53" s="21">
        <f t="shared" si="17"/>
        <v>0.22989538035123958</v>
      </c>
      <c r="K53" s="21"/>
      <c r="O53"/>
      <c r="P53" s="23"/>
      <c r="Q53" s="32">
        <f t="shared" si="3"/>
        <v>0.11498889073751092</v>
      </c>
      <c r="R53" s="7">
        <f t="shared" si="18"/>
        <v>0.13581356065691244</v>
      </c>
      <c r="S53" s="27"/>
      <c r="T53">
        <f>USA!Z61*G53</f>
        <v>7.7941060223050824</v>
      </c>
      <c r="U53">
        <v>0</v>
      </c>
      <c r="V53">
        <v>0</v>
      </c>
      <c r="W53">
        <v>0</v>
      </c>
      <c r="X53">
        <v>0</v>
      </c>
      <c r="Y53" s="23"/>
      <c r="Z53" s="3">
        <v>0.45</v>
      </c>
      <c r="AA53" s="3">
        <f t="shared" si="19"/>
        <v>6.0553267475619267E-2</v>
      </c>
      <c r="AB53" s="2">
        <v>0.191</v>
      </c>
      <c r="AC53" s="2">
        <f t="shared" si="4"/>
        <v>3.3528552218707867E-2</v>
      </c>
      <c r="AD53" s="3">
        <f t="shared" si="5"/>
        <v>9.4081819694327135E-2</v>
      </c>
      <c r="AF53" s="3"/>
      <c r="AM53"/>
      <c r="AN53" s="9">
        <v>1974</v>
      </c>
      <c r="AO53" s="1">
        <f t="shared" si="6"/>
        <v>0.20907071043183806</v>
      </c>
      <c r="AP53" s="1">
        <f t="shared" si="20"/>
        <v>6.0553267475619267E-2</v>
      </c>
      <c r="AQ53" s="1">
        <f t="shared" si="21"/>
        <v>3.3528552218707867E-2</v>
      </c>
      <c r="AR53" s="1">
        <f t="shared" si="22"/>
        <v>9.4081819694327135E-2</v>
      </c>
      <c r="AS53" s="1">
        <f t="shared" si="7"/>
        <v>0.11498889073751092</v>
      </c>
      <c r="AU53" s="3">
        <v>19.376518492480788</v>
      </c>
      <c r="AW53" s="1">
        <f t="shared" si="8"/>
        <v>1.0789900699290722</v>
      </c>
      <c r="AX53" s="1">
        <f t="shared" si="23"/>
        <v>1.0445895104643923</v>
      </c>
      <c r="AY53" s="1">
        <f t="shared" si="9"/>
        <v>0.48554553146808255</v>
      </c>
      <c r="AZ53" s="1">
        <f t="shared" ref="AZ53:AZ96" si="24">AW53-AY53</f>
        <v>0.59344453846098966</v>
      </c>
      <c r="BA53" s="1">
        <f t="shared" si="11"/>
        <v>0.55904397899630975</v>
      </c>
      <c r="BB53" s="3">
        <f t="shared" si="12"/>
        <v>40.224491439623932</v>
      </c>
      <c r="BC53" s="24">
        <v>1</v>
      </c>
      <c r="BD53" s="3">
        <v>0</v>
      </c>
      <c r="BE53" s="24">
        <v>1</v>
      </c>
      <c r="BG53" s="1">
        <f t="shared" si="13"/>
        <v>1.1979005617673959</v>
      </c>
      <c r="BH53" s="1">
        <f t="shared" si="14"/>
        <v>1.1597088761751815</v>
      </c>
      <c r="BI53" s="3"/>
    </row>
    <row r="54" spans="1:61">
      <c r="A54">
        <v>1975</v>
      </c>
      <c r="B54" s="3">
        <f t="shared" si="0"/>
        <v>127.98453744162184</v>
      </c>
      <c r="C54" s="3">
        <f t="shared" si="1"/>
        <v>24.682660206706046</v>
      </c>
      <c r="D54" s="3">
        <v>89.429199999999994</v>
      </c>
      <c r="E54" s="3">
        <v>35.324019999999997</v>
      </c>
      <c r="F54" s="3">
        <f t="shared" si="15"/>
        <v>31.589988493839996</v>
      </c>
      <c r="G54" s="69">
        <v>0.61870787943616679</v>
      </c>
      <c r="H54" s="3">
        <f t="shared" si="16"/>
        <v>0.19544974792436651</v>
      </c>
      <c r="I54" s="7">
        <f t="shared" si="2"/>
        <v>0.19544974792436651</v>
      </c>
      <c r="J54" s="21">
        <f t="shared" si="17"/>
        <v>0.21829597652422372</v>
      </c>
      <c r="K54" s="21"/>
      <c r="O54"/>
      <c r="P54" s="23"/>
      <c r="Q54" s="32">
        <f t="shared" si="3"/>
        <v>0.11336085379613257</v>
      </c>
      <c r="R54" s="7">
        <f t="shared" si="18"/>
        <v>0.13620708239598978</v>
      </c>
      <c r="S54" s="27"/>
      <c r="T54">
        <f>USA!Z62*G54</f>
        <v>7.8390288324562327</v>
      </c>
      <c r="U54">
        <v>0</v>
      </c>
      <c r="V54">
        <v>0</v>
      </c>
      <c r="W54">
        <v>0</v>
      </c>
      <c r="X54">
        <v>0</v>
      </c>
      <c r="Y54" s="23"/>
      <c r="Z54" s="3">
        <v>0.42</v>
      </c>
      <c r="AA54" s="3">
        <f t="shared" si="19"/>
        <v>5.0744728004343084E-2</v>
      </c>
      <c r="AB54" s="2">
        <v>0.191</v>
      </c>
      <c r="AC54" s="2">
        <f t="shared" si="4"/>
        <v>3.1344166123890849E-2</v>
      </c>
      <c r="AD54" s="3">
        <f t="shared" si="5"/>
        <v>8.2088894128233933E-2</v>
      </c>
      <c r="AF54" s="3"/>
      <c r="AM54"/>
      <c r="AN54" s="9">
        <v>1975</v>
      </c>
      <c r="AO54" s="1">
        <f t="shared" si="6"/>
        <v>0.19544974792436651</v>
      </c>
      <c r="AP54" s="1">
        <f t="shared" si="20"/>
        <v>5.0744728004343084E-2</v>
      </c>
      <c r="AQ54" s="1">
        <f t="shared" si="21"/>
        <v>3.1344166123890849E-2</v>
      </c>
      <c r="AR54" s="1">
        <f t="shared" si="22"/>
        <v>8.2088894128233933E-2</v>
      </c>
      <c r="AS54" s="1">
        <f t="shared" si="7"/>
        <v>0.11336085379613257</v>
      </c>
      <c r="AU54" s="3">
        <v>22.827745769598661</v>
      </c>
      <c r="AW54" s="1">
        <f t="shared" si="8"/>
        <v>0.85619381737053035</v>
      </c>
      <c r="AX54" s="1">
        <f t="shared" si="23"/>
        <v>0.88581634799536135</v>
      </c>
      <c r="AY54" s="1">
        <f t="shared" si="9"/>
        <v>0.35960140329562268</v>
      </c>
      <c r="AZ54" s="1">
        <f t="shared" si="24"/>
        <v>0.49659241407490767</v>
      </c>
      <c r="BA54" s="1">
        <f t="shared" si="11"/>
        <v>0.52621494469973862</v>
      </c>
      <c r="BB54" s="3">
        <f t="shared" si="12"/>
        <v>34.339916483983394</v>
      </c>
      <c r="BC54" s="24">
        <v>1</v>
      </c>
      <c r="BD54" s="3">
        <v>0</v>
      </c>
      <c r="BE54" s="24">
        <v>1</v>
      </c>
      <c r="BG54" s="1">
        <f t="shared" si="13"/>
        <v>0.95055096742210987</v>
      </c>
      <c r="BH54" s="1">
        <f t="shared" si="14"/>
        <v>0.9834380597739325</v>
      </c>
      <c r="BI54" s="3"/>
    </row>
    <row r="55" spans="1:61">
      <c r="A55">
        <v>1976</v>
      </c>
      <c r="B55" s="3">
        <f t="shared" si="0"/>
        <v>164.45222792951535</v>
      </c>
      <c r="C55" s="3">
        <f t="shared" si="1"/>
        <v>26.098712089869402</v>
      </c>
      <c r="D55" s="3">
        <v>114.911</v>
      </c>
      <c r="E55" s="3">
        <v>37.350569999999998</v>
      </c>
      <c r="F55" s="3">
        <f t="shared" si="15"/>
        <v>42.919913492699997</v>
      </c>
      <c r="G55" s="69">
        <v>0.64994878677639245</v>
      </c>
      <c r="H55" s="3">
        <f t="shared" si="16"/>
        <v>0.27895745703128083</v>
      </c>
      <c r="I55" s="7">
        <f t="shared" si="2"/>
        <v>0.27895745703128083</v>
      </c>
      <c r="J55" s="21">
        <f t="shared" si="17"/>
        <v>0.26890611191603242</v>
      </c>
      <c r="K55" s="21"/>
      <c r="O55"/>
      <c r="P55" s="23"/>
      <c r="Q55" s="32">
        <f t="shared" si="3"/>
        <v>0.15342660136720446</v>
      </c>
      <c r="R55" s="7">
        <f t="shared" si="18"/>
        <v>0.14337525625195602</v>
      </c>
      <c r="S55" s="27"/>
      <c r="T55">
        <f>USA!Z63*G55</f>
        <v>8.6573178398615482</v>
      </c>
      <c r="U55">
        <v>0</v>
      </c>
      <c r="V55">
        <v>0</v>
      </c>
      <c r="W55">
        <v>0</v>
      </c>
      <c r="X55">
        <v>0</v>
      </c>
      <c r="Y55" s="23"/>
      <c r="Z55" s="3">
        <v>0.45</v>
      </c>
      <c r="AA55" s="3">
        <f t="shared" si="19"/>
        <v>8.0794605208178272E-2</v>
      </c>
      <c r="AB55" s="2">
        <v>0.191</v>
      </c>
      <c r="AC55" s="2">
        <f t="shared" si="4"/>
        <v>4.4736250455898102E-2</v>
      </c>
      <c r="AD55" s="3">
        <f t="shared" si="5"/>
        <v>0.12553085566407637</v>
      </c>
      <c r="AF55" s="3"/>
      <c r="AM55"/>
      <c r="AN55" s="9">
        <v>1976</v>
      </c>
      <c r="AO55" s="1">
        <f t="shared" si="6"/>
        <v>0.27895745703128083</v>
      </c>
      <c r="AP55" s="1">
        <f t="shared" si="20"/>
        <v>8.0794605208178272E-2</v>
      </c>
      <c r="AQ55" s="1">
        <f t="shared" si="21"/>
        <v>4.4736250455898102E-2</v>
      </c>
      <c r="AR55" s="1">
        <f t="shared" si="22"/>
        <v>0.12553085566407637</v>
      </c>
      <c r="AS55" s="1">
        <f t="shared" si="7"/>
        <v>0.15342660136720446</v>
      </c>
      <c r="AU55" s="3">
        <v>26.101860862094888</v>
      </c>
      <c r="AW55" s="1">
        <f t="shared" si="8"/>
        <v>1.068726319955152</v>
      </c>
      <c r="AX55" s="1">
        <f t="shared" si="23"/>
        <v>1.0006007178325356</v>
      </c>
      <c r="AY55" s="1">
        <f t="shared" si="9"/>
        <v>0.48092684397981844</v>
      </c>
      <c r="AZ55" s="1">
        <f t="shared" si="24"/>
        <v>0.58779947597533355</v>
      </c>
      <c r="BA55" s="1">
        <f t="shared" si="11"/>
        <v>0.51967387385271724</v>
      </c>
      <c r="BB55" s="3">
        <f t="shared" si="12"/>
        <v>33.167435400874815</v>
      </c>
      <c r="BC55" s="24">
        <v>1</v>
      </c>
      <c r="BD55" s="3">
        <v>0</v>
      </c>
      <c r="BE55" s="24">
        <v>1</v>
      </c>
      <c r="BG55" s="1">
        <f t="shared" si="13"/>
        <v>1.1865056915065351</v>
      </c>
      <c r="BH55" s="1">
        <f t="shared" si="14"/>
        <v>1.1108722827034412</v>
      </c>
      <c r="BI55" s="3"/>
    </row>
    <row r="56" spans="1:61">
      <c r="A56">
        <v>1977</v>
      </c>
      <c r="B56" s="3">
        <f t="shared" si="0"/>
        <v>156.73845371695009</v>
      </c>
      <c r="C56" s="3">
        <f t="shared" si="1"/>
        <v>27.791594761847083</v>
      </c>
      <c r="D56" s="3">
        <v>109.521</v>
      </c>
      <c r="E56" s="3">
        <v>39.773299999999999</v>
      </c>
      <c r="F56" s="3">
        <f t="shared" si="15"/>
        <v>43.560115893000003</v>
      </c>
      <c r="G56" s="69">
        <v>0.67769979464254182</v>
      </c>
      <c r="H56" s="3">
        <f t="shared" si="16"/>
        <v>0.29520681595291426</v>
      </c>
      <c r="I56" s="7">
        <f t="shared" si="2"/>
        <v>0.29520681595291426</v>
      </c>
      <c r="J56" s="21">
        <f t="shared" si="17"/>
        <v>0.29153460266262743</v>
      </c>
      <c r="K56" s="21"/>
      <c r="O56"/>
      <c r="P56" s="23"/>
      <c r="Q56" s="32">
        <f t="shared" si="3"/>
        <v>0.15645961245504456</v>
      </c>
      <c r="R56" s="7">
        <f t="shared" si="18"/>
        <v>0.15278739916475773</v>
      </c>
      <c r="S56" s="27"/>
      <c r="T56">
        <f>USA!Z64*G56</f>
        <v>9.7317690510668999</v>
      </c>
      <c r="U56">
        <v>0</v>
      </c>
      <c r="V56">
        <v>0</v>
      </c>
      <c r="W56">
        <v>0</v>
      </c>
      <c r="X56">
        <v>0</v>
      </c>
      <c r="Y56" s="23"/>
      <c r="Z56" s="3">
        <v>0.47</v>
      </c>
      <c r="AA56" s="3">
        <f t="shared" si="19"/>
        <v>9.140505249282635E-2</v>
      </c>
      <c r="AB56" s="2">
        <v>0.191</v>
      </c>
      <c r="AC56" s="2">
        <f t="shared" si="4"/>
        <v>4.7342151005043347E-2</v>
      </c>
      <c r="AD56" s="3">
        <f t="shared" si="5"/>
        <v>0.1387472034978697</v>
      </c>
      <c r="AF56" s="3"/>
      <c r="AM56"/>
      <c r="AN56" s="9">
        <v>1977</v>
      </c>
      <c r="AO56" s="1">
        <f t="shared" si="6"/>
        <v>0.29520681595291426</v>
      </c>
      <c r="AP56" s="1">
        <f t="shared" si="20"/>
        <v>9.140505249282635E-2</v>
      </c>
      <c r="AQ56" s="1">
        <f t="shared" si="21"/>
        <v>4.7342151005043347E-2</v>
      </c>
      <c r="AR56" s="1">
        <f t="shared" si="22"/>
        <v>0.1387472034978697</v>
      </c>
      <c r="AS56" s="1">
        <f t="shared" si="7"/>
        <v>0.15645961245504456</v>
      </c>
      <c r="AU56" s="3">
        <v>29.180144670074753</v>
      </c>
      <c r="AW56" s="1">
        <f t="shared" si="8"/>
        <v>1.0116701589065769</v>
      </c>
      <c r="AX56" s="1">
        <f t="shared" si="23"/>
        <v>0.99618099301531648</v>
      </c>
      <c r="AY56" s="1">
        <f t="shared" si="9"/>
        <v>0.47548497468609108</v>
      </c>
      <c r="AZ56" s="1">
        <f t="shared" si="24"/>
        <v>0.53618518422048578</v>
      </c>
      <c r="BA56" s="1">
        <f t="shared" si="11"/>
        <v>0.52069601832922541</v>
      </c>
      <c r="BB56" s="3">
        <f t="shared" si="12"/>
        <v>33.350653881600408</v>
      </c>
      <c r="BC56" s="24">
        <v>1</v>
      </c>
      <c r="BD56" s="3">
        <v>0</v>
      </c>
      <c r="BE56" s="24">
        <v>1</v>
      </c>
      <c r="BG56" s="1">
        <f t="shared" si="13"/>
        <v>1.1231616355442109</v>
      </c>
      <c r="BH56" s="1">
        <f t="shared" si="14"/>
        <v>1.105965480510394</v>
      </c>
      <c r="BI56" s="3"/>
    </row>
    <row r="57" spans="1:61">
      <c r="A57">
        <v>1978</v>
      </c>
      <c r="B57" s="3">
        <f t="shared" si="0"/>
        <v>161.78174505741015</v>
      </c>
      <c r="C57" s="3">
        <f t="shared" si="1"/>
        <v>29.916940817905406</v>
      </c>
      <c r="D57" s="3">
        <v>113.045</v>
      </c>
      <c r="E57" s="3">
        <v>42.81494</v>
      </c>
      <c r="F57" s="3">
        <f t="shared" si="15"/>
        <v>48.400148922999996</v>
      </c>
      <c r="G57" s="69">
        <v>0.69248519525777308</v>
      </c>
      <c r="H57" s="3">
        <f t="shared" si="16"/>
        <v>0.33516386577448948</v>
      </c>
      <c r="I57" s="7">
        <f t="shared" si="2"/>
        <v>0.33516386577448948</v>
      </c>
      <c r="J57" s="21">
        <f t="shared" si="17"/>
        <v>0.32210790823671365</v>
      </c>
      <c r="K57" s="21"/>
      <c r="O57"/>
      <c r="P57" s="23"/>
      <c r="Q57" s="32">
        <f t="shared" si="3"/>
        <v>0.16758193288724474</v>
      </c>
      <c r="R57" s="7">
        <f t="shared" si="18"/>
        <v>0.15452597534946894</v>
      </c>
      <c r="S57" s="27"/>
      <c r="T57">
        <f>USA!Z65*G57</f>
        <v>9.9302376999964661</v>
      </c>
      <c r="U57">
        <v>0</v>
      </c>
      <c r="V57">
        <v>0</v>
      </c>
      <c r="W57">
        <v>0</v>
      </c>
      <c r="X57">
        <v>0</v>
      </c>
      <c r="Y57" s="23"/>
      <c r="Z57" s="3">
        <v>0.5</v>
      </c>
      <c r="AA57" s="3">
        <f t="shared" si="19"/>
        <v>0.11383189228025273</v>
      </c>
      <c r="AB57" s="2">
        <v>0.191</v>
      </c>
      <c r="AC57" s="2">
        <f t="shared" si="4"/>
        <v>5.3750040606992018E-2</v>
      </c>
      <c r="AD57" s="3">
        <f t="shared" si="5"/>
        <v>0.16758193288724474</v>
      </c>
      <c r="AF57" s="3"/>
      <c r="AM57"/>
      <c r="AN57" s="9">
        <v>1978</v>
      </c>
      <c r="AO57" s="1">
        <f t="shared" si="6"/>
        <v>0.33516386577448948</v>
      </c>
      <c r="AP57" s="1">
        <f t="shared" si="20"/>
        <v>0.11383189228025273</v>
      </c>
      <c r="AQ57" s="1">
        <f t="shared" si="21"/>
        <v>5.3750040606992018E-2</v>
      </c>
      <c r="AR57" s="1">
        <f t="shared" si="22"/>
        <v>0.16758193288724474</v>
      </c>
      <c r="AS57" s="1">
        <f t="shared" si="7"/>
        <v>0.16758193288724474</v>
      </c>
      <c r="AU57" s="3">
        <v>31.456006283400232</v>
      </c>
      <c r="AW57" s="1">
        <f t="shared" si="8"/>
        <v>1.0655003777493524</v>
      </c>
      <c r="AX57" s="1">
        <f t="shared" si="23"/>
        <v>1.0435047340086379</v>
      </c>
      <c r="AY57" s="1">
        <f t="shared" si="9"/>
        <v>0.53275018887467618</v>
      </c>
      <c r="AZ57" s="1">
        <f t="shared" si="24"/>
        <v>0.53275018887467618</v>
      </c>
      <c r="BA57" s="1">
        <f t="shared" si="11"/>
        <v>0.51075454513396168</v>
      </c>
      <c r="BB57" s="3">
        <f t="shared" si="12"/>
        <v>31.568653727147776</v>
      </c>
      <c r="BC57" s="24">
        <v>1</v>
      </c>
      <c r="BD57" s="3">
        <v>0</v>
      </c>
      <c r="BE57" s="24">
        <v>1</v>
      </c>
      <c r="BG57" s="1">
        <f t="shared" si="13"/>
        <v>1.182924233170398</v>
      </c>
      <c r="BH57" s="1">
        <f t="shared" si="14"/>
        <v>1.1585045515368408</v>
      </c>
      <c r="BI57" s="3"/>
    </row>
    <row r="58" spans="1:61">
      <c r="A58">
        <v>1979</v>
      </c>
      <c r="B58" s="3">
        <f t="shared" si="0"/>
        <v>165.52843538922758</v>
      </c>
      <c r="C58" s="3">
        <f t="shared" si="1"/>
        <v>33.287054161079702</v>
      </c>
      <c r="D58" s="3">
        <v>115.663</v>
      </c>
      <c r="E58" s="3">
        <v>47.637999999999998</v>
      </c>
      <c r="F58" s="3">
        <f t="shared" si="15"/>
        <v>55.099539939999993</v>
      </c>
      <c r="G58" s="69">
        <v>0.65514747558331776</v>
      </c>
      <c r="H58" s="3">
        <f t="shared" si="16"/>
        <v>0.36098324497493189</v>
      </c>
      <c r="I58" s="7">
        <f t="shared" si="2"/>
        <v>0.36098324497493189</v>
      </c>
      <c r="J58" s="21">
        <f t="shared" si="17"/>
        <v>0.3710172646213068</v>
      </c>
      <c r="K58" s="21"/>
      <c r="O58"/>
      <c r="P58" s="23"/>
      <c r="Q58" s="32">
        <f t="shared" si="3"/>
        <v>0.18049162248746595</v>
      </c>
      <c r="R58" s="7">
        <f t="shared" si="18"/>
        <v>0.19052564213384088</v>
      </c>
      <c r="S58" s="27"/>
      <c r="T58">
        <f>USA!Z66*G58</f>
        <v>14.039810401750499</v>
      </c>
      <c r="U58">
        <v>0</v>
      </c>
      <c r="V58">
        <v>0</v>
      </c>
      <c r="W58">
        <v>0</v>
      </c>
      <c r="X58">
        <v>0</v>
      </c>
      <c r="Y58" s="23"/>
      <c r="Z58" s="3">
        <v>0.5</v>
      </c>
      <c r="AA58" s="3">
        <f t="shared" si="19"/>
        <v>0.1226009425628547</v>
      </c>
      <c r="AB58" s="2">
        <v>0.191</v>
      </c>
      <c r="AC58" s="2">
        <f t="shared" si="4"/>
        <v>5.7890679924611249E-2</v>
      </c>
      <c r="AD58" s="3">
        <f t="shared" si="5"/>
        <v>0.18049162248746595</v>
      </c>
      <c r="AF58" s="3"/>
      <c r="AM58"/>
      <c r="AN58" s="9">
        <v>1979</v>
      </c>
      <c r="AO58" s="1">
        <f t="shared" si="6"/>
        <v>0.36098324497493189</v>
      </c>
      <c r="AP58" s="1">
        <f t="shared" si="20"/>
        <v>0.1226009425628547</v>
      </c>
      <c r="AQ58" s="1">
        <f t="shared" si="21"/>
        <v>5.7890679924611249E-2</v>
      </c>
      <c r="AR58" s="1">
        <f t="shared" si="22"/>
        <v>0.18049162248746595</v>
      </c>
      <c r="AS58" s="1">
        <f t="shared" si="7"/>
        <v>0.18049162248746595</v>
      </c>
      <c r="AU58" s="3">
        <v>33.804812117378901</v>
      </c>
      <c r="AW58" s="1">
        <f t="shared" si="8"/>
        <v>1.0678457366410032</v>
      </c>
      <c r="AX58" s="1">
        <f t="shared" si="23"/>
        <v>1.1002611445326498</v>
      </c>
      <c r="AY58" s="1">
        <f t="shared" si="9"/>
        <v>0.53392286832050162</v>
      </c>
      <c r="AZ58" s="1">
        <f t="shared" si="24"/>
        <v>0.53392286832050162</v>
      </c>
      <c r="BA58" s="1">
        <f t="shared" si="11"/>
        <v>0.56633827621214816</v>
      </c>
      <c r="BB58" s="3">
        <f t="shared" si="12"/>
        <v>41.531987673827942</v>
      </c>
      <c r="BC58" s="24">
        <v>1</v>
      </c>
      <c r="BD58" s="3">
        <v>0</v>
      </c>
      <c r="BE58" s="24">
        <v>1</v>
      </c>
      <c r="BG58" s="1">
        <f t="shared" si="13"/>
        <v>1.1855280631889999</v>
      </c>
      <c r="BH58" s="1">
        <f t="shared" si="14"/>
        <v>1.2215158228593694</v>
      </c>
      <c r="BI58" s="3"/>
    </row>
    <row r="59" spans="1:61">
      <c r="A59">
        <v>1980</v>
      </c>
      <c r="B59" s="3">
        <f t="shared" si="0"/>
        <v>204.84721696919382</v>
      </c>
      <c r="C59" s="3">
        <f t="shared" si="1"/>
        <v>37.784321185500851</v>
      </c>
      <c r="D59" s="3">
        <v>143.137</v>
      </c>
      <c r="E59" s="3">
        <v>54.074159999999999</v>
      </c>
      <c r="F59" s="3">
        <f t="shared" si="15"/>
        <v>77.400130399199995</v>
      </c>
      <c r="G59" s="69">
        <v>0.62735442073555303</v>
      </c>
      <c r="H59" s="3">
        <f t="shared" si="16"/>
        <v>0.48557313971446381</v>
      </c>
      <c r="I59" s="7">
        <f t="shared" si="2"/>
        <v>0.48557313971446381</v>
      </c>
      <c r="J59" s="21">
        <f t="shared" si="17"/>
        <v>0.49602030124424035</v>
      </c>
      <c r="K59" s="21"/>
      <c r="O59"/>
      <c r="P59" s="23"/>
      <c r="Q59" s="32">
        <f t="shared" si="3"/>
        <v>0.2427865698572319</v>
      </c>
      <c r="R59" s="7">
        <f t="shared" si="18"/>
        <v>0.25323373138700844</v>
      </c>
      <c r="S59" s="27"/>
      <c r="T59">
        <f>USA!Z67*G59</f>
        <v>21.198305876654338</v>
      </c>
      <c r="U59">
        <v>0</v>
      </c>
      <c r="V59">
        <v>0</v>
      </c>
      <c r="W59">
        <v>0</v>
      </c>
      <c r="X59">
        <v>0</v>
      </c>
      <c r="Y59" s="23"/>
      <c r="Z59" s="3">
        <v>0.5</v>
      </c>
      <c r="AA59" s="3">
        <f t="shared" si="19"/>
        <v>0.16491547860159581</v>
      </c>
      <c r="AB59" s="2">
        <v>0.191</v>
      </c>
      <c r="AC59" s="2">
        <f t="shared" si="4"/>
        <v>7.7871091255636099E-2</v>
      </c>
      <c r="AD59" s="3">
        <f t="shared" si="5"/>
        <v>0.2427865698572319</v>
      </c>
      <c r="AF59" s="3"/>
      <c r="AM59"/>
      <c r="AN59" s="9">
        <v>1980</v>
      </c>
      <c r="AO59" s="1">
        <f t="shared" si="6"/>
        <v>0.48557313971446381</v>
      </c>
      <c r="AP59" s="1">
        <f t="shared" si="20"/>
        <v>0.16491547860159581</v>
      </c>
      <c r="AQ59" s="1">
        <f t="shared" si="21"/>
        <v>7.7871091255636099E-2</v>
      </c>
      <c r="AR59" s="1">
        <f t="shared" si="22"/>
        <v>0.2427865698572319</v>
      </c>
      <c r="AS59" s="1">
        <f t="shared" si="7"/>
        <v>0.2427865698572319</v>
      </c>
      <c r="AU59" s="3">
        <v>37.724351624102937</v>
      </c>
      <c r="AW59" s="1">
        <f t="shared" si="8"/>
        <v>1.2871609949797527</v>
      </c>
      <c r="AX59" s="1">
        <f t="shared" si="23"/>
        <v>1.2917079906135052</v>
      </c>
      <c r="AY59" s="1">
        <f t="shared" si="9"/>
        <v>0.64358049748987634</v>
      </c>
      <c r="AZ59" s="1">
        <f t="shared" si="24"/>
        <v>0.64358049748987634</v>
      </c>
      <c r="BA59" s="1">
        <f t="shared" si="11"/>
        <v>0.64812749312362894</v>
      </c>
      <c r="BB59" s="3">
        <f t="shared" si="12"/>
        <v>56.192631454294542</v>
      </c>
      <c r="BC59" s="24">
        <v>1</v>
      </c>
      <c r="BD59" s="3">
        <v>0</v>
      </c>
      <c r="BE59" s="24">
        <v>1</v>
      </c>
      <c r="BG59" s="1">
        <f t="shared" si="13"/>
        <v>1.4290130390844866</v>
      </c>
      <c r="BH59" s="1">
        <f t="shared" si="14"/>
        <v>1.4340611380205446</v>
      </c>
      <c r="BI59" s="3"/>
    </row>
    <row r="60" spans="1:61">
      <c r="A60">
        <v>1981</v>
      </c>
      <c r="B60" s="3">
        <f t="shared" si="0"/>
        <v>184.97172601110356</v>
      </c>
      <c r="C60" s="3">
        <f t="shared" si="1"/>
        <v>41.681969842500045</v>
      </c>
      <c r="D60" s="3">
        <v>129.249</v>
      </c>
      <c r="E60" s="3">
        <v>59.652189999999997</v>
      </c>
      <c r="F60" s="3">
        <f t="shared" si="15"/>
        <v>77.099859053099991</v>
      </c>
      <c r="G60" s="69">
        <v>0.72577294966303529</v>
      </c>
      <c r="H60" s="3">
        <f t="shared" si="16"/>
        <v>0.55956992123572658</v>
      </c>
      <c r="I60" s="7">
        <f t="shared" si="2"/>
        <v>0.55956992123572658</v>
      </c>
      <c r="J60" s="21">
        <f t="shared" si="17"/>
        <v>0.57880773428493582</v>
      </c>
      <c r="K60" s="21"/>
      <c r="O60"/>
      <c r="P60" s="23"/>
      <c r="Q60" s="32">
        <f t="shared" si="3"/>
        <v>0.27978496061786329</v>
      </c>
      <c r="R60" s="7">
        <f t="shared" si="18"/>
        <v>0.29902277366707253</v>
      </c>
      <c r="S60" s="27"/>
      <c r="T60">
        <f>USA!Z68*G60</f>
        <v>26.425393097231112</v>
      </c>
      <c r="U60">
        <v>0</v>
      </c>
      <c r="V60">
        <v>0</v>
      </c>
      <c r="W60">
        <v>0</v>
      </c>
      <c r="X60">
        <v>0</v>
      </c>
      <c r="Y60" s="23"/>
      <c r="Z60" s="3">
        <v>0.5</v>
      </c>
      <c r="AA60" s="3">
        <f t="shared" si="19"/>
        <v>0.19004704713673501</v>
      </c>
      <c r="AB60" s="2">
        <v>0.191</v>
      </c>
      <c r="AC60" s="2">
        <f t="shared" si="4"/>
        <v>8.9737913481128279E-2</v>
      </c>
      <c r="AD60" s="3">
        <f t="shared" si="5"/>
        <v>0.27978496061786329</v>
      </c>
      <c r="AF60" s="3"/>
      <c r="AM60"/>
      <c r="AN60" s="9">
        <v>1981</v>
      </c>
      <c r="AO60" s="1">
        <f t="shared" si="6"/>
        <v>0.55956992123572658</v>
      </c>
      <c r="AP60" s="1">
        <f t="shared" si="20"/>
        <v>0.19004704713673501</v>
      </c>
      <c r="AQ60" s="1">
        <f t="shared" si="21"/>
        <v>8.9737913481128279E-2</v>
      </c>
      <c r="AR60" s="1">
        <f t="shared" si="22"/>
        <v>0.27978496061786329</v>
      </c>
      <c r="AS60" s="1">
        <f t="shared" si="7"/>
        <v>0.27978496061786329</v>
      </c>
      <c r="AU60" s="3">
        <v>41.989372507844955</v>
      </c>
      <c r="AW60" s="1">
        <f t="shared" si="8"/>
        <v>1.3326465431965697</v>
      </c>
      <c r="AX60" s="1">
        <f t="shared" si="23"/>
        <v>1.3520570648768879</v>
      </c>
      <c r="AY60" s="1">
        <f t="shared" si="9"/>
        <v>0.66632327159828486</v>
      </c>
      <c r="AZ60" s="1">
        <f t="shared" si="24"/>
        <v>0.66632327159828486</v>
      </c>
      <c r="BA60" s="1">
        <f t="shared" si="11"/>
        <v>0.68573379327860307</v>
      </c>
      <c r="BB60" s="3">
        <f t="shared" si="12"/>
        <v>62.933527030664735</v>
      </c>
      <c r="BC60" s="24">
        <v>1</v>
      </c>
      <c r="BD60" s="3">
        <v>0</v>
      </c>
      <c r="BE60" s="24">
        <v>1</v>
      </c>
      <c r="BG60" s="1">
        <f t="shared" si="13"/>
        <v>1.4795113386330678</v>
      </c>
      <c r="BH60" s="1">
        <f t="shared" si="14"/>
        <v>1.5010610038923411</v>
      </c>
      <c r="BI60" s="3"/>
    </row>
    <row r="61" spans="1:61">
      <c r="A61">
        <v>1982</v>
      </c>
      <c r="B61" s="3">
        <f t="shared" si="0"/>
        <v>163.16421368251923</v>
      </c>
      <c r="C61" s="3">
        <f t="shared" si="1"/>
        <v>44.24984128314113</v>
      </c>
      <c r="D61" s="3">
        <v>114.011</v>
      </c>
      <c r="E61" s="3">
        <v>63.32714</v>
      </c>
      <c r="F61" s="3">
        <f t="shared" si="15"/>
        <v>72.199905585400003</v>
      </c>
      <c r="G61" s="69">
        <v>0.81073644447359705</v>
      </c>
      <c r="H61" s="3">
        <f t="shared" si="16"/>
        <v>0.58535094745636596</v>
      </c>
      <c r="I61" s="7">
        <f t="shared" si="2"/>
        <v>0.58535094745636596</v>
      </c>
      <c r="J61" s="21">
        <f t="shared" si="17"/>
        <v>0.59599988276945348</v>
      </c>
      <c r="K61" s="21"/>
      <c r="O61"/>
      <c r="P61" s="23"/>
      <c r="Q61" s="32">
        <f t="shared" si="3"/>
        <v>0.29267547372818298</v>
      </c>
      <c r="R61" s="7">
        <f t="shared" si="18"/>
        <v>0.30332440904127056</v>
      </c>
      <c r="S61" s="27"/>
      <c r="T61">
        <f>USA!Z69*G61</f>
        <v>26.916449956523426</v>
      </c>
      <c r="U61">
        <v>0</v>
      </c>
      <c r="V61">
        <v>0</v>
      </c>
      <c r="W61">
        <v>0</v>
      </c>
      <c r="X61">
        <v>0</v>
      </c>
      <c r="Y61" s="23"/>
      <c r="Z61" s="3">
        <v>0.5</v>
      </c>
      <c r="AA61" s="3">
        <f t="shared" si="19"/>
        <v>0.19880307157523092</v>
      </c>
      <c r="AB61" s="2">
        <v>0.191</v>
      </c>
      <c r="AC61" s="2">
        <f t="shared" si="4"/>
        <v>9.3872402152952061E-2</v>
      </c>
      <c r="AD61" s="3">
        <f t="shared" si="5"/>
        <v>0.29267547372818298</v>
      </c>
      <c r="AF61" s="3"/>
      <c r="AM61"/>
      <c r="AN61" s="9">
        <v>1982</v>
      </c>
      <c r="AO61" s="1">
        <f t="shared" si="6"/>
        <v>0.58535094745636596</v>
      </c>
      <c r="AP61" s="1">
        <f t="shared" si="20"/>
        <v>0.19880307157523092</v>
      </c>
      <c r="AQ61" s="1">
        <f t="shared" si="21"/>
        <v>9.3872402152952061E-2</v>
      </c>
      <c r="AR61" s="1">
        <f t="shared" si="22"/>
        <v>0.29267547372818298</v>
      </c>
      <c r="AS61" s="1">
        <f t="shared" si="7"/>
        <v>0.29267547372818298</v>
      </c>
      <c r="AU61" s="3">
        <v>46.014024470161139</v>
      </c>
      <c r="AW61" s="1">
        <f t="shared" si="8"/>
        <v>1.2721142177771265</v>
      </c>
      <c r="AX61" s="1">
        <f t="shared" si="23"/>
        <v>1.2970357451670655</v>
      </c>
      <c r="AY61" s="1">
        <f t="shared" si="9"/>
        <v>0.63605710888856326</v>
      </c>
      <c r="AZ61" s="1">
        <f t="shared" si="24"/>
        <v>0.63605710888856326</v>
      </c>
      <c r="BA61" s="1">
        <f t="shared" si="11"/>
        <v>0.66097863627850229</v>
      </c>
      <c r="BB61" s="3">
        <f t="shared" si="12"/>
        <v>58.496187339531716</v>
      </c>
      <c r="BC61" s="24">
        <v>1</v>
      </c>
      <c r="BD61" s="3">
        <v>0</v>
      </c>
      <c r="BE61" s="24">
        <v>1</v>
      </c>
      <c r="BG61" s="1">
        <f t="shared" si="13"/>
        <v>1.4123080263451202</v>
      </c>
      <c r="BH61" s="1">
        <f t="shared" si="14"/>
        <v>1.4399760396962273</v>
      </c>
      <c r="BI61" s="3"/>
    </row>
    <row r="62" spans="1:61">
      <c r="A62">
        <v>1983</v>
      </c>
      <c r="B62" s="3">
        <f t="shared" si="0"/>
        <v>144.94882997611279</v>
      </c>
      <c r="C62" s="3">
        <f t="shared" si="1"/>
        <v>45.671336429076113</v>
      </c>
      <c r="D62" s="3">
        <v>101.283</v>
      </c>
      <c r="E62" s="3">
        <v>65.36148</v>
      </c>
      <c r="F62" s="3">
        <f t="shared" si="15"/>
        <v>66.200067788400005</v>
      </c>
      <c r="G62" s="69">
        <v>0.93682020542473321</v>
      </c>
      <c r="H62" s="3">
        <f t="shared" si="16"/>
        <v>0.62017561104660157</v>
      </c>
      <c r="I62" s="7">
        <f t="shared" si="2"/>
        <v>0.62017561104660157</v>
      </c>
      <c r="J62" s="21">
        <f t="shared" si="17"/>
        <v>0.61520358122289687</v>
      </c>
      <c r="K62" s="21"/>
      <c r="O62"/>
      <c r="P62" s="23"/>
      <c r="Q62" s="32">
        <f t="shared" si="3"/>
        <v>0.31008780552330079</v>
      </c>
      <c r="R62" s="7">
        <f t="shared" si="18"/>
        <v>0.30511577569959608</v>
      </c>
      <c r="S62" s="27"/>
      <c r="T62">
        <f>USA!Z70*G62</f>
        <v>27.120944947046027</v>
      </c>
      <c r="U62">
        <v>0</v>
      </c>
      <c r="V62">
        <v>0</v>
      </c>
      <c r="W62">
        <v>0</v>
      </c>
      <c r="X62">
        <v>0</v>
      </c>
      <c r="Y62" s="23"/>
      <c r="Z62" s="3">
        <v>0.5</v>
      </c>
      <c r="AA62" s="3">
        <f t="shared" si="19"/>
        <v>0.21063059166108339</v>
      </c>
      <c r="AB62" s="2">
        <v>0.191</v>
      </c>
      <c r="AC62" s="2">
        <f t="shared" si="4"/>
        <v>9.9457213862217383E-2</v>
      </c>
      <c r="AD62" s="3">
        <f t="shared" si="5"/>
        <v>0.31008780552330079</v>
      </c>
      <c r="AF62" s="3"/>
      <c r="AM62"/>
      <c r="AN62" s="9">
        <v>1983</v>
      </c>
      <c r="AO62" s="1">
        <f t="shared" si="6"/>
        <v>0.62017561104660157</v>
      </c>
      <c r="AP62" s="1">
        <f t="shared" si="20"/>
        <v>0.21063059166108339</v>
      </c>
      <c r="AQ62" s="1">
        <f t="shared" si="21"/>
        <v>9.9457213862217383E-2</v>
      </c>
      <c r="AR62" s="1">
        <f t="shared" si="22"/>
        <v>0.31008780552330079</v>
      </c>
      <c r="AS62" s="1">
        <f t="shared" si="7"/>
        <v>0.31008780552330079</v>
      </c>
      <c r="AU62" s="3">
        <v>49.863691658146024</v>
      </c>
      <c r="AW62" s="1">
        <f t="shared" si="8"/>
        <v>1.2437418699329015</v>
      </c>
      <c r="AX62" s="1">
        <f t="shared" si="23"/>
        <v>1.2599427856351542</v>
      </c>
      <c r="AY62" s="1">
        <f t="shared" si="9"/>
        <v>0.62187093496645074</v>
      </c>
      <c r="AZ62" s="1">
        <f t="shared" si="24"/>
        <v>0.62187093496645074</v>
      </c>
      <c r="BA62" s="1">
        <f t="shared" si="11"/>
        <v>0.63807185066870342</v>
      </c>
      <c r="BB62" s="3">
        <f t="shared" si="12"/>
        <v>54.390166562437805</v>
      </c>
      <c r="BC62" s="24">
        <v>1</v>
      </c>
      <c r="BD62" s="3">
        <v>0</v>
      </c>
      <c r="BE62" s="24">
        <v>1</v>
      </c>
      <c r="BG62" s="1">
        <f t="shared" si="13"/>
        <v>1.380808893620487</v>
      </c>
      <c r="BH62" s="1">
        <f t="shared" si="14"/>
        <v>1.3987952371112575</v>
      </c>
      <c r="BI62" s="3"/>
    </row>
    <row r="63" spans="1:61">
      <c r="A63">
        <v>1984</v>
      </c>
      <c r="B63" s="3">
        <f t="shared" si="0"/>
        <v>132.65301663620613</v>
      </c>
      <c r="C63" s="3">
        <f t="shared" si="1"/>
        <v>47.643090239969929</v>
      </c>
      <c r="D63" s="3">
        <v>92.691299999999998</v>
      </c>
      <c r="E63" s="3">
        <v>68.183310000000006</v>
      </c>
      <c r="F63" s="3">
        <f t="shared" si="15"/>
        <v>63.199996422030011</v>
      </c>
      <c r="G63" s="69">
        <v>1.010809438033681</v>
      </c>
      <c r="H63" s="3">
        <f t="shared" si="16"/>
        <v>0.63883152867082804</v>
      </c>
      <c r="I63" s="7">
        <f t="shared" si="2"/>
        <v>0.63883152867082804</v>
      </c>
      <c r="J63" s="21">
        <f t="shared" si="17"/>
        <v>0.63948776144109565</v>
      </c>
      <c r="K63" s="21"/>
      <c r="O63"/>
      <c r="P63" s="23"/>
      <c r="Q63" s="32">
        <f t="shared" si="3"/>
        <v>0.31941576433541402</v>
      </c>
      <c r="R63" s="7">
        <f t="shared" si="18"/>
        <v>0.32007199710568157</v>
      </c>
      <c r="S63" s="27"/>
      <c r="T63">
        <f>USA!Z71*G63</f>
        <v>28.82828517272058</v>
      </c>
      <c r="U63">
        <v>0</v>
      </c>
      <c r="V63">
        <v>0</v>
      </c>
      <c r="W63">
        <v>0</v>
      </c>
      <c r="X63">
        <v>0</v>
      </c>
      <c r="Y63" s="23"/>
      <c r="Z63" s="3">
        <v>0.5</v>
      </c>
      <c r="AA63" s="3">
        <f t="shared" si="19"/>
        <v>0.21696671145873211</v>
      </c>
      <c r="AB63" s="2">
        <v>0.191</v>
      </c>
      <c r="AC63" s="2">
        <f t="shared" si="4"/>
        <v>0.10244905287668191</v>
      </c>
      <c r="AD63" s="3">
        <f t="shared" si="5"/>
        <v>0.31941576433541402</v>
      </c>
      <c r="AF63" s="3"/>
      <c r="AM63"/>
      <c r="AN63" s="9">
        <v>1984</v>
      </c>
      <c r="AO63" s="1">
        <f t="shared" si="6"/>
        <v>0.63883152867082804</v>
      </c>
      <c r="AP63" s="1">
        <f t="shared" si="20"/>
        <v>0.21696671145873211</v>
      </c>
      <c r="AQ63" s="1">
        <f t="shared" si="21"/>
        <v>0.10244905287668191</v>
      </c>
      <c r="AR63" s="1">
        <f t="shared" si="22"/>
        <v>0.31941576433541402</v>
      </c>
      <c r="AS63" s="1">
        <f t="shared" si="7"/>
        <v>0.31941576433541402</v>
      </c>
      <c r="AU63" s="3">
        <v>53.38788685071831</v>
      </c>
      <c r="AW63" s="1">
        <f t="shared" si="8"/>
        <v>1.1965851550879145</v>
      </c>
      <c r="AX63" s="1">
        <f t="shared" si="23"/>
        <v>1.2341754908946463</v>
      </c>
      <c r="AY63" s="1">
        <f t="shared" si="9"/>
        <v>0.59829257754395726</v>
      </c>
      <c r="AZ63" s="1">
        <f t="shared" si="24"/>
        <v>0.59829257754395726</v>
      </c>
      <c r="BA63" s="1">
        <f t="shared" si="11"/>
        <v>0.63588291335068903</v>
      </c>
      <c r="BB63" s="3">
        <f t="shared" si="12"/>
        <v>53.997801511285523</v>
      </c>
      <c r="BC63" s="24">
        <v>1</v>
      </c>
      <c r="BD63" s="3">
        <v>0</v>
      </c>
      <c r="BE63" s="24">
        <v>1</v>
      </c>
      <c r="BG63" s="1">
        <f t="shared" si="13"/>
        <v>1.3284552559196063</v>
      </c>
      <c r="BH63" s="1">
        <f t="shared" si="14"/>
        <v>1.370188248312084</v>
      </c>
      <c r="BI63" s="3"/>
    </row>
    <row r="64" spans="1:61">
      <c r="A64">
        <v>1985</v>
      </c>
      <c r="B64" s="3">
        <f t="shared" si="0"/>
        <v>126.26747133768201</v>
      </c>
      <c r="C64" s="3">
        <f t="shared" si="1"/>
        <v>49.339718212134507</v>
      </c>
      <c r="D64" s="3">
        <v>88.229399999999998</v>
      </c>
      <c r="E64" s="3">
        <v>70.611400000000003</v>
      </c>
      <c r="F64" s="3">
        <f t="shared" si="15"/>
        <v>62.3000145516</v>
      </c>
      <c r="G64" s="69">
        <v>1.0424119494157991</v>
      </c>
      <c r="H64" s="3">
        <f t="shared" si="16"/>
        <v>0.64942279617366017</v>
      </c>
      <c r="I64" s="7">
        <f t="shared" si="2"/>
        <v>0.64942279617366017</v>
      </c>
      <c r="J64" s="21">
        <f t="shared" si="17"/>
        <v>0.55785479886098666</v>
      </c>
      <c r="K64" s="21"/>
      <c r="O64"/>
      <c r="P64" s="23"/>
      <c r="Q64" s="32">
        <f t="shared" si="3"/>
        <v>0.40264213362766932</v>
      </c>
      <c r="R64" s="7">
        <f t="shared" si="18"/>
        <v>0.31107413631499581</v>
      </c>
      <c r="S64" s="27"/>
      <c r="T64">
        <f>USA!Z72*G64</f>
        <v>27.801126690919364</v>
      </c>
      <c r="U64">
        <v>0</v>
      </c>
      <c r="V64">
        <v>0</v>
      </c>
      <c r="W64">
        <v>0</v>
      </c>
      <c r="X64">
        <v>0</v>
      </c>
      <c r="Y64" s="23"/>
      <c r="Z64" s="3">
        <v>0.38</v>
      </c>
      <c r="AA64" s="3">
        <f t="shared" si="19"/>
        <v>0.14263309405802355</v>
      </c>
      <c r="AB64" s="2">
        <v>0.191</v>
      </c>
      <c r="AC64" s="2">
        <f t="shared" si="4"/>
        <v>0.10414756848796733</v>
      </c>
      <c r="AD64" s="3">
        <f t="shared" si="5"/>
        <v>0.24678066254599088</v>
      </c>
      <c r="AF64" s="3"/>
      <c r="AM64"/>
      <c r="AN64" s="9">
        <v>1985</v>
      </c>
      <c r="AO64" s="1">
        <f t="shared" si="6"/>
        <v>0.64942279617366017</v>
      </c>
      <c r="AP64" s="1">
        <f t="shared" si="20"/>
        <v>0.14263309405802355</v>
      </c>
      <c r="AQ64" s="1">
        <f t="shared" si="21"/>
        <v>0.10414756848796733</v>
      </c>
      <c r="AR64" s="1">
        <f t="shared" si="22"/>
        <v>0.24678066254599088</v>
      </c>
      <c r="AS64" s="1">
        <f t="shared" si="7"/>
        <v>0.40264213362766932</v>
      </c>
      <c r="AU64" s="3">
        <v>56.161720179148212</v>
      </c>
      <c r="AW64" s="1">
        <f t="shared" si="8"/>
        <v>1.1563442040273877</v>
      </c>
      <c r="AX64" s="1">
        <f t="shared" si="23"/>
        <v>1.0502119282864901</v>
      </c>
      <c r="AY64" s="1">
        <f t="shared" si="9"/>
        <v>0.43941079753040729</v>
      </c>
      <c r="AZ64" s="1">
        <f t="shared" si="24"/>
        <v>0.71693340649698034</v>
      </c>
      <c r="BA64" s="1">
        <f t="shared" si="11"/>
        <v>0.61080113075608278</v>
      </c>
      <c r="BB64" s="3">
        <f t="shared" si="12"/>
        <v>49.501914475264591</v>
      </c>
      <c r="BC64" s="24">
        <v>1</v>
      </c>
      <c r="BD64" s="3">
        <v>0</v>
      </c>
      <c r="BE64" s="24">
        <v>1</v>
      </c>
      <c r="BG64" s="1">
        <f t="shared" si="13"/>
        <v>1.2837795362583233</v>
      </c>
      <c r="BH64" s="1">
        <f t="shared" si="14"/>
        <v>1.1659509145917395</v>
      </c>
      <c r="BI64" s="3"/>
    </row>
    <row r="65" spans="1:61">
      <c r="A65">
        <v>1986</v>
      </c>
      <c r="B65" s="3">
        <f t="shared" si="0"/>
        <v>123.56536056017839</v>
      </c>
      <c r="C65" s="3">
        <f t="shared" si="1"/>
        <v>50.256813657899102</v>
      </c>
      <c r="D65" s="3">
        <v>86.341300000000004</v>
      </c>
      <c r="E65" s="3">
        <v>71.923879999999997</v>
      </c>
      <c r="F65" s="3">
        <f t="shared" si="15"/>
        <v>62.100013002440001</v>
      </c>
      <c r="G65" s="69">
        <v>0.85263205695515931</v>
      </c>
      <c r="H65" s="3">
        <f t="shared" si="16"/>
        <v>0.52948461823212556</v>
      </c>
      <c r="I65" s="7">
        <f t="shared" si="2"/>
        <v>0.52948461823212556</v>
      </c>
      <c r="J65" s="21">
        <f t="shared" si="17"/>
        <v>0.52488846870076777</v>
      </c>
      <c r="K65" s="21"/>
      <c r="O65"/>
      <c r="P65" s="23"/>
      <c r="Q65" s="32">
        <f t="shared" si="3"/>
        <v>0.25944746293374155</v>
      </c>
      <c r="R65" s="7">
        <f t="shared" si="18"/>
        <v>0.25485131340238382</v>
      </c>
      <c r="S65" s="27"/>
      <c r="T65">
        <f>USA!Z73*G65</f>
        <v>12.832112457175148</v>
      </c>
      <c r="U65">
        <v>0</v>
      </c>
      <c r="V65" s="12">
        <v>1</v>
      </c>
      <c r="W65">
        <v>0</v>
      </c>
      <c r="X65">
        <v>0</v>
      </c>
      <c r="Y65" s="23"/>
      <c r="Z65" s="3">
        <v>0.51</v>
      </c>
      <c r="AA65" s="3">
        <f t="shared" si="19"/>
        <v>0.1851240049353815</v>
      </c>
      <c r="AB65" s="2">
        <v>0.191</v>
      </c>
      <c r="AC65" s="2">
        <f t="shared" si="4"/>
        <v>8.491315036300251E-2</v>
      </c>
      <c r="AD65" s="3">
        <f t="shared" si="5"/>
        <v>0.27003715529838401</v>
      </c>
      <c r="AF65" s="3"/>
      <c r="AM65"/>
      <c r="AN65" s="9">
        <v>1986</v>
      </c>
      <c r="AO65" s="1">
        <f t="shared" si="6"/>
        <v>0.52948461823212556</v>
      </c>
      <c r="AP65" s="1">
        <f t="shared" si="20"/>
        <v>0.1851240049353815</v>
      </c>
      <c r="AQ65" s="1">
        <f t="shared" si="21"/>
        <v>8.491315036300251E-2</v>
      </c>
      <c r="AR65" s="1">
        <f t="shared" si="22"/>
        <v>0.27003715529838401</v>
      </c>
      <c r="AS65" s="1">
        <f t="shared" si="7"/>
        <v>0.25944746293374155</v>
      </c>
      <c r="AU65" s="3">
        <v>57.809268046745267</v>
      </c>
      <c r="AW65" s="1">
        <f t="shared" si="8"/>
        <v>0.9159164890376712</v>
      </c>
      <c r="AX65" s="1">
        <f t="shared" si="23"/>
        <v>0.92559093205379717</v>
      </c>
      <c r="AY65" s="1">
        <f t="shared" si="9"/>
        <v>0.4671174094092122</v>
      </c>
      <c r="AZ65" s="1">
        <f t="shared" si="24"/>
        <v>0.448799079628459</v>
      </c>
      <c r="BA65" s="1">
        <f t="shared" si="11"/>
        <v>0.45847352264458502</v>
      </c>
      <c r="BB65" s="3">
        <f t="shared" si="12"/>
        <v>22.197327333047962</v>
      </c>
      <c r="BC65" s="24">
        <v>1</v>
      </c>
      <c r="BD65" s="3">
        <v>0</v>
      </c>
      <c r="BE65" s="24">
        <v>1</v>
      </c>
      <c r="BG65" s="1">
        <f t="shared" si="13"/>
        <v>1.016855397772447</v>
      </c>
      <c r="BH65" s="1">
        <f t="shared" si="14"/>
        <v>1.0275960162885804</v>
      </c>
      <c r="BI65" s="3"/>
    </row>
    <row r="66" spans="1:61">
      <c r="A66">
        <v>1987</v>
      </c>
      <c r="B66" s="3">
        <f t="shared" si="0"/>
        <v>141.55047594176077</v>
      </c>
      <c r="C66" s="3">
        <f t="shared" si="1"/>
        <v>52.136856526716379</v>
      </c>
      <c r="D66" s="3">
        <v>98.9084</v>
      </c>
      <c r="E66" s="3">
        <v>74.614459999999994</v>
      </c>
      <c r="F66" s="3">
        <f t="shared" si="15"/>
        <v>73.799968554639989</v>
      </c>
      <c r="G66" s="69">
        <v>0.73928180391642395</v>
      </c>
      <c r="H66" s="3">
        <f t="shared" si="16"/>
        <v>0.54558973882049611</v>
      </c>
      <c r="I66" s="7">
        <f t="shared" si="2"/>
        <v>0.54558973882049611</v>
      </c>
      <c r="J66" s="21">
        <f t="shared" si="17"/>
        <v>0.54503399723819657</v>
      </c>
      <c r="K66" s="21"/>
      <c r="N66" t="s">
        <v>323</v>
      </c>
      <c r="O66"/>
      <c r="P66" s="23"/>
      <c r="Q66" s="32">
        <f t="shared" si="3"/>
        <v>0.2673389720220431</v>
      </c>
      <c r="R66" s="7">
        <f t="shared" si="18"/>
        <v>0.2667832304397435</v>
      </c>
      <c r="S66" s="27"/>
      <c r="T66">
        <f>USA!Z74*G66</f>
        <v>14.19421063519534</v>
      </c>
      <c r="U66">
        <v>0</v>
      </c>
      <c r="V66" s="12">
        <v>1</v>
      </c>
      <c r="W66">
        <v>0</v>
      </c>
      <c r="X66">
        <v>0</v>
      </c>
      <c r="Y66" s="23"/>
      <c r="Z66" s="3">
        <v>0.51</v>
      </c>
      <c r="AA66" s="3">
        <v>0.126</v>
      </c>
      <c r="AB66" s="2">
        <v>0.191</v>
      </c>
      <c r="AC66" s="2">
        <f t="shared" si="4"/>
        <v>8.7495919491784022E-2</v>
      </c>
      <c r="AD66" s="3">
        <f t="shared" si="5"/>
        <v>0.27825076679845301</v>
      </c>
      <c r="AF66" s="3"/>
      <c r="AM66"/>
      <c r="AN66" s="9">
        <v>1987</v>
      </c>
      <c r="AO66" s="1">
        <f t="shared" si="6"/>
        <v>0.54558973882049611</v>
      </c>
      <c r="AP66" s="1">
        <f t="shared" si="20"/>
        <v>0.126</v>
      </c>
      <c r="AQ66" s="1">
        <f t="shared" si="21"/>
        <v>8.7495919491784022E-2</v>
      </c>
      <c r="AR66" s="1">
        <f t="shared" si="22"/>
        <v>0.27825076679845301</v>
      </c>
      <c r="AS66" s="1">
        <f t="shared" si="7"/>
        <v>0.2673389720220431</v>
      </c>
      <c r="AU66" s="3">
        <v>60.186978850010277</v>
      </c>
      <c r="AW66" s="1">
        <f t="shared" si="8"/>
        <v>0.90649131962602725</v>
      </c>
      <c r="AX66" s="1">
        <f t="shared" si="23"/>
        <v>0.92851744939251402</v>
      </c>
      <c r="AY66" s="1">
        <f t="shared" si="9"/>
        <v>0.46231057300927397</v>
      </c>
      <c r="AZ66" s="1">
        <f t="shared" si="24"/>
        <v>0.44418074661675327</v>
      </c>
      <c r="BA66" s="1">
        <f t="shared" si="11"/>
        <v>0.46620687638324004</v>
      </c>
      <c r="BB66" s="3">
        <f t="shared" si="12"/>
        <v>23.583524055208358</v>
      </c>
      <c r="BC66" s="24">
        <v>1</v>
      </c>
      <c r="BD66" s="3">
        <v>0</v>
      </c>
      <c r="BE66" s="24">
        <v>1</v>
      </c>
      <c r="BG66" s="1">
        <f t="shared" si="13"/>
        <v>1.0063915241487507</v>
      </c>
      <c r="BH66" s="1">
        <f t="shared" si="14"/>
        <v>1.0308450515316028</v>
      </c>
      <c r="BI66" s="3"/>
    </row>
    <row r="67" spans="1:61">
      <c r="A67">
        <v>1988</v>
      </c>
      <c r="B67" s="3">
        <f t="shared" si="0"/>
        <v>147.5277207239871</v>
      </c>
      <c r="C67" s="3">
        <f t="shared" si="1"/>
        <v>54.227069431021505</v>
      </c>
      <c r="D67" s="3">
        <v>103.08499999999999</v>
      </c>
      <c r="E67" s="3">
        <v>77.605819999999994</v>
      </c>
      <c r="F67" s="3">
        <f t="shared" si="15"/>
        <v>79.999959546999989</v>
      </c>
      <c r="G67" s="69">
        <v>0.70350150444100223</v>
      </c>
      <c r="H67" s="3">
        <f t="shared" si="16"/>
        <v>0.56280091896533813</v>
      </c>
      <c r="I67" s="7">
        <f t="shared" si="2"/>
        <v>0.56280091896533813</v>
      </c>
      <c r="J67" s="21">
        <f t="shared" si="17"/>
        <v>0.55040047825167471</v>
      </c>
      <c r="K67" s="21"/>
      <c r="O67"/>
      <c r="P67" s="23"/>
      <c r="Q67" s="32">
        <f t="shared" si="3"/>
        <v>0.25326041353440215</v>
      </c>
      <c r="R67" s="7">
        <f t="shared" si="18"/>
        <v>0.24085997282073873</v>
      </c>
      <c r="S67" s="27"/>
      <c r="T67">
        <f>USA!Z75*G67</f>
        <v>11.234919025922807</v>
      </c>
      <c r="U67">
        <v>0</v>
      </c>
      <c r="V67" s="12">
        <v>1</v>
      </c>
      <c r="W67">
        <v>0</v>
      </c>
      <c r="X67">
        <v>0</v>
      </c>
      <c r="Y67" s="23"/>
      <c r="Z67" s="3">
        <v>0.55000000000000004</v>
      </c>
      <c r="AA67" s="3">
        <v>0.15</v>
      </c>
      <c r="AB67" s="2">
        <v>0.191</v>
      </c>
      <c r="AC67" s="2">
        <f t="shared" si="4"/>
        <v>9.0256066769420315E-2</v>
      </c>
      <c r="AD67" s="3">
        <f t="shared" si="5"/>
        <v>0.30954050543093597</v>
      </c>
      <c r="AF67" s="3"/>
      <c r="AM67"/>
      <c r="AN67" s="9">
        <v>1988</v>
      </c>
      <c r="AO67" s="1">
        <f t="shared" si="6"/>
        <v>0.56280091896533813</v>
      </c>
      <c r="AP67" s="1">
        <f t="shared" si="20"/>
        <v>0.15</v>
      </c>
      <c r="AQ67" s="1">
        <f t="shared" si="21"/>
        <v>9.0256066769420315E-2</v>
      </c>
      <c r="AR67" s="1">
        <f t="shared" si="22"/>
        <v>0.30954050543093597</v>
      </c>
      <c r="AS67" s="1">
        <f t="shared" si="7"/>
        <v>0.25326041353440215</v>
      </c>
      <c r="AU67" s="3">
        <v>63.248047667176188</v>
      </c>
      <c r="AW67" s="1">
        <f t="shared" si="8"/>
        <v>0.88983129080427681</v>
      </c>
      <c r="AX67" s="1">
        <f t="shared" si="23"/>
        <v>0.92314386568104057</v>
      </c>
      <c r="AY67" s="1">
        <f t="shared" si="9"/>
        <v>0.48940720994235226</v>
      </c>
      <c r="AZ67" s="1">
        <f t="shared" si="24"/>
        <v>0.40042408086192455</v>
      </c>
      <c r="BA67" s="1">
        <f t="shared" si="11"/>
        <v>0.4337366557386883</v>
      </c>
      <c r="BB67" s="3">
        <f t="shared" si="12"/>
        <v>17.763266124897935</v>
      </c>
      <c r="BC67" s="24">
        <v>1</v>
      </c>
      <c r="BD67" s="3">
        <v>0</v>
      </c>
      <c r="BE67" s="24">
        <v>1</v>
      </c>
      <c r="BG67" s="1">
        <f t="shared" si="13"/>
        <v>0.98789547081069939</v>
      </c>
      <c r="BH67" s="1">
        <f t="shared" si="14"/>
        <v>1.0248792700790439</v>
      </c>
      <c r="BI67" s="3"/>
    </row>
    <row r="68" spans="1:61">
      <c r="A68">
        <v>1989</v>
      </c>
      <c r="B68" s="3">
        <f t="shared" si="0"/>
        <v>144.60535951024718</v>
      </c>
      <c r="C68" s="3">
        <f t="shared" si="1"/>
        <v>56.844608024141067</v>
      </c>
      <c r="D68" s="3">
        <v>101.04300000000001</v>
      </c>
      <c r="E68" s="3">
        <v>81.351849999999999</v>
      </c>
      <c r="F68" s="3">
        <f t="shared" si="15"/>
        <v>82.200349795500003</v>
      </c>
      <c r="G68" s="69">
        <v>0.72173139379016538</v>
      </c>
      <c r="H68" s="3">
        <f t="shared" si="16"/>
        <v>0.59326573027945351</v>
      </c>
      <c r="I68" s="7">
        <f t="shared" si="2"/>
        <v>0.59326573027945351</v>
      </c>
      <c r="J68" s="21">
        <f t="shared" si="17"/>
        <v>0.5929093858953145</v>
      </c>
      <c r="K68" s="21"/>
      <c r="O68"/>
      <c r="P68" s="23"/>
      <c r="Q68" s="32">
        <f t="shared" si="3"/>
        <v>0.26696957862575404</v>
      </c>
      <c r="R68" s="7">
        <f t="shared" si="18"/>
        <v>0.26661323424161498</v>
      </c>
      <c r="S68" s="27"/>
      <c r="T68">
        <f>USA!Z76*G68</f>
        <v>14.174804574038848</v>
      </c>
      <c r="U68">
        <v>0</v>
      </c>
      <c r="V68" s="12">
        <v>1</v>
      </c>
      <c r="W68">
        <v>0</v>
      </c>
      <c r="X68">
        <v>0</v>
      </c>
      <c r="Y68" s="23"/>
      <c r="Z68" s="3">
        <v>0.55000000000000004</v>
      </c>
      <c r="AA68" s="3">
        <v>0.16</v>
      </c>
      <c r="AB68" s="2">
        <v>0.19500000000000001</v>
      </c>
      <c r="AC68" s="2">
        <f t="shared" si="4"/>
        <v>9.6809052221333416E-2</v>
      </c>
      <c r="AD68" s="3">
        <f t="shared" si="5"/>
        <v>0.32629615165369946</v>
      </c>
      <c r="AF68" s="3"/>
      <c r="AM68"/>
      <c r="AN68" s="9">
        <v>1989</v>
      </c>
      <c r="AO68" s="1">
        <f t="shared" si="6"/>
        <v>0.59326573027945351</v>
      </c>
      <c r="AP68" s="1">
        <f t="shared" si="20"/>
        <v>0.16</v>
      </c>
      <c r="AQ68" s="1">
        <f t="shared" si="21"/>
        <v>9.6809052221333416E-2</v>
      </c>
      <c r="AR68" s="1">
        <f t="shared" si="22"/>
        <v>0.32629615165369946</v>
      </c>
      <c r="AS68" s="1">
        <f t="shared" si="7"/>
        <v>0.26696957862575404</v>
      </c>
      <c r="AU68" s="3">
        <v>67.417935159110684</v>
      </c>
      <c r="AW68" s="1">
        <f t="shared" si="8"/>
        <v>0.87998205355786718</v>
      </c>
      <c r="AX68" s="1">
        <f t="shared" si="23"/>
        <v>0.87703163878165868</v>
      </c>
      <c r="AY68" s="1">
        <f t="shared" si="9"/>
        <v>0.48399012945682696</v>
      </c>
      <c r="AZ68" s="1">
        <f t="shared" si="24"/>
        <v>0.39599192410104023</v>
      </c>
      <c r="BA68" s="1">
        <f t="shared" si="11"/>
        <v>0.39304150932483173</v>
      </c>
      <c r="BB68" s="3">
        <f t="shared" si="12"/>
        <v>21.025272489561413</v>
      </c>
      <c r="BC68" s="24">
        <v>0.5</v>
      </c>
      <c r="BD68" s="3">
        <v>0</v>
      </c>
      <c r="BE68" s="24">
        <v>1</v>
      </c>
      <c r="BG68" s="1">
        <f t="shared" si="13"/>
        <v>0.97696079480276354</v>
      </c>
      <c r="BH68" s="1">
        <f t="shared" si="14"/>
        <v>0.97368522849648675</v>
      </c>
      <c r="BI68" s="3"/>
    </row>
    <row r="69" spans="1:61">
      <c r="A69">
        <v>1990</v>
      </c>
      <c r="B69" s="3">
        <f t="shared" si="0"/>
        <v>162.40142302290931</v>
      </c>
      <c r="C69" s="3">
        <f t="shared" si="1"/>
        <v>59.913057002261802</v>
      </c>
      <c r="D69" s="3">
        <v>113.47799999999999</v>
      </c>
      <c r="E69" s="3">
        <v>85.743189999999998</v>
      </c>
      <c r="F69" s="3">
        <f t="shared" si="15"/>
        <v>97.299657148199984</v>
      </c>
      <c r="G69" s="69">
        <v>0.64306653682558745</v>
      </c>
      <c r="H69" s="3">
        <f t="shared" si="16"/>
        <v>0.62570153556609975</v>
      </c>
      <c r="I69" s="7">
        <f t="shared" si="2"/>
        <v>0.62570153556609975</v>
      </c>
      <c r="J69" s="21">
        <f t="shared" si="17"/>
        <v>0.63727568547684577</v>
      </c>
      <c r="K69" s="21"/>
      <c r="L69" s="34">
        <f t="shared" ref="L69:L77" si="25">L$79*M69/M$79</f>
        <v>0.55150631681243922</v>
      </c>
      <c r="M69" s="33">
        <v>100</v>
      </c>
      <c r="N69">
        <v>0</v>
      </c>
      <c r="O69"/>
      <c r="P69" s="23"/>
      <c r="Q69" s="32">
        <f t="shared" si="3"/>
        <v>0.26905166029342292</v>
      </c>
      <c r="R69" s="7">
        <f t="shared" si="18"/>
        <v>0.28062581020416894</v>
      </c>
      <c r="S69" s="27"/>
      <c r="T69">
        <f>USA!Z77*G69</f>
        <v>15.774422148331661</v>
      </c>
      <c r="U69">
        <v>0</v>
      </c>
      <c r="V69" s="12">
        <v>1</v>
      </c>
      <c r="W69">
        <v>0</v>
      </c>
      <c r="X69">
        <v>0</v>
      </c>
      <c r="Y69" s="23"/>
      <c r="Z69" s="3">
        <v>0.56999999999999995</v>
      </c>
      <c r="AA69" s="3">
        <v>0.215</v>
      </c>
      <c r="AB69" s="2">
        <v>0.20499999999999999</v>
      </c>
      <c r="AC69" s="2">
        <f t="shared" si="4"/>
        <v>0.10644714920419122</v>
      </c>
      <c r="AD69" s="3">
        <f t="shared" si="5"/>
        <v>0.35664987527267683</v>
      </c>
      <c r="AF69" s="3"/>
      <c r="AM69"/>
      <c r="AN69" s="9">
        <v>1990</v>
      </c>
      <c r="AO69" s="1">
        <f t="shared" si="6"/>
        <v>0.62570153556609975</v>
      </c>
      <c r="AP69" s="1">
        <f t="shared" si="20"/>
        <v>0.215</v>
      </c>
      <c r="AQ69" s="1">
        <f t="shared" si="21"/>
        <v>0.10644714920419122</v>
      </c>
      <c r="AR69" s="1">
        <f t="shared" si="22"/>
        <v>0.35664987527267683</v>
      </c>
      <c r="AS69" s="1">
        <f t="shared" si="7"/>
        <v>0.26905166029342292</v>
      </c>
      <c r="AU69" s="3">
        <v>71.563842206660638</v>
      </c>
      <c r="AW69" s="1">
        <f t="shared" si="8"/>
        <v>0.87432635849709039</v>
      </c>
      <c r="AX69" s="1">
        <f t="shared" si="23"/>
        <v>0.89708217702366677</v>
      </c>
      <c r="AY69" s="1">
        <f t="shared" si="9"/>
        <v>0.49836602434334148</v>
      </c>
      <c r="AZ69" s="1">
        <f t="shared" si="24"/>
        <v>0.37596033415374891</v>
      </c>
      <c r="BA69" s="1">
        <f t="shared" si="11"/>
        <v>0.39871615268032529</v>
      </c>
      <c r="BB69" s="3">
        <f t="shared" si="12"/>
        <v>22.042447221850665</v>
      </c>
      <c r="BC69" s="24">
        <v>0.5</v>
      </c>
      <c r="BD69" s="3">
        <v>0</v>
      </c>
      <c r="BE69" s="24">
        <v>1</v>
      </c>
      <c r="BG69" s="1">
        <f t="shared" si="13"/>
        <v>0.97068181181737345</v>
      </c>
      <c r="BH69" s="1">
        <f t="shared" si="14"/>
        <v>0.9959454435746653</v>
      </c>
      <c r="BI69" s="3"/>
    </row>
    <row r="70" spans="1:61">
      <c r="A70">
        <v>1991</v>
      </c>
      <c r="B70" s="3">
        <f t="shared" si="0"/>
        <v>151.12843610781161</v>
      </c>
      <c r="C70" s="3">
        <f t="shared" si="1"/>
        <v>62.450351141377027</v>
      </c>
      <c r="D70" s="3">
        <v>105.601</v>
      </c>
      <c r="E70" s="3">
        <v>89.374380000000002</v>
      </c>
      <c r="F70" s="3">
        <f t="shared" si="15"/>
        <v>94.380239023800002</v>
      </c>
      <c r="G70" s="69">
        <v>0.68014861085182132</v>
      </c>
      <c r="H70" s="3">
        <f t="shared" si="16"/>
        <v>0.64192588463900424</v>
      </c>
      <c r="I70" s="7">
        <f t="shared" si="2"/>
        <v>0.64192588463900424</v>
      </c>
      <c r="J70" s="21">
        <f t="shared" si="17"/>
        <v>0.64951570955301774</v>
      </c>
      <c r="K70" s="21"/>
      <c r="L70" s="34">
        <f t="shared" si="25"/>
        <v>0.56198493683187567</v>
      </c>
      <c r="M70" s="33">
        <v>101.9</v>
      </c>
      <c r="O70"/>
      <c r="P70" s="23"/>
      <c r="Q70" s="32">
        <f t="shared" si="3"/>
        <v>0.26318961270199176</v>
      </c>
      <c r="R70" s="7">
        <f t="shared" si="18"/>
        <v>0.27077943761600531</v>
      </c>
      <c r="S70" s="27"/>
      <c r="T70">
        <f>USA!Z78*G70</f>
        <v>14.650401077748231</v>
      </c>
      <c r="U70">
        <v>0</v>
      </c>
      <c r="V70" s="12">
        <v>1</v>
      </c>
      <c r="W70">
        <v>0</v>
      </c>
      <c r="X70">
        <v>0</v>
      </c>
      <c r="Y70" s="23"/>
      <c r="Z70" s="3">
        <v>0.59</v>
      </c>
      <c r="AA70" s="3">
        <v>0.26600000000000001</v>
      </c>
      <c r="AB70" s="2">
        <v>0.21299999999999999</v>
      </c>
      <c r="AC70" s="2">
        <f t="shared" si="4"/>
        <v>0.11272070356810214</v>
      </c>
      <c r="AD70" s="3">
        <f t="shared" si="5"/>
        <v>0.37873627193701248</v>
      </c>
      <c r="AF70" s="3"/>
      <c r="AM70"/>
      <c r="AN70" s="9">
        <v>1991</v>
      </c>
      <c r="AO70" s="1">
        <f t="shared" si="6"/>
        <v>0.64192588463900424</v>
      </c>
      <c r="AP70" s="1">
        <f t="shared" si="20"/>
        <v>0.26600000000000001</v>
      </c>
      <c r="AQ70" s="1">
        <f t="shared" si="21"/>
        <v>0.11272070356810214</v>
      </c>
      <c r="AR70" s="1">
        <f t="shared" si="22"/>
        <v>0.37873627193701248</v>
      </c>
      <c r="AS70" s="1">
        <f t="shared" si="7"/>
        <v>0.26318961270199176</v>
      </c>
      <c r="AU70" s="3">
        <v>74.648397668028451</v>
      </c>
      <c r="AW70" s="1">
        <f t="shared" si="8"/>
        <v>0.85993257014535751</v>
      </c>
      <c r="AX70" s="1">
        <f t="shared" si="23"/>
        <v>0.89259472612298285</v>
      </c>
      <c r="AY70" s="1">
        <f t="shared" si="9"/>
        <v>0.50736021638576101</v>
      </c>
      <c r="AZ70" s="1">
        <f t="shared" si="24"/>
        <v>0.3525723537595965</v>
      </c>
      <c r="BA70" s="1">
        <f t="shared" si="11"/>
        <v>0.38523450973722184</v>
      </c>
      <c r="BB70" s="3">
        <f t="shared" si="12"/>
        <v>19.625874815023561</v>
      </c>
      <c r="BC70" s="24">
        <v>0.5</v>
      </c>
      <c r="BD70" s="3">
        <v>0</v>
      </c>
      <c r="BE70" s="24">
        <v>1</v>
      </c>
      <c r="BG70" s="1">
        <f t="shared" si="13"/>
        <v>0.95470175080195063</v>
      </c>
      <c r="BH70" s="1">
        <f t="shared" si="14"/>
        <v>0.99096345152057141</v>
      </c>
      <c r="BI70" s="3"/>
    </row>
    <row r="71" spans="1:61">
      <c r="A71">
        <v>1992</v>
      </c>
      <c r="B71" s="3">
        <f t="shared" si="0"/>
        <v>111.52929676008259</v>
      </c>
      <c r="C71" s="3">
        <f t="shared" si="1"/>
        <v>64.341860498266513</v>
      </c>
      <c r="D71" s="3">
        <v>77.931100000000001</v>
      </c>
      <c r="E71" s="3">
        <v>92.081370000000007</v>
      </c>
      <c r="F71" s="3">
        <f t="shared" si="15"/>
        <v>71.760024536070006</v>
      </c>
      <c r="G71" s="69">
        <v>0.75338772530875087</v>
      </c>
      <c r="H71" s="3">
        <f t="shared" si="16"/>
        <v>0.54063121653329926</v>
      </c>
      <c r="I71" s="7">
        <f t="shared" si="2"/>
        <v>0.54063121653329926</v>
      </c>
      <c r="J71" s="21">
        <f t="shared" si="17"/>
        <v>0.54936215566718116</v>
      </c>
      <c r="K71" s="21"/>
      <c r="L71" s="34">
        <f t="shared" si="25"/>
        <v>0.59452380952380945</v>
      </c>
      <c r="M71" s="33">
        <v>107.8</v>
      </c>
      <c r="O71"/>
      <c r="P71" s="23"/>
      <c r="Q71" s="32">
        <f t="shared" si="3"/>
        <v>0.19462723795198772</v>
      </c>
      <c r="R71" s="7">
        <f t="shared" si="18"/>
        <v>0.20335817708586965</v>
      </c>
      <c r="S71" s="27"/>
      <c r="T71">
        <f>USA!Z79*G71</f>
        <v>15.504719386854092</v>
      </c>
      <c r="U71">
        <v>0</v>
      </c>
      <c r="V71">
        <v>0</v>
      </c>
      <c r="W71">
        <v>0</v>
      </c>
      <c r="X71">
        <v>0</v>
      </c>
      <c r="Y71" s="23"/>
      <c r="Z71" s="3">
        <v>0.64</v>
      </c>
      <c r="AA71" s="3">
        <v>0.3</v>
      </c>
      <c r="AB71" s="2">
        <v>0.22</v>
      </c>
      <c r="AC71" s="2">
        <f t="shared" si="4"/>
        <v>9.7490875112562159E-2</v>
      </c>
      <c r="AD71" s="3">
        <f t="shared" si="5"/>
        <v>0.34600397858131154</v>
      </c>
      <c r="AF71" s="3"/>
      <c r="AM71"/>
      <c r="AN71" s="9">
        <v>1992</v>
      </c>
      <c r="AO71" s="1">
        <f t="shared" si="6"/>
        <v>0.54063121653329926</v>
      </c>
      <c r="AP71" s="1">
        <f t="shared" si="20"/>
        <v>0.3</v>
      </c>
      <c r="AQ71" s="1">
        <f t="shared" si="21"/>
        <v>9.7490875112562159E-2</v>
      </c>
      <c r="AR71" s="1">
        <f t="shared" si="22"/>
        <v>0.34600397858131154</v>
      </c>
      <c r="AS71" s="1">
        <f t="shared" si="7"/>
        <v>0.19462723795198772</v>
      </c>
      <c r="AU71" s="3">
        <v>76.827625510282672</v>
      </c>
      <c r="AW71" s="1">
        <f t="shared" si="8"/>
        <v>0.70369377283558077</v>
      </c>
      <c r="AX71" s="1">
        <f t="shared" si="23"/>
        <v>0.70559518755031936</v>
      </c>
      <c r="AY71" s="1">
        <f t="shared" si="9"/>
        <v>0.45036401461477171</v>
      </c>
      <c r="AZ71" s="1">
        <f t="shared" si="24"/>
        <v>0.25332975822080905</v>
      </c>
      <c r="BA71" s="1">
        <f t="shared" si="11"/>
        <v>0.25523117293554765</v>
      </c>
      <c r="BB71" s="3">
        <f t="shared" si="12"/>
        <v>20.181177387525697</v>
      </c>
      <c r="BC71" s="3">
        <v>0</v>
      </c>
      <c r="BD71" s="24">
        <v>1</v>
      </c>
      <c r="BE71" s="24">
        <v>1</v>
      </c>
      <c r="BG71" s="1">
        <f t="shared" si="13"/>
        <v>0.78124460019115149</v>
      </c>
      <c r="BH71" s="1">
        <f t="shared" si="14"/>
        <v>0.78335556100387504</v>
      </c>
      <c r="BI71" s="3"/>
    </row>
    <row r="72" spans="1:61">
      <c r="A72">
        <v>1993</v>
      </c>
      <c r="B72" s="3">
        <f t="shared" si="0"/>
        <v>113.75126444884486</v>
      </c>
      <c r="C72" s="3">
        <f t="shared" si="1"/>
        <v>66.241014180537462</v>
      </c>
      <c r="D72" s="3">
        <v>79.483699999999999</v>
      </c>
      <c r="E72" s="3">
        <v>94.799300000000002</v>
      </c>
      <c r="F72" s="3">
        <f t="shared" si="15"/>
        <v>75.349991214100001</v>
      </c>
      <c r="G72" s="69">
        <v>0.96073821044682473</v>
      </c>
      <c r="H72" s="3">
        <f t="shared" si="16"/>
        <v>0.72391615716218394</v>
      </c>
      <c r="I72" s="7">
        <f t="shared" si="2"/>
        <v>0.72391615716218394</v>
      </c>
      <c r="J72" s="21">
        <f t="shared" si="17"/>
        <v>0.75110363786364553</v>
      </c>
      <c r="K72" s="21"/>
      <c r="L72" s="34">
        <f t="shared" si="25"/>
        <v>0.71750971817298348</v>
      </c>
      <c r="M72" s="33">
        <v>130.1</v>
      </c>
      <c r="N72" s="4"/>
      <c r="O72" s="3"/>
      <c r="P72" s="23"/>
      <c r="Q72" s="32">
        <f t="shared" si="3"/>
        <v>0.19545736243378964</v>
      </c>
      <c r="R72" s="7">
        <f t="shared" si="18"/>
        <v>0.22264484313525121</v>
      </c>
      <c r="S72" s="27"/>
      <c r="T72">
        <f>USA!Z80*G72</f>
        <v>17.706405218534979</v>
      </c>
      <c r="U72">
        <v>0</v>
      </c>
      <c r="V72">
        <v>0</v>
      </c>
      <c r="W72">
        <v>0</v>
      </c>
      <c r="X72">
        <v>0</v>
      </c>
      <c r="Y72" s="23"/>
      <c r="Z72" s="3">
        <v>0.73</v>
      </c>
      <c r="AA72" s="3">
        <v>0.39500000000000002</v>
      </c>
      <c r="AB72" s="2">
        <v>0.22</v>
      </c>
      <c r="AC72" s="2">
        <f t="shared" si="4"/>
        <v>0.13054225784891843</v>
      </c>
      <c r="AD72" s="3">
        <f t="shared" si="5"/>
        <v>0.5284587947283943</v>
      </c>
      <c r="AF72" s="3"/>
      <c r="AM72"/>
      <c r="AN72" s="9">
        <v>1993</v>
      </c>
      <c r="AO72" s="1">
        <f t="shared" si="6"/>
        <v>0.72391615716218394</v>
      </c>
      <c r="AP72" s="1">
        <f t="shared" si="20"/>
        <v>0.39500000000000002</v>
      </c>
      <c r="AQ72" s="1">
        <f t="shared" si="21"/>
        <v>0.13054225784891843</v>
      </c>
      <c r="AR72" s="1">
        <f t="shared" si="22"/>
        <v>0.5284587947283943</v>
      </c>
      <c r="AS72" s="1">
        <f t="shared" si="7"/>
        <v>0.19545736243378964</v>
      </c>
      <c r="AU72" s="3">
        <v>78.510652961628708</v>
      </c>
      <c r="AW72" s="1">
        <f t="shared" si="8"/>
        <v>0.92206105777261937</v>
      </c>
      <c r="AX72" s="1">
        <f t="shared" si="23"/>
        <v>0.94156700938819649</v>
      </c>
      <c r="AY72" s="1">
        <f t="shared" si="9"/>
        <v>0.67310457217401209</v>
      </c>
      <c r="AZ72" s="1">
        <f t="shared" si="24"/>
        <v>0.24895648559860728</v>
      </c>
      <c r="BA72" s="1">
        <f t="shared" si="11"/>
        <v>0.26846243721418434</v>
      </c>
      <c r="BB72" s="3">
        <f t="shared" si="12"/>
        <v>22.552869643293892</v>
      </c>
      <c r="BC72" s="3">
        <v>0</v>
      </c>
      <c r="BD72" s="24">
        <v>1</v>
      </c>
      <c r="BE72" s="24">
        <v>1</v>
      </c>
      <c r="BG72" s="1">
        <f t="shared" si="13"/>
        <v>1.0236771309325092</v>
      </c>
      <c r="BH72" s="1">
        <f t="shared" si="14"/>
        <v>1.0453327430176542</v>
      </c>
      <c r="BI72" s="3"/>
    </row>
    <row r="73" spans="1:61">
      <c r="A73">
        <v>1994</v>
      </c>
      <c r="B73" s="3">
        <f t="shared" si="0"/>
        <v>133.17995757592163</v>
      </c>
      <c r="C73" s="3">
        <f t="shared" si="1"/>
        <v>67.968212466727536</v>
      </c>
      <c r="D73" s="3">
        <v>93.0595</v>
      </c>
      <c r="E73" s="3">
        <v>97.271140000000003</v>
      </c>
      <c r="F73" s="3">
        <f t="shared" si="15"/>
        <v>90.520036528300011</v>
      </c>
      <c r="G73" s="69">
        <v>0.87853131575096732</v>
      </c>
      <c r="H73" s="3">
        <f t="shared" si="16"/>
        <v>0.79524686793033028</v>
      </c>
      <c r="I73" s="7">
        <f t="shared" si="2"/>
        <v>0.79524686793033028</v>
      </c>
      <c r="J73" s="21">
        <f t="shared" si="17"/>
        <v>0.77248466879676791</v>
      </c>
      <c r="K73" s="21"/>
      <c r="L73" s="34">
        <f t="shared" si="25"/>
        <v>0.66952866861030125</v>
      </c>
      <c r="M73" s="33">
        <v>121.4</v>
      </c>
      <c r="N73" s="4"/>
      <c r="O73" s="3"/>
      <c r="P73" s="23"/>
      <c r="Q73" s="32">
        <f t="shared" si="3"/>
        <v>0.22266912302049247</v>
      </c>
      <c r="R73" s="7">
        <f t="shared" si="18"/>
        <v>0.19990692388693007</v>
      </c>
      <c r="S73" s="27"/>
      <c r="T73">
        <f>USA!Z81*G73</f>
        <v>15.110738630916638</v>
      </c>
      <c r="U73">
        <v>0</v>
      </c>
      <c r="V73">
        <v>0</v>
      </c>
      <c r="W73">
        <v>0</v>
      </c>
      <c r="X73">
        <v>0</v>
      </c>
      <c r="Y73" s="23"/>
      <c r="Z73" s="3">
        <v>0.72</v>
      </c>
      <c r="AA73" s="3">
        <v>0.38900000000000001</v>
      </c>
      <c r="AB73" s="2">
        <v>0.22</v>
      </c>
      <c r="AC73" s="2">
        <f t="shared" si="4"/>
        <v>0.14340517290546939</v>
      </c>
      <c r="AD73" s="3">
        <f t="shared" si="5"/>
        <v>0.57257774490983782</v>
      </c>
      <c r="AF73" s="3"/>
      <c r="AM73"/>
      <c r="AN73" s="9">
        <v>1994</v>
      </c>
      <c r="AO73" s="1">
        <f t="shared" si="6"/>
        <v>0.79524686793033028</v>
      </c>
      <c r="AP73" s="1">
        <f t="shared" si="20"/>
        <v>0.38900000000000001</v>
      </c>
      <c r="AQ73" s="1">
        <f t="shared" si="21"/>
        <v>0.14340517290546939</v>
      </c>
      <c r="AR73" s="1">
        <f t="shared" si="22"/>
        <v>0.57257774490983782</v>
      </c>
      <c r="AS73" s="1">
        <f t="shared" si="7"/>
        <v>0.22266912302049247</v>
      </c>
      <c r="AU73" s="3">
        <v>79.365286955294764</v>
      </c>
      <c r="AW73" s="1">
        <f t="shared" si="8"/>
        <v>1.0020084327021719</v>
      </c>
      <c r="AX73" s="1">
        <f t="shared" si="23"/>
        <v>0.97030791547060702</v>
      </c>
      <c r="AY73" s="1">
        <f t="shared" si="9"/>
        <v>0.72144607154556373</v>
      </c>
      <c r="AZ73" s="1">
        <f t="shared" si="24"/>
        <v>0.28056236115660815</v>
      </c>
      <c r="BA73" s="1">
        <f t="shared" si="11"/>
        <v>0.24886184392504326</v>
      </c>
      <c r="BB73" s="3">
        <f t="shared" si="12"/>
        <v>19.039480874589774</v>
      </c>
      <c r="BC73" s="3">
        <v>0</v>
      </c>
      <c r="BD73" s="24">
        <v>1</v>
      </c>
      <c r="BE73" s="24">
        <v>1</v>
      </c>
      <c r="BG73" s="1">
        <f t="shared" si="13"/>
        <v>1.112435135300645</v>
      </c>
      <c r="BH73" s="1">
        <f t="shared" si="14"/>
        <v>1.077241051074731</v>
      </c>
      <c r="BI73" s="3"/>
    </row>
    <row r="74" spans="1:61">
      <c r="A74">
        <v>1995</v>
      </c>
      <c r="B74" s="3">
        <f t="shared" si="0"/>
        <v>157.79605652642789</v>
      </c>
      <c r="C74" s="3">
        <f t="shared" si="1"/>
        <v>69.875003486879606</v>
      </c>
      <c r="D74" s="3">
        <v>110.26</v>
      </c>
      <c r="E74" s="3">
        <v>100</v>
      </c>
      <c r="F74" s="3">
        <f t="shared" si="15"/>
        <v>110.26</v>
      </c>
      <c r="G74" s="69">
        <v>0.7344211728416864</v>
      </c>
      <c r="H74" s="3">
        <f t="shared" si="16"/>
        <v>0.80977278517524343</v>
      </c>
      <c r="I74" s="7">
        <f t="shared" si="2"/>
        <v>0.80977278517524343</v>
      </c>
      <c r="J74" s="21">
        <f t="shared" si="17"/>
        <v>0.79343646343515239</v>
      </c>
      <c r="K74" s="21"/>
      <c r="L74" s="34">
        <f t="shared" si="25"/>
        <v>0.62044460641399413</v>
      </c>
      <c r="M74" s="33">
        <v>112.5</v>
      </c>
      <c r="N74" s="3">
        <f t="shared" ref="N74:N88" si="26">G74*O74/100</f>
        <v>0.88130540741002361</v>
      </c>
      <c r="O74" s="6">
        <v>120</v>
      </c>
      <c r="P74" s="23"/>
      <c r="Q74" s="32">
        <f t="shared" si="3"/>
        <v>0.20244319629381091</v>
      </c>
      <c r="R74" s="7">
        <f t="shared" si="18"/>
        <v>0.18610687455371991</v>
      </c>
      <c r="S74" s="27"/>
      <c r="T74">
        <f>USA!Z82*G74</f>
        <v>13.53538221547228</v>
      </c>
      <c r="U74">
        <v>0</v>
      </c>
      <c r="V74">
        <v>0</v>
      </c>
      <c r="W74">
        <v>0</v>
      </c>
      <c r="X74">
        <v>0</v>
      </c>
      <c r="Y74" s="23"/>
      <c r="Z74" s="3">
        <v>0.75</v>
      </c>
      <c r="AA74" s="3">
        <v>0.43099999999999999</v>
      </c>
      <c r="AB74" s="2">
        <v>0.22</v>
      </c>
      <c r="AC74" s="2">
        <f t="shared" si="4"/>
        <v>0.14602460060537178</v>
      </c>
      <c r="AD74" s="3">
        <f t="shared" si="5"/>
        <v>0.60732958888143251</v>
      </c>
      <c r="AF74" s="3"/>
      <c r="AM74"/>
      <c r="AN74" s="9">
        <v>1995</v>
      </c>
      <c r="AO74" s="1">
        <f t="shared" si="6"/>
        <v>0.80977278517524343</v>
      </c>
      <c r="AP74" s="1">
        <f t="shared" si="20"/>
        <v>0.43099999999999999</v>
      </c>
      <c r="AQ74" s="1">
        <f t="shared" si="21"/>
        <v>0.14602460060537178</v>
      </c>
      <c r="AR74" s="1">
        <f t="shared" si="22"/>
        <v>0.60732958888143251</v>
      </c>
      <c r="AS74" s="1">
        <f t="shared" si="7"/>
        <v>0.20244319629381091</v>
      </c>
      <c r="AU74" s="3">
        <v>79.993253835918921</v>
      </c>
      <c r="AW74" s="1">
        <f t="shared" si="8"/>
        <v>1.0123013458562873</v>
      </c>
      <c r="AX74" s="1">
        <f t="shared" si="23"/>
        <v>0.99626728518689767</v>
      </c>
      <c r="AY74" s="1">
        <f t="shared" si="9"/>
        <v>0.75922600939221541</v>
      </c>
      <c r="AZ74" s="1">
        <f t="shared" si="24"/>
        <v>0.25307533646407188</v>
      </c>
      <c r="BA74" s="1">
        <f t="shared" si="11"/>
        <v>0.23704127579468229</v>
      </c>
      <c r="BB74" s="3">
        <f t="shared" si="12"/>
        <v>16.920654638247214</v>
      </c>
      <c r="BC74" s="3">
        <v>0</v>
      </c>
      <c r="BD74" s="24">
        <v>1</v>
      </c>
      <c r="BE74" s="24">
        <v>1</v>
      </c>
      <c r="BG74" s="1">
        <f t="shared" si="13"/>
        <v>1.1238623826805474</v>
      </c>
      <c r="BH74" s="1">
        <f t="shared" si="14"/>
        <v>1.1060612825420291</v>
      </c>
      <c r="BI74" s="3"/>
    </row>
    <row r="75" spans="1:61">
      <c r="A75">
        <v>1996</v>
      </c>
      <c r="B75" s="3">
        <f t="shared" si="0"/>
        <v>157.79605652642792</v>
      </c>
      <c r="C75" s="3">
        <f t="shared" si="1"/>
        <v>71.923179589087013</v>
      </c>
      <c r="D75" s="3">
        <v>110.26</v>
      </c>
      <c r="E75" s="3">
        <v>102.9312</v>
      </c>
      <c r="F75" s="3">
        <f t="shared" si="15"/>
        <v>113.49194112000001</v>
      </c>
      <c r="G75" s="69">
        <v>0.77257964959727388</v>
      </c>
      <c r="H75" s="3">
        <f t="shared" si="16"/>
        <v>0.87681564102604037</v>
      </c>
      <c r="I75" s="7">
        <f t="shared" si="2"/>
        <v>0.87681564102604037</v>
      </c>
      <c r="J75" s="21">
        <f t="shared" si="17"/>
        <v>0.88362033493463987</v>
      </c>
      <c r="K75" s="21"/>
      <c r="L75" s="34">
        <f t="shared" si="25"/>
        <v>0.70868561710398437</v>
      </c>
      <c r="M75" s="33">
        <v>128.5</v>
      </c>
      <c r="N75" s="3">
        <f t="shared" si="26"/>
        <v>0.91936978302075589</v>
      </c>
      <c r="O75" s="3">
        <f>O74+(O$77-O$74)/3</f>
        <v>119</v>
      </c>
      <c r="P75" s="23"/>
      <c r="Q75" s="32">
        <f t="shared" si="3"/>
        <v>0.21043575384624968</v>
      </c>
      <c r="R75" s="7">
        <f t="shared" si="18"/>
        <v>0.21724044775484919</v>
      </c>
      <c r="S75" s="27"/>
      <c r="T75">
        <f>USA!Z83*G75</f>
        <v>17.089461849091698</v>
      </c>
      <c r="U75">
        <v>0</v>
      </c>
      <c r="V75">
        <v>0</v>
      </c>
      <c r="W75">
        <v>0</v>
      </c>
      <c r="X75">
        <v>0</v>
      </c>
      <c r="Y75" s="23"/>
      <c r="Z75" s="3">
        <v>0.76</v>
      </c>
      <c r="AA75" s="3">
        <v>0.498</v>
      </c>
      <c r="AB75" s="2">
        <v>0.22</v>
      </c>
      <c r="AC75" s="2">
        <f t="shared" si="4"/>
        <v>0.1581142959227286</v>
      </c>
      <c r="AD75" s="3">
        <f t="shared" si="5"/>
        <v>0.66637988717979069</v>
      </c>
      <c r="AF75" s="3"/>
      <c r="AM75"/>
      <c r="AN75" s="9">
        <v>1996</v>
      </c>
      <c r="AO75" s="1">
        <f t="shared" si="6"/>
        <v>0.87681564102604037</v>
      </c>
      <c r="AP75" s="1">
        <f t="shared" si="20"/>
        <v>0.498</v>
      </c>
      <c r="AQ75" s="1">
        <f t="shared" si="21"/>
        <v>0.1581142959227286</v>
      </c>
      <c r="AR75" s="1">
        <f t="shared" si="22"/>
        <v>0.66637988717979069</v>
      </c>
      <c r="AS75" s="1">
        <f t="shared" si="7"/>
        <v>0.21043575384624968</v>
      </c>
      <c r="AU75" s="3">
        <v>80.496569869182693</v>
      </c>
      <c r="AW75" s="1">
        <f t="shared" si="8"/>
        <v>1.0892583900792032</v>
      </c>
      <c r="AX75" s="1">
        <f t="shared" si="23"/>
        <v>1.0889190285233818</v>
      </c>
      <c r="AY75" s="1">
        <f t="shared" si="9"/>
        <v>0.82783637646019448</v>
      </c>
      <c r="AZ75" s="1">
        <f t="shared" si="24"/>
        <v>0.26142201361900874</v>
      </c>
      <c r="BA75" s="1">
        <f t="shared" si="11"/>
        <v>0.26108265206318737</v>
      </c>
      <c r="BB75" s="3">
        <f t="shared" si="12"/>
        <v>21.230049773380752</v>
      </c>
      <c r="BC75" s="3">
        <v>0</v>
      </c>
      <c r="BD75" s="24">
        <v>1</v>
      </c>
      <c r="BE75" s="24">
        <v>1</v>
      </c>
      <c r="BG75" s="1">
        <f t="shared" si="13"/>
        <v>1.209300505862394</v>
      </c>
      <c r="BH75" s="1">
        <f t="shared" si="14"/>
        <v>1.2089237448432797</v>
      </c>
      <c r="BI75" s="3"/>
    </row>
    <row r="76" spans="1:61">
      <c r="A76">
        <v>1997</v>
      </c>
      <c r="B76" s="3">
        <f t="shared" si="0"/>
        <v>133.89122766565166</v>
      </c>
      <c r="C76" s="3">
        <f t="shared" si="1"/>
        <v>73.604511922988308</v>
      </c>
      <c r="D76" s="3">
        <v>93.5565</v>
      </c>
      <c r="E76" s="3">
        <v>105.3374</v>
      </c>
      <c r="F76" s="3">
        <f t="shared" si="15"/>
        <v>98.549984631000001</v>
      </c>
      <c r="G76" s="69">
        <v>0.87313584707008207</v>
      </c>
      <c r="H76" s="3">
        <f t="shared" si="16"/>
        <v>0.86047524309531753</v>
      </c>
      <c r="I76" s="7">
        <f t="shared" si="2"/>
        <v>0.86047524309531753</v>
      </c>
      <c r="J76" s="21">
        <f t="shared" si="17"/>
        <v>0.87913699392857336</v>
      </c>
      <c r="K76" s="21"/>
      <c r="L76" s="34">
        <f t="shared" si="25"/>
        <v>0.77707240038872694</v>
      </c>
      <c r="M76" s="33">
        <v>140.9</v>
      </c>
      <c r="N76" s="3">
        <f t="shared" si="26"/>
        <v>1.0303002995426969</v>
      </c>
      <c r="O76" s="3">
        <f>O75+(O$77-O$74)/3</f>
        <v>118</v>
      </c>
      <c r="P76" s="23"/>
      <c r="Q76" s="32">
        <f t="shared" si="3"/>
        <v>0.20651405834287617</v>
      </c>
      <c r="R76" s="7">
        <f t="shared" si="18"/>
        <v>0.22517580917613203</v>
      </c>
      <c r="S76" s="27"/>
      <c r="T76">
        <f>USA!Z84*G76</f>
        <v>17.995329808114391</v>
      </c>
      <c r="U76">
        <v>0</v>
      </c>
      <c r="V76">
        <v>0</v>
      </c>
      <c r="W76">
        <v>0</v>
      </c>
      <c r="X76">
        <v>0</v>
      </c>
      <c r="Y76" s="23"/>
      <c r="Z76" s="3">
        <v>0.76</v>
      </c>
      <c r="AA76" s="3">
        <v>0.49099999999999999</v>
      </c>
      <c r="AB76" s="2">
        <v>0.22</v>
      </c>
      <c r="AC76" s="2">
        <f t="shared" si="4"/>
        <v>0.15516766678768021</v>
      </c>
      <c r="AD76" s="3">
        <f t="shared" si="5"/>
        <v>0.65396118475244136</v>
      </c>
      <c r="AF76" s="3"/>
      <c r="AM76"/>
      <c r="AN76" s="9">
        <v>1997</v>
      </c>
      <c r="AO76" s="1">
        <f t="shared" si="6"/>
        <v>0.86047524309531753</v>
      </c>
      <c r="AP76" s="1">
        <f t="shared" si="20"/>
        <v>0.49099999999999999</v>
      </c>
      <c r="AQ76" s="1">
        <f t="shared" si="21"/>
        <v>0.15516766678768021</v>
      </c>
      <c r="AR76" s="1">
        <f t="shared" si="22"/>
        <v>0.65396118475244136</v>
      </c>
      <c r="AS76" s="1">
        <f t="shared" ref="AS76:AS96" si="27">AO76-AR76</f>
        <v>0.20651405834287617</v>
      </c>
      <c r="AU76" s="3">
        <v>81.456537347917532</v>
      </c>
      <c r="AW76" s="1">
        <f t="shared" ref="AW76:AW96" si="28">AO76/$AU76*100</f>
        <v>1.0563611848856915</v>
      </c>
      <c r="AX76" s="1">
        <f t="shared" si="23"/>
        <v>1.0687254934003705</v>
      </c>
      <c r="AY76" s="1">
        <f t="shared" si="9"/>
        <v>0.80283450051312555</v>
      </c>
      <c r="AZ76" s="1">
        <f t="shared" si="24"/>
        <v>0.25352668437256598</v>
      </c>
      <c r="BA76" s="1">
        <f t="shared" ref="BA76:BA97" si="29">AX$99+AX$100*BB76+AX$101*BC76+AX$102*BD76+AX$103*BE76</f>
        <v>0.26589099288724499</v>
      </c>
      <c r="BB76" s="3">
        <f t="shared" ref="BB76:BB96" si="30">T76/AU76*100</f>
        <v>22.091940553835055</v>
      </c>
      <c r="BC76" s="3">
        <v>0</v>
      </c>
      <c r="BD76" s="24">
        <v>1</v>
      </c>
      <c r="BE76" s="24">
        <v>1</v>
      </c>
      <c r="BG76" s="1">
        <f t="shared" si="13"/>
        <v>1.1727778522438344</v>
      </c>
      <c r="BH76" s="1">
        <f t="shared" si="14"/>
        <v>1.1865047738609842</v>
      </c>
      <c r="BI76" s="3"/>
    </row>
    <row r="77" spans="1:61">
      <c r="A77">
        <v>1998</v>
      </c>
      <c r="B77" s="3">
        <f t="shared" si="0"/>
        <v>126.38625487379383</v>
      </c>
      <c r="C77" s="3">
        <f t="shared" si="1"/>
        <v>74.747038105002289</v>
      </c>
      <c r="D77" s="3">
        <v>88.312399999999997</v>
      </c>
      <c r="E77" s="3">
        <v>106.9725</v>
      </c>
      <c r="F77" s="3">
        <f t="shared" si="15"/>
        <v>94.469982089999988</v>
      </c>
      <c r="G77" s="69">
        <v>0.89880805216516735</v>
      </c>
      <c r="H77" s="3">
        <f t="shared" si="16"/>
        <v>0.84910380590391132</v>
      </c>
      <c r="I77" s="7">
        <f t="shared" si="2"/>
        <v>0.84910380590391132</v>
      </c>
      <c r="J77" s="21">
        <f t="shared" si="17"/>
        <v>0.85186567368933519</v>
      </c>
      <c r="K77" s="21"/>
      <c r="L77" s="34">
        <f t="shared" si="25"/>
        <v>0.67559523809523803</v>
      </c>
      <c r="M77" s="33">
        <v>122.5</v>
      </c>
      <c r="N77" s="3">
        <f t="shared" si="26"/>
        <v>1.0516054210332457</v>
      </c>
      <c r="O77" s="6">
        <v>117</v>
      </c>
      <c r="P77" s="23"/>
      <c r="Q77" s="32">
        <f t="shared" si="3"/>
        <v>0.17831179923982132</v>
      </c>
      <c r="R77" s="7">
        <f t="shared" si="18"/>
        <v>0.18107366702524519</v>
      </c>
      <c r="S77" s="27"/>
      <c r="T77">
        <f>USA!Z85*G77</f>
        <v>12.960812112221713</v>
      </c>
      <c r="U77">
        <v>0</v>
      </c>
      <c r="V77">
        <v>0</v>
      </c>
      <c r="W77">
        <v>0</v>
      </c>
      <c r="X77">
        <v>0</v>
      </c>
      <c r="Y77" s="23"/>
      <c r="Z77" s="3">
        <v>0.79</v>
      </c>
      <c r="AA77" s="3">
        <v>0.52</v>
      </c>
      <c r="AB77" s="2">
        <v>0.22</v>
      </c>
      <c r="AC77" s="2">
        <f t="shared" si="4"/>
        <v>0.15311707975316433</v>
      </c>
      <c r="AD77" s="3">
        <f t="shared" si="5"/>
        <v>0.67079200666409</v>
      </c>
      <c r="AF77" s="3"/>
      <c r="AM77"/>
      <c r="AN77" s="9">
        <v>1998</v>
      </c>
      <c r="AO77" s="1">
        <f t="shared" si="6"/>
        <v>0.84910380590391132</v>
      </c>
      <c r="AP77" s="1">
        <f t="shared" si="20"/>
        <v>0.52</v>
      </c>
      <c r="AQ77" s="1">
        <f t="shared" si="21"/>
        <v>0.15311707975316433</v>
      </c>
      <c r="AR77" s="1">
        <f t="shared" ref="AR77:AR96" si="31">AD77</f>
        <v>0.67079200666409</v>
      </c>
      <c r="AS77" s="1">
        <f t="shared" si="27"/>
        <v>0.17831179923982132</v>
      </c>
      <c r="AU77" s="3">
        <v>82.596497965705808</v>
      </c>
      <c r="AW77" s="1">
        <f t="shared" si="28"/>
        <v>1.0280142945727075</v>
      </c>
      <c r="AX77" s="1">
        <f t="shared" si="23"/>
        <v>1.0423165591844885</v>
      </c>
      <c r="AY77" s="1">
        <f t="shared" si="9"/>
        <v>0.812131292712439</v>
      </c>
      <c r="AZ77" s="1">
        <f t="shared" si="24"/>
        <v>0.21588300186026854</v>
      </c>
      <c r="BA77" s="1">
        <f t="shared" si="29"/>
        <v>0.23018526647204959</v>
      </c>
      <c r="BB77" s="3">
        <f t="shared" si="30"/>
        <v>15.691721115831161</v>
      </c>
      <c r="BC77" s="3">
        <v>0</v>
      </c>
      <c r="BD77" s="24">
        <v>1</v>
      </c>
      <c r="BE77" s="24">
        <v>1</v>
      </c>
      <c r="BG77" s="1">
        <f t="shared" si="13"/>
        <v>1.141306982606902</v>
      </c>
      <c r="BH77" s="1">
        <f t="shared" si="14"/>
        <v>1.1571854334754301</v>
      </c>
      <c r="BI77" s="3"/>
    </row>
    <row r="78" spans="1:61">
      <c r="A78">
        <v>1999</v>
      </c>
      <c r="B78" s="3">
        <f t="shared" si="0"/>
        <v>126.36779333625358</v>
      </c>
      <c r="C78" s="3">
        <f t="shared" si="1"/>
        <v>75.889564287016256</v>
      </c>
      <c r="D78" s="30">
        <v>88.299499999999995</v>
      </c>
      <c r="E78" s="3">
        <v>108.60760000000001</v>
      </c>
      <c r="F78" s="3">
        <f t="shared" si="15"/>
        <v>95.899967762000003</v>
      </c>
      <c r="G78" s="69">
        <v>0.93862699999999999</v>
      </c>
      <c r="H78" s="3">
        <f t="shared" si="16"/>
        <v>0.90014299040542778</v>
      </c>
      <c r="I78" s="7">
        <f>H78</f>
        <v>0.90014299040542778</v>
      </c>
      <c r="J78" s="21">
        <f t="shared" si="17"/>
        <v>0.84136395844735046</v>
      </c>
      <c r="K78" s="21"/>
      <c r="L78" s="34">
        <f>L$79*M78/M$79</f>
        <v>0.76218172983479104</v>
      </c>
      <c r="M78" s="33">
        <v>138.19999999999999</v>
      </c>
      <c r="N78" s="3">
        <f t="shared" si="26"/>
        <v>1.0465691049999999</v>
      </c>
      <c r="O78" s="3">
        <f>(O77+O79)/2</f>
        <v>111.5</v>
      </c>
      <c r="P78" s="23"/>
      <c r="Q78" s="32">
        <f t="shared" si="3"/>
        <v>0.27004289712162832</v>
      </c>
      <c r="R78" s="7">
        <f t="shared" si="18"/>
        <v>0.21126386516355103</v>
      </c>
      <c r="S78" s="27"/>
      <c r="T78">
        <f>USA!Z86*G78</f>
        <v>16.40719996</v>
      </c>
      <c r="U78">
        <v>0</v>
      </c>
      <c r="V78">
        <v>0</v>
      </c>
      <c r="W78">
        <v>0</v>
      </c>
      <c r="X78">
        <v>0</v>
      </c>
      <c r="Y78" s="23"/>
      <c r="Z78" s="3">
        <v>0.7</v>
      </c>
      <c r="AA78" s="3">
        <v>0.52</v>
      </c>
      <c r="AB78" s="2">
        <v>0.22</v>
      </c>
      <c r="AC78" s="2">
        <f t="shared" si="4"/>
        <v>0.16232086712229027</v>
      </c>
      <c r="AD78" s="3">
        <f t="shared" si="5"/>
        <v>0.63010009328379946</v>
      </c>
      <c r="AF78" s="3"/>
      <c r="AM78"/>
      <c r="AN78" s="9">
        <v>1999</v>
      </c>
      <c r="AO78" s="1">
        <f t="shared" si="6"/>
        <v>0.90014299040542778</v>
      </c>
      <c r="AP78" s="1">
        <f t="shared" si="20"/>
        <v>0.52</v>
      </c>
      <c r="AQ78" s="1">
        <f t="shared" si="21"/>
        <v>0.16232086712229027</v>
      </c>
      <c r="AR78" s="1">
        <f t="shared" si="31"/>
        <v>0.63010009328379946</v>
      </c>
      <c r="AS78" s="1">
        <f t="shared" si="27"/>
        <v>0.27004289712162832</v>
      </c>
      <c r="AU78" s="3">
        <v>83.556465025767494</v>
      </c>
      <c r="AW78" s="1">
        <f t="shared" si="28"/>
        <v>1.0772870658516225</v>
      </c>
      <c r="AX78" s="1">
        <f t="shared" si="23"/>
        <v>1.080498972557536</v>
      </c>
      <c r="AY78" s="1">
        <f t="shared" si="9"/>
        <v>0.75410094609613576</v>
      </c>
      <c r="AZ78" s="1">
        <f t="shared" si="24"/>
        <v>0.32318611975548672</v>
      </c>
      <c r="BA78" s="1">
        <f t="shared" si="29"/>
        <v>0.3263980264614002</v>
      </c>
      <c r="BB78" s="3">
        <f t="shared" si="30"/>
        <v>19.63606281685119</v>
      </c>
      <c r="BC78" s="3">
        <v>0</v>
      </c>
      <c r="BD78" s="3">
        <v>0</v>
      </c>
      <c r="BE78" s="24">
        <v>1</v>
      </c>
      <c r="BG78" s="1">
        <f t="shared" si="13"/>
        <v>1.1960098775081764</v>
      </c>
      <c r="BH78" s="1">
        <f t="shared" si="14"/>
        <v>1.1995757535570737</v>
      </c>
      <c r="BI78" s="3"/>
    </row>
    <row r="79" spans="1:61">
      <c r="A79">
        <v>2000</v>
      </c>
      <c r="B79" s="3">
        <f t="shared" si="0"/>
        <v>132.43677342993351</v>
      </c>
      <c r="C79" s="3">
        <f t="shared" si="1"/>
        <v>78.958238837304293</v>
      </c>
      <c r="D79" s="2">
        <f>F79/E79*100</f>
        <v>92.540200052076884</v>
      </c>
      <c r="E79" s="2">
        <v>112.9992628224058</v>
      </c>
      <c r="F79" s="2">
        <f>I79/G79*100</f>
        <v>104.56974387322646</v>
      </c>
      <c r="G79" s="69">
        <v>1.0853999999999999</v>
      </c>
      <c r="H79" s="21">
        <f t="shared" ref="H79:H89" si="32">(R79+AA79)+AB79*(R79+AA79)</f>
        <v>1.1050374665579636</v>
      </c>
      <c r="I79" s="7">
        <f>L79</f>
        <v>1.135</v>
      </c>
      <c r="J79" s="21">
        <f t="shared" si="17"/>
        <v>1.1104405463589866</v>
      </c>
      <c r="K79" s="21"/>
      <c r="L79">
        <v>1.135</v>
      </c>
      <c r="M79">
        <v>205.8</v>
      </c>
      <c r="N79" s="3">
        <f t="shared" si="26"/>
        <v>1.1505239999999999</v>
      </c>
      <c r="O79" s="6">
        <v>106</v>
      </c>
      <c r="P79" s="23"/>
      <c r="Q79" s="32">
        <f t="shared" ref="Q79:Q89" si="33">L79-AD79</f>
        <v>0.41032786885245898</v>
      </c>
      <c r="R79" s="7">
        <f t="shared" si="18"/>
        <v>0.3857684152114455</v>
      </c>
      <c r="S79" s="27"/>
      <c r="T79">
        <f>USA!Z87*G79</f>
        <v>29.957039999999999</v>
      </c>
      <c r="U79">
        <v>0</v>
      </c>
      <c r="V79">
        <v>0</v>
      </c>
      <c r="W79">
        <v>0</v>
      </c>
      <c r="X79">
        <v>1</v>
      </c>
      <c r="Y79" s="23"/>
      <c r="AA79" s="3">
        <v>0.52</v>
      </c>
      <c r="AB79" s="2">
        <v>0.22</v>
      </c>
      <c r="AC79" s="2">
        <f t="shared" si="4"/>
        <v>0.20467213114754099</v>
      </c>
      <c r="AD79" s="3">
        <f t="shared" ref="AD79:AD96" si="34">AA79+AC79</f>
        <v>0.72467213114754103</v>
      </c>
      <c r="AE79" s="24">
        <v>0.76800000000000002</v>
      </c>
      <c r="AM79"/>
      <c r="AN79" s="9">
        <v>2000</v>
      </c>
      <c r="AO79" s="1">
        <f t="shared" si="6"/>
        <v>1.135</v>
      </c>
      <c r="AP79" s="1">
        <f t="shared" si="20"/>
        <v>0.52</v>
      </c>
      <c r="AQ79" s="1">
        <f t="shared" si="21"/>
        <v>0.20467213114754099</v>
      </c>
      <c r="AR79" s="1">
        <f t="shared" si="31"/>
        <v>0.72467213114754103</v>
      </c>
      <c r="AS79" s="1">
        <f t="shared" si="27"/>
        <v>0.41032786885245898</v>
      </c>
      <c r="AU79" s="3">
        <v>86.098332906057777</v>
      </c>
      <c r="AW79" s="1">
        <f t="shared" si="28"/>
        <v>1.3182601354644148</v>
      </c>
      <c r="AX79" s="1">
        <f t="shared" si="23"/>
        <v>1.2526410990854524</v>
      </c>
      <c r="AY79" s="1">
        <f t="shared" si="9"/>
        <v>0.84167963151880487</v>
      </c>
      <c r="AZ79" s="1">
        <f t="shared" si="24"/>
        <v>0.47658050394560991</v>
      </c>
      <c r="BA79" s="1">
        <f t="shared" si="29"/>
        <v>0.41096146756664753</v>
      </c>
      <c r="BB79" s="3">
        <f t="shared" si="30"/>
        <v>34.793983796046597</v>
      </c>
      <c r="BC79" s="3">
        <v>0</v>
      </c>
      <c r="BD79" s="3">
        <v>0</v>
      </c>
      <c r="BE79" s="24">
        <v>1</v>
      </c>
      <c r="BG79" s="1">
        <f t="shared" si="13"/>
        <v>1.4635394716210794</v>
      </c>
      <c r="BH79" s="1">
        <f t="shared" si="14"/>
        <v>1.3906888655481606</v>
      </c>
      <c r="BI79" s="3"/>
    </row>
    <row r="80" spans="1:61">
      <c r="A80">
        <v>2001</v>
      </c>
      <c r="B80" s="3">
        <f t="shared" si="0"/>
        <v>122.24168157496726</v>
      </c>
      <c r="C80" s="3">
        <f t="shared" si="1"/>
        <v>81.182199298191421</v>
      </c>
      <c r="D80" s="2">
        <f t="shared" ref="D80:D89" si="35">F80/E80*100</f>
        <v>85.416379262928629</v>
      </c>
      <c r="E80" s="2">
        <v>116.1820325539375</v>
      </c>
      <c r="F80" s="2">
        <f t="shared" ref="F80:F89" si="36">I80/G80*100</f>
        <v>99.238485561650464</v>
      </c>
      <c r="G80" s="69">
        <v>1.11751</v>
      </c>
      <c r="H80" s="21">
        <f t="shared" si="32"/>
        <v>1.0610042035720455</v>
      </c>
      <c r="I80" s="7">
        <f>L80</f>
        <v>1.109</v>
      </c>
      <c r="J80" s="21">
        <f t="shared" si="17"/>
        <v>1.0696591832557749</v>
      </c>
      <c r="K80" s="21"/>
      <c r="L80">
        <v>1.109</v>
      </c>
      <c r="M80">
        <v>190.5</v>
      </c>
      <c r="N80" s="3">
        <f t="shared" si="26"/>
        <v>1.2180858999999999</v>
      </c>
      <c r="O80" s="3">
        <f>(O79+O81)/2</f>
        <v>109</v>
      </c>
      <c r="P80" s="23"/>
      <c r="Q80" s="32">
        <f t="shared" si="33"/>
        <v>0.38901639344262295</v>
      </c>
      <c r="R80" s="7">
        <f t="shared" si="18"/>
        <v>0.34967557669839794</v>
      </c>
      <c r="S80" s="27"/>
      <c r="T80">
        <f>USA!Z88*G80</f>
        <v>25.836831200000002</v>
      </c>
      <c r="U80">
        <v>0</v>
      </c>
      <c r="V80">
        <v>0</v>
      </c>
      <c r="W80">
        <v>0</v>
      </c>
      <c r="X80">
        <v>1</v>
      </c>
      <c r="Y80" s="23"/>
      <c r="AA80" s="3">
        <v>0.52</v>
      </c>
      <c r="AB80" s="2">
        <v>0.22</v>
      </c>
      <c r="AC80" s="2">
        <f t="shared" si="4"/>
        <v>0.19998360655737704</v>
      </c>
      <c r="AD80" s="3">
        <f t="shared" si="34"/>
        <v>0.71998360655737703</v>
      </c>
      <c r="AE80" s="24">
        <v>0.76300000000000001</v>
      </c>
      <c r="AM80"/>
      <c r="AN80" s="9">
        <v>2001</v>
      </c>
      <c r="AO80" s="1">
        <f t="shared" si="6"/>
        <v>1.109</v>
      </c>
      <c r="AP80" s="1">
        <f t="shared" si="20"/>
        <v>0.52</v>
      </c>
      <c r="AQ80" s="1">
        <f t="shared" si="21"/>
        <v>0.19998360655737704</v>
      </c>
      <c r="AR80" s="1">
        <f t="shared" si="31"/>
        <v>0.71998360655737703</v>
      </c>
      <c r="AS80" s="1">
        <f t="shared" si="27"/>
        <v>0.38901639344262295</v>
      </c>
      <c r="AU80" s="3">
        <v>88.318327622024057</v>
      </c>
      <c r="AW80" s="1">
        <f t="shared" si="28"/>
        <v>1.2556850088309952</v>
      </c>
      <c r="AX80" s="1">
        <f t="shared" si="23"/>
        <v>1.1952702998248603</v>
      </c>
      <c r="AY80" s="1">
        <f t="shared" si="9"/>
        <v>0.81521426632837846</v>
      </c>
      <c r="AZ80" s="1">
        <f t="shared" si="24"/>
        <v>0.44047074250261675</v>
      </c>
      <c r="BA80" s="1">
        <f t="shared" si="29"/>
        <v>0.38005603349648176</v>
      </c>
      <c r="BB80" s="3">
        <f t="shared" si="30"/>
        <v>29.254212455849355</v>
      </c>
      <c r="BC80" s="3">
        <v>0</v>
      </c>
      <c r="BD80" s="3">
        <v>0</v>
      </c>
      <c r="BE80" s="24">
        <v>1</v>
      </c>
      <c r="BG80" s="1">
        <f t="shared" si="13"/>
        <v>1.3940682304707632</v>
      </c>
      <c r="BH80" s="1">
        <f t="shared" si="14"/>
        <v>1.3269954965555937</v>
      </c>
      <c r="BI80" s="3"/>
    </row>
    <row r="81" spans="1:62">
      <c r="A81">
        <v>2002</v>
      </c>
      <c r="B81" s="3">
        <f t="shared" si="0"/>
        <v>122.66568238763207</v>
      </c>
      <c r="C81" s="3">
        <f t="shared" si="1"/>
        <v>82.47759894808965</v>
      </c>
      <c r="D81" s="2">
        <f t="shared" si="35"/>
        <v>85.712649845562566</v>
      </c>
      <c r="E81" s="2">
        <v>118.03591389240708</v>
      </c>
      <c r="F81" s="2">
        <f t="shared" si="36"/>
        <v>101.17170956660861</v>
      </c>
      <c r="G81" s="69">
        <v>1.0625500000000001</v>
      </c>
      <c r="H81" s="21">
        <f t="shared" si="32"/>
        <v>1.1103052895352055</v>
      </c>
      <c r="I81" s="7">
        <f>L81</f>
        <v>1.075</v>
      </c>
      <c r="J81" s="21">
        <f t="shared" si="17"/>
        <v>1.1039387619141028</v>
      </c>
      <c r="K81" s="21"/>
      <c r="L81">
        <v>1.075</v>
      </c>
      <c r="M81">
        <v>174</v>
      </c>
      <c r="N81" s="3">
        <f t="shared" si="26"/>
        <v>1.1900560000000002</v>
      </c>
      <c r="O81" s="6">
        <v>112</v>
      </c>
      <c r="P81" s="23"/>
      <c r="Q81" s="32">
        <f t="shared" si="33"/>
        <v>0.32114754098360643</v>
      </c>
      <c r="R81" s="7">
        <f>R$92+R$93*T81+R$94*U81+R$95*V81+R$96*W81+R$97*X81</f>
        <v>0.35008630289770937</v>
      </c>
      <c r="S81" s="27"/>
      <c r="T81">
        <f>USA!Z89*G81</f>
        <v>25.883718000000002</v>
      </c>
      <c r="U81">
        <v>0</v>
      </c>
      <c r="V81">
        <v>0</v>
      </c>
      <c r="W81">
        <v>0</v>
      </c>
      <c r="X81">
        <v>1</v>
      </c>
      <c r="Y81" s="23"/>
      <c r="AA81" s="3">
        <v>0.56000000000000005</v>
      </c>
      <c r="AB81" s="2">
        <v>0.22</v>
      </c>
      <c r="AC81" s="2">
        <f t="shared" si="4"/>
        <v>0.19385245901639345</v>
      </c>
      <c r="AD81" s="3">
        <f t="shared" si="34"/>
        <v>0.75385245901639353</v>
      </c>
      <c r="AE81" s="24">
        <v>0.75800000000000001</v>
      </c>
      <c r="AM81"/>
      <c r="AN81" s="9">
        <v>2002</v>
      </c>
      <c r="AO81" s="1">
        <f t="shared" si="6"/>
        <v>1.075</v>
      </c>
      <c r="AP81" s="1">
        <f t="shared" si="20"/>
        <v>0.56000000000000005</v>
      </c>
      <c r="AQ81" s="1">
        <f t="shared" si="21"/>
        <v>0.19385245901639345</v>
      </c>
      <c r="AR81" s="1">
        <f t="shared" si="31"/>
        <v>0.75385245901639353</v>
      </c>
      <c r="AS81" s="1">
        <f t="shared" si="27"/>
        <v>0.32114754098360643</v>
      </c>
      <c r="AU81" s="3">
        <v>89.706003732470094</v>
      </c>
      <c r="AW81" s="1">
        <f t="shared" si="28"/>
        <v>1.1983590342581403</v>
      </c>
      <c r="AX81" s="1">
        <f t="shared" si="23"/>
        <v>1.2181819726659067</v>
      </c>
      <c r="AY81" s="1">
        <f t="shared" si="9"/>
        <v>0.84035898117210195</v>
      </c>
      <c r="AZ81" s="1">
        <f t="shared" si="24"/>
        <v>0.35800005308603833</v>
      </c>
      <c r="BA81" s="1">
        <f t="shared" si="29"/>
        <v>0.37782299149380466</v>
      </c>
      <c r="BB81" s="3">
        <f t="shared" si="30"/>
        <v>28.853941679525626</v>
      </c>
      <c r="BC81" s="3">
        <v>0</v>
      </c>
      <c r="BD81" s="3">
        <v>0</v>
      </c>
      <c r="BE81" s="24">
        <v>1</v>
      </c>
      <c r="BG81" s="1">
        <f t="shared" si="13"/>
        <v>1.3304246260868968</v>
      </c>
      <c r="BH81" s="1">
        <f t="shared" si="14"/>
        <v>1.3524321586085859</v>
      </c>
      <c r="BI81" s="3"/>
    </row>
    <row r="82" spans="1:62">
      <c r="A82">
        <v>2003</v>
      </c>
      <c r="B82" s="3">
        <f t="shared" si="0"/>
        <v>146.60778099168698</v>
      </c>
      <c r="C82" s="3">
        <f t="shared" si="1"/>
        <v>84.37293294912061</v>
      </c>
      <c r="D82" s="2">
        <f t="shared" si="35"/>
        <v>102.44219207997808</v>
      </c>
      <c r="E82" s="2">
        <v>120.74837744367809</v>
      </c>
      <c r="F82" s="2">
        <f t="shared" si="36"/>
        <v>123.69728475430965</v>
      </c>
      <c r="G82" s="69">
        <v>0.88603399999999999</v>
      </c>
      <c r="H82" s="21">
        <f t="shared" si="32"/>
        <v>1.1449060282451764</v>
      </c>
      <c r="I82" s="7">
        <f>L82</f>
        <v>1.0960000000000001</v>
      </c>
      <c r="J82" s="21">
        <f t="shared" si="17"/>
        <v>1.1360869083976857</v>
      </c>
      <c r="K82" s="21"/>
      <c r="L82">
        <v>1.0960000000000001</v>
      </c>
      <c r="M82">
        <v>186.1</v>
      </c>
      <c r="N82" s="3">
        <f t="shared" si="26"/>
        <v>1.1784252200000001</v>
      </c>
      <c r="O82" s="3">
        <f>(O81+O83)/2</f>
        <v>133</v>
      </c>
      <c r="P82" s="23"/>
      <c r="Q82" s="32">
        <f t="shared" si="33"/>
        <v>0.30136065573770499</v>
      </c>
      <c r="R82" s="7">
        <f t="shared" si="18"/>
        <v>0.34144756413539051</v>
      </c>
      <c r="S82" s="27"/>
      <c r="T82">
        <f>USA!Z90*G82</f>
        <v>24.897555400000002</v>
      </c>
      <c r="U82">
        <v>0</v>
      </c>
      <c r="V82">
        <v>0</v>
      </c>
      <c r="W82">
        <v>0</v>
      </c>
      <c r="X82">
        <v>1</v>
      </c>
      <c r="Y82" s="23"/>
      <c r="AA82" s="7">
        <v>0.59699999999999998</v>
      </c>
      <c r="AB82" s="2">
        <v>0.22</v>
      </c>
      <c r="AC82" s="2">
        <f t="shared" si="4"/>
        <v>0.1976393442622951</v>
      </c>
      <c r="AD82" s="3">
        <f t="shared" si="34"/>
        <v>0.7946393442622951</v>
      </c>
      <c r="AE82" s="24">
        <v>0.78900000000000003</v>
      </c>
      <c r="AM82"/>
      <c r="AN82" s="9">
        <v>2003</v>
      </c>
      <c r="AO82" s="1">
        <f t="shared" si="6"/>
        <v>1.0960000000000001</v>
      </c>
      <c r="AP82" s="1">
        <f t="shared" si="20"/>
        <v>0.59699999999999998</v>
      </c>
      <c r="AQ82" s="1">
        <f t="shared" si="21"/>
        <v>0.1976393442622951</v>
      </c>
      <c r="AR82" s="1">
        <f t="shared" si="31"/>
        <v>0.7946393442622951</v>
      </c>
      <c r="AS82" s="1">
        <f t="shared" si="27"/>
        <v>0.30136065573770499</v>
      </c>
      <c r="AU82" s="3">
        <v>90.49311874603022</v>
      </c>
      <c r="AW82" s="1">
        <f t="shared" si="28"/>
        <v>1.2111418140819461</v>
      </c>
      <c r="AX82" s="1">
        <f t="shared" si="23"/>
        <v>1.2484645328359232</v>
      </c>
      <c r="AY82" s="1">
        <f t="shared" si="9"/>
        <v>0.87812129283825202</v>
      </c>
      <c r="AZ82" s="1">
        <f t="shared" si="24"/>
        <v>0.33302052124369408</v>
      </c>
      <c r="BA82" s="1">
        <f t="shared" si="29"/>
        <v>0.37034323999767105</v>
      </c>
      <c r="BB82" s="3">
        <f t="shared" si="30"/>
        <v>27.513202931899411</v>
      </c>
      <c r="BC82" s="3">
        <v>0</v>
      </c>
      <c r="BD82" s="3">
        <v>0</v>
      </c>
      <c r="BE82" s="24">
        <v>1</v>
      </c>
      <c r="BG82" s="1">
        <f t="shared" si="13"/>
        <v>1.3446161367955098</v>
      </c>
      <c r="BH82" s="1">
        <f t="shared" si="14"/>
        <v>1.3860520193009112</v>
      </c>
      <c r="BI82" s="17"/>
      <c r="BJ82" s="25"/>
    </row>
    <row r="83" spans="1:62">
      <c r="A83">
        <v>2004</v>
      </c>
      <c r="B83" s="3">
        <f t="shared" si="0"/>
        <v>163.5522235687848</v>
      </c>
      <c r="C83" s="3">
        <f t="shared" si="1"/>
        <v>86.62364207534489</v>
      </c>
      <c r="D83" s="2">
        <f t="shared" si="35"/>
        <v>114.28212192155749</v>
      </c>
      <c r="E83" s="2">
        <v>123.96942791081244</v>
      </c>
      <c r="F83" s="2">
        <f t="shared" si="36"/>
        <v>141.67489275049201</v>
      </c>
      <c r="G83" s="69">
        <v>0.805365</v>
      </c>
      <c r="H83" s="21">
        <f t="shared" si="32"/>
        <v>1.1210200162454336</v>
      </c>
      <c r="I83" s="7">
        <f>L83</f>
        <v>1.141</v>
      </c>
      <c r="J83" s="21">
        <f t="shared" si="17"/>
        <v>1.1246229641356011</v>
      </c>
      <c r="K83" s="21"/>
      <c r="L83">
        <v>1.141</v>
      </c>
      <c r="M83">
        <v>210.9</v>
      </c>
      <c r="N83" s="3">
        <f t="shared" si="26"/>
        <v>1.2402621</v>
      </c>
      <c r="O83" s="6">
        <v>154</v>
      </c>
      <c r="P83" s="23"/>
      <c r="Q83" s="32">
        <f t="shared" si="33"/>
        <v>0.33824590163934432</v>
      </c>
      <c r="R83" s="7">
        <f t="shared" si="18"/>
        <v>0.3218688657749455</v>
      </c>
      <c r="S83" s="27"/>
      <c r="T83">
        <f>USA!Z91*G83</f>
        <v>29.033408249999997</v>
      </c>
      <c r="U83">
        <v>0</v>
      </c>
      <c r="V83">
        <v>0</v>
      </c>
      <c r="W83">
        <v>0</v>
      </c>
      <c r="X83">
        <v>0</v>
      </c>
      <c r="Y83" s="23"/>
      <c r="AA83" s="7">
        <v>0.59699999999999998</v>
      </c>
      <c r="AB83" s="2">
        <v>0.22</v>
      </c>
      <c r="AC83" s="2">
        <f t="shared" si="4"/>
        <v>0.20575409836065575</v>
      </c>
      <c r="AD83" s="3">
        <f t="shared" si="34"/>
        <v>0.8027540983606557</v>
      </c>
      <c r="AE83" s="24">
        <v>0.79900000000000004</v>
      </c>
      <c r="AM83"/>
      <c r="AN83" s="9">
        <v>2004</v>
      </c>
      <c r="AO83" s="1">
        <f t="shared" si="6"/>
        <v>1.141</v>
      </c>
      <c r="AP83" s="1">
        <f t="shared" si="20"/>
        <v>0.59699999999999998</v>
      </c>
      <c r="AQ83" s="1">
        <f t="shared" si="21"/>
        <v>0.20575409836065575</v>
      </c>
      <c r="AR83" s="1">
        <f t="shared" si="31"/>
        <v>0.8027540983606557</v>
      </c>
      <c r="AS83" s="1">
        <f t="shared" si="27"/>
        <v>0.33824590163934432</v>
      </c>
      <c r="AU83" s="3">
        <v>90.662452546593826</v>
      </c>
      <c r="AW83" s="1">
        <f t="shared" si="28"/>
        <v>1.2585143771768252</v>
      </c>
      <c r="AX83" s="1">
        <f t="shared" si="23"/>
        <v>1.2809378421845448</v>
      </c>
      <c r="AY83" s="1">
        <f t="shared" si="9"/>
        <v>0.88543170387774284</v>
      </c>
      <c r="AZ83" s="1">
        <f t="shared" si="24"/>
        <v>0.3730826732990824</v>
      </c>
      <c r="BA83" s="1">
        <f t="shared" si="29"/>
        <v>0.39550613830680187</v>
      </c>
      <c r="BB83" s="3">
        <f t="shared" si="30"/>
        <v>32.023629887001967</v>
      </c>
      <c r="BC83" s="3">
        <v>0</v>
      </c>
      <c r="BD83" s="3">
        <v>0</v>
      </c>
      <c r="BE83" s="24">
        <v>1</v>
      </c>
      <c r="BG83" s="1">
        <f t="shared" si="13"/>
        <v>1.3972094103809169</v>
      </c>
      <c r="BH83" s="1">
        <f t="shared" si="14"/>
        <v>1.4221040614793137</v>
      </c>
      <c r="BI83" s="17"/>
      <c r="BJ83" s="25"/>
    </row>
    <row r="84" spans="1:62">
      <c r="A84">
        <v>2005</v>
      </c>
      <c r="B84" s="3">
        <f t="shared" si="0"/>
        <v>169.0222856782014</v>
      </c>
      <c r="C84" s="3">
        <f t="shared" si="1"/>
        <v>89.539246597092159</v>
      </c>
      <c r="D84" s="2">
        <f t="shared" si="35"/>
        <v>118.10432801124682</v>
      </c>
      <c r="E84" s="2">
        <v>128.14202809149756</v>
      </c>
      <c r="F84" s="2">
        <f t="shared" si="36"/>
        <v>151.34128117744632</v>
      </c>
      <c r="G84" s="69">
        <v>0.80411999999999995</v>
      </c>
      <c r="H84" s="21">
        <f t="shared" si="32"/>
        <v>1.2349431057001912</v>
      </c>
      <c r="I84" s="7">
        <f>K84</f>
        <v>1.2169655102040813</v>
      </c>
      <c r="J84" s="21">
        <f t="shared" si="17"/>
        <v>1.2317012442172861</v>
      </c>
      <c r="K84" s="3">
        <f>'EU petrol prices nominal'!AC3</f>
        <v>1.2169655102040813</v>
      </c>
      <c r="L84">
        <v>1.2110000000000001</v>
      </c>
      <c r="M84">
        <v>276.8</v>
      </c>
      <c r="N84" s="3">
        <f t="shared" si="26"/>
        <v>1.2423654</v>
      </c>
      <c r="O84" s="3">
        <f>(O83+O85)/2</f>
        <v>154.5</v>
      </c>
      <c r="P84" s="23"/>
      <c r="Q84" s="32">
        <f t="shared" si="33"/>
        <v>0.40354720307795267</v>
      </c>
      <c r="R84" s="7">
        <f t="shared" si="18"/>
        <v>0.42424844729523875</v>
      </c>
      <c r="S84" s="27"/>
      <c r="T84">
        <f>USA!Z92*G84</f>
        <v>40.720636800000001</v>
      </c>
      <c r="U84">
        <v>0</v>
      </c>
      <c r="V84">
        <v>0</v>
      </c>
      <c r="W84">
        <v>0</v>
      </c>
      <c r="X84">
        <v>0</v>
      </c>
      <c r="Y84" s="23"/>
      <c r="AA84" s="7">
        <v>0.58799999999999997</v>
      </c>
      <c r="AB84" s="2">
        <v>0.22</v>
      </c>
      <c r="AC84" s="2">
        <f t="shared" si="4"/>
        <v>0.21945279692204744</v>
      </c>
      <c r="AD84" s="3">
        <f t="shared" si="34"/>
        <v>0.80745279692204741</v>
      </c>
      <c r="AE84" s="24">
        <v>0.81100000000000005</v>
      </c>
      <c r="AM84"/>
      <c r="AN84" s="9">
        <v>2005</v>
      </c>
      <c r="AO84" s="1">
        <f t="shared" si="6"/>
        <v>1.2169655102040813</v>
      </c>
      <c r="AP84" s="1">
        <f t="shared" si="20"/>
        <v>0.58799999999999997</v>
      </c>
      <c r="AQ84" s="1">
        <f t="shared" si="21"/>
        <v>0.21945279692204744</v>
      </c>
      <c r="AR84" s="1">
        <f t="shared" si="31"/>
        <v>0.80745279692204741</v>
      </c>
      <c r="AS84" s="1">
        <f t="shared" si="27"/>
        <v>0.40951271328203387</v>
      </c>
      <c r="AU84" s="3">
        <v>91.228069477245697</v>
      </c>
      <c r="AW84" s="1">
        <f t="shared" si="28"/>
        <v>1.3339814348560992</v>
      </c>
      <c r="AX84" s="1">
        <f t="shared" si="23"/>
        <v>1.3509613464499333</v>
      </c>
      <c r="AY84" s="1">
        <f t="shared" si="9"/>
        <v>0.88509249570763315</v>
      </c>
      <c r="AZ84" s="1">
        <f t="shared" si="24"/>
        <v>0.44888893914846606</v>
      </c>
      <c r="BA84" s="1">
        <f t="shared" si="29"/>
        <v>0.46586885074230017</v>
      </c>
      <c r="BB84" s="3">
        <f t="shared" si="30"/>
        <v>44.636082987765768</v>
      </c>
      <c r="BC84" s="3">
        <v>0</v>
      </c>
      <c r="BD84" s="3">
        <v>0</v>
      </c>
      <c r="BE84" s="24">
        <v>1</v>
      </c>
      <c r="BG84" s="1">
        <f t="shared" si="13"/>
        <v>1.4809933425118933</v>
      </c>
      <c r="BH84" s="1">
        <f t="shared" si="14"/>
        <v>1.4998445314188975</v>
      </c>
      <c r="BI84" s="17"/>
      <c r="BJ84" s="25"/>
    </row>
    <row r="85" spans="1:62">
      <c r="A85">
        <v>2006</v>
      </c>
      <c r="B85" s="3">
        <f t="shared" si="0"/>
        <v>174.74061479206892</v>
      </c>
      <c r="C85" s="3">
        <f t="shared" si="1"/>
        <v>92.424281215596963</v>
      </c>
      <c r="D85" s="2">
        <f t="shared" si="35"/>
        <v>122.10001067895303</v>
      </c>
      <c r="E85" s="2">
        <v>132.27087886006535</v>
      </c>
      <c r="F85" s="2">
        <f t="shared" si="36"/>
        <v>161.50275721328481</v>
      </c>
      <c r="G85" s="69">
        <v>0.79714099999999999</v>
      </c>
      <c r="H85" s="21">
        <f t="shared" si="32"/>
        <v>1.3201061258500575</v>
      </c>
      <c r="I85" s="7">
        <f t="shared" ref="I85:I96" si="37">K85</f>
        <v>1.2874046938775505</v>
      </c>
      <c r="J85" s="21">
        <f t="shared" si="17"/>
        <v>1.3142091463140315</v>
      </c>
      <c r="K85" s="3">
        <f>'EU petrol prices nominal'!AC4</f>
        <v>1.2874046938775505</v>
      </c>
      <c r="L85">
        <v>1.288</v>
      </c>
      <c r="M85">
        <v>305.8</v>
      </c>
      <c r="N85" s="3">
        <f t="shared" si="26"/>
        <v>1.23556855</v>
      </c>
      <c r="O85" s="6">
        <v>155</v>
      </c>
      <c r="P85" s="23"/>
      <c r="Q85" s="32">
        <f t="shared" si="33"/>
        <v>0.46784505520240893</v>
      </c>
      <c r="R85" s="7">
        <f t="shared" si="18"/>
        <v>0.49405420151644053</v>
      </c>
      <c r="S85" s="27"/>
      <c r="T85">
        <f>USA!Z93*G85</f>
        <v>48.689372280000001</v>
      </c>
      <c r="U85">
        <v>0</v>
      </c>
      <c r="V85">
        <v>0</v>
      </c>
      <c r="W85">
        <v>0</v>
      </c>
      <c r="X85">
        <v>0</v>
      </c>
      <c r="Y85" s="23"/>
      <c r="AA85" s="7">
        <v>0.58799999999999997</v>
      </c>
      <c r="AB85" s="2">
        <v>0.22</v>
      </c>
      <c r="AC85" s="2">
        <f t="shared" si="4"/>
        <v>0.23215494479759108</v>
      </c>
      <c r="AD85" s="3">
        <f t="shared" si="34"/>
        <v>0.8201549447975911</v>
      </c>
      <c r="AE85" s="24">
        <v>0.82499999999999996</v>
      </c>
      <c r="AM85"/>
      <c r="AN85" s="9">
        <v>2006</v>
      </c>
      <c r="AO85" s="1">
        <f t="shared" si="6"/>
        <v>1.2874046938775505</v>
      </c>
      <c r="AP85" s="1">
        <f t="shared" si="20"/>
        <v>0.58799999999999997</v>
      </c>
      <c r="AQ85" s="1">
        <f t="shared" si="21"/>
        <v>0.23215494479759108</v>
      </c>
      <c r="AR85" s="1">
        <f t="shared" si="31"/>
        <v>0.8201549447975911</v>
      </c>
      <c r="AS85" s="1">
        <f t="shared" si="27"/>
        <v>0.46724974907995942</v>
      </c>
      <c r="AU85" s="3">
        <v>92.657309536482785</v>
      </c>
      <c r="AW85" s="1">
        <f t="shared" si="28"/>
        <v>1.3894259398613871</v>
      </c>
      <c r="AX85" s="1">
        <f t="shared" si="23"/>
        <v>1.395155602138392</v>
      </c>
      <c r="AY85" s="1">
        <f t="shared" si="9"/>
        <v>0.8851486719185</v>
      </c>
      <c r="AZ85" s="1">
        <f t="shared" si="24"/>
        <v>0.50427726794288708</v>
      </c>
      <c r="BA85" s="1">
        <f t="shared" si="29"/>
        <v>0.51000693021989207</v>
      </c>
      <c r="BB85" s="3">
        <f t="shared" si="30"/>
        <v>52.547794149828086</v>
      </c>
      <c r="BC85" s="3">
        <v>0</v>
      </c>
      <c r="BD85" s="3">
        <v>0</v>
      </c>
      <c r="BE85" s="24">
        <v>1</v>
      </c>
      <c r="BG85" s="1">
        <f t="shared" si="13"/>
        <v>1.5425481292923828</v>
      </c>
      <c r="BH85" s="1">
        <f t="shared" si="14"/>
        <v>1.5489092310778818</v>
      </c>
      <c r="BJ85" s="25"/>
    </row>
    <row r="86" spans="1:62">
      <c r="A86">
        <v>2007</v>
      </c>
      <c r="B86" s="3">
        <f t="shared" si="0"/>
        <v>186.91187296488999</v>
      </c>
      <c r="C86" s="3">
        <f t="shared" si="1"/>
        <v>95.074004003893037</v>
      </c>
      <c r="D86" s="2">
        <f t="shared" si="35"/>
        <v>130.60467775160885</v>
      </c>
      <c r="E86" s="2">
        <v>136.06296852886032</v>
      </c>
      <c r="F86" s="2">
        <f t="shared" si="36"/>
        <v>177.70460158639099</v>
      </c>
      <c r="G86" s="69">
        <v>0.73063800000000001</v>
      </c>
      <c r="H86" s="21">
        <f t="shared" si="32"/>
        <v>1.3391623796727934</v>
      </c>
      <c r="I86" s="7">
        <f t="shared" si="37"/>
        <v>1.2983773469387754</v>
      </c>
      <c r="J86" s="21">
        <f t="shared" si="17"/>
        <v>1.3318077016387901</v>
      </c>
      <c r="K86" s="3">
        <f>'EU petrol prices nominal'!AC5</f>
        <v>1.2983773469387754</v>
      </c>
      <c r="L86">
        <v>1.298</v>
      </c>
      <c r="M86">
        <v>302.10000000000002</v>
      </c>
      <c r="N86" s="3">
        <f t="shared" si="26"/>
        <v>1.29688245</v>
      </c>
      <c r="O86" s="3">
        <f>(O85+O87)/2</f>
        <v>177.5</v>
      </c>
      <c r="P86" s="23"/>
      <c r="Q86" s="32">
        <f t="shared" si="33"/>
        <v>0.47586638006022097</v>
      </c>
      <c r="R86" s="7">
        <f t="shared" si="18"/>
        <v>0.50967408169901096</v>
      </c>
      <c r="S86" s="27"/>
      <c r="T86">
        <f>USA!Z94*G86</f>
        <v>50.472473039999997</v>
      </c>
      <c r="U86">
        <v>0</v>
      </c>
      <c r="V86">
        <v>0</v>
      </c>
      <c r="W86">
        <v>0</v>
      </c>
      <c r="X86">
        <v>0</v>
      </c>
      <c r="Y86" s="23"/>
      <c r="AA86" s="7">
        <v>0.58799999999999997</v>
      </c>
      <c r="AB86" s="2">
        <v>0.22</v>
      </c>
      <c r="AC86" s="2">
        <f t="shared" si="4"/>
        <v>0.23413361993977916</v>
      </c>
      <c r="AD86" s="3">
        <f t="shared" si="34"/>
        <v>0.82213361993977907</v>
      </c>
      <c r="AE86" s="24">
        <v>0.82699999999999996</v>
      </c>
      <c r="AM86"/>
      <c r="AN86" s="9">
        <v>2007</v>
      </c>
      <c r="AO86" s="1">
        <f t="shared" si="6"/>
        <v>1.2983773469387754</v>
      </c>
      <c r="AP86" s="1">
        <f t="shared" si="20"/>
        <v>0.58799999999999997</v>
      </c>
      <c r="AQ86" s="1">
        <f t="shared" si="21"/>
        <v>0.23413361993977916</v>
      </c>
      <c r="AR86" s="1">
        <f t="shared" si="31"/>
        <v>0.82213361993977907</v>
      </c>
      <c r="AS86" s="1">
        <f t="shared" si="27"/>
        <v>0.47624372699899631</v>
      </c>
      <c r="AU86" s="3">
        <v>94.983625103530017</v>
      </c>
      <c r="AW86" s="1">
        <f t="shared" si="28"/>
        <v>1.3669486140622378</v>
      </c>
      <c r="AX86" s="1">
        <f t="shared" si="23"/>
        <v>1.378853027533359</v>
      </c>
      <c r="AY86" s="1">
        <f t="shared" si="9"/>
        <v>0.86555300352420939</v>
      </c>
      <c r="AZ86" s="1">
        <f t="shared" si="24"/>
        <v>0.50139561053802839</v>
      </c>
      <c r="BA86" s="1">
        <f t="shared" si="29"/>
        <v>0.51330002400914954</v>
      </c>
      <c r="BB86" s="3">
        <f t="shared" si="30"/>
        <v>53.138078258211493</v>
      </c>
      <c r="BC86" s="3">
        <v>0</v>
      </c>
      <c r="BD86" s="3">
        <v>0</v>
      </c>
      <c r="BE86" s="24">
        <v>1</v>
      </c>
      <c r="BG86" s="1">
        <f t="shared" si="13"/>
        <v>1.5175936816545101</v>
      </c>
      <c r="BH86" s="1">
        <f t="shared" si="14"/>
        <v>1.5308100253280947</v>
      </c>
      <c r="BJ86" s="25"/>
    </row>
    <row r="87" spans="1:62">
      <c r="A87">
        <v>2008</v>
      </c>
      <c r="B87" s="3">
        <f t="shared" si="0"/>
        <v>214.541411432735</v>
      </c>
      <c r="C87" s="3">
        <f t="shared" si="1"/>
        <v>98.70291900542351</v>
      </c>
      <c r="D87" s="2">
        <f t="shared" si="35"/>
        <v>149.9108187194243</v>
      </c>
      <c r="E87" s="2">
        <v>141.25640655453694</v>
      </c>
      <c r="F87" s="2">
        <f t="shared" si="36"/>
        <v>211.75863555954484</v>
      </c>
      <c r="G87" s="69">
        <v>0.68267500000000003</v>
      </c>
      <c r="H87" s="21">
        <f t="shared" si="32"/>
        <v>1.4185919089261221</v>
      </c>
      <c r="I87" s="7">
        <f t="shared" si="37"/>
        <v>1.4456232653061227</v>
      </c>
      <c r="J87" s="21">
        <f t="shared" si="17"/>
        <v>1.4234664158143189</v>
      </c>
      <c r="K87" s="3">
        <f>'EU petrol prices nominal'!AC6</f>
        <v>1.4456232653061227</v>
      </c>
      <c r="L87">
        <v>1.423</v>
      </c>
      <c r="M87">
        <v>399</v>
      </c>
      <c r="N87" s="3">
        <f t="shared" si="26"/>
        <v>1.3653500000000001</v>
      </c>
      <c r="O87" s="6">
        <v>200</v>
      </c>
      <c r="P87" s="23"/>
      <c r="Q87" s="32">
        <f t="shared" si="33"/>
        <v>0.55131383740381401</v>
      </c>
      <c r="R87" s="7">
        <f t="shared" si="18"/>
        <v>0.55178025321813295</v>
      </c>
      <c r="S87" s="27"/>
      <c r="T87">
        <f>USA!Z95*G87</f>
        <v>64.478653750000007</v>
      </c>
      <c r="U87">
        <v>0</v>
      </c>
      <c r="V87">
        <v>0</v>
      </c>
      <c r="W87">
        <v>1</v>
      </c>
      <c r="X87">
        <v>0</v>
      </c>
      <c r="Y87" s="23"/>
      <c r="AA87" s="7">
        <v>0.61099999999999999</v>
      </c>
      <c r="AB87" s="2">
        <v>0.22</v>
      </c>
      <c r="AC87" s="2">
        <f t="shared" si="4"/>
        <v>0.2606861625961861</v>
      </c>
      <c r="AD87" s="3">
        <f t="shared" si="34"/>
        <v>0.87168616259618603</v>
      </c>
      <c r="AE87" s="24">
        <v>0.89100000000000001</v>
      </c>
      <c r="AM87"/>
      <c r="AN87" s="9">
        <v>2008</v>
      </c>
      <c r="AO87" s="1">
        <f t="shared" si="6"/>
        <v>1.4456232653061227</v>
      </c>
      <c r="AP87" s="1">
        <f t="shared" si="20"/>
        <v>0.61099999999999999</v>
      </c>
      <c r="AQ87" s="1">
        <f t="shared" si="21"/>
        <v>0.2606861625961861</v>
      </c>
      <c r="AR87" s="1">
        <f t="shared" si="31"/>
        <v>0.87168616259618603</v>
      </c>
      <c r="AS87" s="1">
        <f t="shared" si="27"/>
        <v>0.5739371027099367</v>
      </c>
      <c r="AU87" s="3">
        <v>98.845613708099492</v>
      </c>
      <c r="AW87" s="1">
        <f t="shared" si="28"/>
        <v>1.4625062368221882</v>
      </c>
      <c r="AX87" s="1">
        <f t="shared" si="23"/>
        <v>1.4626344562338516</v>
      </c>
      <c r="AY87" s="1">
        <f t="shared" si="9"/>
        <v>0.88186630634957497</v>
      </c>
      <c r="AZ87" s="1">
        <f t="shared" si="24"/>
        <v>0.5806399304726132</v>
      </c>
      <c r="BA87" s="1">
        <f t="shared" si="29"/>
        <v>0.58076814988427672</v>
      </c>
      <c r="BB87" s="3">
        <f t="shared" si="30"/>
        <v>65.231679313977054</v>
      </c>
      <c r="BC87" s="3">
        <v>0</v>
      </c>
      <c r="BD87" s="3">
        <v>0</v>
      </c>
      <c r="BE87" s="24">
        <v>1</v>
      </c>
      <c r="BG87" s="1">
        <f t="shared" si="13"/>
        <v>1.6236822668746003</v>
      </c>
      <c r="BH87" s="1">
        <f t="shared" si="14"/>
        <v>1.6238246167530113</v>
      </c>
      <c r="BJ87" s="25"/>
    </row>
    <row r="88" spans="1:62">
      <c r="A88">
        <v>2009</v>
      </c>
      <c r="B88" s="3">
        <f t="shared" si="0"/>
        <v>180.35411732488228</v>
      </c>
      <c r="C88" s="3">
        <f>E88/E$89*100</f>
        <v>98.380597588111073</v>
      </c>
      <c r="D88" s="2">
        <f t="shared" si="35"/>
        <v>126.02244576949244</v>
      </c>
      <c r="E88" s="2">
        <v>140.7951236905254</v>
      </c>
      <c r="F88" s="2">
        <f t="shared" si="36"/>
        <v>177.43345839898217</v>
      </c>
      <c r="G88" s="69">
        <v>0.71984416666666673</v>
      </c>
      <c r="H88" s="21">
        <f t="shared" si="32"/>
        <v>1.2975551540245345</v>
      </c>
      <c r="I88" s="7">
        <f t="shared" si="37"/>
        <v>1.2772444000000001</v>
      </c>
      <c r="J88" s="21">
        <f t="shared" si="17"/>
        <v>1.2938925590365038</v>
      </c>
      <c r="K88" s="3">
        <f>'EU petrol prices nominal'!AC7</f>
        <v>1.2772444000000001</v>
      </c>
      <c r="L88">
        <v>1.284</v>
      </c>
      <c r="M88">
        <v>284.10000000000002</v>
      </c>
      <c r="N88" s="3">
        <f t="shared" si="26"/>
        <v>1.2957195000000001</v>
      </c>
      <c r="O88" s="3">
        <v>180</v>
      </c>
      <c r="P88" s="23"/>
      <c r="Q88" s="32">
        <f t="shared" si="33"/>
        <v>0.44267723934426229</v>
      </c>
      <c r="R88" s="7">
        <f t="shared" si="18"/>
        <v>0.452569798380766</v>
      </c>
      <c r="S88" s="27"/>
      <c r="T88">
        <f>USA!Z96*G88</f>
        <v>43.953684816666673</v>
      </c>
      <c r="U88">
        <v>0</v>
      </c>
      <c r="V88">
        <v>0</v>
      </c>
      <c r="W88">
        <v>0</v>
      </c>
      <c r="X88">
        <v>0</v>
      </c>
      <c r="Y88" s="23"/>
      <c r="AA88" s="7">
        <v>0.61099999999999999</v>
      </c>
      <c r="AB88" s="2">
        <v>0.22</v>
      </c>
      <c r="AC88" s="2">
        <f t="shared" si="4"/>
        <v>0.23032276065573773</v>
      </c>
      <c r="AD88" s="3">
        <f t="shared" si="34"/>
        <v>0.84132276065573774</v>
      </c>
      <c r="AE88" s="24">
        <v>0.86499999999999999</v>
      </c>
      <c r="AM88"/>
      <c r="AN88" s="9">
        <v>2009</v>
      </c>
      <c r="AO88" s="1">
        <f t="shared" si="6"/>
        <v>1.2772444000000001</v>
      </c>
      <c r="AP88" s="1">
        <f t="shared" si="20"/>
        <v>0.61099999999999999</v>
      </c>
      <c r="AQ88" s="1">
        <f t="shared" si="21"/>
        <v>0.23032276065573773</v>
      </c>
      <c r="AR88" s="1">
        <f t="shared" si="31"/>
        <v>0.84132276065573774</v>
      </c>
      <c r="AS88" s="1">
        <f t="shared" si="27"/>
        <v>0.43592163934426231</v>
      </c>
      <c r="AU88" s="3">
        <v>98.845613708099492</v>
      </c>
      <c r="AW88" s="1">
        <f t="shared" si="28"/>
        <v>1.2921609286293922</v>
      </c>
      <c r="AX88" s="1">
        <f t="shared" si="23"/>
        <v>1.3160738982711238</v>
      </c>
      <c r="AY88" s="1">
        <f t="shared" si="9"/>
        <v>0.85114829995415264</v>
      </c>
      <c r="AZ88" s="1">
        <f t="shared" si="24"/>
        <v>0.4410126286752396</v>
      </c>
      <c r="BA88" s="1">
        <f t="shared" si="29"/>
        <v>0.46492559831697117</v>
      </c>
      <c r="BB88" s="3">
        <f t="shared" si="30"/>
        <v>44.467005836461382</v>
      </c>
      <c r="BC88" s="3">
        <v>0</v>
      </c>
      <c r="BD88" s="3">
        <v>0</v>
      </c>
      <c r="BE88" s="24">
        <v>1</v>
      </c>
      <c r="BG88" s="1">
        <f t="shared" si="13"/>
        <v>1.4345639922346825</v>
      </c>
      <c r="BH88" s="1">
        <f t="shared" si="14"/>
        <v>1.4611122993652939</v>
      </c>
      <c r="BJ88" s="25"/>
    </row>
    <row r="89" spans="1:62">
      <c r="A89">
        <v>2010</v>
      </c>
      <c r="B89" s="3">
        <f>I89/G89*100/C89*100</f>
        <v>188.86385282995855</v>
      </c>
      <c r="C89" s="3">
        <f>CPIs!AB49</f>
        <v>99.999998509883881</v>
      </c>
      <c r="D89" s="2">
        <f t="shared" si="35"/>
        <v>131.96862178390293</v>
      </c>
      <c r="E89" s="2">
        <v>143.11269411067286</v>
      </c>
      <c r="F89" s="2">
        <f t="shared" si="36"/>
        <v>188.86385001566782</v>
      </c>
      <c r="G89" s="69">
        <v>0.75504666666666675</v>
      </c>
      <c r="H89" s="21">
        <f t="shared" si="32"/>
        <v>1.4587365159298629</v>
      </c>
      <c r="I89" s="7">
        <f t="shared" si="37"/>
        <v>1.4260102040816327</v>
      </c>
      <c r="J89" s="21">
        <f>R89+AD89</f>
        <v>1.452725560692433</v>
      </c>
      <c r="K89" s="3">
        <f>'EU petrol prices nominal'!AC8</f>
        <v>1.4260102040816327</v>
      </c>
      <c r="L89">
        <v>1.429</v>
      </c>
      <c r="M89">
        <v>369.4</v>
      </c>
      <c r="O89"/>
      <c r="P89" s="23"/>
      <c r="Q89" s="32">
        <f t="shared" si="33"/>
        <v>0.55607975843398583</v>
      </c>
      <c r="R89" s="7">
        <f>R$92+R$93*T89+R$94*U89+R$95*V89+R$96*W89+R$97*X89</f>
        <v>0.57980531912641864</v>
      </c>
      <c r="S89" s="27"/>
      <c r="T89">
        <f>USA!Z97*G89</f>
        <v>58.478364333333346</v>
      </c>
      <c r="U89">
        <v>0</v>
      </c>
      <c r="V89">
        <v>0</v>
      </c>
      <c r="W89">
        <v>0</v>
      </c>
      <c r="X89">
        <v>0</v>
      </c>
      <c r="Y89" s="23"/>
      <c r="AA89" s="7">
        <v>0.61099999999999999</v>
      </c>
      <c r="AB89" s="2">
        <v>0.22500000000000001</v>
      </c>
      <c r="AC89" s="2">
        <f t="shared" si="4"/>
        <v>0.26192024156601418</v>
      </c>
      <c r="AD89" s="3">
        <f t="shared" si="34"/>
        <v>0.87292024156601422</v>
      </c>
      <c r="AE89" s="24">
        <v>0.89600000000000002</v>
      </c>
      <c r="AM89"/>
      <c r="AN89" s="9">
        <v>2010</v>
      </c>
      <c r="AO89" s="1">
        <f t="shared" si="6"/>
        <v>1.4260102040816327</v>
      </c>
      <c r="AP89" s="1">
        <f t="shared" si="20"/>
        <v>0.61099999999999999</v>
      </c>
      <c r="AQ89" s="1">
        <f t="shared" si="21"/>
        <v>0.26192024156601418</v>
      </c>
      <c r="AR89" s="1">
        <f t="shared" si="31"/>
        <v>0.87292024156601422</v>
      </c>
      <c r="AS89" s="1">
        <f t="shared" si="27"/>
        <v>0.55308996251561848</v>
      </c>
      <c r="AU89" s="3">
        <v>100</v>
      </c>
      <c r="AW89" s="1">
        <f t="shared" si="28"/>
        <v>1.4260102040816327</v>
      </c>
      <c r="AX89" s="1">
        <f t="shared" si="23"/>
        <v>1.4160128055691747</v>
      </c>
      <c r="AY89" s="1">
        <f t="shared" si="9"/>
        <v>0.87292024156601422</v>
      </c>
      <c r="AZ89" s="1">
        <f t="shared" si="24"/>
        <v>0.55308996251561848</v>
      </c>
      <c r="BA89" s="1">
        <f t="shared" si="29"/>
        <v>0.54309256400316064</v>
      </c>
      <c r="BB89" s="3">
        <f t="shared" si="30"/>
        <v>58.478364333333346</v>
      </c>
      <c r="BC89" s="3">
        <v>0</v>
      </c>
      <c r="BD89" s="3">
        <v>0</v>
      </c>
      <c r="BE89" s="24">
        <v>1</v>
      </c>
      <c r="BG89" s="1">
        <f t="shared" si="13"/>
        <v>1.5831641756144401</v>
      </c>
      <c r="BH89" s="1">
        <f t="shared" si="14"/>
        <v>1.572065010174416</v>
      </c>
      <c r="BJ89" s="25"/>
    </row>
    <row r="90" spans="1:62">
      <c r="A90">
        <v>2011</v>
      </c>
      <c r="B90" s="3">
        <f t="shared" ref="B90:B96" si="38">I90/G90*100/C90*100</f>
        <v>211.39680840938803</v>
      </c>
      <c r="C90" s="3">
        <f>CPIs!AB50</f>
        <v>103.13271097869961</v>
      </c>
      <c r="G90">
        <f>'Exchange Rates'!J50</f>
        <v>0.71544109992713056</v>
      </c>
      <c r="I90" s="7">
        <f t="shared" si="37"/>
        <v>1.5597993877551026</v>
      </c>
      <c r="K90" s="3">
        <f>'EU petrol prices nominal'!AC9</f>
        <v>1.5597993877551026</v>
      </c>
      <c r="O90"/>
      <c r="P90" s="23"/>
      <c r="Q90" s="21"/>
      <c r="R90" s="21"/>
      <c r="S90" s="23"/>
      <c r="T90">
        <f>USA!Z98*G90</f>
        <v>76.874146187170183</v>
      </c>
      <c r="X90"/>
      <c r="Y90" s="23"/>
      <c r="AA90" s="7">
        <v>0.62</v>
      </c>
      <c r="AB90" s="2">
        <v>0.23</v>
      </c>
      <c r="AC90" s="2">
        <f t="shared" si="4"/>
        <v>0.29166980421436878</v>
      </c>
      <c r="AD90" s="3">
        <f t="shared" si="34"/>
        <v>0.91166980421436872</v>
      </c>
      <c r="AM90"/>
      <c r="AN90" s="9">
        <v>2011</v>
      </c>
      <c r="AO90" s="1">
        <f t="shared" ref="AO90:AO96" si="39">I90</f>
        <v>1.5597993877551026</v>
      </c>
      <c r="AP90" s="1">
        <f t="shared" si="20"/>
        <v>0.62</v>
      </c>
      <c r="AQ90" s="1">
        <f t="shared" si="21"/>
        <v>0.29166980421436878</v>
      </c>
      <c r="AR90" s="1">
        <f t="shared" si="31"/>
        <v>0.91166980421436872</v>
      </c>
      <c r="AS90" s="1">
        <f t="shared" si="27"/>
        <v>0.64812958354073391</v>
      </c>
      <c r="AU90" s="3">
        <f>CPIs!J50</f>
        <v>103.41680908203125</v>
      </c>
      <c r="AW90" s="1">
        <f t="shared" si="28"/>
        <v>1.5082648571354142</v>
      </c>
      <c r="AX90" s="1">
        <f t="shared" si="23"/>
        <v>1.5130989881094632</v>
      </c>
      <c r="AY90" s="1">
        <f t="shared" ref="AY90:AY96" si="40">AR90/$AU90*100</f>
        <v>0.88154895931010901</v>
      </c>
      <c r="AZ90" s="1">
        <f t="shared" si="24"/>
        <v>0.62671589782530523</v>
      </c>
      <c r="BA90" s="1">
        <f t="shared" si="29"/>
        <v>0.63155002879935418</v>
      </c>
      <c r="BB90" s="3">
        <f t="shared" si="30"/>
        <v>74.334285566858711</v>
      </c>
      <c r="BC90" s="3">
        <v>0</v>
      </c>
      <c r="BD90" s="3">
        <v>0</v>
      </c>
      <c r="BE90" s="24">
        <v>1</v>
      </c>
      <c r="BG90" s="1">
        <f t="shared" si="13"/>
        <v>1.6744837325289763</v>
      </c>
      <c r="BH90" s="1">
        <f t="shared" si="14"/>
        <v>1.6798506106596074</v>
      </c>
      <c r="BI90" s="17"/>
      <c r="BJ90" s="25"/>
    </row>
    <row r="91" spans="1:62">
      <c r="A91">
        <v>2012</v>
      </c>
      <c r="B91" s="3">
        <f t="shared" si="38"/>
        <v>205.19319379591317</v>
      </c>
      <c r="C91" s="3">
        <f>CPIs!AB51</f>
        <v>105.21072267093371</v>
      </c>
      <c r="G91">
        <f>'Exchange Rates'!J51</f>
        <v>0.773899446716382</v>
      </c>
      <c r="I91" s="7">
        <f t="shared" si="37"/>
        <v>1.6707346938775509</v>
      </c>
      <c r="K91" s="3">
        <f>'EU petrol prices nominal'!AC10</f>
        <v>1.6707346938775509</v>
      </c>
      <c r="O91"/>
      <c r="P91" s="23"/>
      <c r="Q91" s="21"/>
      <c r="R91" s="21"/>
      <c r="S91" s="23"/>
      <c r="T91">
        <f>USA!Z99*G91</f>
        <v>84.738784181902005</v>
      </c>
      <c r="X91"/>
      <c r="Y91" s="23"/>
      <c r="AA91" s="7">
        <v>0.64359999999999995</v>
      </c>
      <c r="AB91" s="2">
        <v>0.23</v>
      </c>
      <c r="AC91" s="2">
        <f t="shared" ref="AC91:AC96" si="41">AB91*(I91*(1/(1+AB91)))</f>
        <v>0.31241380454620871</v>
      </c>
      <c r="AD91" s="3">
        <f t="shared" si="34"/>
        <v>0.95601380454620866</v>
      </c>
      <c r="AM91"/>
      <c r="AN91" s="9">
        <v>2012</v>
      </c>
      <c r="AO91" s="1">
        <f t="shared" si="39"/>
        <v>1.6707346938775509</v>
      </c>
      <c r="AP91" s="1">
        <f t="shared" si="20"/>
        <v>0.64359999999999995</v>
      </c>
      <c r="AQ91" s="1">
        <f t="shared" si="21"/>
        <v>0.31241380454620871</v>
      </c>
      <c r="AR91" s="1">
        <f t="shared" si="31"/>
        <v>0.95601380454620866</v>
      </c>
      <c r="AS91" s="1">
        <f t="shared" si="27"/>
        <v>0.71472088933134226</v>
      </c>
      <c r="AU91" s="3">
        <f>CPIs!J51</f>
        <v>106.32109832763672</v>
      </c>
      <c r="AW91" s="1">
        <f t="shared" si="28"/>
        <v>1.5714046601823584</v>
      </c>
      <c r="AX91" s="1">
        <f t="shared" si="23"/>
        <v>1.5606649931670802</v>
      </c>
      <c r="AY91" s="1">
        <f t="shared" si="40"/>
        <v>0.89917600512381646</v>
      </c>
      <c r="AZ91" s="1">
        <f t="shared" si="24"/>
        <v>0.6722286550585419</v>
      </c>
      <c r="BA91" s="1">
        <f t="shared" si="29"/>
        <v>0.66148898804326361</v>
      </c>
      <c r="BB91" s="3">
        <f t="shared" si="30"/>
        <v>79.700817161211845</v>
      </c>
      <c r="BC91" s="3">
        <v>0</v>
      </c>
      <c r="BD91" s="3">
        <v>0</v>
      </c>
      <c r="BE91" s="24">
        <v>1</v>
      </c>
      <c r="BG91" s="1">
        <f t="shared" si="13"/>
        <v>1.7445818804616899</v>
      </c>
      <c r="BH91" s="1">
        <f t="shared" si="14"/>
        <v>1.732658644549387</v>
      </c>
      <c r="BI91" s="17"/>
      <c r="BJ91" s="25"/>
    </row>
    <row r="92" spans="1:62">
      <c r="A92">
        <v>2013</v>
      </c>
      <c r="B92" s="3">
        <f t="shared" si="38"/>
        <v>204.80097136701048</v>
      </c>
      <c r="C92" s="3">
        <f>CPIs!AB52</f>
        <v>106.69767516878358</v>
      </c>
      <c r="G92">
        <f>'Exchange Rates'!J52</f>
        <v>0.75166876437654617</v>
      </c>
      <c r="I92" s="7">
        <f t="shared" si="37"/>
        <v>1.6425306122448979</v>
      </c>
      <c r="K92" s="3">
        <f>'EU petrol prices nominal'!AC11</f>
        <v>1.6425306122448979</v>
      </c>
      <c r="O92"/>
      <c r="P92" s="23"/>
      <c r="Q92" s="13" t="s">
        <v>88</v>
      </c>
      <c r="R92" s="13">
        <v>6.7537552407857415E-2</v>
      </c>
      <c r="S92" s="28"/>
      <c r="T92">
        <f>USA!Z100*G92</f>
        <v>79.628970140184876</v>
      </c>
      <c r="X92"/>
      <c r="Y92" s="23"/>
      <c r="AA92" s="7">
        <v>0.64359999999999995</v>
      </c>
      <c r="AB92" s="2">
        <v>0.24</v>
      </c>
      <c r="AC92" s="2">
        <f t="shared" si="41"/>
        <v>0.31790915075707704</v>
      </c>
      <c r="AD92" s="3">
        <f t="shared" si="34"/>
        <v>0.96150915075707699</v>
      </c>
      <c r="AM92"/>
      <c r="AN92" s="9">
        <v>2013</v>
      </c>
      <c r="AO92" s="1">
        <f t="shared" si="39"/>
        <v>1.6425306122448979</v>
      </c>
      <c r="AP92" s="1">
        <f t="shared" si="20"/>
        <v>0.64359999999999995</v>
      </c>
      <c r="AQ92" s="1">
        <f t="shared" si="21"/>
        <v>0.31790915075707704</v>
      </c>
      <c r="AR92" s="1">
        <f t="shared" si="31"/>
        <v>0.96150915075707699</v>
      </c>
      <c r="AS92" s="1">
        <f t="shared" si="27"/>
        <v>0.68102146148782094</v>
      </c>
      <c r="AU92" s="3">
        <f>CPIs!J52</f>
        <v>107.89282989501953</v>
      </c>
      <c r="AW92" s="1">
        <f t="shared" si="28"/>
        <v>1.5223723521230201</v>
      </c>
      <c r="AX92" s="1">
        <f t="shared" si="23"/>
        <v>1.5197609163665904</v>
      </c>
      <c r="AY92" s="1">
        <f t="shared" si="40"/>
        <v>0.89117057332969396</v>
      </c>
      <c r="AZ92" s="1">
        <f t="shared" si="24"/>
        <v>0.63120177879332617</v>
      </c>
      <c r="BA92" s="1">
        <f t="shared" si="29"/>
        <v>0.62859034303689643</v>
      </c>
      <c r="BB92" s="3">
        <f t="shared" si="30"/>
        <v>73.803764548269257</v>
      </c>
      <c r="BC92" s="3">
        <v>0</v>
      </c>
      <c r="BD92" s="3">
        <v>0</v>
      </c>
      <c r="BE92" s="24">
        <v>1</v>
      </c>
      <c r="BG92" s="1">
        <f t="shared" si="13"/>
        <v>1.6901459491162845</v>
      </c>
      <c r="BH92" s="1">
        <f t="shared" si="14"/>
        <v>1.687246719135556</v>
      </c>
      <c r="BI92" s="3"/>
    </row>
    <row r="93" spans="1:62">
      <c r="A93">
        <v>2014</v>
      </c>
      <c r="B93" s="3">
        <f t="shared" si="38"/>
        <v>195.66977761022736</v>
      </c>
      <c r="C93" s="3">
        <f>CPIs!AB53</f>
        <v>108.45811062912946</v>
      </c>
      <c r="G93">
        <f>'Exchange Rates'!J53</f>
        <v>0.757387838338895</v>
      </c>
      <c r="I93" s="7">
        <f t="shared" si="37"/>
        <v>1.6073265306122448</v>
      </c>
      <c r="K93" s="3">
        <f>'EU petrol prices nominal'!AC12</f>
        <v>1.6073265306122448</v>
      </c>
      <c r="O93"/>
      <c r="P93" s="23"/>
      <c r="Q93" s="13" t="s">
        <v>99</v>
      </c>
      <c r="R93" s="13">
        <v>8.7599537462877131E-3</v>
      </c>
      <c r="S93" s="28"/>
      <c r="T93">
        <f>USA!Z101*G93</f>
        <v>72.852422962937197</v>
      </c>
      <c r="X93"/>
      <c r="Y93" s="23"/>
      <c r="AA93" s="7">
        <v>0.66610000000000003</v>
      </c>
      <c r="AB93" s="2">
        <v>0.24</v>
      </c>
      <c r="AC93" s="2">
        <f t="shared" si="41"/>
        <v>0.31109545753785384</v>
      </c>
      <c r="AD93" s="3">
        <f t="shared" si="34"/>
        <v>0.97719545753785386</v>
      </c>
      <c r="AM93"/>
      <c r="AN93" s="9">
        <v>2014</v>
      </c>
      <c r="AO93" s="1">
        <f t="shared" si="39"/>
        <v>1.6073265306122448</v>
      </c>
      <c r="AP93" s="1">
        <f t="shared" si="20"/>
        <v>0.66610000000000003</v>
      </c>
      <c r="AQ93" s="1">
        <f t="shared" si="21"/>
        <v>0.31109545753785384</v>
      </c>
      <c r="AR93" s="1">
        <f t="shared" si="31"/>
        <v>0.97719545753785386</v>
      </c>
      <c r="AS93" s="1">
        <f t="shared" si="27"/>
        <v>0.63013107307439098</v>
      </c>
      <c r="AU93" s="3">
        <f>CPIs!J53</f>
        <v>109.01621246337891</v>
      </c>
      <c r="AW93" s="1">
        <f t="shared" si="28"/>
        <v>1.4743921975386767</v>
      </c>
      <c r="AX93" s="1">
        <f t="shared" si="23"/>
        <v>1.4860452509600948</v>
      </c>
      <c r="AY93" s="1">
        <f t="shared" si="40"/>
        <v>0.89637626868216203</v>
      </c>
      <c r="AZ93" s="1">
        <f t="shared" si="24"/>
        <v>0.57801592885651465</v>
      </c>
      <c r="BA93" s="1">
        <f t="shared" si="29"/>
        <v>0.58966898227793285</v>
      </c>
      <c r="BB93" s="3">
        <f t="shared" si="30"/>
        <v>66.827145538018044</v>
      </c>
      <c r="BC93" s="3">
        <v>0</v>
      </c>
      <c r="BD93" s="3">
        <v>0</v>
      </c>
      <c r="BE93" s="24">
        <v>1</v>
      </c>
      <c r="BG93" s="1">
        <f t="shared" si="13"/>
        <v>1.6368781242010377</v>
      </c>
      <c r="BH93" s="1">
        <f t="shared" si="14"/>
        <v>1.6498154065995123</v>
      </c>
      <c r="BI93" s="3"/>
    </row>
    <row r="94" spans="1:62">
      <c r="A94">
        <v>2015</v>
      </c>
      <c r="B94" s="3">
        <f t="shared" si="38"/>
        <v>149.09209984529048</v>
      </c>
      <c r="C94" s="3">
        <f>CPIs!AB54</f>
        <v>108.69337137051741</v>
      </c>
      <c r="G94">
        <f>'Exchange Rates'!J54</f>
        <v>0.90592556207997499</v>
      </c>
      <c r="I94" s="7">
        <f t="shared" si="37"/>
        <v>1.468081632653061</v>
      </c>
      <c r="K94" s="3">
        <f>'EU petrol prices nominal'!AC13</f>
        <v>1.468081632653061</v>
      </c>
      <c r="O94"/>
      <c r="P94" s="23"/>
      <c r="Q94" s="13" t="s">
        <v>127</v>
      </c>
      <c r="R94" s="13">
        <v>-3.8793843762967226E-2</v>
      </c>
      <c r="S94" s="28"/>
      <c r="T94">
        <f>USA!Z102*G94</f>
        <v>44.858421631706442</v>
      </c>
      <c r="X94"/>
      <c r="Y94" s="23"/>
      <c r="AA94" s="7">
        <v>0.67449999999999999</v>
      </c>
      <c r="AB94" s="2">
        <v>0.24</v>
      </c>
      <c r="AC94" s="2">
        <f t="shared" si="41"/>
        <v>0.28414483212639891</v>
      </c>
      <c r="AD94" s="3">
        <f t="shared" si="34"/>
        <v>0.95864483212639895</v>
      </c>
      <c r="AM94"/>
      <c r="AN94" s="9">
        <v>2015</v>
      </c>
      <c r="AO94" s="1">
        <f t="shared" si="39"/>
        <v>1.468081632653061</v>
      </c>
      <c r="AP94" s="1">
        <f t="shared" si="20"/>
        <v>0.67449999999999999</v>
      </c>
      <c r="AQ94" s="1">
        <f t="shared" si="21"/>
        <v>0.28414483212639891</v>
      </c>
      <c r="AR94" s="1">
        <f t="shared" si="31"/>
        <v>0.95864483212639895</v>
      </c>
      <c r="AS94" s="1">
        <f t="shared" si="27"/>
        <v>0.50943680052666207</v>
      </c>
      <c r="AU94" s="3">
        <f>CPIs!J54</f>
        <v>108.79036712646484</v>
      </c>
      <c r="AW94" s="1">
        <f t="shared" si="28"/>
        <v>1.3494592135592938</v>
      </c>
      <c r="AX94" s="1">
        <f t="shared" si="23"/>
        <v>1.3280735965364234</v>
      </c>
      <c r="AY94" s="1">
        <f t="shared" si="40"/>
        <v>0.88118540036914228</v>
      </c>
      <c r="AZ94" s="1">
        <f t="shared" si="24"/>
        <v>0.46827381319015149</v>
      </c>
      <c r="BA94" s="1">
        <f t="shared" si="29"/>
        <v>0.44688819616728109</v>
      </c>
      <c r="BB94" s="3">
        <f t="shared" si="30"/>
        <v>41.233817677589194</v>
      </c>
      <c r="BC94" s="3">
        <v>0</v>
      </c>
      <c r="BD94" s="3">
        <v>0</v>
      </c>
      <c r="BE94" s="24">
        <v>1</v>
      </c>
      <c r="BG94" s="1">
        <f t="shared" si="13"/>
        <v>1.4981768554284551</v>
      </c>
      <c r="BH94" s="1">
        <f t="shared" si="14"/>
        <v>1.474434428728344</v>
      </c>
      <c r="BI94" s="3"/>
    </row>
    <row r="95" spans="1:62">
      <c r="A95">
        <v>2016</v>
      </c>
      <c r="B95" s="3">
        <f t="shared" si="38"/>
        <v>138.33712763146107</v>
      </c>
      <c r="C95" s="3">
        <f>CPIs!AB55</f>
        <v>110.08253978538585</v>
      </c>
      <c r="G95">
        <f>'Exchange Rates'!J55</f>
        <v>0.90674707708863456</v>
      </c>
      <c r="I95" s="7">
        <f t="shared" si="37"/>
        <v>1.3808399999999998</v>
      </c>
      <c r="K95" s="3">
        <f>'EU petrol prices nominal'!AC14</f>
        <v>1.3808399999999998</v>
      </c>
      <c r="O95"/>
      <c r="P95" s="23"/>
      <c r="Q95" s="13" t="s">
        <v>136</v>
      </c>
      <c r="R95" s="13">
        <v>7.4905049402509735E-2</v>
      </c>
      <c r="S95" s="23"/>
      <c r="T95">
        <f>USA!Z103*G95</f>
        <v>36.890067859371442</v>
      </c>
      <c r="X95"/>
      <c r="Y95" s="23"/>
      <c r="AA95" s="7">
        <v>0.67449999999999999</v>
      </c>
      <c r="AB95" s="2">
        <v>0.24</v>
      </c>
      <c r="AC95" s="2">
        <f t="shared" si="41"/>
        <v>0.26725935483870966</v>
      </c>
      <c r="AD95" s="3">
        <f t="shared" si="34"/>
        <v>0.94175935483870965</v>
      </c>
      <c r="AM95"/>
      <c r="AN95" s="9">
        <v>2016</v>
      </c>
      <c r="AO95" s="1">
        <f t="shared" si="39"/>
        <v>1.3808399999999998</v>
      </c>
      <c r="AP95" s="1">
        <f t="shared" si="20"/>
        <v>0.67449999999999999</v>
      </c>
      <c r="AQ95" s="1">
        <f t="shared" si="21"/>
        <v>0.26725935483870966</v>
      </c>
      <c r="AR95" s="1">
        <f t="shared" si="31"/>
        <v>0.94175935483870965</v>
      </c>
      <c r="AS95" s="1">
        <f t="shared" si="27"/>
        <v>0.4390806451612902</v>
      </c>
      <c r="AU95" s="3">
        <f>CPIs!J55</f>
        <v>109.17871856689453</v>
      </c>
      <c r="AW95" s="1">
        <f t="shared" si="28"/>
        <v>1.2647519755912411</v>
      </c>
      <c r="AX95" s="1">
        <f t="shared" si="23"/>
        <v>1.2679382488364213</v>
      </c>
      <c r="AY95" s="1">
        <f t="shared" si="40"/>
        <v>0.86258509643679993</v>
      </c>
      <c r="AZ95" s="1">
        <f t="shared" si="24"/>
        <v>0.40216687915444116</v>
      </c>
      <c r="BA95" s="1">
        <f t="shared" si="29"/>
        <v>0.40535315239962144</v>
      </c>
      <c r="BB95" s="3">
        <f t="shared" si="30"/>
        <v>33.78869833205512</v>
      </c>
      <c r="BC95" s="3">
        <v>0</v>
      </c>
      <c r="BD95" s="3">
        <v>0</v>
      </c>
      <c r="BE95" s="24">
        <v>1</v>
      </c>
      <c r="BG95" s="1">
        <f t="shared" si="13"/>
        <v>1.4041344255899997</v>
      </c>
      <c r="BH95" s="1">
        <f t="shared" si="14"/>
        <v>1.4076718432333306</v>
      </c>
      <c r="BI95" s="3"/>
    </row>
    <row r="96" spans="1:62">
      <c r="A96">
        <v>2017</v>
      </c>
      <c r="B96" s="3">
        <f t="shared" si="38"/>
        <v>146.83872384996533</v>
      </c>
      <c r="C96" s="3">
        <f>CPIs!AB56</f>
        <v>112.42729788281457</v>
      </c>
      <c r="G96">
        <f>'Exchange Rates'!J56</f>
        <v>0.88700000000000001</v>
      </c>
      <c r="I96" s="7">
        <f t="shared" si="37"/>
        <v>1.4643200000000001</v>
      </c>
      <c r="K96" s="3">
        <f>'EU petrol prices nominal'!AC15</f>
        <v>1.4643200000000001</v>
      </c>
      <c r="O96"/>
      <c r="P96" s="23"/>
      <c r="Q96" s="13" t="s">
        <v>141</v>
      </c>
      <c r="R96" s="13">
        <v>-8.0587323662625346E-2</v>
      </c>
      <c r="S96" s="23"/>
      <c r="T96">
        <f>USA!Z104*G96</f>
        <v>46.576369999999997</v>
      </c>
      <c r="X96"/>
      <c r="Y96" s="23"/>
      <c r="AA96" s="7">
        <v>0.69569999999999999</v>
      </c>
      <c r="AB96" s="2">
        <v>0.24</v>
      </c>
      <c r="AC96" s="2">
        <f t="shared" si="41"/>
        <v>0.28341677419354844</v>
      </c>
      <c r="AD96" s="3">
        <f t="shared" si="34"/>
        <v>0.97911677419354848</v>
      </c>
      <c r="AM96"/>
      <c r="AN96" s="9">
        <v>2017</v>
      </c>
      <c r="AO96" s="1">
        <f t="shared" si="39"/>
        <v>1.4643200000000001</v>
      </c>
      <c r="AP96" s="1">
        <f t="shared" si="20"/>
        <v>0.69569999999999999</v>
      </c>
      <c r="AQ96" s="1">
        <f t="shared" si="21"/>
        <v>0.28341677419354844</v>
      </c>
      <c r="AR96" s="1">
        <f t="shared" si="31"/>
        <v>0.97911677419354848</v>
      </c>
      <c r="AS96" s="1">
        <f t="shared" si="27"/>
        <v>0.48520322580645159</v>
      </c>
      <c r="AU96" s="3">
        <f>CPIs!J56</f>
        <v>109.99755895614625</v>
      </c>
      <c r="AW96" s="1">
        <f t="shared" si="28"/>
        <v>1.3312295417244615</v>
      </c>
      <c r="AX96" s="1">
        <f t="shared" si="23"/>
        <v>1.3278415827309813</v>
      </c>
      <c r="AY96" s="1">
        <f t="shared" si="40"/>
        <v>0.89012591141581798</v>
      </c>
      <c r="AZ96" s="1">
        <f t="shared" si="24"/>
        <v>0.44110363030864352</v>
      </c>
      <c r="BA96" s="1">
        <f t="shared" si="29"/>
        <v>0.43771567131516331</v>
      </c>
      <c r="BB96" s="3">
        <f t="shared" si="30"/>
        <v>42.343094194089367</v>
      </c>
      <c r="BC96" s="3">
        <v>0</v>
      </c>
      <c r="BD96" s="3">
        <v>0</v>
      </c>
      <c r="BE96" s="3">
        <v>0</v>
      </c>
      <c r="BG96" s="1">
        <f t="shared" si="13"/>
        <v>1.4779381760000001</v>
      </c>
      <c r="BH96" s="1">
        <f t="shared" si="14"/>
        <v>1.4741768457573579</v>
      </c>
      <c r="BI96" s="3"/>
    </row>
    <row r="97" spans="1:61" ht="15.75" thickBot="1">
      <c r="A97">
        <v>2018</v>
      </c>
      <c r="G97">
        <f>'Exchange Rates'!J57</f>
        <v>0.84599999999999997</v>
      </c>
      <c r="I97" s="7">
        <f>AJ172</f>
        <v>1.5462499999999997</v>
      </c>
      <c r="K97" s="3">
        <f>'EU petrol prices nominal'!AC16</f>
        <v>1.5078461538461536</v>
      </c>
      <c r="O97"/>
      <c r="P97" s="23"/>
      <c r="Q97" s="14" t="s">
        <v>159</v>
      </c>
      <c r="R97" s="14">
        <v>5.5808578027897217E-2</v>
      </c>
      <c r="S97" s="23"/>
      <c r="T97">
        <f>USA!Z105*G97</f>
        <v>59.392569350649353</v>
      </c>
      <c r="X97"/>
      <c r="Y97" s="23"/>
      <c r="AA97" s="7">
        <v>0.69569999999999999</v>
      </c>
      <c r="AB97" s="2">
        <v>0.24</v>
      </c>
      <c r="AC97" s="2">
        <f t="shared" ref="AC97" si="42">AB97*(I97*(1/(1+AB97)))</f>
        <v>0.29927419354838708</v>
      </c>
      <c r="AD97" s="3">
        <f t="shared" ref="AD97" si="43">AA97+AC97</f>
        <v>0.99497419354838712</v>
      </c>
      <c r="AM97"/>
      <c r="AN97" s="9">
        <v>2018</v>
      </c>
      <c r="AO97" s="1">
        <f t="shared" ref="AO97" si="44">I97</f>
        <v>1.5462499999999997</v>
      </c>
      <c r="AP97" s="1">
        <f t="shared" ref="AP97" si="45">AA97</f>
        <v>0.69569999999999999</v>
      </c>
      <c r="AQ97" s="1">
        <f t="shared" ref="AQ97" si="46">AC97</f>
        <v>0.29927419354838708</v>
      </c>
      <c r="AR97" s="1">
        <f>AD97</f>
        <v>0.99497419354838712</v>
      </c>
      <c r="AS97" s="1">
        <f t="shared" ref="AS97" si="47">AO97-AR97</f>
        <v>0.55127580645161256</v>
      </c>
      <c r="AU97" s="3">
        <f>CPIs!J57</f>
        <v>111.02053625443841</v>
      </c>
      <c r="AW97" s="1">
        <f t="shared" ref="AW97" si="48">AO97/$AU97*100</f>
        <v>1.3927603416148904</v>
      </c>
      <c r="AX97" s="1">
        <f t="shared" ref="AX97" si="49">BA97+AY97</f>
        <v>1.3961483006083704</v>
      </c>
      <c r="AY97" s="1">
        <f>AR97/$AU97*100</f>
        <v>0.89620733885494075</v>
      </c>
      <c r="AZ97" s="1">
        <f t="shared" ref="AZ97" si="50">AW97-AY97</f>
        <v>0.49655300275994962</v>
      </c>
      <c r="BA97" s="1">
        <f t="shared" si="29"/>
        <v>0.49994096175342972</v>
      </c>
      <c r="BB97" s="3">
        <f t="shared" ref="BB97" si="51">T97/AU97*100</f>
        <v>53.496921699722868</v>
      </c>
      <c r="BC97" s="3">
        <v>0</v>
      </c>
      <c r="BD97" s="3">
        <v>0</v>
      </c>
      <c r="BE97" s="3">
        <v>0</v>
      </c>
      <c r="BG97" s="1">
        <f>AW97*$AU$97/$AU$89</f>
        <v>1.5462499999999997</v>
      </c>
      <c r="BH97" s="1">
        <f>AX97*$AU$97/$AU$89</f>
        <v>1.5500113302426417</v>
      </c>
      <c r="BI97" s="3"/>
    </row>
    <row r="98" spans="1:61">
      <c r="K98" s="12"/>
      <c r="O98"/>
      <c r="P98" s="23"/>
      <c r="Q98" s="13"/>
      <c r="R98" s="13"/>
      <c r="S98" s="23"/>
      <c r="X98"/>
      <c r="Y98" s="23"/>
      <c r="AM98"/>
      <c r="AN98" s="9">
        <v>2019</v>
      </c>
      <c r="AU98" s="3">
        <f>AU97</f>
        <v>111.02053625443841</v>
      </c>
      <c r="BI98" s="3"/>
    </row>
    <row r="99" spans="1:61">
      <c r="K99" s="12"/>
      <c r="O99"/>
      <c r="P99" s="23"/>
      <c r="Q99" s="13"/>
      <c r="R99" s="13"/>
      <c r="S99" s="23"/>
      <c r="X99"/>
      <c r="Y99" s="23"/>
      <c r="AM99"/>
      <c r="AN99" s="9">
        <v>2020</v>
      </c>
      <c r="AU99" s="3">
        <f t="shared" ref="AU99:AU109" si="52">AU98</f>
        <v>111.02053625443841</v>
      </c>
      <c r="AW99" s="13" t="s">
        <v>88</v>
      </c>
      <c r="AX99" s="13">
        <v>0.20149081191588439</v>
      </c>
      <c r="BI99" s="3"/>
    </row>
    <row r="100" spans="1:61">
      <c r="K100" s="12"/>
      <c r="O100"/>
      <c r="P100" s="23"/>
      <c r="R100" s="12"/>
      <c r="S100" s="23"/>
      <c r="X100"/>
      <c r="Y100" s="23"/>
      <c r="AM100"/>
      <c r="AN100" s="9">
        <v>2021</v>
      </c>
      <c r="AU100" s="3">
        <f t="shared" si="52"/>
        <v>111.02053625443841</v>
      </c>
      <c r="AW100" s="13" t="s">
        <v>229</v>
      </c>
      <c r="AX100" s="13">
        <v>5.5788284700330976E-3</v>
      </c>
      <c r="BI100" s="3"/>
    </row>
    <row r="101" spans="1:61">
      <c r="K101" s="12"/>
      <c r="O101"/>
      <c r="P101" s="23"/>
      <c r="R101" s="12"/>
      <c r="S101" s="23"/>
      <c r="X101"/>
      <c r="Y101" s="23"/>
      <c r="AM101"/>
      <c r="AN101" s="9">
        <v>2022</v>
      </c>
      <c r="AU101" s="3">
        <f t="shared" si="52"/>
        <v>111.02053625443841</v>
      </c>
      <c r="AW101" s="13" t="s">
        <v>1914</v>
      </c>
      <c r="AX101" s="13">
        <v>0.11778664078094071</v>
      </c>
      <c r="BI101" s="3"/>
    </row>
    <row r="102" spans="1:61">
      <c r="K102" s="12"/>
      <c r="O102"/>
      <c r="P102" s="23"/>
      <c r="R102" s="12"/>
      <c r="S102" s="23"/>
      <c r="X102"/>
      <c r="Y102" s="23"/>
      <c r="AM102"/>
      <c r="AN102" s="9">
        <v>2023</v>
      </c>
      <c r="AU102" s="3">
        <f t="shared" si="52"/>
        <v>111.02053625443841</v>
      </c>
      <c r="AW102" s="3" t="s">
        <v>1986</v>
      </c>
      <c r="AX102" s="13">
        <v>-7.4207954212161337E-2</v>
      </c>
      <c r="BI102" s="3"/>
    </row>
    <row r="103" spans="1:61" ht="15.75" thickBot="1">
      <c r="K103" s="12"/>
      <c r="O103"/>
      <c r="P103" s="23"/>
      <c r="R103" s="12"/>
      <c r="S103" s="23"/>
      <c r="X103"/>
      <c r="Y103" s="23"/>
      <c r="AM103"/>
      <c r="AN103" s="9">
        <v>2024</v>
      </c>
      <c r="AU103" s="3">
        <f t="shared" si="52"/>
        <v>111.02053625443841</v>
      </c>
      <c r="AW103" s="13" t="s">
        <v>2438</v>
      </c>
      <c r="AX103" s="14">
        <v>1.5360988263508112E-2</v>
      </c>
      <c r="BI103" s="3"/>
    </row>
    <row r="104" spans="1:61">
      <c r="K104" s="12"/>
      <c r="O104"/>
      <c r="P104" s="23"/>
      <c r="R104" s="12"/>
      <c r="S104" s="23"/>
      <c r="X104"/>
      <c r="Y104" s="23"/>
      <c r="AM104"/>
      <c r="AN104" s="9">
        <v>2025</v>
      </c>
      <c r="AU104" s="3">
        <f t="shared" si="52"/>
        <v>111.02053625443841</v>
      </c>
      <c r="BI104" s="3"/>
    </row>
    <row r="105" spans="1:61">
      <c r="K105" s="12"/>
      <c r="O105"/>
      <c r="P105" s="23"/>
      <c r="R105" s="12"/>
      <c r="S105" s="23"/>
      <c r="X105"/>
      <c r="Y105" s="23"/>
      <c r="AM105"/>
      <c r="AN105" s="9">
        <v>2026</v>
      </c>
      <c r="AU105" s="3">
        <f t="shared" si="52"/>
        <v>111.02053625443841</v>
      </c>
      <c r="BI105" s="3"/>
    </row>
    <row r="106" spans="1:61">
      <c r="K106" s="12"/>
      <c r="O106"/>
      <c r="P106" s="23"/>
      <c r="R106" s="12"/>
      <c r="S106" s="23"/>
      <c r="X106"/>
      <c r="Y106" s="23"/>
      <c r="AM106"/>
      <c r="AN106" s="9">
        <v>2027</v>
      </c>
      <c r="AU106" s="3">
        <f t="shared" si="52"/>
        <v>111.02053625443841</v>
      </c>
      <c r="BI106" s="3"/>
    </row>
    <row r="107" spans="1:61">
      <c r="K107" s="12"/>
      <c r="O107"/>
      <c r="P107" s="23"/>
      <c r="R107" s="12"/>
      <c r="S107" s="23"/>
      <c r="X107"/>
      <c r="Y107" s="23"/>
      <c r="AM107"/>
      <c r="AN107" s="9">
        <v>2028</v>
      </c>
      <c r="AU107" s="3">
        <f t="shared" si="52"/>
        <v>111.02053625443841</v>
      </c>
      <c r="BI107" s="3"/>
    </row>
    <row r="108" spans="1:61">
      <c r="K108" s="12"/>
      <c r="O108"/>
      <c r="P108" s="23"/>
      <c r="R108" s="12"/>
      <c r="S108" s="23"/>
      <c r="X108"/>
      <c r="Y108" s="23"/>
      <c r="AM108"/>
      <c r="AN108" s="9">
        <v>2029</v>
      </c>
      <c r="AU108" s="3">
        <f t="shared" si="52"/>
        <v>111.02053625443841</v>
      </c>
      <c r="BI108" s="3"/>
    </row>
    <row r="109" spans="1:61">
      <c r="K109" s="12"/>
      <c r="O109"/>
      <c r="P109" s="23"/>
      <c r="R109" s="12"/>
      <c r="S109" s="23"/>
      <c r="X109"/>
      <c r="Y109" s="23"/>
      <c r="AM109"/>
      <c r="AN109" s="9">
        <v>2030</v>
      </c>
      <c r="AU109" s="3">
        <f t="shared" si="52"/>
        <v>111.02053625443841</v>
      </c>
      <c r="BI109" s="3"/>
    </row>
    <row r="110" spans="1:61">
      <c r="K110" s="12"/>
      <c r="O110"/>
      <c r="P110" s="23"/>
      <c r="R110" s="12"/>
      <c r="S110" s="23"/>
      <c r="X110"/>
      <c r="Y110" s="23"/>
      <c r="AM110"/>
      <c r="AN110" s="9"/>
      <c r="BI110" s="3"/>
    </row>
    <row r="111" spans="1:61">
      <c r="K111" s="12"/>
      <c r="O111"/>
      <c r="P111" s="23"/>
      <c r="R111" s="12"/>
      <c r="S111" s="13" t="str">
        <f>AW99</f>
        <v>Intercept</v>
      </c>
      <c r="T111" s="13">
        <f>AX99</f>
        <v>0.20149081191588439</v>
      </c>
      <c r="X111"/>
      <c r="Y111" s="23"/>
      <c r="AM111"/>
      <c r="AN111" s="9"/>
      <c r="BI111" s="3"/>
    </row>
    <row r="112" spans="1:61">
      <c r="K112" s="12"/>
      <c r="O112"/>
      <c r="P112" s="23"/>
      <c r="R112" s="12"/>
      <c r="S112" s="13" t="str">
        <f>AW100</f>
        <v>landed oil price</v>
      </c>
      <c r="T112" s="13">
        <f>AX100</f>
        <v>5.5788284700330976E-3</v>
      </c>
      <c r="X112"/>
      <c r="Y112" s="23"/>
      <c r="AM112"/>
      <c r="AN112" s="9"/>
      <c r="BI112" s="3"/>
    </row>
    <row r="113" spans="1:68">
      <c r="K113" s="12"/>
      <c r="O113"/>
      <c r="P113" s="23"/>
      <c r="R113" s="12"/>
      <c r="S113" s="23"/>
      <c r="X113"/>
      <c r="Y113" s="23"/>
      <c r="AM113"/>
      <c r="AN113" s="9"/>
      <c r="BI113" s="3"/>
    </row>
    <row r="114" spans="1:68">
      <c r="K114" s="12"/>
      <c r="O114"/>
      <c r="P114" s="23"/>
      <c r="R114" s="12"/>
      <c r="S114" s="23"/>
      <c r="X114"/>
      <c r="Y114" s="23"/>
      <c r="AM114"/>
      <c r="AN114" s="9"/>
      <c r="BI114" s="3"/>
    </row>
    <row r="115" spans="1:68">
      <c r="K115" s="12"/>
      <c r="O115"/>
      <c r="P115" s="23"/>
      <c r="R115" s="12"/>
      <c r="S115" s="23"/>
      <c r="X115"/>
      <c r="Y115" s="23"/>
      <c r="AM115"/>
      <c r="AN115" s="9"/>
      <c r="BI115" s="3"/>
    </row>
    <row r="116" spans="1:68">
      <c r="K116" s="12"/>
      <c r="O116"/>
      <c r="P116" s="23"/>
      <c r="R116" s="12"/>
      <c r="S116" s="23"/>
      <c r="X116"/>
      <c r="Y116" s="23"/>
      <c r="AM116"/>
      <c r="AN116" s="9"/>
      <c r="BI116" s="3"/>
    </row>
    <row r="117" spans="1:68">
      <c r="K117" s="12"/>
      <c r="O117"/>
      <c r="P117" s="23"/>
      <c r="R117" s="12"/>
      <c r="S117" s="23"/>
      <c r="X117"/>
      <c r="Y117" s="23"/>
      <c r="AM117"/>
      <c r="AN117" s="9"/>
      <c r="BI117" s="3"/>
    </row>
    <row r="118" spans="1:68">
      <c r="K118" s="12"/>
      <c r="O118" s="12"/>
      <c r="P118"/>
      <c r="Q118" s="23"/>
      <c r="R118" s="12"/>
      <c r="S118" s="12"/>
      <c r="T118" s="23"/>
      <c r="X118"/>
      <c r="Z118" s="23"/>
      <c r="AM118"/>
      <c r="AN118"/>
      <c r="AO118"/>
      <c r="AP118" s="9"/>
      <c r="BI118" s="3"/>
      <c r="BJ118" s="3"/>
      <c r="BK118" s="3"/>
    </row>
    <row r="119" spans="1:68">
      <c r="K119" s="12"/>
      <c r="O119" s="12"/>
      <c r="P119"/>
      <c r="Q119" s="23"/>
      <c r="R119" s="12"/>
      <c r="S119" s="12"/>
      <c r="T119" s="23"/>
      <c r="X119"/>
      <c r="AK119" t="s">
        <v>1960</v>
      </c>
      <c r="AL119" t="s">
        <v>1960</v>
      </c>
      <c r="AM119" t="s">
        <v>1960</v>
      </c>
      <c r="AN119"/>
      <c r="AO119"/>
      <c r="AP119"/>
      <c r="AQ119"/>
      <c r="AR119"/>
      <c r="AS119"/>
      <c r="AT119"/>
      <c r="AU119"/>
      <c r="AV119"/>
      <c r="AW119"/>
      <c r="AX119"/>
      <c r="AY119"/>
      <c r="AZ119" s="9"/>
      <c r="BI119" s="3"/>
      <c r="BJ119" s="3"/>
      <c r="BK119" s="3"/>
      <c r="BL119" s="3"/>
      <c r="BM119" s="3"/>
      <c r="BN119" s="3"/>
      <c r="BO119" s="3"/>
      <c r="BP119" s="3"/>
    </row>
    <row r="120" spans="1:68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2599</v>
      </c>
      <c r="R120" s="26"/>
      <c r="S120" s="26"/>
      <c r="T120" s="79">
        <v>0.24</v>
      </c>
      <c r="U120" s="76" t="s">
        <v>2548</v>
      </c>
      <c r="V120" s="76"/>
      <c r="W120" s="76"/>
      <c r="X120" s="76"/>
      <c r="Y120" s="26" t="s">
        <v>2550</v>
      </c>
      <c r="Z120" s="26"/>
      <c r="AA120" s="26"/>
      <c r="AB120" s="79"/>
      <c r="AC120" s="26" t="s">
        <v>2485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N120"/>
      <c r="AO120"/>
      <c r="AP120"/>
      <c r="AQ120"/>
      <c r="AR120"/>
      <c r="AS120"/>
      <c r="AT120"/>
      <c r="AU120"/>
      <c r="AV120" s="9"/>
      <c r="BI120" s="3"/>
      <c r="BJ120" s="3"/>
      <c r="BK120" s="3"/>
      <c r="BL120" s="3"/>
      <c r="BM120" s="3"/>
      <c r="BN120" s="3"/>
      <c r="BO120" s="3"/>
    </row>
    <row r="121" spans="1:68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N121"/>
      <c r="AO121"/>
      <c r="AP121"/>
      <c r="AQ121"/>
      <c r="AR121"/>
      <c r="AS121"/>
      <c r="AT121"/>
      <c r="AU121"/>
      <c r="AV121" s="9"/>
      <c r="BI121" s="3"/>
      <c r="BJ121" s="3"/>
      <c r="BK121" s="3"/>
      <c r="BL121" s="3"/>
      <c r="BM121" s="3"/>
      <c r="BN121" s="3"/>
      <c r="BO121" s="3"/>
    </row>
    <row r="122" spans="1:68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3">AL122</f>
        <v>77.45</v>
      </c>
      <c r="E122" s="3">
        <f t="shared" si="53"/>
        <v>77.45</v>
      </c>
      <c r="F122" s="6">
        <f>'Exchange Rates'!J49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>T$111+T$112*G122</f>
        <v>0.52929770505784368</v>
      </c>
      <c r="L122" s="6">
        <f>T$111+T$112*H122</f>
        <v>0.52929770505784368</v>
      </c>
      <c r="M122" s="6">
        <f>T$111+T$112*I122</f>
        <v>0.52929770505784368</v>
      </c>
      <c r="N122" s="6">
        <f>T$111+T$112*J122</f>
        <v>0.52929770505784368</v>
      </c>
      <c r="O122">
        <v>2010</v>
      </c>
      <c r="P122" s="24">
        <f t="shared" ref="P122:P130" si="54">AA89/AU89*100</f>
        <v>0.61099999999999999</v>
      </c>
      <c r="Q122" s="3">
        <f t="shared" ref="Q122:T129" si="55">(K122+$P122)*$AB89</f>
        <v>0.25656698363801483</v>
      </c>
      <c r="R122" s="3">
        <f t="shared" si="55"/>
        <v>0.25656698363801483</v>
      </c>
      <c r="S122" s="3">
        <f t="shared" si="55"/>
        <v>0.25656698363801483</v>
      </c>
      <c r="T122" s="3">
        <f t="shared" si="55"/>
        <v>0.25656698363801483</v>
      </c>
      <c r="U122" s="3">
        <f t="shared" ref="U122:U130" si="56">AW89</f>
        <v>1.4260102040816327</v>
      </c>
      <c r="V122" s="3">
        <f t="shared" ref="V122:V142" si="57">L122+$P122+R122</f>
        <v>1.3968646886958584</v>
      </c>
      <c r="W122" s="3">
        <f t="shared" ref="W122:W142" si="58">M122+$P122+S122</f>
        <v>1.3968646886958584</v>
      </c>
      <c r="X122" s="3">
        <f t="shared" ref="X122:X142" si="59">N122+$P122+T122</f>
        <v>1.3968646886958584</v>
      </c>
      <c r="Y122" s="9">
        <f t="shared" ref="Y122:Y130" si="60">AW89*$AU$97/100*100</f>
        <v>158.31641756144401</v>
      </c>
      <c r="Z122" s="9">
        <f>V122*$AU$97/100*100</f>
        <v>155.08066681390338</v>
      </c>
      <c r="AA122" s="9">
        <f>W122*$AU$97/100*100</f>
        <v>155.08066681390338</v>
      </c>
      <c r="AB122" s="9">
        <f>X122*$AU$97/100*100</f>
        <v>155.08066681390338</v>
      </c>
      <c r="AC122" s="3">
        <f>U122*$AU$96/100</f>
        <v>1.5685764149553554</v>
      </c>
      <c r="AD122" s="3">
        <f>AC122</f>
        <v>1.5685764149553554</v>
      </c>
      <c r="AE122" s="3">
        <f t="shared" ref="AE122:AF122" si="61">AD122</f>
        <v>1.5685764149553554</v>
      </c>
      <c r="AF122" s="3">
        <f t="shared" si="61"/>
        <v>1.5685764149553554</v>
      </c>
      <c r="AK122" s="3">
        <f>USA!AJ135</f>
        <v>77.45</v>
      </c>
      <c r="AL122" s="3">
        <f>USA!AK135</f>
        <v>77.45</v>
      </c>
      <c r="AM122" s="3">
        <f>USA!AL135</f>
        <v>77.45</v>
      </c>
      <c r="AN122"/>
      <c r="AO122"/>
      <c r="AP122"/>
      <c r="AQ122"/>
      <c r="AR122"/>
      <c r="AS122"/>
      <c r="AT122"/>
      <c r="AU122"/>
      <c r="AV122" s="9"/>
      <c r="BI122" s="3"/>
      <c r="BJ122" s="3"/>
      <c r="BK122" s="3"/>
      <c r="BL122" s="3"/>
      <c r="BM122" s="3"/>
      <c r="BN122" s="3"/>
      <c r="BO122" s="3"/>
    </row>
    <row r="123" spans="1:68">
      <c r="A123">
        <v>2011</v>
      </c>
      <c r="B123" s="3">
        <f>USA!Z98/USA!AU98*100</f>
        <v>104.18614906980585</v>
      </c>
      <c r="C123" s="3">
        <f t="shared" ref="C123:C142" si="62">AK123</f>
        <v>104.18614906980586</v>
      </c>
      <c r="D123" s="3">
        <f t="shared" ref="D123:D142" si="63">AL123</f>
        <v>104.18614906980586</v>
      </c>
      <c r="E123" s="3">
        <f t="shared" ref="E123:E142" si="64">AM123</f>
        <v>104.18614906980586</v>
      </c>
      <c r="F123" s="6">
        <f>'Exchange Rates'!J50</f>
        <v>0.71544109992713056</v>
      </c>
      <c r="G123" s="3">
        <f>(B123*USA!$AU98/100)/$AU90*100*$F123</f>
        <v>74.334285566858711</v>
      </c>
      <c r="H123" s="3">
        <f>(C123*USA!$AU98/100)/$AU90*100*$F123</f>
        <v>74.334285566858725</v>
      </c>
      <c r="I123" s="3">
        <f>(D123*USA!$AU98/100)/$AU90*100*$F123</f>
        <v>74.334285566858725</v>
      </c>
      <c r="J123" s="3">
        <f>(E123*USA!$AU98/100)/$AU90*100*$F123</f>
        <v>74.334285566858725</v>
      </c>
      <c r="K123" s="6">
        <f>T$111+T$112*G123</f>
        <v>0.61618904053584611</v>
      </c>
      <c r="L123" s="6">
        <f t="shared" ref="L123:L142" si="65">T$111+T$112*H123</f>
        <v>0.61618904053584622</v>
      </c>
      <c r="M123" s="6">
        <f t="shared" ref="M123:M142" si="66">T$111+T$112*I123</f>
        <v>0.61618904053584622</v>
      </c>
      <c r="N123" s="6">
        <f t="shared" ref="N123:N142" si="67">T$111+T$112*J123</f>
        <v>0.61618904053584622</v>
      </c>
      <c r="O123">
        <v>2011</v>
      </c>
      <c r="P123" s="24">
        <f t="shared" si="54"/>
        <v>0.59951569334169819</v>
      </c>
      <c r="Q123" s="3">
        <f t="shared" si="55"/>
        <v>0.27961208879183519</v>
      </c>
      <c r="R123" s="3">
        <f t="shared" si="55"/>
        <v>0.27961208879183524</v>
      </c>
      <c r="S123" s="3">
        <f t="shared" si="55"/>
        <v>0.27961208879183524</v>
      </c>
      <c r="T123" s="3">
        <f t="shared" si="55"/>
        <v>0.27961208879183524</v>
      </c>
      <c r="U123" s="3">
        <f t="shared" si="56"/>
        <v>1.5082648571354142</v>
      </c>
      <c r="V123" s="3">
        <f t="shared" si="57"/>
        <v>1.4953168226693796</v>
      </c>
      <c r="W123" s="3">
        <f t="shared" si="58"/>
        <v>1.4953168226693796</v>
      </c>
      <c r="X123" s="3">
        <f t="shared" si="59"/>
        <v>1.4953168226693796</v>
      </c>
      <c r="Y123" s="9">
        <f t="shared" si="60"/>
        <v>167.44837325289762</v>
      </c>
      <c r="Z123" s="9">
        <f t="shared" ref="Z123:Z142" si="68">V123*$AU$97/100*100</f>
        <v>166.0108755230375</v>
      </c>
      <c r="AA123" s="9">
        <f t="shared" ref="AA123:AA142" si="69">W123*$AU$97/100*100</f>
        <v>166.0108755230375</v>
      </c>
      <c r="AB123" s="9">
        <f t="shared" ref="AB123:AB142" si="70">X123*$AU$97/100*100</f>
        <v>166.0108755230375</v>
      </c>
      <c r="AC123" s="3">
        <f t="shared" ref="AC123:AC130" si="71">U123*$AU$96/100</f>
        <v>1.6590545254423623</v>
      </c>
      <c r="AD123" s="3">
        <f t="shared" ref="AD123:AF123" si="72">AC123</f>
        <v>1.6590545254423623</v>
      </c>
      <c r="AE123" s="3">
        <f t="shared" si="72"/>
        <v>1.6590545254423623</v>
      </c>
      <c r="AF123" s="3">
        <f t="shared" si="72"/>
        <v>1.6590545254423623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/>
      <c r="AO123"/>
      <c r="AP123"/>
      <c r="AQ123"/>
      <c r="AR123"/>
      <c r="AS123"/>
      <c r="AT123"/>
      <c r="AU123"/>
      <c r="AV123" s="9"/>
      <c r="BI123" s="3"/>
      <c r="BJ123" s="3"/>
      <c r="BK123" s="3"/>
      <c r="BL123" s="3"/>
      <c r="BM123" s="3"/>
      <c r="BN123" s="3"/>
      <c r="BO123" s="3"/>
    </row>
    <row r="124" spans="1:68">
      <c r="A124">
        <v>2012</v>
      </c>
      <c r="B124" s="3">
        <f>USA!Z99/USA!AU99*100</f>
        <v>104.07290773565181</v>
      </c>
      <c r="C124" s="3">
        <f t="shared" si="62"/>
        <v>104.07290773565181</v>
      </c>
      <c r="D124" s="3">
        <f t="shared" si="63"/>
        <v>104.07290773565181</v>
      </c>
      <c r="E124" s="3">
        <f t="shared" si="64"/>
        <v>104.07290773565181</v>
      </c>
      <c r="F124" s="6">
        <f>'Exchange Rates'!J51</f>
        <v>0.773899446716382</v>
      </c>
      <c r="G124" s="3">
        <f>(B124*USA!$AU99/100)/$AU91*100*$F124</f>
        <v>79.700817161211859</v>
      </c>
      <c r="H124" s="3">
        <f>(C124*USA!$AU99/100)/$AU91*100*$F124</f>
        <v>79.700817161211859</v>
      </c>
      <c r="I124" s="3">
        <f>(D124*USA!$AU99/100)/$AU91*100*$F124</f>
        <v>79.700817161211859</v>
      </c>
      <c r="J124" s="3">
        <f>(E124*USA!$AU99/100)/$AU91*100*$F124</f>
        <v>79.700817161211859</v>
      </c>
      <c r="K124" s="6">
        <f t="shared" ref="K124:K130" si="73">T$111+T$112*G124</f>
        <v>0.64612799977975555</v>
      </c>
      <c r="L124" s="6">
        <f t="shared" si="65"/>
        <v>0.64612799977975555</v>
      </c>
      <c r="M124" s="6">
        <f t="shared" si="66"/>
        <v>0.64612799977975555</v>
      </c>
      <c r="N124" s="6">
        <f t="shared" si="67"/>
        <v>0.64612799977975555</v>
      </c>
      <c r="O124">
        <v>2012</v>
      </c>
      <c r="P124" s="24">
        <f t="shared" si="54"/>
        <v>0.60533610931735915</v>
      </c>
      <c r="Q124" s="3">
        <f t="shared" si="55"/>
        <v>0.28783674509233642</v>
      </c>
      <c r="R124" s="3">
        <f t="shared" si="55"/>
        <v>0.28783674509233642</v>
      </c>
      <c r="S124" s="3">
        <f t="shared" si="55"/>
        <v>0.28783674509233642</v>
      </c>
      <c r="T124" s="3">
        <f t="shared" si="55"/>
        <v>0.28783674509233642</v>
      </c>
      <c r="U124" s="3">
        <f t="shared" si="56"/>
        <v>1.5714046601823584</v>
      </c>
      <c r="V124" s="3">
        <f t="shared" si="57"/>
        <v>1.5393008541894513</v>
      </c>
      <c r="W124" s="3">
        <f t="shared" si="58"/>
        <v>1.5393008541894513</v>
      </c>
      <c r="X124" s="3">
        <f t="shared" si="59"/>
        <v>1.5393008541894513</v>
      </c>
      <c r="Y124" s="9">
        <f t="shared" si="60"/>
        <v>174.458188046169</v>
      </c>
      <c r="Z124" s="9">
        <f t="shared" si="68"/>
        <v>170.894006289028</v>
      </c>
      <c r="AA124" s="9">
        <f t="shared" si="69"/>
        <v>170.894006289028</v>
      </c>
      <c r="AB124" s="9">
        <f t="shared" si="70"/>
        <v>170.894006289028</v>
      </c>
      <c r="AC124" s="3">
        <f t="shared" si="71"/>
        <v>1.7285067675237193</v>
      </c>
      <c r="AD124" s="3">
        <f t="shared" ref="AD124:AF124" si="74">AC124</f>
        <v>1.7285067675237193</v>
      </c>
      <c r="AE124" s="3">
        <f t="shared" si="74"/>
        <v>1.7285067675237193</v>
      </c>
      <c r="AF124" s="3">
        <f t="shared" si="74"/>
        <v>1.7285067675237193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/>
      <c r="AO124"/>
      <c r="AP124"/>
      <c r="AQ124"/>
      <c r="AR124"/>
      <c r="AS124"/>
      <c r="AT124"/>
      <c r="AU124"/>
      <c r="AV124" s="9"/>
      <c r="BI124" s="3"/>
      <c r="BJ124" s="3"/>
      <c r="BK124" s="3"/>
      <c r="BL124" s="3"/>
      <c r="BM124" s="3"/>
      <c r="BN124" s="3"/>
      <c r="BO124" s="3"/>
    </row>
    <row r="125" spans="1:68">
      <c r="A125">
        <v>2013</v>
      </c>
      <c r="B125" s="3">
        <f>USA!Z100/USA!AU100*100</f>
        <v>99.286371359470479</v>
      </c>
      <c r="C125" s="3">
        <f t="shared" si="62"/>
        <v>99.286371359470493</v>
      </c>
      <c r="D125" s="3">
        <f t="shared" si="63"/>
        <v>99.286371359470493</v>
      </c>
      <c r="E125" s="3">
        <f t="shared" si="64"/>
        <v>99.286371359470493</v>
      </c>
      <c r="F125" s="6">
        <f>'Exchange Rates'!J52</f>
        <v>0.75166876437654617</v>
      </c>
      <c r="G125" s="3">
        <f>(B125*USA!$AU100/100)/$AU92*100*$F125</f>
        <v>73.803764548269257</v>
      </c>
      <c r="H125" s="3">
        <f>(C125*USA!$AU100/100)/$AU92*100*$F125</f>
        <v>73.803764548269257</v>
      </c>
      <c r="I125" s="3">
        <f>(D125*USA!$AU100/100)/$AU92*100*$F125</f>
        <v>73.803764548269257</v>
      </c>
      <c r="J125" s="3">
        <f>(E125*USA!$AU100/100)/$AU92*100*$F125</f>
        <v>73.803764548269257</v>
      </c>
      <c r="K125" s="6">
        <f t="shared" si="73"/>
        <v>0.61322935477338836</v>
      </c>
      <c r="L125" s="6">
        <f t="shared" si="65"/>
        <v>0.61322935477338836</v>
      </c>
      <c r="M125" s="6">
        <f t="shared" si="66"/>
        <v>0.61322935477338836</v>
      </c>
      <c r="N125" s="6">
        <f t="shared" si="67"/>
        <v>0.61322935477338836</v>
      </c>
      <c r="O125">
        <v>2013</v>
      </c>
      <c r="P125" s="24">
        <f t="shared" si="54"/>
        <v>0.59651786001556095</v>
      </c>
      <c r="Q125" s="3">
        <f t="shared" si="55"/>
        <v>0.29033933154934782</v>
      </c>
      <c r="R125" s="3">
        <f t="shared" si="55"/>
        <v>0.29033933154934782</v>
      </c>
      <c r="S125" s="3">
        <f t="shared" si="55"/>
        <v>0.29033933154934782</v>
      </c>
      <c r="T125" s="3">
        <f t="shared" si="55"/>
        <v>0.29033933154934782</v>
      </c>
      <c r="U125" s="3">
        <f t="shared" si="56"/>
        <v>1.5223723521230201</v>
      </c>
      <c r="V125" s="3">
        <f t="shared" si="57"/>
        <v>1.5000865463382973</v>
      </c>
      <c r="W125" s="3">
        <f t="shared" si="58"/>
        <v>1.5000865463382973</v>
      </c>
      <c r="X125" s="3">
        <f t="shared" si="59"/>
        <v>1.5000865463382973</v>
      </c>
      <c r="Y125" s="9">
        <f t="shared" si="60"/>
        <v>169.01459491162845</v>
      </c>
      <c r="Z125" s="9">
        <f t="shared" si="68"/>
        <v>166.54041280254623</v>
      </c>
      <c r="AA125" s="9">
        <f t="shared" si="69"/>
        <v>166.54041280254623</v>
      </c>
      <c r="AB125" s="9">
        <f t="shared" si="70"/>
        <v>166.54041280254623</v>
      </c>
      <c r="AC125" s="3">
        <f t="shared" si="71"/>
        <v>1.6745724255585897</v>
      </c>
      <c r="AD125" s="3">
        <f t="shared" ref="AD125:AF125" si="75">AC125</f>
        <v>1.6745724255585897</v>
      </c>
      <c r="AE125" s="3">
        <f t="shared" si="75"/>
        <v>1.6745724255585897</v>
      </c>
      <c r="AF125" s="3">
        <f t="shared" si="75"/>
        <v>1.6745724255585897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/>
      <c r="AO125"/>
      <c r="AP125"/>
      <c r="AQ125"/>
      <c r="AR125"/>
      <c r="AS125"/>
      <c r="AT125"/>
      <c r="AU125"/>
      <c r="AV125" s="9"/>
      <c r="BI125" s="3"/>
      <c r="BJ125" s="3"/>
      <c r="BK125" s="3"/>
      <c r="BL125" s="3"/>
      <c r="BM125" s="3"/>
      <c r="BN125" s="3"/>
      <c r="BO125" s="3"/>
    </row>
    <row r="126" spans="1:68">
      <c r="A126">
        <v>2014</v>
      </c>
      <c r="B126" s="3">
        <f>USA!Z101/USA!AU101*100</f>
        <v>88.687750298592292</v>
      </c>
      <c r="C126" s="3">
        <f t="shared" si="62"/>
        <v>88.687750298592292</v>
      </c>
      <c r="D126" s="3">
        <f t="shared" si="63"/>
        <v>88.687750298592292</v>
      </c>
      <c r="E126" s="3">
        <f t="shared" si="64"/>
        <v>88.687750298592292</v>
      </c>
      <c r="F126" s="6">
        <f>'Exchange Rates'!J53</f>
        <v>0.757387838338895</v>
      </c>
      <c r="G126" s="3">
        <f>(B126*USA!$AU101/100)/$AU93*100*$F126</f>
        <v>66.827145538018058</v>
      </c>
      <c r="H126" s="3">
        <f>(C126*USA!$AU101/100)/$AU93*100*$F126</f>
        <v>66.827145538018058</v>
      </c>
      <c r="I126" s="3">
        <f>(D126*USA!$AU101/100)/$AU93*100*$F126</f>
        <v>66.827145538018058</v>
      </c>
      <c r="J126" s="3">
        <f>(E126*USA!$AU101/100)/$AU93*100*$F126</f>
        <v>66.827145538018058</v>
      </c>
      <c r="K126" s="6">
        <f t="shared" si="73"/>
        <v>0.57430799401442478</v>
      </c>
      <c r="L126" s="6">
        <f t="shared" si="65"/>
        <v>0.57430799401442478</v>
      </c>
      <c r="M126" s="6">
        <f t="shared" si="66"/>
        <v>0.57430799401442478</v>
      </c>
      <c r="N126" s="6">
        <f t="shared" si="67"/>
        <v>0.57430799401442478</v>
      </c>
      <c r="O126">
        <v>2014</v>
      </c>
      <c r="P126" s="24">
        <f t="shared" si="54"/>
        <v>0.61101003690048272</v>
      </c>
      <c r="Q126" s="3">
        <f t="shared" si="55"/>
        <v>0.28447632741957779</v>
      </c>
      <c r="R126" s="3">
        <f t="shared" si="55"/>
        <v>0.28447632741957779</v>
      </c>
      <c r="S126" s="3">
        <f t="shared" si="55"/>
        <v>0.28447632741957779</v>
      </c>
      <c r="T126" s="3">
        <f t="shared" si="55"/>
        <v>0.28447632741957779</v>
      </c>
      <c r="U126" s="3">
        <f t="shared" si="56"/>
        <v>1.4743921975386767</v>
      </c>
      <c r="V126" s="3">
        <f t="shared" si="57"/>
        <v>1.4697943583344855</v>
      </c>
      <c r="W126" s="3">
        <f t="shared" si="58"/>
        <v>1.4697943583344855</v>
      </c>
      <c r="X126" s="3">
        <f t="shared" si="59"/>
        <v>1.4697943583344855</v>
      </c>
      <c r="Y126" s="9">
        <f t="shared" si="60"/>
        <v>163.68781242010377</v>
      </c>
      <c r="Z126" s="9">
        <f t="shared" si="68"/>
        <v>163.17735784604278</v>
      </c>
      <c r="AA126" s="9">
        <f t="shared" si="69"/>
        <v>163.17735784604278</v>
      </c>
      <c r="AB126" s="9">
        <f t="shared" si="70"/>
        <v>163.17735784604278</v>
      </c>
      <c r="AC126" s="3">
        <f t="shared" si="71"/>
        <v>1.6217954267324262</v>
      </c>
      <c r="AD126" s="3">
        <f t="shared" ref="AD126:AF126" si="76">AC126</f>
        <v>1.6217954267324262</v>
      </c>
      <c r="AE126" s="3">
        <f t="shared" si="76"/>
        <v>1.6217954267324262</v>
      </c>
      <c r="AF126" s="3">
        <f t="shared" si="76"/>
        <v>1.6217954267324262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/>
      <c r="AO126"/>
      <c r="AP126"/>
      <c r="AQ126"/>
      <c r="AR126"/>
      <c r="AS126"/>
      <c r="AT126"/>
      <c r="AU126"/>
      <c r="AV126" s="9"/>
      <c r="BI126" s="3"/>
      <c r="BJ126" s="3"/>
      <c r="BK126" s="3"/>
      <c r="BL126" s="3"/>
      <c r="BM126" s="3"/>
      <c r="BN126" s="3"/>
      <c r="BO126" s="3"/>
    </row>
    <row r="127" spans="1:68">
      <c r="A127">
        <v>2015</v>
      </c>
      <c r="B127" s="3">
        <f>USA!Z102/USA!AU102*100</f>
        <v>45.556296925601828</v>
      </c>
      <c r="C127" s="3">
        <f t="shared" si="62"/>
        <v>45.556296925601814</v>
      </c>
      <c r="D127" s="3">
        <f t="shared" si="63"/>
        <v>45.556296925601814</v>
      </c>
      <c r="E127" s="3">
        <f t="shared" si="64"/>
        <v>45.556296925601814</v>
      </c>
      <c r="F127" s="6">
        <f>'Exchange Rates'!J54</f>
        <v>0.90592556207997499</v>
      </c>
      <c r="G127" s="3">
        <f>(B127*USA!$AU102/100)/$AU94*100*$F127</f>
        <v>41.233817677589201</v>
      </c>
      <c r="H127" s="3">
        <f>(C127*USA!$AU102/100)/$AU94*100*$F127</f>
        <v>41.23381767758918</v>
      </c>
      <c r="I127" s="3">
        <f>(D127*USA!$AU102/100)/$AU94*100*$F127</f>
        <v>41.23381767758918</v>
      </c>
      <c r="J127" s="3">
        <f>(E127*USA!$AU102/100)/$AU94*100*$F127</f>
        <v>41.23381767758918</v>
      </c>
      <c r="K127" s="6">
        <f t="shared" si="73"/>
        <v>0.43152720790377308</v>
      </c>
      <c r="L127" s="6">
        <f t="shared" si="65"/>
        <v>0.43152720790377291</v>
      </c>
      <c r="M127" s="6">
        <f t="shared" si="66"/>
        <v>0.43152720790377291</v>
      </c>
      <c r="N127" s="6">
        <f t="shared" si="67"/>
        <v>0.43152720790377291</v>
      </c>
      <c r="O127">
        <v>2015</v>
      </c>
      <c r="P127" s="24">
        <f t="shared" si="54"/>
        <v>0.61999974613185949</v>
      </c>
      <c r="Q127" s="3">
        <f t="shared" si="55"/>
        <v>0.25236646896855186</v>
      </c>
      <c r="R127" s="3">
        <f t="shared" si="55"/>
        <v>0.2523664689685518</v>
      </c>
      <c r="S127" s="3">
        <f t="shared" si="55"/>
        <v>0.2523664689685518</v>
      </c>
      <c r="T127" s="3">
        <f t="shared" si="55"/>
        <v>0.2523664689685518</v>
      </c>
      <c r="U127" s="3">
        <f t="shared" si="56"/>
        <v>1.3494592135592938</v>
      </c>
      <c r="V127" s="3">
        <f t="shared" si="57"/>
        <v>1.3038934230041843</v>
      </c>
      <c r="W127" s="3">
        <f t="shared" si="58"/>
        <v>1.3038934230041843</v>
      </c>
      <c r="X127" s="3">
        <f t="shared" si="59"/>
        <v>1.3038934230041843</v>
      </c>
      <c r="Y127" s="9">
        <f t="shared" si="60"/>
        <v>149.81768554284551</v>
      </c>
      <c r="Z127" s="9">
        <f t="shared" si="68"/>
        <v>144.75894704055983</v>
      </c>
      <c r="AA127" s="9">
        <f t="shared" si="69"/>
        <v>144.75894704055983</v>
      </c>
      <c r="AB127" s="9">
        <f t="shared" si="70"/>
        <v>144.75894704055983</v>
      </c>
      <c r="AC127" s="3">
        <f t="shared" si="71"/>
        <v>1.4843721940240318</v>
      </c>
      <c r="AD127" s="3">
        <f t="shared" ref="AD127:AF127" si="77">AC127</f>
        <v>1.4843721940240318</v>
      </c>
      <c r="AE127" s="3">
        <f t="shared" si="77"/>
        <v>1.4843721940240318</v>
      </c>
      <c r="AF127" s="3">
        <f t="shared" si="77"/>
        <v>1.4843721940240318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/>
      <c r="AO127"/>
      <c r="AP127"/>
      <c r="AQ127"/>
      <c r="AR127"/>
      <c r="AS127"/>
      <c r="AT127"/>
      <c r="AU127"/>
      <c r="AV127" s="9"/>
      <c r="BI127" s="3"/>
      <c r="BJ127" s="3"/>
      <c r="BK127" s="3"/>
      <c r="BL127" s="3"/>
      <c r="BM127" s="3"/>
      <c r="BN127" s="3"/>
      <c r="BO127" s="3"/>
    </row>
    <row r="128" spans="1:68">
      <c r="A128">
        <v>2016</v>
      </c>
      <c r="B128" s="3">
        <f>USA!Z103/USA!AU103*100</f>
        <v>36.957692605914716</v>
      </c>
      <c r="C128" s="3">
        <f t="shared" si="62"/>
        <v>36.957692605914716</v>
      </c>
      <c r="D128" s="3">
        <f t="shared" si="63"/>
        <v>36.957692605914716</v>
      </c>
      <c r="E128" s="3">
        <f t="shared" si="64"/>
        <v>36.957692605914716</v>
      </c>
      <c r="F128" s="6">
        <f>'Exchange Rates'!J55</f>
        <v>0.90674707708863456</v>
      </c>
      <c r="G128" s="3">
        <f>(B128*USA!$AU103/100)/$AU95*100*$F128</f>
        <v>33.788698332055112</v>
      </c>
      <c r="H128" s="3">
        <f>(C128*USA!$AU103/100)/$AU95*100*$F128</f>
        <v>33.788698332055112</v>
      </c>
      <c r="I128" s="3">
        <f>(D128*USA!$AU103/100)/$AU95*100*$F128</f>
        <v>33.788698332055112</v>
      </c>
      <c r="J128" s="3">
        <f>(E128*USA!$AU103/100)/$AU95*100*$F128</f>
        <v>33.788698332055112</v>
      </c>
      <c r="K128" s="6">
        <f t="shared" si="73"/>
        <v>0.38999216413611326</v>
      </c>
      <c r="L128" s="6">
        <f t="shared" si="65"/>
        <v>0.38999216413611326</v>
      </c>
      <c r="M128" s="6">
        <f t="shared" si="66"/>
        <v>0.38999216413611326</v>
      </c>
      <c r="N128" s="6">
        <f t="shared" si="67"/>
        <v>0.38999216413611326</v>
      </c>
      <c r="O128">
        <v>2016</v>
      </c>
      <c r="P128" s="24">
        <f t="shared" si="54"/>
        <v>0.61779439148365645</v>
      </c>
      <c r="Q128" s="3">
        <f t="shared" si="55"/>
        <v>0.24186877334874468</v>
      </c>
      <c r="R128" s="3">
        <f t="shared" si="55"/>
        <v>0.24186877334874468</v>
      </c>
      <c r="S128" s="3">
        <f t="shared" si="55"/>
        <v>0.24186877334874468</v>
      </c>
      <c r="T128" s="3">
        <f t="shared" si="55"/>
        <v>0.24186877334874468</v>
      </c>
      <c r="U128" s="3">
        <f t="shared" si="56"/>
        <v>1.2647519755912411</v>
      </c>
      <c r="V128" s="3">
        <f t="shared" si="57"/>
        <v>1.2496553289685144</v>
      </c>
      <c r="W128" s="3">
        <f t="shared" si="58"/>
        <v>1.2496553289685144</v>
      </c>
      <c r="X128" s="3">
        <f t="shared" si="59"/>
        <v>1.2496553289685144</v>
      </c>
      <c r="Y128" s="9">
        <f t="shared" si="60"/>
        <v>140.41344255899998</v>
      </c>
      <c r="Z128" s="9">
        <f t="shared" si="68"/>
        <v>138.7374047553011</v>
      </c>
      <c r="AA128" s="9">
        <f t="shared" si="69"/>
        <v>138.7374047553011</v>
      </c>
      <c r="AB128" s="9">
        <f t="shared" si="70"/>
        <v>138.7374047553011</v>
      </c>
      <c r="AC128" s="3">
        <f t="shared" si="71"/>
        <v>1.3911962999999998</v>
      </c>
      <c r="AD128" s="3">
        <f t="shared" ref="AD128:AF128" si="78">AC128</f>
        <v>1.3911962999999998</v>
      </c>
      <c r="AE128" s="3">
        <f t="shared" si="78"/>
        <v>1.3911962999999998</v>
      </c>
      <c r="AF128" s="3">
        <f t="shared" si="78"/>
        <v>1.3911962999999998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/>
      <c r="AO128"/>
      <c r="AP128"/>
      <c r="AQ128"/>
      <c r="AR128"/>
      <c r="AS128"/>
      <c r="AT128"/>
      <c r="AU128"/>
      <c r="AV128" s="9"/>
      <c r="BI128" s="3"/>
      <c r="BJ128" s="3"/>
      <c r="BK128" s="3"/>
      <c r="BL128" s="3"/>
      <c r="BM128" s="3"/>
      <c r="BN128" s="3"/>
      <c r="BO128" s="3"/>
    </row>
    <row r="129" spans="1:67">
      <c r="A129">
        <v>2017</v>
      </c>
      <c r="B129" s="3">
        <f>USA!Z104/USA!AU104*100</f>
        <v>46.705738720797434</v>
      </c>
      <c r="C129" s="3">
        <f t="shared" si="62"/>
        <v>46.705738720797434</v>
      </c>
      <c r="D129" s="3">
        <f t="shared" si="63"/>
        <v>46.705738720797434</v>
      </c>
      <c r="E129" s="3">
        <f t="shared" si="64"/>
        <v>46.705738720797434</v>
      </c>
      <c r="F129" s="6">
        <f>'Exchange Rates'!J56</f>
        <v>0.88700000000000001</v>
      </c>
      <c r="G129" s="3">
        <f>(B129*USA!$AU104/100)/$AU96*100*$F129</f>
        <v>42.343094194089375</v>
      </c>
      <c r="H129" s="3">
        <f>(C129*USA!$AU104/100)/$AU96*100*$F129</f>
        <v>42.343094194089375</v>
      </c>
      <c r="I129" s="3">
        <f>(D129*USA!$AU104/100)/$AU96*100*$F129</f>
        <v>42.343094194089375</v>
      </c>
      <c r="J129" s="3">
        <f>(E129*USA!$AU104/100)/$AU96*100*$F129</f>
        <v>42.343094194089375</v>
      </c>
      <c r="K129" s="6">
        <f t="shared" si="73"/>
        <v>0.43771567131516331</v>
      </c>
      <c r="L129" s="6">
        <f t="shared" si="65"/>
        <v>0.43771567131516331</v>
      </c>
      <c r="M129" s="6">
        <f t="shared" si="66"/>
        <v>0.43771567131516331</v>
      </c>
      <c r="N129" s="6">
        <f t="shared" si="67"/>
        <v>0.43771567131516331</v>
      </c>
      <c r="O129">
        <v>2017</v>
      </c>
      <c r="P129" s="24">
        <f t="shared" si="54"/>
        <v>0.63246858075947043</v>
      </c>
      <c r="Q129" s="3">
        <f t="shared" si="55"/>
        <v>0.25684422049791211</v>
      </c>
      <c r="R129" s="3">
        <f t="shared" si="55"/>
        <v>0.25684422049791211</v>
      </c>
      <c r="S129" s="3">
        <f t="shared" si="55"/>
        <v>0.25684422049791211</v>
      </c>
      <c r="T129" s="3">
        <f t="shared" si="55"/>
        <v>0.25684422049791211</v>
      </c>
      <c r="U129" s="3">
        <f t="shared" si="56"/>
        <v>1.3312295417244615</v>
      </c>
      <c r="V129" s="3">
        <f t="shared" si="57"/>
        <v>1.3270284725725459</v>
      </c>
      <c r="W129" s="3">
        <f t="shared" si="58"/>
        <v>1.3270284725725459</v>
      </c>
      <c r="X129" s="3">
        <f t="shared" si="59"/>
        <v>1.3270284725725459</v>
      </c>
      <c r="Y129" s="9">
        <f t="shared" si="60"/>
        <v>147.79381760000001</v>
      </c>
      <c r="Z129" s="9">
        <f t="shared" si="68"/>
        <v>147.32741264991236</v>
      </c>
      <c r="AA129" s="9">
        <f t="shared" si="69"/>
        <v>147.32741264991236</v>
      </c>
      <c r="AB129" s="9">
        <f t="shared" si="70"/>
        <v>147.32741264991236</v>
      </c>
      <c r="AC129" s="3">
        <f t="shared" si="71"/>
        <v>1.4643200000000001</v>
      </c>
      <c r="AD129" s="3">
        <f t="shared" ref="AD129:AF129" si="79">AC129</f>
        <v>1.4643200000000001</v>
      </c>
      <c r="AE129" s="3">
        <f t="shared" si="79"/>
        <v>1.4643200000000001</v>
      </c>
      <c r="AF129" s="3">
        <f t="shared" si="79"/>
        <v>1.4643200000000001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/>
      <c r="AO129"/>
      <c r="AP129"/>
      <c r="AQ129"/>
      <c r="AR129"/>
      <c r="AS129"/>
      <c r="AT129"/>
      <c r="AU129"/>
      <c r="AV129" s="9"/>
      <c r="BI129" s="3"/>
      <c r="BJ129" s="3"/>
      <c r="BK129" s="3"/>
      <c r="BL129" s="3"/>
      <c r="BM129" s="3"/>
      <c r="BN129" s="3"/>
      <c r="BO129" s="3"/>
    </row>
    <row r="130" spans="1:67">
      <c r="A130">
        <v>2018</v>
      </c>
      <c r="B130" s="3">
        <f>USA!Z105/USA!AU105*100</f>
        <v>60.818458312139953</v>
      </c>
      <c r="C130" s="3">
        <f t="shared" si="62"/>
        <v>60.818458312139953</v>
      </c>
      <c r="D130" s="3">
        <f t="shared" si="63"/>
        <v>60.818458312139953</v>
      </c>
      <c r="E130" s="3">
        <f t="shared" si="64"/>
        <v>60.818458312139953</v>
      </c>
      <c r="F130" s="6">
        <f>'Exchange Rates'!J57</f>
        <v>0.84599999999999997</v>
      </c>
      <c r="G130" s="3">
        <f>(B130*USA!$AU105/100)/$AU97*100*$F130</f>
        <v>53.496921699722868</v>
      </c>
      <c r="H130" s="3">
        <f>(C130*USA!$AU105/100)/$AU97*100*$F130</f>
        <v>53.496921699722868</v>
      </c>
      <c r="I130" s="3">
        <f>(D130*USA!$AU105/100)/$AU97*100*$F130</f>
        <v>53.496921699722868</v>
      </c>
      <c r="J130" s="3">
        <f>(E130*USA!$AU105/100)/$AU97*100*$F130</f>
        <v>53.496921699722868</v>
      </c>
      <c r="K130" s="6">
        <f t="shared" si="73"/>
        <v>0.49994096175342972</v>
      </c>
      <c r="L130" s="6">
        <f t="shared" si="65"/>
        <v>0.49994096175342972</v>
      </c>
      <c r="M130" s="6">
        <f t="shared" si="66"/>
        <v>0.49994096175342972</v>
      </c>
      <c r="N130" s="6">
        <f t="shared" si="67"/>
        <v>0.49994096175342972</v>
      </c>
      <c r="O130">
        <v>2018</v>
      </c>
      <c r="P130" s="24">
        <f t="shared" si="54"/>
        <v>0.62664082112302633</v>
      </c>
      <c r="Q130" s="3">
        <f>(K130+P130)*$T$120</f>
        <v>0.27037962789034942</v>
      </c>
      <c r="R130" s="3">
        <f t="shared" ref="R130:R142" si="80">(L130+P130)*$T$120</f>
        <v>0.27037962789034942</v>
      </c>
      <c r="S130" s="3">
        <f t="shared" ref="S130:S142" si="81">(M130+P130)*$T$120</f>
        <v>0.27037962789034942</v>
      </c>
      <c r="T130" s="3">
        <f t="shared" ref="T130:T142" si="82">(N130+P130)*$T$120</f>
        <v>0.27037962789034942</v>
      </c>
      <c r="U130" s="3">
        <f t="shared" si="56"/>
        <v>1.3927603416148904</v>
      </c>
      <c r="V130" s="3">
        <f t="shared" si="57"/>
        <v>1.3969614107668054</v>
      </c>
      <c r="W130" s="3">
        <f t="shared" si="58"/>
        <v>1.3969614107668054</v>
      </c>
      <c r="X130" s="3">
        <f t="shared" si="59"/>
        <v>1.3969614107668054</v>
      </c>
      <c r="Y130" s="9">
        <f t="shared" si="60"/>
        <v>154.62499999999997</v>
      </c>
      <c r="Z130" s="9">
        <f t="shared" si="68"/>
        <v>155.09140495008754</v>
      </c>
      <c r="AA130" s="9">
        <f t="shared" si="69"/>
        <v>155.09140495008754</v>
      </c>
      <c r="AB130" s="9">
        <f t="shared" si="70"/>
        <v>155.09140495008754</v>
      </c>
      <c r="AC130" s="3">
        <f t="shared" si="71"/>
        <v>1.5320023778856628</v>
      </c>
      <c r="AD130" s="3">
        <f t="shared" ref="AD130:AD142" si="83">V130*$AU$96/100</f>
        <v>1.5366234514028292</v>
      </c>
      <c r="AE130" s="3">
        <f t="shared" ref="AE130:AE142" si="84">W130*$AU$96/100</f>
        <v>1.5366234514028292</v>
      </c>
      <c r="AF130" s="3">
        <f t="shared" ref="AF130:AF142" si="85">X130*$AU$96/100</f>
        <v>1.5366234514028292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/>
      <c r="AO130"/>
      <c r="AP130"/>
      <c r="AQ130"/>
      <c r="AR130"/>
      <c r="AS130"/>
      <c r="AT130"/>
      <c r="AU130"/>
      <c r="AV130" s="9"/>
      <c r="BI130" s="3"/>
      <c r="BJ130" s="3"/>
      <c r="BK130" s="3"/>
      <c r="BL130" s="3"/>
      <c r="BM130" s="3"/>
      <c r="BN130" s="3"/>
      <c r="BO130" s="3"/>
    </row>
    <row r="131" spans="1:67">
      <c r="A131">
        <v>2019</v>
      </c>
      <c r="B131" s="3"/>
      <c r="C131" s="3">
        <f>AK131</f>
        <v>90.611761513694489</v>
      </c>
      <c r="D131" s="3">
        <f t="shared" si="63"/>
        <v>56.019786702864394</v>
      </c>
      <c r="E131" s="3">
        <f t="shared" si="64"/>
        <v>25.889074718198426</v>
      </c>
      <c r="F131" s="6">
        <f>'Exchange Rates'!J58</f>
        <v>0.86199999999999999</v>
      </c>
      <c r="G131" s="3"/>
      <c r="H131" s="3">
        <f>(C131*USA!$AU106/100)/$AU98*100*$F131</f>
        <v>81.211000658246249</v>
      </c>
      <c r="I131" s="3">
        <f>(D131*USA!$AU106/100)/$AU98*100*$F131</f>
        <v>50.207863292819489</v>
      </c>
      <c r="J131" s="3">
        <f>(E131*USA!$AU106/100)/$AU98*100*$F131</f>
        <v>23.203143045213213</v>
      </c>
      <c r="K131" s="6"/>
      <c r="L131" s="6">
        <f t="shared" si="65"/>
        <v>0.65455305446798517</v>
      </c>
      <c r="M131" s="6">
        <f t="shared" si="66"/>
        <v>0.48159186907339546</v>
      </c>
      <c r="N131" s="6">
        <f t="shared" si="67"/>
        <v>0.33093716693077035</v>
      </c>
      <c r="O131">
        <v>2019</v>
      </c>
      <c r="P131" s="3">
        <f t="shared" ref="P131:P142" si="86">P130</f>
        <v>0.62664082112302633</v>
      </c>
      <c r="Q131" s="3"/>
      <c r="R131" s="3">
        <f t="shared" si="80"/>
        <v>0.30748653014184274</v>
      </c>
      <c r="S131" s="3">
        <f t="shared" si="81"/>
        <v>0.26597584564714127</v>
      </c>
      <c r="T131" s="3">
        <f t="shared" si="82"/>
        <v>0.22981871713291119</v>
      </c>
      <c r="U131" s="3"/>
      <c r="V131" s="3">
        <f t="shared" si="57"/>
        <v>1.5886804057328543</v>
      </c>
      <c r="W131" s="3">
        <f t="shared" si="58"/>
        <v>1.3742085358435632</v>
      </c>
      <c r="X131" s="3">
        <f t="shared" si="59"/>
        <v>1.1873967051867078</v>
      </c>
      <c r="Y131" s="9"/>
      <c r="Z131" s="9">
        <f t="shared" si="68"/>
        <v>176.37615058138027</v>
      </c>
      <c r="AA131" s="9">
        <f t="shared" si="69"/>
        <v>152.56536857477903</v>
      </c>
      <c r="AB131" s="9">
        <f t="shared" si="70"/>
        <v>131.82541895658161</v>
      </c>
      <c r="AC131" s="3"/>
      <c r="AD131" s="3">
        <f t="shared" si="83"/>
        <v>1.7475096659207399</v>
      </c>
      <c r="AE131" s="3">
        <f t="shared" si="84"/>
        <v>1.5115958443949176</v>
      </c>
      <c r="AF131" s="3">
        <f t="shared" si="85"/>
        <v>1.3061073908310872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/>
      <c r="AO131"/>
      <c r="AP131"/>
      <c r="AQ131"/>
      <c r="AR131"/>
      <c r="AS131"/>
      <c r="AT131"/>
      <c r="AU131"/>
      <c r="AV131" s="9"/>
      <c r="BI131" s="3"/>
      <c r="BJ131" s="3"/>
      <c r="BK131" s="3"/>
      <c r="BL131" s="3"/>
      <c r="BM131" s="3"/>
      <c r="BN131" s="3"/>
      <c r="BO131" s="3"/>
    </row>
    <row r="132" spans="1:67">
      <c r="A132">
        <v>2020</v>
      </c>
      <c r="B132" s="3"/>
      <c r="C132" s="3">
        <f t="shared" si="62"/>
        <v>105.28223718734027</v>
      </c>
      <c r="D132" s="3">
        <f t="shared" si="63"/>
        <v>56.251630823658907</v>
      </c>
      <c r="E132" s="3">
        <f t="shared" si="64"/>
        <v>26.752043875471706</v>
      </c>
      <c r="F132" s="6">
        <f>'Exchange Rates'!J59</f>
        <v>0.86199999999999999</v>
      </c>
      <c r="G132" s="3"/>
      <c r="H132" s="3">
        <f>(C132*USA!$AU107/100)/$AU99*100*$F132</f>
        <v>94.359448383867104</v>
      </c>
      <c r="I132" s="3">
        <f>(D132*USA!$AU107/100)/$AU99*100*$F132</f>
        <v>50.415654121867753</v>
      </c>
      <c r="J132" s="3">
        <f>(E132*USA!$AU107/100)/$AU99*100*$F132</f>
        <v>23.976581146720317</v>
      </c>
      <c r="K132" s="6"/>
      <c r="L132" s="6">
        <f t="shared" si="65"/>
        <v>0.72790598897642067</v>
      </c>
      <c r="M132" s="6">
        <f t="shared" si="66"/>
        <v>0.48275109846630171</v>
      </c>
      <c r="N132" s="6">
        <f t="shared" si="67"/>
        <v>0.33525204543126652</v>
      </c>
      <c r="O132">
        <v>2020</v>
      </c>
      <c r="P132" s="3">
        <f t="shared" si="86"/>
        <v>0.62664082112302633</v>
      </c>
      <c r="Q132" s="3"/>
      <c r="R132" s="3">
        <f t="shared" si="80"/>
        <v>0.32509123442386728</v>
      </c>
      <c r="S132" s="3">
        <f t="shared" si="81"/>
        <v>0.2662540607014387</v>
      </c>
      <c r="T132" s="3">
        <f t="shared" si="82"/>
        <v>0.23085428797303029</v>
      </c>
      <c r="U132" s="3"/>
      <c r="V132" s="3">
        <f t="shared" si="57"/>
        <v>1.6796380445233143</v>
      </c>
      <c r="W132" s="3">
        <f t="shared" si="58"/>
        <v>1.3756459802907668</v>
      </c>
      <c r="X132" s="3">
        <f t="shared" si="59"/>
        <v>1.1927471545273232</v>
      </c>
      <c r="Y132" s="9"/>
      <c r="Z132" s="9">
        <f t="shared" si="68"/>
        <v>186.47431641633466</v>
      </c>
      <c r="AA132" s="9">
        <f t="shared" si="69"/>
        <v>152.72495442814355</v>
      </c>
      <c r="AB132" s="9">
        <f t="shared" si="70"/>
        <v>132.41942871157895</v>
      </c>
      <c r="AC132" s="3"/>
      <c r="AD132" s="3">
        <f t="shared" si="83"/>
        <v>1.8475608482743948</v>
      </c>
      <c r="AE132" s="3">
        <f t="shared" si="84"/>
        <v>1.5131769981981922</v>
      </c>
      <c r="AF132" s="3">
        <f t="shared" si="85"/>
        <v>1.3119927544989491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/>
      <c r="AO132"/>
      <c r="AP132"/>
      <c r="AQ132"/>
      <c r="AR132"/>
      <c r="AS132"/>
      <c r="AT132"/>
      <c r="AU132"/>
      <c r="AV132" s="9"/>
      <c r="BI132" s="3"/>
      <c r="BJ132" s="3"/>
      <c r="BK132" s="3"/>
      <c r="BL132" s="3"/>
      <c r="BM132" s="3"/>
      <c r="BN132" s="3"/>
      <c r="BO132" s="3"/>
    </row>
    <row r="133" spans="1:67">
      <c r="A133">
        <v>2021</v>
      </c>
      <c r="B133" s="3"/>
      <c r="C133" s="3">
        <f t="shared" si="62"/>
        <v>120.81568201825931</v>
      </c>
      <c r="D133" s="3">
        <f t="shared" si="63"/>
        <v>63.082289986431647</v>
      </c>
      <c r="E133" s="3">
        <f t="shared" si="64"/>
        <v>28.477982190018274</v>
      </c>
      <c r="F133" s="6">
        <f>'Exchange Rates'!J60</f>
        <v>0.86199999999999999</v>
      </c>
      <c r="G133" s="3"/>
      <c r="H133" s="3">
        <f>(C133*USA!$AU108/100)/$AU100*100*$F133</f>
        <v>108.281334210995</v>
      </c>
      <c r="I133" s="3">
        <f>(D133*USA!$AU108/100)/$AU100*100*$F133</f>
        <v>56.53764818199155</v>
      </c>
      <c r="J133" s="3">
        <f>(E133*USA!$AU108/100)/$AU100*100*$F133</f>
        <v>25.523457349734542</v>
      </c>
      <c r="K133" s="6"/>
      <c r="L133" s="6">
        <f t="shared" si="65"/>
        <v>0.80557380198535211</v>
      </c>
      <c r="M133" s="6">
        <f t="shared" si="66"/>
        <v>0.51690465322229384</v>
      </c>
      <c r="N133" s="6">
        <f t="shared" si="67"/>
        <v>0.34388180243225897</v>
      </c>
      <c r="O133">
        <v>2021</v>
      </c>
      <c r="P133" s="3">
        <f t="shared" si="86"/>
        <v>0.62664082112302633</v>
      </c>
      <c r="Q133" s="3"/>
      <c r="R133" s="3">
        <f t="shared" si="80"/>
        <v>0.34373150954601078</v>
      </c>
      <c r="S133" s="3">
        <f t="shared" si="81"/>
        <v>0.27445091384287684</v>
      </c>
      <c r="T133" s="3">
        <f t="shared" si="82"/>
        <v>0.23292542965326846</v>
      </c>
      <c r="U133" s="3"/>
      <c r="V133" s="3">
        <f t="shared" si="57"/>
        <v>1.7759461326543891</v>
      </c>
      <c r="W133" s="3">
        <f t="shared" si="58"/>
        <v>1.417996388188197</v>
      </c>
      <c r="X133" s="3">
        <f t="shared" si="59"/>
        <v>1.2034480532085539</v>
      </c>
      <c r="Y133" s="9"/>
      <c r="Z133" s="9">
        <f t="shared" si="68"/>
        <v>197.16649200628629</v>
      </c>
      <c r="AA133" s="9">
        <f t="shared" si="69"/>
        <v>157.42671942351043</v>
      </c>
      <c r="AB133" s="9">
        <f t="shared" si="70"/>
        <v>133.60744822157358</v>
      </c>
      <c r="AC133" s="3"/>
      <c r="AD133" s="3">
        <f t="shared" si="83"/>
        <v>1.9534973942959111</v>
      </c>
      <c r="AE133" s="3">
        <f t="shared" si="84"/>
        <v>1.5597614130933364</v>
      </c>
      <c r="AF133" s="3">
        <f t="shared" si="85"/>
        <v>1.3237634818346735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/>
      <c r="AO133"/>
      <c r="AP133"/>
      <c r="AQ133"/>
      <c r="AR133"/>
      <c r="AS133"/>
      <c r="AT133"/>
      <c r="AU133"/>
      <c r="AV133" s="9"/>
      <c r="BI133" s="3"/>
      <c r="BJ133" s="3"/>
      <c r="BK133" s="3"/>
      <c r="BL133" s="3"/>
      <c r="BM133" s="3"/>
      <c r="BN133" s="3"/>
      <c r="BO133" s="3"/>
    </row>
    <row r="134" spans="1:67">
      <c r="A134">
        <v>2022</v>
      </c>
      <c r="B134" s="3"/>
      <c r="C134" s="3">
        <f t="shared" si="62"/>
        <v>127.71943527644558</v>
      </c>
      <c r="D134" s="3">
        <f t="shared" si="63"/>
        <v>68.168185410991157</v>
      </c>
      <c r="E134" s="3">
        <f t="shared" si="64"/>
        <v>29.340951347291547</v>
      </c>
      <c r="F134" s="6">
        <f>'Exchange Rates'!J61</f>
        <v>0.86199999999999999</v>
      </c>
      <c r="G134" s="3"/>
      <c r="H134" s="3">
        <f>(C134*USA!$AU109/100)/$AU101*100*$F134</f>
        <v>114.46883902305188</v>
      </c>
      <c r="I134" s="3">
        <f>(D134*USA!$AU109/100)/$AU101*100*$F134</f>
        <v>61.095893709634801</v>
      </c>
      <c r="J134" s="3">
        <f>(E134*USA!$AU109/100)/$AU101*100*$F134</f>
        <v>26.296895451241642</v>
      </c>
      <c r="K134" s="6"/>
      <c r="L134" s="6">
        <f t="shared" si="65"/>
        <v>0.84009282998932189</v>
      </c>
      <c r="M134" s="6">
        <f t="shared" si="66"/>
        <v>0.54233432314531105</v>
      </c>
      <c r="N134" s="6">
        <f t="shared" si="67"/>
        <v>0.34819668093275513</v>
      </c>
      <c r="O134">
        <v>2022</v>
      </c>
      <c r="P134" s="3">
        <f t="shared" si="86"/>
        <v>0.62664082112302633</v>
      </c>
      <c r="Q134" s="3"/>
      <c r="R134" s="3">
        <f t="shared" si="80"/>
        <v>0.35201607626696352</v>
      </c>
      <c r="S134" s="3">
        <f t="shared" si="81"/>
        <v>0.28055403462440098</v>
      </c>
      <c r="T134" s="3">
        <f t="shared" si="82"/>
        <v>0.23396100049338753</v>
      </c>
      <c r="U134" s="3"/>
      <c r="V134" s="3">
        <f t="shared" si="57"/>
        <v>1.8187497273793116</v>
      </c>
      <c r="W134" s="3">
        <f t="shared" si="58"/>
        <v>1.4495291788927385</v>
      </c>
      <c r="X134" s="3">
        <f t="shared" si="59"/>
        <v>1.208798502549169</v>
      </c>
      <c r="Y134" s="9"/>
      <c r="Z134" s="9">
        <f t="shared" si="68"/>
        <v>201.91857004626485</v>
      </c>
      <c r="AA134" s="9">
        <f t="shared" si="69"/>
        <v>160.92750675712762</v>
      </c>
      <c r="AB134" s="9">
        <f t="shared" si="70"/>
        <v>134.20145797657088</v>
      </c>
      <c r="AC134" s="3"/>
      <c r="AD134" s="3">
        <f t="shared" si="83"/>
        <v>2.0005803036388077</v>
      </c>
      <c r="AE134" s="3">
        <f t="shared" si="84"/>
        <v>1.5944467131390825</v>
      </c>
      <c r="AF134" s="3">
        <f t="shared" si="85"/>
        <v>1.3296488455025353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/>
      <c r="AO134"/>
      <c r="AP134"/>
      <c r="AQ134"/>
      <c r="AR134"/>
      <c r="AS134"/>
      <c r="AT134"/>
      <c r="AU134"/>
      <c r="AV134" s="9"/>
      <c r="BI134" s="3"/>
      <c r="BJ134" s="3"/>
      <c r="BK134" s="3"/>
      <c r="BL134" s="3"/>
      <c r="BM134" s="3"/>
      <c r="BN134" s="3"/>
      <c r="BO134" s="3"/>
    </row>
    <row r="135" spans="1:67">
      <c r="A135">
        <v>2023</v>
      </c>
      <c r="B135" s="3"/>
      <c r="C135" s="3">
        <f t="shared" si="62"/>
        <v>132.89725022008525</v>
      </c>
      <c r="D135" s="3">
        <f t="shared" si="63"/>
        <v>70.508542947524788</v>
      </c>
      <c r="E135" s="3">
        <f t="shared" si="64"/>
        <v>29.340951347291547</v>
      </c>
      <c r="F135" s="6">
        <f>'Exchange Rates'!J62</f>
        <v>0.86199999999999999</v>
      </c>
      <c r="G135" s="3"/>
      <c r="H135" s="3">
        <f>(C135*USA!$AU110/100)/$AU102*100*$F135</f>
        <v>119.10946763209451</v>
      </c>
      <c r="I135" s="3">
        <f>(D135*USA!$AU110/100)/$AU102*100*$F135</f>
        <v>63.193444560262932</v>
      </c>
      <c r="J135" s="3">
        <f>(E135*USA!$AU110/100)/$AU102*100*$F135</f>
        <v>26.296895451241642</v>
      </c>
      <c r="K135" s="6"/>
      <c r="L135" s="6">
        <f t="shared" si="65"/>
        <v>0.86598210099229889</v>
      </c>
      <c r="M135" s="6">
        <f t="shared" si="66"/>
        <v>0.55403619954813743</v>
      </c>
      <c r="N135" s="6">
        <f t="shared" si="67"/>
        <v>0.34819668093275513</v>
      </c>
      <c r="O135">
        <v>2023</v>
      </c>
      <c r="P135" s="3">
        <f t="shared" si="86"/>
        <v>0.62664082112302633</v>
      </c>
      <c r="Q135" s="3"/>
      <c r="R135" s="3">
        <f t="shared" si="80"/>
        <v>0.35822950130767806</v>
      </c>
      <c r="S135" s="3">
        <f t="shared" si="81"/>
        <v>0.28336248496107924</v>
      </c>
      <c r="T135" s="3">
        <f t="shared" si="82"/>
        <v>0.23396100049338753</v>
      </c>
      <c r="U135" s="3"/>
      <c r="V135" s="3">
        <f t="shared" si="57"/>
        <v>1.8508524234230035</v>
      </c>
      <c r="W135" s="3">
        <f t="shared" si="58"/>
        <v>1.4640395056322428</v>
      </c>
      <c r="X135" s="3">
        <f t="shared" si="59"/>
        <v>1.208798502549169</v>
      </c>
      <c r="Y135" s="9"/>
      <c r="Z135" s="9">
        <f t="shared" si="68"/>
        <v>205.48262857624871</v>
      </c>
      <c r="AA135" s="9">
        <f t="shared" si="69"/>
        <v>162.53845101297449</v>
      </c>
      <c r="AB135" s="9">
        <f t="shared" si="70"/>
        <v>134.20145797657088</v>
      </c>
      <c r="AC135" s="3"/>
      <c r="AD135" s="3">
        <f t="shared" si="83"/>
        <v>2.0358924856459799</v>
      </c>
      <c r="AE135" s="3">
        <f t="shared" si="84"/>
        <v>1.6104077183490983</v>
      </c>
      <c r="AF135" s="3">
        <f t="shared" si="85"/>
        <v>1.3296488455025353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/>
      <c r="AO135"/>
      <c r="AP135"/>
      <c r="AQ135"/>
      <c r="AR135"/>
      <c r="AS135"/>
      <c r="AT135"/>
      <c r="AU135"/>
      <c r="AV135" s="9"/>
      <c r="BI135" s="3"/>
      <c r="BJ135" s="3"/>
      <c r="BK135" s="3"/>
      <c r="BL135" s="3"/>
      <c r="BM135" s="3"/>
      <c r="BN135" s="3"/>
      <c r="BO135" s="3"/>
    </row>
    <row r="136" spans="1:67">
      <c r="A136">
        <v>2024</v>
      </c>
      <c r="B136" s="3"/>
      <c r="C136" s="3">
        <f t="shared" si="62"/>
        <v>137.21209600645167</v>
      </c>
      <c r="D136" s="3">
        <f t="shared" si="63"/>
        <v>71.127304204880986</v>
      </c>
      <c r="E136" s="3">
        <f t="shared" si="64"/>
        <v>29.340951347291547</v>
      </c>
      <c r="F136" s="6">
        <f>'Exchange Rates'!J63</f>
        <v>0.86199999999999999</v>
      </c>
      <c r="G136" s="3"/>
      <c r="H136" s="3">
        <f>(C136*USA!$AU111/100)/$AU103*100*$F136</f>
        <v>122.97665813963006</v>
      </c>
      <c r="I136" s="3">
        <f>(D136*USA!$AU111/100)/$AU103*100*$F136</f>
        <v>63.748010767110777</v>
      </c>
      <c r="J136" s="3">
        <f>(E136*USA!$AU111/100)/$AU103*100*$F136</f>
        <v>26.296895451241642</v>
      </c>
      <c r="K136" s="6"/>
      <c r="L136" s="6">
        <f t="shared" si="65"/>
        <v>0.88755649349478005</v>
      </c>
      <c r="M136" s="6">
        <f t="shared" si="66"/>
        <v>0.55713002929141842</v>
      </c>
      <c r="N136" s="6">
        <f t="shared" si="67"/>
        <v>0.34819668093275513</v>
      </c>
      <c r="O136">
        <v>2024</v>
      </c>
      <c r="P136" s="3">
        <f t="shared" si="86"/>
        <v>0.62664082112302633</v>
      </c>
      <c r="Q136" s="3"/>
      <c r="R136" s="3">
        <f t="shared" si="80"/>
        <v>0.36340735550827347</v>
      </c>
      <c r="S136" s="3">
        <f t="shared" si="81"/>
        <v>0.28410500409946671</v>
      </c>
      <c r="T136" s="3">
        <f t="shared" si="82"/>
        <v>0.23396100049338753</v>
      </c>
      <c r="U136" s="3"/>
      <c r="V136" s="3">
        <f t="shared" si="57"/>
        <v>1.8776046701260798</v>
      </c>
      <c r="W136" s="3">
        <f t="shared" si="58"/>
        <v>1.4678758545139114</v>
      </c>
      <c r="X136" s="3">
        <f t="shared" si="59"/>
        <v>1.208798502549169</v>
      </c>
      <c r="Y136" s="9"/>
      <c r="Z136" s="9">
        <f t="shared" si="68"/>
        <v>208.45267735123531</v>
      </c>
      <c r="AA136" s="9">
        <f t="shared" si="69"/>
        <v>162.96436452307648</v>
      </c>
      <c r="AB136" s="9">
        <f t="shared" si="70"/>
        <v>134.20145797657088</v>
      </c>
      <c r="AC136" s="3"/>
      <c r="AD136" s="3">
        <f t="shared" si="83"/>
        <v>2.06531930398529</v>
      </c>
      <c r="AE136" s="3">
        <f t="shared" si="84"/>
        <v>1.6146276084719753</v>
      </c>
      <c r="AF136" s="3">
        <f t="shared" si="85"/>
        <v>1.3296488455025353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/>
      <c r="AO136"/>
      <c r="AP136"/>
      <c r="AQ136"/>
      <c r="AR136"/>
      <c r="AS136"/>
      <c r="AT136"/>
      <c r="AU136"/>
      <c r="AV136" s="9"/>
      <c r="BI136" s="3"/>
      <c r="BJ136" s="3"/>
      <c r="BK136" s="3"/>
      <c r="BL136" s="3"/>
      <c r="BM136" s="3"/>
      <c r="BN136" s="3"/>
      <c r="BO136" s="3"/>
    </row>
    <row r="137" spans="1:67">
      <c r="A137">
        <v>2025</v>
      </c>
      <c r="B137" s="3"/>
      <c r="C137" s="3">
        <f t="shared" si="62"/>
        <v>141.52694179281806</v>
      </c>
      <c r="D137" s="3">
        <f t="shared" si="63"/>
        <v>74.364924740814473</v>
      </c>
      <c r="E137" s="3">
        <f t="shared" si="64"/>
        <v>30.203920504564827</v>
      </c>
      <c r="F137" s="6">
        <f>'Exchange Rates'!J64</f>
        <v>0.86199999999999999</v>
      </c>
      <c r="G137" s="3"/>
      <c r="H137" s="3">
        <f>(C137*USA!$AU112/100)/$AU104*100*$F137</f>
        <v>126.84384864716559</v>
      </c>
      <c r="I137" s="3">
        <f>(D137*USA!$AU112/100)/$AU104*100*$F137</f>
        <v>66.649735654504227</v>
      </c>
      <c r="J137" s="3">
        <f>(E137*USA!$AU112/100)/$AU104*100*$F137</f>
        <v>27.07033355274875</v>
      </c>
      <c r="K137" s="6"/>
      <c r="L137" s="6">
        <f t="shared" si="65"/>
        <v>0.909130885997261</v>
      </c>
      <c r="M137" s="6">
        <f t="shared" si="66"/>
        <v>0.57331825470541264</v>
      </c>
      <c r="N137" s="6">
        <f t="shared" si="67"/>
        <v>0.3525115594332513</v>
      </c>
      <c r="O137">
        <v>2025</v>
      </c>
      <c r="P137" s="3">
        <f t="shared" si="86"/>
        <v>0.62664082112302633</v>
      </c>
      <c r="Q137" s="3"/>
      <c r="R137" s="3">
        <f t="shared" si="80"/>
        <v>0.36858520970886893</v>
      </c>
      <c r="S137" s="3">
        <f t="shared" si="81"/>
        <v>0.28799017819882533</v>
      </c>
      <c r="T137" s="3">
        <f t="shared" si="82"/>
        <v>0.23499657133350663</v>
      </c>
      <c r="U137" s="3"/>
      <c r="V137" s="3">
        <f t="shared" si="57"/>
        <v>1.9043569168291561</v>
      </c>
      <c r="W137" s="3">
        <f t="shared" si="58"/>
        <v>1.4879492540272641</v>
      </c>
      <c r="X137" s="3">
        <f t="shared" si="59"/>
        <v>1.2141489518897843</v>
      </c>
      <c r="Y137" s="9"/>
      <c r="Z137" s="9">
        <f t="shared" si="68"/>
        <v>211.42272612622185</v>
      </c>
      <c r="AA137" s="9">
        <f t="shared" si="69"/>
        <v>165.19292410149845</v>
      </c>
      <c r="AB137" s="9">
        <f t="shared" si="70"/>
        <v>134.79546773156821</v>
      </c>
      <c r="AC137" s="3"/>
      <c r="AD137" s="3">
        <f t="shared" si="83"/>
        <v>2.0947461223246</v>
      </c>
      <c r="AE137" s="3">
        <f t="shared" si="84"/>
        <v>1.6367078579361782</v>
      </c>
      <c r="AF137" s="3">
        <f t="shared" si="85"/>
        <v>1.3355342091703972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/>
      <c r="AO137"/>
      <c r="AP137"/>
      <c r="AQ137"/>
      <c r="AR137"/>
      <c r="AS137"/>
      <c r="AT137"/>
      <c r="AU137"/>
      <c r="AV137" s="9"/>
      <c r="BI137" s="3"/>
      <c r="BJ137" s="3"/>
      <c r="BK137" s="3"/>
      <c r="BL137" s="3"/>
      <c r="BM137" s="3"/>
      <c r="BN137" s="3"/>
      <c r="BO137" s="3"/>
    </row>
    <row r="138" spans="1:67">
      <c r="A138">
        <v>2026</v>
      </c>
      <c r="B138" s="3"/>
      <c r="C138" s="3">
        <f t="shared" si="62"/>
        <v>145.84178757918448</v>
      </c>
      <c r="D138" s="3">
        <f t="shared" si="63"/>
        <v>80.055420065999314</v>
      </c>
      <c r="E138" s="3">
        <f t="shared" si="64"/>
        <v>31.066889661838108</v>
      </c>
      <c r="F138" s="6">
        <f>'Exchange Rates'!J65</f>
        <v>0.86199999999999999</v>
      </c>
      <c r="G138" s="3"/>
      <c r="H138" s="3">
        <f>(C138*USA!$AU113/100)/$AU105*100*$F138</f>
        <v>130.71103915470113</v>
      </c>
      <c r="I138" s="3">
        <f>(D138*USA!$AU113/100)/$AU105*100*$F138</f>
        <v>71.749855240298729</v>
      </c>
      <c r="J138" s="3">
        <f>(E138*USA!$AU113/100)/$AU105*100*$F138</f>
        <v>27.84377165425585</v>
      </c>
      <c r="K138" s="6"/>
      <c r="L138" s="6">
        <f t="shared" si="65"/>
        <v>0.93070527849974194</v>
      </c>
      <c r="M138" s="6">
        <f t="shared" si="66"/>
        <v>0.60177094705121636</v>
      </c>
      <c r="N138" s="6">
        <f t="shared" si="67"/>
        <v>0.35682643793374746</v>
      </c>
      <c r="O138">
        <v>2026</v>
      </c>
      <c r="P138" s="3">
        <f t="shared" si="86"/>
        <v>0.62664082112302633</v>
      </c>
      <c r="Q138" s="3"/>
      <c r="R138" s="3">
        <f t="shared" si="80"/>
        <v>0.37376306390946434</v>
      </c>
      <c r="S138" s="3">
        <f t="shared" si="81"/>
        <v>0.29481882436181828</v>
      </c>
      <c r="T138" s="3">
        <f t="shared" si="82"/>
        <v>0.2360321421736257</v>
      </c>
      <c r="U138" s="3"/>
      <c r="V138" s="3">
        <f t="shared" si="57"/>
        <v>1.9311091635322324</v>
      </c>
      <c r="W138" s="3">
        <f t="shared" si="58"/>
        <v>1.523230592536061</v>
      </c>
      <c r="X138" s="3">
        <f t="shared" si="59"/>
        <v>1.2194994012303995</v>
      </c>
      <c r="Y138" s="9"/>
      <c r="Z138" s="9">
        <f t="shared" si="68"/>
        <v>214.39277490120844</v>
      </c>
      <c r="AA138" s="9">
        <f t="shared" si="69"/>
        <v>169.10987722251946</v>
      </c>
      <c r="AB138" s="9">
        <f t="shared" si="70"/>
        <v>135.38947748656551</v>
      </c>
      <c r="AC138" s="3"/>
      <c r="AD138" s="3">
        <f t="shared" si="83"/>
        <v>2.12417294066391</v>
      </c>
      <c r="AE138" s="3">
        <f t="shared" si="84"/>
        <v>1.6755164690629096</v>
      </c>
      <c r="AF138" s="3">
        <f t="shared" si="85"/>
        <v>1.3414195728382592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/>
      <c r="AO138"/>
      <c r="AP138"/>
      <c r="AQ138"/>
      <c r="AR138"/>
      <c r="AS138"/>
      <c r="AT138"/>
      <c r="AU138"/>
      <c r="AV138" s="9"/>
      <c r="BI138" s="3"/>
      <c r="BJ138" s="3"/>
      <c r="BK138" s="3"/>
      <c r="BL138" s="3"/>
      <c r="BM138" s="3"/>
      <c r="BN138" s="3"/>
      <c r="BO138" s="3"/>
    </row>
    <row r="139" spans="1:67">
      <c r="A139">
        <v>2027</v>
      </c>
      <c r="B139" s="3"/>
      <c r="C139" s="3">
        <f t="shared" si="62"/>
        <v>150.15663336555087</v>
      </c>
      <c r="D139" s="3">
        <f t="shared" si="63"/>
        <v>82.98815737026753</v>
      </c>
      <c r="E139" s="3">
        <f t="shared" si="64"/>
        <v>31.929858819111395</v>
      </c>
      <c r="F139" s="6">
        <f>'Exchange Rates'!J66</f>
        <v>0.86199999999999999</v>
      </c>
      <c r="G139" s="3"/>
      <c r="H139" s="3">
        <f>(C139*USA!$AU114/100)/$AU106*100*$F139</f>
        <v>134.57822966223665</v>
      </c>
      <c r="I139" s="3">
        <f>(D139*USA!$AU114/100)/$AU106*100*$F139</f>
        <v>74.378327826734349</v>
      </c>
      <c r="J139" s="3">
        <f>(E139*USA!$AU114/100)/$AU106*100*$F139</f>
        <v>28.617209755762971</v>
      </c>
      <c r="K139" s="6"/>
      <c r="L139" s="6">
        <f t="shared" si="65"/>
        <v>0.95227967100222288</v>
      </c>
      <c r="M139" s="6">
        <f t="shared" si="66"/>
        <v>0.61643474474912496</v>
      </c>
      <c r="N139" s="6">
        <f t="shared" si="67"/>
        <v>0.36114131643424374</v>
      </c>
      <c r="O139">
        <v>2027</v>
      </c>
      <c r="P139" s="3">
        <f t="shared" si="86"/>
        <v>0.62664082112302633</v>
      </c>
      <c r="Q139" s="3"/>
      <c r="R139" s="3">
        <f t="shared" si="80"/>
        <v>0.37894091811005975</v>
      </c>
      <c r="S139" s="3">
        <f t="shared" si="81"/>
        <v>0.29833813580931628</v>
      </c>
      <c r="T139" s="3">
        <f t="shared" si="82"/>
        <v>0.2370677130137448</v>
      </c>
      <c r="U139" s="3"/>
      <c r="V139" s="3">
        <f t="shared" si="57"/>
        <v>1.9578614102353089</v>
      </c>
      <c r="W139" s="3">
        <f t="shared" si="58"/>
        <v>1.5414137016814675</v>
      </c>
      <c r="X139" s="3">
        <f t="shared" si="59"/>
        <v>1.2248498505710148</v>
      </c>
      <c r="Y139" s="9"/>
      <c r="Z139" s="9">
        <f t="shared" si="68"/>
        <v>217.36282367619503</v>
      </c>
      <c r="AA139" s="9">
        <f t="shared" si="69"/>
        <v>171.12857575061548</v>
      </c>
      <c r="AB139" s="9">
        <f t="shared" si="70"/>
        <v>135.98348724156281</v>
      </c>
      <c r="AC139" s="3"/>
      <c r="AD139" s="3">
        <f t="shared" si="83"/>
        <v>2.1535997590032205</v>
      </c>
      <c r="AE139" s="3">
        <f t="shared" si="84"/>
        <v>1.6955174452651887</v>
      </c>
      <c r="AF139" s="3">
        <f t="shared" si="85"/>
        <v>1.3473049365061212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/>
      <c r="AO139"/>
      <c r="AP139"/>
      <c r="AQ139"/>
      <c r="AR139"/>
      <c r="AS139"/>
      <c r="AT139"/>
      <c r="AU139"/>
      <c r="AV139" s="9"/>
      <c r="BI139" s="3"/>
      <c r="BJ139" s="3"/>
      <c r="BK139" s="3"/>
      <c r="BL139" s="3"/>
      <c r="BM139" s="3"/>
      <c r="BN139" s="3"/>
      <c r="BO139" s="3"/>
    </row>
    <row r="140" spans="1:67">
      <c r="A140">
        <v>2028</v>
      </c>
      <c r="B140" s="3"/>
      <c r="C140" s="3">
        <f t="shared" si="62"/>
        <v>153.60850999464401</v>
      </c>
      <c r="D140" s="3">
        <f t="shared" si="63"/>
        <v>84.844653255379882</v>
      </c>
      <c r="E140" s="3">
        <f t="shared" si="64"/>
        <v>31.929858819111395</v>
      </c>
      <c r="F140" s="6">
        <f>'Exchange Rates'!J67</f>
        <v>0.86199999999999999</v>
      </c>
      <c r="G140" s="3"/>
      <c r="H140" s="3">
        <f>(C140*USA!$AU115/100)/$AU107*100*$F140</f>
        <v>137.67198206826509</v>
      </c>
      <c r="I140" s="3">
        <f>(D140*USA!$AU115/100)/$AU107*100*$F140</f>
        <v>76.042216554083538</v>
      </c>
      <c r="J140" s="3">
        <f>(E140*USA!$AU115/100)/$AU107*100*$F140</f>
        <v>28.617209755762971</v>
      </c>
      <c r="K140" s="6"/>
      <c r="L140" s="6">
        <f t="shared" si="65"/>
        <v>0.96953918500420777</v>
      </c>
      <c r="M140" s="6">
        <f t="shared" si="66"/>
        <v>0.62571729455222769</v>
      </c>
      <c r="N140" s="6">
        <f t="shared" si="67"/>
        <v>0.36114131643424374</v>
      </c>
      <c r="O140">
        <v>2028</v>
      </c>
      <c r="P140" s="3">
        <f t="shared" si="86"/>
        <v>0.62664082112302633</v>
      </c>
      <c r="Q140" s="3"/>
      <c r="R140" s="3">
        <f t="shared" si="80"/>
        <v>0.38308320147053621</v>
      </c>
      <c r="S140" s="3">
        <f t="shared" si="81"/>
        <v>0.30056594776206091</v>
      </c>
      <c r="T140" s="3">
        <f t="shared" si="82"/>
        <v>0.2370677130137448</v>
      </c>
      <c r="U140" s="3"/>
      <c r="V140" s="3">
        <f t="shared" si="57"/>
        <v>1.9792632075977705</v>
      </c>
      <c r="W140" s="3">
        <f t="shared" si="58"/>
        <v>1.5529240634373149</v>
      </c>
      <c r="X140" s="3">
        <f t="shared" si="59"/>
        <v>1.2248498505710148</v>
      </c>
      <c r="Y140" s="9"/>
      <c r="Z140" s="9">
        <f t="shared" si="68"/>
        <v>219.73886269618436</v>
      </c>
      <c r="AA140" s="9">
        <f t="shared" si="69"/>
        <v>172.40646228523224</v>
      </c>
      <c r="AB140" s="9">
        <f t="shared" si="70"/>
        <v>135.98348724156281</v>
      </c>
      <c r="AC140" s="3"/>
      <c r="AD140" s="3">
        <f t="shared" si="83"/>
        <v>2.1771412136746688</v>
      </c>
      <c r="AE140" s="3">
        <f t="shared" si="84"/>
        <v>1.7081785622236425</v>
      </c>
      <c r="AF140" s="3">
        <f t="shared" si="85"/>
        <v>1.3473049365061212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/>
      <c r="AO140"/>
      <c r="AP140"/>
      <c r="AQ140"/>
      <c r="AR140"/>
      <c r="AS140"/>
      <c r="AT140"/>
      <c r="AU140"/>
      <c r="AV140" s="9"/>
      <c r="BI140" s="3"/>
      <c r="BJ140" s="3"/>
      <c r="BK140" s="3"/>
      <c r="BL140" s="3"/>
      <c r="BM140" s="3"/>
      <c r="BN140" s="3"/>
      <c r="BO140" s="3"/>
    </row>
    <row r="141" spans="1:67">
      <c r="A141">
        <v>2029</v>
      </c>
      <c r="B141" s="3"/>
      <c r="C141" s="3">
        <f t="shared" si="62"/>
        <v>157.9233557810104</v>
      </c>
      <c r="D141" s="3">
        <f t="shared" si="63"/>
        <v>87.361009569245411</v>
      </c>
      <c r="E141" s="3">
        <f t="shared" si="64"/>
        <v>31.929858819111395</v>
      </c>
      <c r="F141" s="6">
        <f>'Exchange Rates'!J68</f>
        <v>0.86199999999999999</v>
      </c>
      <c r="G141" s="3"/>
      <c r="H141" s="3">
        <f>(C141*USA!$AU116/100)/$AU108*100*$F141</f>
        <v>141.53917257580062</v>
      </c>
      <c r="I141" s="3">
        <f>(D141*USA!$AU116/100)/$AU108*100*$F141</f>
        <v>78.297506715624351</v>
      </c>
      <c r="J141" s="3">
        <f>(E141*USA!$AU116/100)/$AU108*100*$F141</f>
        <v>28.617209755762971</v>
      </c>
      <c r="K141" s="6"/>
      <c r="L141" s="6">
        <f t="shared" si="65"/>
        <v>0.99111357750668871</v>
      </c>
      <c r="M141" s="6">
        <f t="shared" si="66"/>
        <v>0.63829917151361715</v>
      </c>
      <c r="N141" s="6">
        <f t="shared" si="67"/>
        <v>0.36114131643424374</v>
      </c>
      <c r="O141">
        <v>2029</v>
      </c>
      <c r="P141" s="3">
        <f t="shared" si="86"/>
        <v>0.62664082112302633</v>
      </c>
      <c r="Q141" s="3"/>
      <c r="R141" s="3">
        <f t="shared" si="80"/>
        <v>0.38826105567113162</v>
      </c>
      <c r="S141" s="3">
        <f t="shared" si="81"/>
        <v>0.30358559823279446</v>
      </c>
      <c r="T141" s="3">
        <f t="shared" si="82"/>
        <v>0.2370677130137448</v>
      </c>
      <c r="U141" s="3"/>
      <c r="V141" s="3">
        <f t="shared" si="57"/>
        <v>2.0060154543008468</v>
      </c>
      <c r="W141" s="3">
        <f t="shared" si="58"/>
        <v>1.568525590869438</v>
      </c>
      <c r="X141" s="3">
        <f t="shared" si="59"/>
        <v>1.2248498505710148</v>
      </c>
      <c r="Y141" s="9"/>
      <c r="Z141" s="9">
        <f t="shared" si="68"/>
        <v>222.70891147117089</v>
      </c>
      <c r="AA141" s="9">
        <f t="shared" si="69"/>
        <v>174.13855222713488</v>
      </c>
      <c r="AB141" s="9">
        <f t="shared" si="70"/>
        <v>135.98348724156281</v>
      </c>
      <c r="AC141" s="3"/>
      <c r="AD141" s="3">
        <f t="shared" si="83"/>
        <v>2.2065680320139789</v>
      </c>
      <c r="AE141" s="3">
        <f t="shared" si="84"/>
        <v>1.7253398615588516</v>
      </c>
      <c r="AF141" s="3">
        <f t="shared" si="85"/>
        <v>1.3473049365061212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/>
      <c r="AO141"/>
      <c r="AP141"/>
      <c r="AQ141"/>
      <c r="AR141"/>
      <c r="AS141"/>
      <c r="AT141"/>
      <c r="AU141"/>
      <c r="AV141" s="9"/>
      <c r="BI141" s="3"/>
      <c r="BJ141" s="3"/>
      <c r="BK141" s="3"/>
      <c r="BL141" s="3"/>
      <c r="BM141" s="3"/>
      <c r="BN141" s="3"/>
      <c r="BO141" s="3"/>
    </row>
    <row r="142" spans="1:67">
      <c r="A142">
        <v>2030</v>
      </c>
      <c r="B142" s="3"/>
      <c r="C142" s="3">
        <f t="shared" si="62"/>
        <v>160.51226325283022</v>
      </c>
      <c r="D142" s="3">
        <f t="shared" si="63"/>
        <v>89.285088706337618</v>
      </c>
      <c r="E142" s="3">
        <f t="shared" si="64"/>
        <v>32.792827976384679</v>
      </c>
      <c r="F142" s="6">
        <f>'Exchange Rates'!J69</f>
        <v>0.86199999999999999</v>
      </c>
      <c r="G142" s="3"/>
      <c r="H142" s="3">
        <f>(C142*USA!$AU117/100)/$AU109*100*$F142</f>
        <v>143.85948688032192</v>
      </c>
      <c r="I142" s="3">
        <f>(D142*USA!$AU117/100)/$AU109*100*$F142</f>
        <v>80.021967088743764</v>
      </c>
      <c r="J142" s="3">
        <f>(E142*USA!$AU117/100)/$AU109*100*$F142</f>
        <v>29.390647857270071</v>
      </c>
      <c r="K142" s="6"/>
      <c r="L142" s="6">
        <f t="shared" si="65"/>
        <v>1.0040582130081772</v>
      </c>
      <c r="M142" s="6">
        <f t="shared" si="66"/>
        <v>0.64791964013861969</v>
      </c>
      <c r="N142" s="6">
        <f t="shared" si="67"/>
        <v>0.36545619493473991</v>
      </c>
      <c r="O142">
        <v>2030</v>
      </c>
      <c r="P142" s="3">
        <f t="shared" si="86"/>
        <v>0.62664082112302633</v>
      </c>
      <c r="Q142" s="3"/>
      <c r="R142" s="3">
        <f t="shared" si="80"/>
        <v>0.39136776819148883</v>
      </c>
      <c r="S142" s="3">
        <f t="shared" si="81"/>
        <v>0.305894510702795</v>
      </c>
      <c r="T142" s="3">
        <f t="shared" si="82"/>
        <v>0.2381032838538639</v>
      </c>
      <c r="U142" s="3"/>
      <c r="V142" s="3">
        <f t="shared" si="57"/>
        <v>2.0220668023226924</v>
      </c>
      <c r="W142" s="3">
        <f t="shared" si="58"/>
        <v>1.580454971964441</v>
      </c>
      <c r="X142" s="3">
        <f t="shared" si="59"/>
        <v>1.2302002999116302</v>
      </c>
      <c r="Y142" s="9"/>
      <c r="Z142" s="9">
        <f t="shared" si="68"/>
        <v>224.49094073616283</v>
      </c>
      <c r="AA142" s="9">
        <f t="shared" si="69"/>
        <v>175.46295851348566</v>
      </c>
      <c r="AB142" s="9">
        <f t="shared" si="70"/>
        <v>136.57749699656014</v>
      </c>
      <c r="AC142" s="3"/>
      <c r="AD142" s="3">
        <f t="shared" si="83"/>
        <v>2.224224123017565</v>
      </c>
      <c r="AE142" s="3">
        <f t="shared" si="84"/>
        <v>1.7384618895619306</v>
      </c>
      <c r="AF142" s="3">
        <f t="shared" si="85"/>
        <v>1.3531903001739836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/>
      <c r="AO142"/>
      <c r="AP142"/>
      <c r="AQ142"/>
      <c r="AR142"/>
      <c r="AS142"/>
      <c r="AT142"/>
      <c r="AU142"/>
      <c r="AV142" s="9"/>
      <c r="BI142" s="3"/>
      <c r="BJ142" s="3"/>
      <c r="BK142" s="3"/>
      <c r="BL142" s="3"/>
      <c r="BM142" s="3"/>
      <c r="BN142" s="3"/>
      <c r="BO142" s="3"/>
    </row>
    <row r="143" spans="1:67">
      <c r="F143" s="7"/>
      <c r="G143" s="12"/>
      <c r="J143"/>
      <c r="L143" s="23"/>
      <c r="M143" s="7"/>
      <c r="N143" s="12"/>
      <c r="O143" s="12"/>
      <c r="P143" s="23"/>
      <c r="Q143"/>
      <c r="R143"/>
      <c r="U143" s="23"/>
      <c r="X14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/>
      <c r="AO143"/>
      <c r="AP143"/>
      <c r="AQ143"/>
      <c r="AR143"/>
      <c r="AS143"/>
      <c r="AT143"/>
      <c r="AU143"/>
      <c r="AV143" s="9"/>
      <c r="BI143" s="3"/>
      <c r="BJ143" s="3"/>
      <c r="BK143" s="3"/>
      <c r="BL143" s="3"/>
      <c r="BM143" s="3"/>
      <c r="BN143" s="3"/>
      <c r="BO143" s="3"/>
    </row>
    <row r="144" spans="1:67">
      <c r="G144" s="12"/>
      <c r="J144"/>
      <c r="L144" s="23"/>
      <c r="M144" s="7"/>
      <c r="N144" s="12"/>
      <c r="O144" s="12"/>
      <c r="P144" s="23"/>
      <c r="Q144"/>
      <c r="R144"/>
      <c r="U144" s="23"/>
      <c r="X144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/>
      <c r="AO144"/>
      <c r="AP144"/>
      <c r="AQ144"/>
      <c r="AR144"/>
      <c r="AS144"/>
      <c r="AT144"/>
      <c r="AU144"/>
      <c r="AV144" s="9"/>
      <c r="BI144" s="3"/>
      <c r="BJ144" s="3"/>
      <c r="BK144" s="3"/>
      <c r="BL144" s="3"/>
      <c r="BM144" s="3"/>
      <c r="BN144" s="3"/>
      <c r="BO144" s="3"/>
    </row>
    <row r="145" spans="7:70">
      <c r="G145" s="12"/>
      <c r="J145"/>
      <c r="L145" s="23"/>
      <c r="M145" s="12"/>
      <c r="N145" s="12"/>
      <c r="O145" s="12"/>
      <c r="P145" s="23"/>
      <c r="Q145"/>
      <c r="R145"/>
      <c r="V145" s="23"/>
      <c r="X145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/>
      <c r="AO145"/>
      <c r="AP145"/>
      <c r="AQ145"/>
      <c r="AR145"/>
      <c r="AS145"/>
      <c r="AT145"/>
      <c r="AU145"/>
      <c r="AV145" s="9"/>
      <c r="BI145" s="3"/>
      <c r="BJ145" s="3"/>
      <c r="BK145" s="3"/>
      <c r="BL145" s="3"/>
      <c r="BM145" s="3"/>
      <c r="BN145" s="3"/>
      <c r="BO145" s="3"/>
    </row>
    <row r="146" spans="7:70">
      <c r="G146" s="12"/>
      <c r="J146"/>
      <c r="L146" s="23"/>
      <c r="M146" s="12"/>
      <c r="N146" s="12"/>
      <c r="O146" s="12"/>
      <c r="P146" s="23"/>
      <c r="Q146"/>
      <c r="R146"/>
      <c r="V146" s="23"/>
      <c r="X146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/>
      <c r="AO146"/>
      <c r="AP146"/>
      <c r="AQ146"/>
      <c r="AR146"/>
      <c r="AS146"/>
      <c r="AT146"/>
      <c r="AU146"/>
      <c r="AV146" s="9"/>
      <c r="BI146" s="3"/>
      <c r="BJ146" s="3"/>
      <c r="BK146" s="3"/>
      <c r="BL146" s="3"/>
      <c r="BM146" s="3"/>
      <c r="BN146" s="3"/>
      <c r="BO146" s="3"/>
    </row>
    <row r="147" spans="7:70">
      <c r="G147" s="12"/>
      <c r="J147"/>
      <c r="L147" s="23"/>
      <c r="M147" s="12"/>
      <c r="N147" s="12"/>
      <c r="O147" s="12"/>
      <c r="P147" s="23"/>
      <c r="Q147"/>
      <c r="R147">
        <v>1.7215338467188768</v>
      </c>
      <c r="V147" s="23"/>
      <c r="X147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/>
      <c r="AO147"/>
      <c r="AP147"/>
      <c r="AQ147"/>
      <c r="AR147"/>
      <c r="AS147"/>
      <c r="AT147"/>
      <c r="AU147"/>
      <c r="AV147" s="9"/>
      <c r="BI147" s="3"/>
      <c r="BJ147" s="3"/>
      <c r="BK147" s="3"/>
      <c r="BL147" s="3"/>
      <c r="BM147" s="3"/>
      <c r="BN147" s="3"/>
      <c r="BO147" s="3"/>
    </row>
    <row r="148" spans="7:70">
      <c r="G148" s="12"/>
      <c r="J148"/>
      <c r="L148" s="23"/>
      <c r="M148" s="12"/>
      <c r="N148" s="12"/>
      <c r="O148" s="12"/>
      <c r="P148" s="23"/>
      <c r="Q148"/>
      <c r="R148">
        <v>1.3742085358435632</v>
      </c>
      <c r="V148" s="23"/>
      <c r="X148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/>
      <c r="AO148"/>
      <c r="AP148"/>
      <c r="AQ148"/>
      <c r="AR148"/>
      <c r="AS148"/>
      <c r="AT148"/>
      <c r="AU148"/>
      <c r="AV148" s="9"/>
      <c r="BI148" s="3"/>
      <c r="BJ148" s="3"/>
      <c r="BK148" s="3"/>
      <c r="BL148" s="3"/>
      <c r="BM148" s="3"/>
      <c r="BN148" s="3"/>
      <c r="BO148" s="3"/>
    </row>
    <row r="149" spans="7:70">
      <c r="G149" s="12"/>
      <c r="J149"/>
      <c r="L149" s="23"/>
      <c r="M149" s="12"/>
      <c r="N149" s="12"/>
      <c r="O149" s="12"/>
      <c r="P149" s="23"/>
      <c r="Q149"/>
      <c r="R149">
        <f>R147/R148-1</f>
        <v>0.25274570912347483</v>
      </c>
      <c r="V149" s="23"/>
      <c r="X149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/>
      <c r="AO149"/>
      <c r="AP149"/>
      <c r="AQ149"/>
      <c r="AR149"/>
      <c r="AS149"/>
      <c r="AT149"/>
      <c r="AU149"/>
      <c r="AV149" s="9"/>
      <c r="BI149" s="3"/>
      <c r="BJ149" s="3"/>
      <c r="BK149" s="3"/>
      <c r="BL149" s="3"/>
      <c r="BM149" s="3"/>
      <c r="BN149" s="3"/>
      <c r="BO149" s="3"/>
    </row>
    <row r="150" spans="7:70">
      <c r="G150" s="12"/>
      <c r="J150"/>
      <c r="L150" s="23"/>
      <c r="M150" s="12"/>
      <c r="N150" s="12"/>
      <c r="O150" s="12"/>
      <c r="P150" s="23"/>
      <c r="Q150"/>
      <c r="R150"/>
      <c r="V150" s="23"/>
      <c r="X150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/>
      <c r="AO150"/>
      <c r="AP150"/>
      <c r="AQ150"/>
      <c r="AR150"/>
      <c r="AS150"/>
      <c r="AT150"/>
      <c r="AU150"/>
      <c r="AV150" s="9"/>
      <c r="BI150" s="3"/>
      <c r="BJ150" s="3"/>
      <c r="BK150" s="3"/>
      <c r="BL150" s="3"/>
      <c r="BM150" s="3"/>
      <c r="BN150" s="3"/>
      <c r="BO150" s="3"/>
    </row>
    <row r="151" spans="7:70">
      <c r="G151" s="12"/>
      <c r="J151"/>
      <c r="L151" s="23"/>
      <c r="M151" s="12"/>
      <c r="N151" s="12"/>
      <c r="O151" s="12"/>
      <c r="P151" s="23"/>
      <c r="Q151"/>
      <c r="R151"/>
      <c r="V151" s="23"/>
      <c r="X151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/>
      <c r="AO151"/>
      <c r="AP151"/>
      <c r="AQ151"/>
      <c r="AR151"/>
      <c r="AS151"/>
      <c r="AT151"/>
      <c r="AU151"/>
      <c r="AV151" s="9"/>
      <c r="BI151" s="3"/>
      <c r="BJ151" s="3"/>
      <c r="BK151" s="3"/>
      <c r="BL151" s="3"/>
      <c r="BM151" s="3"/>
      <c r="BN151" s="3"/>
      <c r="BO151" s="3"/>
    </row>
    <row r="152" spans="7:70">
      <c r="O152" s="12"/>
      <c r="P152" s="23"/>
      <c r="R152" s="12"/>
      <c r="S152" s="23"/>
      <c r="X152"/>
      <c r="AG152" s="23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/>
      <c r="AO152"/>
      <c r="AP152"/>
      <c r="AQ152"/>
      <c r="AR152"/>
      <c r="AS152"/>
      <c r="AT152"/>
      <c r="AU152"/>
      <c r="AV152"/>
      <c r="AW152"/>
      <c r="AX152"/>
      <c r="AY152" s="9"/>
      <c r="BI152" s="3"/>
      <c r="BJ152" s="3"/>
      <c r="BK152" s="3"/>
      <c r="BL152" s="3"/>
      <c r="BM152" s="3"/>
      <c r="BN152" s="3"/>
      <c r="BO152" s="3"/>
      <c r="BP152" s="3"/>
      <c r="BQ152" s="3"/>
      <c r="BR152" s="3"/>
    </row>
    <row r="153" spans="7:70">
      <c r="O153" s="12"/>
      <c r="P153" s="23"/>
      <c r="R153" s="12"/>
      <c r="S153" s="23"/>
      <c r="X153"/>
      <c r="AG153" s="23"/>
      <c r="AM153"/>
      <c r="AN153"/>
      <c r="AO153"/>
      <c r="AP153"/>
      <c r="AQ153"/>
      <c r="AR153"/>
      <c r="AS153"/>
      <c r="AT153"/>
      <c r="AU153"/>
      <c r="AV153"/>
      <c r="AW153"/>
      <c r="AX153"/>
      <c r="AY153" s="9"/>
      <c r="BI153" s="3"/>
      <c r="BJ153" s="3"/>
      <c r="BK153" s="3"/>
      <c r="BL153" s="3"/>
      <c r="BM153" s="3"/>
      <c r="BN153" s="3"/>
      <c r="BO153" s="3"/>
      <c r="BP153" s="3"/>
      <c r="BQ153" s="3"/>
      <c r="BR153" s="3"/>
    </row>
    <row r="154" spans="7:70">
      <c r="O154" s="12"/>
      <c r="P154" s="23"/>
      <c r="R154" s="12"/>
      <c r="S154" s="23"/>
      <c r="X154"/>
      <c r="Y154" s="23"/>
      <c r="AM154"/>
      <c r="AN154" s="9"/>
      <c r="BI154" s="3"/>
    </row>
    <row r="155" spans="7:70">
      <c r="AJ155" t="s">
        <v>2434</v>
      </c>
    </row>
    <row r="156" spans="7:70">
      <c r="AI156" t="s">
        <v>2421</v>
      </c>
    </row>
    <row r="158" spans="7:70">
      <c r="AI158" t="s">
        <v>2416</v>
      </c>
      <c r="AJ158" t="s">
        <v>1888</v>
      </c>
    </row>
    <row r="159" spans="7:70">
      <c r="AH159" s="78">
        <v>43101</v>
      </c>
      <c r="AI159">
        <v>1.8</v>
      </c>
      <c r="AJ159">
        <v>1.575</v>
      </c>
    </row>
    <row r="160" spans="7:70">
      <c r="AH160" s="78">
        <v>43132</v>
      </c>
      <c r="AI160">
        <v>1.76</v>
      </c>
      <c r="AJ160">
        <v>1.575</v>
      </c>
    </row>
    <row r="161" spans="34:36">
      <c r="AH161" s="78">
        <v>43160</v>
      </c>
      <c r="AI161">
        <v>1.77</v>
      </c>
      <c r="AJ161">
        <v>1.575</v>
      </c>
    </row>
    <row r="162" spans="34:36">
      <c r="AH162" s="78">
        <v>43191</v>
      </c>
      <c r="AI162">
        <v>1.76</v>
      </c>
      <c r="AJ162">
        <v>1.575</v>
      </c>
    </row>
    <row r="163" spans="34:36">
      <c r="AH163" s="78">
        <v>43221</v>
      </c>
      <c r="AI163">
        <v>1.78</v>
      </c>
      <c r="AJ163">
        <v>1.575</v>
      </c>
    </row>
    <row r="164" spans="34:36">
      <c r="AH164" s="78">
        <v>43252</v>
      </c>
      <c r="AI164">
        <v>1.81</v>
      </c>
      <c r="AJ164">
        <v>1.575</v>
      </c>
    </row>
    <row r="165" spans="34:36">
      <c r="AH165" s="78">
        <v>43282</v>
      </c>
      <c r="AI165">
        <v>1.8</v>
      </c>
      <c r="AJ165">
        <v>1.575</v>
      </c>
    </row>
    <row r="166" spans="34:36">
      <c r="AH166" s="78">
        <v>43313</v>
      </c>
      <c r="AI166">
        <v>1.82</v>
      </c>
      <c r="AJ166">
        <v>1.575</v>
      </c>
    </row>
    <row r="167" spans="34:36">
      <c r="AH167" s="78">
        <v>43344</v>
      </c>
      <c r="AI167">
        <v>1.82</v>
      </c>
      <c r="AJ167">
        <v>1.575</v>
      </c>
    </row>
    <row r="168" spans="34:36">
      <c r="AH168" s="78">
        <v>43374</v>
      </c>
      <c r="AI168">
        <v>1.78</v>
      </c>
      <c r="AJ168">
        <v>1.5</v>
      </c>
    </row>
    <row r="169" spans="34:36">
      <c r="AH169" s="78">
        <v>43405</v>
      </c>
      <c r="AI169">
        <v>1.72</v>
      </c>
      <c r="AJ169">
        <v>1.45</v>
      </c>
    </row>
    <row r="170" spans="34:36">
      <c r="AH170" s="78">
        <v>43435</v>
      </c>
      <c r="AI170">
        <v>1.67</v>
      </c>
      <c r="AJ170">
        <v>1.43</v>
      </c>
    </row>
    <row r="172" spans="34:36">
      <c r="AH172">
        <v>2018</v>
      </c>
      <c r="AI172" s="3">
        <f>AVERAGE(AI159:AI170)</f>
        <v>1.7741666666666667</v>
      </c>
      <c r="AJ172" s="3">
        <f>AVERAGE(AJ159:AJ170)</f>
        <v>1.5462499999999997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>
      <selection activeCell="A3" sqref="A3:G24"/>
    </sheetView>
  </sheetViews>
  <sheetFormatPr defaultRowHeight="15"/>
  <cols>
    <col min="1" max="1" width="18" customWidth="1"/>
    <col min="2" max="7" width="13.5703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0.99249865111072433</v>
      </c>
    </row>
    <row r="5" spans="1:7">
      <c r="A5" s="13" t="s">
        <v>80</v>
      </c>
      <c r="B5" s="13">
        <v>0.9850535724566073</v>
      </c>
    </row>
    <row r="6" spans="1:7">
      <c r="A6" s="13" t="s">
        <v>81</v>
      </c>
      <c r="B6" s="13">
        <v>0.98277911609130841</v>
      </c>
    </row>
    <row r="7" spans="1:7">
      <c r="A7" s="13" t="s">
        <v>82</v>
      </c>
      <c r="B7" s="13">
        <v>1.9239955525254662E-2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7</v>
      </c>
      <c r="C12" s="13">
        <v>1.1222468848192915</v>
      </c>
      <c r="D12" s="13">
        <v>0.16032098354561305</v>
      </c>
      <c r="E12" s="13">
        <v>433.09407359290157</v>
      </c>
      <c r="F12" s="13">
        <v>9.1341942947264143E-40</v>
      </c>
    </row>
    <row r="13" spans="1:7">
      <c r="A13" s="13" t="s">
        <v>86</v>
      </c>
      <c r="B13" s="13">
        <v>46</v>
      </c>
      <c r="C13" s="13">
        <v>1.7028090876233762E-2</v>
      </c>
      <c r="D13" s="13">
        <v>3.7017588861377744E-4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1.1392749756955252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0.20662880838411471</v>
      </c>
      <c r="C17" s="13">
        <v>1.235555801752016E-2</v>
      </c>
      <c r="D17" s="13">
        <v>16.723551303074732</v>
      </c>
      <c r="E17" s="13">
        <v>3.5408858292292208E-21</v>
      </c>
      <c r="F17" s="13">
        <v>0.18175836002845469</v>
      </c>
      <c r="G17" s="13">
        <v>0.23149925673977473</v>
      </c>
    </row>
    <row r="18" spans="1:7">
      <c r="A18" s="13" t="s">
        <v>229</v>
      </c>
      <c r="B18" s="13">
        <v>5.7855560570312008E-3</v>
      </c>
      <c r="C18" s="13">
        <v>2.1435400243618411E-4</v>
      </c>
      <c r="D18" s="13">
        <v>26.990660268886902</v>
      </c>
      <c r="E18" s="13">
        <v>7.5321654093929152E-30</v>
      </c>
      <c r="F18" s="13">
        <v>5.354083828916641E-3</v>
      </c>
      <c r="G18" s="13">
        <v>6.2170282851457606E-3</v>
      </c>
    </row>
    <row r="19" spans="1:7">
      <c r="A19" s="13" t="s">
        <v>284</v>
      </c>
      <c r="B19" s="13">
        <v>-4.3139963506194576E-2</v>
      </c>
      <c r="C19" s="13">
        <v>9.7351231081138825E-3</v>
      </c>
      <c r="D19" s="13">
        <v>-4.4313731862557484</v>
      </c>
      <c r="E19" s="13">
        <v>5.7555062444718105E-5</v>
      </c>
      <c r="F19" s="13">
        <v>-6.2735749965455848E-2</v>
      </c>
      <c r="G19" s="13">
        <v>-2.35441770469333E-2</v>
      </c>
    </row>
    <row r="20" spans="1:7">
      <c r="A20" s="13" t="s">
        <v>235</v>
      </c>
      <c r="B20" s="13">
        <v>-6.3839999450699431E-2</v>
      </c>
      <c r="C20" s="13">
        <v>9.7811674802612755E-3</v>
      </c>
      <c r="D20" s="13">
        <v>-6.5268281705155031</v>
      </c>
      <c r="E20" s="13">
        <v>4.6820203680744167E-8</v>
      </c>
      <c r="F20" s="13">
        <v>-8.352846842401121E-2</v>
      </c>
      <c r="G20" s="13">
        <v>-4.4151530477387659E-2</v>
      </c>
    </row>
    <row r="21" spans="1:7">
      <c r="A21" s="13" t="s">
        <v>1996</v>
      </c>
      <c r="B21" s="13">
        <v>8.743348050628276E-2</v>
      </c>
      <c r="C21" s="13">
        <v>1.8596277224507719E-2</v>
      </c>
      <c r="D21" s="13">
        <v>4.7016657931435679</v>
      </c>
      <c r="E21" s="13">
        <v>2.3744894813148035E-5</v>
      </c>
      <c r="F21" s="13">
        <v>5.0001115924785539E-2</v>
      </c>
      <c r="G21" s="13">
        <v>0.12486584508777998</v>
      </c>
    </row>
    <row r="22" spans="1:7">
      <c r="A22" s="13" t="s">
        <v>2086</v>
      </c>
      <c r="B22" s="13">
        <v>-8.9326567548419805E-2</v>
      </c>
      <c r="C22" s="13">
        <v>1.1552447510362088E-2</v>
      </c>
      <c r="D22" s="13">
        <v>-7.7322634418635019</v>
      </c>
      <c r="E22" s="13">
        <v>7.3587088798109407E-10</v>
      </c>
      <c r="F22" s="13">
        <v>-0.11258043829877537</v>
      </c>
      <c r="G22" s="13">
        <v>-6.607269679806424E-2</v>
      </c>
    </row>
    <row r="23" spans="1:7">
      <c r="A23" s="13" t="s">
        <v>2087</v>
      </c>
      <c r="B23" s="13">
        <v>5.0515866566564406E-2</v>
      </c>
      <c r="C23" s="13">
        <v>9.6828892927444312E-3</v>
      </c>
      <c r="D23" s="13">
        <v>5.2170240761109277</v>
      </c>
      <c r="E23" s="13">
        <v>4.2287918064482238E-6</v>
      </c>
      <c r="F23" s="13">
        <v>3.1025221324375071E-2</v>
      </c>
      <c r="G23" s="13">
        <v>7.0006511808753738E-2</v>
      </c>
    </row>
    <row r="24" spans="1:7" ht="15.75" thickBot="1">
      <c r="A24" s="14" t="s">
        <v>2004</v>
      </c>
      <c r="B24" s="14">
        <v>-4.3721819223115785E-2</v>
      </c>
      <c r="C24" s="14">
        <v>1.1720538517378171E-2</v>
      </c>
      <c r="D24" s="14">
        <v>-3.7303592457197223</v>
      </c>
      <c r="E24" s="14">
        <v>5.2377382086468281E-4</v>
      </c>
      <c r="F24" s="14">
        <v>-6.7314039621711966E-2</v>
      </c>
      <c r="G24" s="14">
        <v>-2.0129598824519604E-2</v>
      </c>
    </row>
    <row r="44" spans="13:13">
      <c r="M44" t="s">
        <v>1902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T173"/>
  <sheetViews>
    <sheetView zoomScale="75" zoomScaleNormal="75" workbookViewId="0">
      <pane xSplit="1" ySplit="4" topLeftCell="AL54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H97"/>
    </sheetView>
  </sheetViews>
  <sheetFormatPr defaultRowHeight="15"/>
  <cols>
    <col min="1" max="1" width="6.7109375" customWidth="1"/>
    <col min="2" max="3" width="9.42578125" customWidth="1"/>
    <col min="4" max="4" width="10.140625" customWidth="1"/>
    <col min="5" max="5" width="10" customWidth="1"/>
    <col min="6" max="6" width="10.140625" customWidth="1"/>
    <col min="7" max="7" width="11.140625" style="2" customWidth="1"/>
    <col min="8" max="9" width="9.28515625" style="3" bestFit="1" customWidth="1"/>
    <col min="10" max="10" width="9.28515625" style="7" bestFit="1" customWidth="1"/>
    <col min="11" max="11" width="9.28515625" style="7" customWidth="1"/>
    <col min="12" max="13" width="9.28515625" style="3" bestFit="1" customWidth="1"/>
    <col min="14" max="14" width="9.85546875" customWidth="1"/>
    <col min="15" max="15" width="8.28515625" customWidth="1"/>
    <col min="16" max="16" width="11.140625" style="23" customWidth="1"/>
    <col min="17" max="18" width="11.5703125" style="32" customWidth="1"/>
    <col min="19" max="19" width="9.42578125" style="23" customWidth="1"/>
    <col min="20" max="20" width="9.28515625" bestFit="1" customWidth="1"/>
    <col min="21" max="21" width="8.7109375" customWidth="1"/>
    <col min="22" max="22" width="9.28515625" bestFit="1" customWidth="1"/>
    <col min="23" max="23" width="8.85546875" customWidth="1"/>
    <col min="24" max="24" width="9.140625" style="23" customWidth="1"/>
    <col min="25" max="25" width="10.140625" style="2" customWidth="1"/>
    <col min="26" max="26" width="8.140625" style="2" customWidth="1"/>
    <col min="27" max="27" width="9.5703125" style="2" customWidth="1"/>
    <col min="28" max="29" width="9.28515625" style="2" bestFit="1" customWidth="1"/>
    <col min="30" max="30" width="9.28515625" bestFit="1" customWidth="1"/>
    <col min="40" max="40" width="6.7109375" style="9" customWidth="1"/>
    <col min="41" max="41" width="7.42578125" style="3" customWidth="1"/>
    <col min="42" max="42" width="7.5703125" style="3" customWidth="1"/>
    <col min="43" max="43" width="7.42578125" style="3" customWidth="1"/>
    <col min="44" max="44" width="7.85546875" style="3" customWidth="1"/>
    <col min="45" max="45" width="7.42578125" style="3" customWidth="1"/>
    <col min="46" max="46" width="3" style="3" customWidth="1"/>
    <col min="47" max="47" width="9.140625" style="3"/>
    <col min="48" max="48" width="3.28515625" style="3" customWidth="1"/>
    <col min="49" max="49" width="7.42578125" style="3" customWidth="1"/>
    <col min="50" max="50" width="7.85546875" style="3" customWidth="1"/>
    <col min="51" max="51" width="7.5703125" style="3" customWidth="1"/>
    <col min="52" max="52" width="7.28515625" style="3" customWidth="1"/>
    <col min="53" max="53" width="7.85546875" style="3" customWidth="1"/>
    <col min="54" max="54" width="9.7109375" style="3" customWidth="1"/>
    <col min="55" max="55" width="5.5703125" style="3" customWidth="1"/>
    <col min="56" max="56" width="6" style="3" customWidth="1"/>
    <col min="57" max="57" width="5.28515625" style="3" customWidth="1"/>
    <col min="58" max="59" width="5.7109375" style="3" customWidth="1"/>
    <col min="60" max="60" width="5.42578125" style="3" customWidth="1"/>
    <col min="61" max="61" width="9.140625" style="3"/>
    <col min="62" max="62" width="12.42578125" style="3" customWidth="1"/>
    <col min="63" max="63" width="11.28515625" style="3" customWidth="1"/>
  </cols>
  <sheetData>
    <row r="1" spans="1:63">
      <c r="A1" s="23" t="s">
        <v>168</v>
      </c>
      <c r="B1" s="23"/>
      <c r="C1" s="23"/>
      <c r="G1" s="39" t="s">
        <v>49</v>
      </c>
      <c r="H1" s="3" t="s">
        <v>3</v>
      </c>
      <c r="I1" s="3" t="s">
        <v>3</v>
      </c>
      <c r="J1" s="3" t="s">
        <v>3</v>
      </c>
      <c r="K1" s="3" t="s">
        <v>3</v>
      </c>
      <c r="L1" s="3" t="s">
        <v>3</v>
      </c>
      <c r="M1" s="3" t="s">
        <v>3</v>
      </c>
      <c r="N1" s="3" t="s">
        <v>3</v>
      </c>
    </row>
    <row r="2" spans="1:63">
      <c r="D2" t="s">
        <v>45</v>
      </c>
      <c r="F2" t="s">
        <v>46</v>
      </c>
      <c r="H2" s="3" t="s">
        <v>1703</v>
      </c>
      <c r="I2" s="3" t="s">
        <v>1703</v>
      </c>
      <c r="J2" s="3" t="s">
        <v>1703</v>
      </c>
      <c r="K2" s="3"/>
      <c r="L2" s="3" t="s">
        <v>1703</v>
      </c>
      <c r="O2" s="23" t="s">
        <v>168</v>
      </c>
      <c r="Q2" s="37" t="s">
        <v>168</v>
      </c>
      <c r="R2" s="38" t="s">
        <v>142</v>
      </c>
      <c r="T2" s="23" t="s">
        <v>168</v>
      </c>
      <c r="Y2" s="37" t="s">
        <v>168</v>
      </c>
      <c r="Z2" s="37" t="s">
        <v>168</v>
      </c>
      <c r="AA2" s="37" t="s">
        <v>168</v>
      </c>
      <c r="AB2" s="37" t="s">
        <v>168</v>
      </c>
      <c r="AC2" s="37" t="s">
        <v>168</v>
      </c>
      <c r="AD2" t="s">
        <v>113</v>
      </c>
    </row>
    <row r="3" spans="1:63">
      <c r="B3" t="s">
        <v>182</v>
      </c>
      <c r="C3" t="s">
        <v>218</v>
      </c>
      <c r="D3" s="23" t="s">
        <v>168</v>
      </c>
      <c r="F3" s="23" t="s">
        <v>168</v>
      </c>
      <c r="H3" s="24" t="s">
        <v>168</v>
      </c>
      <c r="I3" s="24" t="s">
        <v>168</v>
      </c>
      <c r="J3" s="24" t="s">
        <v>168</v>
      </c>
      <c r="K3" s="3"/>
      <c r="L3" s="24" t="s">
        <v>168</v>
      </c>
      <c r="M3" s="3" t="s">
        <v>25</v>
      </c>
      <c r="N3" s="3" t="s">
        <v>1703</v>
      </c>
      <c r="O3" t="s">
        <v>5</v>
      </c>
      <c r="Q3" s="38" t="s">
        <v>133</v>
      </c>
      <c r="R3" s="38" t="s">
        <v>133</v>
      </c>
      <c r="T3" s="3" t="s">
        <v>128</v>
      </c>
      <c r="U3" s="3"/>
      <c r="V3" s="3"/>
      <c r="W3" s="3"/>
      <c r="Y3" s="2" t="s">
        <v>61</v>
      </c>
      <c r="Z3" s="2" t="s">
        <v>61</v>
      </c>
      <c r="AA3" s="2" t="s">
        <v>61</v>
      </c>
      <c r="AB3" s="2" t="s">
        <v>61</v>
      </c>
      <c r="AC3" s="38" t="s">
        <v>61</v>
      </c>
      <c r="AD3" t="s">
        <v>61</v>
      </c>
      <c r="AN3" s="46" t="s">
        <v>2103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46" t="s">
        <v>1703</v>
      </c>
      <c r="AU3" s="46"/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2115</v>
      </c>
      <c r="BB3" s="46" t="s">
        <v>2102</v>
      </c>
      <c r="BC3" s="46" t="s">
        <v>2098</v>
      </c>
      <c r="BD3" s="46" t="s">
        <v>2098</v>
      </c>
      <c r="BE3" s="46" t="s">
        <v>2098</v>
      </c>
      <c r="BF3" s="46" t="s">
        <v>2098</v>
      </c>
      <c r="BG3" s="46" t="s">
        <v>2098</v>
      </c>
      <c r="BH3" s="46" t="s">
        <v>2098</v>
      </c>
      <c r="BJ3" s="46" t="s">
        <v>2444</v>
      </c>
      <c r="BK3" s="46" t="s">
        <v>2444</v>
      </c>
    </row>
    <row r="4" spans="1:63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s="2" t="s">
        <v>11</v>
      </c>
      <c r="H4" s="3" t="s">
        <v>6</v>
      </c>
      <c r="I4" s="35" t="s">
        <v>110</v>
      </c>
      <c r="J4" s="30" t="s">
        <v>135</v>
      </c>
      <c r="K4" s="3"/>
      <c r="L4" s="35" t="s">
        <v>8</v>
      </c>
      <c r="M4" s="3" t="s">
        <v>9</v>
      </c>
      <c r="N4" s="29" t="s">
        <v>145</v>
      </c>
      <c r="O4" t="s">
        <v>10</v>
      </c>
      <c r="Q4" s="38" t="s">
        <v>101</v>
      </c>
      <c r="R4" s="38" t="s">
        <v>103</v>
      </c>
      <c r="T4" s="13" t="s">
        <v>229</v>
      </c>
      <c r="U4" s="3" t="s">
        <v>231</v>
      </c>
      <c r="V4" s="3" t="s">
        <v>233</v>
      </c>
      <c r="W4" s="3" t="s">
        <v>148</v>
      </c>
      <c r="Y4" s="2" t="s">
        <v>109</v>
      </c>
      <c r="Z4" s="2" t="s">
        <v>111</v>
      </c>
      <c r="AA4" s="2" t="s">
        <v>152</v>
      </c>
      <c r="AB4" s="2" t="s">
        <v>112</v>
      </c>
      <c r="AC4" s="38" t="s">
        <v>87</v>
      </c>
      <c r="AD4" t="s">
        <v>87</v>
      </c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U4" s="139" t="s">
        <v>237</v>
      </c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 t="s">
        <v>2116</v>
      </c>
      <c r="BD4" s="46">
        <v>8604</v>
      </c>
      <c r="BE4" s="46" t="s">
        <v>2117</v>
      </c>
      <c r="BF4" s="46">
        <v>9304</v>
      </c>
      <c r="BG4" s="46">
        <v>7479</v>
      </c>
      <c r="BH4" s="46">
        <v>6570</v>
      </c>
      <c r="BJ4" s="46" t="s">
        <v>131</v>
      </c>
      <c r="BK4" s="46" t="s">
        <v>2097</v>
      </c>
    </row>
    <row r="5" spans="1:63">
      <c r="A5">
        <v>1926</v>
      </c>
      <c r="AN5" s="9">
        <v>1926</v>
      </c>
    </row>
    <row r="6" spans="1:63">
      <c r="A6">
        <v>1927</v>
      </c>
      <c r="AN6" s="9">
        <v>1927</v>
      </c>
    </row>
    <row r="7" spans="1:63">
      <c r="A7">
        <v>1928</v>
      </c>
      <c r="AN7" s="9">
        <v>1928</v>
      </c>
    </row>
    <row r="8" spans="1:63">
      <c r="A8">
        <v>1929</v>
      </c>
      <c r="AN8" s="9">
        <v>1929</v>
      </c>
    </row>
    <row r="9" spans="1:63">
      <c r="A9">
        <v>1930</v>
      </c>
      <c r="AN9" s="9">
        <v>1930</v>
      </c>
    </row>
    <row r="10" spans="1:63">
      <c r="A10">
        <v>1931</v>
      </c>
      <c r="AN10" s="9">
        <v>1931</v>
      </c>
    </row>
    <row r="11" spans="1:63">
      <c r="A11">
        <v>1932</v>
      </c>
      <c r="AN11" s="9">
        <v>1932</v>
      </c>
    </row>
    <row r="12" spans="1:63">
      <c r="A12">
        <v>1933</v>
      </c>
      <c r="AN12" s="9">
        <v>1933</v>
      </c>
    </row>
    <row r="13" spans="1:63">
      <c r="A13">
        <v>1934</v>
      </c>
      <c r="AN13" s="9">
        <v>1934</v>
      </c>
    </row>
    <row r="14" spans="1:63">
      <c r="A14">
        <v>1935</v>
      </c>
      <c r="AN14" s="9">
        <v>1935</v>
      </c>
    </row>
    <row r="15" spans="1:63">
      <c r="A15">
        <v>1936</v>
      </c>
      <c r="AN15" s="9">
        <v>1936</v>
      </c>
    </row>
    <row r="16" spans="1:63">
      <c r="A16">
        <v>1937</v>
      </c>
      <c r="AN16" s="9">
        <v>1937</v>
      </c>
    </row>
    <row r="17" spans="1:40">
      <c r="A17">
        <v>1938</v>
      </c>
      <c r="AN17" s="9">
        <v>1938</v>
      </c>
    </row>
    <row r="18" spans="1:40">
      <c r="A18">
        <v>1939</v>
      </c>
      <c r="AN18" s="9">
        <v>1939</v>
      </c>
    </row>
    <row r="19" spans="1:40">
      <c r="A19">
        <v>1940</v>
      </c>
      <c r="AN19" s="9">
        <v>1940</v>
      </c>
    </row>
    <row r="20" spans="1:40">
      <c r="A20">
        <v>1941</v>
      </c>
      <c r="AN20" s="9">
        <v>1941</v>
      </c>
    </row>
    <row r="21" spans="1:40">
      <c r="A21">
        <v>1942</v>
      </c>
      <c r="AN21" s="9">
        <v>1942</v>
      </c>
    </row>
    <row r="22" spans="1:40">
      <c r="A22">
        <v>1943</v>
      </c>
      <c r="AN22" s="9">
        <v>1943</v>
      </c>
    </row>
    <row r="23" spans="1:40">
      <c r="A23">
        <v>1944</v>
      </c>
      <c r="AN23" s="9">
        <v>1944</v>
      </c>
    </row>
    <row r="24" spans="1:40">
      <c r="A24">
        <v>1945</v>
      </c>
      <c r="AN24" s="9">
        <v>1945</v>
      </c>
    </row>
    <row r="25" spans="1:40">
      <c r="A25">
        <v>1946</v>
      </c>
      <c r="AN25" s="9">
        <v>1946</v>
      </c>
    </row>
    <row r="26" spans="1:40">
      <c r="A26">
        <v>1947</v>
      </c>
      <c r="AN26" s="9">
        <v>1947</v>
      </c>
    </row>
    <row r="27" spans="1:40">
      <c r="A27">
        <v>1948</v>
      </c>
      <c r="AN27" s="9">
        <v>1948</v>
      </c>
    </row>
    <row r="28" spans="1:40">
      <c r="A28">
        <v>1949</v>
      </c>
      <c r="AN28" s="9">
        <v>1949</v>
      </c>
    </row>
    <row r="29" spans="1:40">
      <c r="A29">
        <v>1950</v>
      </c>
      <c r="AN29" s="9">
        <v>1950</v>
      </c>
    </row>
    <row r="30" spans="1:40">
      <c r="A30">
        <v>1951</v>
      </c>
      <c r="AN30" s="9">
        <v>1951</v>
      </c>
    </row>
    <row r="31" spans="1:40">
      <c r="A31">
        <v>1952</v>
      </c>
      <c r="AN31" s="9">
        <v>1952</v>
      </c>
    </row>
    <row r="32" spans="1:40">
      <c r="A32">
        <v>1953</v>
      </c>
      <c r="AN32" s="9">
        <v>1953</v>
      </c>
    </row>
    <row r="33" spans="1:63">
      <c r="A33">
        <v>1954</v>
      </c>
      <c r="AN33" s="9">
        <v>1954</v>
      </c>
    </row>
    <row r="34" spans="1:63">
      <c r="A34">
        <v>1955</v>
      </c>
      <c r="AN34" s="9">
        <v>1955</v>
      </c>
    </row>
    <row r="35" spans="1:63">
      <c r="A35">
        <v>1956</v>
      </c>
      <c r="AN35" s="9">
        <v>1956</v>
      </c>
    </row>
    <row r="36" spans="1:63">
      <c r="A36">
        <v>1957</v>
      </c>
      <c r="AN36" s="9">
        <v>1957</v>
      </c>
    </row>
    <row r="37" spans="1:63">
      <c r="A37">
        <v>1958</v>
      </c>
      <c r="AN37" s="9">
        <v>1958</v>
      </c>
    </row>
    <row r="38" spans="1:63">
      <c r="A38">
        <v>1959</v>
      </c>
      <c r="AN38" s="9">
        <v>1959</v>
      </c>
    </row>
    <row r="39" spans="1:63">
      <c r="A39">
        <v>1960</v>
      </c>
      <c r="AN39" s="9">
        <v>1960</v>
      </c>
    </row>
    <row r="40" spans="1:63">
      <c r="A40">
        <v>1961</v>
      </c>
      <c r="AN40" s="9">
        <v>1961</v>
      </c>
    </row>
    <row r="41" spans="1:63">
      <c r="A41">
        <v>1962</v>
      </c>
      <c r="AN41" s="9">
        <v>1962</v>
      </c>
    </row>
    <row r="42" spans="1:63">
      <c r="A42">
        <v>1963</v>
      </c>
      <c r="AN42" s="46" t="s">
        <v>2103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46" t="s">
        <v>1703</v>
      </c>
      <c r="AU42" s="46"/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2115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F42" s="46" t="s">
        <v>2098</v>
      </c>
      <c r="BG42" s="46" t="s">
        <v>2098</v>
      </c>
      <c r="BH42" s="46" t="s">
        <v>2098</v>
      </c>
      <c r="BJ42" s="46" t="s">
        <v>2444</v>
      </c>
      <c r="BK42" s="46" t="s">
        <v>2444</v>
      </c>
    </row>
    <row r="43" spans="1:63">
      <c r="A43">
        <v>1964</v>
      </c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U43" s="139" t="s">
        <v>237</v>
      </c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 t="s">
        <v>2116</v>
      </c>
      <c r="BD43" s="46">
        <v>8604</v>
      </c>
      <c r="BE43" s="46" t="s">
        <v>2117</v>
      </c>
      <c r="BF43" s="46">
        <v>9304</v>
      </c>
      <c r="BG43" s="46">
        <v>7479</v>
      </c>
      <c r="BH43" s="46">
        <v>6570</v>
      </c>
      <c r="BJ43" s="46" t="s">
        <v>131</v>
      </c>
      <c r="BK43" s="46" t="s">
        <v>2097</v>
      </c>
    </row>
    <row r="44" spans="1:63">
      <c r="A44">
        <v>1965</v>
      </c>
      <c r="B44" s="3">
        <f t="shared" ref="B44:B88" si="0">I44/G44*100/C44*100</f>
        <v>131.40578950703161</v>
      </c>
      <c r="C44" s="3">
        <f t="shared" ref="C44:C87" si="1">E44/E$89*100</f>
        <v>14.459024846529534</v>
      </c>
      <c r="D44" s="1">
        <v>91.819800000000001</v>
      </c>
      <c r="E44" s="3">
        <v>20.692699999999999</v>
      </c>
      <c r="F44" s="3">
        <f>D44*E44/100</f>
        <v>18.9999957546</v>
      </c>
      <c r="G44" s="2">
        <f>N44*G$49/N$49</f>
        <v>0.751798929398515</v>
      </c>
      <c r="H44" s="3">
        <f>F44*G44/100</f>
        <v>0.14284176466884613</v>
      </c>
      <c r="I44" s="7">
        <f>H44</f>
        <v>0.14284176466884613</v>
      </c>
      <c r="J44" s="7">
        <f t="shared" ref="J44:J83" si="2">R44+AC44</f>
        <v>0.15591487020816849</v>
      </c>
      <c r="M44" s="2"/>
      <c r="N44">
        <v>4.9020000000000001</v>
      </c>
      <c r="Q44" s="32">
        <f t="shared" ref="Q44:Q78" si="3">I44-AC44</f>
        <v>3.4139181755854245E-2</v>
      </c>
      <c r="R44" s="32">
        <f t="shared" ref="R44:R88" si="4">R$92+R$93*T44+R$94*U44+R$95*V44+R$96*W44</f>
        <v>4.7212287295176611E-2</v>
      </c>
      <c r="S44" s="27"/>
      <c r="T44">
        <f>USA!Z52*G44</f>
        <v>2.4809364670150993</v>
      </c>
      <c r="U44">
        <v>1</v>
      </c>
      <c r="V44">
        <v>0</v>
      </c>
      <c r="W44">
        <v>0</v>
      </c>
      <c r="Y44" s="2">
        <v>0.7609999999999999</v>
      </c>
      <c r="Z44" s="2">
        <f t="shared" ref="Z44:Z70" si="5">AC44-AB44</f>
        <v>8.7324903846906068E-2</v>
      </c>
      <c r="AA44" s="2">
        <v>0.17599999999999999</v>
      </c>
      <c r="AB44" s="2">
        <f>AA44*(I44*(1/(1+AA44)))</f>
        <v>2.1377679066085817E-2</v>
      </c>
      <c r="AC44" s="2">
        <f>I44*Y44</f>
        <v>0.10870258291299188</v>
      </c>
      <c r="AE44" s="3"/>
      <c r="AN44" s="9">
        <v>1965</v>
      </c>
      <c r="AO44" s="1">
        <f>I44</f>
        <v>0.14284176466884613</v>
      </c>
      <c r="AP44" s="1">
        <f>Z44</f>
        <v>8.7324903846906068E-2</v>
      </c>
      <c r="AQ44" s="1">
        <f>AB44</f>
        <v>2.1377679066085817E-2</v>
      </c>
      <c r="AR44" s="1">
        <f>AC44</f>
        <v>0.10870258291299188</v>
      </c>
      <c r="AS44" s="1">
        <f t="shared" ref="AS44:AS75" si="6">AO44-AR44</f>
        <v>3.4139181755854245E-2</v>
      </c>
      <c r="AU44" s="3">
        <v>12.51844242847776</v>
      </c>
      <c r="AW44" s="1">
        <f t="shared" ref="AW44:AW75" si="7">AO44/$AU44*100</f>
        <v>1.1410506177981095</v>
      </c>
      <c r="AX44" s="1">
        <f>BA44+AY44</f>
        <v>1.1459061172067095</v>
      </c>
      <c r="AY44" s="1">
        <f>AR44/$AU44*100</f>
        <v>0.868339520144361</v>
      </c>
      <c r="AZ44" s="1">
        <f t="shared" ref="AZ44:AZ51" si="8">AW44-AY44</f>
        <v>0.27271109765374846</v>
      </c>
      <c r="BA44" s="1">
        <f t="shared" ref="BA44:BA75" si="9">AX$99+AX$100*BB44+AX$101*BC44+AX$102*BD44+AX$103*BE44+AX$104*BF44+AX$105*BG44+AX$106*BH44</f>
        <v>0.2775665970623486</v>
      </c>
      <c r="BB44" s="3">
        <f t="shared" ref="BB44:BB75" si="10">T44/AU44*100</f>
        <v>19.818252000514896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24">
        <v>1</v>
      </c>
      <c r="BJ44" s="1">
        <f t="shared" ref="BJ44:BJ96" si="11">AW44*$AU$97/$AU$89</f>
        <v>1.2412675664102857</v>
      </c>
      <c r="BK44" s="1">
        <f t="shared" ref="BK44:BK96" si="12">AX44*$AU$97/$AU$89</f>
        <v>1.2465495178334836</v>
      </c>
    </row>
    <row r="45" spans="1:63">
      <c r="A45">
        <v>1966</v>
      </c>
      <c r="B45" s="3">
        <f t="shared" si="0"/>
        <v>127.58954640587639</v>
      </c>
      <c r="C45" s="3">
        <f t="shared" si="1"/>
        <v>14.891495218110531</v>
      </c>
      <c r="D45" s="1">
        <v>89.153199999999998</v>
      </c>
      <c r="E45" s="3">
        <v>21.311620000000001</v>
      </c>
      <c r="F45" s="3">
        <f t="shared" ref="F45:F78" si="13">D45*E45/100</f>
        <v>18.99999120184</v>
      </c>
      <c r="G45" s="2">
        <f>N45*G$49/N$49</f>
        <v>0.75946721713207788</v>
      </c>
      <c r="H45" s="3">
        <f t="shared" ref="H45:H78" si="14">F45*G45/100</f>
        <v>0.14429870443595388</v>
      </c>
      <c r="I45" s="7">
        <f t="shared" ref="I45:I67" si="15">H45</f>
        <v>0.14429870443595388</v>
      </c>
      <c r="J45" s="7">
        <f t="shared" si="2"/>
        <v>0.15721501922035935</v>
      </c>
      <c r="M45" s="2"/>
      <c r="N45">
        <v>4.952</v>
      </c>
      <c r="Q45" s="32">
        <f t="shared" si="3"/>
        <v>3.4487390360192993E-2</v>
      </c>
      <c r="R45" s="32">
        <f t="shared" si="4"/>
        <v>4.7403705144598476E-2</v>
      </c>
      <c r="S45" s="27"/>
      <c r="T45">
        <f>USA!Z53*G45</f>
        <v>2.5062418165358569</v>
      </c>
      <c r="U45">
        <v>1</v>
      </c>
      <c r="V45">
        <v>0</v>
      </c>
      <c r="W45">
        <v>0</v>
      </c>
      <c r="Y45" s="2">
        <v>0.7609999999999999</v>
      </c>
      <c r="Z45" s="2">
        <f t="shared" si="5"/>
        <v>8.8215589602352831E-2</v>
      </c>
      <c r="AA45" s="2">
        <v>0.17599999999999999</v>
      </c>
      <c r="AB45" s="2">
        <f t="shared" ref="AB45:AB96" si="16">AA45*(I45*(1/(1+AA45)))</f>
        <v>2.1595724473408063E-2</v>
      </c>
      <c r="AC45" s="2">
        <f t="shared" ref="AC45:AC71" si="17">I45*Y45</f>
        <v>0.10981131407576089</v>
      </c>
      <c r="AE45" s="4"/>
      <c r="AN45" s="9">
        <v>1966</v>
      </c>
      <c r="AO45" s="1">
        <f t="shared" ref="AO45:AO96" si="18">I45</f>
        <v>0.14429870443595388</v>
      </c>
      <c r="AP45" s="1">
        <f t="shared" ref="AP45:AP96" si="19">Z45</f>
        <v>8.8215589602352831E-2</v>
      </c>
      <c r="AQ45" s="1">
        <f t="shared" ref="AQ45:AQ96" si="20">AB45</f>
        <v>2.1595724473408063E-2</v>
      </c>
      <c r="AR45" s="1">
        <f t="shared" ref="AR45:AR76" si="21">AC45</f>
        <v>0.10981131407576089</v>
      </c>
      <c r="AS45" s="1">
        <f t="shared" si="6"/>
        <v>3.4487390360192993E-2</v>
      </c>
      <c r="AU45" s="3">
        <v>12.844169671593843</v>
      </c>
      <c r="AW45" s="1">
        <f t="shared" si="7"/>
        <v>1.1234568533852742</v>
      </c>
      <c r="AX45" s="1">
        <f t="shared" ref="AX45:AX96" si="22">BA45+AY45</f>
        <v>1.1307493625978091</v>
      </c>
      <c r="AY45" s="1">
        <f t="shared" ref="AY45:AY96" si="23">AR45/$AU45*100</f>
        <v>0.85495066542619347</v>
      </c>
      <c r="AZ45" s="1">
        <f t="shared" si="8"/>
        <v>0.26850618795908077</v>
      </c>
      <c r="BA45" s="1">
        <f t="shared" si="9"/>
        <v>0.27579869717161559</v>
      </c>
      <c r="BB45" s="3">
        <f t="shared" si="10"/>
        <v>19.512680699622489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24">
        <v>1</v>
      </c>
      <c r="BJ45" s="1">
        <f t="shared" si="11"/>
        <v>1.2221285652160547</v>
      </c>
      <c r="BK45" s="1">
        <f t="shared" si="12"/>
        <v>1.2300615657526439</v>
      </c>
    </row>
    <row r="46" spans="1:63">
      <c r="A46">
        <v>1967</v>
      </c>
      <c r="B46" s="3">
        <f t="shared" si="0"/>
        <v>126.75734608962281</v>
      </c>
      <c r="C46" s="3">
        <f t="shared" si="1"/>
        <v>15.30482682623647</v>
      </c>
      <c r="D46" s="1">
        <v>88.571700000000007</v>
      </c>
      <c r="E46" s="3">
        <v>21.90315</v>
      </c>
      <c r="F46" s="3">
        <f t="shared" si="13"/>
        <v>19.399992308550001</v>
      </c>
      <c r="G46" s="2">
        <f>N46*G$49/N$49</f>
        <v>0.75287248968121367</v>
      </c>
      <c r="H46" s="3">
        <f t="shared" si="14"/>
        <v>0.14605720509134434</v>
      </c>
      <c r="I46" s="7">
        <f t="shared" si="15"/>
        <v>0.14605720509134434</v>
      </c>
      <c r="J46" s="7">
        <f t="shared" si="2"/>
        <v>0.15605170358714721</v>
      </c>
      <c r="M46" s="2"/>
      <c r="N46">
        <v>4.9089999999999998</v>
      </c>
      <c r="Q46" s="32">
        <f t="shared" si="3"/>
        <v>3.7244587298292803E-2</v>
      </c>
      <c r="R46" s="32">
        <f t="shared" si="4"/>
        <v>4.7239085794095678E-2</v>
      </c>
      <c r="S46" s="27"/>
      <c r="T46">
        <f>USA!Z54*G46</f>
        <v>2.4844792159480051</v>
      </c>
      <c r="U46">
        <v>1</v>
      </c>
      <c r="V46">
        <v>0</v>
      </c>
      <c r="W46">
        <v>0</v>
      </c>
      <c r="Y46" s="2">
        <v>0.745</v>
      </c>
      <c r="Z46" s="2">
        <f t="shared" si="5"/>
        <v>8.6953716350809535E-2</v>
      </c>
      <c r="AA46" s="2">
        <v>0.17599999999999999</v>
      </c>
      <c r="AB46" s="2">
        <f t="shared" si="16"/>
        <v>2.185890144224201E-2</v>
      </c>
      <c r="AC46" s="2">
        <f t="shared" si="17"/>
        <v>0.10881261779305154</v>
      </c>
      <c r="AE46" s="4"/>
      <c r="AN46" s="9">
        <v>1967</v>
      </c>
      <c r="AO46" s="1">
        <f t="shared" si="18"/>
        <v>0.14605720509134434</v>
      </c>
      <c r="AP46" s="1">
        <f t="shared" si="19"/>
        <v>8.6953716350809535E-2</v>
      </c>
      <c r="AQ46" s="1">
        <f t="shared" si="20"/>
        <v>2.185890144224201E-2</v>
      </c>
      <c r="AR46" s="1">
        <f t="shared" si="21"/>
        <v>0.10881261779305154</v>
      </c>
      <c r="AS46" s="1">
        <f t="shared" si="6"/>
        <v>3.7244587298292803E-2</v>
      </c>
      <c r="AU46" s="3">
        <v>13.202751273859947</v>
      </c>
      <c r="AW46" s="1">
        <f t="shared" si="7"/>
        <v>1.1062633996636912</v>
      </c>
      <c r="AX46" s="1">
        <f t="shared" si="22"/>
        <v>1.095945179567148</v>
      </c>
      <c r="AY46" s="1">
        <f t="shared" si="23"/>
        <v>0.82416623274944989</v>
      </c>
      <c r="AZ46" s="1">
        <f t="shared" si="8"/>
        <v>0.28209716691424136</v>
      </c>
      <c r="BA46" s="1">
        <f t="shared" si="9"/>
        <v>0.2717789468176981</v>
      </c>
      <c r="BB46" s="3">
        <f t="shared" si="10"/>
        <v>18.817890032261772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24">
        <v>1</v>
      </c>
      <c r="BJ46" s="1">
        <f t="shared" si="11"/>
        <v>1.2034250334653245</v>
      </c>
      <c r="BK46" s="1">
        <f t="shared" si="12"/>
        <v>1.1922005779073082</v>
      </c>
    </row>
    <row r="47" spans="1:63">
      <c r="A47">
        <v>1968</v>
      </c>
      <c r="B47" s="3">
        <f t="shared" si="0"/>
        <v>127.89695247282611</v>
      </c>
      <c r="C47" s="3">
        <f t="shared" si="1"/>
        <v>15.950346083448959</v>
      </c>
      <c r="D47" s="1">
        <v>89.367999999999995</v>
      </c>
      <c r="E47" s="3">
        <v>22.826969999999999</v>
      </c>
      <c r="F47" s="3">
        <f t="shared" si="13"/>
        <v>20.400006549599997</v>
      </c>
      <c r="G47" s="2">
        <f>N47*G$49/N$49</f>
        <v>0.75885375411339284</v>
      </c>
      <c r="H47" s="3">
        <f t="shared" si="14"/>
        <v>0.15480621554101759</v>
      </c>
      <c r="I47" s="7">
        <f t="shared" si="15"/>
        <v>0.15480621554101759</v>
      </c>
      <c r="J47" s="7">
        <f t="shared" si="2"/>
        <v>0.164112278234572</v>
      </c>
      <c r="M47" s="2"/>
      <c r="N47">
        <v>4.9480000000000004</v>
      </c>
      <c r="Q47" s="32">
        <f t="shared" si="3"/>
        <v>3.8082329023090319E-2</v>
      </c>
      <c r="R47" s="32">
        <f t="shared" si="4"/>
        <v>4.7388391716644732E-2</v>
      </c>
      <c r="S47" s="27"/>
      <c r="T47">
        <f>USA!Z55*G47</f>
        <v>2.5042173885741961</v>
      </c>
      <c r="U47">
        <v>1</v>
      </c>
      <c r="V47">
        <v>0</v>
      </c>
      <c r="W47">
        <v>0</v>
      </c>
      <c r="Y47" s="2">
        <v>0.754</v>
      </c>
      <c r="Z47" s="2">
        <f t="shared" si="5"/>
        <v>9.3555609362128728E-2</v>
      </c>
      <c r="AA47" s="2">
        <v>0.17599999999999999</v>
      </c>
      <c r="AB47" s="2">
        <f t="shared" si="16"/>
        <v>2.3168277155798549E-2</v>
      </c>
      <c r="AC47" s="2">
        <f t="shared" si="17"/>
        <v>0.11672388651792727</v>
      </c>
      <c r="AE47" s="4"/>
      <c r="AN47" s="9">
        <v>1968</v>
      </c>
      <c r="AO47" s="1">
        <f t="shared" si="18"/>
        <v>0.15480621554101759</v>
      </c>
      <c r="AP47" s="1">
        <f t="shared" si="19"/>
        <v>9.3555609362128728E-2</v>
      </c>
      <c r="AQ47" s="1">
        <f t="shared" si="20"/>
        <v>2.3168277155798549E-2</v>
      </c>
      <c r="AR47" s="1">
        <f t="shared" si="21"/>
        <v>0.11672388651792727</v>
      </c>
      <c r="AS47" s="1">
        <f t="shared" si="6"/>
        <v>3.8082329023090319E-2</v>
      </c>
      <c r="AU47" s="3">
        <v>13.802577613513851</v>
      </c>
      <c r="AW47" s="1">
        <f t="shared" si="7"/>
        <v>1.1215746788444041</v>
      </c>
      <c r="AX47" s="1">
        <f t="shared" si="22"/>
        <v>1.1135422999890874</v>
      </c>
      <c r="AY47" s="1">
        <f t="shared" si="23"/>
        <v>0.84566730784868072</v>
      </c>
      <c r="AZ47" s="1">
        <f t="shared" si="8"/>
        <v>0.27590737099572338</v>
      </c>
      <c r="BA47" s="1">
        <f t="shared" si="9"/>
        <v>0.26787499214040672</v>
      </c>
      <c r="BB47" s="3">
        <f t="shared" si="10"/>
        <v>18.143113979829121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24">
        <v>1</v>
      </c>
      <c r="BJ47" s="1">
        <f t="shared" si="11"/>
        <v>1.2200810818043077</v>
      </c>
      <c r="BK47" s="1">
        <f t="shared" si="12"/>
        <v>1.2113432298644313</v>
      </c>
    </row>
    <row r="48" spans="1:63">
      <c r="A48">
        <v>1969</v>
      </c>
      <c r="B48" s="3">
        <f t="shared" si="0"/>
        <v>113.59570095034661</v>
      </c>
      <c r="C48" s="3">
        <f t="shared" si="1"/>
        <v>16.814008114047141</v>
      </c>
      <c r="D48" s="1">
        <v>79.375</v>
      </c>
      <c r="E48" s="3">
        <v>24.06298</v>
      </c>
      <c r="F48" s="3">
        <f t="shared" si="13"/>
        <v>19.099990375000001</v>
      </c>
      <c r="G48" s="2">
        <f>N48*G$49/N$49</f>
        <v>0.85240686446286118</v>
      </c>
      <c r="H48" s="3">
        <f t="shared" si="14"/>
        <v>0.16280962906824581</v>
      </c>
      <c r="I48" s="7">
        <f t="shared" si="15"/>
        <v>0.16280962906824581</v>
      </c>
      <c r="J48" s="7">
        <f t="shared" si="2"/>
        <v>0.17362181720052661</v>
      </c>
      <c r="M48" s="2"/>
      <c r="N48">
        <v>5.5579999999999998</v>
      </c>
      <c r="Q48" s="32">
        <f t="shared" si="3"/>
        <v>3.8911501347310765E-2</v>
      </c>
      <c r="R48" s="32">
        <f t="shared" si="4"/>
        <v>4.9723689479591562E-2</v>
      </c>
      <c r="S48" s="27"/>
      <c r="T48">
        <f>USA!Z56*G48</f>
        <v>2.8129426527274419</v>
      </c>
      <c r="U48">
        <v>1</v>
      </c>
      <c r="V48">
        <v>0</v>
      </c>
      <c r="W48">
        <v>0</v>
      </c>
      <c r="Y48" s="2">
        <v>0.7609999999999999</v>
      </c>
      <c r="Z48" s="2">
        <f t="shared" si="5"/>
        <v>9.9532060785551324E-2</v>
      </c>
      <c r="AA48" s="2">
        <v>0.17599999999999999</v>
      </c>
      <c r="AB48" s="2">
        <f t="shared" si="16"/>
        <v>2.4366066935383728E-2</v>
      </c>
      <c r="AC48" s="2">
        <f t="shared" si="17"/>
        <v>0.12389812772093504</v>
      </c>
      <c r="AE48" s="4"/>
      <c r="AN48" s="9">
        <v>1969</v>
      </c>
      <c r="AO48" s="1">
        <f t="shared" si="18"/>
        <v>0.16280962906824581</v>
      </c>
      <c r="AP48" s="1">
        <f t="shared" si="19"/>
        <v>9.9532060785551324E-2</v>
      </c>
      <c r="AQ48" s="1">
        <f t="shared" si="20"/>
        <v>2.4366066935383728E-2</v>
      </c>
      <c r="AR48" s="1">
        <f t="shared" si="21"/>
        <v>0.12389812772093504</v>
      </c>
      <c r="AS48" s="1">
        <f t="shared" si="6"/>
        <v>3.8911501347310765E-2</v>
      </c>
      <c r="AU48" s="3">
        <v>14.637077867356718</v>
      </c>
      <c r="AW48" s="1">
        <f t="shared" si="7"/>
        <v>1.1123096463901458</v>
      </c>
      <c r="AX48" s="1">
        <f t="shared" si="22"/>
        <v>1.1205610126878767</v>
      </c>
      <c r="AY48" s="1">
        <f t="shared" si="23"/>
        <v>0.84646764090290094</v>
      </c>
      <c r="AZ48" s="1">
        <f t="shared" si="8"/>
        <v>0.2658420054872449</v>
      </c>
      <c r="BA48" s="1">
        <f t="shared" si="9"/>
        <v>0.27409337178497573</v>
      </c>
      <c r="BB48" s="3">
        <f t="shared" si="10"/>
        <v>19.217925040904536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24">
        <v>1</v>
      </c>
      <c r="BJ48" s="1">
        <f t="shared" si="11"/>
        <v>1.2100023139496425</v>
      </c>
      <c r="BK48" s="1">
        <f t="shared" si="12"/>
        <v>1.2189783867059139</v>
      </c>
    </row>
    <row r="49" spans="1:63">
      <c r="A49">
        <v>1970</v>
      </c>
      <c r="B49" s="3">
        <f t="shared" si="0"/>
        <v>108.39498564636476</v>
      </c>
      <c r="C49" s="3">
        <f t="shared" si="1"/>
        <v>17.805240938511318</v>
      </c>
      <c r="D49" s="1">
        <v>75.741</v>
      </c>
      <c r="E49" s="3">
        <v>25.481560000000002</v>
      </c>
      <c r="F49" s="3">
        <f t="shared" si="13"/>
        <v>19.2999883596</v>
      </c>
      <c r="G49" s="2">
        <v>0.84673233154002459</v>
      </c>
      <c r="H49" s="3">
        <f t="shared" si="14"/>
        <v>0.16341924142419445</v>
      </c>
      <c r="I49" s="7">
        <f t="shared" si="15"/>
        <v>0.16341924142419445</v>
      </c>
      <c r="J49" s="7">
        <f t="shared" si="2"/>
        <v>0.17148620375324375</v>
      </c>
      <c r="M49" s="2"/>
      <c r="N49">
        <v>5.5209999999999999</v>
      </c>
      <c r="Q49" s="32">
        <f t="shared" si="3"/>
        <v>4.1835325804593759E-2</v>
      </c>
      <c r="R49" s="32">
        <f t="shared" si="4"/>
        <v>4.9902288133643044E-2</v>
      </c>
      <c r="S49" s="27"/>
      <c r="T49">
        <f>USA!Z57*G49</f>
        <v>2.8365533106590823</v>
      </c>
      <c r="U49">
        <v>1</v>
      </c>
      <c r="V49">
        <v>0</v>
      </c>
      <c r="W49">
        <v>0</v>
      </c>
      <c r="Y49" s="2">
        <v>0.74400000000000011</v>
      </c>
      <c r="Z49" s="2">
        <f t="shared" si="5"/>
        <v>9.712661418196615E-2</v>
      </c>
      <c r="AA49" s="2">
        <v>0.17599999999999999</v>
      </c>
      <c r="AB49" s="2">
        <f t="shared" si="16"/>
        <v>2.4457301437634544E-2</v>
      </c>
      <c r="AC49" s="2">
        <f t="shared" si="17"/>
        <v>0.12158391561960069</v>
      </c>
      <c r="AE49" s="4"/>
      <c r="AN49" s="9">
        <v>1970</v>
      </c>
      <c r="AO49" s="1">
        <f t="shared" si="18"/>
        <v>0.16341924142419445</v>
      </c>
      <c r="AP49" s="1">
        <f t="shared" si="19"/>
        <v>9.712661418196615E-2</v>
      </c>
      <c r="AQ49" s="1">
        <f t="shared" si="20"/>
        <v>2.4457301437634544E-2</v>
      </c>
      <c r="AR49" s="1">
        <f t="shared" si="21"/>
        <v>0.12158391561960069</v>
      </c>
      <c r="AS49" s="1">
        <f t="shared" si="6"/>
        <v>4.1835325804593759E-2</v>
      </c>
      <c r="AU49" s="3">
        <v>15.412791179070972</v>
      </c>
      <c r="AW49" s="1">
        <f t="shared" si="7"/>
        <v>1.0602832382891261</v>
      </c>
      <c r="AX49" s="1">
        <f t="shared" si="22"/>
        <v>1.0582344623221198</v>
      </c>
      <c r="AY49" s="1">
        <f t="shared" si="23"/>
        <v>0.78885072928710986</v>
      </c>
      <c r="AZ49" s="1">
        <f t="shared" si="8"/>
        <v>0.27143250900201621</v>
      </c>
      <c r="BA49" s="1">
        <f t="shared" si="9"/>
        <v>0.26938373303500995</v>
      </c>
      <c r="BB49" s="3">
        <f t="shared" si="10"/>
        <v>18.403891142772622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24">
        <v>1</v>
      </c>
      <c r="BJ49" s="1">
        <f t="shared" si="11"/>
        <v>1.1534064960557451</v>
      </c>
      <c r="BK49" s="1">
        <f t="shared" si="12"/>
        <v>1.1511777788375788</v>
      </c>
    </row>
    <row r="50" spans="1:63">
      <c r="A50">
        <v>1971</v>
      </c>
      <c r="B50" s="3">
        <f t="shared" si="0"/>
        <v>116.89902815580912</v>
      </c>
      <c r="C50" s="3">
        <f t="shared" si="1"/>
        <v>18.563021376325832</v>
      </c>
      <c r="D50" s="1">
        <v>81.683199999999999</v>
      </c>
      <c r="E50" s="3">
        <v>26.566040000000001</v>
      </c>
      <c r="F50" s="3">
        <f t="shared" si="13"/>
        <v>21.699991585279999</v>
      </c>
      <c r="G50" s="2">
        <v>0.84496392294007072</v>
      </c>
      <c r="H50" s="3">
        <f t="shared" si="14"/>
        <v>0.18335710017664714</v>
      </c>
      <c r="I50" s="7">
        <f t="shared" si="15"/>
        <v>0.18335710017664714</v>
      </c>
      <c r="J50" s="7">
        <f t="shared" si="2"/>
        <v>0.18376689112409639</v>
      </c>
      <c r="Q50" s="32">
        <f t="shared" si="3"/>
        <v>5.0789916748931269E-2</v>
      </c>
      <c r="R50" s="32">
        <f t="shared" si="4"/>
        <v>5.1199707696380534E-2</v>
      </c>
      <c r="S50" s="27"/>
      <c r="T50">
        <f>USA!Z58*G50</f>
        <v>3.0080715656666519</v>
      </c>
      <c r="U50">
        <v>1</v>
      </c>
      <c r="V50">
        <v>0</v>
      </c>
      <c r="W50">
        <v>0</v>
      </c>
      <c r="Y50" s="2">
        <v>0.72299999999999998</v>
      </c>
      <c r="Z50" s="2">
        <f t="shared" si="5"/>
        <v>0.1051259847618231</v>
      </c>
      <c r="AA50" s="2">
        <v>0.17599999999999999</v>
      </c>
      <c r="AB50" s="2">
        <f t="shared" si="16"/>
        <v>2.7441198665892768E-2</v>
      </c>
      <c r="AC50" s="2">
        <f t="shared" si="17"/>
        <v>0.13256718342771587</v>
      </c>
      <c r="AE50" s="4"/>
      <c r="AN50" s="9">
        <v>1971</v>
      </c>
      <c r="AO50" s="1">
        <f>I50</f>
        <v>0.18335710017664714</v>
      </c>
      <c r="AP50" s="1">
        <f t="shared" si="19"/>
        <v>0.1051259847618231</v>
      </c>
      <c r="AQ50" s="1">
        <f t="shared" si="20"/>
        <v>2.7441198665892768E-2</v>
      </c>
      <c r="AR50" s="1">
        <f t="shared" si="21"/>
        <v>0.13256718342771587</v>
      </c>
      <c r="AS50" s="1">
        <f t="shared" si="6"/>
        <v>5.0789916748931269E-2</v>
      </c>
      <c r="AU50" s="3">
        <v>16.244698740752092</v>
      </c>
      <c r="AW50" s="1">
        <f t="shared" si="7"/>
        <v>1.1287196094112246</v>
      </c>
      <c r="AX50" s="1">
        <f t="shared" si="22"/>
        <v>1.1298256770229884</v>
      </c>
      <c r="AY50" s="1">
        <f t="shared" si="23"/>
        <v>0.81606427760431521</v>
      </c>
      <c r="AZ50" s="1">
        <f t="shared" si="8"/>
        <v>0.31265533180690941</v>
      </c>
      <c r="BA50" s="1">
        <f t="shared" si="9"/>
        <v>0.31376139941867326</v>
      </c>
      <c r="BB50" s="3">
        <f t="shared" si="10"/>
        <v>18.51725054229836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J50" s="1">
        <f t="shared" si="11"/>
        <v>1.2278535420602443</v>
      </c>
      <c r="BK50" s="1">
        <f t="shared" si="12"/>
        <v>1.2290567541100206</v>
      </c>
    </row>
    <row r="51" spans="1:63">
      <c r="A51">
        <v>1972</v>
      </c>
      <c r="B51" s="3">
        <f t="shared" si="0"/>
        <v>113.76342902784427</v>
      </c>
      <c r="C51" s="3">
        <f t="shared" si="1"/>
        <v>19.17664269444656</v>
      </c>
      <c r="D51" s="1">
        <v>79.492199999999997</v>
      </c>
      <c r="E51" s="3">
        <v>27.444210000000002</v>
      </c>
      <c r="F51" s="3">
        <f t="shared" si="13"/>
        <v>21.81600630162</v>
      </c>
      <c r="G51" s="2">
        <v>0.76899857765066904</v>
      </c>
      <c r="H51" s="3">
        <f t="shared" si="14"/>
        <v>0.16776477815963811</v>
      </c>
      <c r="I51" s="7">
        <f t="shared" si="15"/>
        <v>0.16776477815963811</v>
      </c>
      <c r="J51" s="7">
        <f t="shared" si="2"/>
        <v>0.1694413834938662</v>
      </c>
      <c r="Q51" s="32">
        <f t="shared" si="3"/>
        <v>4.7477432219177565E-2</v>
      </c>
      <c r="R51" s="32">
        <f t="shared" si="4"/>
        <v>4.9154037553405652E-2</v>
      </c>
      <c r="S51" s="27"/>
      <c r="T51">
        <f>USA!Z59*G51</f>
        <v>2.7376349364363817</v>
      </c>
      <c r="U51">
        <v>1</v>
      </c>
      <c r="V51">
        <v>0</v>
      </c>
      <c r="W51">
        <v>0</v>
      </c>
      <c r="Y51" s="2">
        <v>0.71700000000000008</v>
      </c>
      <c r="Z51" s="2">
        <f t="shared" si="5"/>
        <v>9.5179692066228991E-2</v>
      </c>
      <c r="AA51" s="2">
        <v>0.17599999999999999</v>
      </c>
      <c r="AB51" s="2">
        <f t="shared" si="16"/>
        <v>2.5107653874231552E-2</v>
      </c>
      <c r="AC51" s="2">
        <f t="shared" si="17"/>
        <v>0.12028734594046055</v>
      </c>
      <c r="AE51" s="4"/>
      <c r="AN51" s="9">
        <v>1972</v>
      </c>
      <c r="AO51" s="1">
        <f t="shared" si="18"/>
        <v>0.16776477815963811</v>
      </c>
      <c r="AP51" s="1">
        <f t="shared" si="19"/>
        <v>9.5179692066228991E-2</v>
      </c>
      <c r="AQ51" s="1">
        <f t="shared" si="20"/>
        <v>2.5107653874231552E-2</v>
      </c>
      <c r="AR51" s="1">
        <f t="shared" si="21"/>
        <v>0.12028734594046055</v>
      </c>
      <c r="AS51" s="1">
        <f t="shared" si="6"/>
        <v>4.7477432219177565E-2</v>
      </c>
      <c r="AU51" s="3">
        <v>17.229615475191839</v>
      </c>
      <c r="AW51" s="1">
        <f t="shared" si="7"/>
        <v>0.9737000712592524</v>
      </c>
      <c r="AX51" s="1">
        <f t="shared" si="22"/>
        <v>0.99669917603046299</v>
      </c>
      <c r="AY51" s="1">
        <f t="shared" si="23"/>
        <v>0.69814295109288405</v>
      </c>
      <c r="AZ51" s="1">
        <f t="shared" si="8"/>
        <v>0.27555712016636835</v>
      </c>
      <c r="BA51" s="1">
        <f t="shared" si="9"/>
        <v>0.29855622493757894</v>
      </c>
      <c r="BB51" s="3">
        <f t="shared" si="10"/>
        <v>15.889123819264459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J51" s="1">
        <f t="shared" si="11"/>
        <v>1.0592188453460354</v>
      </c>
      <c r="BK51" s="1">
        <f t="shared" si="12"/>
        <v>1.084237930707967</v>
      </c>
    </row>
    <row r="52" spans="1:63">
      <c r="A52">
        <v>1973</v>
      </c>
      <c r="B52" s="3">
        <f t="shared" si="0"/>
        <v>129.60586115320169</v>
      </c>
      <c r="C52" s="3">
        <f t="shared" si="1"/>
        <v>20.369443941469338</v>
      </c>
      <c r="D52" s="1">
        <v>90.562100000000001</v>
      </c>
      <c r="E52" s="3">
        <v>29.151260000000001</v>
      </c>
      <c r="F52" s="3">
        <f t="shared" si="13"/>
        <v>26.399993232460002</v>
      </c>
      <c r="G52" s="2">
        <v>0.67958722904092794</v>
      </c>
      <c r="H52" s="3">
        <f t="shared" si="14"/>
        <v>0.17941098247546744</v>
      </c>
      <c r="I52" s="7">
        <f t="shared" si="15"/>
        <v>0.17941098247546744</v>
      </c>
      <c r="J52" s="7">
        <f t="shared" si="2"/>
        <v>0.1943606615723471</v>
      </c>
      <c r="Q52" s="32">
        <f t="shared" si="3"/>
        <v>5.759092537462504E-2</v>
      </c>
      <c r="R52" s="32">
        <f t="shared" si="4"/>
        <v>7.2540604471504691E-2</v>
      </c>
      <c r="S52" s="27"/>
      <c r="T52">
        <f>USA!Z60*G52</f>
        <v>2.6300025763883914</v>
      </c>
      <c r="U52">
        <v>0</v>
      </c>
      <c r="V52">
        <v>0</v>
      </c>
      <c r="W52">
        <v>0</v>
      </c>
      <c r="Y52" s="2">
        <v>0.67900000000000005</v>
      </c>
      <c r="Z52" s="2">
        <f t="shared" si="5"/>
        <v>9.4969433873221418E-2</v>
      </c>
      <c r="AA52" s="2">
        <v>0.17599999999999999</v>
      </c>
      <c r="AB52" s="2">
        <f t="shared" si="16"/>
        <v>2.6850623227620978E-2</v>
      </c>
      <c r="AC52" s="2">
        <f t="shared" si="17"/>
        <v>0.1218200571008424</v>
      </c>
      <c r="AE52" s="4"/>
      <c r="AN52" s="9">
        <v>1973</v>
      </c>
      <c r="AO52" s="1">
        <f t="shared" si="18"/>
        <v>0.17941098247546744</v>
      </c>
      <c r="AP52" s="1">
        <f t="shared" si="19"/>
        <v>9.4969433873221418E-2</v>
      </c>
      <c r="AQ52" s="1">
        <f t="shared" si="20"/>
        <v>2.6850623227620978E-2</v>
      </c>
      <c r="AR52" s="1">
        <f t="shared" si="21"/>
        <v>0.1218200571008424</v>
      </c>
      <c r="AS52" s="1">
        <f t="shared" si="6"/>
        <v>5.759092537462504E-2</v>
      </c>
      <c r="AU52" s="3">
        <v>18.501263958065383</v>
      </c>
      <c r="AW52" s="1">
        <f t="shared" si="7"/>
        <v>0.96972284100219852</v>
      </c>
      <c r="AX52" s="1">
        <f t="shared" si="22"/>
        <v>0.9473137948114061</v>
      </c>
      <c r="AY52" s="1">
        <f t="shared" si="23"/>
        <v>0.65844180904049288</v>
      </c>
      <c r="AZ52" s="1">
        <f>AW52-AY52</f>
        <v>0.31128103196170565</v>
      </c>
      <c r="BA52" s="1">
        <f t="shared" si="9"/>
        <v>0.28887198577091316</v>
      </c>
      <c r="BB52" s="3">
        <f t="shared" si="10"/>
        <v>14.215258926900917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J52" s="1">
        <f t="shared" si="11"/>
        <v>1.054892300278514</v>
      </c>
      <c r="BK52" s="1">
        <f t="shared" si="12"/>
        <v>1.0305150975524016</v>
      </c>
    </row>
    <row r="53" spans="1:63">
      <c r="A53">
        <v>1974</v>
      </c>
      <c r="B53" s="3">
        <f t="shared" si="0"/>
        <v>161.82324773870221</v>
      </c>
      <c r="C53" s="3">
        <f t="shared" si="1"/>
        <v>22.617266903639468</v>
      </c>
      <c r="D53" s="1">
        <v>113.074</v>
      </c>
      <c r="E53" s="3">
        <v>32.368180000000002</v>
      </c>
      <c r="F53" s="3">
        <f t="shared" si="13"/>
        <v>36.599995853199999</v>
      </c>
      <c r="G53" s="2">
        <v>0.73390481388261719</v>
      </c>
      <c r="H53" s="3">
        <f t="shared" si="14"/>
        <v>0.26860913144747306</v>
      </c>
      <c r="I53" s="7">
        <f t="shared" si="15"/>
        <v>0.26860913144747306</v>
      </c>
      <c r="J53" s="7">
        <f t="shared" si="2"/>
        <v>0.28117840481768142</v>
      </c>
      <c r="Q53" s="32">
        <f t="shared" si="3"/>
        <v>0.10824947997333165</v>
      </c>
      <c r="R53" s="32">
        <f t="shared" si="4"/>
        <v>0.12081875334354003</v>
      </c>
      <c r="S53" s="27"/>
      <c r="T53">
        <f>USA!Z61*G53</f>
        <v>9.0123511144785393</v>
      </c>
      <c r="U53">
        <v>0</v>
      </c>
      <c r="V53">
        <v>0</v>
      </c>
      <c r="W53">
        <v>0</v>
      </c>
      <c r="Y53" s="2">
        <v>0.59699999999999998</v>
      </c>
      <c r="Z53" s="2">
        <f t="shared" si="5"/>
        <v>0.12015964540717267</v>
      </c>
      <c r="AA53" s="2">
        <v>0.17599999999999999</v>
      </c>
      <c r="AB53" s="2">
        <f t="shared" si="16"/>
        <v>4.0200006066968753E-2</v>
      </c>
      <c r="AC53" s="2">
        <f t="shared" si="17"/>
        <v>0.16035965147414141</v>
      </c>
      <c r="AE53" s="4"/>
      <c r="AN53" s="9">
        <v>1974</v>
      </c>
      <c r="AO53" s="1">
        <f t="shared" si="18"/>
        <v>0.26860913144747306</v>
      </c>
      <c r="AP53" s="1">
        <f t="shared" si="19"/>
        <v>0.12015964540717267</v>
      </c>
      <c r="AQ53" s="1">
        <f t="shared" si="20"/>
        <v>4.0200006066968753E-2</v>
      </c>
      <c r="AR53" s="1">
        <f t="shared" si="21"/>
        <v>0.16035965147414141</v>
      </c>
      <c r="AS53" s="1">
        <f t="shared" si="6"/>
        <v>0.10824947997333165</v>
      </c>
      <c r="AU53" s="3">
        <v>21.026560679746389</v>
      </c>
      <c r="AW53" s="1">
        <f t="shared" si="7"/>
        <v>1.2774753586125378</v>
      </c>
      <c r="AX53" s="1">
        <f t="shared" si="22"/>
        <v>1.2677765005221053</v>
      </c>
      <c r="AY53" s="1">
        <f t="shared" si="23"/>
        <v>0.7626527890916851</v>
      </c>
      <c r="AZ53" s="22">
        <f t="shared" ref="AZ53:AZ96" si="24">AW53-AY53</f>
        <v>0.5148225695208527</v>
      </c>
      <c r="BA53" s="1">
        <f t="shared" si="9"/>
        <v>0.50512371143042023</v>
      </c>
      <c r="BB53" s="3">
        <f t="shared" si="10"/>
        <v>42.861746396592523</v>
      </c>
      <c r="BC53" s="3">
        <v>0</v>
      </c>
      <c r="BD53" s="3">
        <v>0</v>
      </c>
      <c r="BE53" s="3">
        <v>0</v>
      </c>
      <c r="BF53" s="3">
        <v>0</v>
      </c>
      <c r="BG53" s="24">
        <v>1</v>
      </c>
      <c r="BH53" s="3">
        <v>0</v>
      </c>
      <c r="BJ53" s="1">
        <f t="shared" si="11"/>
        <v>1.3896743096235311</v>
      </c>
      <c r="BK53" s="1">
        <f t="shared" si="12"/>
        <v>1.3791236138076863</v>
      </c>
    </row>
    <row r="54" spans="1:63">
      <c r="A54">
        <v>1975</v>
      </c>
      <c r="B54" s="3">
        <f t="shared" si="0"/>
        <v>156.4250369168476</v>
      </c>
      <c r="C54" s="3">
        <f t="shared" si="1"/>
        <v>24.682660206706046</v>
      </c>
      <c r="D54" s="1">
        <v>109.30200000000001</v>
      </c>
      <c r="E54" s="3">
        <v>35.324019999999997</v>
      </c>
      <c r="F54" s="3">
        <f t="shared" si="13"/>
        <v>38.609860340399997</v>
      </c>
      <c r="G54" s="2">
        <v>0.65342697768298841</v>
      </c>
      <c r="H54" s="3">
        <f t="shared" si="14"/>
        <v>0.25228724350989845</v>
      </c>
      <c r="I54" s="7">
        <f t="shared" si="15"/>
        <v>0.25228724350989845</v>
      </c>
      <c r="J54" s="7">
        <f t="shared" si="2"/>
        <v>0.25957914497661494</v>
      </c>
      <c r="Q54" s="32">
        <f t="shared" si="3"/>
        <v>0.10797894022223653</v>
      </c>
      <c r="R54" s="32">
        <f t="shared" si="4"/>
        <v>0.11527084168895305</v>
      </c>
      <c r="S54" s="27"/>
      <c r="T54">
        <f>USA!Z62*G54</f>
        <v>8.2789198072434633</v>
      </c>
      <c r="U54">
        <v>0</v>
      </c>
      <c r="V54">
        <v>0</v>
      </c>
      <c r="W54">
        <v>0</v>
      </c>
      <c r="Y54" s="2">
        <v>0.57200000000000006</v>
      </c>
      <c r="Z54" s="2">
        <f t="shared" si="5"/>
        <v>0.10655102874876556</v>
      </c>
      <c r="AA54" s="2">
        <v>0.17599999999999999</v>
      </c>
      <c r="AB54" s="2">
        <f t="shared" si="16"/>
        <v>3.7757274538896365E-2</v>
      </c>
      <c r="AC54" s="2">
        <f t="shared" si="17"/>
        <v>0.14430830328766192</v>
      </c>
      <c r="AE54" s="4"/>
      <c r="AN54" s="9">
        <v>1975</v>
      </c>
      <c r="AO54" s="1">
        <f t="shared" si="18"/>
        <v>0.25228724350989845</v>
      </c>
      <c r="AP54" s="1">
        <f t="shared" si="19"/>
        <v>0.10655102874876556</v>
      </c>
      <c r="AQ54" s="1">
        <f t="shared" si="20"/>
        <v>3.7757274538896365E-2</v>
      </c>
      <c r="AR54" s="1">
        <f t="shared" si="21"/>
        <v>0.14430830328766192</v>
      </c>
      <c r="AS54" s="1">
        <f t="shared" si="6"/>
        <v>0.10797894022223653</v>
      </c>
      <c r="AU54" s="3">
        <v>23.483709842189075</v>
      </c>
      <c r="AW54" s="1">
        <f t="shared" si="7"/>
        <v>1.074307446333109</v>
      </c>
      <c r="AX54" s="1">
        <f t="shared" si="22"/>
        <v>1.0756118558848908</v>
      </c>
      <c r="AY54" s="1">
        <f t="shared" si="23"/>
        <v>0.61450385930253848</v>
      </c>
      <c r="AZ54" s="22">
        <f t="shared" si="24"/>
        <v>0.45980358703057056</v>
      </c>
      <c r="BA54" s="1">
        <f t="shared" si="9"/>
        <v>0.46110799658235235</v>
      </c>
      <c r="BB54" s="3">
        <f t="shared" si="10"/>
        <v>35.253883917310951</v>
      </c>
      <c r="BC54" s="3">
        <v>0</v>
      </c>
      <c r="BD54" s="3">
        <v>0</v>
      </c>
      <c r="BE54" s="3">
        <v>0</v>
      </c>
      <c r="BF54" s="3">
        <v>0</v>
      </c>
      <c r="BG54" s="24">
        <v>1</v>
      </c>
      <c r="BH54" s="3">
        <v>0</v>
      </c>
      <c r="BJ54" s="1">
        <f t="shared" si="11"/>
        <v>1.1686624315226379</v>
      </c>
      <c r="BK54" s="1">
        <f t="shared" si="12"/>
        <v>1.1700814056195687</v>
      </c>
    </row>
    <row r="55" spans="1:63">
      <c r="A55">
        <v>1976</v>
      </c>
      <c r="B55" s="3">
        <f t="shared" si="0"/>
        <v>160.00857877737891</v>
      </c>
      <c r="C55" s="3">
        <f t="shared" si="1"/>
        <v>26.098712089869402</v>
      </c>
      <c r="D55" s="1">
        <v>111.806</v>
      </c>
      <c r="E55" s="3">
        <v>37.350569999999998</v>
      </c>
      <c r="F55" s="3">
        <f t="shared" si="13"/>
        <v>41.760178294199996</v>
      </c>
      <c r="G55" s="2">
        <v>0.72855385337758405</v>
      </c>
      <c r="H55" s="3">
        <f t="shared" si="14"/>
        <v>0.3042453881397435</v>
      </c>
      <c r="I55" s="7">
        <f t="shared" si="15"/>
        <v>0.3042453881397435</v>
      </c>
      <c r="J55" s="7">
        <f t="shared" si="2"/>
        <v>0.31073011149600727</v>
      </c>
      <c r="Q55" s="32">
        <f t="shared" si="3"/>
        <v>0.11956843753891919</v>
      </c>
      <c r="R55" s="32">
        <f t="shared" si="4"/>
        <v>0.12605316089518293</v>
      </c>
      <c r="S55" s="27"/>
      <c r="T55">
        <f>USA!Z63*G55</f>
        <v>9.7043373269894193</v>
      </c>
      <c r="U55">
        <v>0</v>
      </c>
      <c r="V55">
        <v>0</v>
      </c>
      <c r="W55">
        <v>0</v>
      </c>
      <c r="Y55" s="2">
        <v>0.60699999999999998</v>
      </c>
      <c r="Z55" s="2">
        <f t="shared" si="5"/>
        <v>0.13914362720576068</v>
      </c>
      <c r="AA55" s="2">
        <v>0.17599999999999999</v>
      </c>
      <c r="AB55" s="2">
        <f t="shared" si="16"/>
        <v>4.5533323395063649E-2</v>
      </c>
      <c r="AC55" s="2">
        <f t="shared" si="17"/>
        <v>0.18467695060082431</v>
      </c>
      <c r="AE55" s="4"/>
      <c r="AN55" s="9">
        <v>1976</v>
      </c>
      <c r="AO55" s="1">
        <f t="shared" si="18"/>
        <v>0.3042453881397435</v>
      </c>
      <c r="AP55" s="1">
        <f t="shared" si="19"/>
        <v>0.13914362720576068</v>
      </c>
      <c r="AQ55" s="1">
        <f t="shared" si="20"/>
        <v>4.5533323395063649E-2</v>
      </c>
      <c r="AR55" s="1">
        <f t="shared" si="21"/>
        <v>0.18467695060082431</v>
      </c>
      <c r="AS55" s="1">
        <f t="shared" si="6"/>
        <v>0.11956843753891919</v>
      </c>
      <c r="AU55" s="3">
        <v>25.744132689189293</v>
      </c>
      <c r="AW55" s="1">
        <f t="shared" si="7"/>
        <v>1.1818047700923517</v>
      </c>
      <c r="AX55" s="1">
        <f t="shared" si="22"/>
        <v>1.1925886501271667</v>
      </c>
      <c r="AY55" s="1">
        <f t="shared" si="23"/>
        <v>0.71735549544605748</v>
      </c>
      <c r="AZ55" s="22">
        <f t="shared" si="24"/>
        <v>0.46444927464629426</v>
      </c>
      <c r="BA55" s="1">
        <f t="shared" si="9"/>
        <v>0.47523315468110922</v>
      </c>
      <c r="BB55" s="3">
        <f t="shared" si="10"/>
        <v>37.69533603695475</v>
      </c>
      <c r="BC55" s="3">
        <v>0</v>
      </c>
      <c r="BD55" s="3">
        <v>0</v>
      </c>
      <c r="BE55" s="3">
        <v>0</v>
      </c>
      <c r="BF55" s="3">
        <v>0</v>
      </c>
      <c r="BG55" s="24">
        <v>1</v>
      </c>
      <c r="BH55" s="3">
        <v>0</v>
      </c>
      <c r="BJ55" s="1">
        <f t="shared" si="11"/>
        <v>1.2856011013563566</v>
      </c>
      <c r="BK55" s="1">
        <f t="shared" si="12"/>
        <v>1.2973321151417971</v>
      </c>
    </row>
    <row r="56" spans="1:63">
      <c r="A56">
        <v>1977</v>
      </c>
      <c r="B56" s="3">
        <f t="shared" si="0"/>
        <v>165.44543002664335</v>
      </c>
      <c r="C56" s="3">
        <f t="shared" si="1"/>
        <v>27.791594761847083</v>
      </c>
      <c r="D56" s="1">
        <v>115.605</v>
      </c>
      <c r="E56" s="3">
        <v>39.773299999999999</v>
      </c>
      <c r="F56" s="3">
        <f t="shared" si="13"/>
        <v>45.979923464999999</v>
      </c>
      <c r="G56" s="2">
        <v>0.74907349109773946</v>
      </c>
      <c r="H56" s="3">
        <f t="shared" si="14"/>
        <v>0.34442341790334419</v>
      </c>
      <c r="I56" s="7">
        <f t="shared" si="15"/>
        <v>0.34442341790334419</v>
      </c>
      <c r="J56" s="7">
        <f t="shared" si="2"/>
        <v>0.34238970508930411</v>
      </c>
      <c r="Q56" s="32">
        <f t="shared" si="3"/>
        <v>0.13604725007182095</v>
      </c>
      <c r="R56" s="32">
        <f t="shared" si="4"/>
        <v>0.13401353725778087</v>
      </c>
      <c r="S56" s="27"/>
      <c r="T56">
        <f>USA!Z64*G56</f>
        <v>10.756695332163538</v>
      </c>
      <c r="U56">
        <v>0</v>
      </c>
      <c r="V56">
        <v>0</v>
      </c>
      <c r="W56">
        <v>0</v>
      </c>
      <c r="Y56" s="2">
        <v>0.60499999999999998</v>
      </c>
      <c r="Z56" s="2">
        <f t="shared" si="5"/>
        <v>0.15682980596843771</v>
      </c>
      <c r="AA56" s="2">
        <v>0.17599999999999999</v>
      </c>
      <c r="AB56" s="2">
        <f t="shared" si="16"/>
        <v>5.1546361863085519E-2</v>
      </c>
      <c r="AC56" s="2">
        <f t="shared" si="17"/>
        <v>0.20837616783152324</v>
      </c>
      <c r="AE56" s="4"/>
      <c r="AN56" s="9">
        <v>1977</v>
      </c>
      <c r="AO56" s="1">
        <f t="shared" si="18"/>
        <v>0.34442341790334419</v>
      </c>
      <c r="AP56" s="1">
        <f t="shared" si="19"/>
        <v>0.15682980596843771</v>
      </c>
      <c r="AQ56" s="1">
        <f t="shared" si="20"/>
        <v>5.1546361863085519E-2</v>
      </c>
      <c r="AR56" s="1">
        <f t="shared" si="21"/>
        <v>0.20837616783152324</v>
      </c>
      <c r="AS56" s="1">
        <f t="shared" si="6"/>
        <v>0.13604725007182095</v>
      </c>
      <c r="AU56" s="3">
        <v>28.188423784078676</v>
      </c>
      <c r="AW56" s="1">
        <f t="shared" si="7"/>
        <v>1.2218612170073897</v>
      </c>
      <c r="AX56" s="1">
        <f t="shared" si="22"/>
        <v>1.2171473829311317</v>
      </c>
      <c r="AY56" s="1">
        <f t="shared" si="23"/>
        <v>0.73922603628947081</v>
      </c>
      <c r="AZ56" s="22">
        <f t="shared" si="24"/>
        <v>0.48263518071791889</v>
      </c>
      <c r="BA56" s="1">
        <f t="shared" si="9"/>
        <v>0.47792134664166092</v>
      </c>
      <c r="BB56" s="3">
        <f t="shared" si="10"/>
        <v>38.159974514925203</v>
      </c>
      <c r="BC56" s="3">
        <v>0</v>
      </c>
      <c r="BD56" s="3">
        <v>0</v>
      </c>
      <c r="BE56" s="3">
        <v>0</v>
      </c>
      <c r="BF56" s="3">
        <v>0</v>
      </c>
      <c r="BG56" s="24">
        <v>1</v>
      </c>
      <c r="BH56" s="3">
        <v>0</v>
      </c>
      <c r="BJ56" s="1">
        <f t="shared" si="11"/>
        <v>1.3291756523935561</v>
      </c>
      <c r="BK56" s="1">
        <f t="shared" si="12"/>
        <v>1.3240478085792393</v>
      </c>
    </row>
    <row r="57" spans="1:63">
      <c r="A57">
        <v>1978</v>
      </c>
      <c r="B57" s="3">
        <f t="shared" si="0"/>
        <v>204.2318323845179</v>
      </c>
      <c r="C57" s="3">
        <f t="shared" si="1"/>
        <v>29.916940817905406</v>
      </c>
      <c r="D57" s="1">
        <v>142.70699999999999</v>
      </c>
      <c r="E57" s="3">
        <v>42.81494</v>
      </c>
      <c r="F57" s="3">
        <f t="shared" si="13"/>
        <v>61.099916425799989</v>
      </c>
      <c r="G57" s="2">
        <v>0.68801765969415662</v>
      </c>
      <c r="H57" s="3">
        <f t="shared" si="14"/>
        <v>0.42037821506787465</v>
      </c>
      <c r="I57" s="7">
        <f t="shared" si="15"/>
        <v>0.42037821506787465</v>
      </c>
      <c r="J57" s="7">
        <f t="shared" si="2"/>
        <v>0.41649755205786521</v>
      </c>
      <c r="Q57" s="32">
        <f t="shared" si="3"/>
        <v>0.13115800310117692</v>
      </c>
      <c r="R57" s="32">
        <f t="shared" si="4"/>
        <v>0.12727734009116748</v>
      </c>
      <c r="S57" s="27"/>
      <c r="T57">
        <f>USA!Z65*G57</f>
        <v>9.8661732400142057</v>
      </c>
      <c r="U57">
        <v>0</v>
      </c>
      <c r="V57">
        <v>0</v>
      </c>
      <c r="W57">
        <v>0</v>
      </c>
      <c r="Y57" s="2">
        <v>0.68799999999999994</v>
      </c>
      <c r="Z57" s="2">
        <f t="shared" si="5"/>
        <v>0.22630646549395458</v>
      </c>
      <c r="AA57" s="2">
        <v>0.17599999999999999</v>
      </c>
      <c r="AB57" s="2">
        <f t="shared" si="16"/>
        <v>6.2913746472743143E-2</v>
      </c>
      <c r="AC57" s="2">
        <f t="shared" si="17"/>
        <v>0.28922021196669773</v>
      </c>
      <c r="AE57" s="4"/>
      <c r="AN57" s="9">
        <v>1978</v>
      </c>
      <c r="AO57" s="1">
        <f t="shared" si="18"/>
        <v>0.42037821506787465</v>
      </c>
      <c r="AP57" s="1">
        <f t="shared" si="19"/>
        <v>0.22630646549395458</v>
      </c>
      <c r="AQ57" s="1">
        <f t="shared" si="20"/>
        <v>6.2913746472743143E-2</v>
      </c>
      <c r="AR57" s="1">
        <f t="shared" si="21"/>
        <v>0.28922021196669773</v>
      </c>
      <c r="AS57" s="1">
        <f t="shared" si="6"/>
        <v>0.13115800310117692</v>
      </c>
      <c r="AU57" s="3">
        <v>30.796010557394908</v>
      </c>
      <c r="AW57" s="1">
        <f t="shared" si="7"/>
        <v>1.3650411448080606</v>
      </c>
      <c r="AX57" s="1">
        <f t="shared" si="22"/>
        <v>1.3816458815916322</v>
      </c>
      <c r="AY57" s="1">
        <f t="shared" si="23"/>
        <v>0.93914830762794554</v>
      </c>
      <c r="AZ57" s="22">
        <f t="shared" si="24"/>
        <v>0.42589283718011506</v>
      </c>
      <c r="BA57" s="1">
        <f t="shared" si="9"/>
        <v>0.44249757396368666</v>
      </c>
      <c r="BB57" s="3">
        <f t="shared" si="10"/>
        <v>32.037179691267134</v>
      </c>
      <c r="BC57" s="3">
        <v>0</v>
      </c>
      <c r="BD57" s="3">
        <v>0</v>
      </c>
      <c r="BE57" s="3">
        <v>0</v>
      </c>
      <c r="BF57" s="3">
        <v>0</v>
      </c>
      <c r="BG57" s="24">
        <v>1</v>
      </c>
      <c r="BH57" s="3">
        <v>0</v>
      </c>
      <c r="BJ57" s="1">
        <f t="shared" si="11"/>
        <v>1.4849308816250999</v>
      </c>
      <c r="BK57" s="1">
        <f t="shared" si="12"/>
        <v>1.5029939902170748</v>
      </c>
    </row>
    <row r="58" spans="1:63">
      <c r="A58">
        <v>1979</v>
      </c>
      <c r="B58" s="3">
        <f t="shared" si="0"/>
        <v>214.13523081697653</v>
      </c>
      <c r="C58" s="3">
        <f t="shared" si="1"/>
        <v>33.287054161079702</v>
      </c>
      <c r="D58" s="1">
        <v>149.62700000000001</v>
      </c>
      <c r="E58" s="3">
        <v>47.637999999999998</v>
      </c>
      <c r="F58" s="3">
        <f t="shared" si="13"/>
        <v>71.279310260000003</v>
      </c>
      <c r="G58" s="2">
        <v>0.64857909893483867</v>
      </c>
      <c r="H58" s="3">
        <f t="shared" si="14"/>
        <v>0.46230270821127606</v>
      </c>
      <c r="I58" s="7">
        <f t="shared" si="15"/>
        <v>0.46230270821127606</v>
      </c>
      <c r="J58" s="7">
        <f t="shared" si="2"/>
        <v>0.44718482046069918</v>
      </c>
      <c r="Q58" s="32">
        <f t="shared" si="3"/>
        <v>0.17290121287101723</v>
      </c>
      <c r="R58" s="32">
        <f t="shared" si="4"/>
        <v>0.15778332512044038</v>
      </c>
      <c r="S58" s="27"/>
      <c r="T58">
        <f>USA!Z66*G58</f>
        <v>13.899050090173592</v>
      </c>
      <c r="U58">
        <v>0</v>
      </c>
      <c r="V58">
        <v>0</v>
      </c>
      <c r="W58">
        <v>0</v>
      </c>
      <c r="Y58" s="2">
        <v>0.626</v>
      </c>
      <c r="Z58" s="2">
        <f t="shared" si="5"/>
        <v>0.22021333492768691</v>
      </c>
      <c r="AA58" s="2">
        <v>0.17599999999999999</v>
      </c>
      <c r="AB58" s="2">
        <f t="shared" si="16"/>
        <v>6.918816041257192E-2</v>
      </c>
      <c r="AC58" s="2">
        <f t="shared" si="17"/>
        <v>0.28940149534025883</v>
      </c>
      <c r="AE58" s="4"/>
      <c r="AN58" s="9">
        <v>1979</v>
      </c>
      <c r="AO58" s="1">
        <f t="shared" si="18"/>
        <v>0.46230270821127606</v>
      </c>
      <c r="AP58" s="1">
        <f t="shared" si="19"/>
        <v>0.22021333492768691</v>
      </c>
      <c r="AQ58" s="1">
        <f t="shared" si="20"/>
        <v>6.918816041257192E-2</v>
      </c>
      <c r="AR58" s="1">
        <f t="shared" si="21"/>
        <v>0.28940149534025883</v>
      </c>
      <c r="AS58" s="1">
        <f t="shared" si="6"/>
        <v>0.17290121287101723</v>
      </c>
      <c r="AU58" s="3">
        <v>34.074781731813296</v>
      </c>
      <c r="AW58" s="1">
        <f t="shared" si="7"/>
        <v>1.3567297711540602</v>
      </c>
      <c r="AX58" s="1">
        <f t="shared" si="22"/>
        <v>1.3424494369505822</v>
      </c>
      <c r="AY58" s="1">
        <f t="shared" si="23"/>
        <v>0.84931283674244185</v>
      </c>
      <c r="AZ58" s="22">
        <f t="shared" si="24"/>
        <v>0.50741693441161839</v>
      </c>
      <c r="BA58" s="1">
        <f t="shared" si="9"/>
        <v>0.49313660020814037</v>
      </c>
      <c r="BB58" s="3">
        <f t="shared" si="10"/>
        <v>40.789843349743307</v>
      </c>
      <c r="BC58" s="3">
        <v>0</v>
      </c>
      <c r="BD58" s="3">
        <v>0</v>
      </c>
      <c r="BE58" s="3">
        <v>0</v>
      </c>
      <c r="BF58" s="3">
        <v>0</v>
      </c>
      <c r="BG58" s="24">
        <v>1</v>
      </c>
      <c r="BH58" s="3">
        <v>0</v>
      </c>
      <c r="BJ58" s="1">
        <f t="shared" si="11"/>
        <v>1.4758895311467699</v>
      </c>
      <c r="BK58" s="1">
        <f t="shared" si="12"/>
        <v>1.4603549743025854</v>
      </c>
    </row>
    <row r="59" spans="1:63">
      <c r="A59">
        <v>1980</v>
      </c>
      <c r="B59" s="3">
        <f t="shared" si="0"/>
        <v>203.25866606456535</v>
      </c>
      <c r="C59" s="3">
        <f t="shared" si="1"/>
        <v>37.784321185500851</v>
      </c>
      <c r="D59" s="1">
        <v>142.02699999999999</v>
      </c>
      <c r="E59" s="3">
        <v>54.074159999999999</v>
      </c>
      <c r="F59" s="3">
        <f t="shared" si="13"/>
        <v>76.799907223199995</v>
      </c>
      <c r="G59" s="2">
        <v>0.64418856723840134</v>
      </c>
      <c r="H59" s="3">
        <f t="shared" si="14"/>
        <v>0.49473622198155354</v>
      </c>
      <c r="I59" s="7">
        <f t="shared" si="15"/>
        <v>0.49473622198155354</v>
      </c>
      <c r="J59" s="7">
        <f t="shared" si="2"/>
        <v>0.50276283952944201</v>
      </c>
      <c r="Q59" s="32">
        <f t="shared" si="3"/>
        <v>0.20927342189819709</v>
      </c>
      <c r="R59" s="32">
        <f t="shared" si="4"/>
        <v>0.21730003944608559</v>
      </c>
      <c r="S59" s="27"/>
      <c r="T59">
        <f>USA!Z67*G59</f>
        <v>21.767131686985582</v>
      </c>
      <c r="U59">
        <v>0</v>
      </c>
      <c r="V59">
        <v>0</v>
      </c>
      <c r="W59">
        <v>0</v>
      </c>
      <c r="Y59" s="2">
        <v>0.57700000000000007</v>
      </c>
      <c r="Z59" s="2">
        <f t="shared" si="5"/>
        <v>0.21142064441264774</v>
      </c>
      <c r="AA59" s="2">
        <v>0.17599999999999999</v>
      </c>
      <c r="AB59" s="2">
        <f t="shared" si="16"/>
        <v>7.4042155670708695E-2</v>
      </c>
      <c r="AC59" s="2">
        <f t="shared" si="17"/>
        <v>0.28546280008335645</v>
      </c>
      <c r="AE59" s="4"/>
      <c r="AN59" s="9">
        <v>1980</v>
      </c>
      <c r="AO59" s="1">
        <f t="shared" si="18"/>
        <v>0.49473622198155354</v>
      </c>
      <c r="AP59" s="1">
        <f t="shared" si="19"/>
        <v>0.21142064441264774</v>
      </c>
      <c r="AQ59" s="1">
        <f t="shared" si="20"/>
        <v>7.4042155670708695E-2</v>
      </c>
      <c r="AR59" s="1">
        <f t="shared" si="21"/>
        <v>0.28546280008335645</v>
      </c>
      <c r="AS59" s="1">
        <f t="shared" si="6"/>
        <v>0.20927342189819709</v>
      </c>
      <c r="AU59" s="3">
        <v>38.696201264015862</v>
      </c>
      <c r="AW59" s="1">
        <f t="shared" si="7"/>
        <v>1.2785136675460071</v>
      </c>
      <c r="AX59" s="1">
        <f t="shared" si="22"/>
        <v>1.269776474617069</v>
      </c>
      <c r="AY59" s="1">
        <f t="shared" si="23"/>
        <v>0.73770238617404615</v>
      </c>
      <c r="AZ59" s="22">
        <f t="shared" si="24"/>
        <v>0.54081128137196099</v>
      </c>
      <c r="BA59" s="1">
        <f t="shared" si="9"/>
        <v>0.53207408844302295</v>
      </c>
      <c r="BB59" s="3">
        <f t="shared" si="10"/>
        <v>56.251339862724826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J59" s="1">
        <f t="shared" si="11"/>
        <v>1.3908038118409849</v>
      </c>
      <c r="BK59" s="1">
        <f t="shared" si="12"/>
        <v>1.3812992429507034</v>
      </c>
    </row>
    <row r="60" spans="1:63">
      <c r="A60">
        <v>1981</v>
      </c>
      <c r="B60" s="3">
        <f t="shared" si="0"/>
        <v>161.41251430660455</v>
      </c>
      <c r="C60" s="3">
        <f t="shared" si="1"/>
        <v>41.681969842500045</v>
      </c>
      <c r="D60" s="1">
        <v>112.78700000000001</v>
      </c>
      <c r="E60" s="3">
        <v>59.652189999999997</v>
      </c>
      <c r="F60" s="3">
        <f t="shared" si="13"/>
        <v>67.279915535299992</v>
      </c>
      <c r="G60" s="2">
        <v>0.82849942907843022</v>
      </c>
      <c r="H60" s="3">
        <f t="shared" si="14"/>
        <v>0.55741371609441048</v>
      </c>
      <c r="I60" s="7">
        <f t="shared" si="15"/>
        <v>0.55741371609441048</v>
      </c>
      <c r="J60" s="7">
        <f t="shared" si="2"/>
        <v>0.56678249254231827</v>
      </c>
      <c r="Q60" s="32">
        <f t="shared" si="3"/>
        <v>0.27146047973797788</v>
      </c>
      <c r="R60" s="32">
        <f t="shared" si="4"/>
        <v>0.28082925618588567</v>
      </c>
      <c r="S60" s="27"/>
      <c r="T60">
        <f>USA!Z68*G60</f>
        <v>30.165664212745643</v>
      </c>
      <c r="U60">
        <v>0</v>
      </c>
      <c r="V60">
        <v>0</v>
      </c>
      <c r="W60">
        <v>0</v>
      </c>
      <c r="Y60" s="2">
        <v>0.51300000000000001</v>
      </c>
      <c r="Z60" s="2">
        <f t="shared" si="5"/>
        <v>0.20253077544434395</v>
      </c>
      <c r="AA60" s="2">
        <v>0.17599999999999999</v>
      </c>
      <c r="AB60" s="2">
        <f t="shared" si="16"/>
        <v>8.3422460912088645E-2</v>
      </c>
      <c r="AC60" s="2">
        <f t="shared" si="17"/>
        <v>0.28595323635643261</v>
      </c>
      <c r="AE60" s="4"/>
      <c r="AN60" s="9">
        <v>1981</v>
      </c>
      <c r="AO60" s="1">
        <f t="shared" si="18"/>
        <v>0.55741371609441048</v>
      </c>
      <c r="AP60" s="1">
        <f t="shared" si="19"/>
        <v>0.20253077544434395</v>
      </c>
      <c r="AQ60" s="1">
        <f t="shared" si="20"/>
        <v>8.3422460912088645E-2</v>
      </c>
      <c r="AR60" s="1">
        <f t="shared" si="21"/>
        <v>0.28595323635643261</v>
      </c>
      <c r="AS60" s="1">
        <f t="shared" si="6"/>
        <v>0.27146047973797788</v>
      </c>
      <c r="AU60" s="3">
        <v>43.848368285111988</v>
      </c>
      <c r="AW60" s="1">
        <f t="shared" si="7"/>
        <v>1.2712302370523361</v>
      </c>
      <c r="AX60" s="1">
        <f t="shared" si="22"/>
        <v>1.2567896140558745</v>
      </c>
      <c r="AY60" s="1">
        <f t="shared" si="23"/>
        <v>0.65214111160784849</v>
      </c>
      <c r="AZ60" s="22">
        <f t="shared" si="24"/>
        <v>0.61908912544448758</v>
      </c>
      <c r="BA60" s="1">
        <f t="shared" si="9"/>
        <v>0.60464850244802615</v>
      </c>
      <c r="BB60" s="3">
        <f t="shared" si="10"/>
        <v>68.795408797430468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J60" s="1">
        <f t="shared" si="11"/>
        <v>1.3828806873949864</v>
      </c>
      <c r="BK60" s="1">
        <f t="shared" si="12"/>
        <v>1.3671717638076564</v>
      </c>
    </row>
    <row r="61" spans="1:63">
      <c r="A61">
        <v>1982</v>
      </c>
      <c r="B61" s="3">
        <f t="shared" si="0"/>
        <v>149.15348092908437</v>
      </c>
      <c r="C61" s="3">
        <f t="shared" si="1"/>
        <v>44.24984128314113</v>
      </c>
      <c r="D61" s="1">
        <v>104.221</v>
      </c>
      <c r="E61" s="3">
        <v>63.32714</v>
      </c>
      <c r="F61" s="3">
        <f t="shared" si="13"/>
        <v>66.0001785794</v>
      </c>
      <c r="G61" s="2">
        <v>1.0019101861859849</v>
      </c>
      <c r="H61" s="3">
        <f t="shared" si="14"/>
        <v>0.66126251208794917</v>
      </c>
      <c r="I61" s="7">
        <f t="shared" si="15"/>
        <v>0.66126251208794917</v>
      </c>
      <c r="J61" s="7">
        <f t="shared" si="2"/>
        <v>0.64084428790319503</v>
      </c>
      <c r="Q61" s="32">
        <f t="shared" si="3"/>
        <v>0.32467989343518305</v>
      </c>
      <c r="R61" s="32">
        <f t="shared" si="4"/>
        <v>0.30426166925042897</v>
      </c>
      <c r="S61" s="27"/>
      <c r="T61">
        <f>USA!Z69*G61</f>
        <v>33.263418181374703</v>
      </c>
      <c r="U61">
        <v>0</v>
      </c>
      <c r="V61">
        <v>0</v>
      </c>
      <c r="W61">
        <v>0</v>
      </c>
      <c r="Y61" s="2">
        <v>0.50900000000000001</v>
      </c>
      <c r="Z61" s="2">
        <f t="shared" si="5"/>
        <v>0.23571206596138405</v>
      </c>
      <c r="AA61" s="2">
        <v>0.18</v>
      </c>
      <c r="AB61" s="2">
        <f t="shared" si="16"/>
        <v>0.10087055269138208</v>
      </c>
      <c r="AC61" s="2">
        <f t="shared" si="17"/>
        <v>0.33658261865276612</v>
      </c>
      <c r="AE61" s="4"/>
      <c r="AN61" s="9">
        <v>1982</v>
      </c>
      <c r="AO61" s="1">
        <f t="shared" si="18"/>
        <v>0.66126251208794917</v>
      </c>
      <c r="AP61" s="1">
        <f t="shared" si="19"/>
        <v>0.23571206596138405</v>
      </c>
      <c r="AQ61" s="1">
        <f t="shared" si="20"/>
        <v>0.10087055269138208</v>
      </c>
      <c r="AR61" s="1">
        <f t="shared" si="21"/>
        <v>0.33658261865276612</v>
      </c>
      <c r="AS61" s="1">
        <f t="shared" si="6"/>
        <v>0.32467989343518305</v>
      </c>
      <c r="AU61" s="3">
        <v>49.100736310470467</v>
      </c>
      <c r="AW61" s="1">
        <f t="shared" si="7"/>
        <v>1.3467466310621059</v>
      </c>
      <c r="AX61" s="1">
        <f t="shared" si="22"/>
        <v>1.2840668041087686</v>
      </c>
      <c r="AY61" s="1">
        <f t="shared" si="23"/>
        <v>0.68549403521061192</v>
      </c>
      <c r="AZ61" s="22">
        <f t="shared" si="24"/>
        <v>0.66125259585149399</v>
      </c>
      <c r="BA61" s="1">
        <f t="shared" si="9"/>
        <v>0.59857276889815658</v>
      </c>
      <c r="BB61" s="3">
        <f t="shared" si="10"/>
        <v>67.745253291204634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J61" s="1">
        <f t="shared" si="11"/>
        <v>1.4650295852216844</v>
      </c>
      <c r="BK61" s="1">
        <f t="shared" si="12"/>
        <v>1.3968446729558968</v>
      </c>
    </row>
    <row r="62" spans="1:63">
      <c r="A62">
        <v>1983</v>
      </c>
      <c r="B62" s="3">
        <f t="shared" si="0"/>
        <v>121.84886690701502</v>
      </c>
      <c r="C62" s="3">
        <f t="shared" si="1"/>
        <v>45.671336429076113</v>
      </c>
      <c r="D62" s="1">
        <v>85.141900000000007</v>
      </c>
      <c r="E62" s="3">
        <v>65.36148</v>
      </c>
      <c r="F62" s="3">
        <f t="shared" si="13"/>
        <v>55.65000594012001</v>
      </c>
      <c r="G62" s="2">
        <v>1.1618596950714759</v>
      </c>
      <c r="H62" s="3">
        <f t="shared" si="14"/>
        <v>0.64657498932313662</v>
      </c>
      <c r="I62" s="7">
        <f t="shared" si="15"/>
        <v>0.64657498932313662</v>
      </c>
      <c r="J62" s="7">
        <f t="shared" si="2"/>
        <v>0.65687584375429098</v>
      </c>
      <c r="Q62" s="32">
        <f t="shared" si="3"/>
        <v>0.29677792009931969</v>
      </c>
      <c r="R62" s="32">
        <f t="shared" si="4"/>
        <v>0.307078774530474</v>
      </c>
      <c r="S62" s="27"/>
      <c r="T62">
        <f>USA!Z70*G62</f>
        <v>33.635838172319225</v>
      </c>
      <c r="U62">
        <v>0</v>
      </c>
      <c r="V62">
        <v>0</v>
      </c>
      <c r="W62">
        <v>0</v>
      </c>
      <c r="Y62" s="2">
        <v>0.54100000000000004</v>
      </c>
      <c r="Z62" s="2">
        <f t="shared" si="5"/>
        <v>0.24839492081394896</v>
      </c>
      <c r="AA62" s="2">
        <v>0.186</v>
      </c>
      <c r="AB62" s="2">
        <f t="shared" si="16"/>
        <v>0.10140214840986797</v>
      </c>
      <c r="AC62" s="2">
        <f t="shared" si="17"/>
        <v>0.34979706922381693</v>
      </c>
      <c r="AE62" s="4"/>
      <c r="AN62" s="9">
        <v>1983</v>
      </c>
      <c r="AO62" s="1">
        <f t="shared" si="18"/>
        <v>0.64657498932313662</v>
      </c>
      <c r="AP62" s="1">
        <f t="shared" si="19"/>
        <v>0.24839492081394896</v>
      </c>
      <c r="AQ62" s="1">
        <f t="shared" si="20"/>
        <v>0.10140214840986797</v>
      </c>
      <c r="AR62" s="1">
        <f t="shared" si="21"/>
        <v>0.34979706922381693</v>
      </c>
      <c r="AS62" s="1">
        <f t="shared" si="6"/>
        <v>0.29677792009931969</v>
      </c>
      <c r="AU62" s="3">
        <v>53.74544403011285</v>
      </c>
      <c r="AW62" s="1">
        <f t="shared" si="7"/>
        <v>1.2030321843854697</v>
      </c>
      <c r="AX62" s="1">
        <f t="shared" si="22"/>
        <v>1.2195501942228479</v>
      </c>
      <c r="AY62" s="1">
        <f t="shared" si="23"/>
        <v>0.65084041175253915</v>
      </c>
      <c r="AZ62" s="22">
        <f t="shared" si="24"/>
        <v>0.55219177263293051</v>
      </c>
      <c r="BA62" s="1">
        <f t="shared" si="9"/>
        <v>0.56870978247030868</v>
      </c>
      <c r="BB62" s="3">
        <f t="shared" si="10"/>
        <v>62.583608302637742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J62" s="1">
        <f t="shared" si="11"/>
        <v>1.3086928910366837</v>
      </c>
      <c r="BK62" s="1">
        <f t="shared" si="12"/>
        <v>1.3266616555708541</v>
      </c>
    </row>
    <row r="63" spans="1:63">
      <c r="A63">
        <v>1984</v>
      </c>
      <c r="B63" s="3">
        <f t="shared" si="0"/>
        <v>115.18983325004537</v>
      </c>
      <c r="C63" s="3">
        <f t="shared" si="1"/>
        <v>47.643090239969929</v>
      </c>
      <c r="D63" s="1">
        <v>80.488900000000001</v>
      </c>
      <c r="E63" s="3">
        <v>68.183310000000006</v>
      </c>
      <c r="F63" s="3">
        <f t="shared" si="13"/>
        <v>54.879996202590007</v>
      </c>
      <c r="G63" s="2">
        <v>1.332267206539453</v>
      </c>
      <c r="H63" s="3">
        <f t="shared" si="14"/>
        <v>0.73114819235720374</v>
      </c>
      <c r="I63" s="7">
        <f t="shared" si="15"/>
        <v>0.73114819235720374</v>
      </c>
      <c r="J63" s="7">
        <f t="shared" si="2"/>
        <v>0.77070870654648693</v>
      </c>
      <c r="Q63" s="32">
        <f t="shared" si="3"/>
        <v>0.30050190705881075</v>
      </c>
      <c r="R63" s="32">
        <f t="shared" si="4"/>
        <v>0.34006242124809394</v>
      </c>
      <c r="S63" s="27"/>
      <c r="T63">
        <f>USA!Z71*G63</f>
        <v>37.996260730505199</v>
      </c>
      <c r="U63">
        <v>0</v>
      </c>
      <c r="V63">
        <v>0</v>
      </c>
      <c r="W63">
        <v>0</v>
      </c>
      <c r="Y63" s="2">
        <v>0.58899999999999997</v>
      </c>
      <c r="Z63" s="2">
        <f t="shared" si="5"/>
        <v>0.31598054855434587</v>
      </c>
      <c r="AA63" s="2">
        <v>0.186</v>
      </c>
      <c r="AB63" s="2">
        <f t="shared" si="16"/>
        <v>0.11466573674404713</v>
      </c>
      <c r="AC63" s="2">
        <f t="shared" si="17"/>
        <v>0.43064628529839299</v>
      </c>
      <c r="AE63" s="4"/>
      <c r="AN63" s="9">
        <v>1984</v>
      </c>
      <c r="AO63" s="1">
        <f t="shared" si="18"/>
        <v>0.73114819235720374</v>
      </c>
      <c r="AP63" s="1">
        <f t="shared" si="19"/>
        <v>0.31598054855434587</v>
      </c>
      <c r="AQ63" s="1">
        <f t="shared" si="20"/>
        <v>0.11466573674404713</v>
      </c>
      <c r="AR63" s="1">
        <f t="shared" si="21"/>
        <v>0.43064628529839299</v>
      </c>
      <c r="AS63" s="1">
        <f t="shared" si="6"/>
        <v>0.30050190705881075</v>
      </c>
      <c r="AU63" s="3">
        <v>57.869763526458968</v>
      </c>
      <c r="AW63" s="1">
        <f t="shared" si="7"/>
        <v>1.2634373251290569</v>
      </c>
      <c r="AX63" s="1">
        <f t="shared" si="22"/>
        <v>1.3306627460982308</v>
      </c>
      <c r="AY63" s="1">
        <f t="shared" si="23"/>
        <v>0.74416458450101441</v>
      </c>
      <c r="AZ63" s="22">
        <f t="shared" si="24"/>
        <v>0.51927274062804252</v>
      </c>
      <c r="BA63" s="1">
        <f t="shared" si="9"/>
        <v>0.58649816159721635</v>
      </c>
      <c r="BB63" s="3">
        <f t="shared" si="10"/>
        <v>65.658227051736105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J63" s="1">
        <f t="shared" si="11"/>
        <v>1.374403334447293</v>
      </c>
      <c r="BK63" s="1">
        <f t="shared" si="12"/>
        <v>1.4475330741676367</v>
      </c>
    </row>
    <row r="64" spans="1:63">
      <c r="A64">
        <v>1985</v>
      </c>
      <c r="B64" s="3">
        <f t="shared" si="0"/>
        <v>136.79426866568662</v>
      </c>
      <c r="C64" s="3">
        <f t="shared" si="1"/>
        <v>49.339718212134507</v>
      </c>
      <c r="D64" s="1">
        <v>95.584999999999994</v>
      </c>
      <c r="E64" s="3">
        <v>70.611400000000003</v>
      </c>
      <c r="F64" s="3">
        <f t="shared" si="13"/>
        <v>67.493906689999989</v>
      </c>
      <c r="G64" s="2">
        <v>1.36978490968158</v>
      </c>
      <c r="H64" s="3">
        <f t="shared" si="14"/>
        <v>0.92452134879418624</v>
      </c>
      <c r="I64" s="7">
        <f t="shared" si="15"/>
        <v>0.92452134879418624</v>
      </c>
      <c r="J64" s="7">
        <f t="shared" si="2"/>
        <v>0.90588883815704424</v>
      </c>
      <c r="Q64" s="32">
        <f t="shared" si="3"/>
        <v>0.347620027146614</v>
      </c>
      <c r="R64" s="32">
        <f t="shared" si="4"/>
        <v>0.328987516509472</v>
      </c>
      <c r="S64" s="27"/>
      <c r="T64">
        <f>USA!Z72*G64</f>
        <v>36.532163541207737</v>
      </c>
      <c r="U64">
        <v>0</v>
      </c>
      <c r="V64">
        <v>0</v>
      </c>
      <c r="W64">
        <v>0</v>
      </c>
      <c r="Y64" s="2">
        <v>0.624</v>
      </c>
      <c r="Z64" s="2">
        <f t="shared" si="5"/>
        <v>0.4319089347371855</v>
      </c>
      <c r="AA64" s="2">
        <v>0.186</v>
      </c>
      <c r="AB64" s="2">
        <f t="shared" si="16"/>
        <v>0.14499238691038674</v>
      </c>
      <c r="AC64" s="2">
        <f t="shared" si="17"/>
        <v>0.57690132164757224</v>
      </c>
      <c r="AE64" s="4"/>
      <c r="AN64" s="9">
        <v>1985</v>
      </c>
      <c r="AO64" s="1">
        <f t="shared" si="18"/>
        <v>0.92452134879418624</v>
      </c>
      <c r="AP64" s="1">
        <f t="shared" si="19"/>
        <v>0.4319089347371855</v>
      </c>
      <c r="AQ64" s="1">
        <f t="shared" si="20"/>
        <v>0.14499238691038674</v>
      </c>
      <c r="AR64" s="1">
        <f t="shared" si="21"/>
        <v>0.57690132164757224</v>
      </c>
      <c r="AS64" s="1">
        <f t="shared" si="6"/>
        <v>0.347620027146614</v>
      </c>
      <c r="AU64" s="3">
        <v>61.244206728752687</v>
      </c>
      <c r="AW64" s="1">
        <f t="shared" si="7"/>
        <v>1.5095653910399098</v>
      </c>
      <c r="AX64" s="1">
        <f t="shared" si="22"/>
        <v>1.4937059766639216</v>
      </c>
      <c r="AY64" s="1">
        <f t="shared" si="23"/>
        <v>0.9419688040089037</v>
      </c>
      <c r="AZ64" s="22">
        <f t="shared" si="24"/>
        <v>0.56759658703100613</v>
      </c>
      <c r="BA64" s="1">
        <f t="shared" si="9"/>
        <v>0.55173717265501787</v>
      </c>
      <c r="BB64" s="3">
        <f t="shared" si="10"/>
        <v>59.649990574629754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J64" s="1">
        <f t="shared" si="11"/>
        <v>1.6421484989764357</v>
      </c>
      <c r="BK64" s="1">
        <f t="shared" si="12"/>
        <v>1.6248961734615843</v>
      </c>
    </row>
    <row r="65" spans="1:63">
      <c r="A65">
        <v>1986</v>
      </c>
      <c r="B65" s="3">
        <f t="shared" si="0"/>
        <v>138.36922386437459</v>
      </c>
      <c r="C65" s="3">
        <f t="shared" si="1"/>
        <v>50.256813657899102</v>
      </c>
      <c r="D65" s="1">
        <v>96.685500000000005</v>
      </c>
      <c r="E65" s="3">
        <v>71.923879999999997</v>
      </c>
      <c r="F65" s="3">
        <f t="shared" si="13"/>
        <v>69.539962997399996</v>
      </c>
      <c r="G65" s="2">
        <v>1.0558771382880281</v>
      </c>
      <c r="H65" s="3">
        <f t="shared" si="14"/>
        <v>0.73425657126350075</v>
      </c>
      <c r="I65" s="7">
        <f t="shared" si="15"/>
        <v>0.73425657126350075</v>
      </c>
      <c r="J65" s="7">
        <f t="shared" si="2"/>
        <v>0.72721441871621029</v>
      </c>
      <c r="Q65" s="32">
        <f t="shared" si="3"/>
        <v>0.17989285995955773</v>
      </c>
      <c r="R65" s="32">
        <f t="shared" si="4"/>
        <v>0.17285070741226724</v>
      </c>
      <c r="S65" s="27"/>
      <c r="T65">
        <f>USA!Z73*G65</f>
        <v>15.890950931234823</v>
      </c>
      <c r="U65">
        <v>0</v>
      </c>
      <c r="V65">
        <v>0</v>
      </c>
      <c r="W65">
        <v>0</v>
      </c>
      <c r="Y65" s="2">
        <v>0.755</v>
      </c>
      <c r="Z65" s="2">
        <f t="shared" si="5"/>
        <v>0.43921048849196059</v>
      </c>
      <c r="AA65" s="2">
        <v>0.186</v>
      </c>
      <c r="AB65" s="2">
        <f t="shared" si="16"/>
        <v>0.11515322281198241</v>
      </c>
      <c r="AC65" s="2">
        <f t="shared" si="17"/>
        <v>0.55436371130394302</v>
      </c>
      <c r="AE65" s="4"/>
      <c r="AN65" s="9">
        <v>1986</v>
      </c>
      <c r="AO65" s="1">
        <f t="shared" si="18"/>
        <v>0.73425657126350075</v>
      </c>
      <c r="AP65" s="1">
        <f t="shared" si="19"/>
        <v>0.43921048849196059</v>
      </c>
      <c r="AQ65" s="1">
        <f t="shared" si="20"/>
        <v>0.11515322281198241</v>
      </c>
      <c r="AR65" s="1">
        <f t="shared" si="21"/>
        <v>0.55436371130394302</v>
      </c>
      <c r="AS65" s="1">
        <f t="shared" si="6"/>
        <v>0.17989285995955773</v>
      </c>
      <c r="AU65" s="3">
        <v>62.798907452497886</v>
      </c>
      <c r="AW65" s="1">
        <f t="shared" si="7"/>
        <v>1.1692187030784005</v>
      </c>
      <c r="AX65" s="1">
        <f t="shared" si="22"/>
        <v>1.1719495458538902</v>
      </c>
      <c r="AY65" s="1">
        <f t="shared" si="23"/>
        <v>0.88276012082419231</v>
      </c>
      <c r="AZ65" s="22">
        <f t="shared" si="24"/>
        <v>0.28645858225420817</v>
      </c>
      <c r="BA65" s="1">
        <f t="shared" si="9"/>
        <v>0.28918942502969791</v>
      </c>
      <c r="BB65" s="3">
        <f t="shared" si="10"/>
        <v>25.304502221244846</v>
      </c>
      <c r="BC65" s="3">
        <v>0</v>
      </c>
      <c r="BD65" s="24">
        <v>1</v>
      </c>
      <c r="BE65" s="3">
        <v>0</v>
      </c>
      <c r="BF65" s="3">
        <v>0</v>
      </c>
      <c r="BG65" s="3">
        <v>0</v>
      </c>
      <c r="BH65" s="3">
        <v>0</v>
      </c>
      <c r="BJ65" s="1">
        <f t="shared" si="11"/>
        <v>1.2719096169213966</v>
      </c>
      <c r="BK65" s="1">
        <f t="shared" si="12"/>
        <v>1.274880305962977</v>
      </c>
    </row>
    <row r="66" spans="1:63">
      <c r="A66">
        <v>1987</v>
      </c>
      <c r="B66" s="3">
        <f t="shared" si="0"/>
        <v>163.41609202415404</v>
      </c>
      <c r="C66" s="3">
        <f t="shared" si="1"/>
        <v>52.136856526716379</v>
      </c>
      <c r="D66" s="1">
        <v>114.187</v>
      </c>
      <c r="E66" s="3">
        <v>74.614459999999994</v>
      </c>
      <c r="F66" s="3">
        <f t="shared" si="13"/>
        <v>85.200013440199996</v>
      </c>
      <c r="G66" s="2">
        <v>0.91632530790890243</v>
      </c>
      <c r="H66" s="3">
        <f t="shared" si="14"/>
        <v>0.78070928549433882</v>
      </c>
      <c r="I66" s="7">
        <f t="shared" si="15"/>
        <v>0.78070928549433882</v>
      </c>
      <c r="J66" s="7">
        <f t="shared" si="2"/>
        <v>0.77516444070836465</v>
      </c>
      <c r="Q66" s="32">
        <f t="shared" si="3"/>
        <v>0.19127377494611297</v>
      </c>
      <c r="R66" s="32">
        <f t="shared" si="4"/>
        <v>0.18572893016013875</v>
      </c>
      <c r="S66" s="27"/>
      <c r="T66">
        <f>USA!Z74*G66</f>
        <v>17.593445911850925</v>
      </c>
      <c r="U66">
        <v>0</v>
      </c>
      <c r="V66">
        <v>0</v>
      </c>
      <c r="W66">
        <v>0</v>
      </c>
      <c r="Y66" s="2">
        <v>0.755</v>
      </c>
      <c r="Z66" s="2">
        <f t="shared" si="5"/>
        <v>0.4669971234470901</v>
      </c>
      <c r="AA66" s="2">
        <v>0.186</v>
      </c>
      <c r="AB66" s="2">
        <f t="shared" si="16"/>
        <v>0.12243838710113578</v>
      </c>
      <c r="AC66" s="2">
        <f t="shared" si="17"/>
        <v>0.58943551054822585</v>
      </c>
      <c r="AE66" s="4"/>
      <c r="AN66" s="9">
        <v>1987</v>
      </c>
      <c r="AO66" s="1">
        <f t="shared" si="18"/>
        <v>0.78070928549433882</v>
      </c>
      <c r="AP66" s="1">
        <f t="shared" si="19"/>
        <v>0.4669971234470901</v>
      </c>
      <c r="AQ66" s="1">
        <f t="shared" si="20"/>
        <v>0.12243838710113578</v>
      </c>
      <c r="AR66" s="1">
        <f t="shared" si="21"/>
        <v>0.58943551054822585</v>
      </c>
      <c r="AS66" s="1">
        <f t="shared" si="6"/>
        <v>0.19127377494611297</v>
      </c>
      <c r="AU66" s="3">
        <v>64.864299463724947</v>
      </c>
      <c r="AW66" s="1">
        <f t="shared" si="7"/>
        <v>1.2036039731392563</v>
      </c>
      <c r="AX66" s="1">
        <f t="shared" si="22"/>
        <v>1.2084341389876605</v>
      </c>
      <c r="AY66" s="1">
        <f t="shared" si="23"/>
        <v>0.90872099972013864</v>
      </c>
      <c r="AZ66" s="22">
        <f t="shared" si="24"/>
        <v>0.29488297341911762</v>
      </c>
      <c r="BA66" s="1">
        <f t="shared" si="9"/>
        <v>0.29971313926752197</v>
      </c>
      <c r="BB66" s="3">
        <f t="shared" si="10"/>
        <v>27.123465538527824</v>
      </c>
      <c r="BC66" s="3">
        <v>0</v>
      </c>
      <c r="BD66" s="24">
        <v>1</v>
      </c>
      <c r="BE66" s="3">
        <v>0</v>
      </c>
      <c r="BF66" s="3">
        <v>0</v>
      </c>
      <c r="BG66" s="3">
        <v>0</v>
      </c>
      <c r="BH66" s="3">
        <v>0</v>
      </c>
      <c r="BJ66" s="1">
        <f t="shared" si="11"/>
        <v>1.3093148992314498</v>
      </c>
      <c r="BK66" s="1">
        <f t="shared" si="12"/>
        <v>1.3145692920817658</v>
      </c>
    </row>
    <row r="67" spans="1:63">
      <c r="A67">
        <v>1988</v>
      </c>
      <c r="B67" s="3">
        <f t="shared" si="0"/>
        <v>143.32306977101555</v>
      </c>
      <c r="C67" s="3">
        <f t="shared" si="1"/>
        <v>54.227069431021505</v>
      </c>
      <c r="D67" s="1">
        <v>100.14700000000001</v>
      </c>
      <c r="E67" s="3">
        <v>77.605819999999994</v>
      </c>
      <c r="F67" s="3">
        <f t="shared" si="13"/>
        <v>77.719900555400002</v>
      </c>
      <c r="G67" s="2">
        <v>0.90812355078152973</v>
      </c>
      <c r="H67" s="3">
        <f t="shared" si="14"/>
        <v>0.70579272058757236</v>
      </c>
      <c r="I67" s="7">
        <f t="shared" si="15"/>
        <v>0.70579272058757236</v>
      </c>
      <c r="J67" s="7">
        <f t="shared" si="2"/>
        <v>0.69522328277196277</v>
      </c>
      <c r="Q67" s="32">
        <f t="shared" si="3"/>
        <v>0.17291921654395526</v>
      </c>
      <c r="R67" s="32">
        <f t="shared" si="4"/>
        <v>0.16234977872834566</v>
      </c>
      <c r="S67" s="27"/>
      <c r="T67">
        <f>USA!Z75*G67</f>
        <v>14.502733105981031</v>
      </c>
      <c r="U67">
        <v>0</v>
      </c>
      <c r="V67">
        <v>0</v>
      </c>
      <c r="W67">
        <v>0</v>
      </c>
      <c r="Y67" s="2">
        <v>0.755</v>
      </c>
      <c r="Z67" s="2">
        <f t="shared" si="5"/>
        <v>0.42218425781318836</v>
      </c>
      <c r="AA67" s="2">
        <v>0.186</v>
      </c>
      <c r="AB67" s="2">
        <f t="shared" si="16"/>
        <v>0.11068924623042874</v>
      </c>
      <c r="AC67" s="2">
        <f t="shared" si="17"/>
        <v>0.53287350404361711</v>
      </c>
      <c r="AE67" s="4"/>
      <c r="AN67" s="9">
        <v>1988</v>
      </c>
      <c r="AO67" s="1">
        <f t="shared" si="18"/>
        <v>0.70579272058757236</v>
      </c>
      <c r="AP67" s="1">
        <f t="shared" si="19"/>
        <v>0.42218425781318836</v>
      </c>
      <c r="AQ67" s="1">
        <f t="shared" si="20"/>
        <v>0.11068924623042874</v>
      </c>
      <c r="AR67" s="1">
        <f t="shared" si="21"/>
        <v>0.53287350404361711</v>
      </c>
      <c r="AS67" s="1">
        <f t="shared" si="6"/>
        <v>0.17291921654395526</v>
      </c>
      <c r="AU67" s="3">
        <v>66.616165490572143</v>
      </c>
      <c r="AW67" s="1">
        <f t="shared" si="7"/>
        <v>1.0594916645081587</v>
      </c>
      <c r="AX67" s="1">
        <f t="shared" si="22"/>
        <v>1.0686599918007667</v>
      </c>
      <c r="AY67" s="1">
        <f t="shared" si="23"/>
        <v>0.7999162067036597</v>
      </c>
      <c r="AZ67" s="22">
        <f t="shared" si="24"/>
        <v>0.25957545780449898</v>
      </c>
      <c r="BA67" s="1">
        <f t="shared" si="9"/>
        <v>0.26874378509710684</v>
      </c>
      <c r="BB67" s="3">
        <f t="shared" si="10"/>
        <v>21.770591265919577</v>
      </c>
      <c r="BC67" s="3">
        <v>0</v>
      </c>
      <c r="BD67" s="24">
        <v>1</v>
      </c>
      <c r="BE67" s="3">
        <v>0</v>
      </c>
      <c r="BF67" s="3">
        <v>0</v>
      </c>
      <c r="BG67" s="3">
        <v>0</v>
      </c>
      <c r="BH67" s="3">
        <v>0</v>
      </c>
      <c r="BJ67" s="1">
        <f t="shared" si="11"/>
        <v>1.1525453994090145</v>
      </c>
      <c r="BK67" s="1">
        <f t="shared" si="12"/>
        <v>1.1625189686171091</v>
      </c>
    </row>
    <row r="68" spans="1:63">
      <c r="A68">
        <v>1989</v>
      </c>
      <c r="B68" s="3">
        <f t="shared" si="0"/>
        <v>152.09874017388199</v>
      </c>
      <c r="C68" s="3">
        <f t="shared" si="1"/>
        <v>56.844608024141067</v>
      </c>
      <c r="D68" s="1">
        <v>106.279</v>
      </c>
      <c r="E68" s="3">
        <v>81.351849999999999</v>
      </c>
      <c r="F68" s="3">
        <f t="shared" si="13"/>
        <v>86.459932661499991</v>
      </c>
      <c r="G68" s="2">
        <v>0.97263997487640197</v>
      </c>
      <c r="H68" s="3">
        <f t="shared" si="14"/>
        <v>0.84094386731696757</v>
      </c>
      <c r="I68" s="7">
        <f>H68</f>
        <v>0.84094386731696757</v>
      </c>
      <c r="J68" s="7">
        <f t="shared" si="2"/>
        <v>0.81187499832315546</v>
      </c>
      <c r="Q68" s="32">
        <f t="shared" si="3"/>
        <v>0.22621390030826427</v>
      </c>
      <c r="R68" s="32">
        <f t="shared" si="4"/>
        <v>0.19714503131445213</v>
      </c>
      <c r="S68" s="27"/>
      <c r="T68">
        <f>USA!Z76*G68</f>
        <v>19.102649106572535</v>
      </c>
      <c r="U68">
        <v>0</v>
      </c>
      <c r="V68">
        <v>0</v>
      </c>
      <c r="W68">
        <v>0</v>
      </c>
      <c r="Y68" s="2">
        <v>0.73099999999999998</v>
      </c>
      <c r="Z68" s="2">
        <f t="shared" si="5"/>
        <v>0.48284500973976907</v>
      </c>
      <c r="AA68" s="2">
        <v>0.186</v>
      </c>
      <c r="AB68" s="2">
        <f t="shared" si="16"/>
        <v>0.13188495726893423</v>
      </c>
      <c r="AC68" s="2">
        <f t="shared" si="17"/>
        <v>0.6147299670087033</v>
      </c>
      <c r="AE68" s="4"/>
      <c r="AN68" s="9">
        <v>1989</v>
      </c>
      <c r="AO68" s="1">
        <f t="shared" si="18"/>
        <v>0.84094386731696757</v>
      </c>
      <c r="AP68" s="1">
        <f t="shared" si="19"/>
        <v>0.48284500973976907</v>
      </c>
      <c r="AQ68" s="1">
        <f t="shared" si="20"/>
        <v>0.13188495726893423</v>
      </c>
      <c r="AR68" s="1">
        <f t="shared" si="21"/>
        <v>0.6147299670087033</v>
      </c>
      <c r="AS68" s="1">
        <f t="shared" si="6"/>
        <v>0.22621390030826427</v>
      </c>
      <c r="AU68" s="3">
        <v>68.946600140252144</v>
      </c>
      <c r="AW68" s="1">
        <f t="shared" si="7"/>
        <v>1.2197031697085974</v>
      </c>
      <c r="AX68" s="1">
        <f t="shared" si="22"/>
        <v>1.1946889936811231</v>
      </c>
      <c r="AY68" s="1">
        <f t="shared" si="23"/>
        <v>0.89160301705698464</v>
      </c>
      <c r="AZ68" s="22">
        <f t="shared" si="24"/>
        <v>0.32810015265161274</v>
      </c>
      <c r="BA68" s="1">
        <f t="shared" si="9"/>
        <v>0.3030859766241385</v>
      </c>
      <c r="BB68" s="3">
        <f t="shared" si="10"/>
        <v>27.70644102495795</v>
      </c>
      <c r="BC68" s="3">
        <v>0</v>
      </c>
      <c r="BD68" s="24">
        <v>1</v>
      </c>
      <c r="BE68" s="3">
        <v>0</v>
      </c>
      <c r="BF68" s="3">
        <v>0</v>
      </c>
      <c r="BG68" s="3">
        <v>0</v>
      </c>
      <c r="BH68" s="3">
        <v>0</v>
      </c>
      <c r="BJ68" s="1">
        <f t="shared" si="11"/>
        <v>1.3268280666887788</v>
      </c>
      <c r="BK68" s="1">
        <f t="shared" si="12"/>
        <v>1.2996169290590587</v>
      </c>
    </row>
    <row r="69" spans="1:63">
      <c r="A69">
        <v>1990</v>
      </c>
      <c r="B69" s="3">
        <f t="shared" si="0"/>
        <v>149.59891755033743</v>
      </c>
      <c r="C69" s="3">
        <f t="shared" si="1"/>
        <v>59.913057002261802</v>
      </c>
      <c r="D69" s="1">
        <v>115.1</v>
      </c>
      <c r="E69" s="3">
        <v>85.743189999999998</v>
      </c>
      <c r="F69" s="3">
        <f t="shared" si="13"/>
        <v>98.690411690000005</v>
      </c>
      <c r="G69" s="2">
        <v>0.83012606009235357</v>
      </c>
      <c r="H69" s="3">
        <f t="shared" si="14"/>
        <v>0.81925482625112056</v>
      </c>
      <c r="I69" s="36">
        <f>L69</f>
        <v>0.7440360501567399</v>
      </c>
      <c r="J69" s="7">
        <f t="shared" si="2"/>
        <v>0.75056902723611119</v>
      </c>
      <c r="L69" s="3">
        <f t="shared" ref="L69:L77" si="25">L$79*M69/M$79</f>
        <v>0.7440360501567399</v>
      </c>
      <c r="M69" s="3">
        <v>87.1</v>
      </c>
      <c r="Q69" s="32">
        <f t="shared" si="3"/>
        <v>0.20014569749216304</v>
      </c>
      <c r="R69" s="32">
        <f t="shared" si="4"/>
        <v>0.20667867457153435</v>
      </c>
      <c r="S69" s="27"/>
      <c r="T69">
        <f>USA!Z77*G69</f>
        <v>20.362992254065436</v>
      </c>
      <c r="U69">
        <v>0</v>
      </c>
      <c r="V69">
        <v>0</v>
      </c>
      <c r="W69">
        <v>0</v>
      </c>
      <c r="Y69" s="2">
        <v>0.73099999999999998</v>
      </c>
      <c r="Z69" s="2">
        <f t="shared" si="5"/>
        <v>0.42720341731115896</v>
      </c>
      <c r="AA69" s="2">
        <v>0.186</v>
      </c>
      <c r="AB69" s="2">
        <f t="shared" si="16"/>
        <v>0.11668693535341791</v>
      </c>
      <c r="AC69" s="2">
        <f t="shared" si="17"/>
        <v>0.54389035266457686</v>
      </c>
      <c r="AE69" s="4"/>
      <c r="AN69" s="9">
        <v>1990</v>
      </c>
      <c r="AO69" s="1">
        <f t="shared" si="18"/>
        <v>0.7440360501567399</v>
      </c>
      <c r="AP69" s="1">
        <f t="shared" si="19"/>
        <v>0.42720341731115896</v>
      </c>
      <c r="AQ69" s="1">
        <f t="shared" si="20"/>
        <v>0.11668693535341791</v>
      </c>
      <c r="AR69" s="1">
        <f t="shared" si="21"/>
        <v>0.54389035266457686</v>
      </c>
      <c r="AS69" s="1">
        <f t="shared" si="6"/>
        <v>0.20014569749216304</v>
      </c>
      <c r="AU69" s="3">
        <v>71.17452471946622</v>
      </c>
      <c r="AW69" s="1">
        <f t="shared" si="7"/>
        <v>1.0453684841442239</v>
      </c>
      <c r="AX69" s="1">
        <f t="shared" si="22"/>
        <v>1.0724776104357163</v>
      </c>
      <c r="AY69" s="1">
        <f t="shared" si="23"/>
        <v>0.7641643619094276</v>
      </c>
      <c r="AZ69" s="22">
        <f t="shared" si="24"/>
        <v>0.28120412223479629</v>
      </c>
      <c r="BA69" s="1">
        <f t="shared" si="9"/>
        <v>0.30831324852628883</v>
      </c>
      <c r="BB69" s="3">
        <f t="shared" si="10"/>
        <v>28.609944828330075</v>
      </c>
      <c r="BC69" s="3">
        <v>0</v>
      </c>
      <c r="BD69" s="24">
        <v>1</v>
      </c>
      <c r="BE69" s="3">
        <v>0</v>
      </c>
      <c r="BF69" s="3">
        <v>0</v>
      </c>
      <c r="BG69" s="3">
        <v>0</v>
      </c>
      <c r="BH69" s="3">
        <v>0</v>
      </c>
      <c r="BJ69" s="1">
        <f t="shared" si="11"/>
        <v>1.13718179901577</v>
      </c>
      <c r="BK69" s="1">
        <f t="shared" si="12"/>
        <v>1.1666718835873764</v>
      </c>
    </row>
    <row r="70" spans="1:63">
      <c r="A70">
        <v>1991</v>
      </c>
      <c r="B70" s="3">
        <f t="shared" si="0"/>
        <v>140.10379510957233</v>
      </c>
      <c r="C70" s="3">
        <f t="shared" si="1"/>
        <v>62.450351141377027</v>
      </c>
      <c r="D70" s="1">
        <v>110.401</v>
      </c>
      <c r="E70" s="3">
        <v>89.374380000000002</v>
      </c>
      <c r="F70" s="3">
        <f t="shared" si="13"/>
        <v>98.670209263800004</v>
      </c>
      <c r="G70" s="2">
        <v>0.86013564913553786</v>
      </c>
      <c r="H70" s="3">
        <f t="shared" si="14"/>
        <v>0.84869764495457967</v>
      </c>
      <c r="I70" s="36">
        <f t="shared" ref="I70:I77" si="26">L70</f>
        <v>0.75257836990595617</v>
      </c>
      <c r="J70" s="7">
        <f t="shared" si="2"/>
        <v>0.72336082087040565</v>
      </c>
      <c r="L70" s="3">
        <f t="shared" si="25"/>
        <v>0.75257836990595617</v>
      </c>
      <c r="M70" s="3">
        <v>88.1</v>
      </c>
      <c r="Q70" s="32">
        <f t="shared" si="3"/>
        <v>0.22201061912225706</v>
      </c>
      <c r="R70" s="32">
        <f t="shared" si="4"/>
        <v>0.19279307008670657</v>
      </c>
      <c r="S70" s="27"/>
      <c r="T70">
        <f>USA!Z78*G70</f>
        <v>18.527321882379486</v>
      </c>
      <c r="U70">
        <v>0</v>
      </c>
      <c r="V70">
        <v>0</v>
      </c>
      <c r="W70">
        <v>0</v>
      </c>
      <c r="Y70" s="2">
        <v>0.70499999999999996</v>
      </c>
      <c r="Z70" s="2">
        <f t="shared" si="5"/>
        <v>0.41254112616101124</v>
      </c>
      <c r="AA70" s="2">
        <v>0.186</v>
      </c>
      <c r="AB70" s="2">
        <f t="shared" si="16"/>
        <v>0.1180266246226879</v>
      </c>
      <c r="AC70" s="2">
        <f t="shared" si="17"/>
        <v>0.53056775078369911</v>
      </c>
      <c r="AE70" s="4"/>
      <c r="AN70" s="9">
        <v>1991</v>
      </c>
      <c r="AO70" s="1">
        <f t="shared" si="18"/>
        <v>0.75257836990595617</v>
      </c>
      <c r="AP70" s="1">
        <f t="shared" si="19"/>
        <v>0.41254112616101124</v>
      </c>
      <c r="AQ70" s="1">
        <f t="shared" si="20"/>
        <v>0.1180266246226879</v>
      </c>
      <c r="AR70" s="1">
        <f t="shared" si="21"/>
        <v>0.53056775078369911</v>
      </c>
      <c r="AS70" s="1">
        <f t="shared" si="6"/>
        <v>0.22201061912225706</v>
      </c>
      <c r="AU70" s="3">
        <v>73.465372883170602</v>
      </c>
      <c r="AW70" s="1">
        <f t="shared" si="7"/>
        <v>1.0243987614447354</v>
      </c>
      <c r="AX70" s="1">
        <f t="shared" si="22"/>
        <v>1.0108965787463742</v>
      </c>
      <c r="AY70" s="1">
        <f t="shared" si="23"/>
        <v>0.72220112681853854</v>
      </c>
      <c r="AZ70" s="22">
        <f t="shared" si="24"/>
        <v>0.30219763462619686</v>
      </c>
      <c r="BA70" s="1">
        <f t="shared" si="9"/>
        <v>0.28869545192783552</v>
      </c>
      <c r="BB70" s="3">
        <f t="shared" si="10"/>
        <v>25.21912181925876</v>
      </c>
      <c r="BC70" s="3">
        <v>0</v>
      </c>
      <c r="BD70" s="24">
        <v>1</v>
      </c>
      <c r="BE70" s="3">
        <v>0</v>
      </c>
      <c r="BF70" s="3">
        <v>0</v>
      </c>
      <c r="BG70" s="3">
        <v>0</v>
      </c>
      <c r="BH70" s="3">
        <v>0</v>
      </c>
      <c r="BJ70" s="1">
        <f t="shared" si="11"/>
        <v>1.1143703336368538</v>
      </c>
      <c r="BK70" s="1">
        <f t="shared" si="12"/>
        <v>1.0996822723030251</v>
      </c>
    </row>
    <row r="71" spans="1:63">
      <c r="A71">
        <v>1992</v>
      </c>
      <c r="B71" s="3">
        <f t="shared" si="0"/>
        <v>140.49028066205312</v>
      </c>
      <c r="C71" s="3">
        <f t="shared" si="1"/>
        <v>64.341860498266513</v>
      </c>
      <c r="D71" s="1">
        <v>98.912499999999994</v>
      </c>
      <c r="E71" s="3">
        <v>92.081370000000007</v>
      </c>
      <c r="F71" s="3">
        <f t="shared" si="13"/>
        <v>91.079985101250003</v>
      </c>
      <c r="G71" s="2">
        <v>0.80703765643174785</v>
      </c>
      <c r="H71" s="3">
        <f t="shared" si="14"/>
        <v>0.73504977723951315</v>
      </c>
      <c r="I71" s="7">
        <f t="shared" si="26"/>
        <v>0.72951410658307225</v>
      </c>
      <c r="J71" s="7">
        <f t="shared" si="2"/>
        <v>0.71155582640642112</v>
      </c>
      <c r="L71" s="3">
        <f t="shared" si="25"/>
        <v>0.72951410658307225</v>
      </c>
      <c r="M71" s="3">
        <v>85.4</v>
      </c>
      <c r="Q71" s="32">
        <f t="shared" si="3"/>
        <v>0.19623929467084644</v>
      </c>
      <c r="R71" s="32">
        <f t="shared" si="4"/>
        <v>0.17828101449419531</v>
      </c>
      <c r="S71" s="27"/>
      <c r="T71">
        <f>USA!Z79*G71</f>
        <v>16.608834969365368</v>
      </c>
      <c r="U71">
        <v>0</v>
      </c>
      <c r="V71">
        <v>0</v>
      </c>
      <c r="W71">
        <v>0</v>
      </c>
      <c r="Y71" s="2">
        <v>0.73099999999999998</v>
      </c>
      <c r="Z71" s="2">
        <v>0.436</v>
      </c>
      <c r="AA71" s="2">
        <v>0.186</v>
      </c>
      <c r="AB71" s="2">
        <f t="shared" si="16"/>
        <v>0.11440946359565889</v>
      </c>
      <c r="AC71" s="2">
        <f t="shared" si="17"/>
        <v>0.53327481191222581</v>
      </c>
      <c r="AE71" s="4"/>
      <c r="AN71" s="9">
        <v>1992</v>
      </c>
      <c r="AO71" s="1">
        <f t="shared" si="18"/>
        <v>0.72951410658307225</v>
      </c>
      <c r="AP71" s="1">
        <f t="shared" si="19"/>
        <v>0.436</v>
      </c>
      <c r="AQ71" s="1">
        <f t="shared" si="20"/>
        <v>0.11440946359565889</v>
      </c>
      <c r="AR71" s="1">
        <f t="shared" si="21"/>
        <v>0.53327481191222581</v>
      </c>
      <c r="AS71" s="1">
        <f t="shared" si="6"/>
        <v>0.19623929467084644</v>
      </c>
      <c r="AU71" s="3">
        <v>75.233384669747153</v>
      </c>
      <c r="AW71" s="1">
        <f t="shared" si="7"/>
        <v>0.9696680666241837</v>
      </c>
      <c r="AX71" s="1">
        <f t="shared" si="22"/>
        <v>0.97934050793274252</v>
      </c>
      <c r="AY71" s="1">
        <f t="shared" si="23"/>
        <v>0.70882735670227826</v>
      </c>
      <c r="AZ71" s="22">
        <f t="shared" si="24"/>
        <v>0.26084070992190544</v>
      </c>
      <c r="BA71" s="1">
        <f t="shared" si="9"/>
        <v>0.27051315123046427</v>
      </c>
      <c r="BB71" s="3">
        <f t="shared" si="10"/>
        <v>22.076415998394012</v>
      </c>
      <c r="BC71" s="3">
        <v>0</v>
      </c>
      <c r="BD71" s="24">
        <v>1</v>
      </c>
      <c r="BE71" s="3">
        <v>0</v>
      </c>
      <c r="BF71" s="3">
        <v>0</v>
      </c>
      <c r="BG71" s="3">
        <v>0</v>
      </c>
      <c r="BH71" s="3">
        <v>0</v>
      </c>
      <c r="BJ71" s="1">
        <f t="shared" si="11"/>
        <v>1.0548327151401866</v>
      </c>
      <c r="BK71" s="1">
        <f t="shared" si="12"/>
        <v>1.0653546740235615</v>
      </c>
    </row>
    <row r="72" spans="1:63">
      <c r="A72">
        <v>1993</v>
      </c>
      <c r="B72" s="3">
        <f t="shared" si="0"/>
        <v>131.44458320925671</v>
      </c>
      <c r="C72" s="3">
        <f t="shared" si="1"/>
        <v>66.241014180537462</v>
      </c>
      <c r="D72" s="1">
        <v>91.045000000000002</v>
      </c>
      <c r="E72" s="3">
        <v>94.799300000000002</v>
      </c>
      <c r="F72" s="3">
        <f t="shared" si="13"/>
        <v>86.310022685000007</v>
      </c>
      <c r="G72" s="2">
        <v>0.86335384788941971</v>
      </c>
      <c r="H72" s="3">
        <f t="shared" si="14"/>
        <v>0.7451609019651787</v>
      </c>
      <c r="I72" s="7">
        <f>L72</f>
        <v>0.75172413793103454</v>
      </c>
      <c r="J72" s="7">
        <f t="shared" si="2"/>
        <v>0.75769964570249515</v>
      </c>
      <c r="L72" s="3">
        <f t="shared" si="25"/>
        <v>0.75172413793103454</v>
      </c>
      <c r="M72" s="3">
        <v>88</v>
      </c>
      <c r="N72" s="4"/>
      <c r="O72" s="3"/>
      <c r="Q72" s="32">
        <f t="shared" si="3"/>
        <v>0.16703148223527364</v>
      </c>
      <c r="R72" s="32">
        <f t="shared" si="4"/>
        <v>0.17300699000673422</v>
      </c>
      <c r="S72" s="27"/>
      <c r="T72">
        <f>USA!Z80*G72</f>
        <v>15.911611416602005</v>
      </c>
      <c r="U72">
        <v>0</v>
      </c>
      <c r="V72">
        <v>0</v>
      </c>
      <c r="W72">
        <v>0</v>
      </c>
      <c r="Y72" s="2">
        <v>0.755</v>
      </c>
      <c r="Z72" s="32">
        <v>0.46679999999999999</v>
      </c>
      <c r="AA72" s="2">
        <v>0.186</v>
      </c>
      <c r="AB72" s="2">
        <f t="shared" si="16"/>
        <v>0.11789265569576092</v>
      </c>
      <c r="AC72" s="2">
        <f t="shared" ref="AC72:AC97" si="27">Z72+AB72</f>
        <v>0.5846926556957609</v>
      </c>
      <c r="AE72" s="4"/>
      <c r="AN72" s="9">
        <v>1993</v>
      </c>
      <c r="AO72" s="1">
        <f t="shared" si="18"/>
        <v>0.75172413793103454</v>
      </c>
      <c r="AP72" s="1">
        <f t="shared" si="19"/>
        <v>0.46679999999999999</v>
      </c>
      <c r="AQ72" s="1">
        <f t="shared" si="20"/>
        <v>0.11789265569576092</v>
      </c>
      <c r="AR72" s="1">
        <f t="shared" si="21"/>
        <v>0.5846926556957609</v>
      </c>
      <c r="AS72" s="1">
        <f t="shared" si="6"/>
        <v>0.16703148223527364</v>
      </c>
      <c r="AU72" s="3">
        <v>76.795013815677109</v>
      </c>
      <c r="AW72" s="1">
        <f t="shared" si="7"/>
        <v>0.97887102375594048</v>
      </c>
      <c r="AX72" s="1">
        <f t="shared" si="22"/>
        <v>0.99276684866585907</v>
      </c>
      <c r="AY72" s="1">
        <f t="shared" si="23"/>
        <v>0.76136799336886163</v>
      </c>
      <c r="AZ72" s="22">
        <f t="shared" si="24"/>
        <v>0.21750303038707886</v>
      </c>
      <c r="BA72" s="1">
        <f t="shared" si="9"/>
        <v>0.23139885529699741</v>
      </c>
      <c r="BB72" s="3">
        <f t="shared" si="10"/>
        <v>20.719589236344106</v>
      </c>
      <c r="BC72" s="3">
        <v>0</v>
      </c>
      <c r="BD72" s="24">
        <v>1</v>
      </c>
      <c r="BE72" s="3">
        <v>0</v>
      </c>
      <c r="BF72" s="24">
        <v>0.35</v>
      </c>
      <c r="BG72" s="3">
        <v>0</v>
      </c>
      <c r="BH72" s="3">
        <v>0</v>
      </c>
      <c r="BJ72" s="1">
        <f t="shared" si="11"/>
        <v>1.0648439556798548</v>
      </c>
      <c r="BK72" s="1">
        <f t="shared" si="12"/>
        <v>1.0799602322938429</v>
      </c>
    </row>
    <row r="73" spans="1:63">
      <c r="A73">
        <v>1994</v>
      </c>
      <c r="B73" s="3">
        <f t="shared" si="0"/>
        <v>133.7881199314586</v>
      </c>
      <c r="C73" s="3">
        <f t="shared" si="1"/>
        <v>67.968212466727536</v>
      </c>
      <c r="D73" s="1">
        <v>100.56399999999999</v>
      </c>
      <c r="E73" s="3">
        <v>97.271140000000003</v>
      </c>
      <c r="F73" s="3">
        <f t="shared" si="13"/>
        <v>97.819749229600006</v>
      </c>
      <c r="G73" s="2">
        <v>0.8464030416627919</v>
      </c>
      <c r="H73" s="3">
        <f t="shared" si="14"/>
        <v>0.82794933282624994</v>
      </c>
      <c r="I73" s="7">
        <f t="shared" si="26"/>
        <v>0.76966300940438881</v>
      </c>
      <c r="J73" s="7">
        <f t="shared" si="2"/>
        <v>0.79047483943895291</v>
      </c>
      <c r="L73" s="3">
        <f t="shared" si="25"/>
        <v>0.76966300940438881</v>
      </c>
      <c r="M73" s="3">
        <v>90.1</v>
      </c>
      <c r="N73" s="4"/>
      <c r="O73" s="3"/>
      <c r="Q73" s="32">
        <f t="shared" si="3"/>
        <v>0.14195700624316088</v>
      </c>
      <c r="R73" s="32">
        <f t="shared" si="4"/>
        <v>0.16276883627772498</v>
      </c>
      <c r="S73" s="27"/>
      <c r="T73">
        <f>USA!Z81*G73</f>
        <v>14.55813231660002</v>
      </c>
      <c r="U73">
        <v>0</v>
      </c>
      <c r="V73">
        <v>0</v>
      </c>
      <c r="W73">
        <v>0</v>
      </c>
      <c r="Y73" s="2">
        <v>0.79</v>
      </c>
      <c r="Z73" s="32">
        <v>0.50700000000000001</v>
      </c>
      <c r="AA73" s="2">
        <v>0.186</v>
      </c>
      <c r="AB73" s="2">
        <f t="shared" si="16"/>
        <v>0.12070600316122794</v>
      </c>
      <c r="AC73" s="2">
        <f t="shared" si="27"/>
        <v>0.62770600316122793</v>
      </c>
      <c r="AE73" s="4"/>
      <c r="AN73" s="9">
        <v>1994</v>
      </c>
      <c r="AO73" s="1">
        <f t="shared" si="18"/>
        <v>0.76966300940438881</v>
      </c>
      <c r="AP73" s="1">
        <f t="shared" si="19"/>
        <v>0.50700000000000001</v>
      </c>
      <c r="AQ73" s="1">
        <f t="shared" si="20"/>
        <v>0.12070600316122794</v>
      </c>
      <c r="AR73" s="1">
        <f t="shared" si="21"/>
        <v>0.62770600316122793</v>
      </c>
      <c r="AS73" s="1">
        <f t="shared" si="6"/>
        <v>0.14195700624316088</v>
      </c>
      <c r="AU73" s="3">
        <v>78.074586926926543</v>
      </c>
      <c r="AW73" s="1">
        <f t="shared" si="7"/>
        <v>0.98580477937686739</v>
      </c>
      <c r="AX73" s="1">
        <f t="shared" si="22"/>
        <v>0.99212272900222209</v>
      </c>
      <c r="AY73" s="1">
        <f t="shared" si="23"/>
        <v>0.80398248376097814</v>
      </c>
      <c r="AZ73" s="22">
        <f t="shared" si="24"/>
        <v>0.18182229561588925</v>
      </c>
      <c r="BA73" s="1">
        <f t="shared" si="9"/>
        <v>0.1881402452412439</v>
      </c>
      <c r="BB73" s="3">
        <f t="shared" si="10"/>
        <v>18.646441677911945</v>
      </c>
      <c r="BC73" s="3">
        <v>0</v>
      </c>
      <c r="BD73" s="24">
        <v>1</v>
      </c>
      <c r="BE73" s="3">
        <v>0</v>
      </c>
      <c r="BF73" s="24">
        <v>0.7</v>
      </c>
      <c r="BG73" s="3">
        <v>0</v>
      </c>
      <c r="BH73" s="3">
        <v>0</v>
      </c>
      <c r="BJ73" s="1">
        <f t="shared" si="11"/>
        <v>1.0723866937770306</v>
      </c>
      <c r="BK73" s="1">
        <f t="shared" si="12"/>
        <v>1.0792595404622198</v>
      </c>
    </row>
    <row r="74" spans="1:63">
      <c r="A74">
        <v>1995</v>
      </c>
      <c r="B74" s="3">
        <f t="shared" si="0"/>
        <v>149.4111351127556</v>
      </c>
      <c r="C74" s="3">
        <f t="shared" si="1"/>
        <v>69.875003486879606</v>
      </c>
      <c r="D74" s="1">
        <v>104.3</v>
      </c>
      <c r="E74" s="3">
        <v>100</v>
      </c>
      <c r="F74" s="3">
        <f t="shared" si="13"/>
        <v>104.3</v>
      </c>
      <c r="G74" s="2">
        <v>0.76094622056018923</v>
      </c>
      <c r="H74" s="3">
        <f t="shared" si="14"/>
        <v>0.79366690804427731</v>
      </c>
      <c r="I74" s="7">
        <f t="shared" si="26"/>
        <v>0.79443573667711609</v>
      </c>
      <c r="J74" s="7">
        <f t="shared" si="2"/>
        <v>0.801470987933114</v>
      </c>
      <c r="L74" s="3">
        <f t="shared" si="25"/>
        <v>0.79443573667711609</v>
      </c>
      <c r="M74" s="3">
        <v>93</v>
      </c>
      <c r="N74" s="3">
        <f>G74*O74/100</f>
        <v>0.89030707805542131</v>
      </c>
      <c r="O74" s="6">
        <v>117</v>
      </c>
      <c r="Q74" s="32">
        <f t="shared" si="3"/>
        <v>0.11524392698755526</v>
      </c>
      <c r="R74" s="32">
        <f t="shared" si="4"/>
        <v>0.12227917824355312</v>
      </c>
      <c r="S74" s="27"/>
      <c r="T74">
        <f>USA!Z82*G74</f>
        <v>14.024238844924287</v>
      </c>
      <c r="U74">
        <v>0</v>
      </c>
      <c r="V74">
        <v>1</v>
      </c>
      <c r="W74">
        <v>0</v>
      </c>
      <c r="Y74" s="2">
        <v>0.81</v>
      </c>
      <c r="Z74" s="32">
        <v>0.54900000000000004</v>
      </c>
      <c r="AA74" s="2">
        <v>0.19600000000000001</v>
      </c>
      <c r="AB74" s="2">
        <f t="shared" si="16"/>
        <v>0.13019180968956084</v>
      </c>
      <c r="AC74" s="2">
        <f t="shared" si="27"/>
        <v>0.67919180968956083</v>
      </c>
      <c r="AE74" s="4"/>
      <c r="AN74" s="9">
        <v>1995</v>
      </c>
      <c r="AO74" s="1">
        <f t="shared" si="18"/>
        <v>0.79443573667711609</v>
      </c>
      <c r="AP74" s="1">
        <f t="shared" si="19"/>
        <v>0.54900000000000004</v>
      </c>
      <c r="AQ74" s="1">
        <f t="shared" si="20"/>
        <v>0.13019180968956084</v>
      </c>
      <c r="AR74" s="1">
        <f t="shared" si="21"/>
        <v>0.67919180968956083</v>
      </c>
      <c r="AS74" s="1">
        <f t="shared" si="6"/>
        <v>0.11524392698755526</v>
      </c>
      <c r="AU74" s="3">
        <v>79.471110186271957</v>
      </c>
      <c r="AW74" s="1">
        <f t="shared" si="7"/>
        <v>0.99965350278238463</v>
      </c>
      <c r="AX74" s="1">
        <f t="shared" si="22"/>
        <v>1.0101996367755106</v>
      </c>
      <c r="AY74" s="1">
        <f t="shared" si="23"/>
        <v>0.8546398912732015</v>
      </c>
      <c r="AZ74" s="22">
        <f t="shared" si="24"/>
        <v>0.14501361150918313</v>
      </c>
      <c r="BA74" s="1">
        <f t="shared" si="9"/>
        <v>0.15555974550230922</v>
      </c>
      <c r="BB74" s="3">
        <f t="shared" si="10"/>
        <v>17.646964805264378</v>
      </c>
      <c r="BC74" s="3">
        <v>0</v>
      </c>
      <c r="BD74" s="24">
        <v>1</v>
      </c>
      <c r="BE74" s="3">
        <v>0</v>
      </c>
      <c r="BF74" s="24">
        <v>1</v>
      </c>
      <c r="BG74" s="3">
        <v>0</v>
      </c>
      <c r="BH74" s="3">
        <v>0</v>
      </c>
      <c r="BJ74" s="1">
        <f t="shared" si="11"/>
        <v>1.0874517320245247</v>
      </c>
      <c r="BK74" s="1">
        <f t="shared" si="12"/>
        <v>1.0989241188516274</v>
      </c>
    </row>
    <row r="75" spans="1:63">
      <c r="A75">
        <v>1996</v>
      </c>
      <c r="B75" s="3">
        <f t="shared" si="0"/>
        <v>152.60200881682383</v>
      </c>
      <c r="C75" s="3">
        <f t="shared" si="1"/>
        <v>71.923179589087013</v>
      </c>
      <c r="D75" s="1">
        <v>117.515</v>
      </c>
      <c r="E75" s="3">
        <v>102.9312</v>
      </c>
      <c r="F75" s="3">
        <f t="shared" si="13"/>
        <v>120.95959968000001</v>
      </c>
      <c r="G75" s="2">
        <v>0.77985599665831762</v>
      </c>
      <c r="H75" s="3">
        <f t="shared" si="14"/>
        <v>0.94331069163837522</v>
      </c>
      <c r="I75" s="36">
        <f>L75</f>
        <v>0.85594043887147353</v>
      </c>
      <c r="J75" s="7">
        <f t="shared" si="2"/>
        <v>0.86088843052220132</v>
      </c>
      <c r="L75" s="3">
        <f t="shared" si="25"/>
        <v>0.85594043887147353</v>
      </c>
      <c r="M75" s="3">
        <v>100.2</v>
      </c>
      <c r="N75" s="3">
        <f t="shared" ref="N75:N86" si="28">G75*O75/100</f>
        <v>0.89683439615706528</v>
      </c>
      <c r="O75" s="3">
        <f>O74+(O$77-O$74)/3</f>
        <v>115</v>
      </c>
      <c r="Q75" s="32">
        <f t="shared" si="3"/>
        <v>0.14173502393986204</v>
      </c>
      <c r="R75" s="32">
        <f t="shared" si="4"/>
        <v>0.14668301559058977</v>
      </c>
      <c r="S75" s="27"/>
      <c r="T75">
        <f>USA!Z83*G75</f>
        <v>17.250414646081985</v>
      </c>
      <c r="U75">
        <v>0</v>
      </c>
      <c r="V75">
        <v>1</v>
      </c>
      <c r="W75">
        <v>0</v>
      </c>
      <c r="Y75" s="2">
        <v>0.8</v>
      </c>
      <c r="Z75" s="32">
        <v>0.56799999999999995</v>
      </c>
      <c r="AA75" s="2">
        <v>0.20599999999999999</v>
      </c>
      <c r="AB75" s="2">
        <f t="shared" si="16"/>
        <v>0.14620541493161157</v>
      </c>
      <c r="AC75" s="2">
        <f t="shared" si="27"/>
        <v>0.71420541493161149</v>
      </c>
      <c r="AE75" s="4"/>
      <c r="AN75" s="9">
        <v>1996</v>
      </c>
      <c r="AO75" s="1">
        <f t="shared" si="18"/>
        <v>0.85594043887147353</v>
      </c>
      <c r="AP75" s="1">
        <f t="shared" si="19"/>
        <v>0.56799999999999995</v>
      </c>
      <c r="AQ75" s="1">
        <f t="shared" si="20"/>
        <v>0.14620541493161157</v>
      </c>
      <c r="AR75" s="1">
        <f t="shared" si="21"/>
        <v>0.71420541493161149</v>
      </c>
      <c r="AS75" s="1">
        <f t="shared" si="6"/>
        <v>0.14173502393986204</v>
      </c>
      <c r="AU75" s="3">
        <v>81.060257419956145</v>
      </c>
      <c r="AW75" s="1">
        <f t="shared" si="7"/>
        <v>1.0559310642662114</v>
      </c>
      <c r="AX75" s="1">
        <f t="shared" si="22"/>
        <v>1.0576641546065921</v>
      </c>
      <c r="AY75" s="1">
        <f t="shared" si="23"/>
        <v>0.88107962849348409</v>
      </c>
      <c r="AZ75" s="22">
        <f t="shared" si="24"/>
        <v>0.17485143577272733</v>
      </c>
      <c r="BA75" s="1">
        <f t="shared" si="9"/>
        <v>0.17658452611310807</v>
      </c>
      <c r="BB75" s="3">
        <f t="shared" si="10"/>
        <v>21.280976886998047</v>
      </c>
      <c r="BC75" s="3">
        <v>0</v>
      </c>
      <c r="BD75" s="24">
        <v>1</v>
      </c>
      <c r="BE75" s="3">
        <v>0</v>
      </c>
      <c r="BF75" s="24">
        <v>1</v>
      </c>
      <c r="BG75" s="3">
        <v>0</v>
      </c>
      <c r="BH75" s="3">
        <v>0</v>
      </c>
      <c r="BJ75" s="1">
        <f t="shared" si="11"/>
        <v>1.148672076413221</v>
      </c>
      <c r="BK75" s="1">
        <f t="shared" si="12"/>
        <v>1.1505573817586796</v>
      </c>
    </row>
    <row r="76" spans="1:63">
      <c r="A76">
        <v>1997</v>
      </c>
      <c r="B76" s="3">
        <f t="shared" si="0"/>
        <v>136.03931554459351</v>
      </c>
      <c r="C76" s="3">
        <f t="shared" si="1"/>
        <v>73.604511922988308</v>
      </c>
      <c r="D76" s="1">
        <v>97.401300000000006</v>
      </c>
      <c r="E76" s="3">
        <v>105.3374</v>
      </c>
      <c r="F76" s="3">
        <f t="shared" si="13"/>
        <v>102.5999969862</v>
      </c>
      <c r="G76" s="2">
        <v>0.88979765441942082</v>
      </c>
      <c r="H76" s="3">
        <f t="shared" si="14"/>
        <v>0.91293236661760402</v>
      </c>
      <c r="I76" s="36">
        <f t="shared" si="26"/>
        <v>0.89096394984326033</v>
      </c>
      <c r="J76" s="7">
        <f t="shared" si="2"/>
        <v>0.8841032544098566</v>
      </c>
      <c r="L76" s="3">
        <f t="shared" si="25"/>
        <v>0.89096394984326033</v>
      </c>
      <c r="M76" s="3">
        <v>104.3</v>
      </c>
      <c r="N76" s="3">
        <f t="shared" si="28"/>
        <v>1.0054713494939456</v>
      </c>
      <c r="O76" s="3">
        <f>O75+(O$77-O$74)/3</f>
        <v>113</v>
      </c>
      <c r="Q76" s="32">
        <f t="shared" si="3"/>
        <v>0.16177607781364878</v>
      </c>
      <c r="R76" s="32">
        <f t="shared" si="4"/>
        <v>0.15491538238024499</v>
      </c>
      <c r="S76" s="27"/>
      <c r="T76">
        <f>USA!Z84*G76</f>
        <v>18.338729657584263</v>
      </c>
      <c r="U76">
        <v>0</v>
      </c>
      <c r="V76">
        <v>1</v>
      </c>
      <c r="W76">
        <v>0</v>
      </c>
      <c r="Y76" s="2">
        <v>0.79</v>
      </c>
      <c r="Z76" s="32">
        <v>0.57699999999999996</v>
      </c>
      <c r="AA76" s="2">
        <v>0.20599999999999999</v>
      </c>
      <c r="AB76" s="2">
        <f t="shared" si="16"/>
        <v>0.15218787202961162</v>
      </c>
      <c r="AC76" s="2">
        <f t="shared" si="27"/>
        <v>0.72918787202961155</v>
      </c>
      <c r="AE76" s="4"/>
      <c r="AN76" s="9">
        <v>1997</v>
      </c>
      <c r="AO76" s="1">
        <f t="shared" si="18"/>
        <v>0.89096394984326033</v>
      </c>
      <c r="AP76" s="1">
        <f t="shared" si="19"/>
        <v>0.57699999999999996</v>
      </c>
      <c r="AQ76" s="1">
        <f t="shared" si="20"/>
        <v>0.15218787202961162</v>
      </c>
      <c r="AR76" s="1">
        <f t="shared" si="21"/>
        <v>0.72918787202961155</v>
      </c>
      <c r="AS76" s="1">
        <f t="shared" ref="AS76:AS96" si="29">AO76-AR76</f>
        <v>0.16177607781364878</v>
      </c>
      <c r="AU76" s="3">
        <v>82.023376489696503</v>
      </c>
      <c r="AW76" s="1">
        <f t="shared" ref="AW76:AW96" si="30">AO76/$AU76*100</f>
        <v>1.0862317402346637</v>
      </c>
      <c r="AX76" s="1">
        <f t="shared" si="22"/>
        <v>1.0718153697559445</v>
      </c>
      <c r="AY76" s="1">
        <f t="shared" si="23"/>
        <v>0.88900006709820045</v>
      </c>
      <c r="AZ76" s="22">
        <f t="shared" si="24"/>
        <v>0.19723167313646328</v>
      </c>
      <c r="BA76" s="1">
        <f t="shared" ref="BA76:BA97" si="31">AX$99+AX$100*BB76+AX$101*BC76+AX$102*BD76+AX$103*BE76+AX$104*BF76+AX$105*BG76+AX$106*BH76</f>
        <v>0.18281530265774407</v>
      </c>
      <c r="BB76" s="3">
        <f t="shared" ref="BB76:BB96" si="32">T76/AU76*100</f>
        <v>22.357930680758933</v>
      </c>
      <c r="BC76" s="3">
        <v>0</v>
      </c>
      <c r="BD76" s="24">
        <v>1</v>
      </c>
      <c r="BE76" s="3">
        <v>0</v>
      </c>
      <c r="BF76" s="24">
        <v>1</v>
      </c>
      <c r="BG76" s="3">
        <v>0</v>
      </c>
      <c r="BH76" s="3">
        <v>0</v>
      </c>
      <c r="BJ76" s="1">
        <f t="shared" si="11"/>
        <v>1.1816340201984372</v>
      </c>
      <c r="BK76" s="1">
        <f t="shared" si="12"/>
        <v>1.1659514791950238</v>
      </c>
    </row>
    <row r="77" spans="1:63">
      <c r="A77">
        <v>1998</v>
      </c>
      <c r="B77" s="3">
        <f t="shared" si="0"/>
        <v>127.06926813774042</v>
      </c>
      <c r="C77" s="3">
        <f t="shared" si="1"/>
        <v>74.747038105002289</v>
      </c>
      <c r="D77" s="1">
        <v>100.175</v>
      </c>
      <c r="E77" s="3">
        <v>106.9725</v>
      </c>
      <c r="F77" s="3">
        <f t="shared" si="13"/>
        <v>107.159701875</v>
      </c>
      <c r="G77" s="2">
        <v>0.89937602617244727</v>
      </c>
      <c r="H77" s="3">
        <f t="shared" si="14"/>
        <v>0.96376866838161646</v>
      </c>
      <c r="I77" s="36">
        <f t="shared" si="26"/>
        <v>0.85423197492163028</v>
      </c>
      <c r="J77" s="7">
        <f t="shared" si="2"/>
        <v>0.84921061541163201</v>
      </c>
      <c r="L77" s="3">
        <f t="shared" si="25"/>
        <v>0.85423197492163028</v>
      </c>
      <c r="M77" s="3">
        <v>100</v>
      </c>
      <c r="N77" s="3">
        <f t="shared" si="28"/>
        <v>0.99830738905141647</v>
      </c>
      <c r="O77" s="6">
        <v>111</v>
      </c>
      <c r="Q77" s="32">
        <f t="shared" si="3"/>
        <v>0.119318387165531</v>
      </c>
      <c r="R77" s="32">
        <f t="shared" si="4"/>
        <v>0.11429702765553275</v>
      </c>
      <c r="S77" s="27"/>
      <c r="T77">
        <f>USA!Z85*G77</f>
        <v>12.969002297406689</v>
      </c>
      <c r="U77">
        <v>0</v>
      </c>
      <c r="V77">
        <v>1</v>
      </c>
      <c r="W77">
        <v>0</v>
      </c>
      <c r="Y77" s="2">
        <v>0.79</v>
      </c>
      <c r="Z77" s="32">
        <v>0.58899999999999997</v>
      </c>
      <c r="AA77" s="2">
        <v>0.20599999999999999</v>
      </c>
      <c r="AB77" s="2">
        <f t="shared" si="16"/>
        <v>0.14591358775609936</v>
      </c>
      <c r="AC77" s="2">
        <f t="shared" si="27"/>
        <v>0.73491358775609927</v>
      </c>
      <c r="AE77" s="4"/>
      <c r="AN77" s="9">
        <v>1998</v>
      </c>
      <c r="AO77" s="1">
        <f t="shared" si="18"/>
        <v>0.85423197492163028</v>
      </c>
      <c r="AP77" s="1">
        <f t="shared" si="19"/>
        <v>0.58899999999999997</v>
      </c>
      <c r="AQ77" s="1">
        <f t="shared" si="20"/>
        <v>0.14591358775609936</v>
      </c>
      <c r="AR77" s="1">
        <f t="shared" ref="AR77:AR96" si="33">AC77</f>
        <v>0.73491358775609927</v>
      </c>
      <c r="AS77" s="1">
        <f t="shared" si="29"/>
        <v>0.119318387165531</v>
      </c>
      <c r="AU77" s="3">
        <v>82.546212766935298</v>
      </c>
      <c r="AW77" s="1">
        <f t="shared" si="30"/>
        <v>1.03485301903978</v>
      </c>
      <c r="AX77" s="1">
        <f t="shared" si="22"/>
        <v>1.0346659216051304</v>
      </c>
      <c r="AY77" s="1">
        <f t="shared" si="23"/>
        <v>0.8903056398615008</v>
      </c>
      <c r="AZ77" s="22">
        <f t="shared" si="24"/>
        <v>0.1445473791782792</v>
      </c>
      <c r="BA77" s="1">
        <f t="shared" si="31"/>
        <v>0.14436028174362958</v>
      </c>
      <c r="BB77" s="3">
        <f t="shared" si="32"/>
        <v>15.711202080250436</v>
      </c>
      <c r="BC77" s="3">
        <v>0</v>
      </c>
      <c r="BD77" s="24">
        <v>1</v>
      </c>
      <c r="BE77" s="3">
        <v>0</v>
      </c>
      <c r="BF77" s="24">
        <v>1</v>
      </c>
      <c r="BG77" s="3">
        <v>0</v>
      </c>
      <c r="BH77" s="3">
        <v>0</v>
      </c>
      <c r="BJ77" s="1">
        <f t="shared" si="11"/>
        <v>1.1257427746847961</v>
      </c>
      <c r="BK77" s="1">
        <f t="shared" si="12"/>
        <v>1.1255392447328672</v>
      </c>
    </row>
    <row r="78" spans="1:63">
      <c r="A78">
        <v>1999</v>
      </c>
      <c r="B78" s="3">
        <f t="shared" si="0"/>
        <v>125.55887134288824</v>
      </c>
      <c r="C78" s="3">
        <f t="shared" si="1"/>
        <v>75.889564287016256</v>
      </c>
      <c r="D78" s="19">
        <v>97.129499999999993</v>
      </c>
      <c r="E78" s="3">
        <v>108.60760000000001</v>
      </c>
      <c r="F78" s="3">
        <f t="shared" si="13"/>
        <v>105.49001884199998</v>
      </c>
      <c r="G78" s="2">
        <v>0.93862699999999999</v>
      </c>
      <c r="H78" s="3">
        <f t="shared" si="14"/>
        <v>0.99015779915609914</v>
      </c>
      <c r="I78" s="36">
        <f>L78</f>
        <v>0.89438087774294683</v>
      </c>
      <c r="J78" s="7">
        <f t="shared" si="2"/>
        <v>0.91852730844011554</v>
      </c>
      <c r="L78" s="3">
        <f>L$79*M78/M$79</f>
        <v>0.89438087774294683</v>
      </c>
      <c r="M78" s="3">
        <v>104.7</v>
      </c>
      <c r="N78" s="3">
        <f t="shared" si="28"/>
        <v>0.98555835000000003</v>
      </c>
      <c r="O78" s="3">
        <f>(O77+O79)/2</f>
        <v>105</v>
      </c>
      <c r="Q78" s="32">
        <f t="shared" si="3"/>
        <v>0.15260935136231091</v>
      </c>
      <c r="R78" s="32">
        <f t="shared" si="4"/>
        <v>0.17675578205947962</v>
      </c>
      <c r="S78" s="27"/>
      <c r="T78">
        <f>USA!Z86*G78</f>
        <v>16.40719996</v>
      </c>
      <c r="U78">
        <v>0</v>
      </c>
      <c r="V78">
        <v>0</v>
      </c>
      <c r="W78">
        <v>0</v>
      </c>
      <c r="Y78" s="2">
        <v>0.75</v>
      </c>
      <c r="Z78" s="32">
        <v>0.58899999999999997</v>
      </c>
      <c r="AA78" s="2">
        <v>0.20599999999999999</v>
      </c>
      <c r="AB78" s="2">
        <f>AA78*(I78*(1/(1+AA78)))</f>
        <v>0.15277152638063601</v>
      </c>
      <c r="AC78" s="2">
        <f>Z78+AB78</f>
        <v>0.74177152638063593</v>
      </c>
      <c r="AE78" s="4"/>
      <c r="AN78" s="9">
        <v>1999</v>
      </c>
      <c r="AO78" s="1">
        <f t="shared" si="18"/>
        <v>0.89438087774294683</v>
      </c>
      <c r="AP78" s="1">
        <f t="shared" si="19"/>
        <v>0.58899999999999997</v>
      </c>
      <c r="AQ78" s="1">
        <f t="shared" si="20"/>
        <v>0.15277152638063601</v>
      </c>
      <c r="AR78" s="1">
        <f t="shared" si="33"/>
        <v>0.74177152638063593</v>
      </c>
      <c r="AS78" s="1">
        <f t="shared" si="29"/>
        <v>0.15260935136231091</v>
      </c>
      <c r="AU78" s="3">
        <v>82.993375341946887</v>
      </c>
      <c r="AW78" s="1">
        <f t="shared" si="30"/>
        <v>1.0776533356523275</v>
      </c>
      <c r="AX78" s="1">
        <f t="shared" si="22"/>
        <v>1.088408510282761</v>
      </c>
      <c r="AY78" s="1">
        <f t="shared" si="23"/>
        <v>0.89377197074394255</v>
      </c>
      <c r="AZ78" s="22">
        <f t="shared" si="24"/>
        <v>0.18388136490838491</v>
      </c>
      <c r="BA78" s="1">
        <f t="shared" si="31"/>
        <v>0.19463653953881838</v>
      </c>
      <c r="BB78" s="3">
        <f t="shared" si="32"/>
        <v>19.769288684066087</v>
      </c>
      <c r="BC78" s="3">
        <v>0</v>
      </c>
      <c r="BD78" s="24">
        <v>1</v>
      </c>
      <c r="BE78" s="3">
        <v>0</v>
      </c>
      <c r="BF78" s="24">
        <v>0.7</v>
      </c>
      <c r="BG78" s="3">
        <v>0</v>
      </c>
      <c r="BH78" s="3">
        <v>0</v>
      </c>
      <c r="BJ78" s="1">
        <f t="shared" si="11"/>
        <v>1.1723021858227221</v>
      </c>
      <c r="BK78" s="1">
        <f t="shared" si="12"/>
        <v>1.184001973046533</v>
      </c>
    </row>
    <row r="79" spans="1:63">
      <c r="A79">
        <v>2000</v>
      </c>
      <c r="B79" s="3">
        <f t="shared" si="0"/>
        <v>127.18597624548681</v>
      </c>
      <c r="C79" s="3">
        <f t="shared" si="1"/>
        <v>78.958238837304293</v>
      </c>
      <c r="D79" s="2">
        <f>F79/E79*100</f>
        <v>88.871205336355771</v>
      </c>
      <c r="E79" s="2">
        <v>112.9992628224058</v>
      </c>
      <c r="F79" s="2">
        <f>I79/G79*100</f>
        <v>100.42380689146859</v>
      </c>
      <c r="G79" s="2">
        <v>1.0853999999999999</v>
      </c>
      <c r="H79" s="7">
        <f>(R79+Z79)+AA79*(R79+Z79)</f>
        <v>1.047110893118099</v>
      </c>
      <c r="I79" s="7">
        <f>L79</f>
        <v>1.0900000000000001</v>
      </c>
      <c r="J79" s="7">
        <f t="shared" si="2"/>
        <v>1.0544368931327521</v>
      </c>
      <c r="L79" s="3">
        <v>1.0900000000000001</v>
      </c>
      <c r="M79" s="3">
        <v>127.6</v>
      </c>
      <c r="N79" s="3">
        <f t="shared" si="28"/>
        <v>1.074546</v>
      </c>
      <c r="O79" s="6">
        <v>99</v>
      </c>
      <c r="Q79" s="32">
        <f t="shared" ref="Q79:Q89" si="34">L79-AC79</f>
        <v>0.31481426202321738</v>
      </c>
      <c r="R79" s="32">
        <f t="shared" si="4"/>
        <v>0.27925115515596932</v>
      </c>
      <c r="S79" s="27"/>
      <c r="T79">
        <f>USA!Z87*G79</f>
        <v>29.957039999999999</v>
      </c>
      <c r="U79">
        <v>0</v>
      </c>
      <c r="V79">
        <v>0</v>
      </c>
      <c r="W79">
        <v>0</v>
      </c>
      <c r="Z79" s="32">
        <v>0.58899999999999997</v>
      </c>
      <c r="AA79" s="2">
        <v>0.20599999999999999</v>
      </c>
      <c r="AB79" s="2">
        <f t="shared" si="16"/>
        <v>0.18618573797678276</v>
      </c>
      <c r="AC79" s="2">
        <f t="shared" si="27"/>
        <v>0.7751857379767827</v>
      </c>
      <c r="AD79" s="37">
        <v>0.76100000000000001</v>
      </c>
      <c r="AN79" s="9">
        <v>2000</v>
      </c>
      <c r="AO79" s="1">
        <f t="shared" si="18"/>
        <v>1.0900000000000001</v>
      </c>
      <c r="AP79" s="1">
        <f t="shared" si="19"/>
        <v>0.58899999999999997</v>
      </c>
      <c r="AQ79" s="1">
        <f t="shared" si="20"/>
        <v>0.18618573797678276</v>
      </c>
      <c r="AR79" s="1">
        <f t="shared" si="33"/>
        <v>0.7751857379767827</v>
      </c>
      <c r="AS79" s="1">
        <f t="shared" si="29"/>
        <v>0.31481426202321738</v>
      </c>
      <c r="AU79" s="3">
        <v>84.3967775502379</v>
      </c>
      <c r="AW79" s="1">
        <f t="shared" si="30"/>
        <v>1.2915185053732274</v>
      </c>
      <c r="AX79" s="1">
        <f t="shared" si="22"/>
        <v>1.2915563557923437</v>
      </c>
      <c r="AY79" s="1">
        <f t="shared" si="23"/>
        <v>0.91850158320955655</v>
      </c>
      <c r="AZ79" s="22">
        <f t="shared" si="24"/>
        <v>0.37301692216367088</v>
      </c>
      <c r="BA79" s="1">
        <f t="shared" si="31"/>
        <v>0.37305477258278713</v>
      </c>
      <c r="BB79" s="3">
        <f t="shared" si="32"/>
        <v>35.49547846440916</v>
      </c>
      <c r="BC79" s="3">
        <v>0</v>
      </c>
      <c r="BD79" s="24">
        <v>1</v>
      </c>
      <c r="BE79" s="24">
        <v>1</v>
      </c>
      <c r="BF79" s="24">
        <v>0.7</v>
      </c>
      <c r="BG79" s="3">
        <v>0</v>
      </c>
      <c r="BH79" s="3">
        <v>0</v>
      </c>
      <c r="BJ79" s="1">
        <f t="shared" si="11"/>
        <v>1.4049508471692724</v>
      </c>
      <c r="BK79" s="1">
        <f t="shared" si="12"/>
        <v>1.4049920219400418</v>
      </c>
    </row>
    <row r="80" spans="1:63">
      <c r="A80">
        <v>2001</v>
      </c>
      <c r="B80" s="3">
        <f t="shared" si="0"/>
        <v>114.19511461827419</v>
      </c>
      <c r="C80" s="3">
        <f t="shared" si="1"/>
        <v>81.182199298191421</v>
      </c>
      <c r="D80" s="2">
        <f t="shared" ref="D80:D89" si="35">F80/E80*100</f>
        <v>79.793840321365238</v>
      </c>
      <c r="E80" s="2">
        <v>116.1820325539375</v>
      </c>
      <c r="F80" s="2">
        <f t="shared" ref="F80:F90" si="36">I80/G80*100</f>
        <v>92.706105538205478</v>
      </c>
      <c r="G80" s="2">
        <v>1.11751</v>
      </c>
      <c r="H80" s="7">
        <f t="shared" ref="H80:H89" si="37">(R80+Z80)+AA80*(R80+Z80)</f>
        <v>1.0034939829881344</v>
      </c>
      <c r="I80" s="7">
        <f t="shared" ref="I80:I89" si="38">L80</f>
        <v>1.036</v>
      </c>
      <c r="J80" s="7">
        <f t="shared" si="2"/>
        <v>1.0090464203881711</v>
      </c>
      <c r="L80" s="3">
        <v>1.036</v>
      </c>
      <c r="M80" s="3">
        <v>120.5</v>
      </c>
      <c r="N80" s="3">
        <f t="shared" si="28"/>
        <v>1.1398602</v>
      </c>
      <c r="O80" s="3">
        <f>(O79+O81)/2</f>
        <v>102</v>
      </c>
      <c r="Q80" s="32">
        <f t="shared" si="34"/>
        <v>0.2750381426202323</v>
      </c>
      <c r="R80" s="32">
        <f t="shared" si="4"/>
        <v>0.24808456300840326</v>
      </c>
      <c r="S80" s="27"/>
      <c r="T80">
        <f>USA!Z88*G80</f>
        <v>25.836831200000002</v>
      </c>
      <c r="U80">
        <v>0</v>
      </c>
      <c r="V80">
        <v>0</v>
      </c>
      <c r="W80">
        <v>0</v>
      </c>
      <c r="Z80" s="32">
        <v>0.58399999999999996</v>
      </c>
      <c r="AA80" s="2">
        <v>0.20599999999999999</v>
      </c>
      <c r="AB80" s="2">
        <f t="shared" si="16"/>
        <v>0.1769618573797678</v>
      </c>
      <c r="AC80" s="2">
        <f t="shared" si="27"/>
        <v>0.76096185737976774</v>
      </c>
      <c r="AD80" s="37">
        <v>0.74199999999999999</v>
      </c>
      <c r="AN80" s="9">
        <v>2001</v>
      </c>
      <c r="AO80" s="1">
        <f t="shared" si="18"/>
        <v>1.036</v>
      </c>
      <c r="AP80" s="1">
        <f t="shared" si="19"/>
        <v>0.58399999999999996</v>
      </c>
      <c r="AQ80" s="1">
        <f t="shared" si="20"/>
        <v>0.1769618573797678</v>
      </c>
      <c r="AR80" s="1">
        <f t="shared" si="33"/>
        <v>0.76096185737976774</v>
      </c>
      <c r="AS80" s="1">
        <f t="shared" si="29"/>
        <v>0.2750381426202323</v>
      </c>
      <c r="AU80" s="3">
        <v>85.77266276799287</v>
      </c>
      <c r="AW80" s="1">
        <f t="shared" si="30"/>
        <v>1.2078440456049317</v>
      </c>
      <c r="AX80" s="1">
        <f t="shared" si="22"/>
        <v>1.2077683447666994</v>
      </c>
      <c r="AY80" s="1">
        <f t="shared" si="23"/>
        <v>0.88718460267241461</v>
      </c>
      <c r="AZ80" s="22">
        <f t="shared" si="24"/>
        <v>0.32065944293251714</v>
      </c>
      <c r="BA80" s="1">
        <f t="shared" si="31"/>
        <v>0.3205837420942847</v>
      </c>
      <c r="BB80" s="3">
        <f t="shared" si="32"/>
        <v>30.122454365076951</v>
      </c>
      <c r="BC80" s="3">
        <v>0</v>
      </c>
      <c r="BD80" s="24">
        <v>1</v>
      </c>
      <c r="BE80" s="24">
        <v>0.5</v>
      </c>
      <c r="BF80" s="24">
        <v>0.45</v>
      </c>
      <c r="BG80" s="3">
        <v>0</v>
      </c>
      <c r="BH80" s="3">
        <v>0</v>
      </c>
      <c r="BJ80" s="1">
        <f t="shared" si="11"/>
        <v>1.3139273715869957</v>
      </c>
      <c r="BK80" s="1">
        <f t="shared" si="12"/>
        <v>1.3138450220454572</v>
      </c>
    </row>
    <row r="81" spans="1:65">
      <c r="A81">
        <v>2002</v>
      </c>
      <c r="B81" s="3">
        <f t="shared" si="0"/>
        <v>115.70511808470599</v>
      </c>
      <c r="C81" s="3">
        <f t="shared" si="1"/>
        <v>82.47759894808965</v>
      </c>
      <c r="D81" s="2">
        <f t="shared" si="35"/>
        <v>80.84895529618646</v>
      </c>
      <c r="E81" s="2">
        <v>118.03591389240708</v>
      </c>
      <c r="F81" s="2">
        <f t="shared" si="36"/>
        <v>95.430803256317347</v>
      </c>
      <c r="G81" s="2">
        <v>1.0625500000000001</v>
      </c>
      <c r="H81" s="7">
        <f t="shared" si="37"/>
        <v>1.0009067112959524</v>
      </c>
      <c r="I81" s="7">
        <f t="shared" si="38"/>
        <v>1.014</v>
      </c>
      <c r="J81" s="7">
        <f t="shared" si="2"/>
        <v>1.0031432100298114</v>
      </c>
      <c r="L81" s="3">
        <v>1.014</v>
      </c>
      <c r="M81" s="3">
        <v>116.6</v>
      </c>
      <c r="N81" s="3">
        <f t="shared" si="28"/>
        <v>1.1156775000000001</v>
      </c>
      <c r="O81" s="6">
        <v>105</v>
      </c>
      <c r="Q81" s="32">
        <f t="shared" si="34"/>
        <v>0.25929601990049744</v>
      </c>
      <c r="R81" s="32">
        <f t="shared" si="4"/>
        <v>0.2484392299303089</v>
      </c>
      <c r="S81" s="27"/>
      <c r="T81">
        <f>USA!Z89*G81</f>
        <v>25.883718000000002</v>
      </c>
      <c r="U81">
        <v>0</v>
      </c>
      <c r="V81">
        <v>0</v>
      </c>
      <c r="W81">
        <v>0</v>
      </c>
      <c r="Z81" s="32">
        <v>0.58150000000000002</v>
      </c>
      <c r="AA81" s="2">
        <v>0.20599999999999999</v>
      </c>
      <c r="AB81" s="2">
        <f t="shared" si="16"/>
        <v>0.1732039800995025</v>
      </c>
      <c r="AC81" s="2">
        <f t="shared" si="27"/>
        <v>0.75470398009950257</v>
      </c>
      <c r="AD81" s="37">
        <v>0.747</v>
      </c>
      <c r="AN81" s="9">
        <v>2002</v>
      </c>
      <c r="AO81" s="1">
        <f t="shared" si="18"/>
        <v>1.014</v>
      </c>
      <c r="AP81" s="1">
        <f t="shared" si="19"/>
        <v>0.58150000000000002</v>
      </c>
      <c r="AQ81" s="1">
        <f t="shared" si="20"/>
        <v>0.1732039800995025</v>
      </c>
      <c r="AR81" s="1">
        <f t="shared" si="33"/>
        <v>0.75470398009950257</v>
      </c>
      <c r="AS81" s="1">
        <f t="shared" si="29"/>
        <v>0.25929601990049744</v>
      </c>
      <c r="AU81" s="3">
        <v>87.416844944678914</v>
      </c>
      <c r="AW81" s="1">
        <f t="shared" si="30"/>
        <v>1.1599595028185954</v>
      </c>
      <c r="AX81" s="1">
        <f t="shared" si="22"/>
        <v>1.1372387595480113</v>
      </c>
      <c r="AY81" s="1">
        <f t="shared" si="23"/>
        <v>0.86333930328543806</v>
      </c>
      <c r="AZ81" s="22">
        <f t="shared" si="24"/>
        <v>0.29662019953315732</v>
      </c>
      <c r="BA81" s="1">
        <f t="shared" si="31"/>
        <v>0.27389945626257328</v>
      </c>
      <c r="BB81" s="3">
        <f t="shared" si="32"/>
        <v>29.609531225223602</v>
      </c>
      <c r="BC81" s="3">
        <v>0</v>
      </c>
      <c r="BD81" s="24">
        <v>1</v>
      </c>
      <c r="BE81" s="3">
        <v>0</v>
      </c>
      <c r="BF81" s="24">
        <v>0.45</v>
      </c>
      <c r="BG81" s="3">
        <v>0</v>
      </c>
      <c r="BH81" s="3">
        <v>0</v>
      </c>
      <c r="BJ81" s="1">
        <f t="shared" si="11"/>
        <v>1.2618371934950179</v>
      </c>
      <c r="BK81" s="1">
        <f t="shared" si="12"/>
        <v>1.2371209177517617</v>
      </c>
    </row>
    <row r="82" spans="1:65">
      <c r="A82">
        <v>2003</v>
      </c>
      <c r="B82" s="3">
        <f t="shared" si="0"/>
        <v>136.04024933261465</v>
      </c>
      <c r="C82" s="3">
        <f t="shared" si="1"/>
        <v>84.37293294912061</v>
      </c>
      <c r="D82" s="2">
        <f t="shared" si="35"/>
        <v>95.05812896472419</v>
      </c>
      <c r="E82" s="2">
        <v>120.74837744367809</v>
      </c>
      <c r="F82" s="2">
        <f t="shared" si="36"/>
        <v>114.78114835322346</v>
      </c>
      <c r="G82" s="2">
        <v>0.88603399999999999</v>
      </c>
      <c r="H82" s="7">
        <f t="shared" si="37"/>
        <v>1.0009553698921545</v>
      </c>
      <c r="I82" s="7">
        <f t="shared" si="38"/>
        <v>1.0169999999999999</v>
      </c>
      <c r="J82" s="7">
        <f t="shared" si="2"/>
        <v>1.0036959949354516</v>
      </c>
      <c r="L82" s="3">
        <v>1.0169999999999999</v>
      </c>
      <c r="M82" s="3">
        <v>120.4</v>
      </c>
      <c r="N82" s="3">
        <f t="shared" si="28"/>
        <v>1.0942519899999998</v>
      </c>
      <c r="O82" s="3">
        <f>(O81+O83)/2</f>
        <v>123.5</v>
      </c>
      <c r="Q82" s="32">
        <f t="shared" si="34"/>
        <v>0.25428358208955215</v>
      </c>
      <c r="R82" s="32">
        <f t="shared" si="4"/>
        <v>0.24097957702500386</v>
      </c>
      <c r="S82" s="27"/>
      <c r="T82">
        <f>USA!Z90*G82</f>
        <v>24.897555400000002</v>
      </c>
      <c r="U82">
        <v>0</v>
      </c>
      <c r="V82">
        <v>0</v>
      </c>
      <c r="W82">
        <v>0</v>
      </c>
      <c r="Z82" s="32">
        <v>0.58899999999999997</v>
      </c>
      <c r="AA82" s="2">
        <v>0.20599999999999999</v>
      </c>
      <c r="AB82" s="2">
        <f t="shared" si="16"/>
        <v>0.17371641791044773</v>
      </c>
      <c r="AC82" s="2">
        <f t="shared" si="27"/>
        <v>0.76271641791044775</v>
      </c>
      <c r="AD82" s="37">
        <v>0.75600000000000001</v>
      </c>
      <c r="AN82" s="9">
        <v>2003</v>
      </c>
      <c r="AO82" s="1">
        <f t="shared" si="18"/>
        <v>1.0169999999999999</v>
      </c>
      <c r="AP82" s="1">
        <f t="shared" si="19"/>
        <v>0.58899999999999997</v>
      </c>
      <c r="AQ82" s="1">
        <f t="shared" si="20"/>
        <v>0.17371641791044773</v>
      </c>
      <c r="AR82" s="1">
        <f t="shared" si="33"/>
        <v>0.76271641791044775</v>
      </c>
      <c r="AS82" s="1">
        <f t="shared" si="29"/>
        <v>0.25428358208955215</v>
      </c>
      <c r="AU82" s="3">
        <v>89.26053089302745</v>
      </c>
      <c r="AW82" s="1">
        <f t="shared" si="30"/>
        <v>1.1393613614272626</v>
      </c>
      <c r="AX82" s="1">
        <f t="shared" si="22"/>
        <v>1.1318515010336245</v>
      </c>
      <c r="AY82" s="1">
        <f t="shared" si="23"/>
        <v>0.85448339851855737</v>
      </c>
      <c r="AZ82" s="22">
        <f t="shared" si="24"/>
        <v>0.28487796290870526</v>
      </c>
      <c r="BA82" s="1">
        <f t="shared" si="31"/>
        <v>0.27736810251506711</v>
      </c>
      <c r="BB82" s="3">
        <f t="shared" si="32"/>
        <v>27.893129416671286</v>
      </c>
      <c r="BC82" s="3">
        <v>0</v>
      </c>
      <c r="BD82" s="24">
        <v>1</v>
      </c>
      <c r="BE82" s="3">
        <v>0</v>
      </c>
      <c r="BF82" s="24">
        <v>0.3</v>
      </c>
      <c r="BG82" s="3">
        <v>0</v>
      </c>
      <c r="BH82" s="3">
        <v>0</v>
      </c>
      <c r="BJ82" s="1">
        <f t="shared" si="11"/>
        <v>1.2394299449132391</v>
      </c>
      <c r="BK82" s="1">
        <f t="shared" si="12"/>
        <v>1.2312605035322068</v>
      </c>
    </row>
    <row r="83" spans="1:65">
      <c r="A83">
        <v>2004</v>
      </c>
      <c r="B83" s="3">
        <f t="shared" si="0"/>
        <v>152.08493357272627</v>
      </c>
      <c r="C83" s="3">
        <f t="shared" si="1"/>
        <v>86.62364207534489</v>
      </c>
      <c r="D83" s="2">
        <f t="shared" si="35"/>
        <v>106.269352636961</v>
      </c>
      <c r="E83" s="2">
        <v>123.96942791081244</v>
      </c>
      <c r="F83" s="2">
        <f t="shared" si="36"/>
        <v>131.74150850856444</v>
      </c>
      <c r="G83" s="2">
        <v>0.805365</v>
      </c>
      <c r="H83" s="7">
        <f t="shared" si="37"/>
        <v>1.0300723489693651</v>
      </c>
      <c r="I83" s="7">
        <f t="shared" si="38"/>
        <v>1.0609999999999999</v>
      </c>
      <c r="J83" s="7">
        <f t="shared" si="2"/>
        <v>1.0351407600078304</v>
      </c>
      <c r="L83" s="3">
        <v>1.0609999999999999</v>
      </c>
      <c r="M83" s="3">
        <v>130.9</v>
      </c>
      <c r="N83" s="3">
        <f t="shared" si="28"/>
        <v>1.1436183</v>
      </c>
      <c r="O83" s="6">
        <v>142</v>
      </c>
      <c r="Q83" s="32">
        <f t="shared" si="34"/>
        <v>0.29812374581939793</v>
      </c>
      <c r="R83" s="32">
        <f t="shared" si="4"/>
        <v>0.27226450582722833</v>
      </c>
      <c r="S83" s="27"/>
      <c r="T83">
        <f>USA!Z91*G83</f>
        <v>29.033408249999997</v>
      </c>
      <c r="U83">
        <v>0</v>
      </c>
      <c r="V83">
        <v>0</v>
      </c>
      <c r="W83">
        <v>0</v>
      </c>
      <c r="Z83" s="32">
        <v>0.58899999999999997</v>
      </c>
      <c r="AA83" s="2">
        <v>0.19600000000000001</v>
      </c>
      <c r="AB83" s="2">
        <f t="shared" si="16"/>
        <v>0.17387625418060199</v>
      </c>
      <c r="AC83" s="2">
        <f t="shared" si="27"/>
        <v>0.76287625418060201</v>
      </c>
      <c r="AD83" s="37">
        <v>0.76300000000000001</v>
      </c>
      <c r="AN83" s="9">
        <v>2004</v>
      </c>
      <c r="AO83" s="1">
        <f t="shared" si="18"/>
        <v>1.0609999999999999</v>
      </c>
      <c r="AP83" s="1">
        <f t="shared" si="19"/>
        <v>0.58899999999999997</v>
      </c>
      <c r="AQ83" s="1">
        <f t="shared" si="20"/>
        <v>0.17387625418060199</v>
      </c>
      <c r="AR83" s="1">
        <f t="shared" si="33"/>
        <v>0.76287625418060201</v>
      </c>
      <c r="AS83" s="1">
        <f t="shared" si="29"/>
        <v>0.29812374581939793</v>
      </c>
      <c r="AU83" s="3">
        <v>91.166131651929973</v>
      </c>
      <c r="AW83" s="1">
        <f t="shared" si="30"/>
        <v>1.1638093892706467</v>
      </c>
      <c r="AX83" s="1">
        <f t="shared" si="22"/>
        <v>1.1504385929774228</v>
      </c>
      <c r="AY83" s="1">
        <f t="shared" si="23"/>
        <v>0.83679787697172969</v>
      </c>
      <c r="AZ83" s="22">
        <f t="shared" si="24"/>
        <v>0.32701151229891701</v>
      </c>
      <c r="BA83" s="1">
        <f t="shared" si="31"/>
        <v>0.31364071600569304</v>
      </c>
      <c r="BB83" s="3">
        <f t="shared" si="32"/>
        <v>31.846704169536149</v>
      </c>
      <c r="BC83" s="3">
        <v>0</v>
      </c>
      <c r="BD83" s="24">
        <v>1</v>
      </c>
      <c r="BE83" s="3">
        <v>0</v>
      </c>
      <c r="BF83" s="24">
        <v>0.15</v>
      </c>
      <c r="BG83" s="3">
        <v>0</v>
      </c>
      <c r="BH83" s="3">
        <v>0</v>
      </c>
      <c r="BJ83" s="1">
        <f t="shared" si="11"/>
        <v>1.2660252103215766</v>
      </c>
      <c r="BK83" s="1">
        <f t="shared" si="12"/>
        <v>1.2514800748850046</v>
      </c>
    </row>
    <row r="84" spans="1:65">
      <c r="A84">
        <v>2005</v>
      </c>
      <c r="B84" s="3">
        <f t="shared" si="0"/>
        <v>161.24933042636832</v>
      </c>
      <c r="C84" s="3">
        <f t="shared" si="1"/>
        <v>89.539246597092159</v>
      </c>
      <c r="D84" s="2">
        <f t="shared" si="35"/>
        <v>112.67297525799486</v>
      </c>
      <c r="E84" s="2">
        <v>128.14202809149756</v>
      </c>
      <c r="F84" s="2">
        <f t="shared" si="36"/>
        <v>144.38143560662587</v>
      </c>
      <c r="G84" s="2">
        <v>0.80411999999999995</v>
      </c>
      <c r="H84" s="7">
        <f t="shared" si="37"/>
        <v>1.1358058977938019</v>
      </c>
      <c r="I84" s="7">
        <f t="shared" si="38"/>
        <v>1.161</v>
      </c>
      <c r="J84" s="7">
        <f>K84</f>
        <v>1.162654489795919</v>
      </c>
      <c r="K84" s="3">
        <f>'EU petrol prices nominal'!AD3</f>
        <v>1.162654489795919</v>
      </c>
      <c r="L84" s="3">
        <v>1.161</v>
      </c>
      <c r="M84" s="3">
        <v>151.1</v>
      </c>
      <c r="N84" s="3">
        <f t="shared" si="28"/>
        <v>1.1659739999999998</v>
      </c>
      <c r="O84" s="3">
        <f>(O83+O85)/2</f>
        <v>145</v>
      </c>
      <c r="Q84" s="32">
        <f t="shared" si="34"/>
        <v>0.38173578595317736</v>
      </c>
      <c r="R84" s="32">
        <f t="shared" si="4"/>
        <v>0.36067048310518568</v>
      </c>
      <c r="S84" s="27"/>
      <c r="T84">
        <f>USA!Z92*G84</f>
        <v>40.720636800000001</v>
      </c>
      <c r="U84">
        <v>0</v>
      </c>
      <c r="V84">
        <v>0</v>
      </c>
      <c r="W84">
        <v>0</v>
      </c>
      <c r="Z84" s="32">
        <v>0.58899999999999997</v>
      </c>
      <c r="AA84" s="2">
        <v>0.19600000000000001</v>
      </c>
      <c r="AB84" s="2">
        <f t="shared" si="16"/>
        <v>0.19026421404682275</v>
      </c>
      <c r="AC84" s="2">
        <f t="shared" si="27"/>
        <v>0.77926421404682267</v>
      </c>
      <c r="AD84" s="37">
        <v>0.77900000000000003</v>
      </c>
      <c r="AN84" s="9">
        <v>2005</v>
      </c>
      <c r="AO84" s="1">
        <f t="shared" si="18"/>
        <v>1.161</v>
      </c>
      <c r="AP84" s="1">
        <f t="shared" si="19"/>
        <v>0.58899999999999997</v>
      </c>
      <c r="AQ84" s="1">
        <f t="shared" si="20"/>
        <v>0.19026421404682275</v>
      </c>
      <c r="AR84" s="1">
        <f t="shared" si="33"/>
        <v>0.77926421404682267</v>
      </c>
      <c r="AS84" s="1">
        <f t="shared" si="29"/>
        <v>0.38173578595317736</v>
      </c>
      <c r="AU84" s="3">
        <v>92.748399181283759</v>
      </c>
      <c r="AW84" s="1">
        <f t="shared" si="30"/>
        <v>1.2517736265514814</v>
      </c>
      <c r="AX84" s="1">
        <f t="shared" si="22"/>
        <v>1.2576918175325942</v>
      </c>
      <c r="AY84" s="1">
        <f t="shared" si="23"/>
        <v>0.84019155147216273</v>
      </c>
      <c r="AZ84" s="22">
        <f t="shared" si="24"/>
        <v>0.41158207507931865</v>
      </c>
      <c r="BA84" s="1">
        <f t="shared" si="31"/>
        <v>0.4175002660604315</v>
      </c>
      <c r="BB84" s="3">
        <f t="shared" si="32"/>
        <v>43.904409304583723</v>
      </c>
      <c r="BC84" s="24">
        <v>1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J84" s="1">
        <f t="shared" si="11"/>
        <v>1.3617152288340046</v>
      </c>
      <c r="BK84" s="1">
        <f t="shared" si="12"/>
        <v>1.3681532066082533</v>
      </c>
    </row>
    <row r="85" spans="1:65">
      <c r="A85">
        <v>2006</v>
      </c>
      <c r="B85" s="3">
        <f t="shared" si="0"/>
        <v>167.89913966116734</v>
      </c>
      <c r="C85" s="3">
        <f t="shared" si="1"/>
        <v>92.424281215596963</v>
      </c>
      <c r="D85" s="2">
        <f t="shared" si="35"/>
        <v>117.31952969268153</v>
      </c>
      <c r="E85" s="2">
        <v>132.27087886006535</v>
      </c>
      <c r="F85" s="2">
        <f t="shared" si="36"/>
        <v>155.17957299900519</v>
      </c>
      <c r="G85" s="2">
        <v>0.79714099999999999</v>
      </c>
      <c r="H85" s="7">
        <f t="shared" si="37"/>
        <v>1.2078984968508815</v>
      </c>
      <c r="I85" s="7">
        <f t="shared" si="38"/>
        <v>1.2370000000000001</v>
      </c>
      <c r="J85" s="7">
        <f t="shared" ref="J85:J96" si="39">K85</f>
        <v>1.2384579591836735</v>
      </c>
      <c r="K85" s="3">
        <f>'EU petrol prices nominal'!AD4</f>
        <v>1.2384579591836735</v>
      </c>
      <c r="L85" s="3">
        <v>1.2370000000000001</v>
      </c>
      <c r="M85" s="3">
        <v>161.30000000000001</v>
      </c>
      <c r="N85" s="3">
        <f t="shared" si="28"/>
        <v>1.17976868</v>
      </c>
      <c r="O85" s="6">
        <v>148</v>
      </c>
      <c r="Q85" s="32">
        <f t="shared" si="34"/>
        <v>0.44528093645484956</v>
      </c>
      <c r="R85" s="32">
        <f t="shared" si="4"/>
        <v>0.42094857596227558</v>
      </c>
      <c r="S85" s="27"/>
      <c r="T85">
        <f>USA!Z93*G85</f>
        <v>48.689372280000001</v>
      </c>
      <c r="U85">
        <v>0</v>
      </c>
      <c r="V85">
        <v>0</v>
      </c>
      <c r="W85">
        <v>0</v>
      </c>
      <c r="Z85" s="32">
        <v>0.58899999999999997</v>
      </c>
      <c r="AA85" s="2">
        <v>0.19600000000000001</v>
      </c>
      <c r="AB85" s="2">
        <f t="shared" si="16"/>
        <v>0.20271906354515051</v>
      </c>
      <c r="AC85" s="2">
        <f t="shared" si="27"/>
        <v>0.79171906354515054</v>
      </c>
      <c r="AD85" s="37">
        <v>0.79200000000000004</v>
      </c>
      <c r="AN85" s="9">
        <v>2006</v>
      </c>
      <c r="AO85" s="1">
        <f t="shared" si="18"/>
        <v>1.2370000000000001</v>
      </c>
      <c r="AP85" s="1">
        <f t="shared" si="19"/>
        <v>0.58899999999999997</v>
      </c>
      <c r="AQ85" s="1">
        <f t="shared" si="20"/>
        <v>0.20271906354515051</v>
      </c>
      <c r="AR85" s="1">
        <f t="shared" si="33"/>
        <v>0.79171906354515054</v>
      </c>
      <c r="AS85" s="1">
        <f t="shared" si="29"/>
        <v>0.44528093645484956</v>
      </c>
      <c r="AU85" s="3">
        <v>94.310028092882817</v>
      </c>
      <c r="AW85" s="1">
        <f t="shared" si="30"/>
        <v>1.3116314616953775</v>
      </c>
      <c r="AX85" s="1">
        <f t="shared" si="22"/>
        <v>1.3016648988555328</v>
      </c>
      <c r="AY85" s="1">
        <f t="shared" si="23"/>
        <v>0.83948555583655726</v>
      </c>
      <c r="AZ85" s="22">
        <f t="shared" si="24"/>
        <v>0.47214590585882021</v>
      </c>
      <c r="BA85" s="1">
        <f t="shared" si="31"/>
        <v>0.46217934301897562</v>
      </c>
      <c r="BB85" s="3">
        <f t="shared" si="32"/>
        <v>51.626930099148581</v>
      </c>
      <c r="BC85" s="24">
        <v>1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J85" s="1">
        <f t="shared" si="11"/>
        <v>1.4268302975265996</v>
      </c>
      <c r="BK85" s="1">
        <f t="shared" si="12"/>
        <v>1.4159883848114898</v>
      </c>
    </row>
    <row r="86" spans="1:65">
      <c r="A86">
        <v>2007</v>
      </c>
      <c r="B86" s="3">
        <f t="shared" si="0"/>
        <v>183.25859954758198</v>
      </c>
      <c r="C86" s="3">
        <f t="shared" si="1"/>
        <v>95.074004003893037</v>
      </c>
      <c r="D86" s="2">
        <f t="shared" si="35"/>
        <v>128.05195282387962</v>
      </c>
      <c r="E86" s="2">
        <v>136.06296852886032</v>
      </c>
      <c r="F86" s="2">
        <f t="shared" si="36"/>
        <v>174.23128827134639</v>
      </c>
      <c r="G86" s="2">
        <v>0.73063800000000001</v>
      </c>
      <c r="H86" s="7">
        <f t="shared" si="37"/>
        <v>1.2395780861716319</v>
      </c>
      <c r="I86" s="7">
        <f t="shared" si="38"/>
        <v>1.2729999999999999</v>
      </c>
      <c r="J86" s="7">
        <f t="shared" si="39"/>
        <v>1.2741457142857142</v>
      </c>
      <c r="K86" s="3">
        <f>'EU petrol prices nominal'!AD5</f>
        <v>1.2741457142857142</v>
      </c>
      <c r="L86" s="3">
        <v>1.2729999999999999</v>
      </c>
      <c r="M86" s="3">
        <v>163.80000000000001</v>
      </c>
      <c r="N86" s="3">
        <f t="shared" si="28"/>
        <v>1.2713101199999999</v>
      </c>
      <c r="O86" s="3">
        <f>(O85+O87)/2</f>
        <v>174</v>
      </c>
      <c r="Q86" s="32">
        <f t="shared" si="34"/>
        <v>0.46238127090300996</v>
      </c>
      <c r="R86" s="32">
        <f t="shared" si="4"/>
        <v>0.43443652689935791</v>
      </c>
      <c r="S86" s="27"/>
      <c r="T86">
        <f>USA!Z94*G86</f>
        <v>50.472473039999997</v>
      </c>
      <c r="U86">
        <v>0</v>
      </c>
      <c r="V86">
        <v>0</v>
      </c>
      <c r="W86">
        <v>0</v>
      </c>
      <c r="Z86" s="32">
        <v>0.60199999999999998</v>
      </c>
      <c r="AA86" s="2">
        <v>0.19600000000000001</v>
      </c>
      <c r="AB86" s="2">
        <f t="shared" si="16"/>
        <v>0.20861872909698997</v>
      </c>
      <c r="AC86" s="2">
        <f t="shared" si="27"/>
        <v>0.81061872909698995</v>
      </c>
      <c r="AD86" s="37">
        <v>0.81100000000000005</v>
      </c>
      <c r="AN86" s="9">
        <v>2007</v>
      </c>
      <c r="AO86" s="1">
        <f t="shared" si="18"/>
        <v>1.2729999999999999</v>
      </c>
      <c r="AP86" s="1">
        <f t="shared" si="19"/>
        <v>0.60199999999999998</v>
      </c>
      <c r="AQ86" s="1">
        <f t="shared" si="20"/>
        <v>0.20861872909698997</v>
      </c>
      <c r="AR86" s="1">
        <f t="shared" si="33"/>
        <v>0.81061872909698995</v>
      </c>
      <c r="AS86" s="1">
        <f t="shared" si="29"/>
        <v>0.46238127090300996</v>
      </c>
      <c r="AU86" s="3">
        <v>95.713431100325693</v>
      </c>
      <c r="AW86" s="1">
        <f t="shared" si="30"/>
        <v>1.3300118754134478</v>
      </c>
      <c r="AX86" s="1">
        <f t="shared" si="22"/>
        <v>1.3155006770011903</v>
      </c>
      <c r="AY86" s="1">
        <f t="shared" si="23"/>
        <v>0.84692265210648332</v>
      </c>
      <c r="AZ86" s="22">
        <f t="shared" si="24"/>
        <v>0.48308922330696447</v>
      </c>
      <c r="BA86" s="1">
        <f t="shared" si="31"/>
        <v>0.46857802489470707</v>
      </c>
      <c r="BB86" s="3">
        <f t="shared" si="32"/>
        <v>52.732905361103754</v>
      </c>
      <c r="BC86" s="24">
        <v>1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J86" s="1">
        <f t="shared" si="11"/>
        <v>1.4468250383817158</v>
      </c>
      <c r="BK86" s="1">
        <f t="shared" si="12"/>
        <v>1.4310393408342768</v>
      </c>
      <c r="BM86" s="13"/>
    </row>
    <row r="87" spans="1:65">
      <c r="A87">
        <v>2008</v>
      </c>
      <c r="B87" s="3">
        <f t="shared" si="0"/>
        <v>201.24064193251917</v>
      </c>
      <c r="C87" s="3">
        <f t="shared" si="1"/>
        <v>98.70291900542351</v>
      </c>
      <c r="D87" s="2">
        <f t="shared" si="35"/>
        <v>140.61690556736667</v>
      </c>
      <c r="E87" s="2">
        <v>141.25640655453694</v>
      </c>
      <c r="F87" s="2">
        <f t="shared" si="36"/>
        <v>198.63038781264876</v>
      </c>
      <c r="G87" s="2">
        <v>0.68267500000000003</v>
      </c>
      <c r="H87" s="7">
        <f t="shared" si="37"/>
        <v>1.3217843310116308</v>
      </c>
      <c r="I87" s="7">
        <f t="shared" si="38"/>
        <v>1.3560000000000001</v>
      </c>
      <c r="J87" s="7">
        <f t="shared" si="39"/>
        <v>1.3654628571428569</v>
      </c>
      <c r="K87" s="3">
        <f>'EU petrol prices nominal'!AD6</f>
        <v>1.3654628571428569</v>
      </c>
      <c r="L87" s="3">
        <v>1.3560000000000001</v>
      </c>
      <c r="M87" s="3">
        <v>188.4</v>
      </c>
      <c r="N87" s="3">
        <f>G87*O87/100</f>
        <v>1.3653500000000001</v>
      </c>
      <c r="O87" s="6">
        <v>200</v>
      </c>
      <c r="Q87" s="32">
        <f t="shared" si="34"/>
        <v>0.52777926421404686</v>
      </c>
      <c r="R87" s="32">
        <f t="shared" si="4"/>
        <v>0.49917084532745043</v>
      </c>
      <c r="S87" s="27"/>
      <c r="T87">
        <f>USA!Z95*G87</f>
        <v>64.478653750000007</v>
      </c>
      <c r="U87">
        <v>0</v>
      </c>
      <c r="V87">
        <v>0</v>
      </c>
      <c r="W87">
        <v>1</v>
      </c>
      <c r="Z87" s="32">
        <v>0.60599999999999998</v>
      </c>
      <c r="AA87" s="2">
        <v>0.19600000000000001</v>
      </c>
      <c r="AB87" s="2">
        <f t="shared" si="16"/>
        <v>0.22222073578595322</v>
      </c>
      <c r="AC87" s="2">
        <f t="shared" si="27"/>
        <v>0.82822073578595323</v>
      </c>
      <c r="AD87" s="37">
        <v>0.82799999999999996</v>
      </c>
      <c r="AN87" s="9">
        <v>2008</v>
      </c>
      <c r="AO87" s="1">
        <f t="shared" si="18"/>
        <v>1.3560000000000001</v>
      </c>
      <c r="AP87" s="1">
        <f t="shared" si="19"/>
        <v>0.60599999999999998</v>
      </c>
      <c r="AQ87" s="1">
        <f t="shared" si="20"/>
        <v>0.22222073578595322</v>
      </c>
      <c r="AR87" s="1">
        <f t="shared" si="33"/>
        <v>0.82822073578595323</v>
      </c>
      <c r="AS87" s="1">
        <f t="shared" si="29"/>
        <v>0.52777926421404686</v>
      </c>
      <c r="AU87" s="3">
        <v>98.40672569507241</v>
      </c>
      <c r="AW87" s="1">
        <f t="shared" si="30"/>
        <v>1.3779545965199207</v>
      </c>
      <c r="AX87" s="1">
        <f t="shared" si="22"/>
        <v>1.3842037838758703</v>
      </c>
      <c r="AY87" s="1">
        <f t="shared" si="23"/>
        <v>0.84163021372372049</v>
      </c>
      <c r="AZ87" s="22">
        <f t="shared" si="24"/>
        <v>0.53632438279620021</v>
      </c>
      <c r="BA87" s="1">
        <f t="shared" si="31"/>
        <v>0.54257357015214991</v>
      </c>
      <c r="BB87" s="3">
        <f t="shared" si="32"/>
        <v>65.522608637336958</v>
      </c>
      <c r="BC87" s="24">
        <v>1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J87" s="1">
        <f t="shared" si="11"/>
        <v>1.4989785045178237</v>
      </c>
      <c r="BK87" s="1">
        <f t="shared" si="12"/>
        <v>1.5057765496355153</v>
      </c>
      <c r="BM87" s="13"/>
    </row>
    <row r="88" spans="1:65">
      <c r="A88">
        <v>2009</v>
      </c>
      <c r="B88" s="3">
        <f t="shared" si="0"/>
        <v>170.43521162522458</v>
      </c>
      <c r="C88" s="3">
        <f>E88/E$89*100</f>
        <v>98.380597588111073</v>
      </c>
      <c r="D88" s="2">
        <f t="shared" si="35"/>
        <v>119.09161006599629</v>
      </c>
      <c r="E88" s="2">
        <v>140.7951236905254</v>
      </c>
      <c r="F88" s="2">
        <f t="shared" si="36"/>
        <v>167.67517969745768</v>
      </c>
      <c r="G88" s="2">
        <f>'Exchange Rates'!K48</f>
        <v>0.71984416666666673</v>
      </c>
      <c r="H88" s="7">
        <f t="shared" si="37"/>
        <v>1.1853870597195328</v>
      </c>
      <c r="I88" s="7">
        <f t="shared" si="38"/>
        <v>1.2070000000000001</v>
      </c>
      <c r="J88" s="7">
        <f t="shared" si="39"/>
        <v>1.209292</v>
      </c>
      <c r="K88" s="3">
        <f>'EU petrol prices nominal'!AD7</f>
        <v>1.209292</v>
      </c>
      <c r="L88" s="3">
        <v>1.2070000000000001</v>
      </c>
      <c r="M88" s="3">
        <v>152.4</v>
      </c>
      <c r="N88" s="4"/>
      <c r="O88" s="3"/>
      <c r="Q88" s="32">
        <f t="shared" si="34"/>
        <v>0.40319732441471579</v>
      </c>
      <c r="R88" s="32">
        <f t="shared" si="4"/>
        <v>0.38512630411332183</v>
      </c>
      <c r="S88" s="27"/>
      <c r="T88">
        <f>USA!Z96*G88</f>
        <v>43.953684816666673</v>
      </c>
      <c r="U88">
        <v>0</v>
      </c>
      <c r="V88">
        <v>0</v>
      </c>
      <c r="W88">
        <v>0</v>
      </c>
      <c r="Z88" s="32">
        <v>0.60599999999999998</v>
      </c>
      <c r="AA88" s="2">
        <v>0.19600000000000001</v>
      </c>
      <c r="AB88" s="2">
        <f t="shared" si="16"/>
        <v>0.19780267558528433</v>
      </c>
      <c r="AC88" s="2">
        <f t="shared" si="27"/>
        <v>0.80380267558528429</v>
      </c>
      <c r="AD88" s="37">
        <v>0.80400000000000005</v>
      </c>
      <c r="AN88" s="9">
        <v>2009</v>
      </c>
      <c r="AO88" s="1">
        <f t="shared" si="18"/>
        <v>1.2070000000000001</v>
      </c>
      <c r="AP88" s="1">
        <f t="shared" si="19"/>
        <v>0.60599999999999998</v>
      </c>
      <c r="AQ88" s="1">
        <f t="shared" si="20"/>
        <v>0.19780267558528433</v>
      </c>
      <c r="AR88" s="1">
        <f t="shared" si="33"/>
        <v>0.80380267558528429</v>
      </c>
      <c r="AS88" s="1">
        <f t="shared" si="29"/>
        <v>0.40319732441471579</v>
      </c>
      <c r="AU88" s="3">
        <v>98.493406442625087</v>
      </c>
      <c r="AW88" s="1">
        <f t="shared" si="30"/>
        <v>1.2254627427300002</v>
      </c>
      <c r="AX88" s="1">
        <f t="shared" si="22"/>
        <v>1.2377731256450395</v>
      </c>
      <c r="AY88" s="1">
        <f t="shared" si="23"/>
        <v>0.81609795479408032</v>
      </c>
      <c r="AZ88" s="22">
        <f t="shared" si="24"/>
        <v>0.4093647879359199</v>
      </c>
      <c r="BA88" s="1">
        <f t="shared" si="31"/>
        <v>0.42167517085095912</v>
      </c>
      <c r="BB88" s="3">
        <f t="shared" si="32"/>
        <v>44.626017521559483</v>
      </c>
      <c r="BC88" s="24">
        <v>1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J88" s="1">
        <f t="shared" si="11"/>
        <v>1.333093495300206</v>
      </c>
      <c r="BK88" s="1">
        <f t="shared" si="12"/>
        <v>1.3464850826708141</v>
      </c>
      <c r="BM88" s="13"/>
    </row>
    <row r="89" spans="1:65">
      <c r="A89">
        <v>2010</v>
      </c>
      <c r="B89" s="3">
        <f>I89/G89*100/C89*100</f>
        <v>177.15182229780589</v>
      </c>
      <c r="C89" s="3">
        <f>CPIs!AB49</f>
        <v>99.999998509883881</v>
      </c>
      <c r="D89" s="2">
        <f t="shared" si="35"/>
        <v>123.78484016312473</v>
      </c>
      <c r="E89" s="2">
        <v>143.11269411067286</v>
      </c>
      <c r="F89" s="2">
        <f t="shared" si="36"/>
        <v>177.15181965803802</v>
      </c>
      <c r="G89" s="2">
        <f>'Exchange Rates'!K49</f>
        <v>0.75867129256384003</v>
      </c>
      <c r="H89" s="7">
        <f t="shared" si="37"/>
        <v>1.3193305515621876</v>
      </c>
      <c r="I89" s="7">
        <f t="shared" si="38"/>
        <v>1.3440000000000001</v>
      </c>
      <c r="J89" s="7">
        <f t="shared" si="39"/>
        <v>1.3426140816326526</v>
      </c>
      <c r="K89" s="3">
        <f>'EU petrol prices nominal'!AD8</f>
        <v>1.3426140816326526</v>
      </c>
      <c r="L89" s="3">
        <v>1.3440000000000001</v>
      </c>
      <c r="M89" s="3">
        <v>174.5</v>
      </c>
      <c r="Q89" s="32">
        <f t="shared" si="34"/>
        <v>0.51774581939799336</v>
      </c>
      <c r="R89" s="32">
        <f>R$92+R$93*T89+R$94*U89+R$95*V89+R$96*W89</f>
        <v>0.49711919026938761</v>
      </c>
      <c r="S89" s="27"/>
      <c r="T89">
        <f>USA!Z97*G89</f>
        <v>58.759091609069415</v>
      </c>
      <c r="U89">
        <v>0</v>
      </c>
      <c r="V89">
        <v>0</v>
      </c>
      <c r="W89">
        <v>0</v>
      </c>
      <c r="Z89" s="32">
        <v>0.60599999999999998</v>
      </c>
      <c r="AA89" s="2">
        <v>0.19600000000000001</v>
      </c>
      <c r="AB89" s="2">
        <f t="shared" si="16"/>
        <v>0.22025418060200672</v>
      </c>
      <c r="AC89" s="2">
        <f t="shared" si="27"/>
        <v>0.82625418060200673</v>
      </c>
      <c r="AD89" s="37">
        <v>0.82599999999999996</v>
      </c>
      <c r="AN89" s="9">
        <v>2010</v>
      </c>
      <c r="AO89" s="1">
        <f t="shared" si="18"/>
        <v>1.3440000000000001</v>
      </c>
      <c r="AP89" s="1">
        <f t="shared" si="19"/>
        <v>0.60599999999999998</v>
      </c>
      <c r="AQ89" s="1">
        <f t="shared" si="20"/>
        <v>0.22025418060200672</v>
      </c>
      <c r="AR89" s="1">
        <f t="shared" si="33"/>
        <v>0.82625418060200673</v>
      </c>
      <c r="AS89" s="1">
        <f t="shared" si="29"/>
        <v>0.51774581939799336</v>
      </c>
      <c r="AU89" s="3">
        <v>100</v>
      </c>
      <c r="AW89" s="1">
        <f t="shared" si="30"/>
        <v>1.3440000000000001</v>
      </c>
      <c r="AX89" s="1">
        <f t="shared" si="22"/>
        <v>1.3728370073506242</v>
      </c>
      <c r="AY89" s="1">
        <f t="shared" si="23"/>
        <v>0.82625418060200662</v>
      </c>
      <c r="AZ89" s="22">
        <f t="shared" si="24"/>
        <v>0.51774581939799347</v>
      </c>
      <c r="BA89" s="1">
        <f t="shared" si="31"/>
        <v>0.54658282674861747</v>
      </c>
      <c r="BB89" s="3">
        <f t="shared" si="32"/>
        <v>58.759091609069415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J89" s="1">
        <f t="shared" si="11"/>
        <v>1.462041721229405</v>
      </c>
      <c r="BK89" s="1">
        <f t="shared" si="12"/>
        <v>1.4934114443410207</v>
      </c>
      <c r="BM89" s="13"/>
    </row>
    <row r="90" spans="1:65">
      <c r="A90">
        <v>2011</v>
      </c>
      <c r="B90" s="3">
        <f t="shared" ref="B90:B96" si="40">I90/G90*100/C90*100</f>
        <v>203.03756712873343</v>
      </c>
      <c r="C90" s="3">
        <f>CPIs!AB50</f>
        <v>103.13271097869961</v>
      </c>
      <c r="F90" s="2">
        <f t="shared" si="36"/>
        <v>209.39814728505985</v>
      </c>
      <c r="G90" s="2">
        <f>'Exchange Rates'!K50</f>
        <v>0.71544109992713056</v>
      </c>
      <c r="I90" s="3">
        <f>K90</f>
        <v>1.4981204081632651</v>
      </c>
      <c r="J90" s="7">
        <f t="shared" si="39"/>
        <v>1.4981204081632651</v>
      </c>
      <c r="K90" s="3">
        <f>'EU petrol prices nominal'!AD9</f>
        <v>1.4981204081632651</v>
      </c>
      <c r="T90">
        <f>USA!Z98*G90</f>
        <v>76.874146187170183</v>
      </c>
      <c r="Z90" s="32">
        <v>0.61099999999999999</v>
      </c>
      <c r="AA90" s="2">
        <v>0.19600000000000001</v>
      </c>
      <c r="AB90" s="2">
        <f t="shared" si="16"/>
        <v>0.24551137123745817</v>
      </c>
      <c r="AC90" s="2">
        <f t="shared" si="27"/>
        <v>0.85651137123745813</v>
      </c>
      <c r="AD90" s="2"/>
      <c r="AN90" s="9">
        <v>2011</v>
      </c>
      <c r="AO90" s="1">
        <f t="shared" si="18"/>
        <v>1.4981204081632651</v>
      </c>
      <c r="AP90" s="1">
        <f t="shared" si="19"/>
        <v>0.61099999999999999</v>
      </c>
      <c r="AQ90" s="1">
        <f t="shared" si="20"/>
        <v>0.24551137123745817</v>
      </c>
      <c r="AR90" s="1">
        <f t="shared" si="33"/>
        <v>0.85651137123745813</v>
      </c>
      <c r="AS90" s="1">
        <f t="shared" si="29"/>
        <v>0.64160903692580695</v>
      </c>
      <c r="AU90" s="3">
        <f>CPIs!K50</f>
        <v>102.11748504638672</v>
      </c>
      <c r="AW90" s="1">
        <f t="shared" si="30"/>
        <v>1.4670557226147374</v>
      </c>
      <c r="AX90" s="1">
        <f t="shared" si="22"/>
        <v>1.4809169998222824</v>
      </c>
      <c r="AY90" s="1">
        <f t="shared" si="23"/>
        <v>0.83875094539234796</v>
      </c>
      <c r="AZ90" s="22">
        <f t="shared" si="24"/>
        <v>0.62830477722238942</v>
      </c>
      <c r="BA90" s="1">
        <f t="shared" si="31"/>
        <v>0.64216605442993446</v>
      </c>
      <c r="BB90" s="3">
        <f t="shared" si="32"/>
        <v>75.280101299253715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J90" s="1">
        <f t="shared" si="11"/>
        <v>1.5959052632671868</v>
      </c>
      <c r="BK90" s="1">
        <f t="shared" si="12"/>
        <v>1.6109839579003395</v>
      </c>
      <c r="BM90" s="13"/>
    </row>
    <row r="91" spans="1:65">
      <c r="A91">
        <v>2012</v>
      </c>
      <c r="B91" s="3">
        <f t="shared" si="40"/>
        <v>192.38116397558397</v>
      </c>
      <c r="C91" s="3">
        <f>CPIs!AB51</f>
        <v>105.21072267093371</v>
      </c>
      <c r="G91" s="2">
        <f>'Exchange Rates'!K51</f>
        <v>0.773899446716382</v>
      </c>
      <c r="I91" s="3">
        <f t="shared" ref="I91:I96" si="41">K91</f>
        <v>1.5664159183673463</v>
      </c>
      <c r="J91" s="7">
        <f t="shared" si="39"/>
        <v>1.5664159183673463</v>
      </c>
      <c r="K91" s="3">
        <f>'EU petrol prices nominal'!AD10</f>
        <v>1.5664159183673463</v>
      </c>
      <c r="T91">
        <f>USA!Z99*G91</f>
        <v>84.738784181902005</v>
      </c>
      <c r="Z91" s="32">
        <v>0.60499999999999998</v>
      </c>
      <c r="AA91" s="2">
        <v>0.19600000000000001</v>
      </c>
      <c r="AB91" s="2">
        <f t="shared" si="16"/>
        <v>0.2567036120401337</v>
      </c>
      <c r="AC91" s="2">
        <f t="shared" si="27"/>
        <v>0.86170361204013368</v>
      </c>
      <c r="AN91" s="9">
        <v>2012</v>
      </c>
      <c r="AO91" s="1">
        <f t="shared" si="18"/>
        <v>1.5664159183673463</v>
      </c>
      <c r="AP91" s="1">
        <f t="shared" si="19"/>
        <v>0.60499999999999998</v>
      </c>
      <c r="AQ91" s="1">
        <f t="shared" si="20"/>
        <v>0.2567036120401337</v>
      </c>
      <c r="AR91" s="1">
        <f t="shared" si="33"/>
        <v>0.86170361204013368</v>
      </c>
      <c r="AS91" s="1">
        <f t="shared" si="29"/>
        <v>0.7047123063272126</v>
      </c>
      <c r="AU91" s="3">
        <f>CPIs!K51</f>
        <v>104.11458587646484</v>
      </c>
      <c r="AW91" s="1">
        <f t="shared" si="30"/>
        <v>1.5045115006517404</v>
      </c>
      <c r="AX91" s="1">
        <f t="shared" si="22"/>
        <v>1.5051640585106858</v>
      </c>
      <c r="AY91" s="1">
        <f t="shared" si="23"/>
        <v>0.82764927198824134</v>
      </c>
      <c r="AZ91" s="22">
        <f t="shared" si="24"/>
        <v>0.6768622286634991</v>
      </c>
      <c r="BA91" s="1">
        <f t="shared" si="31"/>
        <v>0.67751478652244457</v>
      </c>
      <c r="BB91" s="3">
        <f t="shared" si="32"/>
        <v>81.389925790462428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J91" s="1">
        <f t="shared" si="11"/>
        <v>1.6366507321594534</v>
      </c>
      <c r="BK91" s="1">
        <f t="shared" si="12"/>
        <v>1.6373606033017856</v>
      </c>
      <c r="BM91" s="13"/>
    </row>
    <row r="92" spans="1:65" ht="15.75" thickBot="1">
      <c r="A92">
        <v>2013</v>
      </c>
      <c r="B92" s="3">
        <f t="shared" si="40"/>
        <v>191.66642072458342</v>
      </c>
      <c r="C92" s="3">
        <f>CPIs!AB52</f>
        <v>106.69767516878358</v>
      </c>
      <c r="G92" s="2">
        <f>'Exchange Rates'!K52</f>
        <v>0.75166876437654617</v>
      </c>
      <c r="I92" s="3">
        <f t="shared" si="41"/>
        <v>1.5371897959183671</v>
      </c>
      <c r="J92" s="7">
        <f t="shared" si="39"/>
        <v>1.5371897959183671</v>
      </c>
      <c r="K92" s="3">
        <f>'EU petrol prices nominal'!AD11</f>
        <v>1.5371897959183671</v>
      </c>
      <c r="Q92" s="13" t="s">
        <v>88</v>
      </c>
      <c r="R92" s="13">
        <v>5.2646414243731544E-2</v>
      </c>
      <c r="S92" s="28"/>
      <c r="T92">
        <f>USA!Z100*G92</f>
        <v>79.628970140184876</v>
      </c>
      <c r="Z92" s="2">
        <v>0.61299999999999999</v>
      </c>
      <c r="AA92" s="2">
        <v>0.19600000000000001</v>
      </c>
      <c r="AB92" s="2">
        <f t="shared" si="16"/>
        <v>0.25191404682274243</v>
      </c>
      <c r="AC92" s="2">
        <f t="shared" si="27"/>
        <v>0.86491404682274242</v>
      </c>
      <c r="AN92" s="9">
        <v>2013</v>
      </c>
      <c r="AO92" s="1">
        <f t="shared" si="18"/>
        <v>1.5371897959183671</v>
      </c>
      <c r="AP92" s="1">
        <f t="shared" si="19"/>
        <v>0.61299999999999999</v>
      </c>
      <c r="AQ92" s="1">
        <f t="shared" si="20"/>
        <v>0.25191404682274243</v>
      </c>
      <c r="AR92" s="1">
        <f t="shared" si="33"/>
        <v>0.86491404682274242</v>
      </c>
      <c r="AS92" s="1">
        <f t="shared" si="29"/>
        <v>0.67227574909562471</v>
      </c>
      <c r="AU92" s="3">
        <f>CPIs!K52</f>
        <v>105.01372528076172</v>
      </c>
      <c r="AW92" s="1">
        <f t="shared" si="30"/>
        <v>1.4637989384802608</v>
      </c>
      <c r="AX92" s="1">
        <f t="shared" si="22"/>
        <v>1.4689513417370905</v>
      </c>
      <c r="AY92" s="1">
        <f t="shared" si="23"/>
        <v>0.82362000253808043</v>
      </c>
      <c r="AZ92" s="22">
        <f t="shared" si="24"/>
        <v>0.64017893594218034</v>
      </c>
      <c r="BA92" s="1">
        <f t="shared" si="31"/>
        <v>0.64533133919901009</v>
      </c>
      <c r="BB92" s="3">
        <f t="shared" si="32"/>
        <v>75.827202517852896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J92" s="1">
        <f t="shared" si="11"/>
        <v>1.5923624401409646</v>
      </c>
      <c r="BK92" s="1">
        <f t="shared" si="12"/>
        <v>1.5979673720800147</v>
      </c>
      <c r="BM92" s="14"/>
    </row>
    <row r="93" spans="1:65">
      <c r="A93">
        <v>2014</v>
      </c>
      <c r="B93" s="3">
        <f t="shared" si="40"/>
        <v>181.61963468415331</v>
      </c>
      <c r="C93" s="3">
        <f>CPIs!AB53</f>
        <v>108.45811062912946</v>
      </c>
      <c r="G93" s="2">
        <f>'Exchange Rates'!K53</f>
        <v>0.757387838338895</v>
      </c>
      <c r="I93" s="3">
        <f t="shared" si="41"/>
        <v>1.4919118367346942</v>
      </c>
      <c r="J93" s="7">
        <f t="shared" si="39"/>
        <v>1.4919118367346942</v>
      </c>
      <c r="K93" s="3">
        <f>'EU petrol prices nominal'!AD12</f>
        <v>1.4919118367346942</v>
      </c>
      <c r="Q93" s="13" t="s">
        <v>99</v>
      </c>
      <c r="R93" s="13">
        <v>7.5643234749573976E-3</v>
      </c>
      <c r="S93" s="28"/>
      <c r="T93">
        <f>USA!Z101*G93</f>
        <v>72.852422962937197</v>
      </c>
      <c r="Z93" s="2">
        <v>0.61299999999999999</v>
      </c>
      <c r="AA93" s="2">
        <v>0.2</v>
      </c>
      <c r="AB93" s="2">
        <f t="shared" si="16"/>
        <v>0.24865197278911572</v>
      </c>
      <c r="AC93" s="2">
        <f t="shared" si="27"/>
        <v>0.86165197278911565</v>
      </c>
      <c r="AN93" s="9">
        <v>2014</v>
      </c>
      <c r="AO93" s="1">
        <f t="shared" si="18"/>
        <v>1.4919118367346942</v>
      </c>
      <c r="AP93" s="1">
        <f t="shared" si="19"/>
        <v>0.61299999999999999</v>
      </c>
      <c r="AQ93" s="1">
        <f t="shared" si="20"/>
        <v>0.24865197278911572</v>
      </c>
      <c r="AR93" s="1">
        <f t="shared" si="33"/>
        <v>0.86165197278911565</v>
      </c>
      <c r="AS93" s="1">
        <f t="shared" si="29"/>
        <v>0.63025986394557854</v>
      </c>
      <c r="AU93" s="3">
        <f>CPIs!K53</f>
        <v>105.546875</v>
      </c>
      <c r="AW93" s="1">
        <f t="shared" si="30"/>
        <v>1.4135064034199916</v>
      </c>
      <c r="AX93" s="1">
        <f t="shared" si="22"/>
        <v>1.4223386526895345</v>
      </c>
      <c r="AY93" s="1">
        <f t="shared" si="23"/>
        <v>0.81636900456703787</v>
      </c>
      <c r="AZ93" s="22">
        <f t="shared" si="24"/>
        <v>0.59713739885295369</v>
      </c>
      <c r="BA93" s="1">
        <f t="shared" si="31"/>
        <v>0.60596964812249665</v>
      </c>
      <c r="BB93" s="3">
        <f t="shared" si="32"/>
        <v>69.023761208408303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J93" s="1">
        <f t="shared" si="11"/>
        <v>1.5376527790364214</v>
      </c>
      <c r="BK93" s="1">
        <f t="shared" si="12"/>
        <v>1.5472607529384819</v>
      </c>
    </row>
    <row r="94" spans="1:65">
      <c r="A94">
        <v>2015</v>
      </c>
      <c r="B94" s="3">
        <f t="shared" si="40"/>
        <v>137.74720577532352</v>
      </c>
      <c r="C94" s="3">
        <f>CPIs!AB54</f>
        <v>108.69337137051741</v>
      </c>
      <c r="G94" s="2">
        <f>'Exchange Rates'!K54</f>
        <v>0.90592556207997499</v>
      </c>
      <c r="I94" s="3">
        <f t="shared" si="41"/>
        <v>1.3563706122448982</v>
      </c>
      <c r="J94" s="7">
        <f t="shared" si="39"/>
        <v>1.3563706122448982</v>
      </c>
      <c r="K94" s="3">
        <f>'EU petrol prices nominal'!AD13</f>
        <v>1.3563706122448982</v>
      </c>
      <c r="Q94" s="13" t="s">
        <v>127</v>
      </c>
      <c r="R94" s="13">
        <v>-2.4200732905875117E-2</v>
      </c>
      <c r="S94" s="28"/>
      <c r="T94">
        <f>USA!Z102*G94</f>
        <v>44.858421631706442</v>
      </c>
      <c r="Z94" s="2">
        <v>0.63100000000000001</v>
      </c>
      <c r="AA94" s="2">
        <v>0.2</v>
      </c>
      <c r="AB94" s="2">
        <f t="shared" si="16"/>
        <v>0.22606176870748304</v>
      </c>
      <c r="AC94" s="2">
        <f t="shared" si="27"/>
        <v>0.85706176870748307</v>
      </c>
      <c r="AN94" s="9">
        <v>2015</v>
      </c>
      <c r="AO94" s="1">
        <f t="shared" si="18"/>
        <v>1.3563706122448982</v>
      </c>
      <c r="AP94" s="1">
        <f t="shared" si="19"/>
        <v>0.63100000000000001</v>
      </c>
      <c r="AQ94" s="1">
        <f t="shared" si="20"/>
        <v>0.22606176870748304</v>
      </c>
      <c r="AR94" s="1">
        <f t="shared" si="33"/>
        <v>0.85706176870748307</v>
      </c>
      <c r="AS94" s="1">
        <f t="shared" si="29"/>
        <v>0.49930884353741511</v>
      </c>
      <c r="AU94" s="3">
        <f>CPIs!K54</f>
        <v>105.58678436279297</v>
      </c>
      <c r="AW94" s="1">
        <f t="shared" si="30"/>
        <v>1.2846026332087641</v>
      </c>
      <c r="AX94" s="1">
        <f t="shared" si="22"/>
        <v>1.2641405873687681</v>
      </c>
      <c r="AY94" s="1">
        <f t="shared" si="23"/>
        <v>0.81171310773386662</v>
      </c>
      <c r="AZ94" s="22">
        <f t="shared" si="24"/>
        <v>0.47288952547489749</v>
      </c>
      <c r="BA94" s="1">
        <f t="shared" si="31"/>
        <v>0.45242747963490149</v>
      </c>
      <c r="BB94" s="3">
        <f t="shared" si="32"/>
        <v>42.484882840615995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J94" s="1">
        <f t="shared" si="11"/>
        <v>1.3974275632086068</v>
      </c>
      <c r="BK94" s="1">
        <f t="shared" si="12"/>
        <v>1.3751683632682921</v>
      </c>
    </row>
    <row r="95" spans="1:65">
      <c r="A95">
        <v>2016</v>
      </c>
      <c r="B95" s="3">
        <f t="shared" si="40"/>
        <v>130.35526250955675</v>
      </c>
      <c r="C95" s="3">
        <f>CPIs!AB55</f>
        <v>110.08253978538585</v>
      </c>
      <c r="G95" s="2">
        <f>'Exchange Rates'!K55</f>
        <v>0.90674707708863456</v>
      </c>
      <c r="I95" s="3">
        <f t="shared" si="41"/>
        <v>1.3011673999999998</v>
      </c>
      <c r="J95" s="7">
        <f t="shared" si="39"/>
        <v>1.3011673999999998</v>
      </c>
      <c r="K95" s="3">
        <f>'EU petrol prices nominal'!AD14</f>
        <v>1.3011673999999998</v>
      </c>
      <c r="Q95" s="13" t="s">
        <v>136</v>
      </c>
      <c r="R95" s="13">
        <v>-3.6451115113248625E-2</v>
      </c>
      <c r="T95">
        <f>USA!Z103*G95</f>
        <v>36.890067859371442</v>
      </c>
      <c r="Z95" s="2">
        <v>0.64800000000000002</v>
      </c>
      <c r="AA95" s="2">
        <v>0.2</v>
      </c>
      <c r="AB95" s="2">
        <f t="shared" si="16"/>
        <v>0.21686123333333329</v>
      </c>
      <c r="AC95" s="2">
        <f t="shared" si="27"/>
        <v>0.86486123333333331</v>
      </c>
      <c r="AN95" s="9">
        <v>2016</v>
      </c>
      <c r="AO95" s="1">
        <f t="shared" si="18"/>
        <v>1.3011673999999998</v>
      </c>
      <c r="AP95" s="1">
        <f t="shared" si="19"/>
        <v>0.64800000000000002</v>
      </c>
      <c r="AQ95" s="1">
        <f t="shared" si="20"/>
        <v>0.21686123333333329</v>
      </c>
      <c r="AR95" s="1">
        <f t="shared" si="33"/>
        <v>0.86486123333333331</v>
      </c>
      <c r="AS95" s="1">
        <f t="shared" si="29"/>
        <v>0.43630616666666644</v>
      </c>
      <c r="AU95" s="3">
        <f>CPIs!K55</f>
        <v>105.78035736083984</v>
      </c>
      <c r="AW95" s="1">
        <f t="shared" si="30"/>
        <v>1.2300652337195592</v>
      </c>
      <c r="AX95" s="1">
        <f t="shared" si="22"/>
        <v>1.2259965017670429</v>
      </c>
      <c r="AY95" s="1">
        <f t="shared" si="23"/>
        <v>0.81760097518209662</v>
      </c>
      <c r="AZ95" s="22">
        <f t="shared" si="24"/>
        <v>0.4124642585374626</v>
      </c>
      <c r="BA95" s="1">
        <f t="shared" si="31"/>
        <v>0.40839552658494638</v>
      </c>
      <c r="BB95" s="3">
        <f t="shared" si="32"/>
        <v>34.874213681781562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J95" s="1">
        <f t="shared" si="11"/>
        <v>1.3381002169135376</v>
      </c>
      <c r="BK95" s="1">
        <f t="shared" si="12"/>
        <v>1.3336741336791047</v>
      </c>
    </row>
    <row r="96" spans="1:65" ht="15.75" thickBot="1">
      <c r="A96">
        <v>2017</v>
      </c>
      <c r="B96" s="3">
        <f t="shared" si="40"/>
        <v>137.91961910912224</v>
      </c>
      <c r="C96" s="3">
        <f>CPIs!AB56</f>
        <v>112.42729788281457</v>
      </c>
      <c r="G96" s="2">
        <f>'Exchange Rates'!K56</f>
        <v>0.88700000000000001</v>
      </c>
      <c r="I96" s="3">
        <f t="shared" si="41"/>
        <v>1.3753759999999999</v>
      </c>
      <c r="J96" s="7">
        <f t="shared" si="39"/>
        <v>1.3753759999999999</v>
      </c>
      <c r="K96" s="3">
        <f>'EU petrol prices nominal'!AD15</f>
        <v>1.3753759999999999</v>
      </c>
      <c r="Q96" s="14" t="s">
        <v>141</v>
      </c>
      <c r="R96" s="14">
        <v>-4.1212963111055982E-2</v>
      </c>
      <c r="T96">
        <f>USA!Z104*G96</f>
        <v>46.576369999999997</v>
      </c>
      <c r="Z96" s="2">
        <v>0.66</v>
      </c>
      <c r="AA96" s="2">
        <v>0.2</v>
      </c>
      <c r="AB96" s="2">
        <f t="shared" si="16"/>
        <v>0.22922933333333334</v>
      </c>
      <c r="AC96" s="2">
        <f t="shared" si="27"/>
        <v>0.88922933333333343</v>
      </c>
      <c r="AN96" s="9">
        <v>2017</v>
      </c>
      <c r="AO96" s="1">
        <f t="shared" si="18"/>
        <v>1.3753759999999999</v>
      </c>
      <c r="AP96" s="1">
        <f t="shared" si="19"/>
        <v>0.66</v>
      </c>
      <c r="AQ96" s="1">
        <f t="shared" si="20"/>
        <v>0.22922933333333334</v>
      </c>
      <c r="AR96" s="1">
        <f t="shared" si="33"/>
        <v>0.88922933333333343</v>
      </c>
      <c r="AS96" s="1">
        <f t="shared" si="29"/>
        <v>0.4861466666666665</v>
      </c>
      <c r="AU96" s="3">
        <f>CPIs!K56</f>
        <v>106.86989504165649</v>
      </c>
      <c r="AW96" s="1">
        <f t="shared" si="30"/>
        <v>1.2869629931459148</v>
      </c>
      <c r="AX96" s="1">
        <f t="shared" si="22"/>
        <v>1.2908439023071636</v>
      </c>
      <c r="AY96" s="1">
        <f t="shared" si="23"/>
        <v>0.83206719065900026</v>
      </c>
      <c r="AZ96" s="22">
        <f t="shared" si="24"/>
        <v>0.45489580248691452</v>
      </c>
      <c r="BA96" s="1">
        <f t="shared" si="31"/>
        <v>0.45877671164816336</v>
      </c>
      <c r="BB96" s="3">
        <f t="shared" si="32"/>
        <v>43.582310979013442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J96" s="1">
        <f t="shared" si="11"/>
        <v>1.3999952304000001</v>
      </c>
      <c r="BK96" s="1">
        <f t="shared" si="12"/>
        <v>1.4042169946187852</v>
      </c>
    </row>
    <row r="97" spans="1:63">
      <c r="A97">
        <v>2018</v>
      </c>
      <c r="G97" s="2">
        <f>'Exchange Rates'!K57</f>
        <v>0.84599999999999997</v>
      </c>
      <c r="I97" s="3">
        <v>1.5041666666666664</v>
      </c>
      <c r="Q97" s="2"/>
      <c r="T97">
        <f>USA!Z105*G97</f>
        <v>59.392569350649353</v>
      </c>
      <c r="Z97" s="2">
        <v>0.66</v>
      </c>
      <c r="AA97" s="2">
        <v>0.2</v>
      </c>
      <c r="AB97" s="2">
        <f>AA97*(AA130/100*(1/(1+AA97)))</f>
        <v>0.24567915588555725</v>
      </c>
      <c r="AC97" s="2">
        <f t="shared" si="27"/>
        <v>0.90567915588555725</v>
      </c>
      <c r="AN97" s="9">
        <v>2018</v>
      </c>
      <c r="AO97" s="1">
        <f t="shared" ref="AO97" si="42">I97</f>
        <v>1.5041666666666664</v>
      </c>
      <c r="AP97" s="1">
        <f t="shared" ref="AP97" si="43">Z97</f>
        <v>0.66</v>
      </c>
      <c r="AQ97" s="1">
        <f t="shared" ref="AQ97" si="44">AB97</f>
        <v>0.24567915588555725</v>
      </c>
      <c r="AR97" s="1">
        <f t="shared" ref="AR97" si="45">AC97</f>
        <v>0.90567915588555725</v>
      </c>
      <c r="AS97" s="1">
        <f t="shared" ref="AS97" si="46">AO97-AR97</f>
        <v>0.59848751078110918</v>
      </c>
      <c r="AU97" s="3">
        <f>CPIs!K57</f>
        <v>108.78286616290215</v>
      </c>
      <c r="AW97" s="1">
        <f t="shared" ref="AW97" si="47">AO97/$AU97*100</f>
        <v>1.3827238789738996</v>
      </c>
      <c r="AX97" s="1">
        <f t="shared" ref="AX97" si="48">BA97+AY97</f>
        <v>1.3550616814103047</v>
      </c>
      <c r="AY97" s="1">
        <f t="shared" ref="AY97" si="49">AR97/$AU97*100</f>
        <v>0.83255680589377401</v>
      </c>
      <c r="AZ97" s="22">
        <f t="shared" ref="AZ97" si="50">AW97-AY97</f>
        <v>0.55016707308012558</v>
      </c>
      <c r="BA97" s="1">
        <f t="shared" si="31"/>
        <v>0.52250487551653069</v>
      </c>
      <c r="BB97" s="3">
        <f>T97/AU97*100</f>
        <v>54.597356592635727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J97" s="1">
        <f>AW97*$AU$97/$AU$89</f>
        <v>1.5041666666666662</v>
      </c>
      <c r="BK97" s="1">
        <f>AX97*$AU$97/$AU$89</f>
        <v>1.4740749353133433</v>
      </c>
    </row>
    <row r="98" spans="1:63">
      <c r="A98">
        <v>2019</v>
      </c>
      <c r="Q98" s="40"/>
      <c r="R98" s="40"/>
      <c r="AN98" s="9">
        <v>2019</v>
      </c>
      <c r="AU98" s="3">
        <f>AU97</f>
        <v>108.78286616290215</v>
      </c>
    </row>
    <row r="99" spans="1:63">
      <c r="Q99" s="40"/>
      <c r="R99" s="40"/>
      <c r="AN99" s="9">
        <v>2020</v>
      </c>
      <c r="AU99" s="3">
        <f t="shared" ref="AU99:AU109" si="51">AU98</f>
        <v>108.78286616290215</v>
      </c>
      <c r="AW99" s="13" t="s">
        <v>88</v>
      </c>
      <c r="AX99" s="13">
        <v>0.20662880838411471</v>
      </c>
    </row>
    <row r="100" spans="1:63">
      <c r="AN100" s="9">
        <v>2021</v>
      </c>
      <c r="AU100" s="3">
        <f t="shared" si="51"/>
        <v>108.78286616290215</v>
      </c>
      <c r="AW100" s="13" t="s">
        <v>229</v>
      </c>
      <c r="AX100" s="13">
        <v>5.7855560570312008E-3</v>
      </c>
    </row>
    <row r="101" spans="1:63">
      <c r="AN101" s="9">
        <v>2022</v>
      </c>
      <c r="AU101" s="3">
        <f t="shared" si="51"/>
        <v>108.78286616290215</v>
      </c>
      <c r="AW101" s="3" t="s">
        <v>284</v>
      </c>
      <c r="AX101" s="13">
        <v>-4.3139963506194576E-2</v>
      </c>
    </row>
    <row r="102" spans="1:63">
      <c r="AN102" s="9">
        <v>2023</v>
      </c>
      <c r="AU102" s="3">
        <f t="shared" si="51"/>
        <v>108.78286616290215</v>
      </c>
      <c r="AW102" s="3" t="s">
        <v>235</v>
      </c>
      <c r="AX102" s="13">
        <v>-6.3839999450699431E-2</v>
      </c>
    </row>
    <row r="103" spans="1:63">
      <c r="AN103" s="9">
        <v>2024</v>
      </c>
      <c r="AU103" s="3">
        <f t="shared" si="51"/>
        <v>108.78286616290215</v>
      </c>
      <c r="AW103" s="3" t="s">
        <v>1996</v>
      </c>
      <c r="AX103" s="13">
        <v>8.743348050628276E-2</v>
      </c>
    </row>
    <row r="104" spans="1:63">
      <c r="AN104" s="9">
        <v>2025</v>
      </c>
      <c r="AU104" s="3">
        <f t="shared" si="51"/>
        <v>108.78286616290215</v>
      </c>
      <c r="AW104" s="3" t="s">
        <v>2086</v>
      </c>
      <c r="AX104" s="13">
        <v>-8.9326567548419805E-2</v>
      </c>
    </row>
    <row r="105" spans="1:63">
      <c r="AN105" s="9">
        <v>2026</v>
      </c>
      <c r="AU105" s="3">
        <f t="shared" si="51"/>
        <v>108.78286616290215</v>
      </c>
      <c r="AW105" s="3" t="s">
        <v>2087</v>
      </c>
      <c r="AX105" s="13">
        <v>5.0515866566564406E-2</v>
      </c>
    </row>
    <row r="106" spans="1:63" ht="15.75" thickBot="1">
      <c r="AN106" s="9">
        <v>2027</v>
      </c>
      <c r="AU106" s="3">
        <f t="shared" si="51"/>
        <v>108.78286616290215</v>
      </c>
      <c r="AW106" s="3" t="s">
        <v>2004</v>
      </c>
      <c r="AX106" s="14">
        <v>-4.3721819223115785E-2</v>
      </c>
    </row>
    <row r="107" spans="1:63">
      <c r="AN107" s="9">
        <v>2028</v>
      </c>
      <c r="AU107" s="3">
        <f t="shared" si="51"/>
        <v>108.78286616290215</v>
      </c>
    </row>
    <row r="108" spans="1:63">
      <c r="AN108" s="9">
        <v>2029</v>
      </c>
      <c r="AU108" s="3">
        <f t="shared" si="51"/>
        <v>108.78286616290215</v>
      </c>
    </row>
    <row r="109" spans="1:63">
      <c r="AN109" s="9">
        <v>2030</v>
      </c>
      <c r="AU109" s="3">
        <f t="shared" si="51"/>
        <v>108.78286616290215</v>
      </c>
    </row>
    <row r="111" spans="1:63">
      <c r="K111" s="13" t="s">
        <v>88</v>
      </c>
      <c r="L111" s="13">
        <f>AX99</f>
        <v>0.20662880838411471</v>
      </c>
    </row>
    <row r="112" spans="1:63">
      <c r="K112" s="13" t="s">
        <v>229</v>
      </c>
      <c r="L112" s="13">
        <f>AX100</f>
        <v>5.7855560570312008E-3</v>
      </c>
    </row>
    <row r="118" spans="1:72">
      <c r="O118" s="12"/>
      <c r="P118"/>
      <c r="Q118" s="23"/>
      <c r="S118" s="32"/>
      <c r="T118" s="23"/>
      <c r="X118"/>
      <c r="Y118" s="23"/>
      <c r="AD118" s="2"/>
      <c r="AN118"/>
      <c r="AO118"/>
      <c r="AP118" s="9"/>
      <c r="BL118" s="3"/>
      <c r="BM118" s="3"/>
    </row>
    <row r="119" spans="1:72">
      <c r="N119" s="3"/>
      <c r="O119" s="7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2"/>
      <c r="AH119" s="2"/>
      <c r="AI119" s="2"/>
      <c r="AJ119" t="s">
        <v>1960</v>
      </c>
      <c r="AK119" t="s">
        <v>1960</v>
      </c>
      <c r="AL119" t="s">
        <v>1960</v>
      </c>
      <c r="AN119"/>
      <c r="AO119"/>
      <c r="AP119"/>
      <c r="AQ119"/>
      <c r="AR119"/>
      <c r="AS119"/>
      <c r="AT119"/>
      <c r="AU119"/>
      <c r="AV119"/>
      <c r="AW119"/>
      <c r="AX119"/>
      <c r="AY119" s="9"/>
      <c r="BL119" s="3"/>
      <c r="BM119" s="3"/>
      <c r="BN119" s="3"/>
      <c r="BO119" s="3"/>
      <c r="BP119" s="3"/>
      <c r="BQ119" s="3"/>
      <c r="BR119" s="3"/>
      <c r="BS119" s="3"/>
      <c r="BT119" s="3"/>
    </row>
    <row r="120" spans="1:72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2547</v>
      </c>
      <c r="R120" s="26"/>
      <c r="S120" s="26"/>
      <c r="T120" s="81">
        <v>0.2</v>
      </c>
      <c r="U120" s="76" t="s">
        <v>2548</v>
      </c>
      <c r="V120" s="76"/>
      <c r="W120" s="76"/>
      <c r="X120" s="76"/>
      <c r="Y120" s="26" t="s">
        <v>2550</v>
      </c>
      <c r="Z120" s="26"/>
      <c r="AA120" s="26"/>
      <c r="AB120" s="79"/>
      <c r="AC120" s="26" t="s">
        <v>2485</v>
      </c>
      <c r="AD120" s="26"/>
      <c r="AE120" s="26"/>
      <c r="AF120" s="79"/>
      <c r="AG120" s="2"/>
      <c r="AH120" s="2"/>
      <c r="AI120" s="2"/>
      <c r="AJ120" s="3" t="s">
        <v>1957</v>
      </c>
      <c r="AK120" s="3" t="s">
        <v>1957</v>
      </c>
      <c r="AL120" s="3" t="s">
        <v>1957</v>
      </c>
      <c r="AN120"/>
      <c r="AO120"/>
      <c r="AP120"/>
      <c r="AQ120"/>
      <c r="AR120"/>
      <c r="AS120"/>
      <c r="AT120"/>
      <c r="AU120" s="9"/>
      <c r="BL120" s="3"/>
      <c r="BM120" s="3"/>
      <c r="BN120" s="3"/>
      <c r="BO120" s="3"/>
      <c r="BP120" s="3"/>
    </row>
    <row r="121" spans="1:72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G121" s="2"/>
      <c r="AH121" s="2"/>
      <c r="AI121" s="2"/>
      <c r="AJ121" s="3" t="s">
        <v>268</v>
      </c>
      <c r="AK121" s="3" t="s">
        <v>267</v>
      </c>
      <c r="AL121" s="3" t="s">
        <v>266</v>
      </c>
      <c r="AN121"/>
      <c r="AO121"/>
      <c r="AP121"/>
      <c r="AQ121"/>
      <c r="AR121"/>
      <c r="AS121"/>
      <c r="AT121"/>
      <c r="AU121" s="9"/>
      <c r="BL121" s="3"/>
      <c r="BM121" s="3"/>
      <c r="BN121" s="3"/>
      <c r="BO121" s="3"/>
      <c r="BP121" s="3"/>
    </row>
    <row r="122" spans="1:72">
      <c r="A122">
        <v>2010</v>
      </c>
      <c r="B122" s="3">
        <f>USA!Z97/USA!AU97*100</f>
        <v>77.45</v>
      </c>
      <c r="C122" s="3">
        <f>AJ122</f>
        <v>77.45</v>
      </c>
      <c r="D122" s="3">
        <f t="shared" ref="D122:E122" si="52">AK122</f>
        <v>77.45</v>
      </c>
      <c r="E122" s="3">
        <f t="shared" si="52"/>
        <v>77.45</v>
      </c>
      <c r="F122" s="6">
        <f>'Exchange Rates'!K49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 t="shared" ref="K122:K130" si="53">L$111+L$112*G122</f>
        <v>0.54658282674861747</v>
      </c>
      <c r="L122" s="6">
        <f t="shared" ref="L122:L142" si="54">L$111+L$112*H122</f>
        <v>0.54658282674861747</v>
      </c>
      <c r="M122" s="6">
        <f t="shared" ref="M122:M142" si="55">L$111+L$112*I122</f>
        <v>0.54658282674861747</v>
      </c>
      <c r="N122" s="6">
        <f t="shared" ref="N122:N142" si="56">L$111+L$112*J122</f>
        <v>0.54658282674861747</v>
      </c>
      <c r="O122">
        <v>2010</v>
      </c>
      <c r="P122" s="24">
        <f t="shared" ref="P122:P130" si="57">Z89/AU89*100</f>
        <v>0.60599999999999998</v>
      </c>
      <c r="Q122" s="3">
        <f t="shared" ref="Q122:T129" si="58">(K122+$P122)*$AA89</f>
        <v>0.225906234042729</v>
      </c>
      <c r="R122" s="3">
        <f t="shared" si="58"/>
        <v>0.225906234042729</v>
      </c>
      <c r="S122" s="3">
        <f t="shared" si="58"/>
        <v>0.225906234042729</v>
      </c>
      <c r="T122" s="3">
        <f t="shared" si="58"/>
        <v>0.225906234042729</v>
      </c>
      <c r="U122" s="3">
        <f t="shared" ref="U122:U130" si="59">AW89</f>
        <v>1.3440000000000001</v>
      </c>
      <c r="V122" s="3">
        <f t="shared" ref="V122:V142" si="60">L122+$P122+R122</f>
        <v>1.3784890607913463</v>
      </c>
      <c r="W122" s="3">
        <f t="shared" ref="W122:W142" si="61">M122+$P122+S122</f>
        <v>1.3784890607913463</v>
      </c>
      <c r="X122" s="3">
        <f t="shared" ref="X122:X142" si="62">N122+$P122+T122</f>
        <v>1.3784890607913463</v>
      </c>
      <c r="Y122" s="9">
        <f t="shared" ref="Y122:Y130" si="63">AW89*$AU$97/100*100</f>
        <v>146.20417212294049</v>
      </c>
      <c r="Z122" s="9">
        <f>V122*$AU$97/100*100</f>
        <v>149.95599100708972</v>
      </c>
      <c r="AA122" s="9">
        <f>W122*$AU$97/100*100</f>
        <v>149.95599100708972</v>
      </c>
      <c r="AB122" s="9">
        <f>X122*$AU$97/100*100</f>
        <v>149.95599100708972</v>
      </c>
      <c r="AC122" s="3">
        <f>U122*$AU$96/100</f>
        <v>1.4363313893598633</v>
      </c>
      <c r="AD122" s="3">
        <f>AC122</f>
        <v>1.4363313893598633</v>
      </c>
      <c r="AE122" s="3">
        <f t="shared" ref="AE122:AF122" si="64">AD122</f>
        <v>1.4363313893598633</v>
      </c>
      <c r="AF122" s="3">
        <f t="shared" si="64"/>
        <v>1.4363313893598633</v>
      </c>
      <c r="AG122" s="2"/>
      <c r="AH122" s="2"/>
      <c r="AI122" s="2"/>
      <c r="AJ122" s="3">
        <f>USA!AJ135</f>
        <v>77.45</v>
      </c>
      <c r="AK122" s="3">
        <f>USA!AK135</f>
        <v>77.45</v>
      </c>
      <c r="AL122" s="3">
        <f>USA!AL135</f>
        <v>77.45</v>
      </c>
      <c r="AN122"/>
      <c r="AO122"/>
      <c r="AP122"/>
      <c r="AQ122"/>
      <c r="AR122"/>
      <c r="AS122"/>
      <c r="AT122"/>
      <c r="AU122" s="9"/>
      <c r="BL122" s="3"/>
      <c r="BM122" s="3"/>
      <c r="BN122" s="3"/>
      <c r="BO122" s="3"/>
      <c r="BP122" s="3"/>
    </row>
    <row r="123" spans="1:72">
      <c r="A123">
        <v>2011</v>
      </c>
      <c r="B123" s="3">
        <f>USA!Z98/USA!AU98*100</f>
        <v>104.18614906980585</v>
      </c>
      <c r="C123" s="3">
        <f t="shared" ref="C123:C142" si="65">AJ123</f>
        <v>104.18614906980586</v>
      </c>
      <c r="D123" s="3">
        <f t="shared" ref="D123:D142" si="66">AK123</f>
        <v>104.18614906980586</v>
      </c>
      <c r="E123" s="3">
        <f t="shared" ref="E123:E142" si="67">AL123</f>
        <v>104.18614906980586</v>
      </c>
      <c r="F123" s="6">
        <f>'Exchange Rates'!K50</f>
        <v>0.71544109992713056</v>
      </c>
      <c r="G123" s="3">
        <f>(B123*USA!$AU98/100)/$AU90*100*$F123</f>
        <v>75.280101299253715</v>
      </c>
      <c r="H123" s="3">
        <f>(C123*USA!$AU98/100)/$AU90*100*$F123</f>
        <v>75.280101299253715</v>
      </c>
      <c r="I123" s="3">
        <f>(D123*USA!$AU98/100)/$AU90*100*$F123</f>
        <v>75.280101299253715</v>
      </c>
      <c r="J123" s="3">
        <f>(E123*USA!$AU98/100)/$AU90*100*$F123</f>
        <v>75.280101299253715</v>
      </c>
      <c r="K123" s="6">
        <f t="shared" si="53"/>
        <v>0.64216605442993446</v>
      </c>
      <c r="L123" s="6">
        <f t="shared" si="54"/>
        <v>0.64216605442993446</v>
      </c>
      <c r="M123" s="6">
        <f t="shared" si="55"/>
        <v>0.64216605442993446</v>
      </c>
      <c r="N123" s="6">
        <f t="shared" si="56"/>
        <v>0.64216605442993446</v>
      </c>
      <c r="O123">
        <v>2011</v>
      </c>
      <c r="P123" s="24">
        <f t="shared" si="57"/>
        <v>0.5983304423551502</v>
      </c>
      <c r="Q123" s="3">
        <f t="shared" si="58"/>
        <v>0.2431373133698766</v>
      </c>
      <c r="R123" s="3">
        <f t="shared" si="58"/>
        <v>0.2431373133698766</v>
      </c>
      <c r="S123" s="3">
        <f t="shared" si="58"/>
        <v>0.2431373133698766</v>
      </c>
      <c r="T123" s="3">
        <f t="shared" si="58"/>
        <v>0.2431373133698766</v>
      </c>
      <c r="U123" s="3">
        <f t="shared" si="59"/>
        <v>1.4670557226147374</v>
      </c>
      <c r="V123" s="3">
        <f t="shared" si="60"/>
        <v>1.4836338101549613</v>
      </c>
      <c r="W123" s="3">
        <f t="shared" si="61"/>
        <v>1.4836338101549613</v>
      </c>
      <c r="X123" s="3">
        <f t="shared" si="62"/>
        <v>1.4836338101549613</v>
      </c>
      <c r="Y123" s="9">
        <f t="shared" si="63"/>
        <v>159.59052632671867</v>
      </c>
      <c r="Z123" s="9">
        <f t="shared" ref="Z123:Z141" si="68">V123*$AU$97/100*100</f>
        <v>161.39393820484375</v>
      </c>
      <c r="AA123" s="9">
        <f t="shared" ref="AA123:AA142" si="69">W123*$AU$97/100*100</f>
        <v>161.39393820484375</v>
      </c>
      <c r="AB123" s="9">
        <f t="shared" ref="AB123:AB142" si="70">X123*$AU$97/100*100</f>
        <v>161.39393820484375</v>
      </c>
      <c r="AC123" s="3">
        <f t="shared" ref="AC123:AC130" si="71">U123*$AU$96/100</f>
        <v>1.567840910960985</v>
      </c>
      <c r="AD123" s="3">
        <f t="shared" ref="AD123:AF123" si="72">AC123</f>
        <v>1.567840910960985</v>
      </c>
      <c r="AE123" s="3">
        <f t="shared" si="72"/>
        <v>1.567840910960985</v>
      </c>
      <c r="AF123" s="3">
        <f t="shared" si="72"/>
        <v>1.567840910960985</v>
      </c>
      <c r="AG123" s="2"/>
      <c r="AH123" s="2"/>
      <c r="AI123" s="2"/>
      <c r="AJ123" s="3">
        <f>USA!AJ136</f>
        <v>104.18614906980586</v>
      </c>
      <c r="AK123" s="3">
        <f>USA!AK136</f>
        <v>104.18614906980586</v>
      </c>
      <c r="AL123" s="3">
        <f>USA!AL136</f>
        <v>104.18614906980586</v>
      </c>
      <c r="AN123"/>
      <c r="AO123"/>
      <c r="AP123"/>
      <c r="AQ123"/>
      <c r="AR123"/>
      <c r="AS123"/>
      <c r="AT123"/>
      <c r="AU123" s="9"/>
      <c r="BL123" s="3"/>
      <c r="BM123" s="3"/>
      <c r="BN123" s="3"/>
      <c r="BO123" s="3"/>
      <c r="BP123" s="3"/>
    </row>
    <row r="124" spans="1:72">
      <c r="A124">
        <v>2012</v>
      </c>
      <c r="B124" s="3">
        <f>USA!Z99/USA!AU99*100</f>
        <v>104.07290773565181</v>
      </c>
      <c r="C124" s="3">
        <f t="shared" si="65"/>
        <v>104.07290773565181</v>
      </c>
      <c r="D124" s="3">
        <f t="shared" si="66"/>
        <v>104.07290773565181</v>
      </c>
      <c r="E124" s="3">
        <f t="shared" si="67"/>
        <v>104.07290773565181</v>
      </c>
      <c r="F124" s="6">
        <f>'Exchange Rates'!K51</f>
        <v>0.773899446716382</v>
      </c>
      <c r="G124" s="3">
        <f>(B124*USA!$AU99/100)/$AU91*100*$F124</f>
        <v>81.389925790462442</v>
      </c>
      <c r="H124" s="3">
        <f>(C124*USA!$AU99/100)/$AU91*100*$F124</f>
        <v>81.389925790462442</v>
      </c>
      <c r="I124" s="3">
        <f>(D124*USA!$AU99/100)/$AU91*100*$F124</f>
        <v>81.389925790462442</v>
      </c>
      <c r="J124" s="3">
        <f>(E124*USA!$AU99/100)/$AU91*100*$F124</f>
        <v>81.389925790462442</v>
      </c>
      <c r="K124" s="6">
        <f t="shared" si="53"/>
        <v>0.67751478652244468</v>
      </c>
      <c r="L124" s="6">
        <f t="shared" si="54"/>
        <v>0.67751478652244468</v>
      </c>
      <c r="M124" s="6">
        <f t="shared" si="55"/>
        <v>0.67751478652244468</v>
      </c>
      <c r="N124" s="6">
        <f t="shared" si="56"/>
        <v>0.67751478652244468</v>
      </c>
      <c r="O124">
        <v>2012</v>
      </c>
      <c r="P124" s="24">
        <f t="shared" si="57"/>
        <v>0.58109053107875885</v>
      </c>
      <c r="Q124" s="3">
        <f t="shared" si="58"/>
        <v>0.24668664224983591</v>
      </c>
      <c r="R124" s="3">
        <f t="shared" si="58"/>
        <v>0.24668664224983591</v>
      </c>
      <c r="S124" s="3">
        <f t="shared" si="58"/>
        <v>0.24668664224983591</v>
      </c>
      <c r="T124" s="3">
        <f t="shared" si="58"/>
        <v>0.24668664224983591</v>
      </c>
      <c r="U124" s="3">
        <f t="shared" si="59"/>
        <v>1.5045115006517404</v>
      </c>
      <c r="V124" s="3">
        <f t="shared" si="60"/>
        <v>1.5052919598510395</v>
      </c>
      <c r="W124" s="3">
        <f t="shared" si="61"/>
        <v>1.5052919598510395</v>
      </c>
      <c r="X124" s="3">
        <f t="shared" si="62"/>
        <v>1.5052919598510395</v>
      </c>
      <c r="Y124" s="9">
        <f t="shared" si="63"/>
        <v>163.66507321594534</v>
      </c>
      <c r="Z124" s="9">
        <f t="shared" si="68"/>
        <v>163.7499738045683</v>
      </c>
      <c r="AA124" s="9">
        <f t="shared" si="69"/>
        <v>163.7499738045683</v>
      </c>
      <c r="AB124" s="9">
        <f t="shared" si="70"/>
        <v>163.7499738045683</v>
      </c>
      <c r="AC124" s="3">
        <f t="shared" si="71"/>
        <v>1.607869861636166</v>
      </c>
      <c r="AD124" s="3">
        <f t="shared" ref="AD124:AF124" si="73">AC124</f>
        <v>1.607869861636166</v>
      </c>
      <c r="AE124" s="3">
        <f t="shared" si="73"/>
        <v>1.607869861636166</v>
      </c>
      <c r="AF124" s="3">
        <f t="shared" si="73"/>
        <v>1.607869861636166</v>
      </c>
      <c r="AG124" s="2"/>
      <c r="AH124" s="2"/>
      <c r="AI124" s="2"/>
      <c r="AJ124" s="3">
        <f>USA!AJ137</f>
        <v>104.07290773565181</v>
      </c>
      <c r="AK124" s="3">
        <f>USA!AK137</f>
        <v>104.07290773565181</v>
      </c>
      <c r="AL124" s="3">
        <f>USA!AL137</f>
        <v>104.07290773565181</v>
      </c>
      <c r="AN124"/>
      <c r="AO124"/>
      <c r="AP124"/>
      <c r="AQ124"/>
      <c r="AR124"/>
      <c r="AS124"/>
      <c r="AT124"/>
      <c r="AU124" s="9"/>
      <c r="BL124" s="3"/>
      <c r="BM124" s="3"/>
      <c r="BN124" s="3"/>
      <c r="BO124" s="3"/>
      <c r="BP124" s="3"/>
    </row>
    <row r="125" spans="1:72">
      <c r="A125">
        <v>2013</v>
      </c>
      <c r="B125" s="3">
        <f>USA!Z100/USA!AU100*100</f>
        <v>99.286371359470479</v>
      </c>
      <c r="C125" s="3">
        <f t="shared" si="65"/>
        <v>99.286371359470493</v>
      </c>
      <c r="D125" s="3">
        <f t="shared" si="66"/>
        <v>99.286371359470493</v>
      </c>
      <c r="E125" s="3">
        <f t="shared" si="67"/>
        <v>99.286371359470493</v>
      </c>
      <c r="F125" s="6">
        <f>'Exchange Rates'!K52</f>
        <v>0.75166876437654617</v>
      </c>
      <c r="G125" s="3">
        <f>(B125*USA!$AU100/100)/$AU92*100*$F125</f>
        <v>75.827202517852896</v>
      </c>
      <c r="H125" s="3">
        <f>(C125*USA!$AU100/100)/$AU92*100*$F125</f>
        <v>75.827202517852911</v>
      </c>
      <c r="I125" s="3">
        <f>(D125*USA!$AU100/100)/$AU92*100*$F125</f>
        <v>75.827202517852911</v>
      </c>
      <c r="J125" s="3">
        <f>(E125*USA!$AU100/100)/$AU92*100*$F125</f>
        <v>75.827202517852911</v>
      </c>
      <c r="K125" s="6">
        <f t="shared" si="53"/>
        <v>0.64533133919901009</v>
      </c>
      <c r="L125" s="6">
        <f t="shared" si="54"/>
        <v>0.64533133919901009</v>
      </c>
      <c r="M125" s="6">
        <f t="shared" si="55"/>
        <v>0.64533133919901009</v>
      </c>
      <c r="N125" s="6">
        <f t="shared" si="56"/>
        <v>0.64533133919901009</v>
      </c>
      <c r="O125">
        <v>2013</v>
      </c>
      <c r="P125" s="24">
        <f t="shared" si="57"/>
        <v>0.58373321997777006</v>
      </c>
      <c r="Q125" s="3">
        <f t="shared" si="58"/>
        <v>0.24089665359864892</v>
      </c>
      <c r="R125" s="3">
        <f t="shared" si="58"/>
        <v>0.24089665359864892</v>
      </c>
      <c r="S125" s="3">
        <f t="shared" si="58"/>
        <v>0.24089665359864892</v>
      </c>
      <c r="T125" s="3">
        <f t="shared" si="58"/>
        <v>0.24089665359864892</v>
      </c>
      <c r="U125" s="3">
        <f t="shared" si="59"/>
        <v>1.4637989384802608</v>
      </c>
      <c r="V125" s="3">
        <f t="shared" si="60"/>
        <v>1.4699612127754291</v>
      </c>
      <c r="W125" s="3">
        <f t="shared" si="61"/>
        <v>1.4699612127754291</v>
      </c>
      <c r="X125" s="3">
        <f t="shared" si="62"/>
        <v>1.4699612127754291</v>
      </c>
      <c r="Y125" s="9">
        <f t="shared" si="63"/>
        <v>159.23624401409646</v>
      </c>
      <c r="Z125" s="9">
        <f t="shared" si="68"/>
        <v>159.90659387400683</v>
      </c>
      <c r="AA125" s="9">
        <f t="shared" si="69"/>
        <v>159.90659387400683</v>
      </c>
      <c r="AB125" s="9">
        <f t="shared" si="70"/>
        <v>159.90659387400683</v>
      </c>
      <c r="AC125" s="3">
        <f t="shared" si="71"/>
        <v>1.5643603891747366</v>
      </c>
      <c r="AD125" s="3">
        <f t="shared" ref="AD125:AF125" si="74">AC125</f>
        <v>1.5643603891747366</v>
      </c>
      <c r="AE125" s="3">
        <f t="shared" si="74"/>
        <v>1.5643603891747366</v>
      </c>
      <c r="AF125" s="3">
        <f t="shared" si="74"/>
        <v>1.5643603891747366</v>
      </c>
      <c r="AG125" s="2"/>
      <c r="AH125" s="2"/>
      <c r="AI125" s="2"/>
      <c r="AJ125" s="3">
        <f>USA!AJ138</f>
        <v>99.286371359470493</v>
      </c>
      <c r="AK125" s="3">
        <f>USA!AK138</f>
        <v>99.286371359470493</v>
      </c>
      <c r="AL125" s="3">
        <f>USA!AL138</f>
        <v>99.286371359470493</v>
      </c>
      <c r="AN125"/>
      <c r="AO125"/>
      <c r="AP125"/>
      <c r="AQ125"/>
      <c r="AR125"/>
      <c r="AS125"/>
      <c r="AT125"/>
      <c r="AU125" s="9"/>
      <c r="BL125" s="3"/>
      <c r="BM125" s="3"/>
      <c r="BN125" s="3"/>
      <c r="BO125" s="3"/>
      <c r="BP125" s="3"/>
    </row>
    <row r="126" spans="1:72">
      <c r="A126">
        <v>2014</v>
      </c>
      <c r="B126" s="3">
        <f>USA!Z101/USA!AU101*100</f>
        <v>88.687750298592292</v>
      </c>
      <c r="C126" s="3">
        <f t="shared" si="65"/>
        <v>88.687750298592292</v>
      </c>
      <c r="D126" s="3">
        <f t="shared" si="66"/>
        <v>88.687750298592292</v>
      </c>
      <c r="E126" s="3">
        <f t="shared" si="67"/>
        <v>88.687750298592292</v>
      </c>
      <c r="F126" s="6">
        <f>'Exchange Rates'!K53</f>
        <v>0.757387838338895</v>
      </c>
      <c r="G126" s="3">
        <f>(B126*USA!$AU101/100)/$AU93*100*$F126</f>
        <v>69.023761208408303</v>
      </c>
      <c r="H126" s="3">
        <f>(C126*USA!$AU101/100)/$AU93*100*$F126</f>
        <v>69.023761208408303</v>
      </c>
      <c r="I126" s="3">
        <f>(D126*USA!$AU101/100)/$AU93*100*$F126</f>
        <v>69.023761208408303</v>
      </c>
      <c r="J126" s="3">
        <f>(E126*USA!$AU101/100)/$AU93*100*$F126</f>
        <v>69.023761208408303</v>
      </c>
      <c r="K126" s="6">
        <f t="shared" si="53"/>
        <v>0.60596964812249665</v>
      </c>
      <c r="L126" s="6">
        <f t="shared" si="54"/>
        <v>0.60596964812249665</v>
      </c>
      <c r="M126" s="6">
        <f t="shared" si="55"/>
        <v>0.60596964812249665</v>
      </c>
      <c r="N126" s="6">
        <f t="shared" si="56"/>
        <v>0.60596964812249665</v>
      </c>
      <c r="O126">
        <v>2014</v>
      </c>
      <c r="P126" s="24">
        <f t="shared" si="57"/>
        <v>0.58078460399703913</v>
      </c>
      <c r="Q126" s="3">
        <f t="shared" si="58"/>
        <v>0.23735085042390716</v>
      </c>
      <c r="R126" s="3">
        <f t="shared" si="58"/>
        <v>0.23735085042390716</v>
      </c>
      <c r="S126" s="3">
        <f t="shared" si="58"/>
        <v>0.23735085042390716</v>
      </c>
      <c r="T126" s="3">
        <f t="shared" si="58"/>
        <v>0.23735085042390716</v>
      </c>
      <c r="U126" s="3">
        <f t="shared" si="59"/>
        <v>1.4135064034199916</v>
      </c>
      <c r="V126" s="3">
        <f t="shared" si="60"/>
        <v>1.424105102543443</v>
      </c>
      <c r="W126" s="3">
        <f t="shared" si="61"/>
        <v>1.424105102543443</v>
      </c>
      <c r="X126" s="3">
        <f t="shared" si="62"/>
        <v>1.424105102543443</v>
      </c>
      <c r="Y126" s="9">
        <f t="shared" si="63"/>
        <v>153.76527790364213</v>
      </c>
      <c r="Z126" s="9">
        <f t="shared" si="68"/>
        <v>154.91823477188942</v>
      </c>
      <c r="AA126" s="9">
        <f t="shared" si="69"/>
        <v>154.91823477188942</v>
      </c>
      <c r="AB126" s="9">
        <f t="shared" si="70"/>
        <v>154.91823477188942</v>
      </c>
      <c r="AC126" s="3">
        <f t="shared" si="71"/>
        <v>1.5106128097420386</v>
      </c>
      <c r="AD126" s="3">
        <f t="shared" ref="AD126:AF126" si="75">AC126</f>
        <v>1.5106128097420386</v>
      </c>
      <c r="AE126" s="3">
        <f t="shared" si="75"/>
        <v>1.5106128097420386</v>
      </c>
      <c r="AF126" s="3">
        <f t="shared" si="75"/>
        <v>1.5106128097420386</v>
      </c>
      <c r="AG126" s="2"/>
      <c r="AH126" s="2"/>
      <c r="AI126" s="2"/>
      <c r="AJ126" s="3">
        <f>USA!AJ139</f>
        <v>88.687750298592292</v>
      </c>
      <c r="AK126" s="3">
        <f>USA!AK139</f>
        <v>88.687750298592292</v>
      </c>
      <c r="AL126" s="3">
        <f>USA!AL139</f>
        <v>88.687750298592292</v>
      </c>
      <c r="AN126"/>
      <c r="AO126"/>
      <c r="AP126"/>
      <c r="AQ126"/>
      <c r="AR126"/>
      <c r="AS126"/>
      <c r="AT126"/>
      <c r="AU126" s="9"/>
      <c r="BL126" s="3"/>
      <c r="BM126" s="3"/>
      <c r="BN126" s="3"/>
      <c r="BO126" s="3"/>
      <c r="BP126" s="3"/>
    </row>
    <row r="127" spans="1:72">
      <c r="A127">
        <v>2015</v>
      </c>
      <c r="B127" s="3">
        <f>USA!Z102/USA!AU102*100</f>
        <v>45.556296925601828</v>
      </c>
      <c r="C127" s="3">
        <f t="shared" si="65"/>
        <v>45.556296925601814</v>
      </c>
      <c r="D127" s="3">
        <f t="shared" si="66"/>
        <v>45.556296925601814</v>
      </c>
      <c r="E127" s="3">
        <f t="shared" si="67"/>
        <v>45.556296925601814</v>
      </c>
      <c r="F127" s="6">
        <f>'Exchange Rates'!K54</f>
        <v>0.90592556207997499</v>
      </c>
      <c r="G127" s="3">
        <f>(B127*USA!$AU102/100)/$AU94*100*$F127</f>
        <v>42.484882840615995</v>
      </c>
      <c r="H127" s="3">
        <f>(C127*USA!$AU102/100)/$AU94*100*$F127</f>
        <v>42.484882840615988</v>
      </c>
      <c r="I127" s="3">
        <f>(D127*USA!$AU102/100)/$AU94*100*$F127</f>
        <v>42.484882840615988</v>
      </c>
      <c r="J127" s="3">
        <f>(E127*USA!$AU102/100)/$AU94*100*$F127</f>
        <v>42.484882840615988</v>
      </c>
      <c r="K127" s="6">
        <f t="shared" si="53"/>
        <v>0.45242747963490149</v>
      </c>
      <c r="L127" s="6">
        <f t="shared" si="54"/>
        <v>0.45242747963490149</v>
      </c>
      <c r="M127" s="6">
        <f t="shared" si="55"/>
        <v>0.45242747963490149</v>
      </c>
      <c r="N127" s="6">
        <f t="shared" si="56"/>
        <v>0.45242747963490149</v>
      </c>
      <c r="O127">
        <v>2015</v>
      </c>
      <c r="P127" s="24">
        <f t="shared" si="57"/>
        <v>0.59761266886573916</v>
      </c>
      <c r="Q127" s="3">
        <f t="shared" si="58"/>
        <v>0.21000802970012816</v>
      </c>
      <c r="R127" s="3">
        <f t="shared" si="58"/>
        <v>0.21000802970012816</v>
      </c>
      <c r="S127" s="3">
        <f t="shared" si="58"/>
        <v>0.21000802970012816</v>
      </c>
      <c r="T127" s="3">
        <f t="shared" si="58"/>
        <v>0.21000802970012816</v>
      </c>
      <c r="U127" s="3">
        <f t="shared" si="59"/>
        <v>1.2846026332087641</v>
      </c>
      <c r="V127" s="3">
        <f t="shared" si="60"/>
        <v>1.2600481782007689</v>
      </c>
      <c r="W127" s="3">
        <f t="shared" si="61"/>
        <v>1.2600481782007689</v>
      </c>
      <c r="X127" s="3">
        <f t="shared" si="62"/>
        <v>1.2600481782007689</v>
      </c>
      <c r="Y127" s="9">
        <f t="shared" si="63"/>
        <v>139.74275632086068</v>
      </c>
      <c r="Z127" s="9">
        <f t="shared" si="68"/>
        <v>137.07165232802291</v>
      </c>
      <c r="AA127" s="9">
        <f t="shared" si="69"/>
        <v>137.07165232802291</v>
      </c>
      <c r="AB127" s="9">
        <f t="shared" si="70"/>
        <v>137.07165232802291</v>
      </c>
      <c r="AC127" s="3">
        <f t="shared" si="71"/>
        <v>1.3728534858125616</v>
      </c>
      <c r="AD127" s="3">
        <f t="shared" ref="AD127:AF127" si="76">AC127</f>
        <v>1.3728534858125616</v>
      </c>
      <c r="AE127" s="3">
        <f t="shared" si="76"/>
        <v>1.3728534858125616</v>
      </c>
      <c r="AF127" s="3">
        <f t="shared" si="76"/>
        <v>1.3728534858125616</v>
      </c>
      <c r="AG127" s="2"/>
      <c r="AH127" s="2"/>
      <c r="AI127" s="2"/>
      <c r="AJ127" s="3">
        <f>USA!AJ140</f>
        <v>45.556296925601814</v>
      </c>
      <c r="AK127" s="3">
        <f>USA!AK140</f>
        <v>45.556296925601814</v>
      </c>
      <c r="AL127" s="3">
        <f>USA!AL140</f>
        <v>45.556296925601814</v>
      </c>
      <c r="AN127"/>
      <c r="AO127"/>
      <c r="AP127"/>
      <c r="AQ127"/>
      <c r="AR127"/>
      <c r="AS127"/>
      <c r="AT127"/>
      <c r="AU127" s="9"/>
      <c r="BL127" s="3"/>
      <c r="BM127" s="3"/>
      <c r="BN127" s="3"/>
      <c r="BO127" s="3"/>
      <c r="BP127" s="3"/>
    </row>
    <row r="128" spans="1:72">
      <c r="A128">
        <v>2016</v>
      </c>
      <c r="B128" s="3">
        <f>USA!Z103/USA!AU103*100</f>
        <v>36.957692605914716</v>
      </c>
      <c r="C128" s="3">
        <f t="shared" si="65"/>
        <v>36.957692605914716</v>
      </c>
      <c r="D128" s="3">
        <f t="shared" si="66"/>
        <v>36.957692605914716</v>
      </c>
      <c r="E128" s="3">
        <f t="shared" si="67"/>
        <v>36.957692605914716</v>
      </c>
      <c r="F128" s="6">
        <f>'Exchange Rates'!K55</f>
        <v>0.90674707708863456</v>
      </c>
      <c r="G128" s="3">
        <f>(B128*USA!$AU103/100)/$AU95*100*$F128</f>
        <v>34.874213681781569</v>
      </c>
      <c r="H128" s="3">
        <f>(C128*USA!$AU103/100)/$AU95*100*$F128</f>
        <v>34.874213681781569</v>
      </c>
      <c r="I128" s="3">
        <f>(D128*USA!$AU103/100)/$AU95*100*$F128</f>
        <v>34.874213681781569</v>
      </c>
      <c r="J128" s="3">
        <f>(E128*USA!$AU103/100)/$AU95*100*$F128</f>
        <v>34.874213681781569</v>
      </c>
      <c r="K128" s="6">
        <f t="shared" si="53"/>
        <v>0.40839552658494643</v>
      </c>
      <c r="L128" s="6">
        <f t="shared" si="54"/>
        <v>0.40839552658494643</v>
      </c>
      <c r="M128" s="6">
        <f t="shared" si="55"/>
        <v>0.40839552658494643</v>
      </c>
      <c r="N128" s="6">
        <f t="shared" si="56"/>
        <v>0.40839552658494643</v>
      </c>
      <c r="O128">
        <v>2016</v>
      </c>
      <c r="P128" s="24">
        <f t="shared" si="57"/>
        <v>0.61259010289550342</v>
      </c>
      <c r="Q128" s="3">
        <f t="shared" si="58"/>
        <v>0.20419712589608996</v>
      </c>
      <c r="R128" s="3">
        <f t="shared" si="58"/>
        <v>0.20419712589608996</v>
      </c>
      <c r="S128" s="3">
        <f t="shared" si="58"/>
        <v>0.20419712589608996</v>
      </c>
      <c r="T128" s="3">
        <f t="shared" si="58"/>
        <v>0.20419712589608996</v>
      </c>
      <c r="U128" s="3">
        <f t="shared" si="59"/>
        <v>1.2300652337195592</v>
      </c>
      <c r="V128" s="3">
        <f t="shared" si="60"/>
        <v>1.2251827553765398</v>
      </c>
      <c r="W128" s="3">
        <f t="shared" si="61"/>
        <v>1.2251827553765398</v>
      </c>
      <c r="X128" s="3">
        <f t="shared" si="62"/>
        <v>1.2251827553765398</v>
      </c>
      <c r="Y128" s="9">
        <f t="shared" si="63"/>
        <v>133.81002169135377</v>
      </c>
      <c r="Z128" s="9">
        <f t="shared" si="68"/>
        <v>133.2788917032218</v>
      </c>
      <c r="AA128" s="9">
        <f t="shared" si="69"/>
        <v>133.2788917032218</v>
      </c>
      <c r="AB128" s="9">
        <f t="shared" si="70"/>
        <v>133.2788917032218</v>
      </c>
      <c r="AC128" s="3">
        <f t="shared" si="71"/>
        <v>1.3145694242199997</v>
      </c>
      <c r="AD128" s="3">
        <f t="shared" ref="AD128:AF128" si="77">AC128</f>
        <v>1.3145694242199997</v>
      </c>
      <c r="AE128" s="3">
        <f t="shared" si="77"/>
        <v>1.3145694242199997</v>
      </c>
      <c r="AF128" s="3">
        <f t="shared" si="77"/>
        <v>1.3145694242199997</v>
      </c>
      <c r="AG128" s="2"/>
      <c r="AH128" s="2"/>
      <c r="AI128" s="2"/>
      <c r="AJ128" s="3">
        <f>USA!AJ141</f>
        <v>36.957692605914716</v>
      </c>
      <c r="AK128" s="3">
        <f>USA!AK141</f>
        <v>36.957692605914716</v>
      </c>
      <c r="AL128" s="3">
        <f>USA!AL141</f>
        <v>36.957692605914716</v>
      </c>
      <c r="AN128"/>
      <c r="AO128"/>
      <c r="AP128"/>
      <c r="AQ128"/>
      <c r="AR128"/>
      <c r="AS128"/>
      <c r="AT128"/>
      <c r="AU128" s="9"/>
      <c r="BL128" s="3"/>
      <c r="BM128" s="3"/>
      <c r="BN128" s="3"/>
      <c r="BO128" s="3"/>
      <c r="BP128" s="3"/>
    </row>
    <row r="129" spans="1:68">
      <c r="A129">
        <v>2017</v>
      </c>
      <c r="B129" s="3">
        <f>USA!Z104/USA!AU104*100</f>
        <v>46.705738720797434</v>
      </c>
      <c r="C129" s="3">
        <f t="shared" si="65"/>
        <v>46.705738720797434</v>
      </c>
      <c r="D129" s="3">
        <f t="shared" si="66"/>
        <v>46.705738720797434</v>
      </c>
      <c r="E129" s="3">
        <f t="shared" si="67"/>
        <v>46.705738720797434</v>
      </c>
      <c r="F129" s="6">
        <f>'Exchange Rates'!K56</f>
        <v>0.88700000000000001</v>
      </c>
      <c r="G129" s="3">
        <f>(B129*USA!$AU104/100)/$AU96*100*$F129</f>
        <v>43.582310979013442</v>
      </c>
      <c r="H129" s="3">
        <f>(C129*USA!$AU104/100)/$AU96*100*$F129</f>
        <v>43.582310979013442</v>
      </c>
      <c r="I129" s="3">
        <f>(D129*USA!$AU104/100)/$AU96*100*$F129</f>
        <v>43.582310979013442</v>
      </c>
      <c r="J129" s="3">
        <f>(E129*USA!$AU104/100)/$AU96*100*$F129</f>
        <v>43.582310979013442</v>
      </c>
      <c r="K129" s="6">
        <f t="shared" si="53"/>
        <v>0.45877671164816336</v>
      </c>
      <c r="L129" s="6">
        <f t="shared" si="54"/>
        <v>0.45877671164816336</v>
      </c>
      <c r="M129" s="6">
        <f t="shared" si="55"/>
        <v>0.45877671164816336</v>
      </c>
      <c r="N129" s="6">
        <f t="shared" si="56"/>
        <v>0.45877671164816336</v>
      </c>
      <c r="O129">
        <v>2017</v>
      </c>
      <c r="P129" s="24">
        <f t="shared" si="57"/>
        <v>0.61757335846801442</v>
      </c>
      <c r="Q129" s="3">
        <f t="shared" si="58"/>
        <v>0.21527001402323559</v>
      </c>
      <c r="R129" s="3">
        <f t="shared" si="58"/>
        <v>0.21527001402323559</v>
      </c>
      <c r="S129" s="3">
        <f t="shared" si="58"/>
        <v>0.21527001402323559</v>
      </c>
      <c r="T129" s="3">
        <f t="shared" si="58"/>
        <v>0.21527001402323559</v>
      </c>
      <c r="U129" s="3">
        <f t="shared" si="59"/>
        <v>1.2869629931459148</v>
      </c>
      <c r="V129" s="3">
        <f t="shared" si="60"/>
        <v>1.2916200841394134</v>
      </c>
      <c r="W129" s="3">
        <f t="shared" si="61"/>
        <v>1.2916200841394134</v>
      </c>
      <c r="X129" s="3">
        <f t="shared" si="62"/>
        <v>1.2916200841394134</v>
      </c>
      <c r="Y129" s="9">
        <f t="shared" si="63"/>
        <v>139.99952304000001</v>
      </c>
      <c r="Z129" s="9">
        <f t="shared" si="68"/>
        <v>140.50613474625422</v>
      </c>
      <c r="AA129" s="9">
        <f t="shared" si="69"/>
        <v>140.50613474625422</v>
      </c>
      <c r="AB129" s="9">
        <f t="shared" si="70"/>
        <v>140.50613474625422</v>
      </c>
      <c r="AC129" s="3">
        <f t="shared" si="71"/>
        <v>1.3753759999999999</v>
      </c>
      <c r="AD129" s="3">
        <f t="shared" ref="AD129:AF129" si="78">AC129</f>
        <v>1.3753759999999999</v>
      </c>
      <c r="AE129" s="3">
        <f t="shared" si="78"/>
        <v>1.3753759999999999</v>
      </c>
      <c r="AF129" s="3">
        <f t="shared" si="78"/>
        <v>1.3753759999999999</v>
      </c>
      <c r="AG129" s="2"/>
      <c r="AH129" s="2"/>
      <c r="AI129" s="2"/>
      <c r="AJ129" s="3">
        <f>USA!AJ142</f>
        <v>46.705738720797434</v>
      </c>
      <c r="AK129" s="3">
        <f>USA!AK142</f>
        <v>46.705738720797434</v>
      </c>
      <c r="AL129" s="3">
        <f>USA!AL142</f>
        <v>46.705738720797434</v>
      </c>
      <c r="AN129"/>
      <c r="AO129"/>
      <c r="AP129"/>
      <c r="AQ129"/>
      <c r="AR129"/>
      <c r="AS129"/>
      <c r="AT129"/>
      <c r="AU129" s="9"/>
      <c r="BL129" s="3"/>
      <c r="BM129" s="3"/>
      <c r="BN129" s="3"/>
      <c r="BO129" s="3"/>
      <c r="BP129" s="3"/>
    </row>
    <row r="130" spans="1:68">
      <c r="A130">
        <v>2018</v>
      </c>
      <c r="B130" s="3">
        <f>USA!Z105/USA!AU105*100</f>
        <v>60.818458312139953</v>
      </c>
      <c r="C130" s="3">
        <f t="shared" si="65"/>
        <v>60.818458312139953</v>
      </c>
      <c r="D130" s="3">
        <f t="shared" si="66"/>
        <v>60.818458312139953</v>
      </c>
      <c r="E130" s="3">
        <f t="shared" si="67"/>
        <v>60.818458312139953</v>
      </c>
      <c r="F130" s="6">
        <f>'Exchange Rates'!K57</f>
        <v>0.84599999999999997</v>
      </c>
      <c r="G130" s="3">
        <f>(B130*USA!$AU105/100)/$AU97*100*$F130</f>
        <v>54.597356592635727</v>
      </c>
      <c r="H130" s="3">
        <f>(C130*USA!$AU105/100)/$AU97*100*$F130</f>
        <v>54.597356592635727</v>
      </c>
      <c r="I130" s="3">
        <f>(D130*USA!$AU105/100)/$AU97*100*$F130</f>
        <v>54.597356592635727</v>
      </c>
      <c r="J130" s="3">
        <f>(E130*USA!$AU105/100)/$AU97*100*$F130</f>
        <v>54.597356592635727</v>
      </c>
      <c r="K130" s="6">
        <f t="shared" si="53"/>
        <v>0.52250487551653069</v>
      </c>
      <c r="L130" s="6">
        <f t="shared" si="54"/>
        <v>0.52250487551653069</v>
      </c>
      <c r="M130" s="6">
        <f t="shared" si="55"/>
        <v>0.52250487551653069</v>
      </c>
      <c r="N130" s="6">
        <f t="shared" si="56"/>
        <v>0.52250487551653069</v>
      </c>
      <c r="O130">
        <v>2018</v>
      </c>
      <c r="P130" s="24">
        <f t="shared" si="57"/>
        <v>0.60671319232538989</v>
      </c>
      <c r="Q130" s="3">
        <f>(K130+P130)*$T$120</f>
        <v>0.22584361356838412</v>
      </c>
      <c r="R130" s="3">
        <f t="shared" ref="R130:R142" si="79">(L130+P130)*$T$120</f>
        <v>0.22584361356838412</v>
      </c>
      <c r="S130" s="3">
        <f t="shared" ref="S130:S142" si="80">(M130+P130)*$T$120</f>
        <v>0.22584361356838412</v>
      </c>
      <c r="T130" s="3">
        <f t="shared" ref="T130:T142" si="81">(N130+P130)*$T$120</f>
        <v>0.22584361356838412</v>
      </c>
      <c r="U130" s="3">
        <f t="shared" si="59"/>
        <v>1.3827238789738996</v>
      </c>
      <c r="V130" s="3">
        <f t="shared" si="60"/>
        <v>1.3550616814103047</v>
      </c>
      <c r="W130" s="3">
        <f t="shared" si="61"/>
        <v>1.3550616814103047</v>
      </c>
      <c r="X130" s="3">
        <f t="shared" si="62"/>
        <v>1.3550616814103047</v>
      </c>
      <c r="Y130" s="9">
        <f t="shared" si="63"/>
        <v>150.41666666666663</v>
      </c>
      <c r="Z130" s="9">
        <f t="shared" si="68"/>
        <v>147.40749353133432</v>
      </c>
      <c r="AA130" s="9">
        <f t="shared" si="69"/>
        <v>147.40749353133432</v>
      </c>
      <c r="AB130" s="9">
        <f t="shared" si="70"/>
        <v>147.40749353133432</v>
      </c>
      <c r="AC130" s="3">
        <f t="shared" si="71"/>
        <v>1.4777155581753276</v>
      </c>
      <c r="AD130" s="3">
        <f t="shared" ref="AD130:AD142" si="82">V130*$AU$96/100</f>
        <v>1.4481529966728983</v>
      </c>
      <c r="AE130" s="3">
        <f t="shared" ref="AE130:AE142" si="83">W130*$AU$96/100</f>
        <v>1.4481529966728983</v>
      </c>
      <c r="AF130" s="3">
        <f t="shared" ref="AF130:AF142" si="84">X130*$AU$96/100</f>
        <v>1.4481529966728983</v>
      </c>
      <c r="AG130" s="2"/>
      <c r="AH130" s="2"/>
      <c r="AI130" s="2"/>
      <c r="AJ130" s="3">
        <f>USA!AJ143</f>
        <v>60.818458312139953</v>
      </c>
      <c r="AK130" s="3">
        <f>USA!AK143</f>
        <v>60.818458312139953</v>
      </c>
      <c r="AL130" s="3">
        <f>USA!AL143</f>
        <v>60.818458312139953</v>
      </c>
      <c r="AN130"/>
      <c r="AO130"/>
      <c r="AP130"/>
      <c r="AQ130"/>
      <c r="AR130"/>
      <c r="AS130"/>
      <c r="AT130"/>
      <c r="AU130" s="9"/>
      <c r="BL130" s="3"/>
      <c r="BM130" s="3"/>
      <c r="BN130" s="3"/>
      <c r="BO130" s="3"/>
      <c r="BP130" s="3"/>
    </row>
    <row r="131" spans="1:68">
      <c r="A131">
        <v>2019</v>
      </c>
      <c r="B131" s="3"/>
      <c r="C131" s="3">
        <f>AJ131</f>
        <v>90.611761513694489</v>
      </c>
      <c r="D131" s="3">
        <f t="shared" si="66"/>
        <v>56.019786702864394</v>
      </c>
      <c r="E131" s="3">
        <f t="shared" si="67"/>
        <v>25.889074718198426</v>
      </c>
      <c r="F131" s="6">
        <f>'Exchange Rates'!K58</f>
        <v>0.86199999999999999</v>
      </c>
      <c r="G131" s="3"/>
      <c r="H131" s="3">
        <f>(C131*USA!$AU106/100)/$AU98*100*$F131</f>
        <v>82.881515820115197</v>
      </c>
      <c r="I131" s="3">
        <f>(D131*USA!$AU106/100)/$AU98*100*$F131</f>
        <v>51.24064205672925</v>
      </c>
      <c r="J131" s="3">
        <f>(E131*USA!$AU106/100)/$AU98*100*$F131</f>
        <v>23.680433091461488</v>
      </c>
      <c r="K131" s="6"/>
      <c r="L131" s="6">
        <f t="shared" si="54"/>
        <v>0.68614446425310949</v>
      </c>
      <c r="M131" s="6">
        <f t="shared" si="55"/>
        <v>0.50308441540159232</v>
      </c>
      <c r="N131" s="6">
        <f t="shared" si="56"/>
        <v>0.34363328148954181</v>
      </c>
      <c r="O131">
        <v>2019</v>
      </c>
      <c r="P131" s="3">
        <f t="shared" ref="P131:P142" si="85">P130</f>
        <v>0.60671319232538989</v>
      </c>
      <c r="Q131" s="3"/>
      <c r="R131" s="3">
        <f t="shared" si="79"/>
        <v>0.25857153131569988</v>
      </c>
      <c r="S131" s="3">
        <f t="shared" si="80"/>
        <v>0.22195952154539644</v>
      </c>
      <c r="T131" s="3">
        <f t="shared" si="81"/>
        <v>0.19006929476298634</v>
      </c>
      <c r="U131" s="3"/>
      <c r="V131" s="3">
        <f t="shared" si="60"/>
        <v>1.551429187894199</v>
      </c>
      <c r="W131" s="3">
        <f t="shared" si="61"/>
        <v>1.3317571292723787</v>
      </c>
      <c r="X131" s="3">
        <f t="shared" si="62"/>
        <v>1.1404157685779179</v>
      </c>
      <c r="Y131" s="9"/>
      <c r="Z131" s="9">
        <f t="shared" si="68"/>
        <v>168.76891370791463</v>
      </c>
      <c r="AA131" s="9">
        <f t="shared" si="69"/>
        <v>144.87235755512796</v>
      </c>
      <c r="AB131" s="9">
        <f t="shared" si="70"/>
        <v>124.05769592327482</v>
      </c>
      <c r="AC131" s="3"/>
      <c r="AD131" s="3">
        <f t="shared" si="82"/>
        <v>1.658010744748154</v>
      </c>
      <c r="AE131" s="3">
        <f t="shared" si="83"/>
        <v>1.4232474462631686</v>
      </c>
      <c r="AF131" s="3">
        <f t="shared" si="84"/>
        <v>1.218761134917721</v>
      </c>
      <c r="AG131" s="2"/>
      <c r="AH131" s="2"/>
      <c r="AI131" s="2"/>
      <c r="AJ131" s="3">
        <f>USA!AJ144</f>
        <v>90.611761513694489</v>
      </c>
      <c r="AK131" s="3">
        <f>USA!AK144</f>
        <v>56.019786702864394</v>
      </c>
      <c r="AL131" s="3">
        <f>USA!AL144</f>
        <v>25.889074718198426</v>
      </c>
      <c r="AN131"/>
      <c r="AO131"/>
      <c r="AP131"/>
      <c r="AQ131"/>
      <c r="AR131"/>
      <c r="AS131"/>
      <c r="AT131"/>
      <c r="AU131" s="9"/>
      <c r="BL131" s="3"/>
      <c r="BM131" s="3"/>
      <c r="BN131" s="3"/>
      <c r="BO131" s="3"/>
      <c r="BP131" s="3"/>
    </row>
    <row r="132" spans="1:68">
      <c r="A132">
        <v>2020</v>
      </c>
      <c r="B132" s="3"/>
      <c r="C132" s="3">
        <f t="shared" si="65"/>
        <v>105.28223718734027</v>
      </c>
      <c r="D132" s="3">
        <f t="shared" si="66"/>
        <v>56.251630823658907</v>
      </c>
      <c r="E132" s="3">
        <f t="shared" si="67"/>
        <v>26.752043875471706</v>
      </c>
      <c r="F132" s="6">
        <f>'Exchange Rates'!K59</f>
        <v>0.86199999999999999</v>
      </c>
      <c r="G132" s="3"/>
      <c r="H132" s="3">
        <f>(C132*USA!$AU107/100)/$AU99*100*$F132</f>
        <v>96.30042790527672</v>
      </c>
      <c r="I132" s="3">
        <f>(D132*USA!$AU107/100)/$AU99*100*$F132</f>
        <v>51.452707155612998</v>
      </c>
      <c r="J132" s="3">
        <f>(E132*USA!$AU107/100)/$AU99*100*$F132</f>
        <v>24.469780861176869</v>
      </c>
      <c r="K132" s="6"/>
      <c r="L132" s="6">
        <f t="shared" si="54"/>
        <v>0.76378033234618492</v>
      </c>
      <c r="M132" s="6">
        <f t="shared" si="55"/>
        <v>0.50431132991892413</v>
      </c>
      <c r="N132" s="6">
        <f t="shared" si="56"/>
        <v>0.34820009725972267</v>
      </c>
      <c r="O132">
        <v>2020</v>
      </c>
      <c r="P132" s="3">
        <f t="shared" si="85"/>
        <v>0.60671319232538989</v>
      </c>
      <c r="Q132" s="3"/>
      <c r="R132" s="3">
        <f t="shared" si="79"/>
        <v>0.27409870493431499</v>
      </c>
      <c r="S132" s="3">
        <f t="shared" si="80"/>
        <v>0.22220490444886282</v>
      </c>
      <c r="T132" s="3">
        <f t="shared" si="81"/>
        <v>0.19098265791702251</v>
      </c>
      <c r="U132" s="3"/>
      <c r="V132" s="3">
        <f t="shared" si="60"/>
        <v>1.6445922296058897</v>
      </c>
      <c r="W132" s="3">
        <f t="shared" si="61"/>
        <v>1.3332294266931768</v>
      </c>
      <c r="X132" s="3">
        <f t="shared" si="62"/>
        <v>1.1458959475021351</v>
      </c>
      <c r="Y132" s="9"/>
      <c r="Z132" s="9">
        <f t="shared" si="68"/>
        <v>178.90345640576635</v>
      </c>
      <c r="AA132" s="9">
        <f t="shared" si="69"/>
        <v>145.03251828840661</v>
      </c>
      <c r="AB132" s="9">
        <f t="shared" si="70"/>
        <v>124.6538454937367</v>
      </c>
      <c r="AC132" s="3"/>
      <c r="AD132" s="3">
        <f t="shared" si="82"/>
        <v>1.7575739896430524</v>
      </c>
      <c r="AE132" s="3">
        <f t="shared" si="83"/>
        <v>1.4248208889714766</v>
      </c>
      <c r="AF132" s="3">
        <f t="shared" si="84"/>
        <v>1.224617796382127</v>
      </c>
      <c r="AG132" s="2"/>
      <c r="AH132" s="2"/>
      <c r="AI132" s="2"/>
      <c r="AJ132" s="3">
        <f>USA!AJ145</f>
        <v>105.28223718734027</v>
      </c>
      <c r="AK132" s="3">
        <f>USA!AK145</f>
        <v>56.251630823658907</v>
      </c>
      <c r="AL132" s="3">
        <f>USA!AL145</f>
        <v>26.752043875471706</v>
      </c>
      <c r="AN132"/>
      <c r="AO132"/>
      <c r="AP132"/>
      <c r="AQ132"/>
      <c r="AR132"/>
      <c r="AS132"/>
      <c r="AT132"/>
      <c r="AU132" s="9"/>
      <c r="BL132" s="3"/>
      <c r="BM132" s="3"/>
      <c r="BN132" s="3"/>
      <c r="BO132" s="3"/>
      <c r="BP132" s="3"/>
    </row>
    <row r="133" spans="1:68">
      <c r="A133">
        <v>2021</v>
      </c>
      <c r="B133" s="3"/>
      <c r="C133" s="3">
        <f t="shared" si="65"/>
        <v>120.81568201825931</v>
      </c>
      <c r="D133" s="3">
        <f t="shared" si="66"/>
        <v>63.082289986431647</v>
      </c>
      <c r="E133" s="3">
        <f t="shared" si="67"/>
        <v>28.477982190018274</v>
      </c>
      <c r="F133" s="6">
        <f>'Exchange Rates'!K60</f>
        <v>0.86199999999999999</v>
      </c>
      <c r="G133" s="3"/>
      <c r="H133" s="3">
        <f>(C133*USA!$AU108/100)/$AU100*100*$F133</f>
        <v>110.50868776015359</v>
      </c>
      <c r="I133" s="3">
        <f>(D133*USA!$AU108/100)/$AU100*100*$F133</f>
        <v>57.700631001300522</v>
      </c>
      <c r="J133" s="3">
        <f>(E133*USA!$AU108/100)/$AU100*100*$F133</f>
        <v>26.04847640060764</v>
      </c>
      <c r="K133" s="6"/>
      <c r="L133" s="6">
        <f t="shared" si="54"/>
        <v>0.84598301620944105</v>
      </c>
      <c r="M133" s="6">
        <f t="shared" si="55"/>
        <v>0.54045904356821117</v>
      </c>
      <c r="N133" s="6">
        <f t="shared" si="56"/>
        <v>0.35733372880008452</v>
      </c>
      <c r="O133">
        <v>2021</v>
      </c>
      <c r="P133" s="3">
        <f t="shared" si="85"/>
        <v>0.60671319232538989</v>
      </c>
      <c r="Q133" s="3"/>
      <c r="R133" s="3">
        <f t="shared" si="79"/>
        <v>0.29053924170696621</v>
      </c>
      <c r="S133" s="3">
        <f t="shared" si="80"/>
        <v>0.22943444717872019</v>
      </c>
      <c r="T133" s="3">
        <f t="shared" si="81"/>
        <v>0.19280938422509489</v>
      </c>
      <c r="U133" s="3"/>
      <c r="V133" s="3">
        <f t="shared" si="60"/>
        <v>1.743235450241797</v>
      </c>
      <c r="W133" s="3">
        <f t="shared" si="61"/>
        <v>1.3766066830723211</v>
      </c>
      <c r="X133" s="3">
        <f t="shared" si="62"/>
        <v>1.1568563053505694</v>
      </c>
      <c r="Y133" s="9"/>
      <c r="Z133" s="9">
        <f t="shared" si="68"/>
        <v>189.63414867407988</v>
      </c>
      <c r="AA133" s="9">
        <f t="shared" si="69"/>
        <v>149.75122056361297</v>
      </c>
      <c r="AB133" s="9">
        <f t="shared" si="70"/>
        <v>125.84614463466043</v>
      </c>
      <c r="AC133" s="3"/>
      <c r="AD133" s="3">
        <f t="shared" si="82"/>
        <v>1.8629938960023567</v>
      </c>
      <c r="AE133" s="3">
        <f t="shared" si="83"/>
        <v>1.4711781173358185</v>
      </c>
      <c r="AF133" s="3">
        <f t="shared" si="84"/>
        <v>1.2363311193109388</v>
      </c>
      <c r="AG133" s="2"/>
      <c r="AH133" s="2"/>
      <c r="AI133" s="2"/>
      <c r="AJ133" s="3">
        <f>USA!AJ146</f>
        <v>120.81568201825931</v>
      </c>
      <c r="AK133" s="3">
        <f>USA!AK146</f>
        <v>63.082289986431647</v>
      </c>
      <c r="AL133" s="3">
        <f>USA!AL146</f>
        <v>28.477982190018274</v>
      </c>
      <c r="AN133"/>
      <c r="AO133"/>
      <c r="AP133"/>
      <c r="AQ133"/>
      <c r="AR133"/>
      <c r="AS133"/>
      <c r="AT133"/>
      <c r="AU133" s="9"/>
      <c r="BL133" s="3"/>
      <c r="BM133" s="3"/>
      <c r="BN133" s="3"/>
      <c r="BO133" s="3"/>
      <c r="BP133" s="3"/>
    </row>
    <row r="134" spans="1:68">
      <c r="A134">
        <v>2022</v>
      </c>
      <c r="B134" s="3"/>
      <c r="C134" s="3">
        <f t="shared" si="65"/>
        <v>127.71943527644558</v>
      </c>
      <c r="D134" s="3">
        <f t="shared" si="66"/>
        <v>68.168185410991157</v>
      </c>
      <c r="E134" s="3">
        <f t="shared" si="67"/>
        <v>29.340951347291547</v>
      </c>
      <c r="F134" s="6">
        <f>'Exchange Rates'!K61</f>
        <v>0.86199999999999999</v>
      </c>
      <c r="G134" s="3"/>
      <c r="H134" s="3">
        <f>(C134*USA!$AU109/100)/$AU101*100*$F134</f>
        <v>116.82346991787669</v>
      </c>
      <c r="I134" s="3">
        <f>(D134*USA!$AU109/100)/$AU101*100*$F134</f>
        <v>62.352639913260305</v>
      </c>
      <c r="J134" s="3">
        <f>(E134*USA!$AU109/100)/$AU101*100*$F134</f>
        <v>26.837824170323021</v>
      </c>
      <c r="K134" s="6"/>
      <c r="L134" s="6">
        <f t="shared" si="54"/>
        <v>0.88251754237088842</v>
      </c>
      <c r="M134" s="6">
        <f t="shared" si="55"/>
        <v>0.56737350190616331</v>
      </c>
      <c r="N134" s="6">
        <f t="shared" si="56"/>
        <v>0.36190054457026544</v>
      </c>
      <c r="O134">
        <v>2022</v>
      </c>
      <c r="P134" s="3">
        <f t="shared" si="85"/>
        <v>0.60671319232538989</v>
      </c>
      <c r="Q134" s="3"/>
      <c r="R134" s="3">
        <f t="shared" si="79"/>
        <v>0.29784614693925565</v>
      </c>
      <c r="S134" s="3">
        <f t="shared" si="80"/>
        <v>0.23481733884631062</v>
      </c>
      <c r="T134" s="3">
        <f t="shared" si="81"/>
        <v>0.19372274737913109</v>
      </c>
      <c r="U134" s="3"/>
      <c r="V134" s="3">
        <f t="shared" si="60"/>
        <v>1.787076881635534</v>
      </c>
      <c r="W134" s="3">
        <f t="shared" si="61"/>
        <v>1.4089040330778637</v>
      </c>
      <c r="X134" s="3">
        <f t="shared" si="62"/>
        <v>1.1623364842747863</v>
      </c>
      <c r="Y134" s="9"/>
      <c r="Z134" s="9">
        <f t="shared" si="68"/>
        <v>194.40334523777483</v>
      </c>
      <c r="AA134" s="9">
        <f t="shared" si="69"/>
        <v>153.26461886668233</v>
      </c>
      <c r="AB134" s="9">
        <f t="shared" si="70"/>
        <v>126.44229420512229</v>
      </c>
      <c r="AC134" s="3"/>
      <c r="AD134" s="3">
        <f t="shared" si="82"/>
        <v>1.9098471877176031</v>
      </c>
      <c r="AE134" s="3">
        <f t="shared" si="83"/>
        <v>1.505694261387978</v>
      </c>
      <c r="AF134" s="3">
        <f t="shared" si="84"/>
        <v>1.2421877807753443</v>
      </c>
      <c r="AG134" s="2"/>
      <c r="AH134" s="2"/>
      <c r="AI134" s="2"/>
      <c r="AJ134" s="3">
        <f>USA!AJ147</f>
        <v>127.71943527644558</v>
      </c>
      <c r="AK134" s="3">
        <f>USA!AK147</f>
        <v>68.168185410991157</v>
      </c>
      <c r="AL134" s="3">
        <f>USA!AL147</f>
        <v>29.340951347291547</v>
      </c>
      <c r="AN134"/>
      <c r="AO134"/>
      <c r="AP134"/>
      <c r="AQ134"/>
      <c r="AR134"/>
      <c r="AS134"/>
      <c r="AT134"/>
      <c r="AU134" s="9"/>
      <c r="BL134" s="3"/>
      <c r="BM134" s="3"/>
      <c r="BN134" s="3"/>
      <c r="BO134" s="3"/>
      <c r="BP134" s="3"/>
    </row>
    <row r="135" spans="1:68">
      <c r="A135">
        <v>2023</v>
      </c>
      <c r="B135" s="3"/>
      <c r="C135" s="3">
        <f t="shared" si="65"/>
        <v>132.89725022008525</v>
      </c>
      <c r="D135" s="3">
        <f t="shared" si="66"/>
        <v>70.508542947524788</v>
      </c>
      <c r="E135" s="3">
        <f t="shared" si="67"/>
        <v>29.340951347291547</v>
      </c>
      <c r="F135" s="6">
        <f>'Exchange Rates'!K62</f>
        <v>0.86199999999999999</v>
      </c>
      <c r="G135" s="3"/>
      <c r="H135" s="3">
        <f>(C135*USA!$AU110/100)/$AU102*100*$F135</f>
        <v>121.559556536169</v>
      </c>
      <c r="I135" s="3">
        <f>(D135*USA!$AU110/100)/$AU102*100*$F135</f>
        <v>64.493337510885326</v>
      </c>
      <c r="J135" s="3">
        <f>(E135*USA!$AU110/100)/$AU102*100*$F135</f>
        <v>26.837824170323021</v>
      </c>
      <c r="K135" s="6"/>
      <c r="L135" s="6">
        <f t="shared" si="54"/>
        <v>0.90991843699197394</v>
      </c>
      <c r="M135" s="6">
        <f t="shared" si="55"/>
        <v>0.57975862785837484</v>
      </c>
      <c r="N135" s="6">
        <f t="shared" si="56"/>
        <v>0.36190054457026544</v>
      </c>
      <c r="O135">
        <v>2023</v>
      </c>
      <c r="P135" s="3">
        <f t="shared" si="85"/>
        <v>0.60671319232538989</v>
      </c>
      <c r="Q135" s="3"/>
      <c r="R135" s="3">
        <f t="shared" si="79"/>
        <v>0.3033263258634728</v>
      </c>
      <c r="S135" s="3">
        <f t="shared" si="80"/>
        <v>0.23729436403675297</v>
      </c>
      <c r="T135" s="3">
        <f t="shared" si="81"/>
        <v>0.19372274737913109</v>
      </c>
      <c r="U135" s="3"/>
      <c r="V135" s="3">
        <f t="shared" si="60"/>
        <v>1.8199579551808367</v>
      </c>
      <c r="W135" s="3">
        <f t="shared" si="61"/>
        <v>1.4237661842205176</v>
      </c>
      <c r="X135" s="3">
        <f t="shared" si="62"/>
        <v>1.1623364842747863</v>
      </c>
      <c r="Y135" s="9"/>
      <c r="Z135" s="9">
        <f t="shared" si="68"/>
        <v>197.98024266054603</v>
      </c>
      <c r="AA135" s="9">
        <f t="shared" si="69"/>
        <v>154.88136626532645</v>
      </c>
      <c r="AB135" s="9">
        <f t="shared" si="70"/>
        <v>126.44229420512229</v>
      </c>
      <c r="AC135" s="3"/>
      <c r="AD135" s="3">
        <f t="shared" si="82"/>
        <v>1.944987156504038</v>
      </c>
      <c r="AE135" s="3">
        <f t="shared" si="83"/>
        <v>1.5215774267150648</v>
      </c>
      <c r="AF135" s="3">
        <f t="shared" si="84"/>
        <v>1.2421877807753443</v>
      </c>
      <c r="AG135" s="2"/>
      <c r="AH135" s="2"/>
      <c r="AI135" s="2"/>
      <c r="AJ135" s="3">
        <f>USA!AJ148</f>
        <v>132.89725022008525</v>
      </c>
      <c r="AK135" s="3">
        <f>USA!AK148</f>
        <v>70.508542947524788</v>
      </c>
      <c r="AL135" s="3">
        <f>USA!AL148</f>
        <v>29.340951347291547</v>
      </c>
      <c r="AN135"/>
      <c r="AO135"/>
      <c r="AP135"/>
      <c r="AQ135"/>
      <c r="AR135"/>
      <c r="AS135"/>
      <c r="AT135"/>
      <c r="AU135" s="9"/>
      <c r="BL135" s="3"/>
      <c r="BM135" s="3"/>
      <c r="BN135" s="3"/>
      <c r="BO135" s="3"/>
      <c r="BP135" s="3"/>
    </row>
    <row r="136" spans="1:68">
      <c r="A136">
        <v>2024</v>
      </c>
      <c r="B136" s="3"/>
      <c r="C136" s="3">
        <f t="shared" si="65"/>
        <v>137.21209600645167</v>
      </c>
      <c r="D136" s="3">
        <f t="shared" si="66"/>
        <v>71.127304204880986</v>
      </c>
      <c r="E136" s="3">
        <f t="shared" si="67"/>
        <v>29.340951347291547</v>
      </c>
      <c r="F136" s="6">
        <f>'Exchange Rates'!K63</f>
        <v>0.86199999999999999</v>
      </c>
      <c r="G136" s="3"/>
      <c r="H136" s="3">
        <f>(C136*USA!$AU111/100)/$AU103*100*$F136</f>
        <v>125.50629538474591</v>
      </c>
      <c r="I136" s="3">
        <f>(D136*USA!$AU111/100)/$AU103*100*$F136</f>
        <v>65.059311177920705</v>
      </c>
      <c r="J136" s="3">
        <f>(E136*USA!$AU111/100)/$AU103*100*$F136</f>
        <v>26.837824170323021</v>
      </c>
      <c r="K136" s="6"/>
      <c r="L136" s="6">
        <f t="shared" si="54"/>
        <v>0.93275251584287844</v>
      </c>
      <c r="M136" s="6">
        <f t="shared" si="55"/>
        <v>0.58303310023581156</v>
      </c>
      <c r="N136" s="6">
        <f t="shared" si="56"/>
        <v>0.36190054457026544</v>
      </c>
      <c r="O136">
        <v>2024</v>
      </c>
      <c r="P136" s="3">
        <f t="shared" si="85"/>
        <v>0.60671319232538989</v>
      </c>
      <c r="Q136" s="3"/>
      <c r="R136" s="3">
        <f t="shared" si="79"/>
        <v>0.30789314163365367</v>
      </c>
      <c r="S136" s="3">
        <f t="shared" si="80"/>
        <v>0.2379492585122403</v>
      </c>
      <c r="T136" s="3">
        <f t="shared" si="81"/>
        <v>0.19372274737913109</v>
      </c>
      <c r="U136" s="3"/>
      <c r="V136" s="3">
        <f t="shared" si="60"/>
        <v>1.847358849801922</v>
      </c>
      <c r="W136" s="3">
        <f t="shared" si="61"/>
        <v>1.4276955510734417</v>
      </c>
      <c r="X136" s="3">
        <f t="shared" si="62"/>
        <v>1.1623364842747863</v>
      </c>
      <c r="Y136" s="9"/>
      <c r="Z136" s="9">
        <f t="shared" si="68"/>
        <v>200.96099051285537</v>
      </c>
      <c r="AA136" s="9">
        <f t="shared" si="69"/>
        <v>155.30881405379304</v>
      </c>
      <c r="AB136" s="9">
        <f t="shared" si="70"/>
        <v>126.44229420512229</v>
      </c>
      <c r="AC136" s="3"/>
      <c r="AD136" s="3">
        <f t="shared" si="82"/>
        <v>1.9742704638260669</v>
      </c>
      <c r="AE136" s="3">
        <f t="shared" si="83"/>
        <v>1.5257767369465864</v>
      </c>
      <c r="AF136" s="3">
        <f t="shared" si="84"/>
        <v>1.2421877807753443</v>
      </c>
      <c r="AG136" s="2"/>
      <c r="AH136" s="2"/>
      <c r="AI136" s="2"/>
      <c r="AJ136" s="3">
        <f>USA!AJ149</f>
        <v>137.21209600645167</v>
      </c>
      <c r="AK136" s="3">
        <f>USA!AK149</f>
        <v>71.127304204880986</v>
      </c>
      <c r="AL136" s="3">
        <f>USA!AL149</f>
        <v>29.340951347291547</v>
      </c>
      <c r="AN136"/>
      <c r="AO136"/>
      <c r="AP136"/>
      <c r="AQ136"/>
      <c r="AR136"/>
      <c r="AS136"/>
      <c r="AT136"/>
      <c r="AU136" s="9"/>
      <c r="BL136" s="3"/>
      <c r="BM136" s="3"/>
      <c r="BN136" s="3"/>
      <c r="BO136" s="3"/>
      <c r="BP136" s="3"/>
    </row>
    <row r="137" spans="1:68">
      <c r="A137">
        <v>2025</v>
      </c>
      <c r="B137" s="3"/>
      <c r="C137" s="3">
        <f t="shared" si="65"/>
        <v>141.52694179281806</v>
      </c>
      <c r="D137" s="3">
        <f t="shared" si="66"/>
        <v>74.364924740814473</v>
      </c>
      <c r="E137" s="3">
        <f t="shared" si="67"/>
        <v>30.203920504564827</v>
      </c>
      <c r="F137" s="6">
        <f>'Exchange Rates'!K64</f>
        <v>0.86199999999999999</v>
      </c>
      <c r="G137" s="3"/>
      <c r="H137" s="3">
        <f>(C137*USA!$AU112/100)/$AU104*100*$F137</f>
        <v>129.4530342333228</v>
      </c>
      <c r="I137" s="3">
        <f>(D137*USA!$AU112/100)/$AU104*100*$F137</f>
        <v>68.020724720553886</v>
      </c>
      <c r="J137" s="3">
        <f>(E137*USA!$AU112/100)/$AU104*100*$F137</f>
        <v>27.627171940038398</v>
      </c>
      <c r="K137" s="6"/>
      <c r="L137" s="6">
        <f t="shared" si="54"/>
        <v>0.95558659469378282</v>
      </c>
      <c r="M137" s="6">
        <f t="shared" si="55"/>
        <v>0.60016652429476713</v>
      </c>
      <c r="N137" s="6">
        <f t="shared" si="56"/>
        <v>0.3664673603404463</v>
      </c>
      <c r="O137">
        <v>2025</v>
      </c>
      <c r="P137" s="3">
        <f t="shared" si="85"/>
        <v>0.60671319232538989</v>
      </c>
      <c r="Q137" s="3"/>
      <c r="R137" s="3">
        <f t="shared" si="79"/>
        <v>0.31245995740383459</v>
      </c>
      <c r="S137" s="3">
        <f t="shared" si="80"/>
        <v>0.24137594332403142</v>
      </c>
      <c r="T137" s="3">
        <f t="shared" si="81"/>
        <v>0.19463611053316723</v>
      </c>
      <c r="U137" s="3"/>
      <c r="V137" s="3">
        <f t="shared" si="60"/>
        <v>1.8747597444230073</v>
      </c>
      <c r="W137" s="3">
        <f t="shared" si="61"/>
        <v>1.4482556599441885</v>
      </c>
      <c r="X137" s="3">
        <f t="shared" si="62"/>
        <v>1.1678166631990035</v>
      </c>
      <c r="Y137" s="9"/>
      <c r="Z137" s="9">
        <f t="shared" si="68"/>
        <v>203.94173836516464</v>
      </c>
      <c r="AA137" s="9">
        <f t="shared" si="69"/>
        <v>157.54540162537418</v>
      </c>
      <c r="AB137" s="9">
        <f t="shared" si="70"/>
        <v>127.03844377558417</v>
      </c>
      <c r="AC137" s="3"/>
      <c r="AD137" s="3">
        <f t="shared" si="82"/>
        <v>2.0035537711480953</v>
      </c>
      <c r="AE137" s="3">
        <f t="shared" si="83"/>
        <v>1.5477493037172039</v>
      </c>
      <c r="AF137" s="3">
        <f t="shared" si="84"/>
        <v>1.2480444422397501</v>
      </c>
      <c r="AG137" s="2"/>
      <c r="AH137" s="2"/>
      <c r="AI137" s="2"/>
      <c r="AJ137" s="3">
        <f>USA!AJ150</f>
        <v>141.52694179281806</v>
      </c>
      <c r="AK137" s="3">
        <f>USA!AK150</f>
        <v>74.364924740814473</v>
      </c>
      <c r="AL137" s="3">
        <f>USA!AL150</f>
        <v>30.203920504564827</v>
      </c>
      <c r="AN137"/>
      <c r="AO137"/>
      <c r="AP137"/>
      <c r="AQ137"/>
      <c r="AR137"/>
      <c r="AS137"/>
      <c r="AT137"/>
      <c r="AU137" s="9"/>
      <c r="BL137" s="3"/>
      <c r="BM137" s="3"/>
      <c r="BN137" s="3"/>
      <c r="BO137" s="3"/>
      <c r="BP137" s="3"/>
    </row>
    <row r="138" spans="1:68">
      <c r="A138">
        <v>2026</v>
      </c>
      <c r="B138" s="3"/>
      <c r="C138" s="3">
        <f t="shared" si="65"/>
        <v>145.84178757918448</v>
      </c>
      <c r="D138" s="3">
        <f t="shared" si="66"/>
        <v>80.055420065999314</v>
      </c>
      <c r="E138" s="3">
        <f t="shared" si="67"/>
        <v>31.066889661838108</v>
      </c>
      <c r="F138" s="6">
        <f>'Exchange Rates'!K65</f>
        <v>0.86199999999999999</v>
      </c>
      <c r="G138" s="3"/>
      <c r="H138" s="3">
        <f>(C138*USA!$AU113/100)/$AU105*100*$F138</f>
        <v>133.39977308189972</v>
      </c>
      <c r="I138" s="3">
        <f>(D138*USA!$AU113/100)/$AU105*100*$F138</f>
        <v>73.225754072591357</v>
      </c>
      <c r="J138" s="3">
        <f>(E138*USA!$AU113/100)/$AU105*100*$F138</f>
        <v>28.416519709753778</v>
      </c>
      <c r="K138" s="6"/>
      <c r="L138" s="6">
        <f t="shared" si="54"/>
        <v>0.97842067354468731</v>
      </c>
      <c r="M138" s="6">
        <f t="shared" si="55"/>
        <v>0.63028051338947277</v>
      </c>
      <c r="N138" s="6">
        <f t="shared" si="56"/>
        <v>0.37103417611062717</v>
      </c>
      <c r="O138">
        <v>2026</v>
      </c>
      <c r="P138" s="3">
        <f t="shared" si="85"/>
        <v>0.60671319232538989</v>
      </c>
      <c r="Q138" s="3"/>
      <c r="R138" s="3">
        <f t="shared" si="79"/>
        <v>0.31702677317401551</v>
      </c>
      <c r="S138" s="3">
        <f t="shared" si="80"/>
        <v>0.24739874114297253</v>
      </c>
      <c r="T138" s="3">
        <f t="shared" si="81"/>
        <v>0.19554947368720343</v>
      </c>
      <c r="U138" s="3"/>
      <c r="V138" s="3">
        <f t="shared" si="60"/>
        <v>1.9021606390440928</v>
      </c>
      <c r="W138" s="3">
        <f t="shared" si="61"/>
        <v>1.4843924468578351</v>
      </c>
      <c r="X138" s="3">
        <f t="shared" si="62"/>
        <v>1.1732968421232206</v>
      </c>
      <c r="Y138" s="9"/>
      <c r="Z138" s="9">
        <f t="shared" si="68"/>
        <v>206.92248621747399</v>
      </c>
      <c r="AA138" s="9">
        <f t="shared" si="69"/>
        <v>161.47646487975874</v>
      </c>
      <c r="AB138" s="9">
        <f t="shared" si="70"/>
        <v>127.63459334604606</v>
      </c>
      <c r="AC138" s="3"/>
      <c r="AD138" s="3">
        <f t="shared" si="82"/>
        <v>2.0328370784701244</v>
      </c>
      <c r="AE138" s="3">
        <f t="shared" si="83"/>
        <v>1.586368649963245</v>
      </c>
      <c r="AF138" s="3">
        <f t="shared" si="84"/>
        <v>1.2539011037041561</v>
      </c>
      <c r="AG138" s="2"/>
      <c r="AH138" s="2"/>
      <c r="AI138" s="2"/>
      <c r="AJ138" s="3">
        <f>USA!AJ151</f>
        <v>145.84178757918448</v>
      </c>
      <c r="AK138" s="3">
        <f>USA!AK151</f>
        <v>80.055420065999314</v>
      </c>
      <c r="AL138" s="3">
        <f>USA!AL151</f>
        <v>31.066889661838108</v>
      </c>
      <c r="AN138"/>
      <c r="AO138"/>
      <c r="AP138"/>
      <c r="AQ138"/>
      <c r="AR138"/>
      <c r="AS138"/>
      <c r="AT138"/>
      <c r="AU138" s="9"/>
      <c r="BL138" s="3"/>
      <c r="BM138" s="3"/>
      <c r="BN138" s="3"/>
      <c r="BO138" s="3"/>
      <c r="BP138" s="3"/>
    </row>
    <row r="139" spans="1:68">
      <c r="A139">
        <v>2027</v>
      </c>
      <c r="B139" s="3"/>
      <c r="C139" s="3">
        <f t="shared" si="65"/>
        <v>150.15663336555087</v>
      </c>
      <c r="D139" s="3">
        <f t="shared" si="66"/>
        <v>82.98815737026753</v>
      </c>
      <c r="E139" s="3">
        <f t="shared" si="67"/>
        <v>31.929858819111395</v>
      </c>
      <c r="F139" s="6">
        <f>'Exchange Rates'!K66</f>
        <v>0.86199999999999999</v>
      </c>
      <c r="G139" s="3"/>
      <c r="H139" s="3">
        <f>(C139*USA!$AU114/100)/$AU106*100*$F139</f>
        <v>137.34651193047665</v>
      </c>
      <c r="I139" s="3">
        <f>(D139*USA!$AU114/100)/$AU106*100*$F139</f>
        <v>75.908294498021803</v>
      </c>
      <c r="J139" s="3">
        <f>(E139*USA!$AU114/100)/$AU106*100*$F139</f>
        <v>29.205867479469173</v>
      </c>
      <c r="K139" s="6"/>
      <c r="L139" s="6">
        <f t="shared" si="54"/>
        <v>1.0012547523955919</v>
      </c>
      <c r="M139" s="6">
        <f t="shared" si="55"/>
        <v>0.64580050139605294</v>
      </c>
      <c r="N139" s="6">
        <f t="shared" si="56"/>
        <v>0.37560099188080814</v>
      </c>
      <c r="O139">
        <v>2027</v>
      </c>
      <c r="P139" s="3">
        <f t="shared" si="85"/>
        <v>0.60671319232538989</v>
      </c>
      <c r="Q139" s="3"/>
      <c r="R139" s="3">
        <f t="shared" si="79"/>
        <v>0.32159358894419637</v>
      </c>
      <c r="S139" s="3">
        <f t="shared" si="80"/>
        <v>0.25050273874428858</v>
      </c>
      <c r="T139" s="3">
        <f t="shared" si="81"/>
        <v>0.19646283684123961</v>
      </c>
      <c r="U139" s="3"/>
      <c r="V139" s="3">
        <f t="shared" si="60"/>
        <v>1.9295615336651781</v>
      </c>
      <c r="W139" s="3">
        <f t="shared" si="61"/>
        <v>1.5030164324657316</v>
      </c>
      <c r="X139" s="3">
        <f t="shared" si="62"/>
        <v>1.1787770210474375</v>
      </c>
      <c r="Y139" s="9"/>
      <c r="Z139" s="9">
        <f t="shared" si="68"/>
        <v>209.90323406978328</v>
      </c>
      <c r="AA139" s="9">
        <f t="shared" si="69"/>
        <v>163.50243541356235</v>
      </c>
      <c r="AB139" s="9">
        <f t="shared" si="70"/>
        <v>128.23074291650789</v>
      </c>
      <c r="AC139" s="3"/>
      <c r="AD139" s="3">
        <f t="shared" si="82"/>
        <v>2.0621203857921531</v>
      </c>
      <c r="AE139" s="3">
        <f t="shared" si="83"/>
        <v>1.6062720838349771</v>
      </c>
      <c r="AF139" s="3">
        <f t="shared" si="84"/>
        <v>1.2597577651685616</v>
      </c>
      <c r="AG139" s="2"/>
      <c r="AH139" s="2"/>
      <c r="AI139" s="2"/>
      <c r="AJ139" s="3">
        <f>USA!AJ152</f>
        <v>150.15663336555087</v>
      </c>
      <c r="AK139" s="3">
        <f>USA!AK152</f>
        <v>82.98815737026753</v>
      </c>
      <c r="AL139" s="3">
        <f>USA!AL152</f>
        <v>31.929858819111395</v>
      </c>
      <c r="AN139"/>
      <c r="AO139"/>
      <c r="AP139"/>
      <c r="AQ139"/>
      <c r="AR139"/>
      <c r="AS139"/>
      <c r="AT139"/>
      <c r="AU139" s="9"/>
      <c r="BL139" s="3"/>
      <c r="BM139" s="3"/>
      <c r="BN139" s="3"/>
      <c r="BO139" s="3"/>
      <c r="BP139" s="3"/>
    </row>
    <row r="140" spans="1:68">
      <c r="A140">
        <v>2028</v>
      </c>
      <c r="B140" s="3"/>
      <c r="C140" s="3">
        <f t="shared" si="65"/>
        <v>153.60850999464401</v>
      </c>
      <c r="D140" s="3">
        <f t="shared" si="66"/>
        <v>84.844653255379882</v>
      </c>
      <c r="E140" s="3">
        <f t="shared" si="67"/>
        <v>31.929858819111395</v>
      </c>
      <c r="F140" s="6">
        <f>'Exchange Rates'!K67</f>
        <v>0.86199999999999999</v>
      </c>
      <c r="G140" s="3"/>
      <c r="H140" s="3">
        <f>(C140*USA!$AU115/100)/$AU107*100*$F140</f>
        <v>140.50390300933819</v>
      </c>
      <c r="I140" s="3">
        <f>(D140*USA!$AU115/100)/$AU107*100*$F140</f>
        <v>77.606409516442028</v>
      </c>
      <c r="J140" s="3">
        <f>(E140*USA!$AU115/100)/$AU107*100*$F140</f>
        <v>29.205867479469173</v>
      </c>
      <c r="K140" s="6"/>
      <c r="L140" s="6">
        <f t="shared" si="54"/>
        <v>1.0195220154763156</v>
      </c>
      <c r="M140" s="6">
        <f t="shared" si="55"/>
        <v>0.65562504102640973</v>
      </c>
      <c r="N140" s="6">
        <f t="shared" si="56"/>
        <v>0.37560099188080814</v>
      </c>
      <c r="O140">
        <v>2028</v>
      </c>
      <c r="P140" s="3">
        <f t="shared" si="85"/>
        <v>0.60671319232538989</v>
      </c>
      <c r="Q140" s="3"/>
      <c r="R140" s="3">
        <f t="shared" si="79"/>
        <v>0.32524704156034112</v>
      </c>
      <c r="S140" s="3">
        <f t="shared" si="80"/>
        <v>0.25246764667035992</v>
      </c>
      <c r="T140" s="3">
        <f t="shared" si="81"/>
        <v>0.19646283684123961</v>
      </c>
      <c r="U140" s="3"/>
      <c r="V140" s="3">
        <f t="shared" si="60"/>
        <v>1.9514822493620465</v>
      </c>
      <c r="W140" s="3">
        <f t="shared" si="61"/>
        <v>1.5148058800221595</v>
      </c>
      <c r="X140" s="3">
        <f t="shared" si="62"/>
        <v>1.1787770210474375</v>
      </c>
      <c r="Y140" s="9"/>
      <c r="Z140" s="9">
        <f t="shared" si="68"/>
        <v>212.28783235163075</v>
      </c>
      <c r="AA140" s="9">
        <f t="shared" si="69"/>
        <v>164.78492530922779</v>
      </c>
      <c r="AB140" s="9">
        <f t="shared" si="70"/>
        <v>128.23074291650789</v>
      </c>
      <c r="AC140" s="3"/>
      <c r="AD140" s="3">
        <f t="shared" si="82"/>
        <v>2.0855470316497762</v>
      </c>
      <c r="AE140" s="3">
        <f t="shared" si="83"/>
        <v>1.6188714540645228</v>
      </c>
      <c r="AF140" s="3">
        <f t="shared" si="84"/>
        <v>1.2597577651685616</v>
      </c>
      <c r="AG140" s="2"/>
      <c r="AH140" s="2"/>
      <c r="AI140" s="2"/>
      <c r="AJ140" s="3">
        <f>USA!AJ153</f>
        <v>153.60850999464401</v>
      </c>
      <c r="AK140" s="3">
        <f>USA!AK153</f>
        <v>84.844653255379882</v>
      </c>
      <c r="AL140" s="3">
        <f>USA!AL153</f>
        <v>31.929858819111395</v>
      </c>
      <c r="AN140"/>
      <c r="AO140"/>
      <c r="AP140"/>
      <c r="AQ140"/>
      <c r="AR140"/>
      <c r="AS140"/>
      <c r="AT140"/>
      <c r="AU140" s="9"/>
      <c r="BL140" s="3"/>
      <c r="BM140" s="3"/>
      <c r="BN140" s="3"/>
      <c r="BO140" s="3"/>
      <c r="BP140" s="3"/>
    </row>
    <row r="141" spans="1:68">
      <c r="A141">
        <v>2029</v>
      </c>
      <c r="B141" s="3"/>
      <c r="C141" s="3">
        <f t="shared" si="65"/>
        <v>157.9233557810104</v>
      </c>
      <c r="D141" s="3">
        <f t="shared" si="66"/>
        <v>87.361009569245411</v>
      </c>
      <c r="E141" s="3">
        <f t="shared" si="67"/>
        <v>31.929858819111395</v>
      </c>
      <c r="F141" s="6">
        <f>'Exchange Rates'!K68</f>
        <v>0.86199999999999999</v>
      </c>
      <c r="G141" s="3"/>
      <c r="H141" s="3">
        <f>(C141*USA!$AU116/100)/$AU108*100*$F141</f>
        <v>144.45064185791509</v>
      </c>
      <c r="I141" s="3">
        <f>(D141*USA!$AU116/100)/$AU108*100*$F141</f>
        <v>79.908091132080571</v>
      </c>
      <c r="J141" s="3">
        <f>(E141*USA!$AU116/100)/$AU108*100*$F141</f>
        <v>29.205867479469173</v>
      </c>
      <c r="K141" s="6"/>
      <c r="L141" s="6">
        <f t="shared" si="54"/>
        <v>1.0423560943272201</v>
      </c>
      <c r="M141" s="6">
        <f t="shared" si="55"/>
        <v>0.66894154903912462</v>
      </c>
      <c r="N141" s="6">
        <f t="shared" si="56"/>
        <v>0.37560099188080814</v>
      </c>
      <c r="O141">
        <v>2029</v>
      </c>
      <c r="P141" s="3">
        <f t="shared" si="85"/>
        <v>0.60671319232538989</v>
      </c>
      <c r="Q141" s="3"/>
      <c r="R141" s="3">
        <f t="shared" si="79"/>
        <v>0.32981385733052204</v>
      </c>
      <c r="S141" s="3">
        <f t="shared" si="80"/>
        <v>0.25513094827290289</v>
      </c>
      <c r="T141" s="3">
        <f t="shared" si="81"/>
        <v>0.19646283684123961</v>
      </c>
      <c r="U141" s="3"/>
      <c r="V141" s="3">
        <f t="shared" si="60"/>
        <v>1.978883143983132</v>
      </c>
      <c r="W141" s="3">
        <f t="shared" si="61"/>
        <v>1.5307856896374175</v>
      </c>
      <c r="X141" s="3">
        <f t="shared" si="62"/>
        <v>1.1787770210474375</v>
      </c>
      <c r="Y141" s="9"/>
      <c r="Z141" s="9">
        <f t="shared" si="68"/>
        <v>215.26858020394008</v>
      </c>
      <c r="AA141" s="9">
        <f t="shared" si="69"/>
        <v>166.52325479991305</v>
      </c>
      <c r="AB141" s="9">
        <f t="shared" si="70"/>
        <v>128.23074291650789</v>
      </c>
      <c r="AC141" s="3"/>
      <c r="AD141" s="3">
        <f t="shared" si="82"/>
        <v>2.1148303389718053</v>
      </c>
      <c r="AE141" s="3">
        <f t="shared" si="83"/>
        <v>1.6359490598282056</v>
      </c>
      <c r="AF141" s="3">
        <f t="shared" si="84"/>
        <v>1.2597577651685616</v>
      </c>
      <c r="AG141" s="2"/>
      <c r="AH141" s="2"/>
      <c r="AI141" s="2"/>
      <c r="AJ141" s="3">
        <f>USA!AJ154</f>
        <v>157.9233557810104</v>
      </c>
      <c r="AK141" s="3">
        <f>USA!AK154</f>
        <v>87.361009569245411</v>
      </c>
      <c r="AL141" s="3">
        <f>USA!AL154</f>
        <v>31.929858819111395</v>
      </c>
      <c r="AN141"/>
      <c r="AO141"/>
      <c r="AP141"/>
      <c r="AQ141"/>
      <c r="AR141"/>
      <c r="AS141"/>
      <c r="AT141"/>
      <c r="AU141" s="9"/>
      <c r="BL141" s="3"/>
      <c r="BM141" s="3"/>
      <c r="BN141" s="3"/>
      <c r="BO141" s="3"/>
      <c r="BP141" s="3"/>
    </row>
    <row r="142" spans="1:68">
      <c r="A142">
        <v>2030</v>
      </c>
      <c r="B142" s="3"/>
      <c r="C142" s="3">
        <f t="shared" si="65"/>
        <v>160.51226325283022</v>
      </c>
      <c r="D142" s="3">
        <f t="shared" si="66"/>
        <v>89.285088706337618</v>
      </c>
      <c r="E142" s="3">
        <f t="shared" si="67"/>
        <v>32.792827976384679</v>
      </c>
      <c r="F142" s="6">
        <f>'Exchange Rates'!K69</f>
        <v>0.86199999999999999</v>
      </c>
      <c r="G142" s="3"/>
      <c r="H142" s="3">
        <f>(C142*USA!$AU117/100)/$AU109*100*$F142</f>
        <v>146.8186851670612</v>
      </c>
      <c r="I142" s="3">
        <f>(D142*USA!$AU117/100)/$AU109*100*$F142</f>
        <v>81.66802375866304</v>
      </c>
      <c r="J142" s="3">
        <f>(E142*USA!$AU117/100)/$AU109*100*$F142</f>
        <v>29.995215249184554</v>
      </c>
      <c r="K142" s="6"/>
      <c r="L142" s="6">
        <f t="shared" si="54"/>
        <v>1.0560565416377625</v>
      </c>
      <c r="M142" s="6">
        <f t="shared" si="55"/>
        <v>0.67912373790681568</v>
      </c>
      <c r="N142" s="6">
        <f t="shared" si="56"/>
        <v>0.38016780765098901</v>
      </c>
      <c r="O142">
        <v>2030</v>
      </c>
      <c r="P142" s="3">
        <f t="shared" si="85"/>
        <v>0.60671319232538989</v>
      </c>
      <c r="Q142" s="3"/>
      <c r="R142" s="3">
        <f t="shared" si="79"/>
        <v>0.33255394679263051</v>
      </c>
      <c r="S142" s="3">
        <f t="shared" si="80"/>
        <v>0.25716738604644113</v>
      </c>
      <c r="T142" s="3">
        <f t="shared" si="81"/>
        <v>0.19737619999527578</v>
      </c>
      <c r="U142" s="3"/>
      <c r="V142" s="3">
        <f t="shared" si="60"/>
        <v>1.9953236807557828</v>
      </c>
      <c r="W142" s="3">
        <f t="shared" si="61"/>
        <v>1.5430043162786469</v>
      </c>
      <c r="X142" s="3">
        <f t="shared" si="62"/>
        <v>1.1842571999716547</v>
      </c>
      <c r="Y142" s="9"/>
      <c r="Z142" s="9">
        <f>V142*$AU$97/100*100</f>
        <v>217.05702891532562</v>
      </c>
      <c r="AA142" s="9">
        <f t="shared" si="69"/>
        <v>167.85243202652038</v>
      </c>
      <c r="AB142" s="9">
        <f t="shared" si="70"/>
        <v>128.82689248696977</v>
      </c>
      <c r="AC142" s="3"/>
      <c r="AD142" s="3">
        <f t="shared" si="82"/>
        <v>2.1324003233650224</v>
      </c>
      <c r="AE142" s="3">
        <f t="shared" si="83"/>
        <v>1.6490070932952192</v>
      </c>
      <c r="AF142" s="3">
        <f t="shared" si="84"/>
        <v>1.2656144266329674</v>
      </c>
      <c r="AG142" s="2"/>
      <c r="AH142" s="2"/>
      <c r="AI142" s="2"/>
      <c r="AJ142" s="3">
        <f>USA!AJ155</f>
        <v>160.51226325283022</v>
      </c>
      <c r="AK142" s="3">
        <f>USA!AK155</f>
        <v>89.285088706337618</v>
      </c>
      <c r="AL142" s="3">
        <f>USA!AL155</f>
        <v>32.792827976384679</v>
      </c>
      <c r="AN142"/>
      <c r="AO142"/>
      <c r="AP142"/>
      <c r="AQ142"/>
      <c r="AR142"/>
      <c r="AS142"/>
      <c r="AT142"/>
      <c r="AU142" s="9"/>
      <c r="BL142" s="3"/>
      <c r="BM142" s="3"/>
      <c r="BN142" s="3"/>
      <c r="BO142" s="3"/>
      <c r="BP142" s="3"/>
    </row>
    <row r="143" spans="1:68">
      <c r="G143"/>
      <c r="H143"/>
      <c r="I143"/>
      <c r="J143"/>
      <c r="K143"/>
      <c r="L143"/>
      <c r="M143"/>
      <c r="O143" s="12"/>
      <c r="P143"/>
      <c r="Q143"/>
      <c r="R143"/>
      <c r="S143"/>
      <c r="X143"/>
      <c r="Y143"/>
      <c r="Z143"/>
      <c r="AA143"/>
      <c r="AB143"/>
      <c r="AC143"/>
      <c r="AI143" s="2"/>
      <c r="AJ143" s="3">
        <f>USA!AJ156</f>
        <v>162.23820156737682</v>
      </c>
      <c r="AK143" s="3">
        <f>USA!AK156</f>
        <v>90.882363255178021</v>
      </c>
      <c r="AL143" s="3">
        <f>USA!AL156</f>
        <v>33.224312555021314</v>
      </c>
      <c r="AN143"/>
      <c r="AO143"/>
      <c r="AP143"/>
      <c r="AQ143"/>
      <c r="AR143"/>
      <c r="AS143"/>
      <c r="AT143"/>
      <c r="AU143" s="9"/>
      <c r="BL143" s="3"/>
      <c r="BM143" s="3"/>
      <c r="BN143" s="3"/>
      <c r="BO143" s="3"/>
      <c r="BP143" s="3"/>
    </row>
    <row r="144" spans="1:68">
      <c r="G144"/>
      <c r="H144"/>
      <c r="I144"/>
      <c r="J144"/>
      <c r="K144"/>
      <c r="L144"/>
      <c r="M144"/>
      <c r="O144" s="12"/>
      <c r="P144"/>
      <c r="Q144"/>
      <c r="R144"/>
      <c r="S144"/>
      <c r="X144"/>
      <c r="Y144"/>
      <c r="Z144"/>
      <c r="AA144"/>
      <c r="AB144"/>
      <c r="AC144"/>
      <c r="AI144" s="2"/>
      <c r="AJ144" s="3">
        <f>USA!AJ157</f>
        <v>164.82710903919664</v>
      </c>
      <c r="AK144" s="3">
        <f>USA!AK157</f>
        <v>91.529643316939641</v>
      </c>
      <c r="AL144" s="3">
        <f>USA!AL157</f>
        <v>33.655797133657956</v>
      </c>
      <c r="AN144"/>
      <c r="AO144"/>
      <c r="AP144"/>
      <c r="AQ144"/>
      <c r="AR144"/>
      <c r="AS144"/>
      <c r="AT144"/>
      <c r="AU144" s="9"/>
      <c r="BL144" s="3"/>
      <c r="BM144" s="3"/>
      <c r="BN144" s="3"/>
      <c r="BO144" s="3"/>
      <c r="BP144" s="3"/>
    </row>
    <row r="145" spans="4:71">
      <c r="D145" s="2"/>
      <c r="E145" s="3"/>
      <c r="F145" s="3"/>
      <c r="G145" s="7"/>
      <c r="J145"/>
      <c r="K145"/>
      <c r="L145" s="23"/>
      <c r="M145" s="32"/>
      <c r="N145" s="32"/>
      <c r="O145" s="32"/>
      <c r="Q145"/>
      <c r="R145"/>
      <c r="S145"/>
      <c r="U145" s="23"/>
      <c r="V145" s="2"/>
      <c r="W145" s="2"/>
      <c r="X145" s="2"/>
      <c r="AD145" s="2"/>
      <c r="AE145" s="2"/>
      <c r="AF145" s="2"/>
      <c r="AG145" s="2"/>
      <c r="AI145" s="2"/>
      <c r="AJ145" s="3">
        <f>USA!AJ158</f>
        <v>166.55304735374321</v>
      </c>
      <c r="AK145" s="3">
        <f>USA!AK158</f>
        <v>91.468448273790386</v>
      </c>
      <c r="AL145" s="3">
        <f>USA!AL158</f>
        <v>34.08728171229459</v>
      </c>
      <c r="AN145"/>
      <c r="AO145"/>
      <c r="AP145"/>
      <c r="AQ145"/>
      <c r="AR145"/>
      <c r="AS145"/>
      <c r="AT145"/>
      <c r="AU145" s="9"/>
      <c r="BL145" s="3"/>
      <c r="BM145" s="3"/>
      <c r="BN145" s="3"/>
      <c r="BO145" s="3"/>
      <c r="BP145" s="3"/>
    </row>
    <row r="146" spans="4:71">
      <c r="D146" s="2"/>
      <c r="E146" s="3"/>
      <c r="F146" s="3"/>
      <c r="G146" s="7"/>
      <c r="J146"/>
      <c r="K146"/>
      <c r="L146" s="23"/>
      <c r="M146" s="32"/>
      <c r="N146" s="32"/>
      <c r="O146" s="32"/>
      <c r="Q146"/>
      <c r="R146">
        <v>1.6875038576933516</v>
      </c>
      <c r="S146"/>
      <c r="U146" s="23"/>
      <c r="V146" s="2"/>
      <c r="W146" s="2"/>
      <c r="X146" s="2"/>
      <c r="AD146" s="2"/>
      <c r="AE146" s="2"/>
      <c r="AF146" s="2"/>
      <c r="AG146" s="2"/>
      <c r="AI146" s="2"/>
      <c r="AJ146" s="3">
        <f>USA!AJ159</f>
        <v>169.14195482556306</v>
      </c>
      <c r="AK146" s="3">
        <f>USA!AK159</f>
        <v>90.153207715955162</v>
      </c>
      <c r="AL146" s="3">
        <f>USA!AL159</f>
        <v>34.518766290931239</v>
      </c>
      <c r="AN146"/>
      <c r="AO146"/>
      <c r="AP146"/>
      <c r="AQ146"/>
      <c r="AR146"/>
      <c r="AS146"/>
      <c r="AT146"/>
      <c r="AU146" s="9"/>
      <c r="BL146" s="3"/>
      <c r="BM146" s="3"/>
      <c r="BN146" s="3"/>
      <c r="BO146" s="3"/>
      <c r="BP146" s="3"/>
    </row>
    <row r="147" spans="4:71">
      <c r="D147" s="2"/>
      <c r="E147" s="3"/>
      <c r="F147" s="3"/>
      <c r="G147" s="7"/>
      <c r="J147"/>
      <c r="K147"/>
      <c r="L147" s="23"/>
      <c r="M147" s="32"/>
      <c r="N147" s="32"/>
      <c r="O147" s="32"/>
      <c r="Q147"/>
      <c r="R147">
        <v>1.3317571292723787</v>
      </c>
      <c r="S147"/>
      <c r="U147" s="23"/>
      <c r="V147" s="2"/>
      <c r="W147" s="2"/>
      <c r="X147" s="2"/>
      <c r="AD147" s="2"/>
      <c r="AE147" s="2"/>
      <c r="AF147" s="2"/>
      <c r="AG147" s="2"/>
      <c r="AI147" s="2"/>
      <c r="AJ147" s="3">
        <f>USA!AJ160</f>
        <v>171.73086229738288</v>
      </c>
      <c r="AK147" s="3">
        <f>USA!AK160</f>
        <v>90.054464673113912</v>
      </c>
      <c r="AL147" s="3">
        <f>USA!AL160</f>
        <v>34.950250869567881</v>
      </c>
      <c r="AN147"/>
      <c r="AO147"/>
      <c r="AP147"/>
      <c r="AQ147"/>
      <c r="AR147"/>
      <c r="AS147"/>
      <c r="AT147"/>
      <c r="AU147" s="9"/>
      <c r="BL147" s="3"/>
      <c r="BM147" s="3"/>
      <c r="BN147" s="3"/>
      <c r="BO147" s="3"/>
      <c r="BP147" s="3"/>
    </row>
    <row r="148" spans="4:71">
      <c r="D148" s="2"/>
      <c r="E148" s="3"/>
      <c r="F148" s="3"/>
      <c r="G148" s="7"/>
      <c r="J148"/>
      <c r="K148"/>
      <c r="L148" s="23"/>
      <c r="M148" s="32"/>
      <c r="N148" s="32"/>
      <c r="O148" s="32"/>
      <c r="Q148"/>
      <c r="R148">
        <f>R146/R147-1</f>
        <v>0.26712582992916989</v>
      </c>
      <c r="S148"/>
      <c r="U148" s="23"/>
      <c r="V148" s="2"/>
      <c r="W148" s="2"/>
      <c r="X148" s="2"/>
      <c r="AD148" s="2"/>
      <c r="AE148" s="2"/>
      <c r="AF148" s="2"/>
      <c r="AG148" s="2"/>
      <c r="AI148" s="2"/>
      <c r="AJ148" s="3">
        <f>USA!AJ161</f>
        <v>173.45680061192945</v>
      </c>
      <c r="AK148" s="3">
        <f>USA!AK161</f>
        <v>91.250057240640103</v>
      </c>
      <c r="AL148" s="3">
        <f>USA!AL161</f>
        <v>35.381735448204516</v>
      </c>
      <c r="AN148"/>
      <c r="AO148"/>
      <c r="AP148"/>
      <c r="AQ148"/>
      <c r="AR148"/>
      <c r="AS148"/>
      <c r="AT148"/>
      <c r="AU148" s="9"/>
      <c r="BL148" s="3"/>
      <c r="BM148" s="3"/>
      <c r="BN148" s="3"/>
      <c r="BO148" s="3"/>
      <c r="BP148" s="3"/>
    </row>
    <row r="149" spans="4:71">
      <c r="D149" s="2"/>
      <c r="E149" s="3"/>
      <c r="F149" s="3"/>
      <c r="G149" s="7"/>
      <c r="J149"/>
      <c r="K149"/>
      <c r="L149" s="23"/>
      <c r="M149" s="32"/>
      <c r="N149" s="32"/>
      <c r="O149" s="32"/>
      <c r="Q149"/>
      <c r="R149"/>
      <c r="S149"/>
      <c r="U149" s="23"/>
      <c r="V149" s="2"/>
      <c r="W149" s="2"/>
      <c r="X149" s="2"/>
      <c r="AD149" s="2"/>
      <c r="AE149" s="2"/>
      <c r="AF149" s="2"/>
      <c r="AG149" s="2"/>
      <c r="AI149" s="2"/>
      <c r="AJ149" s="3">
        <f>USA!AJ162</f>
        <v>175.18273892647602</v>
      </c>
      <c r="AK149" s="3">
        <f>USA!AK162</f>
        <v>91.751958188656559</v>
      </c>
      <c r="AL149" s="3">
        <f>USA!AL162</f>
        <v>36.2447046054778</v>
      </c>
      <c r="AN149"/>
      <c r="AO149"/>
      <c r="AP149"/>
      <c r="AQ149"/>
      <c r="AR149"/>
      <c r="AS149"/>
      <c r="AT149"/>
      <c r="AU149" s="9"/>
      <c r="BL149" s="3"/>
      <c r="BM149" s="3"/>
      <c r="BN149" s="3"/>
      <c r="BO149" s="3"/>
      <c r="BP149" s="3"/>
    </row>
    <row r="150" spans="4:71">
      <c r="I150" s="7"/>
      <c r="K150" s="3"/>
      <c r="M150"/>
      <c r="O150" s="12"/>
      <c r="Y150" s="23"/>
      <c r="Z150" s="23"/>
      <c r="AA150" s="23"/>
      <c r="AB150" s="23"/>
      <c r="AC150" s="23"/>
      <c r="AD150" s="23"/>
      <c r="AE150" s="23"/>
      <c r="AF150" s="2"/>
      <c r="AG150" s="2"/>
      <c r="AH150" s="2"/>
      <c r="AI150" s="2"/>
      <c r="AJ150" s="3">
        <f>USA!AJ163</f>
        <v>177.77164639829587</v>
      </c>
      <c r="AK150" s="3">
        <f>USA!AK163</f>
        <v>91.990526082750478</v>
      </c>
      <c r="AL150" s="3">
        <f>USA!AL163</f>
        <v>37.107673762751077</v>
      </c>
      <c r="AN150"/>
      <c r="AO150"/>
      <c r="AP150"/>
      <c r="AQ150"/>
      <c r="AR150"/>
      <c r="AS150"/>
      <c r="AT150"/>
      <c r="AU150"/>
      <c r="AV150"/>
      <c r="AW150"/>
      <c r="AX150" s="9"/>
      <c r="BL150" s="3"/>
      <c r="BM150" s="3"/>
      <c r="BN150" s="3"/>
      <c r="BO150" s="3"/>
      <c r="BP150" s="3"/>
      <c r="BQ150" s="3"/>
      <c r="BR150" s="3"/>
      <c r="BS150" s="3"/>
    </row>
    <row r="151" spans="4:71">
      <c r="I151" s="7"/>
      <c r="K151" s="3"/>
      <c r="M151"/>
      <c r="O151" s="12"/>
      <c r="Y151" s="23"/>
      <c r="Z151" s="23"/>
      <c r="AA151" s="23"/>
      <c r="AB151" s="23"/>
      <c r="AC151" s="23"/>
      <c r="AD151" s="23"/>
      <c r="AE151" s="23"/>
      <c r="AF151" s="2"/>
      <c r="AG151" s="2"/>
      <c r="AH151" s="2"/>
      <c r="AI151" s="2"/>
      <c r="AJ151" s="3">
        <f>USA!AJ164</f>
        <v>180.36055387011569</v>
      </c>
      <c r="AK151" s="3">
        <f>USA!AK164</f>
        <v>92.727792343203248</v>
      </c>
      <c r="AL151" s="3">
        <f>USA!AL164</f>
        <v>37.970642920024368</v>
      </c>
      <c r="AN151"/>
      <c r="AO151"/>
      <c r="AP151"/>
      <c r="AQ151"/>
      <c r="AR151"/>
      <c r="AS151"/>
      <c r="AT151"/>
      <c r="AU151"/>
      <c r="AV151"/>
      <c r="AW151"/>
      <c r="AX151" s="9"/>
      <c r="BL151" s="3"/>
      <c r="BM151" s="3"/>
      <c r="BN151" s="3"/>
      <c r="BO151" s="3"/>
      <c r="BP151" s="3"/>
      <c r="BQ151" s="3"/>
      <c r="BR151" s="3"/>
      <c r="BS151" s="3"/>
    </row>
    <row r="152" spans="4:71">
      <c r="I152" s="7"/>
      <c r="K152" s="3"/>
      <c r="M152"/>
      <c r="O152" s="12"/>
      <c r="Y152" s="23"/>
      <c r="Z152" s="23"/>
      <c r="AA152" s="23"/>
      <c r="AB152" s="23"/>
      <c r="AC152" s="23"/>
      <c r="AD152" s="23"/>
      <c r="AE152" s="23"/>
      <c r="AF152" s="2"/>
      <c r="AG152" s="2"/>
      <c r="AH152" s="2"/>
      <c r="AI152" s="2"/>
      <c r="AJ152" s="3">
        <f>USA!AJ165</f>
        <v>181.22352302738898</v>
      </c>
      <c r="AK152" s="3">
        <f>USA!AK165</f>
        <v>93.367803080926592</v>
      </c>
      <c r="AL152" s="3">
        <f>USA!AL165</f>
        <v>38.833612077297637</v>
      </c>
      <c r="AN152"/>
      <c r="AO152"/>
      <c r="AP152"/>
      <c r="AQ152"/>
      <c r="AR152"/>
      <c r="AS152"/>
      <c r="AT152"/>
      <c r="AU152"/>
      <c r="AV152"/>
      <c r="AW152"/>
      <c r="AX152" s="9"/>
      <c r="BL152" s="3"/>
      <c r="BM152" s="3"/>
      <c r="BN152" s="3"/>
      <c r="BO152" s="3"/>
      <c r="BP152" s="3"/>
      <c r="BQ152" s="3"/>
      <c r="BR152" s="3"/>
      <c r="BS152" s="3"/>
    </row>
    <row r="153" spans="4:71">
      <c r="I153" s="7"/>
      <c r="K153" s="3"/>
      <c r="M153"/>
      <c r="O153" s="12"/>
      <c r="AD153" s="2"/>
      <c r="AE153" s="2"/>
      <c r="AF153" s="2"/>
      <c r="AN153"/>
      <c r="AO153"/>
      <c r="AP153"/>
      <c r="AQ153"/>
      <c r="AR153"/>
      <c r="AS153"/>
      <c r="AT153" s="9"/>
      <c r="BL153" s="3"/>
      <c r="BM153" s="3"/>
      <c r="BN153" s="3"/>
      <c r="BO153" s="3"/>
    </row>
    <row r="154" spans="4:71">
      <c r="I154" s="7"/>
      <c r="K154" s="3"/>
      <c r="M154"/>
      <c r="O154" s="12"/>
      <c r="AD154" s="2"/>
      <c r="AE154" s="2"/>
      <c r="AF154" s="2"/>
      <c r="AN154"/>
      <c r="AO154"/>
      <c r="AP154"/>
      <c r="AQ154"/>
      <c r="AR154"/>
      <c r="AS154" s="9"/>
      <c r="BL154" s="3"/>
      <c r="BM154" s="3"/>
      <c r="BN154" s="3"/>
    </row>
    <row r="155" spans="4:71">
      <c r="I155" s="7"/>
      <c r="K155" s="3"/>
      <c r="M155"/>
      <c r="O155" s="23"/>
      <c r="P155" s="32"/>
      <c r="R155" s="23"/>
      <c r="S155"/>
      <c r="W155" s="23"/>
      <c r="X155" s="2"/>
      <c r="AD155" s="2"/>
      <c r="AE155" s="2"/>
      <c r="AN155"/>
      <c r="AO155"/>
      <c r="AP155"/>
      <c r="AQ155"/>
      <c r="AR155" s="9"/>
      <c r="BL155" s="3"/>
      <c r="BM155" s="3"/>
    </row>
    <row r="156" spans="4:71">
      <c r="I156" s="7"/>
      <c r="K156" s="3"/>
      <c r="M156"/>
      <c r="O156" s="23"/>
      <c r="P156" s="32"/>
      <c r="R156" s="23"/>
      <c r="S156"/>
      <c r="W156" s="23"/>
      <c r="X156" s="2"/>
      <c r="AC156"/>
      <c r="AJ156" s="3"/>
      <c r="AK156" s="3" t="s">
        <v>2424</v>
      </c>
      <c r="AM156" s="9"/>
      <c r="AN156" s="3"/>
      <c r="BK156"/>
    </row>
    <row r="157" spans="4:71">
      <c r="I157" s="7"/>
      <c r="K157" s="3"/>
      <c r="M157"/>
      <c r="O157" s="23"/>
      <c r="P157" s="32"/>
      <c r="R157" s="23"/>
      <c r="S157"/>
      <c r="W157" s="23"/>
      <c r="X157" s="2"/>
      <c r="AC157"/>
      <c r="AJ157" s="3"/>
      <c r="AK157" s="3"/>
      <c r="AM157" s="9"/>
      <c r="AN157" s="3"/>
      <c r="BK157"/>
    </row>
    <row r="158" spans="4:71">
      <c r="AK158" t="s">
        <v>2416</v>
      </c>
    </row>
    <row r="159" spans="4:71">
      <c r="AJ159" s="78">
        <v>43101</v>
      </c>
      <c r="AK159">
        <v>1.83</v>
      </c>
    </row>
    <row r="160" spans="4:71">
      <c r="AJ160" s="78">
        <v>43132</v>
      </c>
      <c r="AK160">
        <v>1.78</v>
      </c>
    </row>
    <row r="161" spans="36:37">
      <c r="AJ161" s="78">
        <v>43160</v>
      </c>
      <c r="AK161">
        <v>1.81</v>
      </c>
    </row>
    <row r="162" spans="36:37">
      <c r="AJ162" s="78">
        <v>43191</v>
      </c>
      <c r="AK162">
        <v>1.85</v>
      </c>
    </row>
    <row r="163" spans="36:37">
      <c r="AJ163" s="78">
        <v>43221</v>
      </c>
      <c r="AK163">
        <v>1.83</v>
      </c>
    </row>
    <row r="164" spans="36:37">
      <c r="AJ164" s="78">
        <v>43252</v>
      </c>
      <c r="AK164">
        <v>1.83</v>
      </c>
    </row>
    <row r="165" spans="36:37">
      <c r="AJ165" s="78">
        <v>43282</v>
      </c>
      <c r="AK165">
        <v>1.83</v>
      </c>
    </row>
    <row r="166" spans="36:37">
      <c r="AJ166" s="78">
        <v>43313</v>
      </c>
      <c r="AK166">
        <v>1.86</v>
      </c>
    </row>
    <row r="167" spans="36:37">
      <c r="AJ167" s="78">
        <v>43344</v>
      </c>
      <c r="AK167">
        <v>1.86</v>
      </c>
    </row>
    <row r="168" spans="36:37">
      <c r="AJ168" s="78">
        <v>43374</v>
      </c>
      <c r="AK168">
        <v>1.82</v>
      </c>
    </row>
    <row r="169" spans="36:37">
      <c r="AJ169" s="78">
        <v>43405</v>
      </c>
      <c r="AK169">
        <v>1.73</v>
      </c>
    </row>
    <row r="170" spans="36:37">
      <c r="AJ170" s="78">
        <v>43435</v>
      </c>
      <c r="AK170">
        <v>1.69</v>
      </c>
    </row>
    <row r="172" spans="36:37">
      <c r="AJ172">
        <v>2018</v>
      </c>
      <c r="AK172" s="3">
        <f>AVERAGE(AK159:AK170)</f>
        <v>1.8100000000000003</v>
      </c>
    </row>
    <row r="173" spans="36:37">
      <c r="AJ173" s="3"/>
      <c r="AK173" s="3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A3" sqref="A3:G21"/>
    </sheetView>
  </sheetViews>
  <sheetFormatPr defaultRowHeight="15"/>
  <cols>
    <col min="1" max="1" width="18.14062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0.98315992682552289</v>
      </c>
    </row>
    <row r="5" spans="1:7">
      <c r="A5" s="13" t="s">
        <v>80</v>
      </c>
      <c r="B5" s="13">
        <v>0.96660344171556756</v>
      </c>
    </row>
    <row r="6" spans="1:7">
      <c r="A6" s="13" t="s">
        <v>81</v>
      </c>
      <c r="B6" s="13">
        <v>0.96387719205969558</v>
      </c>
    </row>
    <row r="7" spans="1:7">
      <c r="A7" s="13" t="s">
        <v>82</v>
      </c>
      <c r="B7" s="13">
        <v>2.6422964488968026E-2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0.99016093246646819</v>
      </c>
      <c r="D12" s="13">
        <v>0.24754023311661705</v>
      </c>
      <c r="E12" s="13">
        <v>354.5542645493278</v>
      </c>
      <c r="F12" s="13">
        <v>1.6713542437780842E-35</v>
      </c>
    </row>
    <row r="13" spans="1:7">
      <c r="A13" s="13" t="s">
        <v>86</v>
      </c>
      <c r="B13" s="13">
        <v>49</v>
      </c>
      <c r="C13" s="13">
        <v>3.4210479566878005E-2</v>
      </c>
      <c r="D13" s="13">
        <v>6.9817305238526535E-4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1.0243714120333463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0.2113580950253168</v>
      </c>
      <c r="C17" s="13">
        <v>1.0085932652970442E-2</v>
      </c>
      <c r="D17" s="13">
        <v>20.955731343602519</v>
      </c>
      <c r="E17" s="13">
        <v>4.1405648944883478E-26</v>
      </c>
      <c r="F17" s="13">
        <v>0.19108965452255419</v>
      </c>
      <c r="G17" s="13">
        <v>0.23162653552807941</v>
      </c>
    </row>
    <row r="18" spans="1:7">
      <c r="A18" s="13" t="s">
        <v>229</v>
      </c>
      <c r="B18" s="13">
        <v>5.7050659626474614E-3</v>
      </c>
      <c r="C18" s="13">
        <v>2.1337851387154207E-4</v>
      </c>
      <c r="D18" s="13">
        <v>26.736834272273637</v>
      </c>
      <c r="E18" s="13">
        <v>6.9892597698104269E-31</v>
      </c>
      <c r="F18" s="13">
        <v>5.276265785035773E-3</v>
      </c>
      <c r="G18" s="13">
        <v>6.1338661402591498E-3</v>
      </c>
    </row>
    <row r="19" spans="1:7">
      <c r="A19" s="13" t="s">
        <v>2007</v>
      </c>
      <c r="B19" s="13">
        <v>-3.5450620937235965E-2</v>
      </c>
      <c r="C19" s="13">
        <v>8.9232466660765074E-3</v>
      </c>
      <c r="D19" s="13">
        <v>-3.9728388403750547</v>
      </c>
      <c r="E19" s="13">
        <v>2.3271111598637735E-4</v>
      </c>
      <c r="F19" s="13">
        <v>-5.3382556472179349E-2</v>
      </c>
      <c r="G19" s="13">
        <v>-1.7518685402292577E-2</v>
      </c>
    </row>
    <row r="20" spans="1:7">
      <c r="A20" s="13" t="s">
        <v>2005</v>
      </c>
      <c r="B20" s="13">
        <v>-3.7491768072732336E-2</v>
      </c>
      <c r="C20" s="13">
        <v>1.531576053981515E-2</v>
      </c>
      <c r="D20" s="13">
        <v>-2.4479207529569296</v>
      </c>
      <c r="E20" s="13">
        <v>1.799690532397244E-2</v>
      </c>
      <c r="F20" s="13">
        <v>-6.8269941191346009E-2</v>
      </c>
      <c r="G20" s="13">
        <v>-6.7135949541186658E-3</v>
      </c>
    </row>
    <row r="21" spans="1:7" ht="15.75" thickBot="1">
      <c r="A21" s="14" t="s">
        <v>2006</v>
      </c>
      <c r="B21" s="14">
        <v>-0.13950279945687943</v>
      </c>
      <c r="C21" s="14">
        <v>1.6571118874009843E-2</v>
      </c>
      <c r="D21" s="14">
        <v>-8.4184297099983851</v>
      </c>
      <c r="E21" s="14">
        <v>4.4100416323272164E-11</v>
      </c>
      <c r="F21" s="14">
        <v>-0.17280370959761457</v>
      </c>
      <c r="G21" s="14">
        <v>-0.1062018893161443</v>
      </c>
    </row>
    <row r="44" spans="7:7">
      <c r="G44" t="s">
        <v>2445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T174"/>
  <sheetViews>
    <sheetView zoomScale="75" zoomScaleNormal="75" workbookViewId="0">
      <pane xSplit="1" ySplit="4" topLeftCell="AL52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E97"/>
    </sheetView>
  </sheetViews>
  <sheetFormatPr defaultRowHeight="15"/>
  <cols>
    <col min="1" max="1" width="6.7109375" customWidth="1"/>
    <col min="2" max="2" width="10.5703125" customWidth="1"/>
    <col min="3" max="3" width="10" customWidth="1"/>
    <col min="4" max="4" width="9.28515625" style="2" customWidth="1"/>
    <col min="5" max="5" width="9" style="2" customWidth="1"/>
    <col min="6" max="7" width="9.85546875" style="2" customWidth="1"/>
    <col min="8" max="9" width="9.28515625" style="2" bestFit="1" customWidth="1"/>
    <col min="10" max="10" width="9.28515625" style="32" bestFit="1" customWidth="1"/>
    <col min="11" max="11" width="9.28515625" style="32" customWidth="1"/>
    <col min="12" max="13" width="9.28515625" style="2" bestFit="1" customWidth="1"/>
    <col min="14" max="14" width="9.85546875" style="2" customWidth="1"/>
    <col min="15" max="15" width="8.28515625" style="2" customWidth="1"/>
    <col min="16" max="16" width="10.140625" style="37" customWidth="1"/>
    <col min="17" max="17" width="11.5703125" style="32" customWidth="1"/>
    <col min="18" max="18" width="10" style="32" customWidth="1"/>
    <col min="19" max="19" width="9.42578125" style="37" customWidth="1"/>
    <col min="20" max="23" width="9.28515625" style="2" bestFit="1" customWidth="1"/>
    <col min="24" max="24" width="9.85546875" style="37" customWidth="1"/>
    <col min="25" max="26" width="9.28515625" style="2" bestFit="1" customWidth="1"/>
    <col min="27" max="27" width="10" style="2" customWidth="1"/>
    <col min="28" max="28" width="8.85546875" style="2" customWidth="1"/>
    <col min="29" max="30" width="9.28515625" style="2" bestFit="1" customWidth="1"/>
    <col min="31" max="37" width="9.140625" style="2"/>
    <col min="40" max="40" width="6" style="9" customWidth="1"/>
    <col min="41" max="42" width="7.28515625" style="3" customWidth="1"/>
    <col min="43" max="43" width="7.42578125" style="3" customWidth="1"/>
    <col min="44" max="44" width="8.28515625" style="3" customWidth="1"/>
    <col min="45" max="45" width="7.42578125" style="3" customWidth="1"/>
    <col min="46" max="46" width="3.28515625" style="3" customWidth="1"/>
    <col min="47" max="47" width="9.140625" style="3"/>
    <col min="48" max="48" width="2.7109375" style="3" customWidth="1"/>
    <col min="49" max="49" width="10.140625" style="3" customWidth="1"/>
    <col min="50" max="50" width="9.5703125" style="3" customWidth="1"/>
    <col min="51" max="51" width="7.5703125" style="3" customWidth="1"/>
    <col min="52" max="52" width="7.85546875" style="3" customWidth="1"/>
    <col min="53" max="53" width="9.140625" style="3" customWidth="1"/>
    <col min="54" max="54" width="9.85546875" style="3" customWidth="1"/>
    <col min="55" max="55" width="6.140625" style="3" customWidth="1"/>
    <col min="56" max="57" width="5.7109375" style="3" customWidth="1"/>
    <col min="58" max="61" width="9.140625" style="3"/>
    <col min="62" max="62" width="16" style="3" customWidth="1"/>
    <col min="63" max="63" width="10.7109375" style="3" customWidth="1"/>
  </cols>
  <sheetData>
    <row r="1" spans="1:60">
      <c r="A1" s="23" t="s">
        <v>170</v>
      </c>
      <c r="B1" s="23"/>
      <c r="C1" s="23"/>
      <c r="G1" s="39" t="s">
        <v>49</v>
      </c>
      <c r="H1" s="3" t="s">
        <v>3</v>
      </c>
      <c r="I1" s="3" t="s">
        <v>3</v>
      </c>
      <c r="J1" s="3" t="s">
        <v>3</v>
      </c>
      <c r="K1" s="3" t="s">
        <v>3</v>
      </c>
      <c r="L1" s="3" t="s">
        <v>3</v>
      </c>
      <c r="M1" s="3" t="s">
        <v>3</v>
      </c>
      <c r="N1" s="3" t="s">
        <v>3</v>
      </c>
    </row>
    <row r="2" spans="1:60">
      <c r="D2" s="2" t="s">
        <v>45</v>
      </c>
      <c r="F2" s="2" t="s">
        <v>46</v>
      </c>
      <c r="H2" s="3" t="s">
        <v>1703</v>
      </c>
      <c r="I2" s="3" t="s">
        <v>1703</v>
      </c>
      <c r="J2" s="3" t="s">
        <v>1703</v>
      </c>
      <c r="K2" s="3" t="s">
        <v>1703</v>
      </c>
      <c r="L2" s="3" t="s">
        <v>1703</v>
      </c>
      <c r="M2" s="3"/>
      <c r="N2"/>
      <c r="O2" s="37" t="s">
        <v>170</v>
      </c>
      <c r="Q2" s="37" t="s">
        <v>170</v>
      </c>
      <c r="R2" s="38" t="s">
        <v>142</v>
      </c>
      <c r="T2" s="37" t="s">
        <v>170</v>
      </c>
      <c r="Y2" s="37" t="s">
        <v>170</v>
      </c>
      <c r="Z2" s="37" t="s">
        <v>170</v>
      </c>
      <c r="AA2" s="37" t="s">
        <v>170</v>
      </c>
      <c r="AB2" s="37" t="s">
        <v>170</v>
      </c>
      <c r="AC2" s="37" t="s">
        <v>170</v>
      </c>
      <c r="AD2" s="2" t="s">
        <v>113</v>
      </c>
    </row>
    <row r="3" spans="1:60">
      <c r="B3" t="s">
        <v>182</v>
      </c>
      <c r="C3" t="s">
        <v>218</v>
      </c>
      <c r="D3" s="37" t="s">
        <v>170</v>
      </c>
      <c r="F3" s="37" t="s">
        <v>170</v>
      </c>
      <c r="H3" s="37" t="s">
        <v>170</v>
      </c>
      <c r="I3" s="37" t="s">
        <v>170</v>
      </c>
      <c r="J3" s="37" t="s">
        <v>170</v>
      </c>
      <c r="K3" s="2"/>
      <c r="L3" s="37" t="s">
        <v>170</v>
      </c>
      <c r="M3" s="2" t="s">
        <v>25</v>
      </c>
      <c r="N3" s="3" t="s">
        <v>1703</v>
      </c>
      <c r="O3" s="2" t="s">
        <v>5</v>
      </c>
      <c r="Q3" s="38" t="s">
        <v>133</v>
      </c>
      <c r="R3" s="38" t="s">
        <v>133</v>
      </c>
      <c r="T3" s="2" t="s">
        <v>128</v>
      </c>
      <c r="Y3" s="2" t="s">
        <v>61</v>
      </c>
      <c r="Z3" s="2" t="s">
        <v>61</v>
      </c>
      <c r="AA3" s="2" t="s">
        <v>61</v>
      </c>
      <c r="AB3" s="2" t="s">
        <v>61</v>
      </c>
      <c r="AC3" s="38" t="s">
        <v>61</v>
      </c>
      <c r="AD3" s="2" t="s">
        <v>61</v>
      </c>
      <c r="AN3" s="46" t="s">
        <v>2103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46" t="s">
        <v>1703</v>
      </c>
      <c r="AU3" s="46"/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2115</v>
      </c>
      <c r="BB3" s="46" t="s">
        <v>2102</v>
      </c>
      <c r="BC3" s="46" t="s">
        <v>2098</v>
      </c>
      <c r="BD3" s="46" t="s">
        <v>2098</v>
      </c>
      <c r="BE3" s="46" t="s">
        <v>2098</v>
      </c>
      <c r="BG3" s="46" t="s">
        <v>2444</v>
      </c>
      <c r="BH3" s="46" t="s">
        <v>2444</v>
      </c>
    </row>
    <row r="4" spans="1:60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2"/>
      <c r="L4" s="41" t="s">
        <v>8</v>
      </c>
      <c r="M4" s="2" t="s">
        <v>9</v>
      </c>
      <c r="N4" s="41" t="s">
        <v>145</v>
      </c>
      <c r="O4" s="2" t="s">
        <v>10</v>
      </c>
      <c r="Q4" s="38" t="s">
        <v>101</v>
      </c>
      <c r="R4" s="38" t="s">
        <v>103</v>
      </c>
      <c r="T4" s="13" t="s">
        <v>229</v>
      </c>
      <c r="U4" s="2" t="s">
        <v>231</v>
      </c>
      <c r="V4" s="2" t="s">
        <v>234</v>
      </c>
      <c r="W4" s="2" t="s">
        <v>126</v>
      </c>
      <c r="Y4" s="2" t="s">
        <v>109</v>
      </c>
      <c r="Z4" s="2" t="s">
        <v>111</v>
      </c>
      <c r="AA4" s="2" t="s">
        <v>152</v>
      </c>
      <c r="AB4" s="2" t="s">
        <v>112</v>
      </c>
      <c r="AC4" s="38" t="s">
        <v>87</v>
      </c>
      <c r="AD4" s="2" t="s">
        <v>87</v>
      </c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U4" s="139" t="s">
        <v>237</v>
      </c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>
        <v>8211</v>
      </c>
      <c r="BD4" s="46" t="s">
        <v>2118</v>
      </c>
      <c r="BE4" s="46">
        <v>9099</v>
      </c>
      <c r="BG4" s="46" t="s">
        <v>131</v>
      </c>
      <c r="BH4" s="46" t="s">
        <v>2097</v>
      </c>
    </row>
    <row r="5" spans="1:60">
      <c r="A5">
        <v>1926</v>
      </c>
      <c r="AN5" s="9">
        <v>1926</v>
      </c>
    </row>
    <row r="6" spans="1:60">
      <c r="A6">
        <v>1927</v>
      </c>
      <c r="AN6" s="9">
        <v>1927</v>
      </c>
    </row>
    <row r="7" spans="1:60">
      <c r="A7">
        <v>1928</v>
      </c>
      <c r="AN7" s="9">
        <v>1928</v>
      </c>
    </row>
    <row r="8" spans="1:60">
      <c r="A8">
        <v>1929</v>
      </c>
      <c r="AN8" s="9">
        <v>1929</v>
      </c>
    </row>
    <row r="9" spans="1:60">
      <c r="A9">
        <v>1930</v>
      </c>
      <c r="AN9" s="9">
        <v>1930</v>
      </c>
    </row>
    <row r="10" spans="1:60">
      <c r="A10">
        <v>1931</v>
      </c>
      <c r="AN10" s="9">
        <v>1931</v>
      </c>
    </row>
    <row r="11" spans="1:60">
      <c r="A11">
        <v>1932</v>
      </c>
      <c r="AN11" s="9">
        <v>1932</v>
      </c>
    </row>
    <row r="12" spans="1:60">
      <c r="A12">
        <v>1933</v>
      </c>
      <c r="AN12" s="9">
        <v>1933</v>
      </c>
    </row>
    <row r="13" spans="1:60">
      <c r="A13">
        <v>1934</v>
      </c>
      <c r="AN13" s="9">
        <v>1934</v>
      </c>
    </row>
    <row r="14" spans="1:60">
      <c r="A14">
        <v>1935</v>
      </c>
      <c r="AN14" s="9">
        <v>1935</v>
      </c>
    </row>
    <row r="15" spans="1:60">
      <c r="A15">
        <v>1936</v>
      </c>
      <c r="AN15" s="9">
        <v>1936</v>
      </c>
    </row>
    <row r="16" spans="1:60">
      <c r="A16">
        <v>1937</v>
      </c>
      <c r="AN16" s="9">
        <v>1937</v>
      </c>
    </row>
    <row r="17" spans="1:40">
      <c r="A17">
        <v>1938</v>
      </c>
      <c r="AN17" s="9">
        <v>1938</v>
      </c>
    </row>
    <row r="18" spans="1:40">
      <c r="A18">
        <v>1939</v>
      </c>
      <c r="AN18" s="9">
        <v>1939</v>
      </c>
    </row>
    <row r="19" spans="1:40">
      <c r="A19">
        <v>1940</v>
      </c>
      <c r="AN19" s="9">
        <v>1940</v>
      </c>
    </row>
    <row r="20" spans="1:40">
      <c r="A20">
        <v>1941</v>
      </c>
      <c r="AN20" s="9">
        <v>1941</v>
      </c>
    </row>
    <row r="21" spans="1:40">
      <c r="A21">
        <v>1942</v>
      </c>
      <c r="AN21" s="9">
        <v>1942</v>
      </c>
    </row>
    <row r="22" spans="1:40">
      <c r="A22">
        <v>1943</v>
      </c>
      <c r="AN22" s="9">
        <v>1943</v>
      </c>
    </row>
    <row r="23" spans="1:40">
      <c r="A23">
        <v>1944</v>
      </c>
      <c r="AN23" s="9">
        <v>1944</v>
      </c>
    </row>
    <row r="24" spans="1:40">
      <c r="A24">
        <v>1945</v>
      </c>
      <c r="AN24" s="9">
        <v>1945</v>
      </c>
    </row>
    <row r="25" spans="1:40">
      <c r="A25">
        <v>1946</v>
      </c>
      <c r="AN25" s="9">
        <v>1946</v>
      </c>
    </row>
    <row r="26" spans="1:40">
      <c r="A26">
        <v>1947</v>
      </c>
      <c r="AN26" s="9">
        <v>1947</v>
      </c>
    </row>
    <row r="27" spans="1:40">
      <c r="A27">
        <v>1948</v>
      </c>
      <c r="AN27" s="9">
        <v>1948</v>
      </c>
    </row>
    <row r="28" spans="1:40">
      <c r="A28">
        <v>1949</v>
      </c>
      <c r="AN28" s="9">
        <v>1949</v>
      </c>
    </row>
    <row r="29" spans="1:40">
      <c r="A29">
        <v>1950</v>
      </c>
      <c r="AN29" s="9">
        <v>1950</v>
      </c>
    </row>
    <row r="30" spans="1:40">
      <c r="A30">
        <v>1951</v>
      </c>
      <c r="AN30" s="9">
        <v>1951</v>
      </c>
    </row>
    <row r="31" spans="1:40">
      <c r="A31">
        <v>1952</v>
      </c>
      <c r="AN31" s="9">
        <v>1952</v>
      </c>
    </row>
    <row r="32" spans="1:40">
      <c r="A32">
        <v>1953</v>
      </c>
      <c r="AN32" s="9">
        <v>1953</v>
      </c>
    </row>
    <row r="33" spans="1:60">
      <c r="A33">
        <v>1954</v>
      </c>
      <c r="AN33" s="9">
        <v>1954</v>
      </c>
    </row>
    <row r="34" spans="1:60">
      <c r="A34">
        <v>1955</v>
      </c>
      <c r="AN34" s="9">
        <v>1955</v>
      </c>
    </row>
    <row r="35" spans="1:60">
      <c r="A35">
        <v>1956</v>
      </c>
      <c r="AN35" s="9">
        <v>1956</v>
      </c>
    </row>
    <row r="36" spans="1:60">
      <c r="A36">
        <v>1957</v>
      </c>
      <c r="AN36" s="9">
        <v>1957</v>
      </c>
    </row>
    <row r="37" spans="1:60">
      <c r="A37">
        <v>1958</v>
      </c>
      <c r="AN37" s="9">
        <v>1958</v>
      </c>
    </row>
    <row r="38" spans="1:60">
      <c r="A38">
        <v>1959</v>
      </c>
      <c r="AN38" s="9">
        <v>1959</v>
      </c>
    </row>
    <row r="39" spans="1:60">
      <c r="A39">
        <v>1960</v>
      </c>
      <c r="AN39" s="9">
        <v>1960</v>
      </c>
    </row>
    <row r="40" spans="1:60">
      <c r="A40">
        <v>1961</v>
      </c>
      <c r="AN40" s="9">
        <v>1961</v>
      </c>
    </row>
    <row r="41" spans="1:60">
      <c r="A41">
        <v>1962</v>
      </c>
      <c r="AN41" s="9">
        <v>1962</v>
      </c>
    </row>
    <row r="42" spans="1:60">
      <c r="A42">
        <v>1963</v>
      </c>
      <c r="AN42" s="46" t="s">
        <v>2103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46" t="s">
        <v>1703</v>
      </c>
      <c r="AU42" s="46"/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2115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G42" s="46" t="s">
        <v>2444</v>
      </c>
      <c r="BH42" s="46" t="s">
        <v>2444</v>
      </c>
    </row>
    <row r="43" spans="1:60">
      <c r="A43">
        <v>1964</v>
      </c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U43" s="139" t="s">
        <v>237</v>
      </c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8211</v>
      </c>
      <c r="BD43" s="46" t="s">
        <v>2118</v>
      </c>
      <c r="BE43" s="46">
        <v>9099</v>
      </c>
      <c r="BG43" s="46" t="s">
        <v>131</v>
      </c>
      <c r="BH43" s="46" t="s">
        <v>2097</v>
      </c>
    </row>
    <row r="44" spans="1:60">
      <c r="A44">
        <v>1965</v>
      </c>
      <c r="B44" s="3">
        <f t="shared" ref="B44:B88" si="0">I44/G44*100/C44*100</f>
        <v>93.287937117792339</v>
      </c>
      <c r="C44" s="3">
        <f t="shared" ref="C44:C87" si="1">E44/E$89*100</f>
        <v>14.459024846529534</v>
      </c>
      <c r="D44" s="2">
        <v>67.656700000000001</v>
      </c>
      <c r="E44" s="2">
        <v>20.692699999999999</v>
      </c>
      <c r="F44" s="2">
        <f>D44*E44/100</f>
        <v>13.9999979609</v>
      </c>
      <c r="G44" s="2">
        <f>N44*G45/N45</f>
        <v>2.0549728921117625</v>
      </c>
      <c r="H44" s="2">
        <f>F44*G44/100</f>
        <v>0.28769616299269452</v>
      </c>
      <c r="I44" s="32">
        <f t="shared" ref="I44:I73" si="2">H44*I$75/H$75</f>
        <v>0.27718555298264613</v>
      </c>
      <c r="J44" s="32">
        <f t="shared" ref="J44:J89" si="3">R44+AC44</f>
        <v>0.29543840676366512</v>
      </c>
      <c r="N44" s="2">
        <v>4.0060000000000002</v>
      </c>
      <c r="Q44" s="32">
        <f t="shared" ref="Q44:Q78" si="4">I44-AC44</f>
        <v>0.11087422119305845</v>
      </c>
      <c r="R44" s="32">
        <f t="shared" ref="R44:R88" si="5">R$92+R$93*T44+R$94*U44+R$95*V44+R$96*W44</f>
        <v>0.12912707497407744</v>
      </c>
      <c r="T44" s="2">
        <f>USA!Z52*G44</f>
        <v>6.7814105439688159</v>
      </c>
      <c r="U44" s="2">
        <v>1</v>
      </c>
      <c r="V44" s="2">
        <v>0</v>
      </c>
      <c r="W44" s="2">
        <v>0</v>
      </c>
      <c r="Y44" s="2">
        <v>0.6</v>
      </c>
      <c r="Z44" s="2">
        <f t="shared" ref="Z44:Z59" si="6">AC44-AB44</f>
        <v>0.13661287968430416</v>
      </c>
      <c r="AA44" s="2">
        <v>0.12</v>
      </c>
      <c r="AB44" s="2">
        <f>AA44*(I44*(1/(1+AA44)))</f>
        <v>2.9698452105283511E-2</v>
      </c>
      <c r="AC44" s="2">
        <f>I44*Y44</f>
        <v>0.16631133178958768</v>
      </c>
      <c r="AF44" s="4"/>
      <c r="AN44" s="9">
        <v>1965</v>
      </c>
      <c r="AO44" s="1">
        <f>I44</f>
        <v>0.27718555298264613</v>
      </c>
      <c r="AP44" s="1">
        <f>Z44</f>
        <v>0.13661287968430416</v>
      </c>
      <c r="AQ44" s="1">
        <f>AB44</f>
        <v>2.9698452105283511E-2</v>
      </c>
      <c r="AR44" s="1">
        <f>AC44</f>
        <v>0.16631133178958768</v>
      </c>
      <c r="AS44" s="1">
        <f t="shared" ref="AS44:AS75" si="7">AO44-AR44</f>
        <v>0.11087422119305845</v>
      </c>
      <c r="AU44" s="3">
        <v>28.194976846799833</v>
      </c>
      <c r="AW44" s="1">
        <f t="shared" ref="AW44:AW75" si="8">AO44/$AU44*100</f>
        <v>0.98310260898159618</v>
      </c>
      <c r="AX44" s="1">
        <f>BA44+AY44</f>
        <v>0.93843699059103713</v>
      </c>
      <c r="AY44" s="1">
        <f t="shared" ref="AY44:AY75" si="9">AR44/$AU44*100</f>
        <v>0.58986156538895773</v>
      </c>
      <c r="AZ44" s="1">
        <f t="shared" ref="AZ44:AZ51" si="10">AW44-AY44</f>
        <v>0.39324104359263845</v>
      </c>
      <c r="BA44" s="1">
        <f t="shared" ref="BA44:BA75" si="11">AX$100+AX$101*BB44+AX$102*BC44+AX$103*BD44+AX$104*BE44</f>
        <v>0.3485754252020794</v>
      </c>
      <c r="BB44" s="3">
        <f t="shared" ref="BB44:BB75" si="12">T44/AU44*100</f>
        <v>24.051839378398054</v>
      </c>
      <c r="BC44" s="3">
        <v>0</v>
      </c>
      <c r="BD44" s="3">
        <v>0</v>
      </c>
      <c r="BE44" s="3">
        <v>0</v>
      </c>
      <c r="BG44" s="1">
        <f t="shared" ref="BG44:BG96" si="13">AW44*$AU$97/$AU$89</f>
        <v>1.0937360314304718</v>
      </c>
      <c r="BH44" s="1">
        <f t="shared" ref="BH44:BH96" si="14">AX44*$AU$97/$AU$89</f>
        <v>1.0440439690215597</v>
      </c>
    </row>
    <row r="45" spans="1:60">
      <c r="A45">
        <v>1966</v>
      </c>
      <c r="B45" s="3">
        <f t="shared" si="0"/>
        <v>90.578787264946442</v>
      </c>
      <c r="C45" s="3">
        <f t="shared" si="1"/>
        <v>14.891495218110531</v>
      </c>
      <c r="D45" s="2">
        <v>65.691900000000004</v>
      </c>
      <c r="E45" s="2">
        <v>21.311620000000001</v>
      </c>
      <c r="F45" s="2">
        <f t="shared" ref="F45:F78" si="15">D45*E45/100</f>
        <v>14.000008098780002</v>
      </c>
      <c r="G45" s="2">
        <f>N45*G46/N46</f>
        <v>2.0400966530026157</v>
      </c>
      <c r="H45" s="2">
        <f t="shared" ref="H45:H78" si="16">F45*G45/100</f>
        <v>0.28561369664330594</v>
      </c>
      <c r="I45" s="32">
        <f t="shared" si="2"/>
        <v>0.2751791668681477</v>
      </c>
      <c r="J45" s="32">
        <f t="shared" si="3"/>
        <v>0.29389379636877855</v>
      </c>
      <c r="N45" s="2">
        <v>3.9769999999999999</v>
      </c>
      <c r="Q45" s="32">
        <f t="shared" si="4"/>
        <v>0.11007166674725907</v>
      </c>
      <c r="R45" s="32">
        <f t="shared" si="5"/>
        <v>0.12878629624788995</v>
      </c>
      <c r="T45" s="2">
        <f>USA!Z53*G45</f>
        <v>6.7323189549086315</v>
      </c>
      <c r="U45" s="2">
        <v>1</v>
      </c>
      <c r="V45" s="2">
        <v>0</v>
      </c>
      <c r="W45" s="2">
        <v>0</v>
      </c>
      <c r="Y45" s="2">
        <v>0.6</v>
      </c>
      <c r="Z45" s="2">
        <f t="shared" si="6"/>
        <v>0.13562401795644424</v>
      </c>
      <c r="AA45" s="2">
        <v>0.12</v>
      </c>
      <c r="AB45" s="2">
        <f t="shared" ref="AB45:AB96" si="17">AA45*(I45*(1/(1+AA45)))</f>
        <v>2.9483482164444394E-2</v>
      </c>
      <c r="AC45" s="2">
        <f t="shared" ref="AC45:AC59" si="18">I45*Y45</f>
        <v>0.16510750012088862</v>
      </c>
      <c r="AF45" s="4"/>
      <c r="AN45" s="9">
        <v>1966</v>
      </c>
      <c r="AO45" s="1">
        <f t="shared" ref="AO45:AO89" si="19">I45</f>
        <v>0.2751791668681477</v>
      </c>
      <c r="AP45" s="1">
        <f t="shared" ref="AP45:AP96" si="20">Z45</f>
        <v>0.13562401795644424</v>
      </c>
      <c r="AQ45" s="1">
        <f t="shared" ref="AQ45:AQ96" si="21">AB45</f>
        <v>2.9483482164444394E-2</v>
      </c>
      <c r="AR45" s="1">
        <f t="shared" ref="AR45:AR89" si="22">AC45</f>
        <v>0.16510750012088862</v>
      </c>
      <c r="AS45" s="1">
        <f t="shared" si="7"/>
        <v>0.11007166674725907</v>
      </c>
      <c r="AU45" s="3">
        <v>29.191121731883843</v>
      </c>
      <c r="AW45" s="1">
        <f t="shared" si="8"/>
        <v>0.94268102951173927</v>
      </c>
      <c r="AX45" s="1">
        <f t="shared" ref="AX45:AX89" si="23">BA45+AY45</f>
        <v>0.90854207346056526</v>
      </c>
      <c r="AY45" s="1">
        <f t="shared" si="9"/>
        <v>0.56560861770704363</v>
      </c>
      <c r="AZ45" s="1">
        <f t="shared" si="10"/>
        <v>0.37707241180469564</v>
      </c>
      <c r="BA45" s="1">
        <f t="shared" si="11"/>
        <v>0.34293345575352163</v>
      </c>
      <c r="BB45" s="3">
        <f t="shared" si="12"/>
        <v>23.062899112764455</v>
      </c>
      <c r="BC45" s="3">
        <v>0</v>
      </c>
      <c r="BD45" s="3">
        <v>0</v>
      </c>
      <c r="BE45" s="3">
        <v>0</v>
      </c>
      <c r="BG45" s="1">
        <f t="shared" si="13"/>
        <v>1.0487656107341921</v>
      </c>
      <c r="BH45" s="1">
        <f t="shared" si="14"/>
        <v>1.0107848282935166</v>
      </c>
    </row>
    <row r="46" spans="1:60">
      <c r="A46">
        <v>1967</v>
      </c>
      <c r="B46" s="3">
        <f t="shared" si="0"/>
        <v>88.132444803159416</v>
      </c>
      <c r="C46" s="3">
        <f t="shared" si="1"/>
        <v>15.30482682623647</v>
      </c>
      <c r="D46" s="2">
        <v>63.917700000000004</v>
      </c>
      <c r="E46" s="2">
        <v>21.90315</v>
      </c>
      <c r="F46" s="2">
        <f t="shared" si="15"/>
        <v>13.99998970755</v>
      </c>
      <c r="G46" s="2">
        <f>N46*G47/N47</f>
        <v>2.0513820757750718</v>
      </c>
      <c r="H46" s="2">
        <f t="shared" si="16"/>
        <v>0.28719327947103562</v>
      </c>
      <c r="I46" s="32">
        <f t="shared" si="2"/>
        <v>0.2767010416649181</v>
      </c>
      <c r="J46" s="32">
        <f t="shared" si="3"/>
        <v>0.30613348470571772</v>
      </c>
      <c r="N46" s="2">
        <v>3.9990000000000001</v>
      </c>
      <c r="Q46" s="32">
        <f t="shared" si="4"/>
        <v>9.9612374999370507E-2</v>
      </c>
      <c r="R46" s="32">
        <f t="shared" si="5"/>
        <v>0.12904481804017012</v>
      </c>
      <c r="T46" s="2">
        <f>USA!Z54*G46</f>
        <v>6.7695608500577364</v>
      </c>
      <c r="U46" s="2">
        <v>1</v>
      </c>
      <c r="V46" s="2">
        <v>0</v>
      </c>
      <c r="W46" s="2">
        <v>0</v>
      </c>
      <c r="Y46" s="2">
        <v>0.64</v>
      </c>
      <c r="Z46" s="2">
        <f t="shared" si="6"/>
        <v>0.14744212648716351</v>
      </c>
      <c r="AA46" s="2">
        <v>0.12</v>
      </c>
      <c r="AB46" s="2">
        <f t="shared" si="17"/>
        <v>2.9646540178384077E-2</v>
      </c>
      <c r="AC46" s="2">
        <f t="shared" si="18"/>
        <v>0.17708866666554759</v>
      </c>
      <c r="AF46" s="4"/>
      <c r="AN46" s="9">
        <v>1967</v>
      </c>
      <c r="AO46" s="1">
        <f t="shared" si="19"/>
        <v>0.2767010416649181</v>
      </c>
      <c r="AP46" s="1">
        <f t="shared" si="20"/>
        <v>0.14744212648716351</v>
      </c>
      <c r="AQ46" s="1">
        <f t="shared" si="21"/>
        <v>2.9646540178384077E-2</v>
      </c>
      <c r="AR46" s="1">
        <f t="shared" si="22"/>
        <v>0.17708866666554759</v>
      </c>
      <c r="AS46" s="1">
        <f t="shared" si="7"/>
        <v>9.9612374999370507E-2</v>
      </c>
      <c r="AU46" s="3">
        <v>29.71540858183813</v>
      </c>
      <c r="AW46" s="1">
        <f t="shared" si="8"/>
        <v>0.93117024086297118</v>
      </c>
      <c r="AX46" s="1">
        <f t="shared" si="23"/>
        <v>0.93727595430430066</v>
      </c>
      <c r="AY46" s="1">
        <f t="shared" si="9"/>
        <v>0.59594895415230154</v>
      </c>
      <c r="AZ46" s="1">
        <f t="shared" si="10"/>
        <v>0.33522128671066964</v>
      </c>
      <c r="BA46" s="1">
        <f t="shared" si="11"/>
        <v>0.34132700015199913</v>
      </c>
      <c r="BB46" s="3">
        <f t="shared" si="12"/>
        <v>22.781315058865619</v>
      </c>
      <c r="BC46" s="3">
        <v>0</v>
      </c>
      <c r="BD46" s="3">
        <v>0</v>
      </c>
      <c r="BE46" s="3">
        <v>0</v>
      </c>
      <c r="BG46" s="1">
        <f t="shared" si="13"/>
        <v>1.0359594558320293</v>
      </c>
      <c r="BH46" s="1">
        <f t="shared" si="14"/>
        <v>1.042752275551315</v>
      </c>
    </row>
    <row r="47" spans="1:60">
      <c r="A47">
        <v>1968</v>
      </c>
      <c r="B47" s="3">
        <f t="shared" si="0"/>
        <v>84.565792765111553</v>
      </c>
      <c r="C47" s="3">
        <f t="shared" si="1"/>
        <v>15.950346083448959</v>
      </c>
      <c r="D47" s="2">
        <v>61.331000000000003</v>
      </c>
      <c r="E47" s="2">
        <v>22.826969999999999</v>
      </c>
      <c r="F47" s="2">
        <f t="shared" si="15"/>
        <v>14.000008970700001</v>
      </c>
      <c r="G47" s="2">
        <f>N47*G48/N48</f>
        <v>2.0518950495374559</v>
      </c>
      <c r="H47" s="2">
        <f t="shared" si="16"/>
        <v>0.28726549100459309</v>
      </c>
      <c r="I47" s="32">
        <f t="shared" si="2"/>
        <v>0.27677061504279232</v>
      </c>
      <c r="J47" s="32">
        <f t="shared" si="3"/>
        <v>0.30618976265811537</v>
      </c>
      <c r="N47" s="2">
        <v>4</v>
      </c>
      <c r="Q47" s="32">
        <f t="shared" si="4"/>
        <v>9.9637421415405242E-2</v>
      </c>
      <c r="R47" s="32">
        <f t="shared" si="5"/>
        <v>0.12905656903072832</v>
      </c>
      <c r="T47" s="2">
        <f>USA!Z55*G47</f>
        <v>6.7712536634736038</v>
      </c>
      <c r="U47" s="2">
        <v>1</v>
      </c>
      <c r="V47" s="2">
        <v>0</v>
      </c>
      <c r="W47" s="2">
        <v>0</v>
      </c>
      <c r="Y47" s="2">
        <v>0.64</v>
      </c>
      <c r="Z47" s="2">
        <f t="shared" si="6"/>
        <v>0.14747919915851648</v>
      </c>
      <c r="AA47" s="2">
        <v>0.12</v>
      </c>
      <c r="AB47" s="2">
        <f t="shared" si="17"/>
        <v>2.9653994468870602E-2</v>
      </c>
      <c r="AC47" s="2">
        <f t="shared" si="18"/>
        <v>0.17713319362738708</v>
      </c>
      <c r="AF47" s="4"/>
      <c r="AN47" s="9">
        <v>1968</v>
      </c>
      <c r="AO47" s="1">
        <f t="shared" si="19"/>
        <v>0.27677061504279232</v>
      </c>
      <c r="AP47" s="1">
        <f t="shared" si="20"/>
        <v>0.14747919915851648</v>
      </c>
      <c r="AQ47" s="1">
        <f t="shared" si="21"/>
        <v>2.9653994468870602E-2</v>
      </c>
      <c r="AR47" s="1">
        <f t="shared" si="22"/>
        <v>0.17713319362738708</v>
      </c>
      <c r="AS47" s="1">
        <f t="shared" si="7"/>
        <v>9.9637421415405242E-2</v>
      </c>
      <c r="AU47" s="3">
        <v>30.152314234216892</v>
      </c>
      <c r="AW47" s="1">
        <f t="shared" si="8"/>
        <v>0.9179083664785922</v>
      </c>
      <c r="AX47" s="1">
        <f t="shared" si="23"/>
        <v>0.92693714063791988</v>
      </c>
      <c r="AY47" s="1">
        <f t="shared" si="9"/>
        <v>0.58746135454629911</v>
      </c>
      <c r="AZ47" s="1">
        <f t="shared" si="10"/>
        <v>0.33044701193229309</v>
      </c>
      <c r="BA47" s="1">
        <f t="shared" si="11"/>
        <v>0.33947578609162071</v>
      </c>
      <c r="BB47" s="3">
        <f t="shared" si="12"/>
        <v>22.456829054234166</v>
      </c>
      <c r="BC47" s="3">
        <v>0</v>
      </c>
      <c r="BD47" s="3">
        <v>0</v>
      </c>
      <c r="BE47" s="3">
        <v>0</v>
      </c>
      <c r="BG47" s="1">
        <f t="shared" si="13"/>
        <v>1.0212051568138161</v>
      </c>
      <c r="BH47" s="1">
        <f t="shared" si="14"/>
        <v>1.0312499838008329</v>
      </c>
    </row>
    <row r="48" spans="1:60">
      <c r="A48">
        <v>1969</v>
      </c>
      <c r="B48" s="3">
        <f t="shared" si="0"/>
        <v>80.222025062841382</v>
      </c>
      <c r="C48" s="3">
        <f t="shared" si="1"/>
        <v>16.814008114047141</v>
      </c>
      <c r="D48" s="2">
        <v>58.180700000000002</v>
      </c>
      <c r="E48" s="2">
        <v>24.06298</v>
      </c>
      <c r="F48" s="2">
        <f t="shared" si="15"/>
        <v>14.000010204860001</v>
      </c>
      <c r="G48" s="2">
        <f>N48*G49/N49</f>
        <v>1.8928731831983032</v>
      </c>
      <c r="H48" s="2">
        <f t="shared" si="16"/>
        <v>0.26500243881282076</v>
      </c>
      <c r="I48" s="32">
        <f t="shared" si="2"/>
        <v>0.25532091488459235</v>
      </c>
      <c r="J48" s="32">
        <f t="shared" si="3"/>
        <v>0.28881914748382886</v>
      </c>
      <c r="N48" s="2">
        <v>3.69</v>
      </c>
      <c r="Q48" s="32">
        <f t="shared" si="4"/>
        <v>9.1915529358453235E-2</v>
      </c>
      <c r="R48" s="32">
        <f t="shared" si="5"/>
        <v>0.12541376195768972</v>
      </c>
      <c r="T48" s="2">
        <f>USA!Z56*G48</f>
        <v>6.2464815045544002</v>
      </c>
      <c r="U48" s="2">
        <v>1</v>
      </c>
      <c r="V48" s="2">
        <v>0</v>
      </c>
      <c r="W48" s="2">
        <v>0</v>
      </c>
      <c r="Y48" s="2">
        <v>0.64</v>
      </c>
      <c r="Z48" s="2">
        <f t="shared" si="6"/>
        <v>0.13604957321707564</v>
      </c>
      <c r="AA48" s="2">
        <v>0.12</v>
      </c>
      <c r="AB48" s="2">
        <f t="shared" si="17"/>
        <v>2.7355812309063466E-2</v>
      </c>
      <c r="AC48" s="2">
        <f t="shared" si="18"/>
        <v>0.16340538552613912</v>
      </c>
      <c r="AF48" s="4"/>
      <c r="AN48" s="9">
        <v>1969</v>
      </c>
      <c r="AO48" s="1">
        <f t="shared" si="19"/>
        <v>0.25532091488459235</v>
      </c>
      <c r="AP48" s="1">
        <f t="shared" si="20"/>
        <v>0.13604957321707564</v>
      </c>
      <c r="AQ48" s="1">
        <f t="shared" si="21"/>
        <v>2.7355812309063466E-2</v>
      </c>
      <c r="AR48" s="1">
        <f t="shared" si="22"/>
        <v>0.16340538552613912</v>
      </c>
      <c r="AS48" s="1">
        <f t="shared" si="7"/>
        <v>9.1915529358453235E-2</v>
      </c>
      <c r="AU48" s="3">
        <v>30.729029708973055</v>
      </c>
      <c r="AW48" s="1">
        <f t="shared" si="8"/>
        <v>0.83087854482446333</v>
      </c>
      <c r="AX48" s="1">
        <f t="shared" si="23"/>
        <v>0.8590907973890296</v>
      </c>
      <c r="AY48" s="1">
        <f t="shared" si="9"/>
        <v>0.53176226868765664</v>
      </c>
      <c r="AZ48" s="1">
        <f t="shared" si="10"/>
        <v>0.29911627613680669</v>
      </c>
      <c r="BA48" s="1">
        <f t="shared" si="11"/>
        <v>0.32732852870137302</v>
      </c>
      <c r="BB48" s="3">
        <f t="shared" si="12"/>
        <v>20.327623630531981</v>
      </c>
      <c r="BC48" s="3">
        <v>0</v>
      </c>
      <c r="BD48" s="3">
        <v>0</v>
      </c>
      <c r="BE48" s="3">
        <v>0</v>
      </c>
      <c r="BG48" s="1">
        <f t="shared" si="13"/>
        <v>0.92438143680487994</v>
      </c>
      <c r="BH48" s="1">
        <f t="shared" si="14"/>
        <v>0.95576855436084651</v>
      </c>
    </row>
    <row r="49" spans="1:60">
      <c r="A49">
        <v>1970</v>
      </c>
      <c r="B49" s="3">
        <f t="shared" si="0"/>
        <v>75.755954025907428</v>
      </c>
      <c r="C49" s="3">
        <f t="shared" si="1"/>
        <v>17.805240938511318</v>
      </c>
      <c r="D49" s="2">
        <v>54.941699999999997</v>
      </c>
      <c r="E49" s="2">
        <v>25.481560000000002</v>
      </c>
      <c r="F49" s="2">
        <f t="shared" si="15"/>
        <v>14.000002250520001</v>
      </c>
      <c r="G49" s="2">
        <v>1.8713282851781601</v>
      </c>
      <c r="H49" s="2">
        <f t="shared" si="16"/>
        <v>0.26198600203955974</v>
      </c>
      <c r="I49" s="32">
        <f t="shared" si="2"/>
        <v>0.25241467975675447</v>
      </c>
      <c r="J49" s="32">
        <f t="shared" si="3"/>
        <v>0.28711512469487582</v>
      </c>
      <c r="N49" s="2">
        <v>3.6480000000000001</v>
      </c>
      <c r="Q49" s="32">
        <f t="shared" si="4"/>
        <v>9.0869284712431608E-2</v>
      </c>
      <c r="R49" s="32">
        <f t="shared" si="5"/>
        <v>0.12556972965055296</v>
      </c>
      <c r="T49" s="2">
        <f>USA!Z57*G49</f>
        <v>6.2689497553468367</v>
      </c>
      <c r="U49" s="2">
        <v>1</v>
      </c>
      <c r="V49" s="2">
        <v>0</v>
      </c>
      <c r="W49" s="2">
        <v>0</v>
      </c>
      <c r="Y49" s="2">
        <v>0.64</v>
      </c>
      <c r="Z49" s="2">
        <f t="shared" si="6"/>
        <v>0.13450096507038489</v>
      </c>
      <c r="AA49" s="2">
        <v>0.12</v>
      </c>
      <c r="AB49" s="2">
        <f t="shared" si="17"/>
        <v>2.7044429973937977E-2</v>
      </c>
      <c r="AC49" s="2">
        <f t="shared" si="18"/>
        <v>0.16154539504432286</v>
      </c>
      <c r="AF49" s="4"/>
      <c r="AN49" s="9">
        <v>1970</v>
      </c>
      <c r="AO49" s="1">
        <f t="shared" si="19"/>
        <v>0.25241467975675447</v>
      </c>
      <c r="AP49" s="1">
        <f t="shared" si="20"/>
        <v>0.13450096507038489</v>
      </c>
      <c r="AQ49" s="1">
        <f t="shared" si="21"/>
        <v>2.7044429973937977E-2</v>
      </c>
      <c r="AR49" s="1">
        <f t="shared" si="22"/>
        <v>0.16154539504432286</v>
      </c>
      <c r="AS49" s="1">
        <f t="shared" si="7"/>
        <v>9.0869284712431608E-2</v>
      </c>
      <c r="AU49" s="3">
        <v>31.789254061733036</v>
      </c>
      <c r="AW49" s="1">
        <f t="shared" si="8"/>
        <v>0.79402517362181135</v>
      </c>
      <c r="AX49" s="1">
        <f t="shared" si="23"/>
        <v>0.83204006048425283</v>
      </c>
      <c r="AY49" s="1">
        <f t="shared" si="9"/>
        <v>0.50817611111795935</v>
      </c>
      <c r="AZ49" s="1">
        <f t="shared" si="10"/>
        <v>0.285849062503852</v>
      </c>
      <c r="BA49" s="1">
        <f t="shared" si="11"/>
        <v>0.32386394936629348</v>
      </c>
      <c r="BB49" s="3">
        <f t="shared" si="12"/>
        <v>19.72034242506248</v>
      </c>
      <c r="BC49" s="3">
        <v>0</v>
      </c>
      <c r="BD49" s="3">
        <v>0</v>
      </c>
      <c r="BE49" s="3">
        <v>0</v>
      </c>
      <c r="BG49" s="1">
        <f t="shared" si="13"/>
        <v>0.88338077258552872</v>
      </c>
      <c r="BH49" s="1">
        <f t="shared" si="14"/>
        <v>0.92567366359440972</v>
      </c>
    </row>
    <row r="50" spans="1:60">
      <c r="A50">
        <v>1971</v>
      </c>
      <c r="B50" s="3">
        <f t="shared" si="0"/>
        <v>93.424442530776702</v>
      </c>
      <c r="C50" s="3">
        <f t="shared" si="1"/>
        <v>18.563021376325832</v>
      </c>
      <c r="D50" s="2">
        <v>67.755700000000004</v>
      </c>
      <c r="E50" s="2">
        <v>26.566040000000001</v>
      </c>
      <c r="F50" s="2">
        <f t="shared" si="15"/>
        <v>18.000006364280001</v>
      </c>
      <c r="G50" s="2">
        <v>1.7848125859609481</v>
      </c>
      <c r="H50" s="2">
        <f t="shared" si="16"/>
        <v>0.32126637906344108</v>
      </c>
      <c r="I50" s="32">
        <f t="shared" si="2"/>
        <v>0.30952932430208874</v>
      </c>
      <c r="J50" s="32">
        <f t="shared" si="3"/>
        <v>0.32425842342772326</v>
      </c>
      <c r="Q50" s="32">
        <f t="shared" si="4"/>
        <v>0.11143055674875194</v>
      </c>
      <c r="R50" s="32">
        <f t="shared" si="5"/>
        <v>0.12615965587438643</v>
      </c>
      <c r="T50" s="2">
        <f>USA!Z58*G50</f>
        <v>6.3539328060209748</v>
      </c>
      <c r="U50" s="2">
        <v>1</v>
      </c>
      <c r="V50" s="2">
        <v>0</v>
      </c>
      <c r="W50" s="2">
        <v>0</v>
      </c>
      <c r="Y50" s="2">
        <v>0.64</v>
      </c>
      <c r="Z50" s="2">
        <f t="shared" si="6"/>
        <v>0.164934911378113</v>
      </c>
      <c r="AA50" s="2">
        <v>0.12</v>
      </c>
      <c r="AB50" s="2">
        <f t="shared" si="17"/>
        <v>3.3163856175223785E-2</v>
      </c>
      <c r="AC50" s="2">
        <f t="shared" si="18"/>
        <v>0.1980987675533368</v>
      </c>
      <c r="AF50" s="4"/>
      <c r="AN50" s="9">
        <v>1971</v>
      </c>
      <c r="AO50" s="1">
        <f>I50</f>
        <v>0.30952932430208874</v>
      </c>
      <c r="AP50" s="1">
        <f t="shared" si="20"/>
        <v>0.164934911378113</v>
      </c>
      <c r="AQ50" s="1">
        <f t="shared" si="21"/>
        <v>3.3163856175223785E-2</v>
      </c>
      <c r="AR50" s="1">
        <f t="shared" si="22"/>
        <v>0.1980987675533368</v>
      </c>
      <c r="AS50" s="1">
        <f t="shared" si="7"/>
        <v>0.11143055674875194</v>
      </c>
      <c r="AU50" s="3">
        <v>33.45532091979495</v>
      </c>
      <c r="AW50" s="1">
        <f t="shared" si="8"/>
        <v>0.92520207785227204</v>
      </c>
      <c r="AX50" s="1">
        <f t="shared" si="23"/>
        <v>0.91183971316832546</v>
      </c>
      <c r="AY50" s="1">
        <f t="shared" si="9"/>
        <v>0.59212932982545419</v>
      </c>
      <c r="AZ50" s="1">
        <f t="shared" si="10"/>
        <v>0.33307274802681786</v>
      </c>
      <c r="BA50" s="1">
        <f t="shared" si="11"/>
        <v>0.31971038334287127</v>
      </c>
      <c r="BB50" s="3">
        <f t="shared" si="12"/>
        <v>18.992293695982632</v>
      </c>
      <c r="BC50" s="3">
        <v>0</v>
      </c>
      <c r="BD50" s="3">
        <v>0</v>
      </c>
      <c r="BE50" s="3">
        <v>0</v>
      </c>
      <c r="BG50" s="1">
        <f t="shared" si="13"/>
        <v>1.0293196657769361</v>
      </c>
      <c r="BH50" s="1">
        <f t="shared" si="14"/>
        <v>1.0144535677863245</v>
      </c>
    </row>
    <row r="51" spans="1:60">
      <c r="A51">
        <v>1972</v>
      </c>
      <c r="B51" s="3">
        <f t="shared" si="0"/>
        <v>97.669760874591489</v>
      </c>
      <c r="C51" s="3">
        <f t="shared" si="1"/>
        <v>19.17664269444656</v>
      </c>
      <c r="D51" s="2">
        <v>70.834599999999995</v>
      </c>
      <c r="E51" s="2">
        <v>27.444210000000002</v>
      </c>
      <c r="F51" s="2">
        <f t="shared" si="15"/>
        <v>19.439996376659998</v>
      </c>
      <c r="G51" s="2">
        <v>1.6303257440575101</v>
      </c>
      <c r="H51" s="2">
        <f t="shared" si="16"/>
        <v>0.31693526557253515</v>
      </c>
      <c r="I51" s="32">
        <f t="shared" si="2"/>
        <v>0.30535644248288335</v>
      </c>
      <c r="J51" s="32">
        <f t="shared" si="3"/>
        <v>0.28418082573124359</v>
      </c>
      <c r="Q51" s="32">
        <f t="shared" si="4"/>
        <v>0.14351752796695516</v>
      </c>
      <c r="R51" s="32">
        <f t="shared" si="5"/>
        <v>0.12234191121531537</v>
      </c>
      <c r="T51" s="2">
        <f>USA!Z59*G51</f>
        <v>5.803959648844736</v>
      </c>
      <c r="U51" s="2">
        <v>1</v>
      </c>
      <c r="V51" s="2">
        <v>0</v>
      </c>
      <c r="W51" s="2">
        <v>0</v>
      </c>
      <c r="Y51" s="2">
        <v>0.53</v>
      </c>
      <c r="Z51" s="2">
        <f t="shared" si="6"/>
        <v>0.12912215282133355</v>
      </c>
      <c r="AA51" s="2">
        <v>0.12</v>
      </c>
      <c r="AB51" s="2">
        <f t="shared" si="17"/>
        <v>3.2716761694594643E-2</v>
      </c>
      <c r="AC51" s="2">
        <f t="shared" si="18"/>
        <v>0.16183891451592819</v>
      </c>
      <c r="AF51" s="4"/>
      <c r="AN51" s="9">
        <v>1972</v>
      </c>
      <c r="AO51" s="1">
        <f t="shared" si="19"/>
        <v>0.30535644248288335</v>
      </c>
      <c r="AP51" s="1">
        <f t="shared" si="20"/>
        <v>0.12912215282133355</v>
      </c>
      <c r="AQ51" s="1">
        <f t="shared" si="21"/>
        <v>3.2716761694594643E-2</v>
      </c>
      <c r="AR51" s="1">
        <f t="shared" si="22"/>
        <v>0.16183891451592819</v>
      </c>
      <c r="AS51" s="1">
        <f t="shared" si="7"/>
        <v>0.14351752796695516</v>
      </c>
      <c r="AU51" s="3">
        <v>35.290324529946737</v>
      </c>
      <c r="AW51" s="1">
        <f t="shared" si="8"/>
        <v>0.8652695789854904</v>
      </c>
      <c r="AX51" s="1">
        <f t="shared" si="23"/>
        <v>0.76377831148351283</v>
      </c>
      <c r="AY51" s="1">
        <f t="shared" si="9"/>
        <v>0.45859287686230987</v>
      </c>
      <c r="AZ51" s="1">
        <f t="shared" si="10"/>
        <v>0.40667670212318052</v>
      </c>
      <c r="BA51" s="1">
        <f t="shared" si="11"/>
        <v>0.3051854346212029</v>
      </c>
      <c r="BB51" s="3">
        <f t="shared" si="12"/>
        <v>16.446319851549113</v>
      </c>
      <c r="BC51" s="3">
        <v>0</v>
      </c>
      <c r="BD51" s="3">
        <v>0</v>
      </c>
      <c r="BE51" s="3">
        <v>0</v>
      </c>
      <c r="BG51" s="1">
        <f t="shared" si="13"/>
        <v>0.96264266495789741</v>
      </c>
      <c r="BH51" s="1">
        <f t="shared" si="14"/>
        <v>0.84973008072881884</v>
      </c>
    </row>
    <row r="52" spans="1:60">
      <c r="A52">
        <v>1973</v>
      </c>
      <c r="B52" s="3">
        <f t="shared" si="0"/>
        <v>124.87087738620446</v>
      </c>
      <c r="C52" s="3">
        <f t="shared" si="1"/>
        <v>20.369443941469338</v>
      </c>
      <c r="D52" s="2">
        <v>90.562100000000001</v>
      </c>
      <c r="E52" s="2">
        <v>29.151260000000001</v>
      </c>
      <c r="F52" s="2">
        <f t="shared" si="15"/>
        <v>26.399993232460002</v>
      </c>
      <c r="G52" s="2">
        <v>1.3664786816850141</v>
      </c>
      <c r="H52" s="2">
        <f t="shared" si="16"/>
        <v>0.36075027948785232</v>
      </c>
      <c r="I52" s="32">
        <f t="shared" si="2"/>
        <v>0.34757073110851205</v>
      </c>
      <c r="J52" s="32">
        <f t="shared" si="3"/>
        <v>0.34252889615822057</v>
      </c>
      <c r="Q52" s="32">
        <f t="shared" si="4"/>
        <v>0.10427121933255362</v>
      </c>
      <c r="R52" s="32">
        <f t="shared" si="5"/>
        <v>9.922938438226217E-2</v>
      </c>
      <c r="T52" s="2">
        <f>USA!Z60*G52</f>
        <v>5.288272498121005</v>
      </c>
      <c r="U52" s="2">
        <v>0</v>
      </c>
      <c r="V52" s="2">
        <v>0</v>
      </c>
      <c r="W52" s="2">
        <v>0</v>
      </c>
      <c r="Y52" s="2">
        <v>0.7</v>
      </c>
      <c r="Z52" s="2">
        <f t="shared" si="6"/>
        <v>0.20605979058576071</v>
      </c>
      <c r="AA52" s="2">
        <v>0.12</v>
      </c>
      <c r="AB52" s="2">
        <f t="shared" si="17"/>
        <v>3.7239721190197715E-2</v>
      </c>
      <c r="AC52" s="2">
        <f t="shared" si="18"/>
        <v>0.24329951177595843</v>
      </c>
      <c r="AF52" s="4"/>
      <c r="AN52" s="9">
        <v>1973</v>
      </c>
      <c r="AO52" s="1">
        <f t="shared" si="19"/>
        <v>0.34757073110851205</v>
      </c>
      <c r="AP52" s="1">
        <f t="shared" si="20"/>
        <v>0.20605979058576071</v>
      </c>
      <c r="AQ52" s="1">
        <f t="shared" si="21"/>
        <v>3.7239721190197715E-2</v>
      </c>
      <c r="AR52" s="1">
        <f t="shared" si="22"/>
        <v>0.24329951177595843</v>
      </c>
      <c r="AS52" s="1">
        <f t="shared" si="7"/>
        <v>0.10427121933255362</v>
      </c>
      <c r="AU52" s="3">
        <v>37.771948620570477</v>
      </c>
      <c r="AW52" s="1">
        <f t="shared" si="8"/>
        <v>0.92018215581079699</v>
      </c>
      <c r="AX52" s="1">
        <f t="shared" si="23"/>
        <v>0.93535954370160435</v>
      </c>
      <c r="AY52" s="1">
        <f t="shared" si="9"/>
        <v>0.644127509067558</v>
      </c>
      <c r="AZ52" s="1">
        <f>AW52-AY52</f>
        <v>0.27605464674323898</v>
      </c>
      <c r="BA52" s="1">
        <f t="shared" si="11"/>
        <v>0.29123203463404634</v>
      </c>
      <c r="BB52" s="3">
        <f t="shared" si="12"/>
        <v>14.000528676037193</v>
      </c>
      <c r="BC52" s="3">
        <v>0</v>
      </c>
      <c r="BD52" s="3">
        <v>0</v>
      </c>
      <c r="BE52" s="3">
        <v>0</v>
      </c>
      <c r="BG52" s="1">
        <f t="shared" si="13"/>
        <v>1.0237348269599373</v>
      </c>
      <c r="BH52" s="1">
        <f t="shared" si="14"/>
        <v>1.0406202017392481</v>
      </c>
    </row>
    <row r="53" spans="1:60">
      <c r="A53">
        <v>1974</v>
      </c>
      <c r="B53" s="3">
        <f t="shared" si="0"/>
        <v>145.51752792647778</v>
      </c>
      <c r="C53" s="3">
        <f t="shared" si="1"/>
        <v>22.617266903639468</v>
      </c>
      <c r="D53" s="2">
        <v>105.536</v>
      </c>
      <c r="E53" s="2">
        <v>32.368180000000002</v>
      </c>
      <c r="F53" s="2">
        <f t="shared" si="15"/>
        <v>34.160082444800004</v>
      </c>
      <c r="G53" s="2">
        <v>1.323095565565515</v>
      </c>
      <c r="H53" s="2">
        <f t="shared" si="16"/>
        <v>0.45197053602067278</v>
      </c>
      <c r="I53" s="32">
        <f t="shared" si="2"/>
        <v>0.43545837266496457</v>
      </c>
      <c r="J53" s="32">
        <f t="shared" si="3"/>
        <v>0.44093536962428509</v>
      </c>
      <c r="Q53" s="32">
        <f t="shared" si="4"/>
        <v>0.16982876533933616</v>
      </c>
      <c r="R53" s="32">
        <f t="shared" si="5"/>
        <v>0.17530576229865669</v>
      </c>
      <c r="T53" s="2">
        <f>USA!Z61*G53</f>
        <v>16.247613545144524</v>
      </c>
      <c r="U53" s="2">
        <v>0</v>
      </c>
      <c r="V53" s="2">
        <v>0</v>
      </c>
      <c r="W53" s="2">
        <v>0</v>
      </c>
      <c r="Y53" s="2">
        <v>0.61</v>
      </c>
      <c r="Z53" s="2">
        <f t="shared" si="6"/>
        <v>0.21897335311152505</v>
      </c>
      <c r="AA53" s="2">
        <v>0.12</v>
      </c>
      <c r="AB53" s="2">
        <f t="shared" si="17"/>
        <v>4.665625421410334E-2</v>
      </c>
      <c r="AC53" s="2">
        <f t="shared" si="18"/>
        <v>0.2656296073256284</v>
      </c>
      <c r="AF53" s="4"/>
      <c r="AN53" s="9">
        <v>1974</v>
      </c>
      <c r="AO53" s="1">
        <f t="shared" si="19"/>
        <v>0.43545837266496457</v>
      </c>
      <c r="AP53" s="1">
        <f t="shared" si="20"/>
        <v>0.21897335311152505</v>
      </c>
      <c r="AQ53" s="1">
        <f t="shared" si="21"/>
        <v>4.665625421410334E-2</v>
      </c>
      <c r="AR53" s="1">
        <f t="shared" si="22"/>
        <v>0.2656296073256284</v>
      </c>
      <c r="AS53" s="1">
        <f t="shared" si="7"/>
        <v>0.16982876533933616</v>
      </c>
      <c r="AU53" s="3">
        <v>40.410858615143624</v>
      </c>
      <c r="AW53" s="1">
        <f t="shared" si="8"/>
        <v>1.0775776303396343</v>
      </c>
      <c r="AX53" s="1">
        <f t="shared" si="23"/>
        <v>1.0980586666434702</v>
      </c>
      <c r="AY53" s="1">
        <f t="shared" si="9"/>
        <v>0.65732235450717691</v>
      </c>
      <c r="AZ53" s="1">
        <f t="shared" ref="AZ53:AZ89" si="24">AW53-AY53</f>
        <v>0.42025527583245736</v>
      </c>
      <c r="BA53" s="1">
        <f t="shared" si="11"/>
        <v>0.44073631213629327</v>
      </c>
      <c r="BB53" s="3">
        <f t="shared" si="12"/>
        <v>40.206058722681703</v>
      </c>
      <c r="BC53" s="3">
        <v>0</v>
      </c>
      <c r="BD53" s="3">
        <v>0</v>
      </c>
      <c r="BE53" s="3">
        <v>0</v>
      </c>
      <c r="BG53" s="1">
        <f t="shared" si="13"/>
        <v>1.1988427964674306</v>
      </c>
      <c r="BH53" s="1">
        <f t="shared" si="14"/>
        <v>1.2216286655739585</v>
      </c>
    </row>
    <row r="54" spans="1:60">
      <c r="A54">
        <v>1975</v>
      </c>
      <c r="B54" s="3">
        <f t="shared" si="0"/>
        <v>123.30878665519414</v>
      </c>
      <c r="C54" s="3">
        <f t="shared" si="1"/>
        <v>24.682660206706046</v>
      </c>
      <c r="D54" s="2">
        <v>89.429199999999994</v>
      </c>
      <c r="E54" s="2">
        <v>35.324019999999997</v>
      </c>
      <c r="F54" s="2">
        <f t="shared" si="15"/>
        <v>31.589988493839996</v>
      </c>
      <c r="G54" s="2">
        <v>1.2579263023882441</v>
      </c>
      <c r="H54" s="2">
        <f t="shared" si="16"/>
        <v>0.39737877418543321</v>
      </c>
      <c r="I54" s="32">
        <f t="shared" si="2"/>
        <v>0.38286105077095645</v>
      </c>
      <c r="J54" s="32">
        <f t="shared" si="3"/>
        <v>0.40670124923679096</v>
      </c>
      <c r="Q54" s="32">
        <f t="shared" si="4"/>
        <v>0.14931580980067302</v>
      </c>
      <c r="R54" s="32">
        <f t="shared" si="5"/>
        <v>0.17315600826650751</v>
      </c>
      <c r="T54" s="2">
        <f>USA!Z62*G54</f>
        <v>15.937926251259052</v>
      </c>
      <c r="U54" s="2">
        <v>0</v>
      </c>
      <c r="V54" s="2">
        <v>0</v>
      </c>
      <c r="W54" s="2">
        <v>0</v>
      </c>
      <c r="Y54" s="2">
        <v>0.61</v>
      </c>
      <c r="Z54" s="2">
        <f t="shared" si="6"/>
        <v>0.19252441410196666</v>
      </c>
      <c r="AA54" s="2">
        <v>0.12</v>
      </c>
      <c r="AB54" s="2">
        <f t="shared" si="17"/>
        <v>4.1020826868316762E-2</v>
      </c>
      <c r="AC54" s="2">
        <f t="shared" si="18"/>
        <v>0.23354524097028342</v>
      </c>
      <c r="AF54" s="4"/>
      <c r="AN54" s="9">
        <v>1975</v>
      </c>
      <c r="AO54" s="1">
        <f t="shared" si="19"/>
        <v>0.38286105077095645</v>
      </c>
      <c r="AP54" s="1">
        <f t="shared" si="20"/>
        <v>0.19252441410196666</v>
      </c>
      <c r="AQ54" s="1">
        <f t="shared" si="21"/>
        <v>4.1020826868316762E-2</v>
      </c>
      <c r="AR54" s="1">
        <f t="shared" si="22"/>
        <v>0.23354524097028342</v>
      </c>
      <c r="AS54" s="1">
        <f t="shared" si="7"/>
        <v>0.14931580980067302</v>
      </c>
      <c r="AU54" s="3">
        <v>42.799276139783558</v>
      </c>
      <c r="AW54" s="1">
        <f t="shared" si="8"/>
        <v>0.8945502945435857</v>
      </c>
      <c r="AX54" s="1">
        <f t="shared" si="23"/>
        <v>0.96948344387886354</v>
      </c>
      <c r="AY54" s="1">
        <f t="shared" si="9"/>
        <v>0.54567567967158725</v>
      </c>
      <c r="AZ54" s="1">
        <f t="shared" si="24"/>
        <v>0.34887461487199845</v>
      </c>
      <c r="BA54" s="1">
        <f t="shared" si="11"/>
        <v>0.42380776420727628</v>
      </c>
      <c r="BB54" s="3">
        <f t="shared" si="12"/>
        <v>37.238775252192042</v>
      </c>
      <c r="BC54" s="3">
        <v>0</v>
      </c>
      <c r="BD54" s="3">
        <v>0</v>
      </c>
      <c r="BE54" s="3">
        <v>0</v>
      </c>
      <c r="BG54" s="1">
        <f t="shared" si="13"/>
        <v>0.99521848495814225</v>
      </c>
      <c r="BH54" s="1">
        <f t="shared" si="14"/>
        <v>1.0785842339936917</v>
      </c>
    </row>
    <row r="55" spans="1:60">
      <c r="A55">
        <v>1976</v>
      </c>
      <c r="B55" s="3">
        <f t="shared" si="0"/>
        <v>132.75082470604821</v>
      </c>
      <c r="C55" s="3">
        <f t="shared" si="1"/>
        <v>26.098712089869402</v>
      </c>
      <c r="D55" s="2">
        <v>96.277000000000001</v>
      </c>
      <c r="E55" s="2">
        <v>37.350569999999998</v>
      </c>
      <c r="F55" s="2">
        <f t="shared" si="15"/>
        <v>35.960008278899998</v>
      </c>
      <c r="G55" s="2">
        <v>1.2874329568520779</v>
      </c>
      <c r="H55" s="2">
        <f t="shared" si="16"/>
        <v>0.46296099786929423</v>
      </c>
      <c r="I55" s="32">
        <f t="shared" si="2"/>
        <v>0.4460473120979947</v>
      </c>
      <c r="J55" s="32">
        <f t="shared" si="3"/>
        <v>0.4536490422787588</v>
      </c>
      <c r="Q55" s="32">
        <f t="shared" si="4"/>
        <v>0.17395845171821794</v>
      </c>
      <c r="R55" s="32">
        <f t="shared" si="5"/>
        <v>0.18156018189898201</v>
      </c>
      <c r="T55" s="2">
        <f>USA!Z63*G55</f>
        <v>17.14860698526968</v>
      </c>
      <c r="U55" s="2">
        <v>0</v>
      </c>
      <c r="V55" s="2">
        <v>0</v>
      </c>
      <c r="W55" s="2">
        <v>0</v>
      </c>
      <c r="Y55" s="2">
        <v>0.61</v>
      </c>
      <c r="Z55" s="2">
        <f t="shared" si="6"/>
        <v>0.22429807694070591</v>
      </c>
      <c r="AA55" s="2">
        <v>0.12</v>
      </c>
      <c r="AB55" s="2">
        <f t="shared" si="17"/>
        <v>4.7790783439070852E-2</v>
      </c>
      <c r="AC55" s="2">
        <f t="shared" si="18"/>
        <v>0.27208886037977675</v>
      </c>
      <c r="AF55" s="4"/>
      <c r="AN55" s="9">
        <v>1976</v>
      </c>
      <c r="AO55" s="1">
        <f t="shared" si="19"/>
        <v>0.4460473120979947</v>
      </c>
      <c r="AP55" s="1">
        <f t="shared" si="20"/>
        <v>0.22429807694070591</v>
      </c>
      <c r="AQ55" s="1">
        <f t="shared" si="21"/>
        <v>4.7790783439070852E-2</v>
      </c>
      <c r="AR55" s="1">
        <f t="shared" si="22"/>
        <v>0.27208886037977675</v>
      </c>
      <c r="AS55" s="1">
        <f t="shared" si="7"/>
        <v>0.17395845171821794</v>
      </c>
      <c r="AU55" s="3">
        <v>44.616803468111208</v>
      </c>
      <c r="AW55" s="1">
        <f t="shared" si="8"/>
        <v>0.99972942350474814</v>
      </c>
      <c r="AX55" s="1">
        <f t="shared" si="23"/>
        <v>1.0404690255352778</v>
      </c>
      <c r="AY55" s="1">
        <f t="shared" si="9"/>
        <v>0.60983494833789642</v>
      </c>
      <c r="AZ55" s="1">
        <f t="shared" si="24"/>
        <v>0.38989447516685172</v>
      </c>
      <c r="BA55" s="1">
        <f t="shared" si="11"/>
        <v>0.43063407719738123</v>
      </c>
      <c r="BB55" s="3">
        <f t="shared" si="12"/>
        <v>38.435310583211631</v>
      </c>
      <c r="BC55" s="3">
        <v>0</v>
      </c>
      <c r="BD55" s="3">
        <v>0</v>
      </c>
      <c r="BE55" s="3">
        <v>0</v>
      </c>
      <c r="BG55" s="1">
        <f t="shared" si="13"/>
        <v>1.1122339440244797</v>
      </c>
      <c r="BH55" s="1">
        <f t="shared" si="14"/>
        <v>1.1575581759407054</v>
      </c>
    </row>
    <row r="56" spans="1:60">
      <c r="A56">
        <v>1977</v>
      </c>
      <c r="B56" s="3">
        <f t="shared" si="0"/>
        <v>167.79135056637631</v>
      </c>
      <c r="C56" s="3">
        <f t="shared" si="1"/>
        <v>27.791594761847083</v>
      </c>
      <c r="D56" s="2">
        <v>121.69</v>
      </c>
      <c r="E56" s="2">
        <v>39.773299999999999</v>
      </c>
      <c r="F56" s="2">
        <f t="shared" si="15"/>
        <v>48.400128770000002</v>
      </c>
      <c r="G56" s="2">
        <v>1.187311780676235</v>
      </c>
      <c r="H56" s="2">
        <f t="shared" si="16"/>
        <v>0.57466043074867779</v>
      </c>
      <c r="I56" s="32">
        <f t="shared" si="2"/>
        <v>0.55366594958154747</v>
      </c>
      <c r="J56" s="32">
        <f t="shared" si="3"/>
        <v>0.52414716326817701</v>
      </c>
      <c r="Q56" s="32">
        <f t="shared" si="4"/>
        <v>0.21039306084098802</v>
      </c>
      <c r="R56" s="32">
        <f t="shared" si="5"/>
        <v>0.18087427452761756</v>
      </c>
      <c r="T56" s="2">
        <f>USA!Z64*G56</f>
        <v>17.049797170510733</v>
      </c>
      <c r="U56" s="2">
        <v>0</v>
      </c>
      <c r="V56" s="2">
        <v>0</v>
      </c>
      <c r="W56" s="2">
        <v>0</v>
      </c>
      <c r="Y56" s="2">
        <v>0.62</v>
      </c>
      <c r="Z56" s="2">
        <f t="shared" si="6"/>
        <v>0.28395153699967934</v>
      </c>
      <c r="AA56" s="2">
        <v>0.12</v>
      </c>
      <c r="AB56" s="2">
        <f t="shared" si="17"/>
        <v>5.9321351740880081E-2</v>
      </c>
      <c r="AC56" s="2">
        <f t="shared" si="18"/>
        <v>0.34327288874055945</v>
      </c>
      <c r="AF56" s="4"/>
      <c r="AN56" s="9">
        <v>1977</v>
      </c>
      <c r="AO56" s="1">
        <f t="shared" si="19"/>
        <v>0.55366594958154747</v>
      </c>
      <c r="AP56" s="1">
        <f t="shared" si="20"/>
        <v>0.28395153699967934</v>
      </c>
      <c r="AQ56" s="1">
        <f t="shared" si="21"/>
        <v>5.9321351740880081E-2</v>
      </c>
      <c r="AR56" s="1">
        <f t="shared" si="22"/>
        <v>0.34327288874055945</v>
      </c>
      <c r="AS56" s="1">
        <f t="shared" si="7"/>
        <v>0.21039306084098802</v>
      </c>
      <c r="AU56" s="3">
        <v>46.282870312008349</v>
      </c>
      <c r="AW56" s="1">
        <f t="shared" si="8"/>
        <v>1.196265369561351</v>
      </c>
      <c r="AX56" s="1">
        <f t="shared" si="23"/>
        <v>1.1632072419737112</v>
      </c>
      <c r="AY56" s="1">
        <f t="shared" si="9"/>
        <v>0.74168452912803762</v>
      </c>
      <c r="AZ56" s="1">
        <f t="shared" si="24"/>
        <v>0.45458084043331337</v>
      </c>
      <c r="BA56" s="1">
        <f t="shared" si="11"/>
        <v>0.42152271284567366</v>
      </c>
      <c r="BB56" s="3">
        <f t="shared" si="12"/>
        <v>36.838245025799679</v>
      </c>
      <c r="BC56" s="3">
        <v>0</v>
      </c>
      <c r="BD56" s="3">
        <v>0</v>
      </c>
      <c r="BE56" s="3">
        <v>0</v>
      </c>
      <c r="BG56" s="1">
        <f t="shared" si="13"/>
        <v>1.3308870568425399</v>
      </c>
      <c r="BH56" s="1">
        <f t="shared" si="14"/>
        <v>1.2941087338639421</v>
      </c>
    </row>
    <row r="57" spans="1:60">
      <c r="A57">
        <v>1978</v>
      </c>
      <c r="B57" s="3">
        <f t="shared" si="0"/>
        <v>148.78538478277099</v>
      </c>
      <c r="C57" s="3">
        <f t="shared" si="1"/>
        <v>29.916940817905406</v>
      </c>
      <c r="D57" s="2">
        <v>107.90600000000001</v>
      </c>
      <c r="E57" s="2">
        <v>42.81494</v>
      </c>
      <c r="F57" s="2">
        <f t="shared" si="15"/>
        <v>46.199889156400005</v>
      </c>
      <c r="G57" s="2">
        <v>1.0269962113271609</v>
      </c>
      <c r="H57" s="2">
        <f t="shared" si="16"/>
        <v>0.47447111127357589</v>
      </c>
      <c r="I57" s="32">
        <f t="shared" si="2"/>
        <v>0.45713691828415642</v>
      </c>
      <c r="J57" s="32">
        <f t="shared" si="3"/>
        <v>0.43903315366475071</v>
      </c>
      <c r="Q57" s="32">
        <f t="shared" si="4"/>
        <v>0.18285476731366257</v>
      </c>
      <c r="R57" s="32">
        <f t="shared" si="5"/>
        <v>0.16475100269425688</v>
      </c>
      <c r="T57" s="2">
        <f>USA!Z65*G57</f>
        <v>14.727125670431487</v>
      </c>
      <c r="U57" s="2">
        <v>0</v>
      </c>
      <c r="V57" s="2">
        <v>0</v>
      </c>
      <c r="W57" s="2">
        <v>0</v>
      </c>
      <c r="Y57" s="2">
        <v>0.6</v>
      </c>
      <c r="Z57" s="2">
        <f t="shared" si="6"/>
        <v>0.22530319544004854</v>
      </c>
      <c r="AA57" s="2">
        <v>0.12</v>
      </c>
      <c r="AB57" s="2">
        <f t="shared" si="17"/>
        <v>4.8978955530445324E-2</v>
      </c>
      <c r="AC57" s="2">
        <f t="shared" si="18"/>
        <v>0.27428215097049385</v>
      </c>
      <c r="AF57" s="4"/>
      <c r="AN57" s="9">
        <v>1978</v>
      </c>
      <c r="AO57" s="1">
        <f t="shared" si="19"/>
        <v>0.45713691828415642</v>
      </c>
      <c r="AP57" s="1">
        <f t="shared" si="20"/>
        <v>0.22530319544004854</v>
      </c>
      <c r="AQ57" s="1">
        <f t="shared" si="21"/>
        <v>4.8978955530445324E-2</v>
      </c>
      <c r="AR57" s="1">
        <f t="shared" si="22"/>
        <v>0.27428215097049385</v>
      </c>
      <c r="AS57" s="1">
        <f t="shared" si="7"/>
        <v>0.18285476731366257</v>
      </c>
      <c r="AU57" s="3">
        <v>47.541158541722588</v>
      </c>
      <c r="AW57" s="1">
        <f t="shared" si="8"/>
        <v>0.96156032437234062</v>
      </c>
      <c r="AX57" s="1">
        <f t="shared" si="23"/>
        <v>0.96502372992156227</v>
      </c>
      <c r="AY57" s="1">
        <f t="shared" si="9"/>
        <v>0.57693619462340429</v>
      </c>
      <c r="AZ57" s="1">
        <f t="shared" si="24"/>
        <v>0.38462412974893634</v>
      </c>
      <c r="BA57" s="1">
        <f t="shared" si="11"/>
        <v>0.38808753529815798</v>
      </c>
      <c r="BB57" s="3">
        <f t="shared" si="12"/>
        <v>30.977633112383696</v>
      </c>
      <c r="BC57" s="3">
        <v>0</v>
      </c>
      <c r="BD57" s="3">
        <v>0</v>
      </c>
      <c r="BE57" s="3">
        <v>0</v>
      </c>
      <c r="BG57" s="1">
        <f t="shared" si="13"/>
        <v>1.0697694864724836</v>
      </c>
      <c r="BH57" s="1">
        <f t="shared" si="14"/>
        <v>1.0736226462607219</v>
      </c>
    </row>
    <row r="58" spans="1:60">
      <c r="A58">
        <v>1979</v>
      </c>
      <c r="B58" s="3">
        <f t="shared" si="0"/>
        <v>157.16461099192429</v>
      </c>
      <c r="C58" s="3">
        <f t="shared" si="1"/>
        <v>33.287054161079702</v>
      </c>
      <c r="D58" s="2">
        <v>113.983</v>
      </c>
      <c r="E58" s="2">
        <v>47.637999999999998</v>
      </c>
      <c r="F58" s="2">
        <f t="shared" si="15"/>
        <v>54.299221539999998</v>
      </c>
      <c r="G58" s="2">
        <v>0.93713666320692501</v>
      </c>
      <c r="H58" s="2">
        <f t="shared" si="16"/>
        <v>0.50885791288729187</v>
      </c>
      <c r="I58" s="32">
        <f t="shared" si="2"/>
        <v>0.49026744224197671</v>
      </c>
      <c r="J58" s="32">
        <f t="shared" si="3"/>
        <v>0.49608918211296876</v>
      </c>
      <c r="Q58" s="32">
        <f t="shared" si="4"/>
        <v>0.19610697689679069</v>
      </c>
      <c r="R58" s="32">
        <f t="shared" si="5"/>
        <v>0.20192871676778273</v>
      </c>
      <c r="T58" s="2">
        <f>USA!Z66*G58</f>
        <v>20.082838692524401</v>
      </c>
      <c r="U58" s="2">
        <v>0</v>
      </c>
      <c r="V58" s="2">
        <v>0</v>
      </c>
      <c r="W58" s="2">
        <v>0</v>
      </c>
      <c r="Y58" s="2">
        <v>0.6</v>
      </c>
      <c r="Z58" s="2">
        <f t="shared" si="6"/>
        <v>0.23968630509607752</v>
      </c>
      <c r="AA58" s="2">
        <v>0.125</v>
      </c>
      <c r="AB58" s="2">
        <f t="shared" si="17"/>
        <v>5.4474160249108519E-2</v>
      </c>
      <c r="AC58" s="2">
        <f t="shared" si="18"/>
        <v>0.29416046534518603</v>
      </c>
      <c r="AF58" s="4"/>
      <c r="AN58" s="9">
        <v>1979</v>
      </c>
      <c r="AO58" s="1">
        <f t="shared" si="19"/>
        <v>0.49026744224197671</v>
      </c>
      <c r="AP58" s="1">
        <f t="shared" si="20"/>
        <v>0.23968630509607752</v>
      </c>
      <c r="AQ58" s="1">
        <f t="shared" si="21"/>
        <v>5.4474160249108519E-2</v>
      </c>
      <c r="AR58" s="1">
        <f t="shared" si="22"/>
        <v>0.29416046534518603</v>
      </c>
      <c r="AS58" s="1">
        <f t="shared" si="7"/>
        <v>0.19610697689679069</v>
      </c>
      <c r="AU58" s="3">
        <v>49.463543287570559</v>
      </c>
      <c r="AW58" s="1">
        <f t="shared" si="8"/>
        <v>0.99116927267354404</v>
      </c>
      <c r="AX58" s="1">
        <f t="shared" si="23"/>
        <v>1.0376927197547894</v>
      </c>
      <c r="AY58" s="1">
        <f t="shared" si="9"/>
        <v>0.5947015636041264</v>
      </c>
      <c r="AZ58" s="1">
        <f t="shared" si="24"/>
        <v>0.39646770906941764</v>
      </c>
      <c r="BA58" s="1">
        <f t="shared" si="11"/>
        <v>0.44299115615066298</v>
      </c>
      <c r="BB58" s="3">
        <f t="shared" si="12"/>
        <v>40.601294120332284</v>
      </c>
      <c r="BC58" s="3">
        <v>0</v>
      </c>
      <c r="BD58" s="3">
        <v>0</v>
      </c>
      <c r="BE58" s="3">
        <v>0</v>
      </c>
      <c r="BG58" s="1">
        <f t="shared" si="13"/>
        <v>1.1027104768776821</v>
      </c>
      <c r="BH58" s="1">
        <f t="shared" si="14"/>
        <v>1.1544694386729502</v>
      </c>
    </row>
    <row r="59" spans="1:60">
      <c r="A59">
        <v>1980</v>
      </c>
      <c r="B59" s="3">
        <f t="shared" si="0"/>
        <v>163.44937535942813</v>
      </c>
      <c r="C59" s="3">
        <f t="shared" si="1"/>
        <v>37.784321185500851</v>
      </c>
      <c r="D59" s="2">
        <v>118.541</v>
      </c>
      <c r="E59" s="2">
        <v>54.074159999999999</v>
      </c>
      <c r="F59" s="2">
        <f t="shared" si="15"/>
        <v>64.100050005599996</v>
      </c>
      <c r="G59" s="2">
        <v>0.92935991369393045</v>
      </c>
      <c r="H59" s="2">
        <f t="shared" si="16"/>
        <v>0.59572016940981032</v>
      </c>
      <c r="I59" s="32">
        <f t="shared" si="2"/>
        <v>0.57395629772430068</v>
      </c>
      <c r="J59" s="32">
        <f t="shared" si="3"/>
        <v>0.57322800611527769</v>
      </c>
      <c r="Q59" s="32">
        <f t="shared" si="4"/>
        <v>0.28123858588490735</v>
      </c>
      <c r="R59" s="32">
        <f t="shared" si="5"/>
        <v>0.28051029427588442</v>
      </c>
      <c r="T59" s="2">
        <f>USA!Z67*G59</f>
        <v>31.403071483717909</v>
      </c>
      <c r="U59" s="2">
        <v>0</v>
      </c>
      <c r="V59" s="2">
        <v>0</v>
      </c>
      <c r="W59" s="2">
        <v>0</v>
      </c>
      <c r="Y59" s="2">
        <v>0.51</v>
      </c>
      <c r="Z59" s="2">
        <f t="shared" si="6"/>
        <v>0.22668734130473925</v>
      </c>
      <c r="AA59" s="2">
        <v>0.13</v>
      </c>
      <c r="AB59" s="2">
        <f t="shared" si="17"/>
        <v>6.6030370534654076E-2</v>
      </c>
      <c r="AC59" s="2">
        <f t="shared" si="18"/>
        <v>0.29271771183939332</v>
      </c>
      <c r="AF59" s="4"/>
      <c r="AN59" s="9">
        <v>1980</v>
      </c>
      <c r="AO59" s="1">
        <f t="shared" si="19"/>
        <v>0.57395629772430068</v>
      </c>
      <c r="AP59" s="1">
        <f t="shared" si="20"/>
        <v>0.22668734130473925</v>
      </c>
      <c r="AQ59" s="1">
        <f t="shared" si="21"/>
        <v>6.6030370534654076E-2</v>
      </c>
      <c r="AR59" s="1">
        <f t="shared" si="22"/>
        <v>0.29271771183939332</v>
      </c>
      <c r="AS59" s="1">
        <f t="shared" si="7"/>
        <v>0.28123858588490735</v>
      </c>
      <c r="AU59" s="3">
        <v>52.154881882796083</v>
      </c>
      <c r="AW59" s="1">
        <f t="shared" si="8"/>
        <v>1.1004843209387596</v>
      </c>
      <c r="AX59" s="1">
        <f t="shared" si="23"/>
        <v>1.1161138706095599</v>
      </c>
      <c r="AY59" s="1">
        <f t="shared" si="9"/>
        <v>0.56124700367876745</v>
      </c>
      <c r="AZ59" s="22">
        <f t="shared" si="24"/>
        <v>0.53923731725999213</v>
      </c>
      <c r="BA59" s="1">
        <f t="shared" si="11"/>
        <v>0.55486686693079235</v>
      </c>
      <c r="BB59" s="3">
        <f t="shared" si="12"/>
        <v>60.211183210591436</v>
      </c>
      <c r="BC59" s="3">
        <v>0</v>
      </c>
      <c r="BD59" s="3">
        <v>0</v>
      </c>
      <c r="BE59" s="3">
        <v>0</v>
      </c>
      <c r="BG59" s="1">
        <f t="shared" si="13"/>
        <v>1.2243272908022045</v>
      </c>
      <c r="BH59" s="1">
        <f t="shared" si="14"/>
        <v>1.2417157113737816</v>
      </c>
    </row>
    <row r="60" spans="1:60">
      <c r="A60">
        <v>1981</v>
      </c>
      <c r="B60" s="3">
        <f t="shared" si="0"/>
        <v>145.16040770462973</v>
      </c>
      <c r="C60" s="3">
        <f t="shared" si="1"/>
        <v>41.681969842500045</v>
      </c>
      <c r="D60" s="2">
        <v>105.277</v>
      </c>
      <c r="E60" s="2">
        <v>59.652189999999997</v>
      </c>
      <c r="F60" s="2">
        <f t="shared" si="15"/>
        <v>62.800036066300002</v>
      </c>
      <c r="G60" s="2">
        <v>1.1555196515034529</v>
      </c>
      <c r="H60" s="2">
        <f t="shared" si="16"/>
        <v>0.72566675789735258</v>
      </c>
      <c r="I60" s="32">
        <f t="shared" si="2"/>
        <v>0.69915545440906457</v>
      </c>
      <c r="J60" s="32">
        <f t="shared" si="3"/>
        <v>0.69600779712659444</v>
      </c>
      <c r="Q60" s="32">
        <f t="shared" si="4"/>
        <v>0.35772164106996862</v>
      </c>
      <c r="R60" s="32">
        <f t="shared" si="5"/>
        <v>0.35457398378749849</v>
      </c>
      <c r="T60" s="2">
        <f>USA!Z68*G60</f>
        <v>42.072470511240716</v>
      </c>
      <c r="U60" s="2">
        <v>0</v>
      </c>
      <c r="V60" s="2">
        <v>0</v>
      </c>
      <c r="W60" s="2">
        <v>0</v>
      </c>
      <c r="Y60" s="2">
        <v>0.47</v>
      </c>
      <c r="Z60" s="32">
        <v>0.26100000000000001</v>
      </c>
      <c r="AA60" s="2">
        <v>0.13</v>
      </c>
      <c r="AB60" s="2">
        <f t="shared" si="17"/>
        <v>8.0433813339095925E-2</v>
      </c>
      <c r="AC60" s="2">
        <f t="shared" ref="AC60:AC79" si="25">Z60+AB60</f>
        <v>0.34143381333909595</v>
      </c>
      <c r="AF60" s="4"/>
      <c r="AN60" s="9">
        <v>1981</v>
      </c>
      <c r="AO60" s="1">
        <f t="shared" si="19"/>
        <v>0.69915545440906457</v>
      </c>
      <c r="AP60" s="1">
        <f t="shared" si="20"/>
        <v>0.26100000000000001</v>
      </c>
      <c r="AQ60" s="1">
        <f t="shared" si="21"/>
        <v>8.0433813339095925E-2</v>
      </c>
      <c r="AR60" s="1">
        <f t="shared" si="22"/>
        <v>0.34143381333909595</v>
      </c>
      <c r="AS60" s="1">
        <f t="shared" si="7"/>
        <v>0.35772164106996862</v>
      </c>
      <c r="AU60" s="3">
        <v>55.463713804254816</v>
      </c>
      <c r="AW60" s="1">
        <f t="shared" si="8"/>
        <v>1.2605637207716693</v>
      </c>
      <c r="AX60" s="1">
        <f t="shared" si="23"/>
        <v>1.2597192539433455</v>
      </c>
      <c r="AY60" s="1">
        <f t="shared" si="9"/>
        <v>0.61559854167735772</v>
      </c>
      <c r="AZ60" s="22">
        <f t="shared" si="24"/>
        <v>0.64496517909431161</v>
      </c>
      <c r="BA60" s="1">
        <f t="shared" si="11"/>
        <v>0.64412071226598777</v>
      </c>
      <c r="BB60" s="3">
        <f t="shared" si="12"/>
        <v>75.855848131131083</v>
      </c>
      <c r="BC60" s="3">
        <v>0</v>
      </c>
      <c r="BD60" s="3">
        <v>0</v>
      </c>
      <c r="BE60" s="3">
        <v>0</v>
      </c>
      <c r="BG60" s="1">
        <f t="shared" si="13"/>
        <v>1.40242122106691</v>
      </c>
      <c r="BH60" s="1">
        <f t="shared" si="14"/>
        <v>1.4014817221895319</v>
      </c>
    </row>
    <row r="61" spans="1:60">
      <c r="A61">
        <v>1982</v>
      </c>
      <c r="B61" s="3">
        <f t="shared" si="0"/>
        <v>124.76098363453927</v>
      </c>
      <c r="C61" s="3">
        <f t="shared" si="1"/>
        <v>44.24984128314113</v>
      </c>
      <c r="D61" s="2">
        <v>90.482399999999998</v>
      </c>
      <c r="E61" s="2">
        <v>63.32714</v>
      </c>
      <c r="F61" s="2">
        <f t="shared" si="15"/>
        <v>57.299916123359999</v>
      </c>
      <c r="G61" s="2">
        <v>1.240695765991932</v>
      </c>
      <c r="H61" s="2">
        <f t="shared" si="16"/>
        <v>0.71091763325945589</v>
      </c>
      <c r="I61" s="32">
        <f t="shared" si="2"/>
        <v>0.68494517010690947</v>
      </c>
      <c r="J61" s="32">
        <f t="shared" si="3"/>
        <v>0.68825477845008576</v>
      </c>
      <c r="Q61" s="32">
        <f t="shared" si="4"/>
        <v>0.34514616823620303</v>
      </c>
      <c r="R61" s="32">
        <f t="shared" si="5"/>
        <v>0.34845577657937932</v>
      </c>
      <c r="T61" s="2">
        <f>USA!Z69*G61</f>
        <v>41.191099430932148</v>
      </c>
      <c r="U61" s="2">
        <v>0</v>
      </c>
      <c r="V61" s="2">
        <v>0</v>
      </c>
      <c r="W61" s="2">
        <v>0</v>
      </c>
      <c r="Y61" s="2">
        <v>0.39</v>
      </c>
      <c r="Z61" s="32">
        <v>0.26100000000000001</v>
      </c>
      <c r="AA61" s="2">
        <v>0.13</v>
      </c>
      <c r="AB61" s="2">
        <f t="shared" si="17"/>
        <v>7.8799001870706417E-2</v>
      </c>
      <c r="AC61" s="2">
        <f t="shared" si="25"/>
        <v>0.33979900187070644</v>
      </c>
      <c r="AF61" s="4"/>
      <c r="AN61" s="9">
        <v>1982</v>
      </c>
      <c r="AO61" s="1">
        <f t="shared" si="19"/>
        <v>0.68494517010690947</v>
      </c>
      <c r="AP61" s="1">
        <f t="shared" si="20"/>
        <v>0.26100000000000001</v>
      </c>
      <c r="AQ61" s="1">
        <f t="shared" si="21"/>
        <v>7.8799001870706417E-2</v>
      </c>
      <c r="AR61" s="1">
        <f t="shared" si="22"/>
        <v>0.33979900187070644</v>
      </c>
      <c r="AS61" s="1">
        <f t="shared" si="7"/>
        <v>0.34514616823620303</v>
      </c>
      <c r="AU61" s="3">
        <v>58.370592558044159</v>
      </c>
      <c r="AW61" s="1">
        <f t="shared" si="8"/>
        <v>1.17344220795051</v>
      </c>
      <c r="AX61" s="1">
        <f t="shared" si="23"/>
        <v>1.1783699887003132</v>
      </c>
      <c r="AY61" s="1">
        <f t="shared" si="9"/>
        <v>0.58214074413037309</v>
      </c>
      <c r="AZ61" s="22">
        <f t="shared" si="24"/>
        <v>0.59130146382013693</v>
      </c>
      <c r="BA61" s="1">
        <f t="shared" si="11"/>
        <v>0.59622924456993998</v>
      </c>
      <c r="BB61" s="3">
        <f t="shared" si="12"/>
        <v>70.568239289281507</v>
      </c>
      <c r="BC61" s="24">
        <v>0.5</v>
      </c>
      <c r="BD61" s="3">
        <v>0</v>
      </c>
      <c r="BE61" s="3">
        <v>0</v>
      </c>
      <c r="BG61" s="1">
        <f t="shared" si="13"/>
        <v>1.3054954914282275</v>
      </c>
      <c r="BH61" s="1">
        <f t="shared" si="14"/>
        <v>1.3109778198360751</v>
      </c>
    </row>
    <row r="62" spans="1:60">
      <c r="A62">
        <v>1983</v>
      </c>
      <c r="B62" s="3">
        <f t="shared" si="0"/>
        <v>113.49459899863817</v>
      </c>
      <c r="C62" s="3">
        <f t="shared" si="1"/>
        <v>45.671336429076113</v>
      </c>
      <c r="D62" s="2">
        <v>82.311499999999995</v>
      </c>
      <c r="E62" s="2">
        <v>65.36148</v>
      </c>
      <c r="F62" s="2">
        <f t="shared" si="15"/>
        <v>53.800014610199995</v>
      </c>
      <c r="G62" s="2">
        <v>1.305461108583057</v>
      </c>
      <c r="H62" s="2">
        <f t="shared" si="16"/>
        <v>0.7023382671481635</v>
      </c>
      <c r="I62" s="32">
        <f t="shared" si="2"/>
        <v>0.67667924012347913</v>
      </c>
      <c r="J62" s="32">
        <f t="shared" si="3"/>
        <v>0.66635397940759655</v>
      </c>
      <c r="Q62" s="32">
        <f t="shared" si="4"/>
        <v>0.3351931631043869</v>
      </c>
      <c r="R62" s="32">
        <f t="shared" si="5"/>
        <v>0.32486790238850427</v>
      </c>
      <c r="T62" s="2">
        <f>USA!Z70*G62</f>
        <v>37.793099093479498</v>
      </c>
      <c r="U62" s="2">
        <v>0</v>
      </c>
      <c r="V62" s="2">
        <v>0</v>
      </c>
      <c r="W62" s="2">
        <v>0</v>
      </c>
      <c r="Y62" s="2">
        <v>0.54</v>
      </c>
      <c r="Z62" s="32">
        <v>0.26100000000000001</v>
      </c>
      <c r="AA62" s="2">
        <v>0.13500000000000001</v>
      </c>
      <c r="AB62" s="2">
        <f t="shared" si="17"/>
        <v>8.0486077019092231E-2</v>
      </c>
      <c r="AC62" s="2">
        <f t="shared" si="25"/>
        <v>0.34148607701909223</v>
      </c>
      <c r="AF62" s="4"/>
      <c r="AN62" s="9">
        <v>1983</v>
      </c>
      <c r="AO62" s="1">
        <f t="shared" si="19"/>
        <v>0.67667924012347913</v>
      </c>
      <c r="AP62" s="1">
        <f t="shared" si="20"/>
        <v>0.26100000000000001</v>
      </c>
      <c r="AQ62" s="1">
        <f t="shared" si="21"/>
        <v>8.0486077019092231E-2</v>
      </c>
      <c r="AR62" s="1">
        <f t="shared" si="22"/>
        <v>0.34148607701909223</v>
      </c>
      <c r="AS62" s="1">
        <f t="shared" si="7"/>
        <v>0.3351931631043869</v>
      </c>
      <c r="AU62" s="3">
        <v>60.292977241527808</v>
      </c>
      <c r="AW62" s="1">
        <f t="shared" si="8"/>
        <v>1.1223185038827455</v>
      </c>
      <c r="AX62" s="1">
        <f t="shared" si="23"/>
        <v>1.1176180076591895</v>
      </c>
      <c r="AY62" s="1">
        <f t="shared" si="9"/>
        <v>0.56637786462448547</v>
      </c>
      <c r="AZ62" s="22">
        <f t="shared" si="24"/>
        <v>0.55594063925825998</v>
      </c>
      <c r="BA62" s="1">
        <f t="shared" si="11"/>
        <v>0.55124014303470403</v>
      </c>
      <c r="BB62" s="3">
        <f t="shared" si="12"/>
        <v>62.682423098935743</v>
      </c>
      <c r="BC62" s="24">
        <v>0.5</v>
      </c>
      <c r="BD62" s="3">
        <v>0</v>
      </c>
      <c r="BE62" s="3">
        <v>0</v>
      </c>
      <c r="BG62" s="1">
        <f t="shared" si="13"/>
        <v>1.2486185828652174</v>
      </c>
      <c r="BH62" s="1">
        <f t="shared" si="14"/>
        <v>1.2433891164409225</v>
      </c>
    </row>
    <row r="63" spans="1:60">
      <c r="A63">
        <v>1984</v>
      </c>
      <c r="B63" s="3">
        <f t="shared" si="0"/>
        <v>99.495072649427286</v>
      </c>
      <c r="C63" s="3">
        <f t="shared" si="1"/>
        <v>47.643090239969929</v>
      </c>
      <c r="D63" s="2">
        <v>72.1584</v>
      </c>
      <c r="E63" s="2">
        <v>68.183310000000006</v>
      </c>
      <c r="F63" s="2">
        <f t="shared" si="15"/>
        <v>49.199985563040009</v>
      </c>
      <c r="G63" s="2">
        <v>1.4551060163715659</v>
      </c>
      <c r="H63" s="2">
        <f t="shared" si="16"/>
        <v>0.71591194998173702</v>
      </c>
      <c r="I63" s="32">
        <f t="shared" si="2"/>
        <v>0.68975702587876109</v>
      </c>
      <c r="J63" s="32">
        <f t="shared" si="3"/>
        <v>0.69630445964373011</v>
      </c>
      <c r="Q63" s="32">
        <f t="shared" si="4"/>
        <v>0.34405002270066765</v>
      </c>
      <c r="R63" s="32">
        <f t="shared" si="5"/>
        <v>0.35059745646563667</v>
      </c>
      <c r="T63" s="2">
        <f>USA!Z71*G63</f>
        <v>41.49962358691706</v>
      </c>
      <c r="U63" s="2">
        <v>0</v>
      </c>
      <c r="V63" s="2">
        <v>0</v>
      </c>
      <c r="W63" s="2">
        <v>0</v>
      </c>
      <c r="Y63" s="2">
        <v>0.53</v>
      </c>
      <c r="Z63" s="32">
        <v>0.26100000000000001</v>
      </c>
      <c r="AA63" s="2">
        <v>0.14000000000000001</v>
      </c>
      <c r="AB63" s="2">
        <f t="shared" si="17"/>
        <v>8.470700317809346E-2</v>
      </c>
      <c r="AC63" s="2">
        <f t="shared" si="25"/>
        <v>0.34570700317809344</v>
      </c>
      <c r="AF63" s="4"/>
      <c r="AN63" s="9">
        <v>1984</v>
      </c>
      <c r="AO63" s="1">
        <f t="shared" si="19"/>
        <v>0.68975702587876109</v>
      </c>
      <c r="AP63" s="1">
        <f t="shared" si="20"/>
        <v>0.26100000000000001</v>
      </c>
      <c r="AQ63" s="1">
        <f t="shared" si="21"/>
        <v>8.470700317809346E-2</v>
      </c>
      <c r="AR63" s="1">
        <f t="shared" si="22"/>
        <v>0.34570700317809344</v>
      </c>
      <c r="AS63" s="1">
        <f t="shared" si="7"/>
        <v>0.34405002270066765</v>
      </c>
      <c r="AU63" s="3">
        <v>61.743503879215176</v>
      </c>
      <c r="AW63" s="1">
        <f t="shared" si="8"/>
        <v>1.1171329492865973</v>
      </c>
      <c r="AX63" s="1">
        <f t="shared" si="23"/>
        <v>1.1192700249176135</v>
      </c>
      <c r="AY63" s="1">
        <f t="shared" si="9"/>
        <v>0.55990830040092587</v>
      </c>
      <c r="AZ63" s="22">
        <f t="shared" si="24"/>
        <v>0.55722464888567147</v>
      </c>
      <c r="BA63" s="1">
        <f t="shared" si="11"/>
        <v>0.55936172451668764</v>
      </c>
      <c r="BB63" s="3">
        <f t="shared" si="12"/>
        <v>67.212938980755112</v>
      </c>
      <c r="BC63" s="24">
        <v>1</v>
      </c>
      <c r="BD63" s="3">
        <v>0</v>
      </c>
      <c r="BE63" s="3">
        <v>0</v>
      </c>
      <c r="BG63" s="1">
        <f t="shared" si="13"/>
        <v>1.2428494720390013</v>
      </c>
      <c r="BH63" s="1">
        <f t="shared" si="14"/>
        <v>1.2452270434116943</v>
      </c>
    </row>
    <row r="64" spans="1:60">
      <c r="A64">
        <v>1985</v>
      </c>
      <c r="B64" s="3">
        <f t="shared" si="0"/>
        <v>95.683262405029652</v>
      </c>
      <c r="C64" s="3">
        <f t="shared" si="1"/>
        <v>49.339718212134507</v>
      </c>
      <c r="D64" s="2">
        <v>69.393900000000002</v>
      </c>
      <c r="E64" s="2">
        <v>70.611400000000003</v>
      </c>
      <c r="F64" s="2">
        <f t="shared" si="15"/>
        <v>49.000004304600004</v>
      </c>
      <c r="G64" s="2">
        <v>1.5052279594852309</v>
      </c>
      <c r="H64" s="2">
        <f t="shared" si="16"/>
        <v>0.73756176494180592</v>
      </c>
      <c r="I64" s="32">
        <f t="shared" si="2"/>
        <v>0.7106158926403281</v>
      </c>
      <c r="J64" s="32">
        <f t="shared" si="3"/>
        <v>0.69945873518421131</v>
      </c>
      <c r="Q64" s="32">
        <f t="shared" si="4"/>
        <v>0.35234727424590184</v>
      </c>
      <c r="R64" s="32">
        <f t="shared" si="5"/>
        <v>0.34119011678978506</v>
      </c>
      <c r="T64" s="2">
        <f>USA!Z72*G64</f>
        <v>40.144429679471109</v>
      </c>
      <c r="U64" s="2">
        <v>0</v>
      </c>
      <c r="V64" s="2">
        <v>0</v>
      </c>
      <c r="W64" s="2">
        <v>0</v>
      </c>
      <c r="Y64" s="2">
        <v>0.51</v>
      </c>
      <c r="Z64" s="32">
        <v>0.27100000000000002</v>
      </c>
      <c r="AA64" s="2">
        <v>0.14000000000000001</v>
      </c>
      <c r="AB64" s="2">
        <f t="shared" si="17"/>
        <v>8.7268618394426248E-2</v>
      </c>
      <c r="AC64" s="2">
        <f t="shared" si="25"/>
        <v>0.35826861839442625</v>
      </c>
      <c r="AF64" s="4"/>
      <c r="AN64" s="9">
        <v>1985</v>
      </c>
      <c r="AO64" s="1">
        <f t="shared" si="19"/>
        <v>0.7106158926403281</v>
      </c>
      <c r="AP64" s="1">
        <f t="shared" si="20"/>
        <v>0.27100000000000002</v>
      </c>
      <c r="AQ64" s="1">
        <f t="shared" si="21"/>
        <v>8.7268618394426248E-2</v>
      </c>
      <c r="AR64" s="1">
        <f t="shared" si="22"/>
        <v>0.35826861839442625</v>
      </c>
      <c r="AS64" s="1">
        <f t="shared" si="7"/>
        <v>0.35234727424590184</v>
      </c>
      <c r="AU64" s="3">
        <v>63.019268531723796</v>
      </c>
      <c r="AW64" s="1">
        <f t="shared" si="8"/>
        <v>1.1276168530623381</v>
      </c>
      <c r="AX64" s="1">
        <f t="shared" si="23"/>
        <v>1.1078371067734047</v>
      </c>
      <c r="AY64" s="1">
        <f t="shared" si="9"/>
        <v>0.56850646911916225</v>
      </c>
      <c r="AZ64" s="22">
        <f t="shared" si="24"/>
        <v>0.5591103839431758</v>
      </c>
      <c r="BA64" s="1">
        <f t="shared" si="11"/>
        <v>0.5393306376542425</v>
      </c>
      <c r="BB64" s="3">
        <f t="shared" si="12"/>
        <v>63.701833764164483</v>
      </c>
      <c r="BC64" s="24">
        <v>1</v>
      </c>
      <c r="BD64" s="3">
        <v>0</v>
      </c>
      <c r="BE64" s="3">
        <v>0</v>
      </c>
      <c r="BG64" s="1">
        <f t="shared" si="13"/>
        <v>1.2545131816099238</v>
      </c>
      <c r="BH64" s="1">
        <f t="shared" si="14"/>
        <v>1.2325075221689727</v>
      </c>
    </row>
    <row r="65" spans="1:60">
      <c r="A65">
        <v>1986</v>
      </c>
      <c r="B65" s="3">
        <f t="shared" si="0"/>
        <v>95.087464536842177</v>
      </c>
      <c r="C65" s="3">
        <f t="shared" si="1"/>
        <v>50.256813657899102</v>
      </c>
      <c r="D65" s="2">
        <v>68.961799999999997</v>
      </c>
      <c r="E65" s="2">
        <v>71.923879999999997</v>
      </c>
      <c r="F65" s="2">
        <f t="shared" si="15"/>
        <v>49.600002277839991</v>
      </c>
      <c r="G65" s="2">
        <v>1.110260094179965</v>
      </c>
      <c r="H65" s="2">
        <f t="shared" si="16"/>
        <v>0.55068903200321107</v>
      </c>
      <c r="I65" s="32">
        <f t="shared" si="2"/>
        <v>0.53057031511805119</v>
      </c>
      <c r="J65" s="32">
        <f t="shared" si="3"/>
        <v>0.51466920004676786</v>
      </c>
      <c r="Q65" s="32">
        <f t="shared" si="4"/>
        <v>0.19441255712109751</v>
      </c>
      <c r="R65" s="32">
        <f t="shared" si="5"/>
        <v>0.17851144204981423</v>
      </c>
      <c r="T65" s="2">
        <f>USA!Z73*G65</f>
        <v>16.709414417408475</v>
      </c>
      <c r="U65" s="2">
        <v>0</v>
      </c>
      <c r="V65" s="2">
        <v>0</v>
      </c>
      <c r="W65" s="2">
        <v>0</v>
      </c>
      <c r="Y65" s="2">
        <v>0.66</v>
      </c>
      <c r="Z65" s="32">
        <v>0.27100000000000002</v>
      </c>
      <c r="AA65" s="2">
        <v>0.14000000000000001</v>
      </c>
      <c r="AB65" s="2">
        <f t="shared" si="17"/>
        <v>6.5157757996953655E-2</v>
      </c>
      <c r="AC65" s="2">
        <f t="shared" si="25"/>
        <v>0.33615775799695369</v>
      </c>
      <c r="AF65" s="4"/>
      <c r="AN65" s="9">
        <v>1986</v>
      </c>
      <c r="AO65" s="1">
        <f t="shared" si="19"/>
        <v>0.53057031511805119</v>
      </c>
      <c r="AP65" s="1">
        <f t="shared" si="20"/>
        <v>0.27100000000000002</v>
      </c>
      <c r="AQ65" s="1">
        <f t="shared" si="21"/>
        <v>6.5157757996953655E-2</v>
      </c>
      <c r="AR65" s="1">
        <f t="shared" si="22"/>
        <v>0.33615775799695369</v>
      </c>
      <c r="AS65" s="1">
        <f t="shared" si="7"/>
        <v>0.19441255712109751</v>
      </c>
      <c r="AU65" s="3">
        <v>62.937712838565425</v>
      </c>
      <c r="AW65" s="1">
        <f t="shared" si="8"/>
        <v>0.84300857337945934</v>
      </c>
      <c r="AX65" s="1">
        <f t="shared" si="23"/>
        <v>0.86148381613317349</v>
      </c>
      <c r="AY65" s="1">
        <f t="shared" si="9"/>
        <v>0.53411181124295826</v>
      </c>
      <c r="AZ65" s="22">
        <f t="shared" si="24"/>
        <v>0.30889676213650108</v>
      </c>
      <c r="BA65" s="1">
        <f t="shared" si="11"/>
        <v>0.32737200489021528</v>
      </c>
      <c r="BB65" s="3">
        <f t="shared" si="12"/>
        <v>26.549128755707962</v>
      </c>
      <c r="BC65" s="24">
        <v>1</v>
      </c>
      <c r="BD65" s="3">
        <v>0</v>
      </c>
      <c r="BE65" s="3">
        <v>0</v>
      </c>
      <c r="BG65" s="1">
        <f t="shared" si="13"/>
        <v>0.93787651775743996</v>
      </c>
      <c r="BH65" s="1">
        <f t="shared" si="14"/>
        <v>0.95843087139718319</v>
      </c>
    </row>
    <row r="66" spans="1:60">
      <c r="A66">
        <v>1987</v>
      </c>
      <c r="B66" s="3">
        <f t="shared" si="0"/>
        <v>107.55109816359536</v>
      </c>
      <c r="C66" s="3">
        <f t="shared" si="1"/>
        <v>52.136856526716379</v>
      </c>
      <c r="D66" s="2">
        <v>78.001000000000005</v>
      </c>
      <c r="E66" s="2">
        <v>74.614459999999994</v>
      </c>
      <c r="F66" s="2">
        <f t="shared" si="15"/>
        <v>58.200024944600003</v>
      </c>
      <c r="G66" s="2">
        <v>0.91899091434327118</v>
      </c>
      <c r="H66" s="2">
        <f t="shared" si="16"/>
        <v>0.5348529413863915</v>
      </c>
      <c r="I66" s="32">
        <f t="shared" si="2"/>
        <v>0.51531277574371526</v>
      </c>
      <c r="J66" s="32">
        <f t="shared" si="3"/>
        <v>0.48828741548544058</v>
      </c>
      <c r="Q66" s="32">
        <f t="shared" si="4"/>
        <v>0.2120287506523818</v>
      </c>
      <c r="R66" s="32">
        <f t="shared" si="5"/>
        <v>0.18500339039410713</v>
      </c>
      <c r="T66" s="2">
        <f>USA!Z74*G66</f>
        <v>17.644625555390807</v>
      </c>
      <c r="U66" s="2">
        <v>0</v>
      </c>
      <c r="V66" s="2">
        <v>0</v>
      </c>
      <c r="W66" s="2">
        <v>0</v>
      </c>
      <c r="Y66" s="2">
        <v>0.75</v>
      </c>
      <c r="Z66" s="32">
        <v>0.24</v>
      </c>
      <c r="AA66" s="2">
        <v>0.14000000000000001</v>
      </c>
      <c r="AB66" s="2">
        <f t="shared" si="17"/>
        <v>6.3284025091333462E-2</v>
      </c>
      <c r="AC66" s="2">
        <f t="shared" si="25"/>
        <v>0.30328402509133345</v>
      </c>
      <c r="AF66" s="4"/>
      <c r="AN66" s="9">
        <v>1987</v>
      </c>
      <c r="AO66" s="1">
        <f t="shared" si="19"/>
        <v>0.51531277574371526</v>
      </c>
      <c r="AP66" s="1">
        <f t="shared" si="20"/>
        <v>0.24</v>
      </c>
      <c r="AQ66" s="1">
        <f t="shared" si="21"/>
        <v>6.3284025091333462E-2</v>
      </c>
      <c r="AR66" s="1">
        <f t="shared" si="22"/>
        <v>0.30328402509133345</v>
      </c>
      <c r="AS66" s="1">
        <f t="shared" si="7"/>
        <v>0.2120287506523818</v>
      </c>
      <c r="AU66" s="3">
        <v>63.094998840339748</v>
      </c>
      <c r="AW66" s="1">
        <f t="shared" si="8"/>
        <v>0.81672523213400927</v>
      </c>
      <c r="AX66" s="1">
        <f t="shared" si="23"/>
        <v>0.81612902127161024</v>
      </c>
      <c r="AY66" s="1">
        <f t="shared" si="9"/>
        <v>0.4806783907846417</v>
      </c>
      <c r="AZ66" s="22">
        <f t="shared" si="24"/>
        <v>0.33604684134936758</v>
      </c>
      <c r="BA66" s="1">
        <f t="shared" si="11"/>
        <v>0.33545063048696855</v>
      </c>
      <c r="BB66" s="3">
        <f t="shared" si="12"/>
        <v>27.965172960918931</v>
      </c>
      <c r="BC66" s="24">
        <v>1</v>
      </c>
      <c r="BD66" s="3">
        <v>0</v>
      </c>
      <c r="BE66" s="3">
        <v>0</v>
      </c>
      <c r="BG66" s="1">
        <f t="shared" si="13"/>
        <v>0.90863538149770551</v>
      </c>
      <c r="BH66" s="1">
        <f t="shared" si="14"/>
        <v>0.90797207606388952</v>
      </c>
    </row>
    <row r="67" spans="1:60">
      <c r="A67">
        <v>1988</v>
      </c>
      <c r="B67" s="3">
        <f t="shared" si="0"/>
        <v>103.22773733114508</v>
      </c>
      <c r="C67" s="3">
        <f t="shared" si="1"/>
        <v>54.227069431021505</v>
      </c>
      <c r="D67" s="2">
        <v>74.865499999999997</v>
      </c>
      <c r="E67" s="2">
        <v>77.605819999999994</v>
      </c>
      <c r="F67" s="2">
        <f t="shared" si="15"/>
        <v>58.099985172099998</v>
      </c>
      <c r="G67" s="2">
        <v>0.89794614051323474</v>
      </c>
      <c r="H67" s="2">
        <f t="shared" si="16"/>
        <v>0.5217065744916336</v>
      </c>
      <c r="I67" s="32">
        <f t="shared" si="2"/>
        <v>0.50264669448795396</v>
      </c>
      <c r="J67" s="32">
        <f t="shared" si="3"/>
        <v>0.46879362407050562</v>
      </c>
      <c r="Q67" s="32">
        <f t="shared" si="4"/>
        <v>0.19591815305960875</v>
      </c>
      <c r="R67" s="32">
        <f t="shared" si="5"/>
        <v>0.16206508264216041</v>
      </c>
      <c r="T67" s="2">
        <f>USA!Z75*G67</f>
        <v>14.340199863996359</v>
      </c>
      <c r="U67" s="2">
        <v>0</v>
      </c>
      <c r="V67" s="2">
        <v>0</v>
      </c>
      <c r="W67" s="2">
        <v>0</v>
      </c>
      <c r="Y67" s="2">
        <v>0.68700000000000006</v>
      </c>
      <c r="Z67" s="32">
        <v>0.245</v>
      </c>
      <c r="AA67" s="2">
        <v>0.14000000000000001</v>
      </c>
      <c r="AB67" s="2">
        <f t="shared" si="17"/>
        <v>6.1728541428345225E-2</v>
      </c>
      <c r="AC67" s="2">
        <f t="shared" si="25"/>
        <v>0.30672854142834521</v>
      </c>
      <c r="AF67" s="4"/>
      <c r="AN67" s="9">
        <v>1988</v>
      </c>
      <c r="AO67" s="1">
        <f t="shared" si="19"/>
        <v>0.50264669448795396</v>
      </c>
      <c r="AP67" s="1">
        <f t="shared" si="20"/>
        <v>0.245</v>
      </c>
      <c r="AQ67" s="1">
        <f t="shared" si="21"/>
        <v>6.1728541428345225E-2</v>
      </c>
      <c r="AR67" s="1">
        <f t="shared" si="22"/>
        <v>0.30672854142834521</v>
      </c>
      <c r="AS67" s="1">
        <f t="shared" si="7"/>
        <v>0.19591815305960875</v>
      </c>
      <c r="AU67" s="3">
        <v>63.898905470514272</v>
      </c>
      <c r="AW67" s="1">
        <f t="shared" si="8"/>
        <v>0.78662801934830784</v>
      </c>
      <c r="AX67" s="1">
        <f t="shared" si="23"/>
        <v>0.78396222042373132</v>
      </c>
      <c r="AY67" s="1">
        <f t="shared" si="9"/>
        <v>0.48002158905504738</v>
      </c>
      <c r="AZ67" s="22">
        <f t="shared" si="24"/>
        <v>0.30660643029326046</v>
      </c>
      <c r="BA67" s="1">
        <f t="shared" si="11"/>
        <v>0.30394063136868388</v>
      </c>
      <c r="BB67" s="3">
        <f t="shared" si="12"/>
        <v>22.442011734635344</v>
      </c>
      <c r="BC67" s="24">
        <v>1</v>
      </c>
      <c r="BD67" s="3">
        <v>0</v>
      </c>
      <c r="BE67" s="3">
        <v>0</v>
      </c>
      <c r="BG67" s="1">
        <f t="shared" si="13"/>
        <v>0.87515117977897328</v>
      </c>
      <c r="BH67" s="1">
        <f t="shared" si="14"/>
        <v>0.87218538525282696</v>
      </c>
    </row>
    <row r="68" spans="1:60">
      <c r="A68">
        <v>1989</v>
      </c>
      <c r="B68" s="3">
        <f t="shared" si="0"/>
        <v>111.18627867664645</v>
      </c>
      <c r="C68" s="3">
        <f t="shared" si="1"/>
        <v>56.844608024141067</v>
      </c>
      <c r="D68" s="2">
        <v>80.6374</v>
      </c>
      <c r="E68" s="2">
        <v>81.351849999999999</v>
      </c>
      <c r="F68" s="2">
        <f t="shared" si="15"/>
        <v>65.600016691899995</v>
      </c>
      <c r="G68" s="2">
        <v>0.96124918832413853</v>
      </c>
      <c r="H68" s="2">
        <f t="shared" si="16"/>
        <v>0.63057962799138811</v>
      </c>
      <c r="I68" s="32">
        <f t="shared" si="2"/>
        <v>0.60754221073439407</v>
      </c>
      <c r="J68" s="32">
        <f t="shared" si="3"/>
        <v>0.55918202767281011</v>
      </c>
      <c r="Q68" s="32">
        <f t="shared" si="4"/>
        <v>0.24193176380210007</v>
      </c>
      <c r="R68" s="32">
        <f t="shared" si="5"/>
        <v>0.19357158074051606</v>
      </c>
      <c r="T68" s="2">
        <f>USA!Z76*G68</f>
        <v>18.878934058686081</v>
      </c>
      <c r="U68" s="2">
        <v>0</v>
      </c>
      <c r="V68" s="2">
        <v>0</v>
      </c>
      <c r="W68" s="2">
        <v>0</v>
      </c>
      <c r="Y68" s="2">
        <v>0.66</v>
      </c>
      <c r="Z68" s="32">
        <v>0.29099999999999998</v>
      </c>
      <c r="AA68" s="2">
        <v>0.14000000000000001</v>
      </c>
      <c r="AB68" s="2">
        <f t="shared" si="17"/>
        <v>7.4610446932294017E-2</v>
      </c>
      <c r="AC68" s="2">
        <f t="shared" si="25"/>
        <v>0.365610446932294</v>
      </c>
      <c r="AF68" s="4"/>
      <c r="AN68" s="9">
        <v>1989</v>
      </c>
      <c r="AO68" s="1">
        <f t="shared" si="19"/>
        <v>0.60754221073439407</v>
      </c>
      <c r="AP68" s="1">
        <f t="shared" si="20"/>
        <v>0.29099999999999998</v>
      </c>
      <c r="AQ68" s="1">
        <f t="shared" si="21"/>
        <v>7.4610446932294017E-2</v>
      </c>
      <c r="AR68" s="1">
        <f t="shared" si="22"/>
        <v>0.365610446932294</v>
      </c>
      <c r="AS68" s="1">
        <f t="shared" si="7"/>
        <v>0.24193176380210007</v>
      </c>
      <c r="AU68" s="3">
        <v>65.675654793432372</v>
      </c>
      <c r="AW68" s="1">
        <f t="shared" si="8"/>
        <v>0.92506456562218986</v>
      </c>
      <c r="AX68" s="1">
        <f t="shared" si="23"/>
        <v>0.89659463363034386</v>
      </c>
      <c r="AY68" s="1">
        <f t="shared" si="9"/>
        <v>0.55669098097649328</v>
      </c>
      <c r="AZ68" s="22">
        <f t="shared" si="24"/>
        <v>0.36837358464569658</v>
      </c>
      <c r="BA68" s="1">
        <f t="shared" si="11"/>
        <v>0.33990365265385059</v>
      </c>
      <c r="BB68" s="3">
        <f t="shared" si="12"/>
        <v>28.745711204654778</v>
      </c>
      <c r="BC68" s="24">
        <v>1</v>
      </c>
      <c r="BD68" s="3">
        <v>0</v>
      </c>
      <c r="BE68" s="3">
        <v>0</v>
      </c>
      <c r="BG68" s="1">
        <f t="shared" si="13"/>
        <v>1.0291666786121894</v>
      </c>
      <c r="BH68" s="1">
        <f t="shared" si="14"/>
        <v>0.99749288368236633</v>
      </c>
    </row>
    <row r="69" spans="1:60">
      <c r="A69">
        <v>1990</v>
      </c>
      <c r="B69" s="3">
        <f t="shared" si="0"/>
        <v>112.56746526438859</v>
      </c>
      <c r="C69" s="3">
        <f t="shared" si="1"/>
        <v>59.913057002261802</v>
      </c>
      <c r="D69" s="2">
        <v>81.639099999999999</v>
      </c>
      <c r="E69" s="2">
        <v>85.743189999999998</v>
      </c>
      <c r="F69" s="2">
        <f t="shared" si="15"/>
        <v>69.999968627290002</v>
      </c>
      <c r="G69" s="2">
        <v>0.82610963120516601</v>
      </c>
      <c r="H69" s="2">
        <f t="shared" si="16"/>
        <v>0.57827648267063736</v>
      </c>
      <c r="I69" s="32">
        <f t="shared" si="2"/>
        <v>0.5571498936883299</v>
      </c>
      <c r="J69" s="32">
        <f t="shared" si="3"/>
        <v>0.62161145707836218</v>
      </c>
      <c r="Q69" s="32">
        <f t="shared" si="4"/>
        <v>0.13872797691958766</v>
      </c>
      <c r="R69" s="32">
        <f t="shared" si="5"/>
        <v>0.20318954030962</v>
      </c>
      <c r="T69" s="2">
        <f>USA!Z77*G69</f>
        <v>20.264469253462725</v>
      </c>
      <c r="U69" s="2">
        <v>0</v>
      </c>
      <c r="V69" s="2">
        <v>0</v>
      </c>
      <c r="W69" s="2">
        <v>0</v>
      </c>
      <c r="Y69" s="2">
        <v>0.69799999999999995</v>
      </c>
      <c r="Z69" s="32">
        <v>0.35</v>
      </c>
      <c r="AA69" s="2">
        <v>0.14000000000000001</v>
      </c>
      <c r="AB69" s="2">
        <f t="shared" si="17"/>
        <v>6.8421916768742264E-2</v>
      </c>
      <c r="AC69" s="2">
        <f t="shared" si="25"/>
        <v>0.41842191676874224</v>
      </c>
      <c r="AF69" s="4"/>
      <c r="AN69" s="9">
        <v>1990</v>
      </c>
      <c r="AO69" s="1">
        <f t="shared" si="19"/>
        <v>0.5571498936883299</v>
      </c>
      <c r="AP69" s="1">
        <f t="shared" si="20"/>
        <v>0.35</v>
      </c>
      <c r="AQ69" s="1">
        <f t="shared" si="21"/>
        <v>6.8421916768742264E-2</v>
      </c>
      <c r="AR69" s="1">
        <f t="shared" si="22"/>
        <v>0.41842191676874224</v>
      </c>
      <c r="AS69" s="1">
        <f t="shared" si="7"/>
        <v>0.13872797691958766</v>
      </c>
      <c r="AU69" s="3">
        <v>67.446579122240834</v>
      </c>
      <c r="AW69" s="1">
        <f t="shared" si="8"/>
        <v>0.82606101145403688</v>
      </c>
      <c r="AX69" s="1">
        <f t="shared" si="23"/>
        <v>0.82818990304123474</v>
      </c>
      <c r="AY69" s="1">
        <f t="shared" si="9"/>
        <v>0.62037529881299136</v>
      </c>
      <c r="AZ69" s="22">
        <f t="shared" si="24"/>
        <v>0.20568571264104551</v>
      </c>
      <c r="BA69" s="1">
        <f t="shared" si="11"/>
        <v>0.20781460422824333</v>
      </c>
      <c r="BB69" s="3">
        <f t="shared" si="12"/>
        <v>30.045214326934509</v>
      </c>
      <c r="BC69" s="24">
        <v>1</v>
      </c>
      <c r="BD69" s="3">
        <v>0</v>
      </c>
      <c r="BE69" s="24">
        <v>1</v>
      </c>
      <c r="BG69" s="1">
        <f t="shared" si="13"/>
        <v>0.91902176246192158</v>
      </c>
      <c r="BH69" s="1">
        <f t="shared" si="14"/>
        <v>0.92139022879967203</v>
      </c>
    </row>
    <row r="70" spans="1:60">
      <c r="A70">
        <v>1991</v>
      </c>
      <c r="B70" s="3">
        <f t="shared" si="0"/>
        <v>118.33061349318537</v>
      </c>
      <c r="C70" s="3">
        <f t="shared" si="1"/>
        <v>62.450351141377027</v>
      </c>
      <c r="D70" s="2">
        <v>85.818799999999996</v>
      </c>
      <c r="E70" s="2">
        <v>89.374380000000002</v>
      </c>
      <c r="F70" s="2">
        <f t="shared" si="15"/>
        <v>76.700020423439994</v>
      </c>
      <c r="G70" s="2">
        <v>0.84850932852037242</v>
      </c>
      <c r="H70" s="2">
        <f t="shared" si="16"/>
        <v>0.6508068282699192</v>
      </c>
      <c r="I70" s="32">
        <f t="shared" si="2"/>
        <v>0.62703043621565546</v>
      </c>
      <c r="J70" s="32">
        <f t="shared" si="3"/>
        <v>0.6853961201643044</v>
      </c>
      <c r="Q70" s="32">
        <f t="shared" si="4"/>
        <v>0.13102669843478554</v>
      </c>
      <c r="R70" s="32">
        <f t="shared" si="5"/>
        <v>0.18939238238343453</v>
      </c>
      <c r="T70" s="2">
        <f>USA!Z78*G70</f>
        <v>18.276890936328822</v>
      </c>
      <c r="U70" s="2">
        <v>0</v>
      </c>
      <c r="V70" s="2">
        <v>0</v>
      </c>
      <c r="W70" s="2">
        <v>0</v>
      </c>
      <c r="Y70" s="2">
        <v>0.67599999999999993</v>
      </c>
      <c r="Z70" s="32">
        <v>0.41899999999999998</v>
      </c>
      <c r="AA70" s="2">
        <v>0.14000000000000001</v>
      </c>
      <c r="AB70" s="2">
        <f t="shared" si="17"/>
        <v>7.7003737780869969E-2</v>
      </c>
      <c r="AC70" s="2">
        <f t="shared" si="25"/>
        <v>0.49600373778086992</v>
      </c>
      <c r="AF70" s="4"/>
      <c r="AN70" s="9">
        <v>1991</v>
      </c>
      <c r="AO70" s="1">
        <f t="shared" si="19"/>
        <v>0.62703043621565546</v>
      </c>
      <c r="AP70" s="1">
        <f t="shared" si="20"/>
        <v>0.41899999999999998</v>
      </c>
      <c r="AQ70" s="1">
        <f t="shared" si="21"/>
        <v>7.7003737780869969E-2</v>
      </c>
      <c r="AR70" s="1">
        <f t="shared" si="22"/>
        <v>0.49600373778086992</v>
      </c>
      <c r="AS70" s="1">
        <f t="shared" si="7"/>
        <v>0.13102669843478554</v>
      </c>
      <c r="AU70" s="3">
        <v>70.147872620144625</v>
      </c>
      <c r="AW70" s="1">
        <f t="shared" si="8"/>
        <v>0.8938694970994584</v>
      </c>
      <c r="AX70" s="1">
        <f t="shared" si="23"/>
        <v>0.89213213113621348</v>
      </c>
      <c r="AY70" s="1">
        <f t="shared" si="9"/>
        <v>0.7070830792927435</v>
      </c>
      <c r="AZ70" s="22">
        <f t="shared" si="24"/>
        <v>0.1867864178067149</v>
      </c>
      <c r="BA70" s="1">
        <f t="shared" si="11"/>
        <v>0.18504905184346998</v>
      </c>
      <c r="BB70" s="3">
        <f t="shared" si="12"/>
        <v>26.05480430646756</v>
      </c>
      <c r="BC70" s="24">
        <v>1</v>
      </c>
      <c r="BD70" s="3">
        <v>0</v>
      </c>
      <c r="BE70" s="24">
        <v>1</v>
      </c>
      <c r="BG70" s="1">
        <f t="shared" si="13"/>
        <v>0.99446107399417472</v>
      </c>
      <c r="BH70" s="1">
        <f t="shared" si="14"/>
        <v>0.99252819360465938</v>
      </c>
    </row>
    <row r="71" spans="1:60">
      <c r="A71">
        <v>1992</v>
      </c>
      <c r="B71" s="3">
        <f t="shared" si="0"/>
        <v>129.37693485724495</v>
      </c>
      <c r="C71" s="3">
        <f t="shared" si="1"/>
        <v>64.341860498266513</v>
      </c>
      <c r="D71" s="2">
        <v>93.830100000000002</v>
      </c>
      <c r="E71" s="2">
        <v>92.081370000000007</v>
      </c>
      <c r="F71" s="2">
        <f t="shared" si="15"/>
        <v>86.400041552369998</v>
      </c>
      <c r="G71" s="2">
        <v>0.79845896627007462</v>
      </c>
      <c r="H71" s="2">
        <f t="shared" si="16"/>
        <v>0.68986887863596846</v>
      </c>
      <c r="I71" s="32">
        <f t="shared" si="2"/>
        <v>0.66466540471408575</v>
      </c>
      <c r="J71" s="32">
        <f t="shared" si="3"/>
        <v>0.6772132744593744</v>
      </c>
      <c r="Q71" s="32">
        <f t="shared" si="4"/>
        <v>0.16403982869656641</v>
      </c>
      <c r="R71" s="32">
        <f t="shared" si="5"/>
        <v>0.17658769844185501</v>
      </c>
      <c r="T71" s="2">
        <f>USA!Z79*G71</f>
        <v>16.432285525838136</v>
      </c>
      <c r="U71" s="2">
        <v>0</v>
      </c>
      <c r="V71" s="2">
        <v>0</v>
      </c>
      <c r="W71" s="2">
        <v>0</v>
      </c>
      <c r="Y71" s="2">
        <v>0.67799999999999994</v>
      </c>
      <c r="Z71" s="32">
        <v>0.41899999999999998</v>
      </c>
      <c r="AA71" s="2">
        <v>0.14000000000000001</v>
      </c>
      <c r="AB71" s="2">
        <f t="shared" si="17"/>
        <v>8.1625576017519311E-2</v>
      </c>
      <c r="AC71" s="2">
        <f t="shared" si="25"/>
        <v>0.50062557601751934</v>
      </c>
      <c r="AF71" s="4"/>
      <c r="AN71" s="9">
        <v>1992</v>
      </c>
      <c r="AO71" s="1">
        <f t="shared" si="19"/>
        <v>0.66466540471408575</v>
      </c>
      <c r="AP71" s="1">
        <f t="shared" si="20"/>
        <v>0.41899999999999998</v>
      </c>
      <c r="AQ71" s="1">
        <f t="shared" si="21"/>
        <v>8.1625576017519311E-2</v>
      </c>
      <c r="AR71" s="1">
        <f t="shared" si="22"/>
        <v>0.50062557601751934</v>
      </c>
      <c r="AS71" s="1">
        <f t="shared" si="7"/>
        <v>0.16403982869656641</v>
      </c>
      <c r="AU71" s="3">
        <v>73.752308818134566</v>
      </c>
      <c r="AW71" s="1">
        <f t="shared" si="8"/>
        <v>0.90121301334861359</v>
      </c>
      <c r="AX71" s="1">
        <f t="shared" si="23"/>
        <v>0.89113471139089773</v>
      </c>
      <c r="AY71" s="1">
        <f t="shared" si="9"/>
        <v>0.67879309006042021</v>
      </c>
      <c r="AZ71" s="22">
        <f t="shared" si="24"/>
        <v>0.22241992328819338</v>
      </c>
      <c r="BA71" s="1">
        <f t="shared" si="11"/>
        <v>0.21234162133047754</v>
      </c>
      <c r="BB71" s="3">
        <f t="shared" si="12"/>
        <v>22.280367610400408</v>
      </c>
      <c r="BC71" s="24">
        <v>1</v>
      </c>
      <c r="BD71" s="3">
        <v>0</v>
      </c>
      <c r="BE71" s="24">
        <v>0.65</v>
      </c>
      <c r="BG71" s="1">
        <f t="shared" si="13"/>
        <v>1.0026309926229295</v>
      </c>
      <c r="BH71" s="1">
        <f t="shared" si="14"/>
        <v>0.99141852925838914</v>
      </c>
    </row>
    <row r="72" spans="1:60">
      <c r="A72">
        <v>1993</v>
      </c>
      <c r="B72" s="3">
        <f t="shared" si="0"/>
        <v>118.10420754558906</v>
      </c>
      <c r="C72" s="3">
        <f t="shared" si="1"/>
        <v>66.241014180537462</v>
      </c>
      <c r="D72" s="2">
        <v>85.654600000000002</v>
      </c>
      <c r="E72" s="2">
        <v>94.799300000000002</v>
      </c>
      <c r="F72" s="2">
        <f t="shared" si="15"/>
        <v>81.199961217799995</v>
      </c>
      <c r="G72" s="2">
        <v>0.84532909301933179</v>
      </c>
      <c r="H72" s="2">
        <f t="shared" si="16"/>
        <v>0.68640689569447788</v>
      </c>
      <c r="I72" s="32">
        <f t="shared" si="2"/>
        <v>0.6613299008753436</v>
      </c>
      <c r="J72" s="32">
        <f t="shared" si="3"/>
        <v>0.67592775645808123</v>
      </c>
      <c r="Q72" s="32">
        <f t="shared" si="4"/>
        <v>0.15606947902203794</v>
      </c>
      <c r="R72" s="32">
        <f t="shared" si="5"/>
        <v>0.17066733460477557</v>
      </c>
      <c r="T72" s="2">
        <f>USA!Z80*G72</f>
        <v>15.579415184346285</v>
      </c>
      <c r="U72" s="2">
        <v>0</v>
      </c>
      <c r="V72" s="2">
        <v>0</v>
      </c>
      <c r="W72" s="2">
        <v>0</v>
      </c>
      <c r="Y72" s="2">
        <v>0.80900000000000005</v>
      </c>
      <c r="Z72" s="32">
        <v>0.41899999999999998</v>
      </c>
      <c r="AA72" s="2">
        <v>0.15</v>
      </c>
      <c r="AB72" s="2">
        <f t="shared" si="17"/>
        <v>8.6260421853305694E-2</v>
      </c>
      <c r="AC72" s="2">
        <f t="shared" si="25"/>
        <v>0.50526042185330566</v>
      </c>
      <c r="AF72" s="4"/>
      <c r="AN72" s="9">
        <v>1993</v>
      </c>
      <c r="AO72" s="1">
        <f t="shared" si="19"/>
        <v>0.6613299008753436</v>
      </c>
      <c r="AP72" s="1">
        <f t="shared" si="20"/>
        <v>0.41899999999999998</v>
      </c>
      <c r="AQ72" s="1">
        <f t="shared" si="21"/>
        <v>8.6260421853305694E-2</v>
      </c>
      <c r="AR72" s="1">
        <f t="shared" si="22"/>
        <v>0.50526042185330566</v>
      </c>
      <c r="AS72" s="1">
        <f t="shared" si="7"/>
        <v>0.15606947902203794</v>
      </c>
      <c r="AU72" s="3">
        <v>76.987059269589849</v>
      </c>
      <c r="AW72" s="1">
        <f t="shared" si="8"/>
        <v>0.85901436832328937</v>
      </c>
      <c r="AX72" s="1">
        <f t="shared" si="23"/>
        <v>0.85697335870382518</v>
      </c>
      <c r="AY72" s="1">
        <f t="shared" si="9"/>
        <v>0.65629266352934357</v>
      </c>
      <c r="AZ72" s="22">
        <f t="shared" si="24"/>
        <v>0.2027217047939458</v>
      </c>
      <c r="BA72" s="1">
        <f t="shared" si="11"/>
        <v>0.20068069517448159</v>
      </c>
      <c r="BB72" s="3">
        <f t="shared" si="12"/>
        <v>20.236407692611021</v>
      </c>
      <c r="BC72" s="24">
        <v>1</v>
      </c>
      <c r="BD72" s="3">
        <v>0</v>
      </c>
      <c r="BE72" s="24">
        <v>0.65</v>
      </c>
      <c r="BG72" s="1">
        <f t="shared" si="13"/>
        <v>0.95568352435249859</v>
      </c>
      <c r="BH72" s="1">
        <f t="shared" si="14"/>
        <v>0.95341282977706998</v>
      </c>
    </row>
    <row r="73" spans="1:60">
      <c r="A73">
        <v>1994</v>
      </c>
      <c r="B73" s="3">
        <f t="shared" si="0"/>
        <v>131.68801286434748</v>
      </c>
      <c r="C73" s="3">
        <f t="shared" si="1"/>
        <v>67.968212466727536</v>
      </c>
      <c r="D73" s="2">
        <v>95.506200000000007</v>
      </c>
      <c r="E73" s="2">
        <v>97.271140000000003</v>
      </c>
      <c r="F73" s="2">
        <f t="shared" si="15"/>
        <v>92.899969510680009</v>
      </c>
      <c r="G73" s="2">
        <v>0.82971935188641144</v>
      </c>
      <c r="H73" s="2">
        <f t="shared" si="16"/>
        <v>0.77080902492668801</v>
      </c>
      <c r="I73" s="32">
        <f t="shared" si="2"/>
        <v>0.74264850665993642</v>
      </c>
      <c r="J73" s="32">
        <f t="shared" si="3"/>
        <v>0.75945311485974909</v>
      </c>
      <c r="Q73" s="32">
        <f t="shared" si="4"/>
        <v>0.14478131013907514</v>
      </c>
      <c r="R73" s="32">
        <f t="shared" si="5"/>
        <v>0.16158591833888783</v>
      </c>
      <c r="T73" s="2">
        <f>USA!Z81*G73</f>
        <v>14.271172852446275</v>
      </c>
      <c r="U73" s="2">
        <v>0</v>
      </c>
      <c r="V73" s="2">
        <v>0</v>
      </c>
      <c r="W73" s="2">
        <v>0</v>
      </c>
      <c r="Y73" s="2">
        <v>0.79599999999999993</v>
      </c>
      <c r="Z73" s="32">
        <v>0.501</v>
      </c>
      <c r="AA73" s="2">
        <v>0.15</v>
      </c>
      <c r="AB73" s="2">
        <f t="shared" si="17"/>
        <v>9.6867196520861287E-2</v>
      </c>
      <c r="AC73" s="2">
        <f t="shared" si="25"/>
        <v>0.59786719652086129</v>
      </c>
      <c r="AF73" s="4"/>
      <c r="AN73" s="9">
        <v>1994</v>
      </c>
      <c r="AO73" s="1">
        <f t="shared" si="19"/>
        <v>0.74264850665993642</v>
      </c>
      <c r="AP73" s="1">
        <f t="shared" si="20"/>
        <v>0.501</v>
      </c>
      <c r="AQ73" s="1">
        <f t="shared" si="21"/>
        <v>9.6867196520861287E-2</v>
      </c>
      <c r="AR73" s="1">
        <f t="shared" si="22"/>
        <v>0.59786719652086129</v>
      </c>
      <c r="AS73" s="1">
        <f t="shared" si="7"/>
        <v>0.14478131013907514</v>
      </c>
      <c r="AU73" s="3">
        <v>79.112752042564864</v>
      </c>
      <c r="AW73" s="1">
        <f t="shared" si="8"/>
        <v>0.93872161881104943</v>
      </c>
      <c r="AX73" s="1">
        <f t="shared" si="23"/>
        <v>0.94385984059675798</v>
      </c>
      <c r="AY73" s="1">
        <f t="shared" si="9"/>
        <v>0.75571533170681782</v>
      </c>
      <c r="AZ73" s="22">
        <f t="shared" si="24"/>
        <v>0.18300628710423161</v>
      </c>
      <c r="BA73" s="1">
        <f t="shared" si="11"/>
        <v>0.18814450888994014</v>
      </c>
      <c r="BB73" s="3">
        <f t="shared" si="12"/>
        <v>18.039029718961093</v>
      </c>
      <c r="BC73" s="24">
        <v>1</v>
      </c>
      <c r="BD73" s="3">
        <v>0</v>
      </c>
      <c r="BE73" s="24">
        <v>0.65</v>
      </c>
      <c r="BG73" s="1">
        <f t="shared" si="13"/>
        <v>1.0443606278697259</v>
      </c>
      <c r="BH73" s="1">
        <f t="shared" si="14"/>
        <v>1.0500770792891074</v>
      </c>
    </row>
    <row r="74" spans="1:60">
      <c r="A74">
        <v>1995</v>
      </c>
      <c r="B74" s="3">
        <f t="shared" si="0"/>
        <v>144.36481555016516</v>
      </c>
      <c r="C74" s="3">
        <f t="shared" si="1"/>
        <v>69.875003486879606</v>
      </c>
      <c r="D74" s="2">
        <v>104.7</v>
      </c>
      <c r="E74" s="2">
        <v>100</v>
      </c>
      <c r="F74" s="2">
        <f t="shared" si="15"/>
        <v>104.7</v>
      </c>
      <c r="G74" s="2">
        <v>0.73274773369873658</v>
      </c>
      <c r="H74" s="2">
        <f t="shared" si="16"/>
        <v>0.76718687718257728</v>
      </c>
      <c r="I74" s="32">
        <f>H74*I$75/H$75</f>
        <v>0.73915868943404028</v>
      </c>
      <c r="J74" s="32">
        <f t="shared" si="3"/>
        <v>0.75367619670279384</v>
      </c>
      <c r="N74" s="2">
        <f>G74*O74/100</f>
        <v>0.82067746174258505</v>
      </c>
      <c r="O74" s="39">
        <v>112</v>
      </c>
      <c r="Q74" s="32">
        <f t="shared" si="4"/>
        <v>0.14174668646438282</v>
      </c>
      <c r="R74" s="32">
        <f t="shared" si="5"/>
        <v>0.15626419373313644</v>
      </c>
      <c r="T74" s="2">
        <f>USA!Z82*G74</f>
        <v>13.504540732067715</v>
      </c>
      <c r="U74" s="2">
        <v>0</v>
      </c>
      <c r="V74" s="2">
        <v>0</v>
      </c>
      <c r="W74" s="2">
        <v>0</v>
      </c>
      <c r="Y74" s="2">
        <v>0.76900000000000002</v>
      </c>
      <c r="Z74" s="32">
        <v>0.501</v>
      </c>
      <c r="AA74" s="2">
        <v>0.15</v>
      </c>
      <c r="AB74" s="2">
        <f t="shared" si="17"/>
        <v>9.6412002969657434E-2</v>
      </c>
      <c r="AC74" s="2">
        <f t="shared" si="25"/>
        <v>0.59741200296965746</v>
      </c>
      <c r="AF74" s="4"/>
      <c r="AN74" s="9">
        <v>1995</v>
      </c>
      <c r="AO74" s="1">
        <f t="shared" si="19"/>
        <v>0.73915868943404028</v>
      </c>
      <c r="AP74" s="1">
        <f t="shared" si="20"/>
        <v>0.501</v>
      </c>
      <c r="AQ74" s="1">
        <f t="shared" si="21"/>
        <v>9.6412002969657434E-2</v>
      </c>
      <c r="AR74" s="1">
        <f t="shared" si="22"/>
        <v>0.59741200296965746</v>
      </c>
      <c r="AS74" s="1">
        <f t="shared" si="7"/>
        <v>0.14174668646438282</v>
      </c>
      <c r="AU74" s="3">
        <v>80.499074068324973</v>
      </c>
      <c r="AW74" s="1">
        <f t="shared" si="8"/>
        <v>0.91822011369555212</v>
      </c>
      <c r="AX74" s="1">
        <f t="shared" si="23"/>
        <v>0.92307420288851971</v>
      </c>
      <c r="AY74" s="1">
        <f t="shared" si="9"/>
        <v>0.74213524799377661</v>
      </c>
      <c r="AZ74" s="22">
        <f t="shared" si="24"/>
        <v>0.17608486570177551</v>
      </c>
      <c r="BA74" s="1">
        <f t="shared" si="11"/>
        <v>0.18093895489474313</v>
      </c>
      <c r="BB74" s="3">
        <f t="shared" si="12"/>
        <v>16.776019958447602</v>
      </c>
      <c r="BC74" s="24">
        <v>1</v>
      </c>
      <c r="BD74" s="3">
        <v>0</v>
      </c>
      <c r="BE74" s="24">
        <v>0.65</v>
      </c>
      <c r="BG74" s="1">
        <f t="shared" si="13"/>
        <v>1.0215519864944336</v>
      </c>
      <c r="BH74" s="1">
        <f t="shared" si="14"/>
        <v>1.0269523304683199</v>
      </c>
    </row>
    <row r="75" spans="1:60">
      <c r="A75">
        <v>1996</v>
      </c>
      <c r="B75" s="3">
        <f t="shared" si="0"/>
        <v>139.45062068272688</v>
      </c>
      <c r="C75" s="3">
        <f t="shared" si="1"/>
        <v>71.923179589087013</v>
      </c>
      <c r="D75" s="2">
        <v>101.136</v>
      </c>
      <c r="E75" s="2">
        <v>102.9312</v>
      </c>
      <c r="F75" s="2">
        <f t="shared" si="15"/>
        <v>104.10049843200001</v>
      </c>
      <c r="G75" s="2">
        <v>0.76937668406763371</v>
      </c>
      <c r="H75" s="2">
        <f t="shared" si="16"/>
        <v>0.80092496293400073</v>
      </c>
      <c r="I75" s="32">
        <f t="shared" ref="I75:I83" si="26">L75</f>
        <v>0.77166419753086424</v>
      </c>
      <c r="J75" s="32">
        <f t="shared" si="3"/>
        <v>0.78230965025485699</v>
      </c>
      <c r="L75" s="2">
        <f>L$79*M75/M$79</f>
        <v>0.77166419753086424</v>
      </c>
      <c r="M75" s="2">
        <v>63.2</v>
      </c>
      <c r="N75" s="2">
        <f t="shared" ref="N75:N87" si="27">G75*O75/100</f>
        <v>0.82066846300547591</v>
      </c>
      <c r="O75" s="2">
        <f>O74+(O$77-O$74)/3</f>
        <v>106.66666666666667</v>
      </c>
      <c r="Q75" s="32">
        <f t="shared" si="4"/>
        <v>0.17001234567901236</v>
      </c>
      <c r="R75" s="32">
        <f t="shared" si="5"/>
        <v>0.18065779840300505</v>
      </c>
      <c r="T75" s="2">
        <f>USA!Z83*G75</f>
        <v>17.018612251576059</v>
      </c>
      <c r="U75" s="2">
        <v>0</v>
      </c>
      <c r="V75" s="2">
        <v>0</v>
      </c>
      <c r="W75" s="2">
        <v>0</v>
      </c>
      <c r="Y75" s="2">
        <v>0.74400000000000011</v>
      </c>
      <c r="Z75" s="32">
        <v>0.501</v>
      </c>
      <c r="AA75" s="2">
        <v>0.15</v>
      </c>
      <c r="AB75" s="2">
        <f t="shared" si="17"/>
        <v>0.10065185185185187</v>
      </c>
      <c r="AC75" s="2">
        <f t="shared" si="25"/>
        <v>0.60165185185185188</v>
      </c>
      <c r="AF75" s="4"/>
      <c r="AN75" s="9">
        <v>1996</v>
      </c>
      <c r="AO75" s="1">
        <f t="shared" si="19"/>
        <v>0.77166419753086424</v>
      </c>
      <c r="AP75" s="1">
        <f t="shared" si="20"/>
        <v>0.501</v>
      </c>
      <c r="AQ75" s="1">
        <f t="shared" si="21"/>
        <v>0.10065185185185187</v>
      </c>
      <c r="AR75" s="1">
        <f t="shared" si="22"/>
        <v>0.60165185185185188</v>
      </c>
      <c r="AS75" s="1">
        <f t="shared" si="7"/>
        <v>0.17001234567901236</v>
      </c>
      <c r="AU75" s="3">
        <v>81.608131546514286</v>
      </c>
      <c r="AW75" s="1">
        <f t="shared" si="8"/>
        <v>0.9455726811868469</v>
      </c>
      <c r="AX75" s="1">
        <f t="shared" si="23"/>
        <v>0.94144944550796439</v>
      </c>
      <c r="AY75" s="1">
        <f t="shared" si="9"/>
        <v>0.73724497847243031</v>
      </c>
      <c r="AZ75" s="22">
        <f t="shared" si="24"/>
        <v>0.20832770271441658</v>
      </c>
      <c r="BA75" s="1">
        <f t="shared" si="11"/>
        <v>0.2042044670355341</v>
      </c>
      <c r="BB75" s="3">
        <f t="shared" si="12"/>
        <v>20.854064330434937</v>
      </c>
      <c r="BC75" s="24">
        <v>1</v>
      </c>
      <c r="BD75" s="3">
        <v>0</v>
      </c>
      <c r="BE75" s="24">
        <v>0.65</v>
      </c>
      <c r="BG75" s="1">
        <f t="shared" si="13"/>
        <v>1.0519826743433383</v>
      </c>
      <c r="BH75" s="1">
        <f t="shared" si="14"/>
        <v>1.0473954304616999</v>
      </c>
    </row>
    <row r="76" spans="1:60">
      <c r="A76">
        <v>1997</v>
      </c>
      <c r="B76" s="3">
        <f t="shared" si="0"/>
        <v>121.42790867351168</v>
      </c>
      <c r="C76" s="3">
        <f t="shared" si="1"/>
        <v>73.604511922988308</v>
      </c>
      <c r="D76" s="2">
        <v>88.667500000000004</v>
      </c>
      <c r="E76" s="2">
        <v>105.3374</v>
      </c>
      <c r="F76" s="2">
        <f t="shared" si="15"/>
        <v>93.400039145000008</v>
      </c>
      <c r="G76" s="2">
        <v>0.88661079950711452</v>
      </c>
      <c r="H76" s="2">
        <f t="shared" si="16"/>
        <v>0.82809483380344251</v>
      </c>
      <c r="I76" s="32">
        <f t="shared" si="26"/>
        <v>0.79242098765432112</v>
      </c>
      <c r="J76" s="32">
        <f t="shared" si="3"/>
        <v>0.79372496917077173</v>
      </c>
      <c r="L76" s="2">
        <f>L$79*M76/M$79</f>
        <v>0.79242098765432112</v>
      </c>
      <c r="M76" s="2">
        <v>64.900000000000006</v>
      </c>
      <c r="N76" s="2">
        <f t="shared" si="27"/>
        <v>0.89843227683387605</v>
      </c>
      <c r="O76" s="2">
        <f>O75+(O$77-O$74)/3</f>
        <v>101.33333333333334</v>
      </c>
      <c r="Q76" s="32">
        <f t="shared" si="4"/>
        <v>0.18806172839506186</v>
      </c>
      <c r="R76" s="32">
        <f t="shared" si="5"/>
        <v>0.18936570991151241</v>
      </c>
      <c r="T76" s="2">
        <f>USA!Z84*G76</f>
        <v>18.273048577841628</v>
      </c>
      <c r="U76" s="2">
        <v>0</v>
      </c>
      <c r="V76" s="2">
        <v>0</v>
      </c>
      <c r="W76" s="2">
        <v>0</v>
      </c>
      <c r="Y76" s="2">
        <v>0.74400000000000011</v>
      </c>
      <c r="Z76" s="32">
        <v>0.501</v>
      </c>
      <c r="AA76" s="2">
        <v>0.15</v>
      </c>
      <c r="AB76" s="2">
        <f t="shared" si="17"/>
        <v>0.10335925925925928</v>
      </c>
      <c r="AC76" s="2">
        <f t="shared" si="25"/>
        <v>0.60435925925925926</v>
      </c>
      <c r="AF76" s="4"/>
      <c r="AN76" s="9">
        <v>1997</v>
      </c>
      <c r="AO76" s="1">
        <f t="shared" si="19"/>
        <v>0.79242098765432112</v>
      </c>
      <c r="AP76" s="1">
        <f t="shared" si="20"/>
        <v>0.501</v>
      </c>
      <c r="AQ76" s="1">
        <f t="shared" si="21"/>
        <v>0.10335925925925928</v>
      </c>
      <c r="AR76" s="1">
        <f t="shared" si="22"/>
        <v>0.60435925925925926</v>
      </c>
      <c r="AS76" s="1">
        <f t="shared" ref="AS76:AS96" si="28">AO76-AR76</f>
        <v>0.18806172839506186</v>
      </c>
      <c r="AU76" s="3">
        <v>83.179296179520136</v>
      </c>
      <c r="AW76" s="1">
        <f t="shared" ref="AW76:AW96" si="29">AO76/$AU76*100</f>
        <v>0.95266613694842228</v>
      </c>
      <c r="AX76" s="1">
        <f t="shared" si="23"/>
        <v>0.93713520194433286</v>
      </c>
      <c r="AY76" s="1">
        <f t="shared" ref="AY76:AY96" si="30">AR76/$AU76*100</f>
        <v>0.72657414406935161</v>
      </c>
      <c r="AZ76" s="22">
        <f t="shared" si="24"/>
        <v>0.22609199287907067</v>
      </c>
      <c r="BA76" s="1">
        <f t="shared" ref="BA76:BA97" si="31">AX$100+AX$101*BB76+AX$102*BC76+AX$103*BD76+AX$104*BE76</f>
        <v>0.21056105787498122</v>
      </c>
      <c r="BB76" s="3">
        <f t="shared" ref="BB76:BB96" si="32">T76/AU76*100</f>
        <v>21.968265442405485</v>
      </c>
      <c r="BC76" s="24">
        <v>1</v>
      </c>
      <c r="BD76" s="3">
        <v>0</v>
      </c>
      <c r="BE76" s="24">
        <v>0.65</v>
      </c>
      <c r="BG76" s="1">
        <f t="shared" si="13"/>
        <v>1.0598743919350859</v>
      </c>
      <c r="BH76" s="1">
        <f t="shared" si="14"/>
        <v>1.0425956836287638</v>
      </c>
    </row>
    <row r="77" spans="1:60">
      <c r="A77">
        <v>1998</v>
      </c>
      <c r="B77" s="3">
        <f t="shared" si="0"/>
        <v>110.38771337366902</v>
      </c>
      <c r="C77" s="3">
        <f t="shared" si="1"/>
        <v>74.747038105002289</v>
      </c>
      <c r="D77" s="2">
        <v>82.357600000000005</v>
      </c>
      <c r="E77" s="2">
        <v>106.9725</v>
      </c>
      <c r="F77" s="2">
        <f t="shared" si="15"/>
        <v>88.099983659999992</v>
      </c>
      <c r="G77" s="2">
        <v>0.89970498458454984</v>
      </c>
      <c r="H77" s="2">
        <f t="shared" si="16"/>
        <v>0.79263994440719387</v>
      </c>
      <c r="I77" s="32">
        <f t="shared" si="26"/>
        <v>0.74236049382716052</v>
      </c>
      <c r="J77" s="32">
        <f t="shared" si="3"/>
        <v>0.75459191397223613</v>
      </c>
      <c r="L77" s="2">
        <f>L$79*M77/M$79</f>
        <v>0.74236049382716052</v>
      </c>
      <c r="M77" s="2">
        <v>60.8</v>
      </c>
      <c r="N77" s="2">
        <f t="shared" si="27"/>
        <v>0.8637167852011679</v>
      </c>
      <c r="O77" s="39">
        <v>96</v>
      </c>
      <c r="Q77" s="32">
        <f t="shared" si="4"/>
        <v>0.14034815881396157</v>
      </c>
      <c r="R77" s="32">
        <f t="shared" si="5"/>
        <v>0.15257957895903718</v>
      </c>
      <c r="T77" s="2">
        <f>USA!Z85*G77</f>
        <v>12.973745877709209</v>
      </c>
      <c r="U77" s="2">
        <v>0</v>
      </c>
      <c r="V77" s="2">
        <v>0</v>
      </c>
      <c r="W77" s="2">
        <v>0</v>
      </c>
      <c r="Y77" s="2">
        <v>0.74400000000000011</v>
      </c>
      <c r="Z77" s="32">
        <v>0.501</v>
      </c>
      <c r="AA77" s="2">
        <v>0.1575</v>
      </c>
      <c r="AB77" s="2">
        <f t="shared" si="17"/>
        <v>0.10101233501319895</v>
      </c>
      <c r="AC77" s="2">
        <f t="shared" si="25"/>
        <v>0.60201233501319895</v>
      </c>
      <c r="AF77" s="4"/>
      <c r="AN77" s="9">
        <v>1998</v>
      </c>
      <c r="AO77" s="1">
        <f t="shared" si="19"/>
        <v>0.74236049382716052</v>
      </c>
      <c r="AP77" s="1">
        <f t="shared" si="20"/>
        <v>0.501</v>
      </c>
      <c r="AQ77" s="1">
        <f t="shared" si="21"/>
        <v>0.10101233501319895</v>
      </c>
      <c r="AR77" s="1">
        <f t="shared" si="22"/>
        <v>0.60201233501319895</v>
      </c>
      <c r="AS77" s="1">
        <f t="shared" si="28"/>
        <v>0.14034815881396157</v>
      </c>
      <c r="AU77" s="3">
        <v>84.011089141315338</v>
      </c>
      <c r="AW77" s="1">
        <f t="shared" si="29"/>
        <v>0.88364583939440822</v>
      </c>
      <c r="AX77" s="1">
        <f t="shared" si="23"/>
        <v>0.88992015190852802</v>
      </c>
      <c r="AY77" s="1">
        <f t="shared" si="30"/>
        <v>0.71658675201859601</v>
      </c>
      <c r="AZ77" s="22">
        <f t="shared" si="24"/>
        <v>0.16705908737581221</v>
      </c>
      <c r="BA77" s="1">
        <f t="shared" si="31"/>
        <v>0.17333339988993199</v>
      </c>
      <c r="BB77" s="3">
        <f t="shared" si="32"/>
        <v>15.442896896487115</v>
      </c>
      <c r="BC77" s="24">
        <v>1</v>
      </c>
      <c r="BD77" s="3">
        <v>0</v>
      </c>
      <c r="BE77" s="24">
        <v>0.65</v>
      </c>
      <c r="BG77" s="1">
        <f t="shared" si="13"/>
        <v>0.98308689727765808</v>
      </c>
      <c r="BH77" s="1">
        <f t="shared" si="14"/>
        <v>0.99006728936130528</v>
      </c>
    </row>
    <row r="78" spans="1:60">
      <c r="A78">
        <v>1999</v>
      </c>
      <c r="B78" s="3">
        <f t="shared" si="0"/>
        <v>113.81624411758979</v>
      </c>
      <c r="C78" s="3">
        <f t="shared" si="1"/>
        <v>75.889564287016256</v>
      </c>
      <c r="D78" s="38">
        <v>82.357600000000005</v>
      </c>
      <c r="E78" s="2">
        <v>108.60760000000001</v>
      </c>
      <c r="F78" s="2">
        <f t="shared" si="15"/>
        <v>89.446612777600009</v>
      </c>
      <c r="G78" s="2">
        <v>0.93862699999999999</v>
      </c>
      <c r="H78" s="2">
        <f t="shared" si="16"/>
        <v>0.83957005811600371</v>
      </c>
      <c r="I78" s="32">
        <f t="shared" si="26"/>
        <v>0.81073580246913579</v>
      </c>
      <c r="J78" s="32">
        <f t="shared" si="3"/>
        <v>0.82023919007898138</v>
      </c>
      <c r="L78" s="2">
        <f>L$79*M78/M$79</f>
        <v>0.81073580246913579</v>
      </c>
      <c r="M78" s="2">
        <v>66.400000000000006</v>
      </c>
      <c r="N78" s="2">
        <f t="shared" si="27"/>
        <v>0.87761624500000002</v>
      </c>
      <c r="O78" s="2">
        <f>(O77+O79)/2</f>
        <v>93.5</v>
      </c>
      <c r="Q78" s="32">
        <f t="shared" si="4"/>
        <v>0.16691017454235846</v>
      </c>
      <c r="R78" s="32">
        <f t="shared" si="5"/>
        <v>0.176413562152204</v>
      </c>
      <c r="T78" s="2">
        <f>USA!Z86*G78</f>
        <v>16.40719996</v>
      </c>
      <c r="U78" s="2">
        <v>0</v>
      </c>
      <c r="V78" s="2">
        <v>0</v>
      </c>
      <c r="W78" s="2">
        <v>0</v>
      </c>
      <c r="Y78" s="2">
        <v>0.67</v>
      </c>
      <c r="Z78" s="32">
        <v>0.53200000000000003</v>
      </c>
      <c r="AA78" s="2">
        <v>0.16</v>
      </c>
      <c r="AB78" s="2">
        <f t="shared" si="17"/>
        <v>0.11182562792677736</v>
      </c>
      <c r="AC78" s="2">
        <f t="shared" si="25"/>
        <v>0.64382562792677733</v>
      </c>
      <c r="AF78" s="4"/>
      <c r="AN78" s="9">
        <v>1999</v>
      </c>
      <c r="AO78" s="1">
        <f t="shared" si="19"/>
        <v>0.81073580246913579</v>
      </c>
      <c r="AP78" s="1">
        <f t="shared" si="20"/>
        <v>0.53200000000000003</v>
      </c>
      <c r="AQ78" s="1">
        <f t="shared" si="21"/>
        <v>0.11182562792677736</v>
      </c>
      <c r="AR78" s="1">
        <f t="shared" si="22"/>
        <v>0.64382562792677733</v>
      </c>
      <c r="AS78" s="1">
        <f t="shared" si="28"/>
        <v>0.16691017454235846</v>
      </c>
      <c r="AU78" s="3">
        <v>84.473196337691604</v>
      </c>
      <c r="AW78" s="1">
        <f t="shared" si="29"/>
        <v>0.95975509110383783</v>
      </c>
      <c r="AX78" s="1">
        <f t="shared" si="23"/>
        <v>0.97913095625349211</v>
      </c>
      <c r="AY78" s="1">
        <f t="shared" si="30"/>
        <v>0.76216558132002976</v>
      </c>
      <c r="AZ78" s="22">
        <f t="shared" si="24"/>
        <v>0.19758950978380807</v>
      </c>
      <c r="BA78" s="1">
        <f t="shared" si="31"/>
        <v>0.21696537493346232</v>
      </c>
      <c r="BB78" s="3">
        <f t="shared" si="32"/>
        <v>19.422965711407763</v>
      </c>
      <c r="BC78" s="24">
        <v>1</v>
      </c>
      <c r="BD78" s="3">
        <v>0</v>
      </c>
      <c r="BE78" s="24">
        <v>0.5</v>
      </c>
      <c r="BG78" s="1">
        <f t="shared" si="13"/>
        <v>1.0677611013325603</v>
      </c>
      <c r="BH78" s="1">
        <f t="shared" si="14"/>
        <v>1.0893174288824057</v>
      </c>
    </row>
    <row r="79" spans="1:60">
      <c r="A79">
        <v>2000</v>
      </c>
      <c r="B79" s="3">
        <f t="shared" si="0"/>
        <v>115.40085367595087</v>
      </c>
      <c r="C79" s="3">
        <f t="shared" si="1"/>
        <v>78.958238837304293</v>
      </c>
      <c r="D79" s="2">
        <f>F79/E79*100</f>
        <v>80.6363505299595</v>
      </c>
      <c r="E79" s="2">
        <v>112.9992628224058</v>
      </c>
      <c r="F79" s="2">
        <f>I79/G79*100</f>
        <v>91.11848166574535</v>
      </c>
      <c r="G79" s="2">
        <v>1.0853999999999999</v>
      </c>
      <c r="H79" s="32">
        <f>(R79+Z79)+AA79*(R79+Z79)</f>
        <v>0.96566797014786276</v>
      </c>
      <c r="I79" s="32">
        <f t="shared" si="26"/>
        <v>0.98899999999999999</v>
      </c>
      <c r="J79" s="32">
        <f t="shared" si="3"/>
        <v>0.96888618116195069</v>
      </c>
      <c r="L79" s="2">
        <v>0.98899999999999999</v>
      </c>
      <c r="M79" s="2">
        <v>81</v>
      </c>
      <c r="N79" s="2">
        <f t="shared" si="27"/>
        <v>0.98771399999999998</v>
      </c>
      <c r="O79" s="39">
        <v>91</v>
      </c>
      <c r="Q79" s="32">
        <f t="shared" ref="Q79:Q89" si="33">L79-AC79</f>
        <v>0.29058620689655168</v>
      </c>
      <c r="R79" s="32">
        <f t="shared" si="5"/>
        <v>0.27047238805850232</v>
      </c>
      <c r="T79" s="2">
        <f>USA!Z87*G79</f>
        <v>29.957039999999999</v>
      </c>
      <c r="U79" s="2">
        <v>0</v>
      </c>
      <c r="V79" s="2">
        <v>0</v>
      </c>
      <c r="W79" s="2">
        <v>0</v>
      </c>
      <c r="Z79" s="32">
        <v>0.56200000000000006</v>
      </c>
      <c r="AA79" s="2">
        <v>0.16</v>
      </c>
      <c r="AB79" s="2">
        <f t="shared" si="17"/>
        <v>0.13641379310344828</v>
      </c>
      <c r="AC79" s="2">
        <f t="shared" si="25"/>
        <v>0.69841379310344831</v>
      </c>
      <c r="AD79" s="37"/>
      <c r="AN79" s="9">
        <v>2000</v>
      </c>
      <c r="AO79" s="1">
        <f t="shared" si="19"/>
        <v>0.98899999999999999</v>
      </c>
      <c r="AP79" s="1">
        <f t="shared" si="20"/>
        <v>0.56200000000000006</v>
      </c>
      <c r="AQ79" s="1">
        <f t="shared" si="21"/>
        <v>0.13641379310344828</v>
      </c>
      <c r="AR79" s="1">
        <f t="shared" si="22"/>
        <v>0.69841379310344831</v>
      </c>
      <c r="AS79" s="1">
        <f t="shared" si="28"/>
        <v>0.29058620689655168</v>
      </c>
      <c r="AU79" s="3">
        <v>85.674675503841854</v>
      </c>
      <c r="AW79" s="1">
        <f t="shared" si="29"/>
        <v>1.1543667882998294</v>
      </c>
      <c r="AX79" s="1">
        <f t="shared" si="23"/>
        <v>1.1530920701063154</v>
      </c>
      <c r="AY79" s="1">
        <f t="shared" si="30"/>
        <v>0.81519280813865447</v>
      </c>
      <c r="AZ79" s="22">
        <f t="shared" si="24"/>
        <v>0.33917398016117495</v>
      </c>
      <c r="BA79" s="1">
        <f t="shared" si="31"/>
        <v>0.33789926196766096</v>
      </c>
      <c r="BB79" s="3">
        <f t="shared" si="32"/>
        <v>34.966038474994463</v>
      </c>
      <c r="BC79" s="24">
        <v>1</v>
      </c>
      <c r="BD79" s="24">
        <v>1</v>
      </c>
      <c r="BE79" s="3">
        <v>0</v>
      </c>
      <c r="BG79" s="1">
        <f t="shared" si="13"/>
        <v>1.2842734200025205</v>
      </c>
      <c r="BH79" s="1">
        <f t="shared" si="14"/>
        <v>1.2828552514355482</v>
      </c>
    </row>
    <row r="80" spans="1:60">
      <c r="A80">
        <v>2001</v>
      </c>
      <c r="B80" s="3">
        <f t="shared" si="0"/>
        <v>110.55762544607046</v>
      </c>
      <c r="C80" s="3">
        <f t="shared" si="1"/>
        <v>81.182199298191421</v>
      </c>
      <c r="D80" s="2">
        <f t="shared" ref="D80:D89" si="34">F80/E80*100</f>
        <v>77.252144635453021</v>
      </c>
      <c r="E80" s="2">
        <v>116.1820325539375</v>
      </c>
      <c r="F80" s="2">
        <f t="shared" ref="F80:F89" si="35">I80/G80*100</f>
        <v>89.753111828976913</v>
      </c>
      <c r="G80" s="2">
        <v>1.11751</v>
      </c>
      <c r="H80" s="32">
        <f t="shared" ref="H80:H89" si="36">(R80+Z80)+AA80*(R80+Z80)</f>
        <v>0.96845055098686961</v>
      </c>
      <c r="I80" s="32">
        <f t="shared" si="26"/>
        <v>1.0029999999999999</v>
      </c>
      <c r="J80" s="32">
        <f t="shared" si="3"/>
        <v>0.97321599223006006</v>
      </c>
      <c r="L80" s="2">
        <v>1.0029999999999999</v>
      </c>
      <c r="M80" s="2">
        <v>80.599999999999994</v>
      </c>
      <c r="N80" s="2">
        <f t="shared" si="27"/>
        <v>1.0839847</v>
      </c>
      <c r="O80" s="2">
        <f>(O79+O81)/2</f>
        <v>97</v>
      </c>
      <c r="Q80" s="32">
        <f t="shared" si="33"/>
        <v>0.271655172413793</v>
      </c>
      <c r="R80" s="32">
        <f t="shared" si="5"/>
        <v>0.24187116464385322</v>
      </c>
      <c r="T80" s="2">
        <f>USA!Z88*G80</f>
        <v>25.836831200000002</v>
      </c>
      <c r="U80" s="2">
        <v>0</v>
      </c>
      <c r="V80" s="2">
        <v>0</v>
      </c>
      <c r="W80" s="2">
        <v>0</v>
      </c>
      <c r="Z80" s="32">
        <v>0.59299999999999997</v>
      </c>
      <c r="AA80" s="2">
        <v>0.16</v>
      </c>
      <c r="AB80" s="2">
        <f t="shared" si="17"/>
        <v>0.13834482758620689</v>
      </c>
      <c r="AC80" s="2">
        <f t="shared" ref="AC80:AC96" si="37">Z80+AB80</f>
        <v>0.73134482758620689</v>
      </c>
      <c r="AD80" s="37"/>
      <c r="AN80" s="9">
        <v>2001</v>
      </c>
      <c r="AO80" s="1">
        <f t="shared" si="19"/>
        <v>1.0029999999999999</v>
      </c>
      <c r="AP80" s="1">
        <f t="shared" si="20"/>
        <v>0.59299999999999997</v>
      </c>
      <c r="AQ80" s="1">
        <f t="shared" si="21"/>
        <v>0.13834482758620689</v>
      </c>
      <c r="AR80" s="1">
        <f t="shared" si="22"/>
        <v>0.73134482758620689</v>
      </c>
      <c r="AS80" s="1">
        <f t="shared" si="28"/>
        <v>0.271655172413793</v>
      </c>
      <c r="AU80" s="3">
        <v>87.338261801944199</v>
      </c>
      <c r="AW80" s="1">
        <f t="shared" si="29"/>
        <v>1.1484084744833707</v>
      </c>
      <c r="AX80" s="1">
        <f t="shared" si="23"/>
        <v>1.1445562402072409</v>
      </c>
      <c r="AY80" s="1">
        <f t="shared" si="30"/>
        <v>0.83737048631064781</v>
      </c>
      <c r="AZ80" s="22">
        <f t="shared" si="24"/>
        <v>0.31103798817272288</v>
      </c>
      <c r="BA80" s="1">
        <f t="shared" si="31"/>
        <v>0.30718575389659308</v>
      </c>
      <c r="BB80" s="3">
        <f t="shared" si="32"/>
        <v>29.582488438560684</v>
      </c>
      <c r="BC80" s="24">
        <v>1</v>
      </c>
      <c r="BD80" s="24">
        <v>1</v>
      </c>
      <c r="BE80" s="3">
        <v>0</v>
      </c>
      <c r="BG80" s="1">
        <f t="shared" si="13"/>
        <v>1.2776445875204443</v>
      </c>
      <c r="BH80" s="1">
        <f t="shared" si="14"/>
        <v>1.2733588421762436</v>
      </c>
    </row>
    <row r="81" spans="1:64">
      <c r="A81">
        <v>2002</v>
      </c>
      <c r="B81" s="3">
        <f t="shared" si="0"/>
        <v>117.30262464603327</v>
      </c>
      <c r="C81" s="3">
        <f t="shared" si="1"/>
        <v>82.47759894808965</v>
      </c>
      <c r="D81" s="2">
        <f t="shared" si="34"/>
        <v>81.965213061617035</v>
      </c>
      <c r="E81" s="2">
        <v>118.03591389240708</v>
      </c>
      <c r="F81" s="2">
        <f t="shared" si="35"/>
        <v>96.748388311138285</v>
      </c>
      <c r="G81" s="2">
        <v>1.0625500000000001</v>
      </c>
      <c r="H81" s="32">
        <f t="shared" si="36"/>
        <v>1.0047881005461827</v>
      </c>
      <c r="I81" s="32">
        <f t="shared" si="26"/>
        <v>1.028</v>
      </c>
      <c r="J81" s="32">
        <f t="shared" si="3"/>
        <v>1.0079897418501576</v>
      </c>
      <c r="L81" s="2">
        <v>1.028</v>
      </c>
      <c r="M81" s="2">
        <v>81.599999999999994</v>
      </c>
      <c r="N81" s="2">
        <f t="shared" si="27"/>
        <v>1.0944265000000002</v>
      </c>
      <c r="O81" s="39">
        <v>103</v>
      </c>
      <c r="Q81" s="32">
        <f t="shared" si="33"/>
        <v>0.26220689655172413</v>
      </c>
      <c r="R81" s="32">
        <f t="shared" si="5"/>
        <v>0.24219663840188166</v>
      </c>
      <c r="T81" s="2">
        <f>USA!Z89*G81</f>
        <v>25.883718000000002</v>
      </c>
      <c r="U81" s="2">
        <v>0</v>
      </c>
      <c r="V81" s="2">
        <v>0</v>
      </c>
      <c r="W81" s="2">
        <v>0</v>
      </c>
      <c r="Z81" s="32">
        <v>0.624</v>
      </c>
      <c r="AA81" s="2">
        <v>0.16</v>
      </c>
      <c r="AB81" s="2">
        <f t="shared" si="17"/>
        <v>0.14179310344827589</v>
      </c>
      <c r="AC81" s="2">
        <f t="shared" si="37"/>
        <v>0.76579310344827589</v>
      </c>
      <c r="AD81" s="37"/>
      <c r="AN81" s="9">
        <v>2002</v>
      </c>
      <c r="AO81" s="1">
        <f t="shared" si="19"/>
        <v>1.028</v>
      </c>
      <c r="AP81" s="1">
        <f t="shared" si="20"/>
        <v>0.624</v>
      </c>
      <c r="AQ81" s="1">
        <f t="shared" si="21"/>
        <v>0.14179310344827589</v>
      </c>
      <c r="AR81" s="1">
        <f t="shared" si="22"/>
        <v>0.76579310344827589</v>
      </c>
      <c r="AS81" s="1">
        <f t="shared" si="28"/>
        <v>0.26220689655172413</v>
      </c>
      <c r="AU81" s="3">
        <v>88.632161556270262</v>
      </c>
      <c r="AW81" s="1">
        <f t="shared" si="29"/>
        <v>1.1598498580533314</v>
      </c>
      <c r="AX81" s="1">
        <f t="shared" si="23"/>
        <v>1.1690364264824988</v>
      </c>
      <c r="AY81" s="1">
        <f t="shared" si="30"/>
        <v>0.86401266763881601</v>
      </c>
      <c r="AZ81" s="22">
        <f t="shared" si="24"/>
        <v>0.29583719041451539</v>
      </c>
      <c r="BA81" s="1">
        <f t="shared" si="31"/>
        <v>0.30502375884368288</v>
      </c>
      <c r="BB81" s="3">
        <f t="shared" si="32"/>
        <v>29.203527867891498</v>
      </c>
      <c r="BC81" s="24">
        <v>1</v>
      </c>
      <c r="BD81" s="24">
        <v>1</v>
      </c>
      <c r="BE81" s="3">
        <v>0</v>
      </c>
      <c r="BG81" s="1">
        <f t="shared" si="13"/>
        <v>1.2903735268453493</v>
      </c>
      <c r="BH81" s="1">
        <f t="shared" si="14"/>
        <v>1.3005939054756031</v>
      </c>
    </row>
    <row r="82" spans="1:64">
      <c r="A82">
        <v>2003</v>
      </c>
      <c r="B82" s="3">
        <f t="shared" si="0"/>
        <v>143.39739162690552</v>
      </c>
      <c r="C82" s="3">
        <f t="shared" si="1"/>
        <v>84.37293294912061</v>
      </c>
      <c r="D82" s="2">
        <f t="shared" si="34"/>
        <v>100.19893239939464</v>
      </c>
      <c r="E82" s="2">
        <v>120.74837744367809</v>
      </c>
      <c r="F82" s="2">
        <f t="shared" si="35"/>
        <v>120.98858508815688</v>
      </c>
      <c r="G82" s="2">
        <v>0.88603399999999999</v>
      </c>
      <c r="H82" s="32">
        <f t="shared" si="36"/>
        <v>1.0322271607712143</v>
      </c>
      <c r="I82" s="32">
        <f t="shared" si="26"/>
        <v>1.0720000000000001</v>
      </c>
      <c r="J82" s="32">
        <f t="shared" si="3"/>
        <v>1.0377130696303571</v>
      </c>
      <c r="L82" s="2">
        <v>1.0720000000000001</v>
      </c>
      <c r="M82" s="2">
        <v>85.2</v>
      </c>
      <c r="N82" s="2">
        <f t="shared" si="27"/>
        <v>1.1031123300000001</v>
      </c>
      <c r="O82" s="2">
        <f>(O81+O83)/2</f>
        <v>124.5</v>
      </c>
      <c r="Q82" s="32">
        <f t="shared" si="33"/>
        <v>0.26963793103448286</v>
      </c>
      <c r="R82" s="32">
        <f t="shared" si="5"/>
        <v>0.23535100066483999</v>
      </c>
      <c r="T82" s="2">
        <f>USA!Z90*G82</f>
        <v>24.897555400000002</v>
      </c>
      <c r="U82" s="2">
        <v>0</v>
      </c>
      <c r="V82" s="2">
        <v>0</v>
      </c>
      <c r="W82" s="2">
        <v>0</v>
      </c>
      <c r="Z82" s="32">
        <v>0.65449999999999997</v>
      </c>
      <c r="AA82" s="2">
        <v>0.16</v>
      </c>
      <c r="AB82" s="2">
        <f t="shared" si="17"/>
        <v>0.14786206896551726</v>
      </c>
      <c r="AC82" s="2">
        <f t="shared" si="37"/>
        <v>0.80236206896551721</v>
      </c>
      <c r="AD82" s="37"/>
      <c r="AN82" s="9">
        <v>2003</v>
      </c>
      <c r="AO82" s="1">
        <f t="shared" si="19"/>
        <v>1.0720000000000001</v>
      </c>
      <c r="AP82" s="1">
        <f t="shared" si="20"/>
        <v>0.65449999999999997</v>
      </c>
      <c r="AQ82" s="1">
        <f t="shared" si="21"/>
        <v>0.14786206896551726</v>
      </c>
      <c r="AR82" s="1">
        <f t="shared" si="22"/>
        <v>0.80236206896551721</v>
      </c>
      <c r="AS82" s="1">
        <f t="shared" si="28"/>
        <v>0.26963793103448286</v>
      </c>
      <c r="AU82" s="3">
        <v>89.556376079863128</v>
      </c>
      <c r="AW82" s="1">
        <f t="shared" si="29"/>
        <v>1.1970113652701058</v>
      </c>
      <c r="AX82" s="1">
        <f t="shared" si="23"/>
        <v>1.192951749310581</v>
      </c>
      <c r="AY82" s="1">
        <f t="shared" si="30"/>
        <v>0.89592958546022439</v>
      </c>
      <c r="AZ82" s="22">
        <f t="shared" si="24"/>
        <v>0.30108177980988138</v>
      </c>
      <c r="BA82" s="1">
        <f t="shared" si="31"/>
        <v>0.29702216385035674</v>
      </c>
      <c r="BB82" s="3">
        <f t="shared" si="32"/>
        <v>27.800985803397477</v>
      </c>
      <c r="BC82" s="24">
        <v>1</v>
      </c>
      <c r="BD82" s="24">
        <v>1</v>
      </c>
      <c r="BE82" s="3">
        <v>0</v>
      </c>
      <c r="BG82" s="1">
        <f t="shared" si="13"/>
        <v>1.3317170031558783</v>
      </c>
      <c r="BH82" s="1">
        <f t="shared" si="14"/>
        <v>1.3272005384367966</v>
      </c>
    </row>
    <row r="83" spans="1:64">
      <c r="A83">
        <v>2004</v>
      </c>
      <c r="B83" s="3">
        <f t="shared" si="0"/>
        <v>159.82535432006577</v>
      </c>
      <c r="C83" s="3">
        <f t="shared" si="1"/>
        <v>86.62364207534489</v>
      </c>
      <c r="D83" s="2">
        <f t="shared" si="34"/>
        <v>111.67797190406364</v>
      </c>
      <c r="E83" s="2">
        <v>123.96942791081244</v>
      </c>
      <c r="F83" s="2">
        <f t="shared" si="35"/>
        <v>138.44654287186555</v>
      </c>
      <c r="G83" s="2">
        <v>0.805365</v>
      </c>
      <c r="H83" s="32">
        <f t="shared" si="36"/>
        <v>1.0655305515102071</v>
      </c>
      <c r="I83" s="32">
        <f t="shared" si="26"/>
        <v>1.115</v>
      </c>
      <c r="J83" s="32">
        <f t="shared" si="3"/>
        <v>1.072353923715696</v>
      </c>
      <c r="L83" s="2">
        <v>1.115</v>
      </c>
      <c r="M83" s="2">
        <v>89.8</v>
      </c>
      <c r="N83" s="2">
        <f t="shared" si="27"/>
        <v>1.1758329000000001</v>
      </c>
      <c r="O83" s="39">
        <v>146</v>
      </c>
      <c r="Q83" s="32">
        <f t="shared" si="33"/>
        <v>0.30670689655172412</v>
      </c>
      <c r="R83" s="32">
        <f t="shared" si="5"/>
        <v>0.26406082026742012</v>
      </c>
      <c r="T83" s="2">
        <f>USA!Z91*G83</f>
        <v>29.033408249999997</v>
      </c>
      <c r="U83" s="2">
        <v>0</v>
      </c>
      <c r="V83" s="2">
        <v>0</v>
      </c>
      <c r="W83" s="2">
        <v>0</v>
      </c>
      <c r="Z83" s="32">
        <v>0.65449999999999997</v>
      </c>
      <c r="AA83" s="2">
        <v>0.16</v>
      </c>
      <c r="AB83" s="2">
        <f t="shared" si="17"/>
        <v>0.15379310344827588</v>
      </c>
      <c r="AC83" s="2">
        <f t="shared" si="37"/>
        <v>0.80829310344827587</v>
      </c>
      <c r="AD83" s="37"/>
      <c r="AN83" s="9">
        <v>2004</v>
      </c>
      <c r="AO83" s="1">
        <f t="shared" si="19"/>
        <v>1.115</v>
      </c>
      <c r="AP83" s="1">
        <f t="shared" si="20"/>
        <v>0.65449999999999997</v>
      </c>
      <c r="AQ83" s="1">
        <f t="shared" si="21"/>
        <v>0.15379310344827588</v>
      </c>
      <c r="AR83" s="1">
        <f t="shared" si="22"/>
        <v>0.80829310344827587</v>
      </c>
      <c r="AS83" s="1">
        <f t="shared" si="28"/>
        <v>0.30670689655172412</v>
      </c>
      <c r="AU83" s="3">
        <v>91.035119319364938</v>
      </c>
      <c r="AW83" s="1">
        <f t="shared" si="29"/>
        <v>1.2248020416037591</v>
      </c>
      <c r="AX83" s="1">
        <f t="shared" si="23"/>
        <v>1.2457480146582571</v>
      </c>
      <c r="AY83" s="1">
        <f t="shared" si="30"/>
        <v>0.88789151867057114</v>
      </c>
      <c r="AZ83" s="22">
        <f t="shared" si="24"/>
        <v>0.33691052293318791</v>
      </c>
      <c r="BA83" s="1">
        <f t="shared" si="31"/>
        <v>0.35785649598768599</v>
      </c>
      <c r="BB83" s="3">
        <f t="shared" si="32"/>
        <v>31.892536053197691</v>
      </c>
      <c r="BC83" s="24">
        <v>1</v>
      </c>
      <c r="BD83" s="3">
        <v>0</v>
      </c>
      <c r="BE83" s="3">
        <v>0</v>
      </c>
      <c r="BG83" s="1">
        <f t="shared" si="13"/>
        <v>1.3626351024125021</v>
      </c>
      <c r="BH83" s="1">
        <f t="shared" si="14"/>
        <v>1.3859382299129044</v>
      </c>
    </row>
    <row r="84" spans="1:64">
      <c r="A84">
        <v>2005</v>
      </c>
      <c r="B84" s="3">
        <f t="shared" si="0"/>
        <v>169.67744168788258</v>
      </c>
      <c r="C84" s="3">
        <f t="shared" si="1"/>
        <v>89.539246597092159</v>
      </c>
      <c r="D84" s="2">
        <f t="shared" si="34"/>
        <v>118.56211829585605</v>
      </c>
      <c r="E84" s="2">
        <v>128.14202809149756</v>
      </c>
      <c r="F84" s="2">
        <f t="shared" si="35"/>
        <v>151.92790293255044</v>
      </c>
      <c r="G84" s="2">
        <v>0.80411999999999995</v>
      </c>
      <c r="H84" s="32">
        <f t="shared" si="36"/>
        <v>1.1596403646909554</v>
      </c>
      <c r="I84" s="32">
        <f>K84</f>
        <v>1.2216826530612246</v>
      </c>
      <c r="J84" s="32">
        <f t="shared" si="3"/>
        <v>1.1681979217075442</v>
      </c>
      <c r="K84" s="2">
        <f>'EU petrol prices nominal'!AA3</f>
        <v>1.2216826530612246</v>
      </c>
      <c r="L84" s="2">
        <v>1.2030000000000001</v>
      </c>
      <c r="M84" s="2">
        <v>100</v>
      </c>
      <c r="N84" s="2">
        <f t="shared" si="27"/>
        <v>1.2102005999999998</v>
      </c>
      <c r="O84" s="2">
        <f>(O83+O85)/2</f>
        <v>150.5</v>
      </c>
      <c r="Q84" s="32">
        <f t="shared" si="33"/>
        <v>0.37999204785362428</v>
      </c>
      <c r="R84" s="32">
        <f t="shared" si="5"/>
        <v>0.34518996956116854</v>
      </c>
      <c r="T84" s="2">
        <f>USA!Z92*G84</f>
        <v>40.720636800000001</v>
      </c>
      <c r="U84" s="2">
        <v>0</v>
      </c>
      <c r="V84" s="2">
        <v>0</v>
      </c>
      <c r="W84" s="2">
        <v>0</v>
      </c>
      <c r="Z84" s="32">
        <v>0.65449999999999997</v>
      </c>
      <c r="AA84" s="2">
        <v>0.16</v>
      </c>
      <c r="AB84" s="2">
        <f t="shared" si="17"/>
        <v>0.16850795214637582</v>
      </c>
      <c r="AC84" s="2">
        <f t="shared" si="37"/>
        <v>0.82300795214637579</v>
      </c>
      <c r="AD84" s="37"/>
      <c r="AN84" s="9">
        <v>2005</v>
      </c>
      <c r="AO84" s="1">
        <f t="shared" si="19"/>
        <v>1.2216826530612246</v>
      </c>
      <c r="AP84" s="1">
        <f t="shared" si="20"/>
        <v>0.65449999999999997</v>
      </c>
      <c r="AQ84" s="1">
        <f t="shared" si="21"/>
        <v>0.16850795214637582</v>
      </c>
      <c r="AR84" s="1">
        <f t="shared" si="22"/>
        <v>0.82300795214637579</v>
      </c>
      <c r="AS84" s="1">
        <f t="shared" si="28"/>
        <v>0.3986747009148488</v>
      </c>
      <c r="AU84" s="3">
        <v>92.421441261461538</v>
      </c>
      <c r="AW84" s="1">
        <f t="shared" si="29"/>
        <v>1.3218606379498752</v>
      </c>
      <c r="AX84" s="1">
        <f t="shared" si="23"/>
        <v>1.3177657449906794</v>
      </c>
      <c r="AY84" s="1">
        <f t="shared" si="30"/>
        <v>0.89049460916550194</v>
      </c>
      <c r="AZ84" s="22">
        <f t="shared" si="24"/>
        <v>0.43136602878437325</v>
      </c>
      <c r="BA84" s="1">
        <f t="shared" si="31"/>
        <v>0.42727113582517751</v>
      </c>
      <c r="BB84" s="3">
        <f t="shared" si="32"/>
        <v>44.059729262174947</v>
      </c>
      <c r="BC84" s="24">
        <v>1</v>
      </c>
      <c r="BD84" s="3">
        <v>0</v>
      </c>
      <c r="BE84" s="3">
        <v>0</v>
      </c>
      <c r="BG84" s="1">
        <f t="shared" si="13"/>
        <v>1.4706161849708947</v>
      </c>
      <c r="BH84" s="1">
        <f t="shared" si="14"/>
        <v>1.4660604733560485</v>
      </c>
    </row>
    <row r="85" spans="1:64">
      <c r="A85">
        <v>2006</v>
      </c>
      <c r="B85" s="3">
        <f t="shared" si="0"/>
        <v>174.18940878343759</v>
      </c>
      <c r="C85" s="3">
        <f t="shared" si="1"/>
        <v>92.424281215596963</v>
      </c>
      <c r="D85" s="2">
        <f t="shared" si="34"/>
        <v>121.71485546120198</v>
      </c>
      <c r="E85" s="2">
        <v>132.27087886006535</v>
      </c>
      <c r="F85" s="2">
        <f t="shared" si="35"/>
        <v>160.99330902179011</v>
      </c>
      <c r="G85" s="2">
        <v>0.79714099999999999</v>
      </c>
      <c r="H85" s="32">
        <f t="shared" si="36"/>
        <v>1.2238075198125686</v>
      </c>
      <c r="I85" s="32">
        <f t="shared" ref="I85:I96" si="38">K85</f>
        <v>1.2833436734693877</v>
      </c>
      <c r="J85" s="32">
        <f t="shared" si="3"/>
        <v>1.2320194030755784</v>
      </c>
      <c r="K85" s="2">
        <f>'EU petrol prices nominal'!AA4</f>
        <v>1.2833436734693877</v>
      </c>
      <c r="L85" s="2">
        <v>1.2689999999999999</v>
      </c>
      <c r="M85" s="2">
        <v>106.6</v>
      </c>
      <c r="N85" s="2">
        <f t="shared" si="27"/>
        <v>1.23556855</v>
      </c>
      <c r="O85" s="39">
        <v>155</v>
      </c>
      <c r="Q85" s="32">
        <f t="shared" si="33"/>
        <v>0.43748707952146371</v>
      </c>
      <c r="R85" s="32">
        <f t="shared" si="5"/>
        <v>0.40050648259704213</v>
      </c>
      <c r="T85" s="2">
        <f>USA!Z93*G85</f>
        <v>48.689372280000001</v>
      </c>
      <c r="U85" s="2">
        <v>0</v>
      </c>
      <c r="V85" s="2">
        <v>0</v>
      </c>
      <c r="W85" s="2">
        <v>0</v>
      </c>
      <c r="Z85" s="32">
        <v>0.65449999999999997</v>
      </c>
      <c r="AA85" s="2">
        <v>0.16</v>
      </c>
      <c r="AB85" s="2">
        <f t="shared" si="17"/>
        <v>0.17701292047853623</v>
      </c>
      <c r="AC85" s="2">
        <f t="shared" si="37"/>
        <v>0.8315129204785362</v>
      </c>
      <c r="AD85" s="37"/>
      <c r="AN85" s="9">
        <v>2006</v>
      </c>
      <c r="AO85" s="1">
        <f t="shared" si="19"/>
        <v>1.2833436734693877</v>
      </c>
      <c r="AP85" s="1">
        <f t="shared" si="20"/>
        <v>0.65449999999999997</v>
      </c>
      <c r="AQ85" s="1">
        <f t="shared" si="21"/>
        <v>0.17701292047853623</v>
      </c>
      <c r="AR85" s="1">
        <f t="shared" si="22"/>
        <v>0.8315129204785362</v>
      </c>
      <c r="AS85" s="1">
        <f t="shared" si="28"/>
        <v>0.45183075299085151</v>
      </c>
      <c r="AU85" s="3">
        <v>93.900184321644929</v>
      </c>
      <c r="AW85" s="1">
        <f t="shared" si="29"/>
        <v>1.3667104944900137</v>
      </c>
      <c r="AX85" s="1">
        <f t="shared" si="23"/>
        <v>1.357256593932282</v>
      </c>
      <c r="AY85" s="1">
        <f t="shared" si="30"/>
        <v>0.8855285284960448</v>
      </c>
      <c r="AZ85" s="22">
        <f t="shared" si="24"/>
        <v>0.4811819659939689</v>
      </c>
      <c r="BA85" s="1">
        <f t="shared" si="31"/>
        <v>0.47172806543623724</v>
      </c>
      <c r="BB85" s="3">
        <f t="shared" si="32"/>
        <v>51.852264861610728</v>
      </c>
      <c r="BC85" s="24">
        <v>1</v>
      </c>
      <c r="BD85" s="3">
        <v>0</v>
      </c>
      <c r="BE85" s="3">
        <v>0</v>
      </c>
      <c r="BG85" s="1">
        <f t="shared" si="13"/>
        <v>1.5205132187639925</v>
      </c>
      <c r="BH85" s="1">
        <f t="shared" si="14"/>
        <v>1.50999542379215</v>
      </c>
    </row>
    <row r="86" spans="1:64">
      <c r="A86">
        <v>2007</v>
      </c>
      <c r="B86" s="3">
        <f t="shared" si="0"/>
        <v>192.24833917525953</v>
      </c>
      <c r="C86" s="3">
        <f t="shared" si="1"/>
        <v>95.074004003893037</v>
      </c>
      <c r="D86" s="2">
        <f t="shared" si="34"/>
        <v>134.33353370218072</v>
      </c>
      <c r="E86" s="2">
        <v>136.06296852886032</v>
      </c>
      <c r="F86" s="2">
        <f t="shared" si="35"/>
        <v>182.77819368490412</v>
      </c>
      <c r="G86" s="2">
        <v>0.73063800000000001</v>
      </c>
      <c r="H86" s="32">
        <f t="shared" si="36"/>
        <v>1.2701872219836419</v>
      </c>
      <c r="I86" s="32">
        <f t="shared" si="38"/>
        <v>1.3354469387755099</v>
      </c>
      <c r="J86" s="32">
        <f t="shared" si="3"/>
        <v>1.2806068406310831</v>
      </c>
      <c r="K86" s="2">
        <f>'EU petrol prices nominal'!AA5</f>
        <v>1.3354469387755099</v>
      </c>
      <c r="L86" s="2">
        <v>1.327</v>
      </c>
      <c r="M86" s="2">
        <v>109.8</v>
      </c>
      <c r="N86" s="2">
        <f t="shared" si="27"/>
        <v>1.29688245</v>
      </c>
      <c r="O86" s="2">
        <f>(O85+O87)/2</f>
        <v>177.5</v>
      </c>
      <c r="Q86" s="32">
        <f t="shared" si="33"/>
        <v>0.45927737952323788</v>
      </c>
      <c r="R86" s="32">
        <f>R$92+R$93*T86+R$94*U86+R$95*V86+R$96*W86</f>
        <v>0.41288422015432097</v>
      </c>
      <c r="T86" s="2">
        <f>USA!Z94*G86</f>
        <v>50.472473039999997</v>
      </c>
      <c r="U86" s="2">
        <v>0</v>
      </c>
      <c r="V86" s="2">
        <v>0</v>
      </c>
      <c r="W86" s="2">
        <v>0</v>
      </c>
      <c r="Z86" s="32">
        <v>0.65449999999999997</v>
      </c>
      <c r="AA86" s="2">
        <v>0.19</v>
      </c>
      <c r="AB86" s="2">
        <f t="shared" si="17"/>
        <v>0.2132226204767621</v>
      </c>
      <c r="AC86" s="2">
        <f t="shared" si="37"/>
        <v>0.86772262047676207</v>
      </c>
      <c r="AD86" s="37"/>
      <c r="AN86" s="9">
        <v>2007</v>
      </c>
      <c r="AO86" s="1">
        <f t="shared" si="19"/>
        <v>1.3354469387755099</v>
      </c>
      <c r="AP86" s="1">
        <f t="shared" si="20"/>
        <v>0.65449999999999997</v>
      </c>
      <c r="AQ86" s="1">
        <f t="shared" si="21"/>
        <v>0.2132226204767621</v>
      </c>
      <c r="AR86" s="1">
        <f t="shared" si="22"/>
        <v>0.86772262047676207</v>
      </c>
      <c r="AS86" s="1">
        <f t="shared" si="28"/>
        <v>0.46772431829874783</v>
      </c>
      <c r="AU86" s="3">
        <v>96.025877914281466</v>
      </c>
      <c r="AW86" s="1">
        <f t="shared" si="29"/>
        <v>1.3907156776713991</v>
      </c>
      <c r="AX86" s="1">
        <f t="shared" si="23"/>
        <v>1.3794074405237224</v>
      </c>
      <c r="AY86" s="1">
        <f t="shared" si="30"/>
        <v>0.90363414459104874</v>
      </c>
      <c r="AZ86" s="22">
        <f t="shared" si="24"/>
        <v>0.4870815330803504</v>
      </c>
      <c r="BA86" s="1">
        <f t="shared" si="31"/>
        <v>0.47577329593267381</v>
      </c>
      <c r="BB86" s="3">
        <f t="shared" si="32"/>
        <v>52.561324234967991</v>
      </c>
      <c r="BC86" s="24">
        <v>1</v>
      </c>
      <c r="BD86" s="3">
        <v>0</v>
      </c>
      <c r="BE86" s="3">
        <v>0</v>
      </c>
      <c r="BG86" s="1">
        <f t="shared" si="13"/>
        <v>1.5472198245106379</v>
      </c>
      <c r="BH86" s="1">
        <f t="shared" si="14"/>
        <v>1.5346390152366325</v>
      </c>
    </row>
    <row r="87" spans="1:64">
      <c r="A87">
        <v>2008</v>
      </c>
      <c r="B87" s="3">
        <f t="shared" si="0"/>
        <v>206.78396691140355</v>
      </c>
      <c r="C87" s="3">
        <f t="shared" si="1"/>
        <v>98.70291900542351</v>
      </c>
      <c r="D87" s="2">
        <f t="shared" si="34"/>
        <v>144.4903040896512</v>
      </c>
      <c r="E87" s="2">
        <v>141.25640655453694</v>
      </c>
      <c r="F87" s="2">
        <f t="shared" si="35"/>
        <v>204.1018113767644</v>
      </c>
      <c r="G87" s="2">
        <v>0.68267500000000003</v>
      </c>
      <c r="H87" s="32">
        <f t="shared" si="36"/>
        <v>1.385886879090938</v>
      </c>
      <c r="I87" s="32">
        <f t="shared" si="38"/>
        <v>1.3933520408163265</v>
      </c>
      <c r="J87" s="32">
        <f t="shared" si="3"/>
        <v>1.3870787956689412</v>
      </c>
      <c r="K87" s="2">
        <f>'EU petrol prices nominal'!AA6</f>
        <v>1.3933520408163265</v>
      </c>
      <c r="L87" s="2">
        <v>1.4</v>
      </c>
      <c r="M87" s="2">
        <v>122.7</v>
      </c>
      <c r="N87" s="2">
        <f t="shared" si="27"/>
        <v>1.3653500000000001</v>
      </c>
      <c r="O87" s="39">
        <v>200</v>
      </c>
      <c r="Q87" s="32">
        <f t="shared" si="33"/>
        <v>0.52303202709655283</v>
      </c>
      <c r="R87" s="32">
        <f t="shared" si="5"/>
        <v>0.51011082276549424</v>
      </c>
      <c r="T87" s="2">
        <f>USA!Z95*G87</f>
        <v>64.478653750000007</v>
      </c>
      <c r="U87" s="2">
        <v>0</v>
      </c>
      <c r="V87" s="2">
        <v>0</v>
      </c>
      <c r="W87" s="2">
        <v>0</v>
      </c>
      <c r="Z87" s="32">
        <v>0.65449999999999997</v>
      </c>
      <c r="AA87" s="2">
        <v>0.19</v>
      </c>
      <c r="AB87" s="2">
        <f t="shared" si="17"/>
        <v>0.22246797290344708</v>
      </c>
      <c r="AC87" s="2">
        <f t="shared" si="37"/>
        <v>0.87696797290344708</v>
      </c>
      <c r="AD87" s="37"/>
      <c r="AN87" s="9">
        <v>2008</v>
      </c>
      <c r="AO87" s="1">
        <f t="shared" si="19"/>
        <v>1.3933520408163265</v>
      </c>
      <c r="AP87" s="1">
        <f t="shared" si="20"/>
        <v>0.65449999999999997</v>
      </c>
      <c r="AQ87" s="1">
        <f t="shared" si="21"/>
        <v>0.22246797290344708</v>
      </c>
      <c r="AR87" s="1">
        <f t="shared" si="22"/>
        <v>0.87696797290344708</v>
      </c>
      <c r="AS87" s="1">
        <f t="shared" si="28"/>
        <v>0.51638406791287939</v>
      </c>
      <c r="AU87" s="3">
        <v>98.521257271477268</v>
      </c>
      <c r="AW87" s="1">
        <f t="shared" si="29"/>
        <v>1.4142653873944355</v>
      </c>
      <c r="AX87" s="1">
        <f t="shared" si="23"/>
        <v>1.4394144371587703</v>
      </c>
      <c r="AY87" s="1">
        <f t="shared" si="30"/>
        <v>0.89013071614275541</v>
      </c>
      <c r="AZ87" s="22">
        <f t="shared" si="24"/>
        <v>0.52413467125168012</v>
      </c>
      <c r="BA87" s="1">
        <f t="shared" si="31"/>
        <v>0.54928372101601486</v>
      </c>
      <c r="BB87" s="3">
        <f t="shared" si="32"/>
        <v>65.446438195898978</v>
      </c>
      <c r="BC87" s="24">
        <v>1</v>
      </c>
      <c r="BD87" s="3">
        <v>0</v>
      </c>
      <c r="BE87" s="3">
        <v>0</v>
      </c>
      <c r="BG87" s="1">
        <f t="shared" si="13"/>
        <v>1.5734197001070371</v>
      </c>
      <c r="BH87" s="1">
        <f t="shared" si="14"/>
        <v>1.601398897428042</v>
      </c>
    </row>
    <row r="88" spans="1:64">
      <c r="A88">
        <v>2009</v>
      </c>
      <c r="B88" s="3">
        <f t="shared" si="0"/>
        <v>178.20434612698085</v>
      </c>
      <c r="C88" s="3">
        <f>E88/E$89*100</f>
        <v>98.380597588111073</v>
      </c>
      <c r="D88" s="2">
        <f t="shared" si="34"/>
        <v>124.52029306999887</v>
      </c>
      <c r="E88" s="2">
        <v>140.7951236905254</v>
      </c>
      <c r="F88" s="2">
        <f t="shared" si="35"/>
        <v>175.31850064770964</v>
      </c>
      <c r="G88" s="2">
        <f>'Exchange Rates'!L48</f>
        <v>0.71984416666666673</v>
      </c>
      <c r="H88" s="32">
        <f t="shared" si="36"/>
        <v>1.2861203754215453</v>
      </c>
      <c r="I88" s="32">
        <f t="shared" si="38"/>
        <v>1.2620200000000001</v>
      </c>
      <c r="J88" s="32">
        <f t="shared" si="3"/>
        <v>1.2822724163206265</v>
      </c>
      <c r="K88" s="2">
        <f>'EU petrol prices nominal'!AA7</f>
        <v>1.2620200000000001</v>
      </c>
      <c r="L88" s="2">
        <v>1.2949999999999999</v>
      </c>
      <c r="M88" s="2">
        <v>103.1</v>
      </c>
      <c r="Q88" s="32">
        <f t="shared" si="33"/>
        <v>0.43900100840336131</v>
      </c>
      <c r="R88" s="32">
        <f t="shared" si="5"/>
        <v>0.42627342472398788</v>
      </c>
      <c r="T88" s="2">
        <f>USA!Z96*G88</f>
        <v>43.953684816666673</v>
      </c>
      <c r="U88" s="2">
        <v>0</v>
      </c>
      <c r="V88" s="2">
        <v>1</v>
      </c>
      <c r="W88" s="2">
        <v>0</v>
      </c>
      <c r="Z88" s="32">
        <v>0.65449999999999997</v>
      </c>
      <c r="AA88" s="2">
        <v>0.19</v>
      </c>
      <c r="AB88" s="2">
        <f t="shared" si="17"/>
        <v>0.20149899159663867</v>
      </c>
      <c r="AC88" s="2">
        <f t="shared" si="37"/>
        <v>0.85599899159663861</v>
      </c>
      <c r="AD88" s="37"/>
      <c r="AN88" s="9">
        <v>2009</v>
      </c>
      <c r="AO88" s="1">
        <f t="shared" si="19"/>
        <v>1.2620200000000001</v>
      </c>
      <c r="AP88" s="1">
        <f t="shared" si="20"/>
        <v>0.65449999999999997</v>
      </c>
      <c r="AQ88" s="1">
        <f t="shared" si="21"/>
        <v>0.20149899159663867</v>
      </c>
      <c r="AR88" s="1">
        <f t="shared" si="22"/>
        <v>0.85599899159663861</v>
      </c>
      <c r="AS88" s="1">
        <f t="shared" si="28"/>
        <v>0.40602100840336153</v>
      </c>
      <c r="AU88" s="3">
        <v>98.890943018593617</v>
      </c>
      <c r="AW88" s="1">
        <f t="shared" si="29"/>
        <v>1.2761734911990004</v>
      </c>
      <c r="AX88" s="1">
        <f t="shared" si="23"/>
        <v>1.2950773687153816</v>
      </c>
      <c r="AY88" s="1">
        <f t="shared" si="30"/>
        <v>0.86559897748744541</v>
      </c>
      <c r="AZ88" s="22">
        <f t="shared" si="24"/>
        <v>0.41057451371155496</v>
      </c>
      <c r="BA88" s="1">
        <f t="shared" si="31"/>
        <v>0.42947839122793618</v>
      </c>
      <c r="BB88" s="3">
        <f t="shared" si="32"/>
        <v>44.446623194201351</v>
      </c>
      <c r="BC88" s="24">
        <v>1</v>
      </c>
      <c r="BD88" s="3">
        <v>0</v>
      </c>
      <c r="BE88" s="3">
        <v>0</v>
      </c>
      <c r="BG88" s="1">
        <f t="shared" si="13"/>
        <v>1.4197876365384505</v>
      </c>
      <c r="BH88" s="1">
        <f t="shared" si="14"/>
        <v>1.4408188613409487</v>
      </c>
    </row>
    <row r="89" spans="1:64">
      <c r="A89">
        <v>2010</v>
      </c>
      <c r="B89" s="3">
        <f>I89/G89*100/C89*100</f>
        <v>183.35358867152422</v>
      </c>
      <c r="C89" s="3">
        <f>CPIs!AB49</f>
        <v>99.999998509883881</v>
      </c>
      <c r="D89" s="2">
        <f t="shared" si="34"/>
        <v>128.11832456843459</v>
      </c>
      <c r="E89" s="2">
        <v>143.11269411067286</v>
      </c>
      <c r="F89" s="2">
        <f t="shared" si="35"/>
        <v>183.35358593934285</v>
      </c>
      <c r="G89" s="2">
        <f>'Exchange Rates'!L49</f>
        <v>0.75867129256384003</v>
      </c>
      <c r="H89" s="32">
        <f t="shared" si="36"/>
        <v>1.4084221309595142</v>
      </c>
      <c r="I89" s="32">
        <f t="shared" si="38"/>
        <v>1.3910510204081636</v>
      </c>
      <c r="J89" s="32">
        <f t="shared" si="3"/>
        <v>1.4056485923000548</v>
      </c>
      <c r="K89" s="2">
        <f>'EU petrol prices nominal'!AA8</f>
        <v>1.3910510204081636</v>
      </c>
      <c r="L89" s="2">
        <v>1.4159999999999999</v>
      </c>
      <c r="M89" s="2">
        <v>116.8</v>
      </c>
      <c r="Q89" s="32">
        <f t="shared" si="33"/>
        <v>0.5393994169096209</v>
      </c>
      <c r="R89" s="32">
        <f>R$92+R$93*T89+R$94*U89+R$95*V89+R$96*W89</f>
        <v>0.52904800920967576</v>
      </c>
      <c r="T89" s="2">
        <f>USA!Z97*G89</f>
        <v>58.759091609069415</v>
      </c>
      <c r="U89" s="2">
        <v>0</v>
      </c>
      <c r="V89" s="2">
        <v>1</v>
      </c>
      <c r="W89" s="2">
        <v>0</v>
      </c>
      <c r="Z89" s="32">
        <v>0.65449999999999997</v>
      </c>
      <c r="AA89" s="2">
        <v>0.19</v>
      </c>
      <c r="AB89" s="2">
        <f t="shared" si="17"/>
        <v>0.22210058309037908</v>
      </c>
      <c r="AC89" s="2">
        <f t="shared" si="37"/>
        <v>0.87660058309037903</v>
      </c>
      <c r="AD89" s="37"/>
      <c r="AN89" s="9">
        <v>2010</v>
      </c>
      <c r="AO89" s="1">
        <f t="shared" si="19"/>
        <v>1.3910510204081636</v>
      </c>
      <c r="AP89" s="1">
        <f t="shared" si="20"/>
        <v>0.65449999999999997</v>
      </c>
      <c r="AQ89" s="1">
        <f t="shared" si="21"/>
        <v>0.22210058309037908</v>
      </c>
      <c r="AR89" s="1">
        <f t="shared" si="22"/>
        <v>0.87660058309037903</v>
      </c>
      <c r="AS89" s="1">
        <f t="shared" si="28"/>
        <v>0.51445043731778461</v>
      </c>
      <c r="AU89" s="3">
        <v>100</v>
      </c>
      <c r="AW89" s="1">
        <f t="shared" si="29"/>
        <v>1.3910510204081636</v>
      </c>
      <c r="AX89" s="1">
        <f t="shared" si="23"/>
        <v>1.3877325507134457</v>
      </c>
      <c r="AY89" s="1">
        <f t="shared" si="30"/>
        <v>0.87660058309037903</v>
      </c>
      <c r="AZ89" s="22">
        <f t="shared" si="24"/>
        <v>0.51445043731778461</v>
      </c>
      <c r="BA89" s="1">
        <f t="shared" si="31"/>
        <v>0.51113196762306679</v>
      </c>
      <c r="BB89" s="3">
        <f t="shared" si="32"/>
        <v>58.759091609069415</v>
      </c>
      <c r="BC89" s="24">
        <v>1</v>
      </c>
      <c r="BD89" s="3">
        <v>0</v>
      </c>
      <c r="BE89" s="3">
        <v>0</v>
      </c>
      <c r="BG89" s="1">
        <f t="shared" si="13"/>
        <v>1.5475929050321693</v>
      </c>
      <c r="BH89" s="1">
        <f t="shared" si="14"/>
        <v>1.5439009914504498</v>
      </c>
      <c r="BL89" s="25"/>
    </row>
    <row r="90" spans="1:64">
      <c r="A90">
        <v>2011</v>
      </c>
      <c r="B90" s="3">
        <f t="shared" ref="B90:B96" si="39">I90/G90*100/C90*100</f>
        <v>206.94326867505862</v>
      </c>
      <c r="C90" s="3">
        <f>CPIs!AB50</f>
        <v>103.13271097869961</v>
      </c>
      <c r="G90" s="2">
        <f>'Exchange Rates'!L50</f>
        <v>0.71544109992713056</v>
      </c>
      <c r="I90" s="32">
        <f t="shared" si="38"/>
        <v>1.5269387755102037</v>
      </c>
      <c r="K90" s="2">
        <f>'EU petrol prices nominal'!AA9</f>
        <v>1.5269387755102037</v>
      </c>
      <c r="T90" s="2">
        <f>USA!Z98*G90</f>
        <v>76.874146187170183</v>
      </c>
      <c r="Z90" s="32">
        <v>0.65449999999999997</v>
      </c>
      <c r="AA90" s="2">
        <v>0.19</v>
      </c>
      <c r="AB90" s="2">
        <f t="shared" si="17"/>
        <v>0.24379694735036866</v>
      </c>
      <c r="AC90" s="2">
        <f t="shared" si="37"/>
        <v>0.89829694735036858</v>
      </c>
      <c r="AN90" s="9">
        <v>2011</v>
      </c>
      <c r="AO90" s="1">
        <f t="shared" ref="AO90:AO96" si="40">I90</f>
        <v>1.5269387755102037</v>
      </c>
      <c r="AP90" s="1">
        <f t="shared" si="20"/>
        <v>0.65449999999999997</v>
      </c>
      <c r="AQ90" s="1">
        <f t="shared" si="21"/>
        <v>0.24379694735036866</v>
      </c>
      <c r="AR90" s="1">
        <f t="shared" ref="AR90:AR96" si="41">AC90</f>
        <v>0.89829694735036858</v>
      </c>
      <c r="AS90" s="1">
        <f t="shared" si="28"/>
        <v>0.62864182815983516</v>
      </c>
      <c r="AU90" s="3">
        <f>CPIs!L50</f>
        <v>102.07516479492188</v>
      </c>
      <c r="AW90" s="1">
        <f t="shared" si="29"/>
        <v>1.4958964588281196</v>
      </c>
      <c r="AX90" s="1">
        <f t="shared" ref="AX90:AX96" si="42">BA90+AY90</f>
        <v>1.4855982542658719</v>
      </c>
      <c r="AY90" s="1">
        <f t="shared" si="30"/>
        <v>0.88003477550599829</v>
      </c>
      <c r="AZ90" s="22">
        <f t="shared" ref="AZ90:AZ96" si="43">AW90-AY90</f>
        <v>0.61586168332212132</v>
      </c>
      <c r="BA90" s="1">
        <f t="shared" si="31"/>
        <v>0.6055634787598736</v>
      </c>
      <c r="BB90" s="3">
        <f t="shared" si="32"/>
        <v>75.311312346756637</v>
      </c>
      <c r="BC90" s="24">
        <v>1</v>
      </c>
      <c r="BD90" s="3">
        <v>0</v>
      </c>
      <c r="BE90" s="3">
        <v>0</v>
      </c>
      <c r="BG90" s="1">
        <f t="shared" si="13"/>
        <v>1.6642371217023106</v>
      </c>
      <c r="BH90" s="1">
        <f t="shared" si="14"/>
        <v>1.6527800090002702</v>
      </c>
      <c r="BJ90" s="17"/>
      <c r="BK90" s="17"/>
      <c r="BL90" s="25"/>
    </row>
    <row r="91" spans="1:64">
      <c r="A91">
        <v>2012</v>
      </c>
      <c r="B91" s="3">
        <f t="shared" si="39"/>
        <v>202.80203865359158</v>
      </c>
      <c r="C91" s="3">
        <f>CPIs!AB51</f>
        <v>105.21072267093371</v>
      </c>
      <c r="G91" s="2">
        <f>'Exchange Rates'!L51</f>
        <v>0.773899446716382</v>
      </c>
      <c r="I91" s="32">
        <f t="shared" si="38"/>
        <v>1.6512653061224487</v>
      </c>
      <c r="K91" s="2">
        <f>'EU petrol prices nominal'!AA10</f>
        <v>1.6512653061224487</v>
      </c>
      <c r="T91" s="2">
        <f>USA!Z99*G91</f>
        <v>84.738784181902005</v>
      </c>
      <c r="Z91" s="32">
        <v>0.65449999999999997</v>
      </c>
      <c r="AA91" s="2">
        <v>0.19</v>
      </c>
      <c r="AB91" s="2">
        <f>AA91*(I91*(1/(1+AA91)))</f>
        <v>0.26364740181787</v>
      </c>
      <c r="AC91" s="2">
        <f t="shared" si="37"/>
        <v>0.91814740181786991</v>
      </c>
      <c r="AN91" s="9">
        <v>2012</v>
      </c>
      <c r="AO91" s="1">
        <f t="shared" si="40"/>
        <v>1.6512653061224487</v>
      </c>
      <c r="AP91" s="1">
        <f t="shared" si="20"/>
        <v>0.65449999999999997</v>
      </c>
      <c r="AQ91" s="1">
        <f t="shared" si="21"/>
        <v>0.26364740181787</v>
      </c>
      <c r="AR91" s="1">
        <f t="shared" si="41"/>
        <v>0.91814740181786991</v>
      </c>
      <c r="AS91" s="1">
        <f t="shared" si="28"/>
        <v>0.73311790430457879</v>
      </c>
      <c r="AU91" s="3">
        <f>CPIs!L51</f>
        <v>104.12535095214844</v>
      </c>
      <c r="AW91" s="1">
        <f t="shared" si="29"/>
        <v>1.5858436884225242</v>
      </c>
      <c r="AX91" s="1">
        <f t="shared" si="42"/>
        <v>1.557416228182801</v>
      </c>
      <c r="AY91" s="1">
        <f t="shared" si="30"/>
        <v>0.88177124343120938</v>
      </c>
      <c r="AZ91" s="22">
        <f t="shared" si="43"/>
        <v>0.70407244499131483</v>
      </c>
      <c r="BA91" s="1">
        <f t="shared" si="31"/>
        <v>0.67564498475159174</v>
      </c>
      <c r="BB91" s="3">
        <f t="shared" si="32"/>
        <v>81.381511233363639</v>
      </c>
      <c r="BC91" s="3">
        <v>0</v>
      </c>
      <c r="BD91" s="3">
        <v>0</v>
      </c>
      <c r="BE91" s="3">
        <v>0</v>
      </c>
      <c r="BG91" s="1">
        <f t="shared" si="13"/>
        <v>1.764306560066085</v>
      </c>
      <c r="BH91" s="1">
        <f t="shared" si="14"/>
        <v>1.7326800164457288</v>
      </c>
      <c r="BJ91" s="17"/>
      <c r="BK91" s="17"/>
      <c r="BL91" s="25"/>
    </row>
    <row r="92" spans="1:64">
      <c r="A92">
        <v>2013</v>
      </c>
      <c r="B92" s="3">
        <f t="shared" si="39"/>
        <v>199.63539843481237</v>
      </c>
      <c r="C92" s="3">
        <f>CPIs!AB52</f>
        <v>106.69767516878358</v>
      </c>
      <c r="G92" s="2">
        <f>'Exchange Rates'!L52</f>
        <v>0.75166876437654617</v>
      </c>
      <c r="I92" s="32">
        <f t="shared" si="38"/>
        <v>1.6011020408163263</v>
      </c>
      <c r="K92" s="2">
        <f>'EU petrol prices nominal'!AA11</f>
        <v>1.6011020408163263</v>
      </c>
      <c r="Q92" s="13" t="s">
        <v>88</v>
      </c>
      <c r="R92" s="13">
        <v>6.2519821702743714E-2</v>
      </c>
      <c r="S92" s="42"/>
      <c r="T92" s="2">
        <f>USA!Z100*G92</f>
        <v>79.628970140184876</v>
      </c>
      <c r="Z92" s="32">
        <v>0.65449999999999997</v>
      </c>
      <c r="AA92" s="2">
        <v>0.19</v>
      </c>
      <c r="AB92" s="2">
        <f t="shared" si="17"/>
        <v>0.255638140970674</v>
      </c>
      <c r="AC92" s="2">
        <f t="shared" si="37"/>
        <v>0.91013814097067391</v>
      </c>
      <c r="AN92" s="9">
        <v>2013</v>
      </c>
      <c r="AO92" s="1">
        <f t="shared" si="40"/>
        <v>1.6011020408163263</v>
      </c>
      <c r="AP92" s="1">
        <f t="shared" si="20"/>
        <v>0.65449999999999997</v>
      </c>
      <c r="AQ92" s="1">
        <f t="shared" si="21"/>
        <v>0.255638140970674</v>
      </c>
      <c r="AR92" s="1">
        <f t="shared" si="41"/>
        <v>0.91013814097067391</v>
      </c>
      <c r="AS92" s="1">
        <f t="shared" si="28"/>
        <v>0.69096389984565243</v>
      </c>
      <c r="AU92" s="3">
        <f>CPIs!L52</f>
        <v>105.69213104248047</v>
      </c>
      <c r="AW92" s="1">
        <f t="shared" si="29"/>
        <v>1.5148734584344798</v>
      </c>
      <c r="AX92" s="1">
        <f t="shared" si="42"/>
        <v>1.5023025151068028</v>
      </c>
      <c r="AY92" s="1">
        <f t="shared" si="30"/>
        <v>0.86112195107965539</v>
      </c>
      <c r="AZ92" s="22">
        <f t="shared" si="43"/>
        <v>0.65375150735482446</v>
      </c>
      <c r="BA92" s="1">
        <f t="shared" si="31"/>
        <v>0.6411805640271474</v>
      </c>
      <c r="BB92" s="3">
        <f t="shared" si="32"/>
        <v>75.340490682489772</v>
      </c>
      <c r="BC92" s="3">
        <v>0</v>
      </c>
      <c r="BD92" s="3">
        <v>0</v>
      </c>
      <c r="BE92" s="3">
        <v>0</v>
      </c>
      <c r="BG92" s="1">
        <f t="shared" si="13"/>
        <v>1.6853496973869782</v>
      </c>
      <c r="BH92" s="1">
        <f t="shared" si="14"/>
        <v>1.6713640833310925</v>
      </c>
      <c r="BJ92" s="17"/>
      <c r="BK92" s="17"/>
      <c r="BL92" s="25"/>
    </row>
    <row r="93" spans="1:64">
      <c r="A93">
        <v>2014</v>
      </c>
      <c r="B93" s="3">
        <f t="shared" si="39"/>
        <v>187.85878736395003</v>
      </c>
      <c r="C93" s="3">
        <f>CPIs!AB53</f>
        <v>108.45811062912946</v>
      </c>
      <c r="G93" s="2">
        <f>'Exchange Rates'!L53</f>
        <v>0.757387838338895</v>
      </c>
      <c r="I93" s="32">
        <f t="shared" si="38"/>
        <v>1.5431632653061222</v>
      </c>
      <c r="K93" s="2">
        <f>'EU petrol prices nominal'!AA12</f>
        <v>1.5431632653061222</v>
      </c>
      <c r="Q93" s="13" t="s">
        <v>99</v>
      </c>
      <c r="R93" s="13">
        <v>6.9416927158276855E-3</v>
      </c>
      <c r="S93" s="42"/>
      <c r="T93" s="2">
        <f>USA!Z101*G93</f>
        <v>72.852422962937197</v>
      </c>
      <c r="Z93" s="32">
        <v>0.65449999999999997</v>
      </c>
      <c r="AA93" s="2">
        <v>0.19</v>
      </c>
      <c r="AB93" s="2">
        <f t="shared" si="17"/>
        <v>0.24638741210770021</v>
      </c>
      <c r="AC93" s="2">
        <f t="shared" si="37"/>
        <v>0.90088741210770018</v>
      </c>
      <c r="AN93" s="9">
        <v>2014</v>
      </c>
      <c r="AO93" s="1">
        <f t="shared" si="40"/>
        <v>1.5431632653061222</v>
      </c>
      <c r="AP93" s="1">
        <f t="shared" si="20"/>
        <v>0.65449999999999997</v>
      </c>
      <c r="AQ93" s="1">
        <f t="shared" si="21"/>
        <v>0.24638741210770021</v>
      </c>
      <c r="AR93" s="1">
        <f t="shared" si="41"/>
        <v>0.90088741210770018</v>
      </c>
      <c r="AS93" s="1">
        <f t="shared" si="28"/>
        <v>0.64227585319842206</v>
      </c>
      <c r="AU93" s="3">
        <f>CPIs!L53</f>
        <v>106.65055847167969</v>
      </c>
      <c r="AW93" s="1">
        <f t="shared" si="29"/>
        <v>1.4469340690005843</v>
      </c>
      <c r="AX93" s="1">
        <f t="shared" si="42"/>
        <v>1.4457775950409131</v>
      </c>
      <c r="AY93" s="1">
        <f t="shared" si="30"/>
        <v>0.84470951209029488</v>
      </c>
      <c r="AZ93" s="22">
        <f t="shared" si="43"/>
        <v>0.60222455691028942</v>
      </c>
      <c r="BA93" s="1">
        <f t="shared" si="31"/>
        <v>0.60106808295061809</v>
      </c>
      <c r="BB93" s="3">
        <f t="shared" si="32"/>
        <v>68.309462235289331</v>
      </c>
      <c r="BC93" s="3">
        <v>0</v>
      </c>
      <c r="BD93" s="3">
        <v>0</v>
      </c>
      <c r="BE93" s="3">
        <v>0</v>
      </c>
      <c r="BG93" s="1">
        <f t="shared" si="13"/>
        <v>1.6097647508123634</v>
      </c>
      <c r="BH93" s="1">
        <f t="shared" si="14"/>
        <v>1.6084781330905229</v>
      </c>
    </row>
    <row r="94" spans="1:64">
      <c r="A94">
        <v>2015</v>
      </c>
      <c r="B94" s="3">
        <f t="shared" si="39"/>
        <v>141.87749798305941</v>
      </c>
      <c r="C94" s="3">
        <f>CPIs!AB54</f>
        <v>108.69337137051741</v>
      </c>
      <c r="G94" s="2">
        <f>'Exchange Rates'!L54</f>
        <v>0.90592556207997499</v>
      </c>
      <c r="I94" s="32">
        <f t="shared" si="38"/>
        <v>1.3970408163265309</v>
      </c>
      <c r="K94" s="2">
        <f>'EU petrol prices nominal'!AA13</f>
        <v>1.3970408163265309</v>
      </c>
      <c r="Q94" s="13" t="s">
        <v>127</v>
      </c>
      <c r="R94" s="13">
        <v>1.953278509522835E-2</v>
      </c>
      <c r="S94" s="42"/>
      <c r="T94" s="2">
        <f>USA!Z102*G94</f>
        <v>44.858421631706442</v>
      </c>
      <c r="Z94" s="32">
        <v>0.65449999999999997</v>
      </c>
      <c r="AA94" s="2">
        <v>0.19</v>
      </c>
      <c r="AB94" s="2">
        <f t="shared" si="17"/>
        <v>0.22305693706053856</v>
      </c>
      <c r="AC94" s="2">
        <f t="shared" si="37"/>
        <v>0.8775569370605385</v>
      </c>
      <c r="AN94" s="9">
        <v>2015</v>
      </c>
      <c r="AO94" s="1">
        <f t="shared" si="40"/>
        <v>1.3970408163265309</v>
      </c>
      <c r="AP94" s="1">
        <f t="shared" si="20"/>
        <v>0.65449999999999997</v>
      </c>
      <c r="AQ94" s="1">
        <f t="shared" si="21"/>
        <v>0.22305693706053856</v>
      </c>
      <c r="AR94" s="1">
        <f t="shared" si="41"/>
        <v>0.8775569370605385</v>
      </c>
      <c r="AS94" s="1">
        <f t="shared" si="28"/>
        <v>0.51948387926599238</v>
      </c>
      <c r="AU94" s="3">
        <f>CPIs!L54</f>
        <v>106.90055847167969</v>
      </c>
      <c r="AW94" s="1">
        <f t="shared" si="29"/>
        <v>1.3068601664009434</v>
      </c>
      <c r="AX94" s="1">
        <f t="shared" si="42"/>
        <v>1.2716679826953223</v>
      </c>
      <c r="AY94" s="1">
        <f t="shared" si="30"/>
        <v>0.82090959075113035</v>
      </c>
      <c r="AZ94" s="22">
        <f t="shared" si="43"/>
        <v>0.48595057564981303</v>
      </c>
      <c r="BA94" s="1">
        <f t="shared" si="31"/>
        <v>0.45075839194419209</v>
      </c>
      <c r="BB94" s="3">
        <f t="shared" si="32"/>
        <v>41.962757045455874</v>
      </c>
      <c r="BC94" s="3">
        <v>0</v>
      </c>
      <c r="BD94" s="3">
        <v>0</v>
      </c>
      <c r="BE94" s="3">
        <v>0</v>
      </c>
      <c r="BG94" s="1">
        <f t="shared" si="13"/>
        <v>1.4539276358086561</v>
      </c>
      <c r="BH94" s="1">
        <f t="shared" si="14"/>
        <v>1.4147751007712086</v>
      </c>
    </row>
    <row r="95" spans="1:64">
      <c r="A95">
        <v>2016</v>
      </c>
      <c r="B95" s="3">
        <f t="shared" si="39"/>
        <v>130.7813020716824</v>
      </c>
      <c r="C95" s="3">
        <f>CPIs!AB55</f>
        <v>110.08253978538585</v>
      </c>
      <c r="G95" s="2">
        <f>'Exchange Rates'!L55</f>
        <v>0.90674707708863456</v>
      </c>
      <c r="I95" s="32">
        <f t="shared" si="38"/>
        <v>1.30542</v>
      </c>
      <c r="K95" s="2">
        <f>'EU petrol prices nominal'!AA14</f>
        <v>1.30542</v>
      </c>
      <c r="Q95" s="13" t="s">
        <v>136</v>
      </c>
      <c r="R95" s="13">
        <v>5.864062929560316E-2</v>
      </c>
      <c r="T95" s="2">
        <f>USA!Z103*G95</f>
        <v>36.890067859371442</v>
      </c>
      <c r="Z95" s="32">
        <v>0.65449999999999997</v>
      </c>
      <c r="AA95" s="2">
        <v>0.19</v>
      </c>
      <c r="AB95" s="2">
        <f t="shared" si="17"/>
        <v>0.20842840336134452</v>
      </c>
      <c r="AC95" s="2">
        <f t="shared" si="37"/>
        <v>0.86292840336134446</v>
      </c>
      <c r="AN95" s="9">
        <v>2016</v>
      </c>
      <c r="AO95" s="1">
        <f t="shared" si="40"/>
        <v>1.30542</v>
      </c>
      <c r="AP95" s="1">
        <f t="shared" si="20"/>
        <v>0.65449999999999997</v>
      </c>
      <c r="AQ95" s="1">
        <f t="shared" si="21"/>
        <v>0.20842840336134452</v>
      </c>
      <c r="AR95" s="1">
        <f t="shared" si="41"/>
        <v>0.86292840336134446</v>
      </c>
      <c r="AS95" s="1">
        <f t="shared" si="28"/>
        <v>0.44249159663865556</v>
      </c>
      <c r="AU95" s="3">
        <f>CPIs!L55</f>
        <v>107.41728210449219</v>
      </c>
      <c r="AW95" s="1">
        <f t="shared" si="29"/>
        <v>1.2152793055498539</v>
      </c>
      <c r="AX95" s="1">
        <f t="shared" si="42"/>
        <v>1.2106280940757868</v>
      </c>
      <c r="AY95" s="1">
        <f t="shared" si="30"/>
        <v>0.80334224293807277</v>
      </c>
      <c r="AZ95" s="22">
        <f t="shared" si="43"/>
        <v>0.41193706261178109</v>
      </c>
      <c r="BA95" s="1">
        <f t="shared" si="31"/>
        <v>0.40728585113771398</v>
      </c>
      <c r="BB95" s="3">
        <f t="shared" si="32"/>
        <v>34.342767882998501</v>
      </c>
      <c r="BC95" s="3">
        <v>0</v>
      </c>
      <c r="BD95" s="3">
        <v>0</v>
      </c>
      <c r="BE95" s="3">
        <v>0</v>
      </c>
      <c r="BG95" s="1">
        <f t="shared" si="13"/>
        <v>1.3520407255440003</v>
      </c>
      <c r="BH95" s="1">
        <f t="shared" si="14"/>
        <v>1.3468660901269913</v>
      </c>
    </row>
    <row r="96" spans="1:64" ht="15.75" thickBot="1">
      <c r="A96">
        <v>2017</v>
      </c>
      <c r="B96" s="3">
        <f t="shared" si="39"/>
        <v>137.76960358595829</v>
      </c>
      <c r="C96" s="3">
        <f>CPIs!AB56</f>
        <v>112.42729788281457</v>
      </c>
      <c r="G96" s="2">
        <f>'Exchange Rates'!L56</f>
        <v>0.88700000000000001</v>
      </c>
      <c r="I96" s="32">
        <f t="shared" si="38"/>
        <v>1.3738800000000004</v>
      </c>
      <c r="K96" s="2">
        <f>'EU petrol prices nominal'!AA15</f>
        <v>1.3738800000000004</v>
      </c>
      <c r="Q96" s="14"/>
      <c r="R96" s="14"/>
      <c r="T96" s="2">
        <f>USA!Z104*G96</f>
        <v>46.576369999999997</v>
      </c>
      <c r="Z96" s="32">
        <v>0.65449999999999997</v>
      </c>
      <c r="AA96" s="2">
        <v>0.19</v>
      </c>
      <c r="AB96" s="2">
        <f t="shared" si="17"/>
        <v>0.21935899159663871</v>
      </c>
      <c r="AC96" s="2">
        <f t="shared" si="37"/>
        <v>0.87385899159663871</v>
      </c>
      <c r="AN96" s="9">
        <v>2017</v>
      </c>
      <c r="AO96" s="1">
        <f t="shared" si="40"/>
        <v>1.3738800000000004</v>
      </c>
      <c r="AP96" s="1">
        <f t="shared" si="20"/>
        <v>0.65449999999999997</v>
      </c>
      <c r="AQ96" s="1">
        <f t="shared" si="21"/>
        <v>0.21935899159663871</v>
      </c>
      <c r="AR96" s="1">
        <f t="shared" si="41"/>
        <v>0.87385899159663871</v>
      </c>
      <c r="AS96" s="1">
        <f t="shared" si="28"/>
        <v>0.50002100840336172</v>
      </c>
      <c r="AU96" s="3">
        <f>CPIs!L56</f>
        <v>109.28634281311037</v>
      </c>
      <c r="AW96" s="1">
        <f t="shared" si="29"/>
        <v>1.2571378679488441</v>
      </c>
      <c r="AX96" s="1">
        <f t="shared" si="42"/>
        <v>1.254105272223935</v>
      </c>
      <c r="AY96" s="1">
        <f t="shared" si="30"/>
        <v>0.7996049360815537</v>
      </c>
      <c r="AZ96" s="22">
        <f t="shared" si="43"/>
        <v>0.45753293186729038</v>
      </c>
      <c r="BA96" s="1">
        <f t="shared" si="31"/>
        <v>0.45450033614238117</v>
      </c>
      <c r="BB96" s="3">
        <f t="shared" si="32"/>
        <v>42.618655543858623</v>
      </c>
      <c r="BC96" s="3">
        <v>0</v>
      </c>
      <c r="BD96" s="3">
        <v>0</v>
      </c>
      <c r="BE96" s="3">
        <v>0</v>
      </c>
      <c r="BG96" s="1">
        <f t="shared" si="13"/>
        <v>1.3986098400000007</v>
      </c>
      <c r="BH96" s="1">
        <f t="shared" si="14"/>
        <v>1.3952359712066595</v>
      </c>
    </row>
    <row r="97" spans="1:60">
      <c r="A97">
        <v>2018</v>
      </c>
      <c r="G97" s="2">
        <f>'Exchange Rates'!L57</f>
        <v>0.84599999999999997</v>
      </c>
      <c r="I97" s="2">
        <v>1.4399166666666667</v>
      </c>
      <c r="Q97" s="2"/>
      <c r="T97" s="2">
        <f>USA!Z105*G97</f>
        <v>59.392569350649353</v>
      </c>
      <c r="Z97" s="32">
        <v>0.65449999999999997</v>
      </c>
      <c r="AA97" s="2">
        <v>0.19</v>
      </c>
      <c r="AB97" s="2">
        <f>AA97*(I97*(1/(1+AA97)))</f>
        <v>0.22990266106442581</v>
      </c>
      <c r="AC97" s="2">
        <f t="shared" ref="AC97" si="44">Z97+AB97</f>
        <v>0.88440266106442578</v>
      </c>
      <c r="AN97" s="9">
        <v>2018</v>
      </c>
      <c r="AO97" s="1">
        <f t="shared" ref="AO97" si="45">I97</f>
        <v>1.4399166666666667</v>
      </c>
      <c r="AP97" s="1">
        <f>Z97</f>
        <v>0.65449999999999997</v>
      </c>
      <c r="AQ97" s="1">
        <f t="shared" ref="AQ97" si="46">AB97</f>
        <v>0.22990266106442581</v>
      </c>
      <c r="AR97" s="1">
        <f t="shared" ref="AR97" si="47">AC97</f>
        <v>0.88440266106442578</v>
      </c>
      <c r="AS97" s="1">
        <f t="shared" ref="AS97" si="48">AO97-AR97</f>
        <v>0.55551400560224096</v>
      </c>
      <c r="AU97" s="3">
        <f>CPIs!L57</f>
        <v>111.25349698374636</v>
      </c>
      <c r="AW97" s="1">
        <f t="shared" ref="AW97" si="49">AO97/$AU97*100</f>
        <v>1.2942664327010163</v>
      </c>
      <c r="AX97" s="1">
        <f t="shared" ref="AX97" si="50">BA97+AY97</f>
        <v>1.3108661734812275</v>
      </c>
      <c r="AY97" s="1">
        <f t="shared" ref="AY97" si="51">AR97/$AU97*100</f>
        <v>0.79494369619108074</v>
      </c>
      <c r="AZ97" s="22">
        <f t="shared" ref="AZ97" si="52">AW97-AY97</f>
        <v>0.49932273650993553</v>
      </c>
      <c r="BA97" s="1">
        <f t="shared" si="31"/>
        <v>0.51592247729014684</v>
      </c>
      <c r="BB97" s="3">
        <f>T97/AU97*100</f>
        <v>53.384901114008429</v>
      </c>
      <c r="BC97" s="3">
        <v>0</v>
      </c>
      <c r="BD97" s="3">
        <v>0</v>
      </c>
      <c r="BE97" s="3">
        <v>0</v>
      </c>
      <c r="BG97" s="1">
        <f>AW97*$AU$97/$AU$89</f>
        <v>1.4399166666666667</v>
      </c>
      <c r="BH97" s="1">
        <f>AX97*$AU$97/$AU$89</f>
        <v>1.4583844587748889</v>
      </c>
    </row>
    <row r="98" spans="1:60">
      <c r="Q98" s="40"/>
      <c r="R98" s="40"/>
      <c r="AN98" s="9">
        <v>2019</v>
      </c>
      <c r="AU98" s="3">
        <f>AU97</f>
        <v>111.25349698374636</v>
      </c>
    </row>
    <row r="99" spans="1:60">
      <c r="Q99" s="40"/>
      <c r="R99" s="40"/>
      <c r="AN99" s="9">
        <v>2020</v>
      </c>
      <c r="AU99" s="3">
        <f t="shared" ref="AU99:AU109" si="53">AU98</f>
        <v>111.25349698374636</v>
      </c>
    </row>
    <row r="100" spans="1:60">
      <c r="AN100" s="9">
        <v>2021</v>
      </c>
      <c r="AU100" s="3">
        <f t="shared" si="53"/>
        <v>111.25349698374636</v>
      </c>
      <c r="AW100" s="13" t="s">
        <v>88</v>
      </c>
      <c r="AX100" s="13">
        <v>0.2113580950253168</v>
      </c>
    </row>
    <row r="101" spans="1:60">
      <c r="AN101" s="9">
        <v>2022</v>
      </c>
      <c r="AU101" s="3">
        <f t="shared" si="53"/>
        <v>111.25349698374636</v>
      </c>
      <c r="AW101" s="13" t="s">
        <v>229</v>
      </c>
      <c r="AX101" s="13">
        <v>5.7050659626474614E-3</v>
      </c>
    </row>
    <row r="102" spans="1:60">
      <c r="AN102" s="9">
        <v>2023</v>
      </c>
      <c r="AU102" s="3">
        <f t="shared" si="53"/>
        <v>111.25349698374636</v>
      </c>
      <c r="AW102" s="3" t="s">
        <v>2007</v>
      </c>
      <c r="AX102" s="13">
        <v>-3.5450620937235965E-2</v>
      </c>
    </row>
    <row r="103" spans="1:60">
      <c r="AN103" s="9">
        <v>2024</v>
      </c>
      <c r="AU103" s="3">
        <f t="shared" si="53"/>
        <v>111.25349698374636</v>
      </c>
      <c r="AW103" s="3" t="s">
        <v>2005</v>
      </c>
      <c r="AX103" s="13">
        <v>-3.7491768072732336E-2</v>
      </c>
    </row>
    <row r="104" spans="1:60" ht="15.75" thickBot="1">
      <c r="AN104" s="9">
        <v>2025</v>
      </c>
      <c r="AU104" s="3">
        <f t="shared" si="53"/>
        <v>111.25349698374636</v>
      </c>
      <c r="AW104" s="3" t="s">
        <v>2006</v>
      </c>
      <c r="AX104" s="14">
        <v>-0.13950279945687943</v>
      </c>
    </row>
    <row r="105" spans="1:60">
      <c r="AN105" s="9">
        <v>2026</v>
      </c>
      <c r="AU105" s="3">
        <f t="shared" si="53"/>
        <v>111.25349698374636</v>
      </c>
    </row>
    <row r="106" spans="1:60">
      <c r="AN106" s="9">
        <v>2027</v>
      </c>
      <c r="AU106" s="3">
        <f t="shared" si="53"/>
        <v>111.25349698374636</v>
      </c>
    </row>
    <row r="107" spans="1:60">
      <c r="AN107" s="9">
        <v>2028</v>
      </c>
      <c r="AU107" s="3">
        <f t="shared" si="53"/>
        <v>111.25349698374636</v>
      </c>
    </row>
    <row r="108" spans="1:60">
      <c r="AN108" s="9">
        <v>2029</v>
      </c>
      <c r="AU108" s="3">
        <f t="shared" si="53"/>
        <v>111.25349698374636</v>
      </c>
    </row>
    <row r="109" spans="1:60">
      <c r="AN109" s="9">
        <v>2030</v>
      </c>
      <c r="AU109" s="3">
        <f t="shared" si="53"/>
        <v>111.25349698374636</v>
      </c>
    </row>
    <row r="111" spans="1:60">
      <c r="S111" s="13" t="str">
        <f t="shared" ref="S111:T115" si="54">AW100</f>
        <v>Intercept</v>
      </c>
      <c r="T111" s="13">
        <f t="shared" si="54"/>
        <v>0.2113580950253168</v>
      </c>
    </row>
    <row r="112" spans="1:60">
      <c r="S112" s="13" t="str">
        <f t="shared" si="54"/>
        <v>landed oil price</v>
      </c>
      <c r="T112" s="13">
        <f t="shared" si="54"/>
        <v>5.7050659626474614E-3</v>
      </c>
    </row>
    <row r="113" spans="1:72">
      <c r="S113" s="13" t="str">
        <f t="shared" si="54"/>
        <v>dum8211</v>
      </c>
      <c r="T113" s="13">
        <f t="shared" si="54"/>
        <v>-3.5450620937235965E-2</v>
      </c>
    </row>
    <row r="114" spans="1:72">
      <c r="S114" s="13" t="str">
        <f t="shared" si="54"/>
        <v>dum0003</v>
      </c>
      <c r="T114" s="13">
        <f t="shared" si="54"/>
        <v>-3.7491768072732336E-2</v>
      </c>
    </row>
    <row r="115" spans="1:72">
      <c r="S115" s="13" t="str">
        <f t="shared" si="54"/>
        <v>dum9099</v>
      </c>
      <c r="T115" s="13">
        <f t="shared" si="54"/>
        <v>-0.13950279945687943</v>
      </c>
    </row>
    <row r="116" spans="1:72">
      <c r="S116" s="13"/>
      <c r="T116" s="13"/>
    </row>
    <row r="117" spans="1:72">
      <c r="AL117" s="2"/>
      <c r="AM117" s="2"/>
      <c r="AN117" s="2"/>
      <c r="AO117" s="2"/>
      <c r="AP117" s="2"/>
      <c r="AQ117" s="2"/>
      <c r="AR117"/>
      <c r="AS117"/>
      <c r="AT117" s="9"/>
      <c r="BL117" s="3"/>
      <c r="BM117" s="3"/>
      <c r="BN117" s="3"/>
      <c r="BO117" s="3"/>
    </row>
    <row r="118" spans="1:72">
      <c r="O118" s="32"/>
      <c r="P118" s="2"/>
      <c r="Q118" s="37"/>
      <c r="S118" s="32"/>
      <c r="T118" s="37"/>
      <c r="X118" s="2"/>
      <c r="Y118" s="37"/>
      <c r="AL118" s="2"/>
      <c r="AM118" s="2"/>
      <c r="AN118" s="2"/>
      <c r="AO118" s="2"/>
      <c r="AP118" s="2"/>
      <c r="AQ118" s="2"/>
      <c r="AR118" s="2"/>
      <c r="AS118" s="2"/>
      <c r="AT118"/>
      <c r="AU118"/>
      <c r="AV118" s="9"/>
      <c r="BL118" s="3"/>
      <c r="BM118" s="3"/>
      <c r="BN118" s="3"/>
      <c r="BO118" s="3"/>
      <c r="BP118" s="3"/>
      <c r="BQ118" s="3"/>
    </row>
    <row r="119" spans="1:72">
      <c r="I119" s="32"/>
      <c r="K119" s="2"/>
      <c r="O119" s="32"/>
      <c r="Y119" s="37"/>
      <c r="Z119" s="37"/>
      <c r="AA119" s="37"/>
      <c r="AB119" s="37"/>
      <c r="AC119" s="37"/>
      <c r="AD119" s="37"/>
      <c r="AE119" s="37"/>
      <c r="AF119" s="37"/>
      <c r="AK119" t="s">
        <v>1960</v>
      </c>
      <c r="AL119" t="s">
        <v>1960</v>
      </c>
      <c r="AM119" t="s">
        <v>1960</v>
      </c>
      <c r="AN119" s="2"/>
      <c r="AO119" s="2"/>
      <c r="AP119" s="2"/>
      <c r="AQ119" s="2"/>
      <c r="AR119" s="2"/>
      <c r="AS119" s="2"/>
      <c r="AT119" s="2"/>
      <c r="AU119" s="2"/>
      <c r="AV119" s="2"/>
      <c r="AW119"/>
      <c r="AX119"/>
      <c r="AY119" s="9"/>
      <c r="BL119" s="3"/>
      <c r="BM119" s="3"/>
      <c r="BN119" s="3"/>
      <c r="BO119" s="3"/>
      <c r="BP119" s="3"/>
      <c r="BQ119" s="3"/>
      <c r="BR119" s="3"/>
      <c r="BS119" s="3"/>
      <c r="BT119" s="3"/>
    </row>
    <row r="120" spans="1:72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2600</v>
      </c>
      <c r="R120" s="26"/>
      <c r="S120" s="26"/>
      <c r="T120" s="79">
        <v>0.19</v>
      </c>
      <c r="U120" s="76" t="s">
        <v>2548</v>
      </c>
      <c r="V120" s="76"/>
      <c r="W120" s="76"/>
      <c r="X120" s="76"/>
      <c r="Y120" s="26" t="s">
        <v>2550</v>
      </c>
      <c r="Z120" s="26"/>
      <c r="AA120" s="26"/>
      <c r="AB120" s="79"/>
      <c r="AC120" s="26" t="s">
        <v>2485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N120" s="2"/>
      <c r="AO120" s="2"/>
      <c r="AP120" s="2"/>
      <c r="AQ120" s="2"/>
      <c r="AR120" s="2"/>
      <c r="AS120" s="2"/>
      <c r="AT120"/>
      <c r="AU120"/>
      <c r="AV120" s="9"/>
      <c r="BL120" s="3"/>
      <c r="BM120" s="3"/>
      <c r="BN120" s="3"/>
      <c r="BO120" s="3"/>
      <c r="BP120" s="3"/>
      <c r="BQ120" s="3"/>
    </row>
    <row r="121" spans="1:72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N121" s="2"/>
      <c r="AO121" s="2"/>
      <c r="AP121" s="2"/>
      <c r="AQ121" s="2"/>
      <c r="AR121" s="2"/>
      <c r="AS121" s="2"/>
      <c r="AT121"/>
      <c r="AU121"/>
      <c r="AV121" s="9"/>
      <c r="BL121" s="3"/>
      <c r="BM121" s="3"/>
      <c r="BN121" s="3"/>
      <c r="BO121" s="3"/>
      <c r="BP121" s="3"/>
      <c r="BQ121" s="3"/>
    </row>
    <row r="122" spans="1:72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5">AL122</f>
        <v>77.45</v>
      </c>
      <c r="E122" s="3">
        <f t="shared" si="55"/>
        <v>77.45</v>
      </c>
      <c r="F122" s="6">
        <f>'Exchange Rates'!L49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>T$111+T$112*G122+$T$113</f>
        <v>0.51113196762306679</v>
      </c>
      <c r="L122" s="6">
        <f>T$111+T$112*H122+$T$113</f>
        <v>0.51113196762306679</v>
      </c>
      <c r="M122" s="6">
        <f>T$111+T$112*I122+$T$113</f>
        <v>0.51113196762306679</v>
      </c>
      <c r="N122" s="6">
        <f>T$111+T$112*J122+$T$113</f>
        <v>0.51113196762306679</v>
      </c>
      <c r="O122">
        <v>2010</v>
      </c>
      <c r="P122" s="24">
        <f t="shared" ref="P122:P129" si="56">Z89/AU89*100</f>
        <v>0.65449999999999997</v>
      </c>
      <c r="Q122" s="3">
        <f t="shared" ref="Q122:Q130" si="57">(K122+P122)*$T$120</f>
        <v>0.22147007384838271</v>
      </c>
      <c r="R122" s="3">
        <f t="shared" ref="R122:R142" si="58">(L122+P122)*$T$120</f>
        <v>0.22147007384838271</v>
      </c>
      <c r="S122" s="3">
        <f t="shared" ref="S122:S142" si="59">(M122+P122)*$T$120</f>
        <v>0.22147007384838271</v>
      </c>
      <c r="T122" s="3">
        <f t="shared" ref="T122:T142" si="60">(N122+P122)*$T$120</f>
        <v>0.22147007384838271</v>
      </c>
      <c r="U122" s="3">
        <f t="shared" ref="U122:U130" si="61">AW89</f>
        <v>1.3910510204081636</v>
      </c>
      <c r="V122" s="3">
        <f t="shared" ref="V122:V142" si="62">L122+$P122+R122</f>
        <v>1.3871020414714497</v>
      </c>
      <c r="W122" s="3">
        <f t="shared" ref="W122:W142" si="63">M122+$P122+S122</f>
        <v>1.3871020414714497</v>
      </c>
      <c r="X122" s="3">
        <f t="shared" ref="X122:X142" si="64">N122+$P122+T122</f>
        <v>1.3871020414714497</v>
      </c>
      <c r="Y122" s="9">
        <f t="shared" ref="Y122:Y130" si="65">AW89*$AU$97/100*100</f>
        <v>154.75929050321693</v>
      </c>
      <c r="Z122" s="9">
        <f t="shared" ref="Z122:Z142" si="66">V122*$AU$97/100*100</f>
        <v>154.31995278699233</v>
      </c>
      <c r="AA122" s="9">
        <f t="shared" ref="AA122:AA142" si="67">W122*$AU$97/100*100</f>
        <v>154.31995278699233</v>
      </c>
      <c r="AB122" s="9">
        <f t="shared" ref="AB122:AB142" si="68">X122*$AU$97/100*100</f>
        <v>154.31995278699233</v>
      </c>
      <c r="AC122" s="3">
        <f t="shared" ref="AC122:AC130" si="69">U122*$AU$96/100</f>
        <v>1.5202287868685354</v>
      </c>
      <c r="AD122" s="3">
        <f>AC122</f>
        <v>1.5202287868685354</v>
      </c>
      <c r="AE122" s="3">
        <f t="shared" ref="AE122:AF122" si="70">AD122</f>
        <v>1.5202287868685354</v>
      </c>
      <c r="AF122" s="3">
        <f t="shared" si="70"/>
        <v>1.5202287868685354</v>
      </c>
      <c r="AK122" s="3">
        <f>USA!AJ135</f>
        <v>77.45</v>
      </c>
      <c r="AL122" s="3">
        <f>USA!AK135</f>
        <v>77.45</v>
      </c>
      <c r="AM122" s="3">
        <f>USA!AL135</f>
        <v>77.45</v>
      </c>
      <c r="AN122" s="2"/>
      <c r="AO122" s="2"/>
      <c r="AP122" s="2"/>
      <c r="AQ122" s="2"/>
      <c r="AR122" s="2"/>
      <c r="AS122" s="2"/>
      <c r="AT122"/>
      <c r="AU122"/>
      <c r="AV122" s="9"/>
      <c r="BL122" s="3"/>
      <c r="BM122" s="3"/>
      <c r="BN122" s="3"/>
      <c r="BO122" s="3"/>
      <c r="BP122" s="3"/>
      <c r="BQ122" s="3"/>
    </row>
    <row r="123" spans="1:72">
      <c r="A123">
        <v>2011</v>
      </c>
      <c r="B123" s="3">
        <f>USA!Z98/USA!AU98*100</f>
        <v>104.18614906980585</v>
      </c>
      <c r="C123" s="3">
        <f t="shared" ref="C123:C142" si="71">AK123</f>
        <v>104.18614906980586</v>
      </c>
      <c r="D123" s="3">
        <f t="shared" ref="D123:D142" si="72">AL123</f>
        <v>104.18614906980586</v>
      </c>
      <c r="E123" s="3">
        <f t="shared" ref="E123:E142" si="73">AM123</f>
        <v>104.18614906980586</v>
      </c>
      <c r="F123" s="6">
        <f>'Exchange Rates'!L50</f>
        <v>0.71544109992713056</v>
      </c>
      <c r="G123" s="3">
        <f>(B123*USA!$AU98/100)/$AU90*100*$F123</f>
        <v>75.311312346756637</v>
      </c>
      <c r="H123" s="3">
        <f>(C123*USA!$AU98/100)/$AU90*100*$F123</f>
        <v>75.311312346756637</v>
      </c>
      <c r="I123" s="3">
        <f>(D123*USA!$AU98/100)/$AU90*100*$F123</f>
        <v>75.311312346756637</v>
      </c>
      <c r="J123" s="3">
        <f>(E123*USA!$AU98/100)/$AU90*100*$F123</f>
        <v>75.311312346756637</v>
      </c>
      <c r="K123" s="6">
        <f>T$111+T$112*G123+$T$113</f>
        <v>0.6055634787598736</v>
      </c>
      <c r="L123" s="6">
        <f>T$111+T$112*H123+$T$113</f>
        <v>0.6055634787598736</v>
      </c>
      <c r="M123" s="6">
        <f>T$111+T$112*I123+$T$113</f>
        <v>0.6055634787598736</v>
      </c>
      <c r="N123" s="6">
        <f>T$111+T$112*J123+$T$113</f>
        <v>0.6055634787598736</v>
      </c>
      <c r="O123">
        <v>2011</v>
      </c>
      <c r="P123" s="24">
        <f t="shared" si="56"/>
        <v>0.64119416443260113</v>
      </c>
      <c r="Q123" s="3">
        <f t="shared" si="57"/>
        <v>0.23688395220657021</v>
      </c>
      <c r="R123" s="3">
        <f t="shared" si="58"/>
        <v>0.23688395220657021</v>
      </c>
      <c r="S123" s="3">
        <f t="shared" si="59"/>
        <v>0.23688395220657021</v>
      </c>
      <c r="T123" s="3">
        <f t="shared" si="60"/>
        <v>0.23688395220657021</v>
      </c>
      <c r="U123" s="3">
        <f t="shared" si="61"/>
        <v>1.4958964588281196</v>
      </c>
      <c r="V123" s="3">
        <f t="shared" si="62"/>
        <v>1.4836415953990449</v>
      </c>
      <c r="W123" s="3">
        <f t="shared" si="63"/>
        <v>1.4836415953990449</v>
      </c>
      <c r="X123" s="3">
        <f t="shared" si="64"/>
        <v>1.4836415953990449</v>
      </c>
      <c r="Y123" s="9">
        <f t="shared" si="65"/>
        <v>166.42371217023106</v>
      </c>
      <c r="Z123" s="9">
        <f t="shared" si="66"/>
        <v>165.06031575868829</v>
      </c>
      <c r="AA123" s="9">
        <f t="shared" si="67"/>
        <v>165.06031575868829</v>
      </c>
      <c r="AB123" s="9">
        <f t="shared" si="68"/>
        <v>165.06031575868829</v>
      </c>
      <c r="AC123" s="3">
        <f t="shared" si="69"/>
        <v>1.6348105321240771</v>
      </c>
      <c r="AD123" s="3">
        <f t="shared" ref="AD123:AF123" si="74">AC123</f>
        <v>1.6348105321240771</v>
      </c>
      <c r="AE123" s="3">
        <f t="shared" si="74"/>
        <v>1.6348105321240771</v>
      </c>
      <c r="AF123" s="3">
        <f t="shared" si="74"/>
        <v>1.6348105321240771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 s="2"/>
      <c r="AO123" s="2"/>
      <c r="AP123" s="2"/>
      <c r="AQ123" s="2"/>
      <c r="AR123" s="2"/>
      <c r="AS123" s="2"/>
      <c r="AT123"/>
      <c r="AU123"/>
      <c r="AV123" s="9"/>
      <c r="BL123" s="3"/>
      <c r="BM123" s="3"/>
      <c r="BN123" s="3"/>
      <c r="BO123" s="3"/>
      <c r="BP123" s="3"/>
      <c r="BQ123" s="3"/>
    </row>
    <row r="124" spans="1:72">
      <c r="A124">
        <v>2012</v>
      </c>
      <c r="B124" s="3">
        <f>USA!Z99/USA!AU99*100</f>
        <v>104.07290773565181</v>
      </c>
      <c r="C124" s="3">
        <f t="shared" si="71"/>
        <v>104.07290773565181</v>
      </c>
      <c r="D124" s="3">
        <f t="shared" si="72"/>
        <v>104.07290773565181</v>
      </c>
      <c r="E124" s="3">
        <f t="shared" si="73"/>
        <v>104.07290773565181</v>
      </c>
      <c r="F124" s="6">
        <f>'Exchange Rates'!L51</f>
        <v>0.773899446716382</v>
      </c>
      <c r="G124" s="3">
        <f>(B124*USA!$AU99/100)/$AU91*100*$F124</f>
        <v>81.381511233363668</v>
      </c>
      <c r="H124" s="3">
        <f>(C124*USA!$AU99/100)/$AU91*100*$F124</f>
        <v>81.381511233363668</v>
      </c>
      <c r="I124" s="3">
        <f>(D124*USA!$AU99/100)/$AU91*100*$F124</f>
        <v>81.381511233363668</v>
      </c>
      <c r="J124" s="3">
        <f>(E124*USA!$AU99/100)/$AU91*100*$F124</f>
        <v>81.381511233363668</v>
      </c>
      <c r="K124" s="6">
        <f t="shared" ref="K124:K130" si="75">T$111+T$112*G124</f>
        <v>0.67564498475159185</v>
      </c>
      <c r="L124" s="6">
        <f t="shared" ref="L124:L142" si="76">T$111+T$112*H124</f>
        <v>0.67564498475159185</v>
      </c>
      <c r="M124" s="6">
        <f t="shared" ref="M124:M142" si="77">T$111+T$112*I124</f>
        <v>0.67564498475159185</v>
      </c>
      <c r="N124" s="6">
        <f t="shared" ref="N124:N142" si="78">T$111+T$112*J124</f>
        <v>0.67564498475159185</v>
      </c>
      <c r="O124">
        <v>2012</v>
      </c>
      <c r="P124" s="24">
        <f t="shared" si="56"/>
        <v>0.62856930998559635</v>
      </c>
      <c r="Q124" s="3">
        <f t="shared" si="57"/>
        <v>0.24780071600006576</v>
      </c>
      <c r="R124" s="3">
        <f t="shared" si="58"/>
        <v>0.24780071600006576</v>
      </c>
      <c r="S124" s="3">
        <f t="shared" si="59"/>
        <v>0.24780071600006576</v>
      </c>
      <c r="T124" s="3">
        <f t="shared" si="60"/>
        <v>0.24780071600006576</v>
      </c>
      <c r="U124" s="3">
        <f t="shared" si="61"/>
        <v>1.5858436884225242</v>
      </c>
      <c r="V124" s="3">
        <f t="shared" si="62"/>
        <v>1.5520150107372539</v>
      </c>
      <c r="W124" s="3">
        <f t="shared" si="63"/>
        <v>1.5520150107372539</v>
      </c>
      <c r="X124" s="3">
        <f t="shared" si="64"/>
        <v>1.5520150107372539</v>
      </c>
      <c r="Y124" s="9">
        <f t="shared" si="65"/>
        <v>176.4306560066085</v>
      </c>
      <c r="Z124" s="9">
        <f t="shared" si="66"/>
        <v>172.66709731578615</v>
      </c>
      <c r="AA124" s="9">
        <f t="shared" si="67"/>
        <v>172.66709731578615</v>
      </c>
      <c r="AB124" s="9">
        <f t="shared" si="68"/>
        <v>172.66709731578615</v>
      </c>
      <c r="AC124" s="3">
        <f t="shared" si="69"/>
        <v>1.7331105698095135</v>
      </c>
      <c r="AD124" s="3">
        <f t="shared" ref="AD124:AF124" si="79">AC124</f>
        <v>1.7331105698095135</v>
      </c>
      <c r="AE124" s="3">
        <f t="shared" si="79"/>
        <v>1.7331105698095135</v>
      </c>
      <c r="AF124" s="3">
        <f t="shared" si="79"/>
        <v>1.7331105698095135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 s="2"/>
      <c r="AO124" s="2"/>
      <c r="AP124" s="2"/>
      <c r="AQ124" s="2"/>
      <c r="AR124" s="2"/>
      <c r="AS124" s="2"/>
      <c r="AT124"/>
      <c r="AU124"/>
      <c r="AV124" s="9"/>
      <c r="BL124" s="3"/>
      <c r="BM124" s="3"/>
      <c r="BN124" s="3"/>
      <c r="BO124" s="3"/>
      <c r="BP124" s="3"/>
      <c r="BQ124" s="3"/>
    </row>
    <row r="125" spans="1:72">
      <c r="A125">
        <v>2013</v>
      </c>
      <c r="B125" s="3">
        <f>USA!Z100/USA!AU100*100</f>
        <v>99.286371359470479</v>
      </c>
      <c r="C125" s="3">
        <f t="shared" si="71"/>
        <v>99.286371359470493</v>
      </c>
      <c r="D125" s="3">
        <f t="shared" si="72"/>
        <v>99.286371359470493</v>
      </c>
      <c r="E125" s="3">
        <f t="shared" si="73"/>
        <v>99.286371359470493</v>
      </c>
      <c r="F125" s="6">
        <f>'Exchange Rates'!L52</f>
        <v>0.75166876437654617</v>
      </c>
      <c r="G125" s="3">
        <f>(B125*USA!$AU100/100)/$AU92*100*$F125</f>
        <v>75.340490682489772</v>
      </c>
      <c r="H125" s="3">
        <f>(C125*USA!$AU100/100)/$AU92*100*$F125</f>
        <v>75.340490682489772</v>
      </c>
      <c r="I125" s="3">
        <f>(D125*USA!$AU100/100)/$AU92*100*$F125</f>
        <v>75.340490682489772</v>
      </c>
      <c r="J125" s="3">
        <f>(E125*USA!$AU100/100)/$AU92*100*$F125</f>
        <v>75.340490682489772</v>
      </c>
      <c r="K125" s="6">
        <f t="shared" si="75"/>
        <v>0.6411805640271474</v>
      </c>
      <c r="L125" s="6">
        <f t="shared" si="76"/>
        <v>0.6411805640271474</v>
      </c>
      <c r="M125" s="6">
        <f t="shared" si="77"/>
        <v>0.6411805640271474</v>
      </c>
      <c r="N125" s="6">
        <f t="shared" si="78"/>
        <v>0.6411805640271474</v>
      </c>
      <c r="O125">
        <v>2013</v>
      </c>
      <c r="P125" s="24">
        <f t="shared" si="56"/>
        <v>0.61925139889263758</v>
      </c>
      <c r="Q125" s="3">
        <f t="shared" si="57"/>
        <v>0.23948207295475912</v>
      </c>
      <c r="R125" s="3">
        <f t="shared" si="58"/>
        <v>0.23948207295475912</v>
      </c>
      <c r="S125" s="3">
        <f t="shared" si="59"/>
        <v>0.23948207295475912</v>
      </c>
      <c r="T125" s="3">
        <f t="shared" si="60"/>
        <v>0.23948207295475912</v>
      </c>
      <c r="U125" s="3">
        <f t="shared" si="61"/>
        <v>1.5148734584344798</v>
      </c>
      <c r="V125" s="3">
        <f t="shared" si="62"/>
        <v>1.499914035874544</v>
      </c>
      <c r="W125" s="3">
        <f t="shared" si="63"/>
        <v>1.499914035874544</v>
      </c>
      <c r="X125" s="3">
        <f t="shared" si="64"/>
        <v>1.499914035874544</v>
      </c>
      <c r="Y125" s="9">
        <f t="shared" si="65"/>
        <v>168.53496973869781</v>
      </c>
      <c r="Z125" s="9">
        <f t="shared" si="66"/>
        <v>166.8706816660474</v>
      </c>
      <c r="AA125" s="9">
        <f t="shared" si="67"/>
        <v>166.8706816660474</v>
      </c>
      <c r="AB125" s="9">
        <f t="shared" si="68"/>
        <v>166.8706816660474</v>
      </c>
      <c r="AC125" s="3">
        <f t="shared" si="69"/>
        <v>1.6555498009695264</v>
      </c>
      <c r="AD125" s="3">
        <f t="shared" ref="AD125:AF125" si="80">AC125</f>
        <v>1.6555498009695264</v>
      </c>
      <c r="AE125" s="3">
        <f t="shared" si="80"/>
        <v>1.6555498009695264</v>
      </c>
      <c r="AF125" s="3">
        <f t="shared" si="80"/>
        <v>1.6555498009695264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 s="2"/>
      <c r="AO125" s="2"/>
      <c r="AP125" s="2"/>
      <c r="AQ125" s="2"/>
      <c r="AR125" s="2"/>
      <c r="AS125" s="2"/>
      <c r="AT125"/>
      <c r="AU125"/>
      <c r="AV125" s="9"/>
      <c r="BL125" s="3"/>
      <c r="BM125" s="3"/>
      <c r="BN125" s="3"/>
      <c r="BO125" s="3"/>
      <c r="BP125" s="3"/>
      <c r="BQ125" s="3"/>
    </row>
    <row r="126" spans="1:72">
      <c r="A126">
        <v>2014</v>
      </c>
      <c r="B126" s="3">
        <f>USA!Z101/USA!AU101*100</f>
        <v>88.687750298592292</v>
      </c>
      <c r="C126" s="3">
        <f t="shared" si="71"/>
        <v>88.687750298592292</v>
      </c>
      <c r="D126" s="3">
        <f t="shared" si="72"/>
        <v>88.687750298592292</v>
      </c>
      <c r="E126" s="3">
        <f t="shared" si="73"/>
        <v>88.687750298592292</v>
      </c>
      <c r="F126" s="6">
        <f>'Exchange Rates'!L53</f>
        <v>0.757387838338895</v>
      </c>
      <c r="G126" s="3">
        <f>(B126*USA!$AU101/100)/$AU93*100*$F126</f>
        <v>68.309462235289331</v>
      </c>
      <c r="H126" s="3">
        <f>(C126*USA!$AU101/100)/$AU93*100*$F126</f>
        <v>68.309462235289331</v>
      </c>
      <c r="I126" s="3">
        <f>(D126*USA!$AU101/100)/$AU93*100*$F126</f>
        <v>68.309462235289331</v>
      </c>
      <c r="J126" s="3">
        <f>(E126*USA!$AU101/100)/$AU93*100*$F126</f>
        <v>68.309462235289331</v>
      </c>
      <c r="K126" s="6">
        <f t="shared" si="75"/>
        <v>0.60106808295061809</v>
      </c>
      <c r="L126" s="6">
        <f t="shared" si="76"/>
        <v>0.60106808295061809</v>
      </c>
      <c r="M126" s="6">
        <f t="shared" si="77"/>
        <v>0.60106808295061809</v>
      </c>
      <c r="N126" s="6">
        <f t="shared" si="78"/>
        <v>0.60106808295061809</v>
      </c>
      <c r="O126">
        <v>2014</v>
      </c>
      <c r="P126" s="24">
        <f t="shared" si="56"/>
        <v>0.61368642544314278</v>
      </c>
      <c r="Q126" s="3">
        <f t="shared" si="57"/>
        <v>0.2308033565948146</v>
      </c>
      <c r="R126" s="3">
        <f t="shared" si="58"/>
        <v>0.2308033565948146</v>
      </c>
      <c r="S126" s="3">
        <f t="shared" si="59"/>
        <v>0.2308033565948146</v>
      </c>
      <c r="T126" s="3">
        <f t="shared" si="60"/>
        <v>0.2308033565948146</v>
      </c>
      <c r="U126" s="3">
        <f t="shared" si="61"/>
        <v>1.4469340690005843</v>
      </c>
      <c r="V126" s="3">
        <f t="shared" si="62"/>
        <v>1.4455578649885756</v>
      </c>
      <c r="W126" s="3">
        <f t="shared" si="63"/>
        <v>1.4455578649885756</v>
      </c>
      <c r="X126" s="3">
        <f t="shared" si="64"/>
        <v>1.4455578649885756</v>
      </c>
      <c r="Y126" s="9">
        <f t="shared" si="65"/>
        <v>160.97647508123634</v>
      </c>
      <c r="Z126" s="9">
        <f t="shared" si="66"/>
        <v>160.82336757233733</v>
      </c>
      <c r="AA126" s="9">
        <f t="shared" si="67"/>
        <v>160.82336757233733</v>
      </c>
      <c r="AB126" s="9">
        <f t="shared" si="68"/>
        <v>160.82336757233733</v>
      </c>
      <c r="AC126" s="3">
        <f t="shared" si="69"/>
        <v>1.5813013269276655</v>
      </c>
      <c r="AD126" s="3">
        <f t="shared" ref="AD126:AF126" si="81">AC126</f>
        <v>1.5813013269276655</v>
      </c>
      <c r="AE126" s="3">
        <f t="shared" si="81"/>
        <v>1.5813013269276655</v>
      </c>
      <c r="AF126" s="3">
        <f t="shared" si="81"/>
        <v>1.5813013269276655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 s="2"/>
      <c r="AO126" s="2"/>
      <c r="AP126" s="2"/>
      <c r="AQ126" s="2"/>
      <c r="AR126" s="2"/>
      <c r="AS126" s="2"/>
      <c r="AT126"/>
      <c r="AU126"/>
      <c r="AV126" s="9"/>
      <c r="BL126" s="3"/>
      <c r="BM126" s="3"/>
      <c r="BN126" s="3"/>
      <c r="BO126" s="3"/>
      <c r="BP126" s="3"/>
      <c r="BQ126" s="3"/>
    </row>
    <row r="127" spans="1:72">
      <c r="A127">
        <v>2015</v>
      </c>
      <c r="B127" s="3">
        <f>USA!Z102/USA!AU102*100</f>
        <v>45.556296925601828</v>
      </c>
      <c r="C127" s="3">
        <f t="shared" si="71"/>
        <v>45.556296925601814</v>
      </c>
      <c r="D127" s="3">
        <f t="shared" si="72"/>
        <v>45.556296925601814</v>
      </c>
      <c r="E127" s="3">
        <f t="shared" si="73"/>
        <v>45.556296925601814</v>
      </c>
      <c r="F127" s="6">
        <f>'Exchange Rates'!L54</f>
        <v>0.90592556207997499</v>
      </c>
      <c r="G127" s="3">
        <f>(B127*USA!$AU102/100)/$AU94*100*$F127</f>
        <v>41.962757045455881</v>
      </c>
      <c r="H127" s="3">
        <f>(C127*USA!$AU102/100)/$AU94*100*$F127</f>
        <v>41.962757045455866</v>
      </c>
      <c r="I127" s="3">
        <f>(D127*USA!$AU102/100)/$AU94*100*$F127</f>
        <v>41.962757045455866</v>
      </c>
      <c r="J127" s="3">
        <f>(E127*USA!$AU102/100)/$AU94*100*$F127</f>
        <v>41.962757045455866</v>
      </c>
      <c r="K127" s="6">
        <f t="shared" si="75"/>
        <v>0.45075839194419209</v>
      </c>
      <c r="L127" s="6">
        <f t="shared" si="76"/>
        <v>0.45075839194419198</v>
      </c>
      <c r="M127" s="6">
        <f t="shared" si="77"/>
        <v>0.45075839194419198</v>
      </c>
      <c r="N127" s="6">
        <f t="shared" si="78"/>
        <v>0.45075839194419198</v>
      </c>
      <c r="O127">
        <v>2015</v>
      </c>
      <c r="P127" s="24">
        <f t="shared" si="56"/>
        <v>0.61225124485518134</v>
      </c>
      <c r="Q127" s="3">
        <f t="shared" si="57"/>
        <v>0.20197183099188093</v>
      </c>
      <c r="R127" s="3">
        <f t="shared" si="58"/>
        <v>0.20197183099188093</v>
      </c>
      <c r="S127" s="3">
        <f t="shared" si="59"/>
        <v>0.20197183099188093</v>
      </c>
      <c r="T127" s="3">
        <f t="shared" si="60"/>
        <v>0.20197183099188093</v>
      </c>
      <c r="U127" s="3">
        <f t="shared" si="61"/>
        <v>1.3068601664009434</v>
      </c>
      <c r="V127" s="3">
        <f t="shared" si="62"/>
        <v>1.2649814677912543</v>
      </c>
      <c r="W127" s="3">
        <f t="shared" si="63"/>
        <v>1.2649814677912543</v>
      </c>
      <c r="X127" s="3">
        <f t="shared" si="64"/>
        <v>1.2649814677912543</v>
      </c>
      <c r="Y127" s="9">
        <f t="shared" si="65"/>
        <v>145.39276358086562</v>
      </c>
      <c r="Z127" s="9">
        <f t="shared" si="66"/>
        <v>140.73361191140935</v>
      </c>
      <c r="AA127" s="9">
        <f t="shared" si="67"/>
        <v>140.73361191140935</v>
      </c>
      <c r="AB127" s="9">
        <f t="shared" si="68"/>
        <v>140.73361191140935</v>
      </c>
      <c r="AC127" s="3">
        <f t="shared" si="69"/>
        <v>1.4282196815409196</v>
      </c>
      <c r="AD127" s="3">
        <f t="shared" ref="AD127:AF127" si="82">AC127</f>
        <v>1.4282196815409196</v>
      </c>
      <c r="AE127" s="3">
        <f t="shared" si="82"/>
        <v>1.4282196815409196</v>
      </c>
      <c r="AF127" s="3">
        <f t="shared" si="82"/>
        <v>1.4282196815409196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 s="2"/>
      <c r="AO127" s="2"/>
      <c r="AP127" s="2"/>
      <c r="AQ127" s="2"/>
      <c r="AR127" s="2"/>
      <c r="AS127" s="2"/>
      <c r="AT127"/>
      <c r="AU127"/>
      <c r="AV127" s="9"/>
      <c r="BL127" s="3"/>
      <c r="BM127" s="3"/>
      <c r="BN127" s="3"/>
      <c r="BO127" s="3"/>
      <c r="BP127" s="3"/>
      <c r="BQ127" s="3"/>
    </row>
    <row r="128" spans="1:72">
      <c r="A128">
        <v>2016</v>
      </c>
      <c r="B128" s="3">
        <f>USA!Z103/USA!AU103*100</f>
        <v>36.957692605914716</v>
      </c>
      <c r="C128" s="3">
        <f t="shared" si="71"/>
        <v>36.957692605914716</v>
      </c>
      <c r="D128" s="3">
        <f t="shared" si="72"/>
        <v>36.957692605914716</v>
      </c>
      <c r="E128" s="3">
        <f t="shared" si="73"/>
        <v>36.957692605914716</v>
      </c>
      <c r="F128" s="6">
        <f>'Exchange Rates'!L55</f>
        <v>0.90674707708863456</v>
      </c>
      <c r="G128" s="3">
        <f>(B128*USA!$AU103/100)/$AU95*100*$F128</f>
        <v>34.342767882998501</v>
      </c>
      <c r="H128" s="3">
        <f>(C128*USA!$AU103/100)/$AU95*100*$F128</f>
        <v>34.342767882998501</v>
      </c>
      <c r="I128" s="3">
        <f>(D128*USA!$AU103/100)/$AU95*100*$F128</f>
        <v>34.342767882998501</v>
      </c>
      <c r="J128" s="3">
        <f>(E128*USA!$AU103/100)/$AU95*100*$F128</f>
        <v>34.342767882998501</v>
      </c>
      <c r="K128" s="6">
        <f t="shared" si="75"/>
        <v>0.40728585113771398</v>
      </c>
      <c r="L128" s="6">
        <f t="shared" si="76"/>
        <v>0.40728585113771398</v>
      </c>
      <c r="M128" s="6">
        <f t="shared" si="77"/>
        <v>0.40728585113771398</v>
      </c>
      <c r="N128" s="6">
        <f t="shared" si="78"/>
        <v>0.40728585113771398</v>
      </c>
      <c r="O128">
        <v>2016</v>
      </c>
      <c r="P128" s="24">
        <f t="shared" si="56"/>
        <v>0.60930605129565907</v>
      </c>
      <c r="Q128" s="3">
        <f t="shared" si="57"/>
        <v>0.19315246146234086</v>
      </c>
      <c r="R128" s="3">
        <f t="shared" si="58"/>
        <v>0.19315246146234086</v>
      </c>
      <c r="S128" s="3">
        <f t="shared" si="59"/>
        <v>0.19315246146234086</v>
      </c>
      <c r="T128" s="3">
        <f t="shared" si="60"/>
        <v>0.19315246146234086</v>
      </c>
      <c r="U128" s="3">
        <f t="shared" si="61"/>
        <v>1.2152793055498539</v>
      </c>
      <c r="V128" s="3">
        <f t="shared" si="62"/>
        <v>1.2097443638957137</v>
      </c>
      <c r="W128" s="3">
        <f t="shared" si="63"/>
        <v>1.2097443638957137</v>
      </c>
      <c r="X128" s="3">
        <f t="shared" si="64"/>
        <v>1.2097443638957137</v>
      </c>
      <c r="Y128" s="9">
        <f t="shared" si="65"/>
        <v>135.20407255440003</v>
      </c>
      <c r="Z128" s="9">
        <f t="shared" si="66"/>
        <v>134.58829093977593</v>
      </c>
      <c r="AA128" s="9">
        <f t="shared" si="67"/>
        <v>134.58829093977593</v>
      </c>
      <c r="AB128" s="9">
        <f t="shared" si="68"/>
        <v>134.58829093977593</v>
      </c>
      <c r="AC128" s="3">
        <f t="shared" si="69"/>
        <v>1.3281343080000001</v>
      </c>
      <c r="AD128" s="3">
        <f t="shared" ref="AD128:AF128" si="83">AC128</f>
        <v>1.3281343080000001</v>
      </c>
      <c r="AE128" s="3">
        <f t="shared" si="83"/>
        <v>1.3281343080000001</v>
      </c>
      <c r="AF128" s="3">
        <f t="shared" si="83"/>
        <v>1.3281343080000001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 s="2"/>
      <c r="AO128" s="2"/>
      <c r="AP128" s="2"/>
      <c r="AQ128" s="2"/>
      <c r="AR128" s="2"/>
      <c r="AS128" s="2"/>
      <c r="AT128"/>
      <c r="AU128"/>
      <c r="AV128" s="9"/>
      <c r="BL128" s="3"/>
      <c r="BM128" s="3"/>
      <c r="BN128" s="3"/>
      <c r="BO128" s="3"/>
      <c r="BP128" s="3"/>
      <c r="BQ128" s="3"/>
    </row>
    <row r="129" spans="1:69">
      <c r="A129">
        <v>2017</v>
      </c>
      <c r="B129" s="3">
        <f>USA!Z104/USA!AU104*100</f>
        <v>46.705738720797434</v>
      </c>
      <c r="C129" s="3">
        <f t="shared" si="71"/>
        <v>46.705738720797434</v>
      </c>
      <c r="D129" s="3">
        <f t="shared" si="72"/>
        <v>46.705738720797434</v>
      </c>
      <c r="E129" s="3">
        <f t="shared" si="73"/>
        <v>46.705738720797434</v>
      </c>
      <c r="F129" s="6">
        <f>'Exchange Rates'!L56</f>
        <v>0.88700000000000001</v>
      </c>
      <c r="G129" s="3">
        <f>(B129*USA!$AU104/100)/$AU96*100*$F129</f>
        <v>42.618655543858623</v>
      </c>
      <c r="H129" s="3">
        <f>(C129*USA!$AU104/100)/$AU96*100*$F129</f>
        <v>42.618655543858623</v>
      </c>
      <c r="I129" s="3">
        <f>(D129*USA!$AU104/100)/$AU96*100*$F129</f>
        <v>42.618655543858623</v>
      </c>
      <c r="J129" s="3">
        <f>(E129*USA!$AU104/100)/$AU96*100*$F129</f>
        <v>42.618655543858623</v>
      </c>
      <c r="K129" s="6">
        <f t="shared" si="75"/>
        <v>0.45450033614238117</v>
      </c>
      <c r="L129" s="6">
        <f t="shared" si="76"/>
        <v>0.45450033614238117</v>
      </c>
      <c r="M129" s="6">
        <f t="shared" si="77"/>
        <v>0.45450033614238117</v>
      </c>
      <c r="N129" s="6">
        <f t="shared" si="78"/>
        <v>0.45450033614238117</v>
      </c>
      <c r="O129">
        <v>2017</v>
      </c>
      <c r="P129" s="24">
        <f t="shared" si="56"/>
        <v>0.59888544456030957</v>
      </c>
      <c r="Q129" s="3">
        <f t="shared" si="57"/>
        <v>0.20014329833351124</v>
      </c>
      <c r="R129" s="3">
        <f t="shared" si="58"/>
        <v>0.20014329833351124</v>
      </c>
      <c r="S129" s="3">
        <f t="shared" si="59"/>
        <v>0.20014329833351124</v>
      </c>
      <c r="T129" s="3">
        <f t="shared" si="60"/>
        <v>0.20014329833351124</v>
      </c>
      <c r="U129" s="3">
        <f t="shared" si="61"/>
        <v>1.2571378679488441</v>
      </c>
      <c r="V129" s="3">
        <f t="shared" si="62"/>
        <v>1.2535290790362019</v>
      </c>
      <c r="W129" s="3">
        <f t="shared" si="63"/>
        <v>1.2535290790362019</v>
      </c>
      <c r="X129" s="3">
        <f t="shared" si="64"/>
        <v>1.2535290790362019</v>
      </c>
      <c r="Y129" s="9">
        <f t="shared" si="65"/>
        <v>139.86098400000006</v>
      </c>
      <c r="Z129" s="9">
        <f t="shared" si="66"/>
        <v>139.45949361359243</v>
      </c>
      <c r="AA129" s="9">
        <f t="shared" si="67"/>
        <v>139.45949361359243</v>
      </c>
      <c r="AB129" s="9">
        <f t="shared" si="68"/>
        <v>139.45949361359243</v>
      </c>
      <c r="AC129" s="3">
        <f t="shared" si="69"/>
        <v>1.3738800000000004</v>
      </c>
      <c r="AD129" s="3">
        <f t="shared" ref="AD129:AF129" si="84">AC129</f>
        <v>1.3738800000000004</v>
      </c>
      <c r="AE129" s="3">
        <f t="shared" si="84"/>
        <v>1.3738800000000004</v>
      </c>
      <c r="AF129" s="3">
        <f t="shared" si="84"/>
        <v>1.3738800000000004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 s="2"/>
      <c r="AO129" s="2"/>
      <c r="AP129" s="2"/>
      <c r="AQ129" s="2"/>
      <c r="AR129" s="2"/>
      <c r="AS129" s="2"/>
      <c r="AT129"/>
      <c r="AU129"/>
      <c r="AV129" s="9"/>
      <c r="BL129" s="3"/>
      <c r="BM129" s="3"/>
      <c r="BN129" s="3"/>
      <c r="BO129" s="3"/>
      <c r="BP129" s="3"/>
      <c r="BQ129" s="3"/>
    </row>
    <row r="130" spans="1:69">
      <c r="A130">
        <v>2018</v>
      </c>
      <c r="B130" s="3">
        <f>USA!Z105/USA!AU105*100</f>
        <v>60.818458312139953</v>
      </c>
      <c r="C130" s="3">
        <f t="shared" si="71"/>
        <v>60.818458312139953</v>
      </c>
      <c r="D130" s="3">
        <f t="shared" si="72"/>
        <v>60.818458312139953</v>
      </c>
      <c r="E130" s="3">
        <f t="shared" si="73"/>
        <v>60.818458312139953</v>
      </c>
      <c r="F130" s="6">
        <f>'Exchange Rates'!L57</f>
        <v>0.84599999999999997</v>
      </c>
      <c r="G130" s="3">
        <f>(B130*USA!$AU105/100)/$AU97*100*$F130</f>
        <v>53.384901114008436</v>
      </c>
      <c r="H130" s="3">
        <f>(C130*USA!$AU105/100)/$AU97*100*$F130</f>
        <v>53.384901114008436</v>
      </c>
      <c r="I130" s="3">
        <f>(D130*USA!$AU105/100)/$AU97*100*$F130</f>
        <v>53.384901114008436</v>
      </c>
      <c r="J130" s="3">
        <f>(E130*USA!$AU105/100)/$AU97*100*$F130</f>
        <v>53.384901114008436</v>
      </c>
      <c r="K130" s="6">
        <f t="shared" si="75"/>
        <v>0.51592247729014684</v>
      </c>
      <c r="L130" s="6">
        <f t="shared" si="76"/>
        <v>0.51592247729014684</v>
      </c>
      <c r="M130" s="6">
        <f t="shared" si="77"/>
        <v>0.51592247729014684</v>
      </c>
      <c r="N130" s="6">
        <f t="shared" si="78"/>
        <v>0.51592247729014684</v>
      </c>
      <c r="O130">
        <v>2018</v>
      </c>
      <c r="P130" s="3">
        <f t="shared" ref="P130:P142" si="85">P129</f>
        <v>0.59888544456030957</v>
      </c>
      <c r="Q130" s="3">
        <f t="shared" si="57"/>
        <v>0.2118135051515867</v>
      </c>
      <c r="R130" s="3">
        <f t="shared" si="58"/>
        <v>0.2118135051515867</v>
      </c>
      <c r="S130" s="3">
        <f t="shared" si="59"/>
        <v>0.2118135051515867</v>
      </c>
      <c r="T130" s="3">
        <f t="shared" si="60"/>
        <v>0.2118135051515867</v>
      </c>
      <c r="U130" s="3">
        <f t="shared" si="61"/>
        <v>1.2942664327010163</v>
      </c>
      <c r="V130" s="3">
        <f t="shared" si="62"/>
        <v>1.3266214270020429</v>
      </c>
      <c r="W130" s="3">
        <f t="shared" si="63"/>
        <v>1.3266214270020429</v>
      </c>
      <c r="X130" s="3">
        <f t="shared" si="64"/>
        <v>1.3266214270020429</v>
      </c>
      <c r="Y130" s="9">
        <f t="shared" si="65"/>
        <v>143.99166666666667</v>
      </c>
      <c r="Z130" s="9">
        <f t="shared" si="66"/>
        <v>147.59127292754508</v>
      </c>
      <c r="AA130" s="9">
        <f t="shared" si="67"/>
        <v>147.59127292754508</v>
      </c>
      <c r="AB130" s="9">
        <f t="shared" si="68"/>
        <v>147.59127292754508</v>
      </c>
      <c r="AC130" s="3">
        <f t="shared" si="69"/>
        <v>1.414456450556647</v>
      </c>
      <c r="AD130" s="3">
        <f t="shared" ref="AD130:AD142" si="86">V130*$AU$96/100</f>
        <v>1.4498160405456293</v>
      </c>
      <c r="AE130" s="3">
        <f t="shared" ref="AE130:AE142" si="87">W130*$AU$96/100</f>
        <v>1.4498160405456293</v>
      </c>
      <c r="AF130" s="3">
        <f t="shared" ref="AF130:AF142" si="88">X130*$AU$96/100</f>
        <v>1.4498160405456293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 s="2"/>
      <c r="AO130" s="2"/>
      <c r="AP130" s="2"/>
      <c r="AQ130" s="2"/>
      <c r="AR130" s="2"/>
      <c r="AS130" s="2"/>
      <c r="AT130"/>
      <c r="AU130"/>
      <c r="AV130" s="9"/>
      <c r="BL130" s="3"/>
      <c r="BM130" s="3"/>
      <c r="BN130" s="3"/>
      <c r="BO130" s="3"/>
      <c r="BP130" s="3"/>
      <c r="BQ130" s="3"/>
    </row>
    <row r="131" spans="1:69">
      <c r="A131">
        <v>2019</v>
      </c>
      <c r="B131" s="3"/>
      <c r="C131" s="3">
        <f>AK131</f>
        <v>90.611761513694489</v>
      </c>
      <c r="D131" s="3">
        <f t="shared" si="72"/>
        <v>56.019786702864394</v>
      </c>
      <c r="E131" s="3">
        <f t="shared" si="73"/>
        <v>25.889074718198426</v>
      </c>
      <c r="F131" s="6">
        <f>'Exchange Rates'!L58</f>
        <v>0.86199999999999999</v>
      </c>
      <c r="G131" s="3"/>
      <c r="H131" s="3">
        <f>(C131*USA!$AU106/100)/$AU98*100*$F131</f>
        <v>81.040947810883281</v>
      </c>
      <c r="I131" s="3">
        <f>(D131*USA!$AU106/100)/$AU98*100*$F131</f>
        <v>50.102729874394015</v>
      </c>
      <c r="J131" s="3">
        <f>(E131*USA!$AU106/100)/$AU98*100*$F131</f>
        <v>23.154556517395228</v>
      </c>
      <c r="K131" s="6"/>
      <c r="L131" s="6">
        <f t="shared" si="76"/>
        <v>0.67370204796187627</v>
      </c>
      <c r="M131" s="6">
        <f t="shared" si="77"/>
        <v>0.49719747386744217</v>
      </c>
      <c r="N131" s="6">
        <f t="shared" si="78"/>
        <v>0.3434563672929053</v>
      </c>
      <c r="O131">
        <v>2019</v>
      </c>
      <c r="P131" s="3">
        <f t="shared" si="85"/>
        <v>0.59888544456030957</v>
      </c>
      <c r="Q131" s="3"/>
      <c r="R131" s="3">
        <f t="shared" si="58"/>
        <v>0.24179162357921533</v>
      </c>
      <c r="S131" s="3">
        <f t="shared" si="59"/>
        <v>0.20825575450127282</v>
      </c>
      <c r="T131" s="3">
        <f t="shared" si="60"/>
        <v>0.17904494425211082</v>
      </c>
      <c r="U131" s="3"/>
      <c r="V131" s="3">
        <f t="shared" si="62"/>
        <v>1.5143791161014011</v>
      </c>
      <c r="W131" s="3">
        <f t="shared" si="63"/>
        <v>1.3043386729290245</v>
      </c>
      <c r="X131" s="3">
        <f t="shared" si="64"/>
        <v>1.1213867561053257</v>
      </c>
      <c r="Y131" s="9"/>
      <c r="Z131" s="9">
        <f t="shared" si="66"/>
        <v>168.4799724254357</v>
      </c>
      <c r="AA131" s="9">
        <f t="shared" si="67"/>
        <v>145.11223861449295</v>
      </c>
      <c r="AB131" s="9">
        <f t="shared" si="68"/>
        <v>124.75819808797696</v>
      </c>
      <c r="AC131" s="3"/>
      <c r="AD131" s="3">
        <f t="shared" si="86"/>
        <v>1.6550095523127277</v>
      </c>
      <c r="AE131" s="3">
        <f t="shared" si="87"/>
        <v>1.4254640335411881</v>
      </c>
      <c r="AF131" s="3">
        <f t="shared" si="88"/>
        <v>1.225522574538084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 s="2"/>
      <c r="AO131" s="2"/>
      <c r="AP131" s="2"/>
      <c r="AQ131" s="2"/>
      <c r="AR131" s="2"/>
      <c r="AS131" s="2"/>
      <c r="AT131"/>
      <c r="AU131"/>
      <c r="AV131" s="9"/>
      <c r="BL131" s="3"/>
      <c r="BM131" s="3"/>
      <c r="BN131" s="3"/>
      <c r="BO131" s="3"/>
      <c r="BP131" s="3"/>
      <c r="BQ131" s="3"/>
    </row>
    <row r="132" spans="1:69">
      <c r="A132">
        <v>2020</v>
      </c>
      <c r="B132" s="3"/>
      <c r="C132" s="3">
        <f t="shared" si="71"/>
        <v>105.28223718734027</v>
      </c>
      <c r="D132" s="3">
        <f t="shared" si="72"/>
        <v>56.251630823658907</v>
      </c>
      <c r="E132" s="3">
        <f t="shared" si="73"/>
        <v>26.752043875471706</v>
      </c>
      <c r="F132" s="6">
        <f>'Exchange Rates'!L59</f>
        <v>0.86199999999999999</v>
      </c>
      <c r="G132" s="3"/>
      <c r="H132" s="3">
        <f>(C132*USA!$AU107/100)/$AU99*100*$F132</f>
        <v>94.161863170740588</v>
      </c>
      <c r="I132" s="3">
        <f>(D132*USA!$AU107/100)/$AU99*100*$F132</f>
        <v>50.31008559709155</v>
      </c>
      <c r="J132" s="3">
        <f>(E132*USA!$AU107/100)/$AU99*100*$F132</f>
        <v>23.926375067975062</v>
      </c>
      <c r="K132" s="6"/>
      <c r="L132" s="6">
        <f t="shared" si="76"/>
        <v>0.74855773558017646</v>
      </c>
      <c r="M132" s="6">
        <f t="shared" si="77"/>
        <v>0.49838045194316405</v>
      </c>
      <c r="N132" s="6">
        <f t="shared" si="78"/>
        <v>0.34785964303515815</v>
      </c>
      <c r="O132">
        <v>2020</v>
      </c>
      <c r="P132" s="3">
        <f t="shared" si="85"/>
        <v>0.59888544456030957</v>
      </c>
      <c r="Q132" s="3"/>
      <c r="R132" s="3">
        <f t="shared" si="58"/>
        <v>0.25601420422669235</v>
      </c>
      <c r="S132" s="3">
        <f t="shared" si="59"/>
        <v>0.20848052033566</v>
      </c>
      <c r="T132" s="3">
        <f t="shared" si="60"/>
        <v>0.17988156664313887</v>
      </c>
      <c r="U132" s="3"/>
      <c r="V132" s="3">
        <f t="shared" si="62"/>
        <v>1.6034573843671784</v>
      </c>
      <c r="W132" s="3">
        <f t="shared" si="63"/>
        <v>1.3057464168391335</v>
      </c>
      <c r="X132" s="3">
        <f t="shared" si="64"/>
        <v>1.1266266542386065</v>
      </c>
      <c r="Y132" s="9"/>
      <c r="Z132" s="9">
        <f t="shared" si="66"/>
        <v>178.39024127525971</v>
      </c>
      <c r="AA132" s="9">
        <f t="shared" si="67"/>
        <v>145.26885504735014</v>
      </c>
      <c r="AB132" s="9">
        <f t="shared" si="68"/>
        <v>125.34115507914308</v>
      </c>
      <c r="AC132" s="3"/>
      <c r="AD132" s="3">
        <f t="shared" si="86"/>
        <v>1.7523599339416476</v>
      </c>
      <c r="AE132" s="3">
        <f t="shared" si="87"/>
        <v>1.4270025053767206</v>
      </c>
      <c r="AF132" s="3">
        <f t="shared" si="88"/>
        <v>1.2312490675750791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 s="2"/>
      <c r="AO132" s="2"/>
      <c r="AP132" s="2"/>
      <c r="AQ132" s="2"/>
      <c r="AR132" s="2"/>
      <c r="AS132" s="2"/>
      <c r="AT132"/>
      <c r="AU132"/>
      <c r="AV132" s="9"/>
      <c r="BL132" s="3"/>
      <c r="BM132" s="3"/>
      <c r="BN132" s="3"/>
      <c r="BO132" s="3"/>
      <c r="BP132" s="3"/>
      <c r="BQ132" s="3"/>
    </row>
    <row r="133" spans="1:69">
      <c r="A133">
        <v>2021</v>
      </c>
      <c r="B133" s="3"/>
      <c r="C133" s="3">
        <f t="shared" si="71"/>
        <v>120.81568201825931</v>
      </c>
      <c r="D133" s="3">
        <f t="shared" si="72"/>
        <v>63.082289986431647</v>
      </c>
      <c r="E133" s="3">
        <f t="shared" si="73"/>
        <v>28.477982190018274</v>
      </c>
      <c r="F133" s="6">
        <f>'Exchange Rates'!L60</f>
        <v>0.86199999999999999</v>
      </c>
      <c r="G133" s="3"/>
      <c r="H133" s="3">
        <f>(C133*USA!$AU108/100)/$AU100*100*$F133</f>
        <v>108.0545970811777</v>
      </c>
      <c r="I133" s="3">
        <f>(D133*USA!$AU108/100)/$AU100*100*$F133</f>
        <v>56.419260426901417</v>
      </c>
      <c r="J133" s="3">
        <f>(E133*USA!$AU108/100)/$AU100*100*$F133</f>
        <v>25.470012169134751</v>
      </c>
      <c r="K133" s="6"/>
      <c r="L133" s="6">
        <f t="shared" si="76"/>
        <v>0.8278166989407294</v>
      </c>
      <c r="M133" s="6">
        <f t="shared" si="77"/>
        <v>0.53323369732457493</v>
      </c>
      <c r="N133" s="6">
        <f t="shared" si="78"/>
        <v>0.35666619451966408</v>
      </c>
      <c r="O133">
        <v>2021</v>
      </c>
      <c r="P133" s="3">
        <f t="shared" si="85"/>
        <v>0.59888544456030957</v>
      </c>
      <c r="Q133" s="3"/>
      <c r="R133" s="3">
        <f t="shared" si="58"/>
        <v>0.27107340726519741</v>
      </c>
      <c r="S133" s="3">
        <f t="shared" si="59"/>
        <v>0.21510263695812809</v>
      </c>
      <c r="T133" s="3">
        <f t="shared" si="60"/>
        <v>0.181554811425195</v>
      </c>
      <c r="U133" s="3"/>
      <c r="V133" s="3">
        <f t="shared" si="62"/>
        <v>1.6977755507662364</v>
      </c>
      <c r="W133" s="3">
        <f t="shared" si="63"/>
        <v>1.3472217788430128</v>
      </c>
      <c r="X133" s="3">
        <f t="shared" si="64"/>
        <v>1.1371064505051687</v>
      </c>
      <c r="Y133" s="9"/>
      <c r="Z133" s="9">
        <f t="shared" si="66"/>
        <v>188.88346711624979</v>
      </c>
      <c r="AA133" s="9">
        <f t="shared" si="67"/>
        <v>149.88313410894852</v>
      </c>
      <c r="AB133" s="9">
        <f t="shared" si="68"/>
        <v>126.50706906147531</v>
      </c>
      <c r="AC133" s="3"/>
      <c r="AD133" s="3">
        <f t="shared" si="86"/>
        <v>1.8554368086075619</v>
      </c>
      <c r="AE133" s="3">
        <f t="shared" si="87"/>
        <v>1.4723294116792585</v>
      </c>
      <c r="AF133" s="3">
        <f t="shared" si="88"/>
        <v>1.2427020536490698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 s="2"/>
      <c r="AO133" s="2"/>
      <c r="AP133" s="2"/>
      <c r="AQ133" s="2"/>
      <c r="AR133" s="2"/>
      <c r="AS133" s="2"/>
      <c r="AT133"/>
      <c r="AU133"/>
      <c r="AV133" s="9"/>
      <c r="BL133" s="3"/>
      <c r="BM133" s="3"/>
      <c r="BN133" s="3"/>
      <c r="BO133" s="3"/>
      <c r="BP133" s="3"/>
      <c r="BQ133" s="3"/>
    </row>
    <row r="134" spans="1:69">
      <c r="A134">
        <v>2022</v>
      </c>
      <c r="B134" s="3"/>
      <c r="C134" s="3">
        <f t="shared" si="71"/>
        <v>127.71943527644558</v>
      </c>
      <c r="D134" s="3">
        <f t="shared" si="72"/>
        <v>68.168185410991157</v>
      </c>
      <c r="E134" s="3">
        <f t="shared" si="73"/>
        <v>29.340951347291547</v>
      </c>
      <c r="F134" s="6">
        <f>'Exchange Rates'!L61</f>
        <v>0.86199999999999999</v>
      </c>
      <c r="G134" s="3"/>
      <c r="H134" s="3">
        <f>(C134*USA!$AU109/100)/$AU101*100*$F134</f>
        <v>114.22914548581647</v>
      </c>
      <c r="I134" s="3">
        <f>(D134*USA!$AU109/100)/$AU101*100*$F134</f>
        <v>60.967961156122385</v>
      </c>
      <c r="J134" s="3">
        <f>(E134*USA!$AU109/100)/$AU101*100*$F134</f>
        <v>26.241830719714589</v>
      </c>
      <c r="K134" s="6"/>
      <c r="L134" s="6">
        <f t="shared" si="76"/>
        <v>0.86304290487875324</v>
      </c>
      <c r="M134" s="6">
        <f t="shared" si="77"/>
        <v>0.55918433502912324</v>
      </c>
      <c r="N134" s="6">
        <f t="shared" si="78"/>
        <v>0.36106947026191705</v>
      </c>
      <c r="O134">
        <v>2022</v>
      </c>
      <c r="P134" s="3">
        <f t="shared" si="85"/>
        <v>0.59888544456030957</v>
      </c>
      <c r="Q134" s="3"/>
      <c r="R134" s="3">
        <f t="shared" si="58"/>
        <v>0.27776638639342194</v>
      </c>
      <c r="S134" s="3">
        <f t="shared" si="59"/>
        <v>0.22003325812199223</v>
      </c>
      <c r="T134" s="3">
        <f t="shared" si="60"/>
        <v>0.18239143381622305</v>
      </c>
      <c r="U134" s="3"/>
      <c r="V134" s="3">
        <f t="shared" si="62"/>
        <v>1.7396947358324848</v>
      </c>
      <c r="W134" s="3">
        <f t="shared" si="63"/>
        <v>1.3781030377114249</v>
      </c>
      <c r="X134" s="3">
        <f t="shared" si="64"/>
        <v>1.1423463486384497</v>
      </c>
      <c r="Y134" s="9"/>
      <c r="Z134" s="9">
        <f t="shared" si="66"/>
        <v>193.54712304557876</v>
      </c>
      <c r="AA134" s="9">
        <f t="shared" si="67"/>
        <v>153.3187821493197</v>
      </c>
      <c r="AB134" s="9">
        <f t="shared" si="68"/>
        <v>127.09002605264143</v>
      </c>
      <c r="AC134" s="3"/>
      <c r="AD134" s="3">
        <f t="shared" si="86"/>
        <v>1.901248752903524</v>
      </c>
      <c r="AE134" s="3">
        <f t="shared" si="87"/>
        <v>1.5060784101111955</v>
      </c>
      <c r="AF134" s="3">
        <f t="shared" si="88"/>
        <v>1.248428546686065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 s="2"/>
      <c r="AO134" s="2"/>
      <c r="AP134" s="2"/>
      <c r="AQ134" s="2"/>
      <c r="AR134" s="2"/>
      <c r="AS134" s="2"/>
      <c r="AT134"/>
      <c r="AU134"/>
      <c r="AV134" s="9"/>
      <c r="BL134" s="3"/>
      <c r="BM134" s="3"/>
      <c r="BN134" s="3"/>
      <c r="BO134" s="3"/>
      <c r="BP134" s="3"/>
      <c r="BQ134" s="3"/>
    </row>
    <row r="135" spans="1:69">
      <c r="A135">
        <v>2023</v>
      </c>
      <c r="B135" s="3"/>
      <c r="C135" s="3">
        <f t="shared" si="71"/>
        <v>132.89725022008525</v>
      </c>
      <c r="D135" s="3">
        <f t="shared" si="72"/>
        <v>70.508542947524788</v>
      </c>
      <c r="E135" s="3">
        <f t="shared" si="73"/>
        <v>29.340951347291547</v>
      </c>
      <c r="F135" s="6">
        <f>'Exchange Rates'!L62</f>
        <v>0.86199999999999999</v>
      </c>
      <c r="G135" s="3"/>
      <c r="H135" s="3">
        <f>(C135*USA!$AU110/100)/$AU102*100*$F135</f>
        <v>118.8600567892955</v>
      </c>
      <c r="I135" s="3">
        <f>(D135*USA!$AU110/100)/$AU102*100*$F135</f>
        <v>63.061119812444964</v>
      </c>
      <c r="J135" s="3">
        <f>(E135*USA!$AU110/100)/$AU102*100*$F135</f>
        <v>26.241830719714589</v>
      </c>
      <c r="K135" s="6"/>
      <c r="L135" s="6">
        <f t="shared" si="76"/>
        <v>0.88946255933227081</v>
      </c>
      <c r="M135" s="6">
        <f t="shared" si="77"/>
        <v>0.57112594323373</v>
      </c>
      <c r="N135" s="6">
        <f t="shared" si="78"/>
        <v>0.36106947026191705</v>
      </c>
      <c r="O135">
        <v>2023</v>
      </c>
      <c r="P135" s="3">
        <f t="shared" si="85"/>
        <v>0.59888544456030957</v>
      </c>
      <c r="Q135" s="3"/>
      <c r="R135" s="3">
        <f t="shared" si="58"/>
        <v>0.28278612073959025</v>
      </c>
      <c r="S135" s="3">
        <f t="shared" si="59"/>
        <v>0.22230216368086755</v>
      </c>
      <c r="T135" s="3">
        <f t="shared" si="60"/>
        <v>0.18239143381622305</v>
      </c>
      <c r="U135" s="3"/>
      <c r="V135" s="3">
        <f t="shared" si="62"/>
        <v>1.7711341246321706</v>
      </c>
      <c r="W135" s="3">
        <f t="shared" si="63"/>
        <v>1.3923135514749072</v>
      </c>
      <c r="X135" s="3">
        <f t="shared" si="64"/>
        <v>1.1423463486384497</v>
      </c>
      <c r="Y135" s="9"/>
      <c r="Z135" s="9">
        <f t="shared" si="66"/>
        <v>197.04486499257544</v>
      </c>
      <c r="AA135" s="9">
        <f t="shared" si="67"/>
        <v>154.89975149944277</v>
      </c>
      <c r="AB135" s="9">
        <f t="shared" si="68"/>
        <v>127.09002605264143</v>
      </c>
      <c r="AC135" s="3"/>
      <c r="AD135" s="3">
        <f t="shared" si="86"/>
        <v>1.9356077111254952</v>
      </c>
      <c r="AE135" s="3">
        <f t="shared" si="87"/>
        <v>1.521608560898259</v>
      </c>
      <c r="AF135" s="3">
        <f t="shared" si="88"/>
        <v>1.248428546686065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 s="2"/>
      <c r="AO135" s="2"/>
      <c r="AP135" s="2"/>
      <c r="AQ135" s="2"/>
      <c r="AR135" s="2"/>
      <c r="AS135" s="2"/>
      <c r="AT135"/>
      <c r="AU135"/>
      <c r="AV135" s="9"/>
      <c r="BL135" s="3"/>
      <c r="BM135" s="3"/>
      <c r="BN135" s="3"/>
      <c r="BO135" s="3"/>
      <c r="BP135" s="3"/>
      <c r="BQ135" s="3"/>
    </row>
    <row r="136" spans="1:69">
      <c r="A136">
        <v>2024</v>
      </c>
      <c r="B136" s="3"/>
      <c r="C136" s="3">
        <f t="shared" si="71"/>
        <v>137.21209600645167</v>
      </c>
      <c r="D136" s="3">
        <f t="shared" si="72"/>
        <v>71.127304204880986</v>
      </c>
      <c r="E136" s="3">
        <f t="shared" si="73"/>
        <v>29.340951347291547</v>
      </c>
      <c r="F136" s="6">
        <f>'Exchange Rates'!L63</f>
        <v>0.86199999999999999</v>
      </c>
      <c r="G136" s="3"/>
      <c r="H136" s="3">
        <f>(C136*USA!$AU111/100)/$AU103*100*$F136</f>
        <v>122.7191495421947</v>
      </c>
      <c r="I136" s="3">
        <f>(D136*USA!$AU111/100)/$AU103*100*$F136</f>
        <v>63.614524778059959</v>
      </c>
      <c r="J136" s="3">
        <f>(E136*USA!$AU111/100)/$AU103*100*$F136</f>
        <v>26.241830719714589</v>
      </c>
      <c r="K136" s="6"/>
      <c r="L136" s="6">
        <f t="shared" si="76"/>
        <v>0.91147893804353552</v>
      </c>
      <c r="M136" s="6">
        <f t="shared" si="77"/>
        <v>0.5742831550666202</v>
      </c>
      <c r="N136" s="6">
        <f t="shared" si="78"/>
        <v>0.36106947026191705</v>
      </c>
      <c r="O136">
        <v>2024</v>
      </c>
      <c r="P136" s="3">
        <f t="shared" si="85"/>
        <v>0.59888544456030957</v>
      </c>
      <c r="Q136" s="3"/>
      <c r="R136" s="3">
        <f t="shared" si="58"/>
        <v>0.28696923269473057</v>
      </c>
      <c r="S136" s="3">
        <f t="shared" si="59"/>
        <v>0.22290203392911667</v>
      </c>
      <c r="T136" s="3">
        <f t="shared" si="60"/>
        <v>0.18239143381622305</v>
      </c>
      <c r="U136" s="3"/>
      <c r="V136" s="3">
        <f t="shared" si="62"/>
        <v>1.7973336152985757</v>
      </c>
      <c r="W136" s="3">
        <f t="shared" si="63"/>
        <v>1.3960706335560467</v>
      </c>
      <c r="X136" s="3">
        <f t="shared" si="64"/>
        <v>1.1423463486384497</v>
      </c>
      <c r="Y136" s="9"/>
      <c r="Z136" s="9">
        <f t="shared" si="66"/>
        <v>199.95964994840602</v>
      </c>
      <c r="AA136" s="9">
        <f t="shared" si="67"/>
        <v>155.31774001942452</v>
      </c>
      <c r="AB136" s="9">
        <f t="shared" si="68"/>
        <v>127.09002605264143</v>
      </c>
      <c r="AC136" s="3"/>
      <c r="AD136" s="3">
        <f t="shared" si="86"/>
        <v>1.9642401763104718</v>
      </c>
      <c r="AE136" s="3">
        <f t="shared" si="87"/>
        <v>1.5257145385012227</v>
      </c>
      <c r="AF136" s="3">
        <f t="shared" si="88"/>
        <v>1.248428546686065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 s="2"/>
      <c r="AO136" s="2"/>
      <c r="AP136" s="2"/>
      <c r="AQ136" s="2"/>
      <c r="AR136" s="2"/>
      <c r="AS136" s="2"/>
      <c r="AT136"/>
      <c r="AU136"/>
      <c r="AV136" s="9"/>
      <c r="BL136" s="3"/>
      <c r="BM136" s="3"/>
      <c r="BN136" s="3"/>
      <c r="BO136" s="3"/>
      <c r="BP136" s="3"/>
      <c r="BQ136" s="3"/>
    </row>
    <row r="137" spans="1:69">
      <c r="A137">
        <v>2025</v>
      </c>
      <c r="B137" s="3"/>
      <c r="C137" s="3">
        <f t="shared" si="71"/>
        <v>141.52694179281806</v>
      </c>
      <c r="D137" s="3">
        <f t="shared" si="72"/>
        <v>74.364924740814473</v>
      </c>
      <c r="E137" s="3">
        <f t="shared" si="73"/>
        <v>30.203920504564827</v>
      </c>
      <c r="F137" s="6">
        <f>'Exchange Rates'!L64</f>
        <v>0.86199999999999999</v>
      </c>
      <c r="G137" s="3"/>
      <c r="H137" s="3">
        <f>(C137*USA!$AU112/100)/$AU104*100*$F137</f>
        <v>126.5782422950939</v>
      </c>
      <c r="I137" s="3">
        <f>(D137*USA!$AU112/100)/$AU104*100*$F137</f>
        <v>66.510173560303045</v>
      </c>
      <c r="J137" s="3">
        <f>(E137*USA!$AU112/100)/$AU104*100*$F137</f>
        <v>27.013649270294426</v>
      </c>
      <c r="K137" s="6"/>
      <c r="L137" s="6">
        <f t="shared" si="76"/>
        <v>0.93349531675480024</v>
      </c>
      <c r="M137" s="6">
        <f t="shared" si="77"/>
        <v>0.59080302237397686</v>
      </c>
      <c r="N137" s="6">
        <f t="shared" si="78"/>
        <v>0.36547274600416996</v>
      </c>
      <c r="O137">
        <v>2025</v>
      </c>
      <c r="P137" s="3">
        <f t="shared" si="85"/>
        <v>0.59888544456030957</v>
      </c>
      <c r="Q137" s="3"/>
      <c r="R137" s="3">
        <f t="shared" si="58"/>
        <v>0.29115234464987089</v>
      </c>
      <c r="S137" s="3">
        <f t="shared" si="59"/>
        <v>0.22604080871751442</v>
      </c>
      <c r="T137" s="3">
        <f t="shared" si="60"/>
        <v>0.18322805620725113</v>
      </c>
      <c r="U137" s="3"/>
      <c r="V137" s="3">
        <f t="shared" si="62"/>
        <v>1.8235331059649809</v>
      </c>
      <c r="W137" s="3">
        <f t="shared" si="63"/>
        <v>1.4157292756518007</v>
      </c>
      <c r="X137" s="3">
        <f t="shared" si="64"/>
        <v>1.1475862467717306</v>
      </c>
      <c r="Y137" s="9"/>
      <c r="Z137" s="9">
        <f t="shared" si="66"/>
        <v>202.87443490423664</v>
      </c>
      <c r="AA137" s="9">
        <f t="shared" si="67"/>
        <v>157.50483269852904</v>
      </c>
      <c r="AB137" s="9">
        <f t="shared" si="68"/>
        <v>127.67298304380755</v>
      </c>
      <c r="AC137" s="3"/>
      <c r="AD137" s="3">
        <f t="shared" si="86"/>
        <v>1.9928726414954481</v>
      </c>
      <c r="AE137" s="3">
        <f t="shared" si="87"/>
        <v>1.5471987494943911</v>
      </c>
      <c r="AF137" s="3">
        <f t="shared" si="88"/>
        <v>1.2541550397230601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 s="2"/>
      <c r="AO137" s="2"/>
      <c r="AP137" s="2"/>
      <c r="AQ137" s="2"/>
      <c r="AR137" s="2"/>
      <c r="AS137" s="2"/>
      <c r="AT137"/>
      <c r="AU137"/>
      <c r="AV137" s="9"/>
      <c r="BL137" s="3"/>
      <c r="BM137" s="3"/>
      <c r="BN137" s="3"/>
      <c r="BO137" s="3"/>
      <c r="BP137" s="3"/>
      <c r="BQ137" s="3"/>
    </row>
    <row r="138" spans="1:69">
      <c r="A138">
        <v>2026</v>
      </c>
      <c r="B138" s="3"/>
      <c r="C138" s="3">
        <f t="shared" si="71"/>
        <v>145.84178757918448</v>
      </c>
      <c r="D138" s="3">
        <f t="shared" si="72"/>
        <v>80.055420065999314</v>
      </c>
      <c r="E138" s="3">
        <f t="shared" si="73"/>
        <v>31.066889661838108</v>
      </c>
      <c r="F138" s="6">
        <f>'Exchange Rates'!L65</f>
        <v>0.86199999999999999</v>
      </c>
      <c r="G138" s="3"/>
      <c r="H138" s="3">
        <f>(C138*USA!$AU113/100)/$AU105*100*$F138</f>
        <v>130.43733504799312</v>
      </c>
      <c r="I138" s="3">
        <f>(D138*USA!$AU113/100)/$AU105*100*$F138</f>
        <v>71.599613683334795</v>
      </c>
      <c r="J138" s="3">
        <f>(E138*USA!$AU113/100)/$AU105*100*$F138</f>
        <v>27.785467820874267</v>
      </c>
      <c r="K138" s="6"/>
      <c r="L138" s="6">
        <f t="shared" si="76"/>
        <v>0.95551169546606507</v>
      </c>
      <c r="M138" s="6">
        <f t="shared" si="77"/>
        <v>0.61983861398881757</v>
      </c>
      <c r="N138" s="6">
        <f t="shared" si="78"/>
        <v>0.36987602174642292</v>
      </c>
      <c r="O138">
        <v>2026</v>
      </c>
      <c r="P138" s="3">
        <f t="shared" si="85"/>
        <v>0.59888544456030957</v>
      </c>
      <c r="Q138" s="3"/>
      <c r="R138" s="3">
        <f t="shared" si="58"/>
        <v>0.2953354566050112</v>
      </c>
      <c r="S138" s="3">
        <f t="shared" si="59"/>
        <v>0.23155757112433417</v>
      </c>
      <c r="T138" s="3">
        <f t="shared" si="60"/>
        <v>0.18406467859827919</v>
      </c>
      <c r="U138" s="3"/>
      <c r="V138" s="3">
        <f t="shared" si="62"/>
        <v>1.849732596631386</v>
      </c>
      <c r="W138" s="3">
        <f t="shared" si="63"/>
        <v>1.4502816296734613</v>
      </c>
      <c r="X138" s="3">
        <f t="shared" si="64"/>
        <v>1.1528261449050117</v>
      </c>
      <c r="Y138" s="9"/>
      <c r="Z138" s="9">
        <f t="shared" si="66"/>
        <v>205.78921986006722</v>
      </c>
      <c r="AA138" s="9">
        <f t="shared" si="67"/>
        <v>161.34890291245918</v>
      </c>
      <c r="AB138" s="9">
        <f t="shared" si="68"/>
        <v>128.25594003497366</v>
      </c>
      <c r="AC138" s="3"/>
      <c r="AD138" s="3">
        <f t="shared" si="86"/>
        <v>2.0215051066804244</v>
      </c>
      <c r="AE138" s="3">
        <f t="shared" si="87"/>
        <v>1.5849597535605029</v>
      </c>
      <c r="AF138" s="3">
        <f t="shared" si="88"/>
        <v>1.2598815327600554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 s="2"/>
      <c r="AO138" s="2"/>
      <c r="AP138" s="2"/>
      <c r="AQ138" s="2"/>
      <c r="AR138" s="2"/>
      <c r="AS138" s="2"/>
      <c r="AT138"/>
      <c r="AU138"/>
      <c r="AV138" s="9"/>
      <c r="BL138" s="3"/>
      <c r="BM138" s="3"/>
      <c r="BN138" s="3"/>
      <c r="BO138" s="3"/>
      <c r="BP138" s="3"/>
      <c r="BQ138" s="3"/>
    </row>
    <row r="139" spans="1:69">
      <c r="A139">
        <v>2027</v>
      </c>
      <c r="B139" s="3"/>
      <c r="C139" s="3">
        <f t="shared" si="71"/>
        <v>150.15663336555087</v>
      </c>
      <c r="D139" s="3">
        <f t="shared" si="72"/>
        <v>82.98815737026753</v>
      </c>
      <c r="E139" s="3">
        <f t="shared" si="73"/>
        <v>31.929858819111395</v>
      </c>
      <c r="F139" s="6">
        <f>'Exchange Rates'!L66</f>
        <v>0.86199999999999999</v>
      </c>
      <c r="G139" s="3"/>
      <c r="H139" s="3">
        <f>(C139*USA!$AU114/100)/$AU106*100*$F139</f>
        <v>134.2964278008923</v>
      </c>
      <c r="I139" s="3">
        <f>(D139*USA!$AU114/100)/$AU106*100*$F139</f>
        <v>74.222582344884444</v>
      </c>
      <c r="J139" s="3">
        <f>(E139*USA!$AU114/100)/$AU106*100*$F139</f>
        <v>28.557286371454119</v>
      </c>
      <c r="K139" s="6"/>
      <c r="L139" s="6">
        <f t="shared" si="76"/>
        <v>0.97752807417732968</v>
      </c>
      <c r="M139" s="6">
        <f t="shared" si="77"/>
        <v>0.63480282322091541</v>
      </c>
      <c r="N139" s="6">
        <f t="shared" si="78"/>
        <v>0.37427929748867594</v>
      </c>
      <c r="O139">
        <v>2027</v>
      </c>
      <c r="P139" s="3">
        <f t="shared" si="85"/>
        <v>0.59888544456030957</v>
      </c>
      <c r="Q139" s="3"/>
      <c r="R139" s="3">
        <f t="shared" si="58"/>
        <v>0.29951856856015147</v>
      </c>
      <c r="S139" s="3">
        <f t="shared" si="59"/>
        <v>0.23440077087843278</v>
      </c>
      <c r="T139" s="3">
        <f t="shared" si="60"/>
        <v>0.18490130098930724</v>
      </c>
      <c r="U139" s="3"/>
      <c r="V139" s="3">
        <f t="shared" si="62"/>
        <v>1.8759320872977905</v>
      </c>
      <c r="W139" s="3">
        <f t="shared" si="63"/>
        <v>1.4680890386596579</v>
      </c>
      <c r="X139" s="3">
        <f t="shared" si="64"/>
        <v>1.1580660430382927</v>
      </c>
      <c r="Y139" s="9"/>
      <c r="Z139" s="9">
        <f t="shared" si="66"/>
        <v>208.70400481589772</v>
      </c>
      <c r="AA139" s="9">
        <f t="shared" si="67"/>
        <v>163.33003943439334</v>
      </c>
      <c r="AB139" s="9">
        <f t="shared" si="68"/>
        <v>128.83889702613979</v>
      </c>
      <c r="AC139" s="3"/>
      <c r="AD139" s="3">
        <f t="shared" si="86"/>
        <v>2.0501375718654002</v>
      </c>
      <c r="AE139" s="3">
        <f t="shared" si="87"/>
        <v>1.6044208195912901</v>
      </c>
      <c r="AF139" s="3">
        <f t="shared" si="88"/>
        <v>1.2656080257970508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 s="2"/>
      <c r="AO139" s="2"/>
      <c r="AP139" s="2"/>
      <c r="AQ139" s="2"/>
      <c r="AR139" s="2"/>
      <c r="AS139" s="2"/>
      <c r="AT139"/>
      <c r="AU139"/>
      <c r="AV139" s="9"/>
      <c r="BL139" s="3"/>
      <c r="BM139" s="3"/>
      <c r="BN139" s="3"/>
      <c r="BO139" s="3"/>
      <c r="BP139" s="3"/>
      <c r="BQ139" s="3"/>
    </row>
    <row r="140" spans="1:69">
      <c r="A140">
        <v>2028</v>
      </c>
      <c r="B140" s="3"/>
      <c r="C140" s="3">
        <f t="shared" si="71"/>
        <v>153.60850999464401</v>
      </c>
      <c r="D140" s="3">
        <f t="shared" si="72"/>
        <v>84.844653255379882</v>
      </c>
      <c r="E140" s="3">
        <f t="shared" si="73"/>
        <v>31.929858819111395</v>
      </c>
      <c r="F140" s="6">
        <f>'Exchange Rates'!L67</f>
        <v>0.86199999999999999</v>
      </c>
      <c r="G140" s="3"/>
      <c r="H140" s="3">
        <f>(C140*USA!$AU115/100)/$AU107*100*$F140</f>
        <v>137.38370200321171</v>
      </c>
      <c r="I140" s="3">
        <f>(D140*USA!$AU115/100)/$AU107*100*$F140</f>
        <v>75.882986950458417</v>
      </c>
      <c r="J140" s="3">
        <f>(E140*USA!$AU115/100)/$AU107*100*$F140</f>
        <v>28.557286371454119</v>
      </c>
      <c r="K140" s="6"/>
      <c r="L140" s="6">
        <f t="shared" si="76"/>
        <v>0.99514117714634176</v>
      </c>
      <c r="M140" s="6">
        <f t="shared" si="77"/>
        <v>0.64427554102039863</v>
      </c>
      <c r="N140" s="6">
        <f t="shared" si="78"/>
        <v>0.37427929748867594</v>
      </c>
      <c r="O140">
        <v>2028</v>
      </c>
      <c r="P140" s="3">
        <f t="shared" si="85"/>
        <v>0.59888544456030957</v>
      </c>
      <c r="Q140" s="3"/>
      <c r="R140" s="3">
        <f t="shared" si="58"/>
        <v>0.30286505812426379</v>
      </c>
      <c r="S140" s="3">
        <f t="shared" si="59"/>
        <v>0.23620058726033455</v>
      </c>
      <c r="T140" s="3">
        <f t="shared" si="60"/>
        <v>0.18490130098930724</v>
      </c>
      <c r="U140" s="3"/>
      <c r="V140" s="3">
        <f t="shared" si="62"/>
        <v>1.8968916798309152</v>
      </c>
      <c r="W140" s="3">
        <f t="shared" si="63"/>
        <v>1.4793615728410427</v>
      </c>
      <c r="X140" s="3">
        <f t="shared" si="64"/>
        <v>1.1580660430382927</v>
      </c>
      <c r="Y140" s="9"/>
      <c r="Z140" s="9">
        <f t="shared" si="66"/>
        <v>211.03583278056229</v>
      </c>
      <c r="AA140" s="9">
        <f t="shared" si="67"/>
        <v>164.58414828194122</v>
      </c>
      <c r="AB140" s="9">
        <f t="shared" si="68"/>
        <v>128.83889702613979</v>
      </c>
      <c r="AC140" s="3"/>
      <c r="AD140" s="3">
        <f t="shared" si="86"/>
        <v>2.0730435440133821</v>
      </c>
      <c r="AE140" s="3">
        <f t="shared" si="87"/>
        <v>1.6167401599404834</v>
      </c>
      <c r="AF140" s="3">
        <f t="shared" si="88"/>
        <v>1.2656080257970508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 s="2"/>
      <c r="AO140" s="2"/>
      <c r="AP140" s="2"/>
      <c r="AQ140" s="2"/>
      <c r="AR140" s="2"/>
      <c r="AS140" s="2"/>
      <c r="AT140"/>
      <c r="AU140"/>
      <c r="AV140" s="9"/>
      <c r="BL140" s="3"/>
      <c r="BM140" s="3"/>
      <c r="BN140" s="3"/>
      <c r="BO140" s="3"/>
      <c r="BP140" s="3"/>
      <c r="BQ140" s="3"/>
    </row>
    <row r="141" spans="1:69">
      <c r="A141">
        <v>2029</v>
      </c>
      <c r="B141" s="3"/>
      <c r="C141" s="3">
        <f t="shared" si="71"/>
        <v>157.9233557810104</v>
      </c>
      <c r="D141" s="3">
        <f t="shared" si="72"/>
        <v>87.361009569245411</v>
      </c>
      <c r="E141" s="3">
        <f t="shared" si="73"/>
        <v>31.929858819111395</v>
      </c>
      <c r="F141" s="6">
        <f>'Exchange Rates'!L68</f>
        <v>0.86199999999999999</v>
      </c>
      <c r="G141" s="3"/>
      <c r="H141" s="3">
        <f>(C141*USA!$AU116/100)/$AU108*100*$F141</f>
        <v>141.24279475611087</v>
      </c>
      <c r="I141" s="3">
        <f>(D141*USA!$AU116/100)/$AU108*100*$F141</f>
        <v>78.133554617380355</v>
      </c>
      <c r="J141" s="3">
        <f>(E141*USA!$AU116/100)/$AU108*100*$F141</f>
        <v>28.557286371454119</v>
      </c>
      <c r="K141" s="6"/>
      <c r="L141" s="6">
        <f t="shared" si="76"/>
        <v>1.0171575558576063</v>
      </c>
      <c r="M141" s="6">
        <f t="shared" si="77"/>
        <v>0.65711517801358987</v>
      </c>
      <c r="N141" s="6">
        <f t="shared" si="78"/>
        <v>0.37427929748867594</v>
      </c>
      <c r="O141">
        <v>2029</v>
      </c>
      <c r="P141" s="3">
        <f t="shared" si="85"/>
        <v>0.59888544456030957</v>
      </c>
      <c r="Q141" s="3"/>
      <c r="R141" s="3">
        <f t="shared" si="58"/>
        <v>0.30704817007940399</v>
      </c>
      <c r="S141" s="3">
        <f t="shared" si="59"/>
        <v>0.23864011828904089</v>
      </c>
      <c r="T141" s="3">
        <f t="shared" si="60"/>
        <v>0.18490130098930724</v>
      </c>
      <c r="U141" s="3"/>
      <c r="V141" s="3">
        <f t="shared" si="62"/>
        <v>1.9230911704973197</v>
      </c>
      <c r="W141" s="3">
        <f t="shared" si="63"/>
        <v>1.4946407408629403</v>
      </c>
      <c r="X141" s="3">
        <f t="shared" si="64"/>
        <v>1.1580660430382927</v>
      </c>
      <c r="Y141" s="9"/>
      <c r="Z141" s="9">
        <f t="shared" si="66"/>
        <v>213.95061773639284</v>
      </c>
      <c r="AA141" s="9">
        <f t="shared" si="67"/>
        <v>166.28400915537955</v>
      </c>
      <c r="AB141" s="9">
        <f t="shared" si="68"/>
        <v>128.83889702613979</v>
      </c>
      <c r="AC141" s="3"/>
      <c r="AD141" s="3">
        <f t="shared" si="86"/>
        <v>2.1016760091983575</v>
      </c>
      <c r="AE141" s="3">
        <f t="shared" si="87"/>
        <v>1.6334382038838853</v>
      </c>
      <c r="AF141" s="3">
        <f t="shared" si="88"/>
        <v>1.2656080257970508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 s="2"/>
      <c r="AO141" s="2"/>
      <c r="AP141" s="2"/>
      <c r="AQ141" s="2"/>
      <c r="AR141" s="2"/>
      <c r="AS141" s="2"/>
      <c r="AT141"/>
      <c r="AU141"/>
      <c r="AV141" s="9"/>
      <c r="BL141" s="3"/>
      <c r="BM141" s="3"/>
      <c r="BN141" s="3"/>
      <c r="BO141" s="3"/>
      <c r="BP141" s="3"/>
      <c r="BQ141" s="3"/>
    </row>
    <row r="142" spans="1:69">
      <c r="A142">
        <v>2030</v>
      </c>
      <c r="B142" s="3"/>
      <c r="C142" s="3">
        <f t="shared" si="71"/>
        <v>160.51226325283022</v>
      </c>
      <c r="D142" s="3">
        <f t="shared" si="72"/>
        <v>89.285088706337618</v>
      </c>
      <c r="E142" s="3">
        <f t="shared" si="73"/>
        <v>32.792827976384679</v>
      </c>
      <c r="F142" s="6">
        <f>'Exchange Rates'!L69</f>
        <v>0.86199999999999999</v>
      </c>
      <c r="G142" s="3"/>
      <c r="H142" s="3">
        <f>(C142*USA!$AU117/100)/$AU109*100*$F142</f>
        <v>143.55825040785038</v>
      </c>
      <c r="I142" s="3">
        <f>(D142*USA!$AU117/100)/$AU109*100*$F142</f>
        <v>79.85440403392694</v>
      </c>
      <c r="J142" s="3">
        <f>(E142*USA!$AU117/100)/$AU109*100*$F142</f>
        <v>29.329104922033956</v>
      </c>
      <c r="K142" s="6"/>
      <c r="L142" s="6">
        <f t="shared" si="76"/>
        <v>1.0303673830843652</v>
      </c>
      <c r="M142" s="6">
        <f t="shared" si="77"/>
        <v>0.66693273744677151</v>
      </c>
      <c r="N142" s="6">
        <f t="shared" si="78"/>
        <v>0.37868257323092885</v>
      </c>
      <c r="O142">
        <v>2030</v>
      </c>
      <c r="P142" s="3">
        <f t="shared" si="85"/>
        <v>0.59888544456030957</v>
      </c>
      <c r="Q142" s="3"/>
      <c r="R142" s="3">
        <f t="shared" si="58"/>
        <v>0.30955803725248821</v>
      </c>
      <c r="S142" s="3">
        <f t="shared" si="59"/>
        <v>0.2405054545813454</v>
      </c>
      <c r="T142" s="3">
        <f t="shared" si="60"/>
        <v>0.18573792338033532</v>
      </c>
      <c r="U142" s="3"/>
      <c r="V142" s="3">
        <f t="shared" si="62"/>
        <v>1.9388108648971629</v>
      </c>
      <c r="W142" s="3">
        <f t="shared" si="63"/>
        <v>1.5063236365884265</v>
      </c>
      <c r="X142" s="3">
        <f t="shared" si="64"/>
        <v>1.1633059411715738</v>
      </c>
      <c r="Y142" s="9"/>
      <c r="Z142" s="9">
        <f t="shared" si="66"/>
        <v>215.69948870989123</v>
      </c>
      <c r="AA142" s="9">
        <f t="shared" si="67"/>
        <v>167.58377215973636</v>
      </c>
      <c r="AB142" s="9">
        <f t="shared" si="68"/>
        <v>129.42185401730592</v>
      </c>
      <c r="AC142" s="3"/>
      <c r="AD142" s="3">
        <f t="shared" si="86"/>
        <v>2.1188554883093436</v>
      </c>
      <c r="AE142" s="3">
        <f t="shared" si="87"/>
        <v>1.6462060133569387</v>
      </c>
      <c r="AF142" s="3">
        <f t="shared" si="88"/>
        <v>1.2713345188340461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 s="2"/>
      <c r="AO142" s="2"/>
      <c r="AP142" s="2"/>
      <c r="AQ142" s="2"/>
      <c r="AR142" s="2"/>
      <c r="AS142" s="2"/>
      <c r="AT142"/>
      <c r="AU142"/>
      <c r="AV142" s="9"/>
      <c r="BL142" s="3"/>
      <c r="BM142" s="3"/>
      <c r="BN142" s="3"/>
      <c r="BO142" s="3"/>
      <c r="BP142" s="3"/>
      <c r="BQ142" s="3"/>
    </row>
    <row r="143" spans="1:69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 s="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 s="2"/>
      <c r="AO143" s="2"/>
      <c r="AP143" s="2"/>
      <c r="AQ143" s="2"/>
      <c r="AR143" s="2"/>
      <c r="AS143" s="2"/>
      <c r="AT143"/>
      <c r="AU143"/>
      <c r="AV143" s="9"/>
      <c r="BL143" s="3"/>
      <c r="BM143" s="3"/>
      <c r="BN143" s="3"/>
      <c r="BO143" s="3"/>
      <c r="BP143" s="3"/>
      <c r="BQ143" s="3"/>
    </row>
    <row r="144" spans="1:69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 s="2"/>
      <c r="AO144" s="2"/>
      <c r="AP144" s="2"/>
      <c r="AQ144" s="2"/>
      <c r="AR144" s="2"/>
      <c r="AS144" s="2"/>
      <c r="AT144"/>
      <c r="AU144"/>
      <c r="AV144" s="9"/>
      <c r="BL144" s="3"/>
      <c r="BM144" s="3"/>
      <c r="BN144" s="3"/>
      <c r="BO144" s="3"/>
      <c r="BP144" s="3"/>
      <c r="BQ144" s="3"/>
    </row>
    <row r="145" spans="2:70">
      <c r="B145" s="2"/>
      <c r="C145" s="2"/>
      <c r="G145" s="32"/>
      <c r="J145" s="2"/>
      <c r="K145" s="2"/>
      <c r="L145" s="37"/>
      <c r="M145" s="32"/>
      <c r="N145" s="32"/>
      <c r="O145" s="32"/>
      <c r="Q145" s="2"/>
      <c r="R145" s="2"/>
      <c r="S145" s="2"/>
      <c r="U145" s="37"/>
      <c r="X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 s="2"/>
      <c r="AO145" s="2"/>
      <c r="AP145" s="2"/>
      <c r="AQ145" s="2"/>
      <c r="AR145" s="2"/>
      <c r="AS145" s="2"/>
      <c r="AT145"/>
      <c r="AU145"/>
      <c r="AV145" s="9"/>
      <c r="BL145" s="3"/>
      <c r="BM145" s="3"/>
      <c r="BN145" s="3"/>
      <c r="BO145" s="3"/>
      <c r="BP145" s="3"/>
      <c r="BQ145" s="3"/>
    </row>
    <row r="146" spans="2:70">
      <c r="B146" s="2"/>
      <c r="C146" s="2"/>
      <c r="G146" s="32"/>
      <c r="J146" s="2"/>
      <c r="K146" s="2"/>
      <c r="L146" s="37"/>
      <c r="M146" s="32"/>
      <c r="N146" s="32"/>
      <c r="O146" s="32"/>
      <c r="Q146" s="2"/>
      <c r="R146" s="2"/>
      <c r="S146" s="2">
        <v>1.6444875337511538</v>
      </c>
      <c r="U146" s="37"/>
      <c r="X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 s="2"/>
      <c r="AO146" s="2"/>
      <c r="AP146" s="2"/>
      <c r="AQ146" s="2"/>
      <c r="AR146" s="2"/>
      <c r="AS146" s="2"/>
      <c r="AT146"/>
      <c r="AU146"/>
      <c r="AV146" s="9"/>
      <c r="BL146" s="3"/>
      <c r="BM146" s="3"/>
      <c r="BN146" s="3"/>
      <c r="BO146" s="3"/>
      <c r="BP146" s="3"/>
      <c r="BQ146" s="3"/>
    </row>
    <row r="147" spans="2:70">
      <c r="B147" s="2"/>
      <c r="C147" s="2"/>
      <c r="G147" s="32"/>
      <c r="J147" s="2"/>
      <c r="K147" s="2"/>
      <c r="L147" s="37"/>
      <c r="M147" s="32"/>
      <c r="N147" s="32"/>
      <c r="O147" s="32"/>
      <c r="Q147" s="2"/>
      <c r="R147" s="2"/>
      <c r="S147" s="2">
        <v>1.3043386729290245</v>
      </c>
      <c r="U147" s="37"/>
      <c r="X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 s="2"/>
      <c r="AO147" s="2"/>
      <c r="AP147" s="2"/>
      <c r="AQ147" s="2"/>
      <c r="AR147" s="2"/>
      <c r="AS147" s="2"/>
      <c r="AT147"/>
      <c r="AU147"/>
      <c r="AV147" s="9"/>
      <c r="BL147" s="3"/>
      <c r="BM147" s="3"/>
      <c r="BN147" s="3"/>
      <c r="BO147" s="3"/>
      <c r="BP147" s="3"/>
      <c r="BQ147" s="3"/>
    </row>
    <row r="148" spans="2:70">
      <c r="B148" s="2"/>
      <c r="C148" s="2"/>
      <c r="G148" s="32"/>
      <c r="J148" s="2"/>
      <c r="K148" s="2"/>
      <c r="L148" s="37"/>
      <c r="M148" s="32"/>
      <c r="N148" s="32"/>
      <c r="O148" s="32"/>
      <c r="Q148" s="2"/>
      <c r="R148" s="2"/>
      <c r="S148" s="2">
        <f>S146/S147-1</f>
        <v>0.26078262331844426</v>
      </c>
      <c r="U148" s="37"/>
      <c r="X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 s="2"/>
      <c r="AO148" s="2"/>
      <c r="AP148" s="2"/>
      <c r="AQ148" s="2"/>
      <c r="AR148" s="2"/>
      <c r="AS148" s="2"/>
      <c r="AT148"/>
      <c r="AU148"/>
      <c r="AV148" s="9"/>
      <c r="BL148" s="3"/>
      <c r="BM148" s="3"/>
      <c r="BN148" s="3"/>
      <c r="BO148" s="3"/>
      <c r="BP148" s="3"/>
      <c r="BQ148" s="3"/>
    </row>
    <row r="149" spans="2:70">
      <c r="B149" s="2"/>
      <c r="C149" s="2"/>
      <c r="G149" s="32"/>
      <c r="J149" s="2"/>
      <c r="K149" s="2"/>
      <c r="L149" s="37"/>
      <c r="M149" s="32"/>
      <c r="N149" s="32"/>
      <c r="O149" s="32"/>
      <c r="Q149" s="2"/>
      <c r="R149" s="2"/>
      <c r="S149" s="2"/>
      <c r="U149" s="37"/>
      <c r="X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 s="2"/>
      <c r="AO149" s="2"/>
      <c r="AP149" s="2"/>
      <c r="AQ149" s="2"/>
      <c r="AR149" s="2"/>
      <c r="AS149" s="2"/>
      <c r="AT149"/>
      <c r="AU149"/>
      <c r="AV149" s="9"/>
      <c r="BL149" s="3"/>
      <c r="BM149" s="3"/>
      <c r="BN149" s="3"/>
      <c r="BO149" s="3"/>
      <c r="BP149" s="3"/>
      <c r="BQ149" s="3"/>
    </row>
    <row r="150" spans="2:70">
      <c r="B150" s="2"/>
      <c r="C150" s="2"/>
      <c r="G150" s="32"/>
      <c r="H150" s="32"/>
      <c r="J150" s="2"/>
      <c r="K150" s="2"/>
      <c r="M150" s="37"/>
      <c r="N150" s="32"/>
      <c r="O150" s="32"/>
      <c r="P150" s="32"/>
      <c r="Q150" s="37"/>
      <c r="R150" s="2"/>
      <c r="S150" s="2"/>
      <c r="V150" s="37"/>
      <c r="X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 s="2"/>
      <c r="AO150" s="2"/>
      <c r="AP150" s="2"/>
      <c r="AQ150" s="2"/>
      <c r="AR150" s="2"/>
      <c r="AS150" s="2"/>
      <c r="AT150" s="2"/>
      <c r="AU150"/>
      <c r="AV150"/>
      <c r="AW150" s="9"/>
      <c r="BL150" s="3"/>
      <c r="BM150" s="3"/>
      <c r="BN150" s="3"/>
      <c r="BO150" s="3"/>
      <c r="BP150" s="3"/>
      <c r="BQ150" s="3"/>
      <c r="BR150" s="3"/>
    </row>
    <row r="151" spans="2:70">
      <c r="B151" s="2"/>
      <c r="C151" s="2"/>
      <c r="G151" s="32"/>
      <c r="H151" s="32"/>
      <c r="J151" s="2"/>
      <c r="K151" s="2"/>
      <c r="M151" s="37"/>
      <c r="N151" s="32"/>
      <c r="O151" s="32"/>
      <c r="P151" s="32"/>
      <c r="Q151" s="37"/>
      <c r="R151" s="2"/>
      <c r="S151" s="2"/>
      <c r="V151" s="37"/>
      <c r="X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 s="2"/>
      <c r="AO151" s="2"/>
      <c r="AP151" s="2"/>
      <c r="AQ151" s="2"/>
      <c r="AR151" s="2"/>
      <c r="AS151" s="2"/>
      <c r="AT151" s="2"/>
      <c r="AU151"/>
      <c r="AV151"/>
      <c r="AW151" s="9"/>
      <c r="BL151" s="3"/>
      <c r="BM151" s="3"/>
      <c r="BN151" s="3"/>
      <c r="BO151" s="3"/>
      <c r="BP151" s="3"/>
      <c r="BQ151" s="3"/>
      <c r="BR151" s="3"/>
    </row>
    <row r="152" spans="2:70">
      <c r="B152" s="2"/>
      <c r="C152" s="2"/>
      <c r="G152" s="32"/>
      <c r="H152" s="32"/>
      <c r="J152" s="2"/>
      <c r="K152" s="2"/>
      <c r="M152" s="37"/>
      <c r="N152" s="32"/>
      <c r="O152" s="32"/>
      <c r="P152" s="32"/>
      <c r="Q152" s="37"/>
      <c r="R152" s="2"/>
      <c r="S152" s="2"/>
      <c r="V152" s="37"/>
      <c r="X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 s="2"/>
      <c r="AO152" s="2"/>
      <c r="AP152" s="2"/>
      <c r="AQ152" s="2"/>
      <c r="AR152" s="2"/>
      <c r="AS152" s="2"/>
      <c r="AT152" s="2"/>
      <c r="AU152"/>
      <c r="AV152"/>
      <c r="AW152" s="9"/>
      <c r="BL152" s="3"/>
      <c r="BM152" s="3"/>
      <c r="BN152" s="3"/>
      <c r="BO152" s="3"/>
      <c r="BP152" s="3"/>
      <c r="BQ152" s="3"/>
      <c r="BR152" s="3"/>
    </row>
    <row r="153" spans="2:70">
      <c r="B153" s="2"/>
      <c r="C153" s="2"/>
      <c r="G153" s="32"/>
      <c r="H153" s="32"/>
      <c r="J153" s="2"/>
      <c r="K153" s="2"/>
      <c r="M153" s="37"/>
      <c r="N153" s="32"/>
      <c r="O153" s="32"/>
      <c r="P153" s="32"/>
      <c r="Q153" s="37"/>
      <c r="R153" s="2"/>
      <c r="S153" s="2"/>
      <c r="V153" s="37"/>
      <c r="X153" s="2"/>
      <c r="AL153" s="2"/>
      <c r="AM153" s="2"/>
      <c r="AN153" s="2"/>
      <c r="AO153" s="2"/>
      <c r="AP153" s="2"/>
      <c r="AQ153" s="2"/>
      <c r="AR153" s="2"/>
      <c r="AS153" s="2"/>
      <c r="AT153" s="2"/>
      <c r="AU153"/>
      <c r="AV153"/>
      <c r="AW153" s="9"/>
      <c r="BL153" s="3"/>
      <c r="BM153" s="3"/>
      <c r="BN153" s="3"/>
      <c r="BO153" s="3"/>
      <c r="BP153" s="3"/>
      <c r="BQ153" s="3"/>
      <c r="BR153" s="3"/>
    </row>
    <row r="154" spans="2:70">
      <c r="B154" s="2"/>
      <c r="C154" s="2"/>
      <c r="G154" s="32"/>
      <c r="H154" s="32"/>
      <c r="J154" s="2"/>
      <c r="K154" s="2"/>
      <c r="M154" s="37"/>
      <c r="N154" s="32"/>
      <c r="O154" s="32"/>
      <c r="P154" s="32"/>
      <c r="Q154" s="37"/>
      <c r="R154" s="2"/>
      <c r="S154" s="2"/>
      <c r="V154" s="37"/>
      <c r="X154" s="2"/>
      <c r="AL154" s="2"/>
      <c r="AM154" s="2"/>
      <c r="AN154"/>
      <c r="AO154"/>
      <c r="AP154" s="9"/>
      <c r="AQ154" s="9"/>
      <c r="AR154" s="9"/>
      <c r="BL154" s="3"/>
      <c r="BM154" s="3"/>
    </row>
    <row r="155" spans="2:70">
      <c r="B155" s="2"/>
      <c r="C155" s="2"/>
      <c r="G155" s="32"/>
      <c r="H155" s="32"/>
      <c r="J155" s="2"/>
      <c r="K155" s="2"/>
      <c r="M155" s="37"/>
      <c r="N155" s="32"/>
      <c r="O155" s="32"/>
      <c r="Q155" s="2"/>
      <c r="R155" s="2"/>
      <c r="S155" s="2"/>
      <c r="U155" s="37"/>
      <c r="X155" s="2"/>
      <c r="AL155" s="2"/>
      <c r="AN155"/>
      <c r="AO155" s="9"/>
      <c r="AP155" s="9"/>
      <c r="AQ155" s="9"/>
      <c r="BL155" s="3"/>
    </row>
    <row r="157" spans="2:70">
      <c r="AL157" s="3"/>
      <c r="AM157" s="3" t="s">
        <v>2425</v>
      </c>
    </row>
    <row r="158" spans="2:70">
      <c r="AL158" s="3"/>
      <c r="AM158" s="3"/>
    </row>
    <row r="159" spans="2:70">
      <c r="AM159" t="s">
        <v>2416</v>
      </c>
    </row>
    <row r="160" spans="2:70">
      <c r="AL160" s="78">
        <v>43101</v>
      </c>
      <c r="AM160">
        <v>1.73</v>
      </c>
    </row>
    <row r="161" spans="38:39">
      <c r="AL161" s="78">
        <v>43132</v>
      </c>
      <c r="AM161">
        <v>1.65</v>
      </c>
    </row>
    <row r="162" spans="38:39">
      <c r="AL162" s="78">
        <v>43160</v>
      </c>
      <c r="AM162">
        <v>1.69</v>
      </c>
    </row>
    <row r="163" spans="38:39">
      <c r="AL163" s="78">
        <v>43191</v>
      </c>
      <c r="AM163">
        <v>1.72</v>
      </c>
    </row>
    <row r="164" spans="38:39">
      <c r="AL164" s="78">
        <v>43221</v>
      </c>
      <c r="AM164">
        <v>1.71</v>
      </c>
    </row>
    <row r="165" spans="38:39">
      <c r="AL165" s="78">
        <v>43252</v>
      </c>
      <c r="AM165">
        <v>1.7</v>
      </c>
    </row>
    <row r="166" spans="38:39">
      <c r="AL166" s="78">
        <v>43282</v>
      </c>
      <c r="AM166">
        <v>1.71</v>
      </c>
    </row>
    <row r="167" spans="38:39">
      <c r="AL167" s="78">
        <v>43313</v>
      </c>
      <c r="AM167">
        <v>1.76</v>
      </c>
    </row>
    <row r="168" spans="38:39">
      <c r="AL168" s="78">
        <v>43344</v>
      </c>
      <c r="AM168">
        <v>1.74</v>
      </c>
    </row>
    <row r="169" spans="38:39">
      <c r="AL169" s="78">
        <v>43374</v>
      </c>
      <c r="AM169">
        <v>1.77</v>
      </c>
    </row>
    <row r="170" spans="38:39">
      <c r="AL170" s="78">
        <v>43405</v>
      </c>
      <c r="AM170">
        <v>1.72</v>
      </c>
    </row>
    <row r="171" spans="38:39">
      <c r="AL171" s="78">
        <v>43435</v>
      </c>
      <c r="AM171">
        <v>1.57</v>
      </c>
    </row>
    <row r="173" spans="38:39">
      <c r="AL173">
        <v>2018</v>
      </c>
      <c r="AM173" s="3">
        <f>AVERAGE(AM160:AM171)</f>
        <v>1.7058333333333333</v>
      </c>
    </row>
    <row r="174" spans="38:39">
      <c r="AL174" s="3"/>
      <c r="AM174" s="3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workbookViewId="0">
      <selection activeCell="A3" sqref="A3:G23"/>
    </sheetView>
  </sheetViews>
  <sheetFormatPr defaultRowHeight="15"/>
  <cols>
    <col min="1" max="1" width="18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0.96915628216056715</v>
      </c>
    </row>
    <row r="5" spans="1:7">
      <c r="A5" s="13" t="s">
        <v>80</v>
      </c>
      <c r="B5" s="13">
        <v>0.93926389925129283</v>
      </c>
    </row>
    <row r="6" spans="1:7">
      <c r="A6" s="13" t="s">
        <v>81</v>
      </c>
      <c r="B6" s="13">
        <v>0.93151035447486208</v>
      </c>
    </row>
    <row r="7" spans="1:7">
      <c r="A7" s="13" t="s">
        <v>82</v>
      </c>
      <c r="B7" s="13">
        <v>3.0906971320636321E-2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6</v>
      </c>
      <c r="C12" s="13">
        <v>0.69430689780367405</v>
      </c>
      <c r="D12" s="13">
        <v>0.11571781630061234</v>
      </c>
      <c r="E12" s="13">
        <v>121.13993358321419</v>
      </c>
      <c r="F12" s="13">
        <v>7.1374993865420754E-27</v>
      </c>
    </row>
    <row r="13" spans="1:7">
      <c r="A13" s="13" t="s">
        <v>86</v>
      </c>
      <c r="B13" s="13">
        <v>47</v>
      </c>
      <c r="C13" s="13">
        <v>4.4896321182087896E-2</v>
      </c>
      <c r="D13" s="13">
        <v>9.5524087621463611E-4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0.73920321898576191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0.26256630957642646</v>
      </c>
      <c r="C17" s="13">
        <v>1.6295185593043261E-2</v>
      </c>
      <c r="D17" s="13">
        <v>16.113121760854398</v>
      </c>
      <c r="E17" s="13">
        <v>9.054951511855706E-21</v>
      </c>
      <c r="F17" s="13">
        <v>0.22978462454015572</v>
      </c>
      <c r="G17" s="13">
        <v>0.29534799461269723</v>
      </c>
    </row>
    <row r="18" spans="1:7">
      <c r="A18" s="13" t="s">
        <v>229</v>
      </c>
      <c r="B18" s="13">
        <v>5.2025034373087697E-3</v>
      </c>
      <c r="C18" s="13">
        <v>3.037902654801895E-4</v>
      </c>
      <c r="D18" s="13">
        <v>17.125313179753718</v>
      </c>
      <c r="E18" s="13">
        <v>7.7750327392234738E-22</v>
      </c>
      <c r="F18" s="13">
        <v>4.5913562525655514E-3</v>
      </c>
      <c r="G18" s="13">
        <v>5.8136506220519881E-3</v>
      </c>
    </row>
    <row r="19" spans="1:7">
      <c r="A19" s="13" t="s">
        <v>2446</v>
      </c>
      <c r="B19" s="13">
        <v>3.6468960462175189E-2</v>
      </c>
      <c r="C19" s="13">
        <v>1.2739409009314572E-2</v>
      </c>
      <c r="D19" s="13">
        <v>2.8626885623587772</v>
      </c>
      <c r="E19" s="13">
        <v>6.2554707592390986E-3</v>
      </c>
      <c r="F19" s="13">
        <v>1.0840575237163072E-2</v>
      </c>
      <c r="G19" s="13">
        <v>6.2097345687187305E-2</v>
      </c>
    </row>
    <row r="20" spans="1:7">
      <c r="A20" s="13" t="s">
        <v>2447</v>
      </c>
      <c r="B20" s="13">
        <v>-0.21851756692801508</v>
      </c>
      <c r="C20" s="13">
        <v>2.4006279424981982E-2</v>
      </c>
      <c r="D20" s="13">
        <v>-9.102517014803059</v>
      </c>
      <c r="E20" s="13">
        <v>6.0843098286786473E-12</v>
      </c>
      <c r="F20" s="13">
        <v>-0.26681197183116867</v>
      </c>
      <c r="G20" s="13">
        <v>-0.17022316202486149</v>
      </c>
    </row>
    <row r="21" spans="1:7">
      <c r="A21" s="13" t="s">
        <v>1987</v>
      </c>
      <c r="B21" s="13">
        <v>-5.7946840663034634E-2</v>
      </c>
      <c r="C21" s="13">
        <v>1.7322292709028159E-2</v>
      </c>
      <c r="D21" s="13">
        <v>-3.3452177281840685</v>
      </c>
      <c r="E21" s="13">
        <v>1.6228238746046422E-3</v>
      </c>
      <c r="F21" s="13">
        <v>-9.2794798696472336E-2</v>
      </c>
      <c r="G21" s="13">
        <v>-2.3098882629596931E-2</v>
      </c>
    </row>
    <row r="22" spans="1:7">
      <c r="A22" s="13" t="s">
        <v>279</v>
      </c>
      <c r="B22" s="13">
        <v>-4.8890430402712431E-2</v>
      </c>
      <c r="C22" s="13">
        <v>1.6239184214675198E-2</v>
      </c>
      <c r="D22" s="13">
        <v>-3.0106457169523706</v>
      </c>
      <c r="E22" s="13">
        <v>4.1847440187955378E-3</v>
      </c>
      <c r="F22" s="13">
        <v>-8.1559455197295433E-2</v>
      </c>
      <c r="G22" s="13">
        <v>-1.622140560812943E-2</v>
      </c>
    </row>
    <row r="23" spans="1:7" ht="15.75" thickBot="1">
      <c r="A23" s="14" t="s">
        <v>1988</v>
      </c>
      <c r="B23" s="14">
        <v>-0.1160389157611197</v>
      </c>
      <c r="C23" s="14">
        <v>1.6504573333742008E-2</v>
      </c>
      <c r="D23" s="14">
        <v>-7.0307128463532793</v>
      </c>
      <c r="E23" s="14">
        <v>7.3423965545824345E-9</v>
      </c>
      <c r="F23" s="14">
        <v>-0.14924183459843246</v>
      </c>
      <c r="G23" s="14">
        <v>-8.2835996923806943E-2</v>
      </c>
    </row>
    <row r="44" spans="11:11">
      <c r="K44" t="s">
        <v>1989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G207"/>
  <sheetViews>
    <sheetView zoomScale="75" zoomScaleNormal="75" workbookViewId="0">
      <pane xSplit="1" ySplit="4" topLeftCell="AL50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D97"/>
    </sheetView>
  </sheetViews>
  <sheetFormatPr defaultRowHeight="15"/>
  <cols>
    <col min="1" max="1" width="7.42578125" customWidth="1"/>
    <col min="2" max="2" width="10.85546875" customWidth="1"/>
    <col min="3" max="3" width="10.28515625" customWidth="1"/>
    <col min="4" max="6" width="10.28515625" style="2" customWidth="1"/>
    <col min="7" max="7" width="10.5703125" style="2" customWidth="1"/>
    <col min="8" max="9" width="9.28515625" style="2" bestFit="1" customWidth="1"/>
    <col min="10" max="10" width="9.8554687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8.7109375" style="37" customWidth="1"/>
    <col min="16" max="16" width="10.28515625" style="32" customWidth="1"/>
    <col min="17" max="17" width="9.85546875" style="32" customWidth="1"/>
    <col min="18" max="18" width="9" style="37" customWidth="1"/>
    <col min="19" max="22" width="9.28515625" style="2" bestFit="1" customWidth="1"/>
    <col min="23" max="23" width="10.42578125" style="37" customWidth="1"/>
    <col min="24" max="29" width="9.28515625" style="2" bestFit="1" customWidth="1"/>
    <col min="30" max="34" width="9.140625" style="2"/>
    <col min="39" max="39" width="9.140625" style="9"/>
    <col min="40" max="42" width="9.140625" style="3"/>
    <col min="43" max="43" width="3.42578125" style="3" customWidth="1"/>
    <col min="44" max="44" width="9.140625" style="3"/>
    <col min="45" max="45" width="3.28515625" style="3" customWidth="1"/>
    <col min="46" max="51" width="9.140625" style="3"/>
  </cols>
  <sheetData>
    <row r="1" spans="1:59">
      <c r="A1" s="23" t="s">
        <v>209</v>
      </c>
      <c r="B1" s="23"/>
      <c r="C1" s="23"/>
      <c r="G1" s="39"/>
      <c r="AD1"/>
      <c r="AE1"/>
      <c r="AF1"/>
      <c r="AG1"/>
      <c r="AH1"/>
      <c r="AM1" s="9" t="s">
        <v>221</v>
      </c>
      <c r="AN1" s="3" t="s">
        <v>239</v>
      </c>
      <c r="BF1" s="3"/>
      <c r="BG1" s="3"/>
    </row>
    <row r="2" spans="1:59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N2" s="37"/>
      <c r="P2" s="37"/>
      <c r="Q2" s="38" t="s">
        <v>142</v>
      </c>
      <c r="S2" s="37"/>
      <c r="X2" s="37"/>
      <c r="Y2" s="37"/>
      <c r="Z2" s="37"/>
      <c r="AA2" s="37"/>
      <c r="AB2" s="37"/>
      <c r="AD2"/>
      <c r="AE2"/>
      <c r="AF2"/>
      <c r="AG2"/>
      <c r="AH2"/>
      <c r="BF2" s="3" t="s">
        <v>2470</v>
      </c>
      <c r="BG2" s="3"/>
    </row>
    <row r="3" spans="1:59">
      <c r="B3" t="s">
        <v>182</v>
      </c>
      <c r="C3" t="s">
        <v>218</v>
      </c>
      <c r="D3" s="37"/>
      <c r="F3" s="37"/>
      <c r="H3" s="37"/>
      <c r="I3" s="37"/>
      <c r="J3" s="37"/>
      <c r="K3" s="37"/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2" t="s">
        <v>61</v>
      </c>
      <c r="Z3" s="2" t="s">
        <v>61</v>
      </c>
      <c r="AA3" s="2" t="s">
        <v>61</v>
      </c>
      <c r="AB3" s="38" t="s">
        <v>61</v>
      </c>
      <c r="AC3" s="2" t="s">
        <v>61</v>
      </c>
      <c r="AD3"/>
      <c r="AE3"/>
      <c r="AF3"/>
      <c r="AG3"/>
      <c r="AH3"/>
      <c r="AM3" s="46" t="s">
        <v>2103</v>
      </c>
      <c r="AN3" s="46" t="s">
        <v>3</v>
      </c>
      <c r="AO3" s="46" t="s">
        <v>3</v>
      </c>
      <c r="AP3" s="46" t="s">
        <v>3</v>
      </c>
      <c r="AR3" s="46"/>
      <c r="AT3" s="46" t="s">
        <v>182</v>
      </c>
      <c r="AU3" s="46"/>
      <c r="AV3" s="46" t="s">
        <v>182</v>
      </c>
      <c r="AW3" s="46" t="s">
        <v>182</v>
      </c>
      <c r="AX3" s="46"/>
      <c r="AY3" s="46" t="s">
        <v>182</v>
      </c>
      <c r="AZ3" s="46"/>
      <c r="BA3" s="46"/>
      <c r="BB3" s="46"/>
      <c r="BC3" s="46"/>
      <c r="BD3" s="46"/>
      <c r="BF3" s="3" t="s">
        <v>182</v>
      </c>
      <c r="BG3" s="3"/>
    </row>
    <row r="4" spans="1:59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235</v>
      </c>
      <c r="U4" s="2" t="s">
        <v>236</v>
      </c>
      <c r="V4" s="2" t="s">
        <v>126</v>
      </c>
      <c r="X4" s="2" t="s">
        <v>109</v>
      </c>
      <c r="Y4" s="2" t="s">
        <v>111</v>
      </c>
      <c r="Z4" s="2" t="s">
        <v>152</v>
      </c>
      <c r="AA4" s="2" t="s">
        <v>112</v>
      </c>
      <c r="AB4" s="38" t="s">
        <v>87</v>
      </c>
      <c r="AC4" s="2" t="s">
        <v>87</v>
      </c>
      <c r="AD4" s="2" t="s">
        <v>1915</v>
      </c>
      <c r="AE4"/>
      <c r="AF4"/>
      <c r="AG4"/>
      <c r="AH4"/>
      <c r="AM4" s="46"/>
      <c r="AN4" s="46" t="s">
        <v>131</v>
      </c>
      <c r="AO4" s="46" t="s">
        <v>67</v>
      </c>
      <c r="AP4" s="46" t="s">
        <v>133</v>
      </c>
      <c r="AR4" s="46" t="s">
        <v>237</v>
      </c>
      <c r="AT4" s="46" t="s">
        <v>131</v>
      </c>
      <c r="AU4" s="46" t="s">
        <v>103</v>
      </c>
      <c r="AV4" s="46" t="s">
        <v>67</v>
      </c>
      <c r="AW4" s="46" t="s">
        <v>133</v>
      </c>
      <c r="AX4" s="46" t="s">
        <v>103</v>
      </c>
      <c r="AY4" s="46" t="s">
        <v>229</v>
      </c>
      <c r="AZ4" s="46" t="s">
        <v>2446</v>
      </c>
      <c r="BA4" s="46" t="s">
        <v>2447</v>
      </c>
      <c r="BB4" s="46" t="s">
        <v>1987</v>
      </c>
      <c r="BC4" s="46" t="s">
        <v>279</v>
      </c>
      <c r="BD4" s="46" t="s">
        <v>1988</v>
      </c>
      <c r="BF4" s="3" t="s">
        <v>131</v>
      </c>
      <c r="BG4" s="3" t="s">
        <v>103</v>
      </c>
    </row>
    <row r="5" spans="1:59">
      <c r="A5">
        <v>1926</v>
      </c>
      <c r="AD5"/>
      <c r="AE5"/>
      <c r="AF5"/>
      <c r="AG5"/>
      <c r="AH5"/>
      <c r="AM5" s="9">
        <v>1926</v>
      </c>
      <c r="BF5" s="3"/>
      <c r="BG5" s="3"/>
    </row>
    <row r="6" spans="1:59">
      <c r="A6">
        <v>1927</v>
      </c>
      <c r="AD6"/>
      <c r="AE6"/>
      <c r="AF6"/>
      <c r="AG6"/>
      <c r="AH6"/>
      <c r="AM6" s="9">
        <v>1927</v>
      </c>
      <c r="BF6" s="3"/>
      <c r="BG6" s="3"/>
    </row>
    <row r="7" spans="1:59">
      <c r="A7">
        <v>1928</v>
      </c>
      <c r="AD7"/>
      <c r="AE7"/>
      <c r="AF7"/>
      <c r="AG7"/>
      <c r="AH7"/>
      <c r="AM7" s="9">
        <v>1928</v>
      </c>
      <c r="BF7" s="3"/>
      <c r="BG7" s="3"/>
    </row>
    <row r="8" spans="1:59">
      <c r="A8">
        <v>1929</v>
      </c>
      <c r="AD8"/>
      <c r="AE8"/>
      <c r="AF8"/>
      <c r="AG8"/>
      <c r="AH8"/>
      <c r="AM8" s="9">
        <v>1929</v>
      </c>
      <c r="BF8" s="3"/>
      <c r="BG8" s="3"/>
    </row>
    <row r="9" spans="1:59">
      <c r="A9">
        <v>1930</v>
      </c>
      <c r="AD9"/>
      <c r="AE9"/>
      <c r="AF9"/>
      <c r="AG9"/>
      <c r="AH9"/>
      <c r="AM9" s="9">
        <v>1930</v>
      </c>
      <c r="BF9" s="3"/>
      <c r="BG9" s="3"/>
    </row>
    <row r="10" spans="1:59">
      <c r="A10">
        <v>1931</v>
      </c>
      <c r="AD10"/>
      <c r="AE10"/>
      <c r="AF10"/>
      <c r="AG10"/>
      <c r="AH10"/>
      <c r="AM10" s="9">
        <v>1931</v>
      </c>
      <c r="BF10" s="3"/>
      <c r="BG10" s="3"/>
    </row>
    <row r="11" spans="1:59">
      <c r="A11">
        <v>1932</v>
      </c>
      <c r="AD11"/>
      <c r="AE11"/>
      <c r="AF11"/>
      <c r="AG11"/>
      <c r="AH11"/>
      <c r="AM11" s="9">
        <v>1932</v>
      </c>
      <c r="BF11" s="3"/>
      <c r="BG11" s="3"/>
    </row>
    <row r="12" spans="1:59">
      <c r="A12">
        <v>1933</v>
      </c>
      <c r="AD12"/>
      <c r="AE12"/>
      <c r="AF12"/>
      <c r="AG12"/>
      <c r="AH12"/>
      <c r="AM12" s="9">
        <v>1933</v>
      </c>
      <c r="BF12" s="3"/>
      <c r="BG12" s="3"/>
    </row>
    <row r="13" spans="1:59">
      <c r="A13">
        <v>1934</v>
      </c>
      <c r="AD13"/>
      <c r="AE13"/>
      <c r="AF13"/>
      <c r="AG13"/>
      <c r="AH13"/>
      <c r="AM13" s="9">
        <v>1934</v>
      </c>
      <c r="BF13" s="3"/>
      <c r="BG13" s="3"/>
    </row>
    <row r="14" spans="1:59">
      <c r="A14">
        <v>1935</v>
      </c>
      <c r="AD14"/>
      <c r="AE14"/>
      <c r="AF14"/>
      <c r="AG14"/>
      <c r="AH14"/>
      <c r="AM14" s="9">
        <v>1935</v>
      </c>
      <c r="BF14" s="3"/>
      <c r="BG14" s="3"/>
    </row>
    <row r="15" spans="1:59">
      <c r="A15">
        <v>1936</v>
      </c>
      <c r="AD15"/>
      <c r="AE15"/>
      <c r="AF15"/>
      <c r="AG15"/>
      <c r="AH15"/>
      <c r="AM15" s="9">
        <v>1936</v>
      </c>
      <c r="BF15" s="3"/>
      <c r="BG15" s="3"/>
    </row>
    <row r="16" spans="1:59">
      <c r="A16">
        <v>1937</v>
      </c>
      <c r="AD16"/>
      <c r="AE16"/>
      <c r="AF16"/>
      <c r="AG16"/>
      <c r="AH16"/>
      <c r="AM16" s="9">
        <v>1937</v>
      </c>
      <c r="BF16" s="3"/>
      <c r="BG16" s="3"/>
    </row>
    <row r="17" spans="1:59">
      <c r="A17">
        <v>1938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M17" s="9">
        <v>1938</v>
      </c>
      <c r="BF17" s="3"/>
      <c r="BG17" s="3"/>
    </row>
    <row r="18" spans="1:59">
      <c r="A18">
        <v>1939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M18" s="9">
        <v>1939</v>
      </c>
      <c r="BF18" s="3"/>
      <c r="BG18" s="3"/>
    </row>
    <row r="19" spans="1:59">
      <c r="A19">
        <v>1940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M19" s="9">
        <v>1940</v>
      </c>
      <c r="BF19" s="3"/>
      <c r="BG19" s="3"/>
    </row>
    <row r="20" spans="1:59">
      <c r="A20">
        <v>1941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M20" s="9">
        <v>1941</v>
      </c>
      <c r="BF20" s="3"/>
      <c r="BG20" s="3"/>
    </row>
    <row r="21" spans="1:59">
      <c r="A21">
        <v>1942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M21" s="9">
        <v>1942</v>
      </c>
      <c r="BF21" s="3"/>
      <c r="BG21" s="3"/>
    </row>
    <row r="22" spans="1:59">
      <c r="A22">
        <v>1943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M22" s="9">
        <v>1943</v>
      </c>
      <c r="BF22" s="3"/>
      <c r="BG22" s="3"/>
    </row>
    <row r="23" spans="1:59">
      <c r="A23">
        <v>1944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M23" s="9">
        <v>1944</v>
      </c>
      <c r="BF23" s="3"/>
      <c r="BG23" s="3"/>
    </row>
    <row r="24" spans="1:59">
      <c r="A24">
        <v>1945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M24" s="9">
        <v>1945</v>
      </c>
      <c r="BF24" s="3"/>
      <c r="BG24" s="3"/>
    </row>
    <row r="25" spans="1:59">
      <c r="A25">
        <v>1946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M25" s="9">
        <v>1946</v>
      </c>
      <c r="BF25" s="3"/>
      <c r="BG25" s="3"/>
    </row>
    <row r="26" spans="1:59">
      <c r="A26">
        <v>1947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M26" s="9">
        <v>1947</v>
      </c>
      <c r="BF26" s="3"/>
      <c r="BG26" s="3"/>
    </row>
    <row r="27" spans="1:59">
      <c r="A27">
        <v>1948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M27" s="9">
        <v>1948</v>
      </c>
      <c r="BF27" s="3"/>
      <c r="BG27" s="3"/>
    </row>
    <row r="28" spans="1:59">
      <c r="A28">
        <v>1949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M28" s="9">
        <v>1949</v>
      </c>
      <c r="BF28" s="3"/>
      <c r="BG28" s="3"/>
    </row>
    <row r="29" spans="1:59">
      <c r="A29">
        <v>1950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M29" s="9">
        <v>1950</v>
      </c>
      <c r="BF29" s="3"/>
      <c r="BG29" s="3"/>
    </row>
    <row r="30" spans="1:59">
      <c r="A30">
        <v>1951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M30" s="9">
        <v>1951</v>
      </c>
      <c r="BF30" s="3"/>
      <c r="BG30" s="3"/>
    </row>
    <row r="31" spans="1:59">
      <c r="A31">
        <v>1952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M31" s="9">
        <v>1952</v>
      </c>
      <c r="BF31" s="3"/>
      <c r="BG31" s="3"/>
    </row>
    <row r="32" spans="1:59">
      <c r="A32">
        <v>1953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M32" s="9">
        <v>1953</v>
      </c>
      <c r="BF32" s="3"/>
      <c r="BG32" s="3"/>
    </row>
    <row r="33" spans="1:59">
      <c r="A33">
        <v>1954</v>
      </c>
      <c r="AF33"/>
      <c r="AG33"/>
      <c r="AH33"/>
      <c r="AM33" s="9">
        <v>1954</v>
      </c>
      <c r="BF33" s="3"/>
      <c r="BG33" s="3"/>
    </row>
    <row r="34" spans="1:59">
      <c r="A34">
        <v>1955</v>
      </c>
      <c r="AF34"/>
      <c r="AG34"/>
      <c r="AH34"/>
      <c r="AM34" s="9">
        <v>1955</v>
      </c>
      <c r="BF34" s="3"/>
      <c r="BG34" s="3"/>
    </row>
    <row r="35" spans="1:59">
      <c r="A35">
        <v>1956</v>
      </c>
      <c r="AF35"/>
      <c r="AG35"/>
      <c r="AH35"/>
      <c r="AM35" s="9">
        <v>1956</v>
      </c>
      <c r="BF35" s="3"/>
      <c r="BG35" s="3"/>
    </row>
    <row r="36" spans="1:59">
      <c r="A36">
        <v>1957</v>
      </c>
      <c r="AF36"/>
      <c r="AG36"/>
      <c r="AH36"/>
      <c r="AM36" s="9">
        <v>1957</v>
      </c>
      <c r="BF36" s="3"/>
      <c r="BG36" s="3"/>
    </row>
    <row r="37" spans="1:59">
      <c r="A37">
        <v>1958</v>
      </c>
      <c r="AF37"/>
      <c r="AG37"/>
      <c r="AH37"/>
      <c r="AM37" s="9">
        <v>1958</v>
      </c>
      <c r="BF37" s="3"/>
      <c r="BG37" s="3"/>
    </row>
    <row r="38" spans="1:59">
      <c r="A38">
        <v>1959</v>
      </c>
      <c r="AF38"/>
      <c r="AG38"/>
      <c r="AH38"/>
      <c r="AM38" s="9">
        <v>1959</v>
      </c>
      <c r="BF38" s="3"/>
      <c r="BG38" s="3"/>
    </row>
    <row r="39" spans="1:59">
      <c r="A39">
        <v>1960</v>
      </c>
      <c r="AF39"/>
      <c r="AG39"/>
      <c r="AH39"/>
      <c r="AM39" s="9">
        <v>1960</v>
      </c>
      <c r="BF39" s="3"/>
      <c r="BG39" s="3"/>
    </row>
    <row r="40" spans="1:59">
      <c r="A40">
        <v>1961</v>
      </c>
      <c r="AF40"/>
      <c r="AG40"/>
      <c r="AH40"/>
      <c r="AM40" s="9">
        <v>1961</v>
      </c>
      <c r="BF40" s="3"/>
      <c r="BG40" s="3"/>
    </row>
    <row r="41" spans="1:59">
      <c r="A41">
        <v>1962</v>
      </c>
      <c r="AF41"/>
      <c r="AG41"/>
      <c r="AH41"/>
      <c r="AM41" s="9">
        <v>1962</v>
      </c>
      <c r="BF41" s="3"/>
      <c r="BG41" s="3"/>
    </row>
    <row r="42" spans="1:59">
      <c r="A42">
        <v>1963</v>
      </c>
      <c r="AF42"/>
      <c r="AG42"/>
      <c r="AH42"/>
      <c r="AM42" s="46" t="s">
        <v>2103</v>
      </c>
      <c r="AN42" s="46" t="s">
        <v>3</v>
      </c>
      <c r="AO42" s="46" t="s">
        <v>3</v>
      </c>
      <c r="AP42" s="46" t="s">
        <v>3</v>
      </c>
      <c r="AR42" s="46"/>
      <c r="AT42" s="46" t="s">
        <v>182</v>
      </c>
      <c r="AU42" s="46"/>
      <c r="AV42" s="46" t="s">
        <v>182</v>
      </c>
      <c r="AW42" s="46" t="s">
        <v>182</v>
      </c>
      <c r="AX42" s="46"/>
      <c r="AY42" s="46" t="s">
        <v>182</v>
      </c>
      <c r="AZ42" s="46"/>
      <c r="BA42" s="46"/>
      <c r="BB42" s="46"/>
      <c r="BC42" s="46"/>
      <c r="BD42" s="46"/>
      <c r="BF42" s="3"/>
      <c r="BG42" s="3"/>
    </row>
    <row r="43" spans="1:59">
      <c r="A43">
        <v>1964</v>
      </c>
      <c r="AF43"/>
      <c r="AG43"/>
      <c r="AH43"/>
      <c r="AM43" s="46"/>
      <c r="AN43" s="46" t="s">
        <v>131</v>
      </c>
      <c r="AO43" s="46" t="s">
        <v>67</v>
      </c>
      <c r="AP43" s="46" t="s">
        <v>133</v>
      </c>
      <c r="AR43" s="46" t="s">
        <v>237</v>
      </c>
      <c r="AT43" s="46" t="s">
        <v>131</v>
      </c>
      <c r="AU43" s="46" t="s">
        <v>103</v>
      </c>
      <c r="AV43" s="46" t="s">
        <v>67</v>
      </c>
      <c r="AW43" s="46" t="s">
        <v>133</v>
      </c>
      <c r="AX43" s="46" t="s">
        <v>103</v>
      </c>
      <c r="AY43" s="46" t="s">
        <v>229</v>
      </c>
      <c r="AZ43" s="46" t="s">
        <v>2446</v>
      </c>
      <c r="BA43" s="46" t="s">
        <v>2447</v>
      </c>
      <c r="BB43" s="46" t="s">
        <v>1987</v>
      </c>
      <c r="BC43" s="46" t="s">
        <v>279</v>
      </c>
      <c r="BD43" s="46" t="s">
        <v>1988</v>
      </c>
      <c r="BF43" s="3"/>
      <c r="BG43" s="3"/>
    </row>
    <row r="44" spans="1:59">
      <c r="A44">
        <v>1965</v>
      </c>
      <c r="B44" s="3">
        <f t="shared" ref="B44:B88" si="0">I44/G44*100/C44*100</f>
        <v>116.88199774521</v>
      </c>
      <c r="C44" s="3">
        <f t="shared" ref="C44:C87" si="1">E44/E$89*100</f>
        <v>14.459024846529534</v>
      </c>
      <c r="D44" s="2">
        <v>81.671300000000002</v>
      </c>
      <c r="E44" s="2">
        <v>20.692699999999999</v>
      </c>
      <c r="F44" s="2">
        <f>D44*E44/100</f>
        <v>16.899997095100002</v>
      </c>
      <c r="G44" s="39">
        <v>8.8041085840058667E-2</v>
      </c>
      <c r="H44" s="2">
        <f>F44*G44/100</f>
        <v>1.4878940949464414E-2</v>
      </c>
      <c r="I44" s="32">
        <f t="shared" ref="I44:I67" si="2">H44</f>
        <v>1.4878940949464414E-2</v>
      </c>
      <c r="J44" s="32">
        <f t="shared" ref="J44:J89" si="3">Q44+AB44</f>
        <v>1.660006884462957E-2</v>
      </c>
      <c r="P44" s="32">
        <f t="shared" ref="P44:P78" si="4">I44-AB44</f>
        <v>4.7315032219296827E-3</v>
      </c>
      <c r="Q44" s="32">
        <f t="shared" ref="Q44:Q89" si="5">Q$105+Q$106*S44+Q$107*T44+Q$108*U44+Q$109*V44</f>
        <v>6.4526311170948376E-3</v>
      </c>
      <c r="S44" s="2">
        <f>USA!Z52*G44</f>
        <v>0.29053558327219359</v>
      </c>
      <c r="T44" s="2">
        <v>0</v>
      </c>
      <c r="U44" s="2">
        <v>0</v>
      </c>
      <c r="V44" s="2">
        <v>0</v>
      </c>
      <c r="X44" s="2">
        <v>0.68200000000000005</v>
      </c>
      <c r="Y44" s="32">
        <f>AB44-AA44</f>
        <v>6.2088945350294448E-3</v>
      </c>
      <c r="Z44" s="39">
        <v>0.36</v>
      </c>
      <c r="AA44" s="2">
        <f t="shared" ref="AA44:AA89" si="6">Z44*(I44*(1/(1+Z44)))</f>
        <v>3.9385431925052861E-3</v>
      </c>
      <c r="AB44" s="2">
        <f t="shared" ref="AB44:AB71" si="7">X44*I44</f>
        <v>1.0147437727534731E-2</v>
      </c>
      <c r="AE44" s="2">
        <v>0</v>
      </c>
      <c r="AF44"/>
      <c r="AG44"/>
      <c r="AH44"/>
      <c r="AM44" s="9">
        <v>1965</v>
      </c>
      <c r="AN44" s="3">
        <f>I44</f>
        <v>1.4878940949464414E-2</v>
      </c>
      <c r="AO44" s="3">
        <f>AB44</f>
        <v>1.0147437727534731E-2</v>
      </c>
      <c r="AP44" s="3">
        <f>AN44-AO44</f>
        <v>4.7315032219296827E-3</v>
      </c>
      <c r="AR44" s="3">
        <v>1.2211461784981119</v>
      </c>
      <c r="AT44" s="3">
        <f t="shared" ref="AT44:AT51" si="8">AN44/$AR44*100</f>
        <v>1.2184406102604382</v>
      </c>
      <c r="AU44" s="3">
        <f>AX44+AV44</f>
        <v>1.2173209739613384</v>
      </c>
      <c r="AV44" s="3">
        <f t="shared" ref="AV44:AV89" si="9">AO44/$AR44*100</f>
        <v>0.83097649619761882</v>
      </c>
      <c r="AW44" s="3">
        <f t="shared" ref="AW44:AW51" si="10">AT44-AV44</f>
        <v>0.38746411406281933</v>
      </c>
      <c r="AX44" s="3">
        <f t="shared" ref="AX44:AX75" si="11">AV$100+AV$101*AY44+AV$102*AZ44+AV$103*BA44+AV$104*BB44+AV$105*BC44+AV$106*BD44</f>
        <v>0.38634447776371955</v>
      </c>
      <c r="AY44" s="3">
        <f t="shared" ref="AY44:AY96" si="12">S44/AR44*100</f>
        <v>23.79203967452311</v>
      </c>
      <c r="AZ44">
        <v>0</v>
      </c>
      <c r="BA44">
        <v>0</v>
      </c>
      <c r="BB44">
        <v>0</v>
      </c>
      <c r="BC44">
        <v>0</v>
      </c>
      <c r="BD44">
        <v>0</v>
      </c>
      <c r="BF44" s="3">
        <f t="shared" ref="BF44:BF96" si="13">AT44*$AR$97/$AR$89</f>
        <v>1.2436527625048945</v>
      </c>
      <c r="BG44" s="3">
        <f t="shared" ref="BG44:BG96" si="14">AU44*$AR$97/$AR$89</f>
        <v>1.2425099585268833</v>
      </c>
    </row>
    <row r="45" spans="1:59">
      <c r="A45">
        <v>1966</v>
      </c>
      <c r="B45" s="3">
        <f t="shared" si="0"/>
        <v>113.48765086629302</v>
      </c>
      <c r="C45" s="3">
        <f t="shared" si="1"/>
        <v>14.891495218110531</v>
      </c>
      <c r="D45" s="2">
        <v>79.299499999999995</v>
      </c>
      <c r="E45" s="2">
        <v>21.311620000000001</v>
      </c>
      <c r="F45" s="2">
        <f t="shared" ref="F45:F78" si="15">D45*E45/100</f>
        <v>16.900008101899999</v>
      </c>
      <c r="G45" s="39">
        <v>8.8041085840058667E-2</v>
      </c>
      <c r="H45" s="2">
        <f t="shared" ref="H45:H78" si="16">F45*G45/100</f>
        <v>1.4878950639970648E-2</v>
      </c>
      <c r="I45" s="32">
        <f t="shared" si="2"/>
        <v>1.4878950639970648E-2</v>
      </c>
      <c r="J45" s="32">
        <f t="shared" si="3"/>
        <v>1.6600075453554821E-2</v>
      </c>
      <c r="P45" s="32">
        <f t="shared" si="4"/>
        <v>4.7315063035106644E-3</v>
      </c>
      <c r="Q45" s="32">
        <f t="shared" si="5"/>
        <v>6.4526311170948376E-3</v>
      </c>
      <c r="S45" s="2">
        <f>USA!Z53*G45</f>
        <v>0.29053558327219359</v>
      </c>
      <c r="T45" s="2">
        <v>0</v>
      </c>
      <c r="U45" s="2">
        <v>0</v>
      </c>
      <c r="V45" s="2">
        <v>0</v>
      </c>
      <c r="X45" s="2">
        <v>0.68200000000000005</v>
      </c>
      <c r="Y45" s="32">
        <f t="shared" ref="Y45:Y71" si="17">AB45-AA45</f>
        <v>6.2088985788206937E-3</v>
      </c>
      <c r="Z45" s="39">
        <v>0.36</v>
      </c>
      <c r="AA45" s="2">
        <f t="shared" si="6"/>
        <v>3.9385457576392897E-3</v>
      </c>
      <c r="AB45" s="2">
        <f t="shared" si="7"/>
        <v>1.0147444336459983E-2</v>
      </c>
      <c r="AF45"/>
      <c r="AG45"/>
      <c r="AH45"/>
      <c r="AM45" s="9">
        <v>1966</v>
      </c>
      <c r="AN45" s="3">
        <f t="shared" ref="AN45:AN96" si="18">I45</f>
        <v>1.4878950639970648E-2</v>
      </c>
      <c r="AO45" s="3">
        <f t="shared" ref="AO45:AO96" si="19">AB45</f>
        <v>1.0147444336459983E-2</v>
      </c>
      <c r="AP45" s="3">
        <f t="shared" ref="AP45:AP96" si="20">AN45-AO45</f>
        <v>4.7315063035106644E-3</v>
      </c>
      <c r="AR45" s="3">
        <v>1.2810240800209005</v>
      </c>
      <c r="AT45" s="3">
        <f t="shared" si="8"/>
        <v>1.1614887551315889</v>
      </c>
      <c r="AU45" s="3">
        <f t="shared" ref="AU45:AU89" si="21">AX45+AV45</f>
        <v>1.1726941431534392</v>
      </c>
      <c r="AV45" s="3">
        <f t="shared" si="9"/>
        <v>0.79213533099974387</v>
      </c>
      <c r="AW45" s="3">
        <f t="shared" si="10"/>
        <v>0.36935342413184502</v>
      </c>
      <c r="AX45" s="3">
        <f t="shared" si="11"/>
        <v>0.3805588121536953</v>
      </c>
      <c r="AY45" s="3">
        <f t="shared" si="12"/>
        <v>22.679947067619008</v>
      </c>
      <c r="AZ45">
        <v>0</v>
      </c>
      <c r="BA45">
        <v>0</v>
      </c>
      <c r="BB45">
        <v>0</v>
      </c>
      <c r="BC45">
        <v>0</v>
      </c>
      <c r="BD45">
        <v>0</v>
      </c>
      <c r="BF45" s="3">
        <f t="shared" si="13"/>
        <v>1.1855224512165727</v>
      </c>
      <c r="BG45" s="3">
        <f t="shared" si="14"/>
        <v>1.1969597027748042</v>
      </c>
    </row>
    <row r="46" spans="1:59">
      <c r="A46">
        <v>1967</v>
      </c>
      <c r="B46" s="3">
        <f t="shared" si="0"/>
        <v>110.42260629652473</v>
      </c>
      <c r="C46" s="3">
        <f t="shared" si="1"/>
        <v>15.30482682623647</v>
      </c>
      <c r="D46" s="2">
        <v>77.157799999999995</v>
      </c>
      <c r="E46" s="2">
        <v>21.90315</v>
      </c>
      <c r="F46" s="2">
        <f t="shared" si="15"/>
        <v>16.899988670700001</v>
      </c>
      <c r="G46" s="39">
        <v>8.8041085840058667E-2</v>
      </c>
      <c r="H46" s="2">
        <f t="shared" si="16"/>
        <v>1.4878933532531178E-2</v>
      </c>
      <c r="I46" s="32">
        <f t="shared" si="2"/>
        <v>1.4878933532531178E-2</v>
      </c>
      <c r="J46" s="32">
        <f t="shared" si="3"/>
        <v>1.7031552858724507E-2</v>
      </c>
      <c r="P46" s="32">
        <f t="shared" si="4"/>
        <v>4.3000117909015104E-3</v>
      </c>
      <c r="Q46" s="32">
        <f t="shared" si="5"/>
        <v>6.4526311170948376E-3</v>
      </c>
      <c r="S46" s="2">
        <f>USA!Z54*G46</f>
        <v>0.29053558327219359</v>
      </c>
      <c r="T46" s="2">
        <v>0</v>
      </c>
      <c r="U46" s="2">
        <v>0</v>
      </c>
      <c r="V46" s="2">
        <v>0</v>
      </c>
      <c r="X46" s="2">
        <v>0.71099999999999997</v>
      </c>
      <c r="Y46" s="32">
        <f t="shared" si="17"/>
        <v>6.6403805124302375E-3</v>
      </c>
      <c r="Z46" s="39">
        <v>0.36</v>
      </c>
      <c r="AA46" s="2">
        <f t="shared" si="6"/>
        <v>3.9385412291994297E-3</v>
      </c>
      <c r="AB46" s="2">
        <f t="shared" si="7"/>
        <v>1.0578921741629667E-2</v>
      </c>
      <c r="AF46"/>
      <c r="AG46"/>
      <c r="AH46"/>
      <c r="AM46" s="9">
        <v>1967</v>
      </c>
      <c r="AN46" s="3">
        <f t="shared" si="18"/>
        <v>1.4878933532531178E-2</v>
      </c>
      <c r="AO46" s="3">
        <f t="shared" si="19"/>
        <v>1.0578921741629667E-2</v>
      </c>
      <c r="AP46" s="3">
        <f t="shared" si="20"/>
        <v>4.3000117909015104E-3</v>
      </c>
      <c r="AR46" s="3">
        <v>1.3046123450207732</v>
      </c>
      <c r="AT46" s="3">
        <f t="shared" si="8"/>
        <v>1.140486949193652</v>
      </c>
      <c r="AU46" s="3">
        <f t="shared" si="21"/>
        <v>1.1313648088918549</v>
      </c>
      <c r="AV46" s="3">
        <f t="shared" si="9"/>
        <v>0.8108862208766866</v>
      </c>
      <c r="AW46" s="3">
        <f t="shared" si="10"/>
        <v>0.32960072831696541</v>
      </c>
      <c r="AX46" s="3">
        <f t="shared" si="11"/>
        <v>0.32047858801516821</v>
      </c>
      <c r="AY46" s="3">
        <f t="shared" si="12"/>
        <v>22.26987843408514</v>
      </c>
      <c r="AZ46">
        <v>0</v>
      </c>
      <c r="BA46">
        <v>0</v>
      </c>
      <c r="BB46" s="23">
        <v>1</v>
      </c>
      <c r="BC46">
        <v>0</v>
      </c>
      <c r="BD46">
        <v>0</v>
      </c>
      <c r="BF46" s="3">
        <f t="shared" si="13"/>
        <v>1.1640860728224514</v>
      </c>
      <c r="BG46" s="3">
        <f t="shared" si="14"/>
        <v>1.154775175852379</v>
      </c>
    </row>
    <row r="47" spans="1:59">
      <c r="A47">
        <v>1968</v>
      </c>
      <c r="B47" s="3">
        <f t="shared" si="0"/>
        <v>105.95136501696381</v>
      </c>
      <c r="C47" s="3">
        <f t="shared" si="1"/>
        <v>15.950346083448959</v>
      </c>
      <c r="D47" s="2">
        <v>74.033519999999996</v>
      </c>
      <c r="E47" s="2">
        <v>22.826969999999999</v>
      </c>
      <c r="F47" s="2">
        <f t="shared" si="15"/>
        <v>16.899609400343998</v>
      </c>
      <c r="G47" s="39">
        <v>8.8041085840058667E-2</v>
      </c>
      <c r="H47" s="2">
        <f t="shared" si="16"/>
        <v>1.4878599618791484E-2</v>
      </c>
      <c r="I47" s="32">
        <f t="shared" si="2"/>
        <v>1.4878599618791484E-2</v>
      </c>
      <c r="J47" s="32">
        <f t="shared" si="3"/>
        <v>1.7031315446055583E-2</v>
      </c>
      <c r="P47" s="32">
        <f t="shared" si="4"/>
        <v>4.2999152898307389E-3</v>
      </c>
      <c r="Q47" s="32">
        <f t="shared" si="5"/>
        <v>6.4526311170948376E-3</v>
      </c>
      <c r="S47" s="2">
        <f>USA!Z55*G47</f>
        <v>0.29053558327219359</v>
      </c>
      <c r="T47" s="2">
        <v>0</v>
      </c>
      <c r="U47" s="2">
        <v>0</v>
      </c>
      <c r="V47" s="2">
        <v>0</v>
      </c>
      <c r="X47" s="2">
        <v>0.71099999999999997</v>
      </c>
      <c r="Y47" s="32">
        <f t="shared" si="17"/>
        <v>6.6402314886924111E-3</v>
      </c>
      <c r="Z47" s="39">
        <v>0.36</v>
      </c>
      <c r="AA47" s="2">
        <f t="shared" si="6"/>
        <v>3.9384528402683344E-3</v>
      </c>
      <c r="AB47" s="2">
        <f t="shared" si="7"/>
        <v>1.0578684328960745E-2</v>
      </c>
      <c r="AF47"/>
      <c r="AG47"/>
      <c r="AH47"/>
      <c r="AM47" s="9">
        <v>1968</v>
      </c>
      <c r="AN47" s="3">
        <f t="shared" si="18"/>
        <v>1.4878599618791484E-2</v>
      </c>
      <c r="AO47" s="3">
        <f t="shared" si="19"/>
        <v>1.0578684328960745E-2</v>
      </c>
      <c r="AP47" s="3">
        <f t="shared" si="20"/>
        <v>4.2999152898307389E-3</v>
      </c>
      <c r="AR47" s="3">
        <v>1.3064268272670874</v>
      </c>
      <c r="AT47" s="3">
        <f t="shared" si="8"/>
        <v>1.138877379754671</v>
      </c>
      <c r="AU47" s="3">
        <f t="shared" si="21"/>
        <v>1.1300594895294953</v>
      </c>
      <c r="AV47" s="3">
        <f t="shared" si="9"/>
        <v>0.80974181700557091</v>
      </c>
      <c r="AW47" s="3">
        <f t="shared" si="10"/>
        <v>0.32913556274910005</v>
      </c>
      <c r="AX47" s="3">
        <f t="shared" si="11"/>
        <v>0.3203176725239244</v>
      </c>
      <c r="AY47" s="3">
        <f t="shared" si="12"/>
        <v>22.238948038135792</v>
      </c>
      <c r="AZ47">
        <v>0</v>
      </c>
      <c r="BA47">
        <v>0</v>
      </c>
      <c r="BB47" s="23">
        <v>1</v>
      </c>
      <c r="BC47">
        <v>0</v>
      </c>
      <c r="BD47">
        <v>0</v>
      </c>
      <c r="BF47" s="3">
        <f t="shared" si="13"/>
        <v>1.1624431979359977</v>
      </c>
      <c r="BG47" s="3">
        <f t="shared" si="14"/>
        <v>1.1534428466298634</v>
      </c>
    </row>
    <row r="48" spans="1:59">
      <c r="A48">
        <v>1969</v>
      </c>
      <c r="B48" s="3">
        <f t="shared" si="0"/>
        <v>100.51147977858422</v>
      </c>
      <c r="C48" s="3">
        <f t="shared" si="1"/>
        <v>16.814008114047141</v>
      </c>
      <c r="D48" s="2">
        <v>70.232399999999998</v>
      </c>
      <c r="E48" s="2">
        <v>24.06298</v>
      </c>
      <c r="F48" s="2">
        <f t="shared" si="15"/>
        <v>16.900008365520002</v>
      </c>
      <c r="G48" s="39">
        <v>8.8041085840058667E-2</v>
      </c>
      <c r="H48" s="2">
        <f t="shared" si="16"/>
        <v>1.487895087206456E-2</v>
      </c>
      <c r="I48" s="32">
        <f t="shared" si="2"/>
        <v>1.487895087206456E-2</v>
      </c>
      <c r="J48" s="32">
        <f t="shared" si="3"/>
        <v>1.7031565187132738E-2</v>
      </c>
      <c r="P48" s="32">
        <f t="shared" si="4"/>
        <v>4.3000168020266589E-3</v>
      </c>
      <c r="Q48" s="32">
        <f t="shared" si="5"/>
        <v>6.4526311170948376E-3</v>
      </c>
      <c r="S48" s="2">
        <f>USA!Z56*G48</f>
        <v>0.29053558327219359</v>
      </c>
      <c r="T48" s="2">
        <v>0</v>
      </c>
      <c r="U48" s="2">
        <v>0</v>
      </c>
      <c r="V48" s="2">
        <v>0</v>
      </c>
      <c r="X48" s="2">
        <v>0.71099999999999997</v>
      </c>
      <c r="Y48" s="32">
        <f t="shared" si="17"/>
        <v>6.6403882509619878E-3</v>
      </c>
      <c r="Z48" s="39">
        <v>0.36</v>
      </c>
      <c r="AA48" s="2">
        <f t="shared" si="6"/>
        <v>3.9385458190759129E-3</v>
      </c>
      <c r="AB48" s="2">
        <f t="shared" si="7"/>
        <v>1.0578934070037901E-2</v>
      </c>
      <c r="AF48"/>
      <c r="AG48"/>
      <c r="AH48"/>
      <c r="AM48" s="9">
        <v>1969</v>
      </c>
      <c r="AN48" s="3">
        <f t="shared" si="18"/>
        <v>1.487895087206456E-2</v>
      </c>
      <c r="AO48" s="3">
        <f t="shared" si="19"/>
        <v>1.0578934070037901E-2</v>
      </c>
      <c r="AP48" s="3">
        <f t="shared" si="20"/>
        <v>4.3000168020266589E-3</v>
      </c>
      <c r="AR48" s="3">
        <v>1.3409019811048875</v>
      </c>
      <c r="AT48" s="3">
        <f t="shared" si="8"/>
        <v>1.1096225586753539</v>
      </c>
      <c r="AU48" s="3">
        <f t="shared" si="21"/>
        <v>1.1062846622714932</v>
      </c>
      <c r="AV48" s="3">
        <f t="shared" si="9"/>
        <v>0.78894163921817639</v>
      </c>
      <c r="AW48" s="3">
        <f t="shared" si="10"/>
        <v>0.32068091945717747</v>
      </c>
      <c r="AX48" s="3">
        <f t="shared" si="11"/>
        <v>0.31734302305331691</v>
      </c>
      <c r="AY48" s="3">
        <f t="shared" si="12"/>
        <v>21.667175331696928</v>
      </c>
      <c r="AZ48">
        <v>0</v>
      </c>
      <c r="BA48">
        <v>0</v>
      </c>
      <c r="BB48" s="23">
        <v>1</v>
      </c>
      <c r="BC48">
        <v>0</v>
      </c>
      <c r="BD48">
        <v>0</v>
      </c>
      <c r="BF48" s="3">
        <f t="shared" si="13"/>
        <v>1.1325830317978203</v>
      </c>
      <c r="BG48" s="3">
        <f t="shared" si="14"/>
        <v>1.1291760671508284</v>
      </c>
    </row>
    <row r="49" spans="1:59">
      <c r="A49">
        <v>1970</v>
      </c>
      <c r="B49" s="3">
        <f t="shared" si="0"/>
        <v>94.915916551551035</v>
      </c>
      <c r="C49" s="3">
        <f t="shared" si="1"/>
        <v>17.805240938511318</v>
      </c>
      <c r="D49" s="2">
        <v>66.322500000000005</v>
      </c>
      <c r="E49" s="2">
        <v>25.481560000000002</v>
      </c>
      <c r="F49" s="2">
        <f t="shared" si="15"/>
        <v>16.900007631000005</v>
      </c>
      <c r="G49" s="2">
        <v>8.8041085840058667E-2</v>
      </c>
      <c r="H49" s="2">
        <f t="shared" si="16"/>
        <v>1.4878950225385179E-2</v>
      </c>
      <c r="I49" s="32">
        <f t="shared" si="2"/>
        <v>1.4878950225385179E-2</v>
      </c>
      <c r="J49" s="32">
        <f t="shared" si="3"/>
        <v>1.7072543665372232E-2</v>
      </c>
      <c r="P49" s="32">
        <f t="shared" si="4"/>
        <v>4.3000166151363171E-3</v>
      </c>
      <c r="Q49" s="32">
        <f t="shared" si="5"/>
        <v>6.493610055123368E-3</v>
      </c>
      <c r="S49" s="2">
        <f>USA!Z57*G49</f>
        <v>0.29493763756419655</v>
      </c>
      <c r="T49" s="2">
        <v>0</v>
      </c>
      <c r="U49" s="2">
        <v>0</v>
      </c>
      <c r="V49" s="2">
        <v>0</v>
      </c>
      <c r="X49" s="2">
        <v>0.71099999999999997</v>
      </c>
      <c r="Y49" s="32">
        <f t="shared" si="17"/>
        <v>6.6403879623527853E-3</v>
      </c>
      <c r="Z49" s="39">
        <v>0.36</v>
      </c>
      <c r="AA49" s="2">
        <f t="shared" si="6"/>
        <v>3.938545647896077E-3</v>
      </c>
      <c r="AB49" s="2">
        <f t="shared" si="7"/>
        <v>1.0578933610248862E-2</v>
      </c>
      <c r="AC49"/>
      <c r="AD49"/>
      <c r="AE49"/>
      <c r="AF49"/>
      <c r="AG49"/>
      <c r="AH49"/>
      <c r="AM49" s="9">
        <v>1970</v>
      </c>
      <c r="AN49" s="3">
        <f t="shared" si="18"/>
        <v>1.4878950225385179E-2</v>
      </c>
      <c r="AO49" s="3">
        <f t="shared" si="19"/>
        <v>1.0578933610248862E-2</v>
      </c>
      <c r="AP49" s="3">
        <f t="shared" si="20"/>
        <v>4.3000166151363171E-3</v>
      </c>
      <c r="AR49" s="3">
        <v>1.379006097703509</v>
      </c>
      <c r="AT49" s="3">
        <f t="shared" si="8"/>
        <v>1.0789618878526674</v>
      </c>
      <c r="AU49" s="3">
        <f t="shared" si="21"/>
        <v>1.0830309352325738</v>
      </c>
      <c r="AV49" s="3">
        <f t="shared" si="9"/>
        <v>0.76714190226324652</v>
      </c>
      <c r="AW49" s="3">
        <f t="shared" si="10"/>
        <v>0.31181998558942092</v>
      </c>
      <c r="AX49" s="3">
        <f t="shared" si="11"/>
        <v>0.31588903296932719</v>
      </c>
      <c r="AY49" s="3">
        <f t="shared" si="12"/>
        <v>21.387696403617294</v>
      </c>
      <c r="AZ49">
        <v>0</v>
      </c>
      <c r="BA49">
        <v>0</v>
      </c>
      <c r="BB49" s="23">
        <v>1</v>
      </c>
      <c r="BC49">
        <v>0</v>
      </c>
      <c r="BD49">
        <v>0</v>
      </c>
      <c r="BF49" s="3">
        <f t="shared" si="13"/>
        <v>1.1012879258666934</v>
      </c>
      <c r="BG49" s="3">
        <f t="shared" si="14"/>
        <v>1.1054411705732221</v>
      </c>
    </row>
    <row r="50" spans="1:59">
      <c r="A50">
        <v>1971</v>
      </c>
      <c r="B50" s="3">
        <f t="shared" si="0"/>
        <v>91.041283471198625</v>
      </c>
      <c r="C50" s="3">
        <f t="shared" si="1"/>
        <v>18.563021376325832</v>
      </c>
      <c r="D50" s="2">
        <v>63.615099999999998</v>
      </c>
      <c r="E50" s="2">
        <v>26.566040000000001</v>
      </c>
      <c r="F50" s="2">
        <f t="shared" si="15"/>
        <v>16.900012912039998</v>
      </c>
      <c r="G50" s="2">
        <v>8.8041085840058667E-2</v>
      </c>
      <c r="H50" s="2">
        <f t="shared" si="16"/>
        <v>1.4878954874870131E-2</v>
      </c>
      <c r="I50" s="32">
        <f t="shared" si="2"/>
        <v>1.4878954874870131E-2</v>
      </c>
      <c r="J50" s="32">
        <f t="shared" si="3"/>
        <v>1.7244658510875858E-2</v>
      </c>
      <c r="P50" s="32">
        <f t="shared" si="4"/>
        <v>4.3000179588374692E-3</v>
      </c>
      <c r="Q50" s="32">
        <f t="shared" si="5"/>
        <v>6.6657215948431959E-3</v>
      </c>
      <c r="S50" s="2">
        <f>USA!Z58*G50</f>
        <v>0.31342626559060888</v>
      </c>
      <c r="T50" s="2">
        <v>0</v>
      </c>
      <c r="U50" s="2">
        <v>0</v>
      </c>
      <c r="V50" s="2">
        <v>0</v>
      </c>
      <c r="X50" s="2">
        <v>0.71099999999999997</v>
      </c>
      <c r="Y50" s="32">
        <f t="shared" si="17"/>
        <v>6.6403900373905684E-3</v>
      </c>
      <c r="Z50" s="39">
        <v>0.36</v>
      </c>
      <c r="AA50" s="2">
        <f t="shared" si="6"/>
        <v>3.9385468786420933E-3</v>
      </c>
      <c r="AB50" s="2">
        <f t="shared" si="7"/>
        <v>1.0578936916032662E-2</v>
      </c>
      <c r="AC50"/>
      <c r="AD50"/>
      <c r="AE50"/>
      <c r="AF50"/>
      <c r="AG50"/>
      <c r="AH50"/>
      <c r="AM50" s="9">
        <v>1971</v>
      </c>
      <c r="AN50" s="3">
        <f t="shared" si="18"/>
        <v>1.4878954874870131E-2</v>
      </c>
      <c r="AO50" s="3">
        <f t="shared" si="19"/>
        <v>1.0578936916032662E-2</v>
      </c>
      <c r="AP50" s="3">
        <f t="shared" si="20"/>
        <v>4.3000179588374692E-3</v>
      </c>
      <c r="AR50" s="3">
        <v>1.4243681447458805</v>
      </c>
      <c r="AT50" s="3">
        <f t="shared" si="8"/>
        <v>1.0446003675211835</v>
      </c>
      <c r="AU50" s="3">
        <f t="shared" si="21"/>
        <v>1.0618092470721094</v>
      </c>
      <c r="AV50" s="3">
        <f t="shared" si="9"/>
        <v>0.74271086130756137</v>
      </c>
      <c r="AW50" s="3">
        <f t="shared" si="10"/>
        <v>0.30188950621362209</v>
      </c>
      <c r="AX50" s="3">
        <f t="shared" si="11"/>
        <v>0.31909838576454813</v>
      </c>
      <c r="AY50" s="3">
        <f t="shared" si="12"/>
        <v>22.004582645768647</v>
      </c>
      <c r="AZ50">
        <v>0</v>
      </c>
      <c r="BA50">
        <v>0</v>
      </c>
      <c r="BB50" s="23">
        <v>1</v>
      </c>
      <c r="BC50">
        <v>0</v>
      </c>
      <c r="BD50">
        <v>0</v>
      </c>
      <c r="BF50" s="3">
        <f t="shared" si="13"/>
        <v>1.0662153919046284</v>
      </c>
      <c r="BG50" s="3">
        <f t="shared" si="14"/>
        <v>1.0837803601212974</v>
      </c>
    </row>
    <row r="51" spans="1:59">
      <c r="A51">
        <v>1972</v>
      </c>
      <c r="B51" s="3">
        <f t="shared" si="0"/>
        <v>101.37330442251866</v>
      </c>
      <c r="C51" s="3">
        <f t="shared" si="1"/>
        <v>19.17664269444656</v>
      </c>
      <c r="D51" s="2">
        <v>70.834599999999995</v>
      </c>
      <c r="E51" s="2">
        <v>27.444210000000002</v>
      </c>
      <c r="F51" s="2">
        <f t="shared" si="15"/>
        <v>19.439996376659998</v>
      </c>
      <c r="G51" s="2">
        <v>8.8041085840058667E-2</v>
      </c>
      <c r="H51" s="2">
        <f t="shared" si="16"/>
        <v>1.7115183897279524E-2</v>
      </c>
      <c r="I51" s="32">
        <f t="shared" si="2"/>
        <v>1.7115183897279524E-2</v>
      </c>
      <c r="J51" s="32">
        <f t="shared" si="3"/>
        <v>1.7961742967047681E-2</v>
      </c>
      <c r="P51" s="32">
        <f t="shared" si="4"/>
        <v>5.8191625250750383E-3</v>
      </c>
      <c r="Q51" s="32">
        <f t="shared" si="5"/>
        <v>6.6657215948431959E-3</v>
      </c>
      <c r="S51" s="2">
        <f>USA!Z59*G51</f>
        <v>0.31342626559060888</v>
      </c>
      <c r="T51" s="2">
        <v>0</v>
      </c>
      <c r="U51" s="2">
        <v>0</v>
      </c>
      <c r="V51" s="2">
        <v>0</v>
      </c>
      <c r="X51" s="2">
        <v>0.66</v>
      </c>
      <c r="Y51" s="32">
        <f t="shared" si="17"/>
        <v>6.7655315170422588E-3</v>
      </c>
      <c r="Z51" s="39">
        <v>0.36</v>
      </c>
      <c r="AA51" s="2">
        <f t="shared" si="6"/>
        <v>4.530489855162227E-3</v>
      </c>
      <c r="AB51" s="2">
        <f t="shared" si="7"/>
        <v>1.1296021372204486E-2</v>
      </c>
      <c r="AC51"/>
      <c r="AD51"/>
      <c r="AE51"/>
      <c r="AF51"/>
      <c r="AG51"/>
      <c r="AH51"/>
      <c r="AM51" s="9">
        <v>1972</v>
      </c>
      <c r="AN51" s="3">
        <f t="shared" si="18"/>
        <v>1.7115183897279524E-2</v>
      </c>
      <c r="AO51" s="3">
        <f t="shared" si="19"/>
        <v>1.1296021372204486E-2</v>
      </c>
      <c r="AP51" s="3">
        <f t="shared" si="20"/>
        <v>5.8191625250750383E-3</v>
      </c>
      <c r="AR51" s="3">
        <v>1.4860605202679287</v>
      </c>
      <c r="AT51" s="3">
        <f t="shared" si="8"/>
        <v>1.1517151329875683</v>
      </c>
      <c r="AU51" s="3">
        <f t="shared" si="21"/>
        <v>1.1688936923558759</v>
      </c>
      <c r="AV51" s="3">
        <f t="shared" si="9"/>
        <v>0.76013198777179514</v>
      </c>
      <c r="AW51" s="3">
        <f t="shared" si="10"/>
        <v>0.3915831452157732</v>
      </c>
      <c r="AX51" s="3">
        <f t="shared" si="11"/>
        <v>0.40876170458408068</v>
      </c>
      <c r="AY51" s="3">
        <f t="shared" si="12"/>
        <v>21.091083526941407</v>
      </c>
      <c r="AZ51" s="23">
        <v>1</v>
      </c>
      <c r="BA51">
        <v>0</v>
      </c>
      <c r="BB51">
        <v>0</v>
      </c>
      <c r="BC51">
        <v>0</v>
      </c>
      <c r="BD51">
        <v>0</v>
      </c>
      <c r="BF51" s="3">
        <f t="shared" si="13"/>
        <v>1.1755465918462158</v>
      </c>
      <c r="BG51" s="3">
        <f t="shared" si="14"/>
        <v>1.1930806124905897</v>
      </c>
    </row>
    <row r="52" spans="1:59">
      <c r="A52">
        <v>1973</v>
      </c>
      <c r="B52" s="3">
        <f t="shared" si="0"/>
        <v>111.93230210669822</v>
      </c>
      <c r="C52" s="3">
        <f t="shared" si="1"/>
        <v>20.369443941469338</v>
      </c>
      <c r="D52" s="2">
        <v>78.212699999999998</v>
      </c>
      <c r="E52" s="2">
        <v>29.151260000000001</v>
      </c>
      <c r="F52" s="2">
        <f t="shared" si="15"/>
        <v>22.799987530019997</v>
      </c>
      <c r="G52" s="2">
        <v>8.6940572267057939E-2</v>
      </c>
      <c r="H52" s="2">
        <f t="shared" si="16"/>
        <v>1.9822439635417233E-2</v>
      </c>
      <c r="I52" s="32">
        <f t="shared" si="2"/>
        <v>1.9822439635417233E-2</v>
      </c>
      <c r="J52" s="32">
        <f t="shared" si="3"/>
        <v>1.9962954047452856E-2</v>
      </c>
      <c r="P52" s="32">
        <f t="shared" si="4"/>
        <v>6.7396294760418592E-3</v>
      </c>
      <c r="Q52" s="32">
        <f t="shared" si="5"/>
        <v>6.8801438880774805E-3</v>
      </c>
      <c r="S52" s="2">
        <f>USA!Z60*G52</f>
        <v>0.33646001467351422</v>
      </c>
      <c r="T52" s="2">
        <v>0</v>
      </c>
      <c r="U52" s="2">
        <v>0</v>
      </c>
      <c r="V52" s="2">
        <v>0</v>
      </c>
      <c r="X52" s="2">
        <v>0.66</v>
      </c>
      <c r="Y52" s="32">
        <f t="shared" si="17"/>
        <v>7.8356937852943412E-3</v>
      </c>
      <c r="Z52" s="39">
        <v>0.36</v>
      </c>
      <c r="AA52" s="2">
        <f t="shared" si="6"/>
        <v>5.2471163740810322E-3</v>
      </c>
      <c r="AB52" s="2">
        <f t="shared" si="7"/>
        <v>1.3082810159375374E-2</v>
      </c>
      <c r="AC52"/>
      <c r="AD52"/>
      <c r="AE52"/>
      <c r="AF52"/>
      <c r="AG52"/>
      <c r="AH52"/>
      <c r="AM52" s="9">
        <v>1973</v>
      </c>
      <c r="AN52" s="3">
        <f t="shared" si="18"/>
        <v>1.9822439635417233E-2</v>
      </c>
      <c r="AO52" s="3">
        <f t="shared" si="19"/>
        <v>1.3082810159375374E-2</v>
      </c>
      <c r="AP52" s="3">
        <f t="shared" si="20"/>
        <v>6.7396294760418592E-3</v>
      </c>
      <c r="AR52" s="3">
        <v>1.7146851356751205</v>
      </c>
      <c r="AT52" s="3">
        <f>AN52/$AR52*100</f>
        <v>1.1560396263429771</v>
      </c>
      <c r="AU52" s="3">
        <f t="shared" si="21"/>
        <v>1.1641063104072473</v>
      </c>
      <c r="AV52" s="3">
        <f t="shared" si="9"/>
        <v>0.76298615338636488</v>
      </c>
      <c r="AW52" s="3">
        <f>AT52-AV52</f>
        <v>0.39305347295661219</v>
      </c>
      <c r="AX52" s="3">
        <f t="shared" si="11"/>
        <v>0.40112015702088255</v>
      </c>
      <c r="AY52" s="3">
        <f t="shared" si="12"/>
        <v>19.622262284383794</v>
      </c>
      <c r="AZ52" s="23">
        <v>1</v>
      </c>
      <c r="BA52">
        <v>0</v>
      </c>
      <c r="BB52">
        <v>0</v>
      </c>
      <c r="BC52">
        <v>0</v>
      </c>
      <c r="BD52">
        <v>0</v>
      </c>
      <c r="BF52" s="3">
        <f t="shared" si="13"/>
        <v>1.179960568253928</v>
      </c>
      <c r="BG52" s="3">
        <f t="shared" si="14"/>
        <v>1.188194169330832</v>
      </c>
    </row>
    <row r="53" spans="1:59">
      <c r="A53">
        <v>1974</v>
      </c>
      <c r="B53" s="3">
        <f t="shared" si="0"/>
        <v>194.18818351183089</v>
      </c>
      <c r="C53" s="3">
        <f t="shared" si="1"/>
        <v>22.617266903639468</v>
      </c>
      <c r="D53" s="2">
        <v>135.68899999999999</v>
      </c>
      <c r="E53" s="2">
        <v>32.368180000000002</v>
      </c>
      <c r="F53" s="2">
        <f t="shared" si="15"/>
        <v>43.920059760200004</v>
      </c>
      <c r="G53" s="2">
        <v>8.8041085840058667E-2</v>
      </c>
      <c r="H53" s="2">
        <f t="shared" si="16"/>
        <v>3.8667697514482749E-2</v>
      </c>
      <c r="I53" s="32">
        <f t="shared" si="2"/>
        <v>3.8667697514482749E-2</v>
      </c>
      <c r="J53" s="32">
        <f t="shared" si="3"/>
        <v>4.0879836647156803E-2</v>
      </c>
      <c r="P53" s="32">
        <f t="shared" si="4"/>
        <v>1.1600309254344826E-2</v>
      </c>
      <c r="Q53" s="32">
        <f t="shared" si="5"/>
        <v>1.3812448387018877E-2</v>
      </c>
      <c r="S53" s="2">
        <f>USA!Z61*G53</f>
        <v>1.0811445341159203</v>
      </c>
      <c r="T53" s="2">
        <v>0</v>
      </c>
      <c r="U53" s="2">
        <v>0</v>
      </c>
      <c r="V53" s="2">
        <v>0</v>
      </c>
      <c r="X53" s="2">
        <v>0.7</v>
      </c>
      <c r="Y53" s="32">
        <f t="shared" si="17"/>
        <v>1.6831821271010135E-2</v>
      </c>
      <c r="Z53" s="39">
        <v>0.36</v>
      </c>
      <c r="AA53" s="2">
        <f t="shared" si="6"/>
        <v>1.0235566989127786E-2</v>
      </c>
      <c r="AB53" s="2">
        <f t="shared" si="7"/>
        <v>2.7067388260137923E-2</v>
      </c>
      <c r="AC53"/>
      <c r="AD53"/>
      <c r="AE53"/>
      <c r="AF53"/>
      <c r="AG53"/>
      <c r="AH53"/>
      <c r="AM53" s="9">
        <v>1974</v>
      </c>
      <c r="AN53" s="3">
        <f t="shared" si="18"/>
        <v>3.8667697514482749E-2</v>
      </c>
      <c r="AO53" s="3">
        <f t="shared" si="19"/>
        <v>2.7067388260137923E-2</v>
      </c>
      <c r="AP53" s="3">
        <f t="shared" si="20"/>
        <v>1.1600309254344826E-2</v>
      </c>
      <c r="AR53" s="3">
        <v>2.1701200825340856</v>
      </c>
      <c r="AT53" s="3">
        <f t="shared" ref="AT53:AT89" si="22">AN53/$AR53*100</f>
        <v>1.7818229426884908</v>
      </c>
      <c r="AU53" s="3">
        <f t="shared" si="21"/>
        <v>1.805497823803301</v>
      </c>
      <c r="AV53" s="3">
        <f t="shared" si="9"/>
        <v>1.2472760598819435</v>
      </c>
      <c r="AW53" s="3">
        <f t="shared" ref="AW53:AW89" si="23">AT53-AV53</f>
        <v>0.53454688280654739</v>
      </c>
      <c r="AX53" s="3">
        <f t="shared" si="11"/>
        <v>0.55822176392135747</v>
      </c>
      <c r="AY53" s="3">
        <f t="shared" si="12"/>
        <v>49.819571866891792</v>
      </c>
      <c r="AZ53" s="23">
        <v>1</v>
      </c>
      <c r="BA53">
        <v>0</v>
      </c>
      <c r="BB53">
        <v>0</v>
      </c>
      <c r="BC53">
        <v>0</v>
      </c>
      <c r="BD53">
        <v>0</v>
      </c>
      <c r="BF53" s="3">
        <f t="shared" si="13"/>
        <v>1.8186926849848553</v>
      </c>
      <c r="BG53" s="3">
        <f t="shared" si="14"/>
        <v>1.8428574502204094</v>
      </c>
    </row>
    <row r="54" spans="1:59">
      <c r="A54">
        <v>1975</v>
      </c>
      <c r="B54" s="3">
        <f t="shared" si="0"/>
        <v>175.38603775957071</v>
      </c>
      <c r="C54" s="3">
        <f t="shared" si="1"/>
        <v>24.682660206706046</v>
      </c>
      <c r="D54" s="2">
        <v>122.551</v>
      </c>
      <c r="E54" s="2">
        <v>35.324019999999997</v>
      </c>
      <c r="F54" s="2">
        <f t="shared" si="15"/>
        <v>43.289939750199999</v>
      </c>
      <c r="G54" s="2">
        <v>9.4060895084372695E-2</v>
      </c>
      <c r="H54" s="2">
        <f t="shared" si="16"/>
        <v>4.0718904810523773E-2</v>
      </c>
      <c r="I54" s="32">
        <f t="shared" si="2"/>
        <v>4.0718904810523773E-2</v>
      </c>
      <c r="J54" s="32">
        <f t="shared" si="3"/>
        <v>4.4159705867761904E-2</v>
      </c>
      <c r="P54" s="32">
        <f t="shared" si="4"/>
        <v>1.1401293346946659E-2</v>
      </c>
      <c r="Q54" s="32">
        <f t="shared" si="5"/>
        <v>1.484209440418479E-2</v>
      </c>
      <c r="S54" s="2">
        <f>USA!Z62*G54</f>
        <v>1.191751540719002</v>
      </c>
      <c r="T54" s="2">
        <v>0</v>
      </c>
      <c r="U54" s="2">
        <v>0</v>
      </c>
      <c r="V54" s="2">
        <v>0</v>
      </c>
      <c r="X54" s="2">
        <v>0.72</v>
      </c>
      <c r="Y54" s="32">
        <f t="shared" si="17"/>
        <v>1.8539077837261997E-2</v>
      </c>
      <c r="Z54" s="39">
        <v>0.36</v>
      </c>
      <c r="AA54" s="2">
        <f t="shared" si="6"/>
        <v>1.0778533626315118E-2</v>
      </c>
      <c r="AB54" s="2">
        <f t="shared" si="7"/>
        <v>2.9317611463577115E-2</v>
      </c>
      <c r="AC54"/>
      <c r="AD54"/>
      <c r="AE54"/>
      <c r="AF54"/>
      <c r="AG54"/>
      <c r="AH54"/>
      <c r="AM54" s="9">
        <v>1975</v>
      </c>
      <c r="AN54" s="3">
        <f t="shared" si="18"/>
        <v>4.0718904810523773E-2</v>
      </c>
      <c r="AO54" s="3">
        <f t="shared" si="19"/>
        <v>2.9317611463577115E-2</v>
      </c>
      <c r="AP54" s="3">
        <f t="shared" si="20"/>
        <v>1.1401293346946659E-2</v>
      </c>
      <c r="AR54" s="3">
        <v>2.4658805402944579</v>
      </c>
      <c r="AT54" s="3">
        <f t="shared" si="22"/>
        <v>1.6512926780168116</v>
      </c>
      <c r="AU54" s="3">
        <f t="shared" si="21"/>
        <v>1.7394011908607219</v>
      </c>
      <c r="AV54" s="3">
        <f t="shared" si="9"/>
        <v>1.1889307281721042</v>
      </c>
      <c r="AW54" s="3">
        <f t="shared" si="23"/>
        <v>0.46236194984470735</v>
      </c>
      <c r="AX54" s="3">
        <f t="shared" si="11"/>
        <v>0.55047046268861777</v>
      </c>
      <c r="AY54" s="3">
        <f t="shared" si="12"/>
        <v>48.329654305828271</v>
      </c>
      <c r="AZ54" s="23">
        <v>1</v>
      </c>
      <c r="BA54">
        <v>0</v>
      </c>
      <c r="BB54">
        <v>0</v>
      </c>
      <c r="BC54">
        <v>0</v>
      </c>
      <c r="BD54">
        <v>0</v>
      </c>
      <c r="BF54" s="3">
        <f t="shared" si="13"/>
        <v>1.6854614688858365</v>
      </c>
      <c r="BG54" s="3">
        <f t="shared" si="14"/>
        <v>1.7753931360313573</v>
      </c>
    </row>
    <row r="55" spans="1:59">
      <c r="A55">
        <v>1976</v>
      </c>
      <c r="B55" s="3">
        <f t="shared" si="0"/>
        <v>177.78603763980666</v>
      </c>
      <c r="C55" s="3">
        <f t="shared" si="1"/>
        <v>26.098712089869402</v>
      </c>
      <c r="D55" s="2">
        <v>124.22799999999999</v>
      </c>
      <c r="E55" s="2">
        <v>37.350569999999998</v>
      </c>
      <c r="F55" s="2">
        <f t="shared" si="15"/>
        <v>46.399866099599997</v>
      </c>
      <c r="G55" s="2">
        <v>0.10716825629738323</v>
      </c>
      <c r="H55" s="2">
        <f t="shared" si="16"/>
        <v>4.9725927423261956E-2</v>
      </c>
      <c r="I55" s="32">
        <f t="shared" si="2"/>
        <v>4.9725927423261956E-2</v>
      </c>
      <c r="J55" s="32">
        <f t="shared" si="3"/>
        <v>4.9358365877523132E-2</v>
      </c>
      <c r="P55" s="32">
        <f t="shared" si="4"/>
        <v>1.7404074598141681E-2</v>
      </c>
      <c r="Q55" s="32">
        <f t="shared" si="5"/>
        <v>1.7036513052402856E-2</v>
      </c>
      <c r="S55" s="2">
        <f>USA!Z63*G55</f>
        <v>1.4274811738811446</v>
      </c>
      <c r="T55" s="2">
        <v>0</v>
      </c>
      <c r="U55" s="2">
        <v>0</v>
      </c>
      <c r="V55" s="2">
        <v>0</v>
      </c>
      <c r="X55" s="2">
        <v>0.65</v>
      </c>
      <c r="Y55" s="32">
        <f t="shared" si="17"/>
        <v>1.9159107330727405E-2</v>
      </c>
      <c r="Z55" s="39">
        <v>0.36</v>
      </c>
      <c r="AA55" s="2">
        <f t="shared" si="6"/>
        <v>1.316274549439287E-2</v>
      </c>
      <c r="AB55" s="2">
        <f t="shared" si="7"/>
        <v>3.2321852825120276E-2</v>
      </c>
      <c r="AC55"/>
      <c r="AD55"/>
      <c r="AE55"/>
      <c r="AF55"/>
      <c r="AG55"/>
      <c r="AH55"/>
      <c r="AM55" s="9">
        <v>1976</v>
      </c>
      <c r="AN55" s="3">
        <f t="shared" si="18"/>
        <v>4.9725927423261956E-2</v>
      </c>
      <c r="AO55" s="3">
        <f t="shared" si="19"/>
        <v>3.2321852825120276E-2</v>
      </c>
      <c r="AP55" s="3">
        <f t="shared" si="20"/>
        <v>1.7404074598141681E-2</v>
      </c>
      <c r="AR55" s="3">
        <v>2.7870437263279211</v>
      </c>
      <c r="AT55" s="3">
        <f t="shared" si="22"/>
        <v>1.7841818179429327</v>
      </c>
      <c r="AU55" s="3">
        <f t="shared" si="21"/>
        <v>1.7252177214815516</v>
      </c>
      <c r="AV55" s="3">
        <f t="shared" si="9"/>
        <v>1.1597181816629065</v>
      </c>
      <c r="AW55" s="3">
        <f t="shared" si="23"/>
        <v>0.62446363628002621</v>
      </c>
      <c r="AX55" s="3">
        <f t="shared" si="11"/>
        <v>0.5654995398186452</v>
      </c>
      <c r="AY55" s="3">
        <f t="shared" si="12"/>
        <v>51.218470682622808</v>
      </c>
      <c r="AZ55" s="23">
        <v>1</v>
      </c>
      <c r="BA55">
        <v>0</v>
      </c>
      <c r="BB55">
        <v>0</v>
      </c>
      <c r="BC55">
        <v>0</v>
      </c>
      <c r="BD55">
        <v>0</v>
      </c>
      <c r="BF55" s="3">
        <f t="shared" si="13"/>
        <v>1.8211003704328674</v>
      </c>
      <c r="BG55" s="3">
        <f t="shared" si="14"/>
        <v>1.7609161802185185</v>
      </c>
    </row>
    <row r="56" spans="1:59">
      <c r="A56">
        <v>1977</v>
      </c>
      <c r="B56" s="3">
        <f t="shared" si="0"/>
        <v>161.09194187179671</v>
      </c>
      <c r="C56" s="3">
        <f t="shared" si="1"/>
        <v>27.791594761847083</v>
      </c>
      <c r="D56" s="2">
        <v>112.563</v>
      </c>
      <c r="E56" s="2">
        <v>39.773299999999999</v>
      </c>
      <c r="F56" s="2">
        <f t="shared" si="15"/>
        <v>44.770019679000001</v>
      </c>
      <c r="G56" s="2">
        <v>0.10810980679872829</v>
      </c>
      <c r="H56" s="2">
        <f t="shared" si="16"/>
        <v>4.8400781778719537E-2</v>
      </c>
      <c r="I56" s="32">
        <f t="shared" si="2"/>
        <v>4.8400781778719537E-2</v>
      </c>
      <c r="J56" s="32">
        <f t="shared" si="3"/>
        <v>4.9660425643946252E-2</v>
      </c>
      <c r="P56" s="32">
        <f t="shared" si="4"/>
        <v>1.6940273622551835E-2</v>
      </c>
      <c r="Q56" s="32">
        <f t="shared" si="5"/>
        <v>1.8199917487778546E-2</v>
      </c>
      <c r="S56" s="2">
        <f>USA!Z64*G56</f>
        <v>1.5524568256297382</v>
      </c>
      <c r="T56" s="2">
        <v>0</v>
      </c>
      <c r="U56" s="2">
        <v>0</v>
      </c>
      <c r="V56" s="2">
        <v>0</v>
      </c>
      <c r="X56" s="2">
        <v>0.65</v>
      </c>
      <c r="Y56" s="32">
        <f t="shared" si="17"/>
        <v>1.8648536508859587E-2</v>
      </c>
      <c r="Z56" s="39">
        <v>0.36</v>
      </c>
      <c r="AA56" s="2">
        <f t="shared" si="6"/>
        <v>1.2811971647308113E-2</v>
      </c>
      <c r="AB56" s="2">
        <f t="shared" si="7"/>
        <v>3.1460508156167702E-2</v>
      </c>
      <c r="AC56"/>
      <c r="AD56"/>
      <c r="AE56"/>
      <c r="AF56"/>
      <c r="AG56"/>
      <c r="AH56"/>
      <c r="AM56" s="9">
        <v>1977</v>
      </c>
      <c r="AN56" s="3">
        <f t="shared" si="18"/>
        <v>4.8400781778719537E-2</v>
      </c>
      <c r="AO56" s="3">
        <f t="shared" si="19"/>
        <v>3.1460508156167702E-2</v>
      </c>
      <c r="AP56" s="3">
        <f t="shared" si="20"/>
        <v>1.6940273622551835E-2</v>
      </c>
      <c r="AR56" s="3">
        <v>3.1317951824828598</v>
      </c>
      <c r="AT56" s="3">
        <f t="shared" si="22"/>
        <v>1.5454644687315671</v>
      </c>
      <c r="AU56" s="3">
        <f t="shared" si="21"/>
        <v>1.5614795814968994</v>
      </c>
      <c r="AV56" s="3">
        <f t="shared" si="9"/>
        <v>1.0045519046755187</v>
      </c>
      <c r="AW56" s="3">
        <f t="shared" si="23"/>
        <v>0.54091256405604837</v>
      </c>
      <c r="AX56" s="3">
        <f t="shared" si="11"/>
        <v>0.55692767682138078</v>
      </c>
      <c r="AY56" s="3">
        <f t="shared" si="12"/>
        <v>49.570828715528073</v>
      </c>
      <c r="AZ56" s="23">
        <v>1</v>
      </c>
      <c r="BA56">
        <v>0</v>
      </c>
      <c r="BB56">
        <v>0</v>
      </c>
      <c r="BC56">
        <v>0</v>
      </c>
      <c r="BD56">
        <v>0</v>
      </c>
      <c r="BF56" s="3">
        <f t="shared" si="13"/>
        <v>1.5774434467350411</v>
      </c>
      <c r="BG56" s="3">
        <f t="shared" si="14"/>
        <v>1.5937899465682792</v>
      </c>
    </row>
    <row r="57" spans="1:59">
      <c r="A57">
        <v>1978</v>
      </c>
      <c r="B57" s="3">
        <f t="shared" si="0"/>
        <v>186.51591198055777</v>
      </c>
      <c r="C57" s="3">
        <f t="shared" si="1"/>
        <v>29.916940817905406</v>
      </c>
      <c r="D57" s="2">
        <v>130.328</v>
      </c>
      <c r="E57" s="2">
        <v>42.81494</v>
      </c>
      <c r="F57" s="2">
        <f t="shared" si="15"/>
        <v>55.799855003200001</v>
      </c>
      <c r="G57" s="2">
        <v>0.10783687943262411</v>
      </c>
      <c r="H57" s="2">
        <f t="shared" si="16"/>
        <v>6.0172822363379862E-2</v>
      </c>
      <c r="I57" s="32">
        <f t="shared" si="2"/>
        <v>6.0172822363379862E-2</v>
      </c>
      <c r="J57" s="32">
        <f t="shared" si="3"/>
        <v>5.7255690480504356E-2</v>
      </c>
      <c r="P57" s="32">
        <f t="shared" si="4"/>
        <v>2.106048782718295E-2</v>
      </c>
      <c r="Q57" s="32">
        <f t="shared" si="5"/>
        <v>1.8143355944307441E-2</v>
      </c>
      <c r="S57" s="2">
        <f>USA!Z65*G57</f>
        <v>1.5463808510638297</v>
      </c>
      <c r="T57" s="2">
        <v>0</v>
      </c>
      <c r="U57" s="2">
        <v>0</v>
      </c>
      <c r="V57" s="2">
        <v>0</v>
      </c>
      <c r="X57" s="2">
        <v>0.65</v>
      </c>
      <c r="Y57" s="32">
        <f t="shared" si="17"/>
        <v>2.3184234498831655E-2</v>
      </c>
      <c r="Z57" s="39">
        <v>0.36</v>
      </c>
      <c r="AA57" s="2">
        <f t="shared" si="6"/>
        <v>1.5928100037365257E-2</v>
      </c>
      <c r="AB57" s="2">
        <f t="shared" si="7"/>
        <v>3.9112334536196912E-2</v>
      </c>
      <c r="AC57"/>
      <c r="AD57"/>
      <c r="AE57"/>
      <c r="AF57"/>
      <c r="AG57"/>
      <c r="AH57"/>
      <c r="AM57" s="9">
        <v>1978</v>
      </c>
      <c r="AN57" s="3">
        <f t="shared" si="18"/>
        <v>6.0172822363379862E-2</v>
      </c>
      <c r="AO57" s="3">
        <f t="shared" si="19"/>
        <v>3.9112334536196912E-2</v>
      </c>
      <c r="AP57" s="3">
        <f t="shared" si="20"/>
        <v>2.106048782718295E-2</v>
      </c>
      <c r="AR57" s="3">
        <v>3.5255376263643714</v>
      </c>
      <c r="AT57" s="3">
        <f t="shared" si="22"/>
        <v>1.7067701082921554</v>
      </c>
      <c r="AU57" s="3">
        <f t="shared" si="21"/>
        <v>1.636629453592243</v>
      </c>
      <c r="AV57" s="3">
        <f t="shared" si="9"/>
        <v>1.1094005703899008</v>
      </c>
      <c r="AW57" s="3">
        <f t="shared" si="23"/>
        <v>0.59736953790225455</v>
      </c>
      <c r="AX57" s="3">
        <f t="shared" si="11"/>
        <v>0.52722888320234218</v>
      </c>
      <c r="AY57" s="3">
        <f t="shared" si="12"/>
        <v>43.862270522935788</v>
      </c>
      <c r="AZ57" s="23">
        <v>1</v>
      </c>
      <c r="BA57">
        <v>0</v>
      </c>
      <c r="BB57">
        <v>0</v>
      </c>
      <c r="BC57">
        <v>0</v>
      </c>
      <c r="BD57">
        <v>0</v>
      </c>
      <c r="BF57" s="3">
        <f t="shared" si="13"/>
        <v>1.7420868463048118</v>
      </c>
      <c r="BG57" s="3">
        <f t="shared" si="14"/>
        <v>1.6704948308656657</v>
      </c>
    </row>
    <row r="58" spans="1:59">
      <c r="A58">
        <v>1979</v>
      </c>
      <c r="B58" s="3">
        <f t="shared" si="0"/>
        <v>202.77923853929457</v>
      </c>
      <c r="C58" s="3">
        <f t="shared" si="1"/>
        <v>33.287054161079702</v>
      </c>
      <c r="D58" s="2">
        <v>141.69200000000001</v>
      </c>
      <c r="E58" s="2">
        <v>47.637999999999998</v>
      </c>
      <c r="F58" s="2">
        <f t="shared" si="15"/>
        <v>67.49923496000001</v>
      </c>
      <c r="G58" s="2">
        <v>0.10869674737099538</v>
      </c>
      <c r="H58" s="2">
        <f t="shared" si="16"/>
        <v>7.33694729018258E-2</v>
      </c>
      <c r="I58" s="32">
        <f t="shared" si="2"/>
        <v>7.33694729018258E-2</v>
      </c>
      <c r="J58" s="32">
        <f t="shared" si="3"/>
        <v>7.3122409558974352E-2</v>
      </c>
      <c r="P58" s="32">
        <f t="shared" si="4"/>
        <v>2.5679315515639026E-2</v>
      </c>
      <c r="Q58" s="32">
        <f t="shared" si="5"/>
        <v>2.5432252172787575E-2</v>
      </c>
      <c r="S58" s="2">
        <f>USA!Z66*G58</f>
        <v>2.3293712961604309</v>
      </c>
      <c r="T58" s="2">
        <v>0</v>
      </c>
      <c r="U58" s="2">
        <v>0</v>
      </c>
      <c r="V58" s="2">
        <v>0</v>
      </c>
      <c r="X58" s="2">
        <v>0.65</v>
      </c>
      <c r="Y58" s="32">
        <f t="shared" si="17"/>
        <v>2.8268826323938769E-2</v>
      </c>
      <c r="Z58" s="39">
        <v>0.36</v>
      </c>
      <c r="AA58" s="2">
        <f t="shared" si="6"/>
        <v>1.9421331062248005E-2</v>
      </c>
      <c r="AB58" s="2">
        <f t="shared" si="7"/>
        <v>4.7690157386186774E-2</v>
      </c>
      <c r="AC58"/>
      <c r="AD58"/>
      <c r="AE58"/>
      <c r="AF58"/>
      <c r="AG58"/>
      <c r="AH58"/>
      <c r="AM58" s="9">
        <v>1979</v>
      </c>
      <c r="AN58" s="3">
        <f t="shared" si="18"/>
        <v>7.33694729018258E-2</v>
      </c>
      <c r="AO58" s="3">
        <f t="shared" si="19"/>
        <v>4.7690157386186774E-2</v>
      </c>
      <c r="AP58" s="3">
        <f t="shared" si="20"/>
        <v>2.5679315515639026E-2</v>
      </c>
      <c r="AR58" s="3">
        <v>4.1987101267101119</v>
      </c>
      <c r="AT58" s="3">
        <f t="shared" si="22"/>
        <v>1.7474288695255622</v>
      </c>
      <c r="AU58" s="3">
        <f t="shared" si="21"/>
        <v>1.7234898705302237</v>
      </c>
      <c r="AV58" s="3">
        <f t="shared" si="9"/>
        <v>1.1358287651916155</v>
      </c>
      <c r="AW58" s="3">
        <f t="shared" si="23"/>
        <v>0.61160010433394674</v>
      </c>
      <c r="AX58" s="3">
        <f t="shared" si="11"/>
        <v>0.58766110533860816</v>
      </c>
      <c r="AY58" s="3">
        <f t="shared" si="12"/>
        <v>55.47825941453128</v>
      </c>
      <c r="AZ58" s="23">
        <v>1</v>
      </c>
      <c r="BA58">
        <v>0</v>
      </c>
      <c r="BB58">
        <v>0</v>
      </c>
      <c r="BC58">
        <v>0</v>
      </c>
      <c r="BD58">
        <v>0</v>
      </c>
      <c r="BF58" s="3">
        <f t="shared" si="13"/>
        <v>1.7835869246033718</v>
      </c>
      <c r="BG58" s="3">
        <f t="shared" si="14"/>
        <v>1.7591525763212745</v>
      </c>
    </row>
    <row r="59" spans="1:59">
      <c r="A59">
        <v>1980</v>
      </c>
      <c r="B59" s="3">
        <f t="shared" si="0"/>
        <v>210.40428288151128</v>
      </c>
      <c r="C59" s="3">
        <f t="shared" si="1"/>
        <v>37.784321185500851</v>
      </c>
      <c r="D59" s="2">
        <v>147.02000000000001</v>
      </c>
      <c r="E59" s="2">
        <v>54.074159999999999</v>
      </c>
      <c r="F59" s="2">
        <f t="shared" si="15"/>
        <v>79.499830032000006</v>
      </c>
      <c r="G59" s="2">
        <v>0.12506700904866716</v>
      </c>
      <c r="H59" s="2">
        <f t="shared" si="16"/>
        <v>9.9428059619796463E-2</v>
      </c>
      <c r="I59" s="32">
        <f t="shared" si="2"/>
        <v>9.9428059619796463E-2</v>
      </c>
      <c r="J59" s="32">
        <f t="shared" si="3"/>
        <v>8.1008174194956151E-2</v>
      </c>
      <c r="P59" s="32">
        <f t="shared" si="4"/>
        <v>3.479982086692876E-2</v>
      </c>
      <c r="Q59" s="32">
        <f t="shared" si="5"/>
        <v>1.6379935442088447E-2</v>
      </c>
      <c r="S59" s="2">
        <f>USA!Z67*G59</f>
        <v>4.2260142357544632</v>
      </c>
      <c r="T59" s="2">
        <v>0</v>
      </c>
      <c r="U59" s="2">
        <v>0.5</v>
      </c>
      <c r="V59" s="2">
        <v>0</v>
      </c>
      <c r="X59" s="2">
        <v>0.65</v>
      </c>
      <c r="Y59" s="32">
        <f t="shared" si="17"/>
        <v>3.8309046500568641E-2</v>
      </c>
      <c r="Z59" s="39">
        <v>0.36</v>
      </c>
      <c r="AA59" s="2">
        <f t="shared" si="6"/>
        <v>2.6319192252299065E-2</v>
      </c>
      <c r="AB59" s="2">
        <f t="shared" si="7"/>
        <v>6.4628238752867703E-2</v>
      </c>
      <c r="AC59"/>
      <c r="AD59"/>
      <c r="AE59"/>
      <c r="AF59"/>
      <c r="AG59"/>
      <c r="AH59"/>
      <c r="AM59" s="9">
        <v>1980</v>
      </c>
      <c r="AN59" s="3">
        <f t="shared" si="18"/>
        <v>9.9428059619796463E-2</v>
      </c>
      <c r="AO59" s="3">
        <f t="shared" si="19"/>
        <v>6.4628238752867703E-2</v>
      </c>
      <c r="AP59" s="3">
        <f t="shared" si="20"/>
        <v>3.479982086692876E-2</v>
      </c>
      <c r="AR59" s="3">
        <v>5.2347792189959597</v>
      </c>
      <c r="AT59" s="3">
        <f t="shared" si="22"/>
        <v>1.8993744618491657</v>
      </c>
      <c r="AU59" s="3">
        <f t="shared" si="21"/>
        <v>1.9171555236963074</v>
      </c>
      <c r="AV59" s="3">
        <f t="shared" si="9"/>
        <v>1.2345934002019576</v>
      </c>
      <c r="AW59" s="3">
        <f t="shared" si="23"/>
        <v>0.66478106164720807</v>
      </c>
      <c r="AX59" s="3">
        <f t="shared" si="11"/>
        <v>0.68256212349434975</v>
      </c>
      <c r="AY59" s="3">
        <f t="shared" si="12"/>
        <v>80.729560101008815</v>
      </c>
      <c r="AZ59">
        <v>0</v>
      </c>
      <c r="BA59">
        <v>0</v>
      </c>
      <c r="BB59">
        <v>0</v>
      </c>
      <c r="BC59">
        <v>0</v>
      </c>
      <c r="BD59">
        <v>0</v>
      </c>
      <c r="BF59" s="3">
        <f t="shared" si="13"/>
        <v>1.9386765974626019</v>
      </c>
      <c r="BG59" s="3">
        <f t="shared" si="14"/>
        <v>1.9568255876556828</v>
      </c>
    </row>
    <row r="60" spans="1:59">
      <c r="A60">
        <v>1981</v>
      </c>
      <c r="B60" s="3">
        <f t="shared" si="0"/>
        <v>169.37816686080464</v>
      </c>
      <c r="C60" s="3">
        <f t="shared" si="1"/>
        <v>41.681969842500045</v>
      </c>
      <c r="D60" s="2">
        <v>118.35299999999999</v>
      </c>
      <c r="E60" s="2">
        <v>59.652189999999997</v>
      </c>
      <c r="F60" s="2">
        <f t="shared" si="15"/>
        <v>70.600156430699997</v>
      </c>
      <c r="G60" s="2">
        <v>0.16260723893372461</v>
      </c>
      <c r="H60" s="2">
        <f t="shared" si="16"/>
        <v>0.11480096505485168</v>
      </c>
      <c r="I60" s="32">
        <f t="shared" si="2"/>
        <v>0.11480096505485168</v>
      </c>
      <c r="J60" s="32">
        <f t="shared" si="3"/>
        <v>0.10677488858720562</v>
      </c>
      <c r="P60" s="32">
        <f t="shared" si="4"/>
        <v>4.0180337769198091E-2</v>
      </c>
      <c r="Q60" s="32">
        <f t="shared" si="5"/>
        <v>3.2154261301552023E-2</v>
      </c>
      <c r="S60" s="2">
        <f>USA!Z68*G60</f>
        <v>5.9205295695769129</v>
      </c>
      <c r="T60" s="2">
        <v>0</v>
      </c>
      <c r="U60" s="2">
        <v>0.5</v>
      </c>
      <c r="V60" s="2">
        <v>0</v>
      </c>
      <c r="X60" s="2">
        <v>0.65</v>
      </c>
      <c r="Y60" s="32">
        <f t="shared" si="17"/>
        <v>4.4232136535839905E-2</v>
      </c>
      <c r="Z60" s="39">
        <v>0.36</v>
      </c>
      <c r="AA60" s="2">
        <f t="shared" si="6"/>
        <v>3.0388490749813684E-2</v>
      </c>
      <c r="AB60" s="2">
        <f t="shared" si="7"/>
        <v>7.4620627285653593E-2</v>
      </c>
      <c r="AC60"/>
      <c r="AD60"/>
      <c r="AE60"/>
      <c r="AF60"/>
      <c r="AG60"/>
      <c r="AH60"/>
      <c r="AM60" s="9">
        <v>1981</v>
      </c>
      <c r="AN60" s="3">
        <f t="shared" si="18"/>
        <v>0.11480096505485168</v>
      </c>
      <c r="AO60" s="3">
        <f t="shared" si="19"/>
        <v>7.4620627285653593E-2</v>
      </c>
      <c r="AP60" s="3">
        <f t="shared" si="20"/>
        <v>4.0180337769198091E-2</v>
      </c>
      <c r="AR60" s="3">
        <v>6.5176178787485632</v>
      </c>
      <c r="AT60" s="3">
        <f t="shared" si="22"/>
        <v>1.7613945338706236</v>
      </c>
      <c r="AU60" s="3">
        <f t="shared" si="21"/>
        <v>1.7708034377062365</v>
      </c>
      <c r="AV60" s="3">
        <f t="shared" si="9"/>
        <v>1.1449064470159054</v>
      </c>
      <c r="AW60" s="3">
        <f t="shared" si="23"/>
        <v>0.61648808685471823</v>
      </c>
      <c r="AX60" s="3">
        <f t="shared" si="11"/>
        <v>0.625896990690331</v>
      </c>
      <c r="AY60" s="3">
        <f t="shared" si="12"/>
        <v>90.83885676822932</v>
      </c>
      <c r="AZ60">
        <v>0</v>
      </c>
      <c r="BA60" s="23">
        <v>0.5</v>
      </c>
      <c r="BB60">
        <v>0</v>
      </c>
      <c r="BC60">
        <v>0</v>
      </c>
      <c r="BD60">
        <v>0</v>
      </c>
      <c r="BF60" s="3">
        <f t="shared" si="13"/>
        <v>1.7978415685283138</v>
      </c>
      <c r="BG60" s="3">
        <f t="shared" si="14"/>
        <v>1.8074451627854042</v>
      </c>
    </row>
    <row r="61" spans="1:59">
      <c r="A61">
        <v>1982</v>
      </c>
      <c r="B61" s="3">
        <f t="shared" si="0"/>
        <v>147.79677258891519</v>
      </c>
      <c r="C61" s="3">
        <f t="shared" si="1"/>
        <v>44.24984128314113</v>
      </c>
      <c r="D61" s="2">
        <v>103.273</v>
      </c>
      <c r="E61" s="2">
        <v>63.32714</v>
      </c>
      <c r="F61" s="2">
        <f t="shared" si="15"/>
        <v>65.399837292200004</v>
      </c>
      <c r="G61" s="2">
        <v>0.1960474443629249</v>
      </c>
      <c r="H61" s="2">
        <f t="shared" si="16"/>
        <v>0.12821470962886922</v>
      </c>
      <c r="I61" s="32">
        <f t="shared" si="2"/>
        <v>0.12821470962886922</v>
      </c>
      <c r="J61" s="32">
        <f t="shared" si="3"/>
        <v>0.12161090292333866</v>
      </c>
      <c r="P61" s="32">
        <f t="shared" si="4"/>
        <v>4.4234074821959873E-2</v>
      </c>
      <c r="Q61" s="32">
        <f t="shared" si="5"/>
        <v>3.7630268116429319E-2</v>
      </c>
      <c r="S61" s="2">
        <f>USA!Z69*G61</f>
        <v>6.5087751528491076</v>
      </c>
      <c r="T61" s="2">
        <v>0</v>
      </c>
      <c r="U61" s="2">
        <v>0.5</v>
      </c>
      <c r="V61" s="2">
        <v>0</v>
      </c>
      <c r="X61" s="39">
        <f>X60+(X$70-X$60)/10</f>
        <v>0.65500000000000003</v>
      </c>
      <c r="Y61" s="32">
        <f t="shared" si="17"/>
        <v>5.0041446963973377E-2</v>
      </c>
      <c r="Z61" s="39">
        <v>0.36</v>
      </c>
      <c r="AA61" s="2">
        <f t="shared" si="6"/>
        <v>3.3939187842935967E-2</v>
      </c>
      <c r="AB61" s="2">
        <f t="shared" si="7"/>
        <v>8.3980634806909343E-2</v>
      </c>
      <c r="AC61"/>
      <c r="AD61"/>
      <c r="AE61"/>
      <c r="AF61"/>
      <c r="AG61"/>
      <c r="AH61"/>
      <c r="AM61" s="9">
        <v>1982</v>
      </c>
      <c r="AN61" s="3">
        <f t="shared" si="18"/>
        <v>0.12821470962886922</v>
      </c>
      <c r="AO61" s="3">
        <f t="shared" si="19"/>
        <v>8.3980634806909343E-2</v>
      </c>
      <c r="AP61" s="3">
        <f t="shared" si="20"/>
        <v>4.4234074821959873E-2</v>
      </c>
      <c r="AR61" s="3">
        <v>7.8857369135327655</v>
      </c>
      <c r="AT61" s="3">
        <f t="shared" si="22"/>
        <v>1.6259065073403487</v>
      </c>
      <c r="AU61" s="3">
        <f t="shared" si="21"/>
        <v>1.6476835267883523</v>
      </c>
      <c r="AV61" s="3">
        <f t="shared" si="9"/>
        <v>1.0649687623079285</v>
      </c>
      <c r="AW61" s="3">
        <f t="shared" si="23"/>
        <v>0.56093774503242022</v>
      </c>
      <c r="AX61" s="3">
        <f t="shared" si="11"/>
        <v>0.58271476448042381</v>
      </c>
      <c r="AY61" s="3">
        <f t="shared" si="12"/>
        <v>82.538578502148042</v>
      </c>
      <c r="AZ61">
        <v>0</v>
      </c>
      <c r="BA61" s="23">
        <v>0.5</v>
      </c>
      <c r="BB61">
        <v>0</v>
      </c>
      <c r="BC61">
        <v>0</v>
      </c>
      <c r="BD61">
        <v>0</v>
      </c>
      <c r="BF61" s="3">
        <f t="shared" si="13"/>
        <v>1.6595500038334237</v>
      </c>
      <c r="BG61" s="3">
        <f t="shared" si="14"/>
        <v>1.6817776365695352</v>
      </c>
    </row>
    <row r="62" spans="1:59">
      <c r="A62">
        <v>1983</v>
      </c>
      <c r="B62" s="3">
        <f t="shared" si="0"/>
        <v>124.58575406918749</v>
      </c>
      <c r="C62" s="3">
        <f t="shared" si="1"/>
        <v>45.671336429076113</v>
      </c>
      <c r="D62" s="2">
        <v>87.054299999999998</v>
      </c>
      <c r="E62" s="2">
        <v>65.36148</v>
      </c>
      <c r="F62" s="2">
        <f t="shared" si="15"/>
        <v>56.899978883639996</v>
      </c>
      <c r="G62" s="2">
        <v>0.25844240645634631</v>
      </c>
      <c r="H62" s="2">
        <f t="shared" si="16"/>
        <v>0.14705367470003211</v>
      </c>
      <c r="I62" s="32">
        <f t="shared" si="2"/>
        <v>0.14705367470003211</v>
      </c>
      <c r="J62" s="32">
        <f t="shared" si="3"/>
        <v>0.14374463143739868</v>
      </c>
      <c r="P62" s="32">
        <f t="shared" si="4"/>
        <v>4.9998249398010911E-2</v>
      </c>
      <c r="Q62" s="32">
        <f t="shared" si="5"/>
        <v>4.6689206135377498E-2</v>
      </c>
      <c r="S62" s="2">
        <f>USA!Z70*G62</f>
        <v>7.4819076669112254</v>
      </c>
      <c r="T62" s="2">
        <v>0</v>
      </c>
      <c r="U62" s="2">
        <v>0.5</v>
      </c>
      <c r="V62" s="2">
        <v>0</v>
      </c>
      <c r="X62" s="39">
        <f t="shared" ref="X62:X69" si="24">X61+(X$70-X$60)/10</f>
        <v>0.66</v>
      </c>
      <c r="Y62" s="32">
        <f t="shared" si="17"/>
        <v>5.8129452587306819E-2</v>
      </c>
      <c r="Z62" s="39">
        <v>0.36</v>
      </c>
      <c r="AA62" s="2">
        <f t="shared" si="6"/>
        <v>3.8925972714714381E-2</v>
      </c>
      <c r="AB62" s="2">
        <f t="shared" si="7"/>
        <v>9.70554253020212E-2</v>
      </c>
      <c r="AC62"/>
      <c r="AD62"/>
      <c r="AE62"/>
      <c r="AF62"/>
      <c r="AG62"/>
      <c r="AH62"/>
      <c r="AM62" s="9">
        <v>1983</v>
      </c>
      <c r="AN62" s="3">
        <f t="shared" si="18"/>
        <v>0.14705367470003211</v>
      </c>
      <c r="AO62" s="3">
        <f t="shared" si="19"/>
        <v>9.70554253020212E-2</v>
      </c>
      <c r="AP62" s="3">
        <f t="shared" si="20"/>
        <v>4.9998249398010911E-2</v>
      </c>
      <c r="AR62" s="3">
        <v>9.4770376168517281</v>
      </c>
      <c r="AT62" s="3">
        <f t="shared" si="22"/>
        <v>1.5516839823295261</v>
      </c>
      <c r="AU62" s="3">
        <f t="shared" si="21"/>
        <v>1.5881448788201764</v>
      </c>
      <c r="AV62" s="3">
        <f t="shared" si="9"/>
        <v>1.0241114283374873</v>
      </c>
      <c r="AW62" s="3">
        <f t="shared" si="23"/>
        <v>0.52757255399203884</v>
      </c>
      <c r="AX62" s="3">
        <f t="shared" si="11"/>
        <v>0.56403345048268916</v>
      </c>
      <c r="AY62" s="3">
        <f t="shared" si="12"/>
        <v>78.947746852952932</v>
      </c>
      <c r="AZ62">
        <v>0</v>
      </c>
      <c r="BA62" s="23">
        <v>0.5</v>
      </c>
      <c r="BB62">
        <v>0</v>
      </c>
      <c r="BC62">
        <v>0</v>
      </c>
      <c r="BD62">
        <v>0</v>
      </c>
      <c r="BF62" s="3">
        <f t="shared" si="13"/>
        <v>1.5837916554227711</v>
      </c>
      <c r="BG62" s="3">
        <f t="shared" si="14"/>
        <v>1.6210070061441413</v>
      </c>
    </row>
    <row r="63" spans="1:59">
      <c r="A63">
        <v>1984</v>
      </c>
      <c r="B63" s="3">
        <f t="shared" si="0"/>
        <v>102.84808073532916</v>
      </c>
      <c r="C63" s="3">
        <f t="shared" si="1"/>
        <v>47.643090239969929</v>
      </c>
      <c r="D63" s="2">
        <v>71.865099999999998</v>
      </c>
      <c r="E63" s="2">
        <v>68.183310000000006</v>
      </c>
      <c r="F63" s="2">
        <f t="shared" si="15"/>
        <v>49.000003914810002</v>
      </c>
      <c r="G63" s="2">
        <v>0.33078967962827094</v>
      </c>
      <c r="H63" s="2">
        <f t="shared" si="16"/>
        <v>0.16208695596764022</v>
      </c>
      <c r="I63" s="32">
        <f t="shared" si="2"/>
        <v>0.16208695596764022</v>
      </c>
      <c r="J63" s="32">
        <f t="shared" si="3"/>
        <v>0.17265028712456537</v>
      </c>
      <c r="P63" s="32">
        <f t="shared" si="4"/>
        <v>5.4299130249159472E-2</v>
      </c>
      <c r="Q63" s="32">
        <f t="shared" si="5"/>
        <v>6.4862461406084607E-2</v>
      </c>
      <c r="S63" s="2">
        <f>USA!Z71*G63</f>
        <v>9.4341216629982867</v>
      </c>
      <c r="T63" s="2">
        <v>0</v>
      </c>
      <c r="U63" s="2">
        <v>0.5</v>
      </c>
      <c r="V63" s="2">
        <v>0</v>
      </c>
      <c r="X63" s="39">
        <f t="shared" si="24"/>
        <v>0.66500000000000004</v>
      </c>
      <c r="Y63" s="32">
        <f t="shared" si="17"/>
        <v>6.4882455021164215E-2</v>
      </c>
      <c r="Z63" s="39">
        <v>0.36</v>
      </c>
      <c r="AA63" s="2">
        <f t="shared" si="6"/>
        <v>4.2905370697316529E-2</v>
      </c>
      <c r="AB63" s="2">
        <f t="shared" si="7"/>
        <v>0.10778782571848075</v>
      </c>
      <c r="AC63"/>
      <c r="AD63"/>
      <c r="AE63"/>
      <c r="AF63"/>
      <c r="AG63"/>
      <c r="AH63"/>
      <c r="AM63" s="9">
        <v>1984</v>
      </c>
      <c r="AN63" s="3">
        <f t="shared" si="18"/>
        <v>0.16208695596764022</v>
      </c>
      <c r="AO63" s="3">
        <f t="shared" si="19"/>
        <v>0.10778782571848075</v>
      </c>
      <c r="AP63" s="3">
        <f t="shared" si="20"/>
        <v>5.4299130249159472E-2</v>
      </c>
      <c r="AR63" s="3">
        <v>11.226198338830104</v>
      </c>
      <c r="AT63" s="3">
        <f t="shared" si="22"/>
        <v>1.4438276527415381</v>
      </c>
      <c r="AU63" s="3">
        <f t="shared" si="21"/>
        <v>1.4413951226391104</v>
      </c>
      <c r="AV63" s="3">
        <f t="shared" si="9"/>
        <v>0.96014538907312275</v>
      </c>
      <c r="AW63" s="3">
        <f t="shared" si="23"/>
        <v>0.48368226366841538</v>
      </c>
      <c r="AX63" s="3">
        <f t="shared" si="11"/>
        <v>0.48124973356598777</v>
      </c>
      <c r="AY63" s="3">
        <f t="shared" si="12"/>
        <v>84.036655849618896</v>
      </c>
      <c r="AZ63">
        <v>0</v>
      </c>
      <c r="BA63" s="23">
        <v>1</v>
      </c>
      <c r="BB63">
        <v>0</v>
      </c>
      <c r="BC63">
        <v>0</v>
      </c>
      <c r="BD63">
        <v>0</v>
      </c>
      <c r="BF63" s="3">
        <f t="shared" si="13"/>
        <v>1.4737035468057511</v>
      </c>
      <c r="BG63" s="3">
        <f t="shared" si="14"/>
        <v>1.4712206824328098</v>
      </c>
    </row>
    <row r="64" spans="1:59">
      <c r="A64">
        <v>1985</v>
      </c>
      <c r="B64" s="3">
        <f t="shared" si="0"/>
        <v>100.52750840032458</v>
      </c>
      <c r="C64" s="3">
        <f t="shared" si="1"/>
        <v>49.339718212134507</v>
      </c>
      <c r="D64" s="2">
        <v>70.243600000000001</v>
      </c>
      <c r="E64" s="2">
        <v>70.611400000000003</v>
      </c>
      <c r="F64" s="2">
        <f t="shared" si="15"/>
        <v>49.599989370399996</v>
      </c>
      <c r="G64" s="2">
        <v>0.40533846906334065</v>
      </c>
      <c r="H64" s="2">
        <f t="shared" si="16"/>
        <v>0.20104783756955905</v>
      </c>
      <c r="I64" s="32">
        <f t="shared" si="2"/>
        <v>0.20104783756955905</v>
      </c>
      <c r="J64" s="32">
        <f t="shared" si="3"/>
        <v>0.18566788200268747</v>
      </c>
      <c r="P64" s="32">
        <f t="shared" si="4"/>
        <v>6.6345786397954465E-2</v>
      </c>
      <c r="Q64" s="32">
        <f t="shared" si="5"/>
        <v>5.0965830831082887E-2</v>
      </c>
      <c r="S64" s="2">
        <f>USA!Z72*G64</f>
        <v>10.810376969919295</v>
      </c>
      <c r="T64" s="2">
        <v>0</v>
      </c>
      <c r="U64" s="2">
        <v>1</v>
      </c>
      <c r="V64" s="2">
        <v>0</v>
      </c>
      <c r="X64" s="39">
        <f t="shared" si="24"/>
        <v>0.67</v>
      </c>
      <c r="Y64" s="32">
        <f t="shared" si="17"/>
        <v>8.1483505932603645E-2</v>
      </c>
      <c r="Z64" s="39">
        <v>0.36</v>
      </c>
      <c r="AA64" s="2">
        <f t="shared" si="6"/>
        <v>5.3218545239000929E-2</v>
      </c>
      <c r="AB64" s="2">
        <f t="shared" si="7"/>
        <v>0.13470205117160458</v>
      </c>
      <c r="AC64"/>
      <c r="AD64"/>
      <c r="AE64"/>
      <c r="AF64"/>
      <c r="AG64"/>
      <c r="AH64"/>
      <c r="AM64" s="9">
        <v>1985</v>
      </c>
      <c r="AN64" s="3">
        <f t="shared" si="18"/>
        <v>0.20104783756955905</v>
      </c>
      <c r="AO64" s="3">
        <f t="shared" si="19"/>
        <v>0.13470205117160458</v>
      </c>
      <c r="AP64" s="3">
        <f t="shared" si="20"/>
        <v>6.6345786397954465E-2</v>
      </c>
      <c r="AR64" s="3">
        <v>13.394503746760286</v>
      </c>
      <c r="AT64" s="3">
        <f t="shared" si="22"/>
        <v>1.5009726479652989</v>
      </c>
      <c r="AU64" s="3">
        <f t="shared" si="21"/>
        <v>1.4695817681805927</v>
      </c>
      <c r="AV64" s="3">
        <f t="shared" si="9"/>
        <v>1.0056516741367505</v>
      </c>
      <c r="AW64" s="3">
        <f t="shared" si="23"/>
        <v>0.49532097382854845</v>
      </c>
      <c r="AX64" s="3">
        <f t="shared" si="11"/>
        <v>0.46393009404384211</v>
      </c>
      <c r="AY64" s="3">
        <f t="shared" si="12"/>
        <v>80.707558669607209</v>
      </c>
      <c r="AZ64">
        <v>0</v>
      </c>
      <c r="BA64" s="23">
        <v>1</v>
      </c>
      <c r="BB64">
        <v>0</v>
      </c>
      <c r="BC64">
        <v>0</v>
      </c>
      <c r="BD64">
        <v>0</v>
      </c>
      <c r="BF64" s="3">
        <f t="shared" si="13"/>
        <v>1.5320309946722239</v>
      </c>
      <c r="BG64" s="3">
        <f t="shared" si="14"/>
        <v>1.4999905701878788</v>
      </c>
    </row>
    <row r="65" spans="1:59">
      <c r="A65">
        <v>1986</v>
      </c>
      <c r="B65" s="3">
        <f t="shared" si="0"/>
        <v>110.83076370012839</v>
      </c>
      <c r="C65" s="3">
        <f t="shared" si="1"/>
        <v>50.256813657899102</v>
      </c>
      <c r="D65" s="2">
        <v>77.442999999999998</v>
      </c>
      <c r="E65" s="2">
        <v>71.923879999999997</v>
      </c>
      <c r="F65" s="2">
        <f t="shared" si="15"/>
        <v>55.700010388399996</v>
      </c>
      <c r="G65" s="2">
        <v>0.41080313034971866</v>
      </c>
      <c r="H65" s="2">
        <f t="shared" si="16"/>
        <v>0.22881738628066567</v>
      </c>
      <c r="I65" s="32">
        <f t="shared" si="2"/>
        <v>0.22881738628066567</v>
      </c>
      <c r="J65" s="32">
        <f t="shared" si="3"/>
        <v>0.22524107338426416</v>
      </c>
      <c r="P65" s="32">
        <f t="shared" si="4"/>
        <v>7.4365650541216327E-2</v>
      </c>
      <c r="Q65" s="32">
        <f t="shared" si="5"/>
        <v>7.078933764481482E-2</v>
      </c>
      <c r="S65" s="2">
        <f>USA!Z73*G65</f>
        <v>6.182587111763266</v>
      </c>
      <c r="T65" s="2">
        <v>1</v>
      </c>
      <c r="U65" s="2">
        <v>1</v>
      </c>
      <c r="V65" s="2">
        <v>0</v>
      </c>
      <c r="X65" s="39">
        <f t="shared" si="24"/>
        <v>0.67500000000000004</v>
      </c>
      <c r="Y65" s="32">
        <f t="shared" si="17"/>
        <v>9.3882427606331947E-2</v>
      </c>
      <c r="Z65" s="39">
        <v>0.36</v>
      </c>
      <c r="AA65" s="2">
        <f t="shared" si="6"/>
        <v>6.0569308133117387E-2</v>
      </c>
      <c r="AB65" s="2">
        <f t="shared" si="7"/>
        <v>0.15445173573944934</v>
      </c>
      <c r="AD65"/>
      <c r="AE65"/>
      <c r="AF65"/>
      <c r="AG65"/>
      <c r="AH65"/>
      <c r="AM65" s="9">
        <v>1986</v>
      </c>
      <c r="AN65" s="3">
        <f t="shared" si="18"/>
        <v>0.22881738628066567</v>
      </c>
      <c r="AO65" s="3">
        <f t="shared" si="19"/>
        <v>0.15445173573944934</v>
      </c>
      <c r="AP65" s="3">
        <f t="shared" si="20"/>
        <v>7.4365650541216327E-2</v>
      </c>
      <c r="AR65" s="3">
        <v>16.477307719893652</v>
      </c>
      <c r="AT65" s="3">
        <f t="shared" si="22"/>
        <v>1.3886818779527079</v>
      </c>
      <c r="AU65" s="3">
        <f t="shared" si="21"/>
        <v>1.3951340179196379</v>
      </c>
      <c r="AV65" s="3">
        <f t="shared" si="9"/>
        <v>0.93736026761807778</v>
      </c>
      <c r="AW65" s="3">
        <f t="shared" si="23"/>
        <v>0.45132161033463014</v>
      </c>
      <c r="AX65" s="3">
        <f t="shared" si="11"/>
        <v>0.4577737503015602</v>
      </c>
      <c r="AY65" s="3">
        <f t="shared" si="12"/>
        <v>37.521828303897024</v>
      </c>
      <c r="AZ65">
        <v>0</v>
      </c>
      <c r="BA65">
        <v>0</v>
      </c>
      <c r="BB65">
        <v>0</v>
      </c>
      <c r="BC65">
        <v>0</v>
      </c>
      <c r="BD65">
        <v>0</v>
      </c>
      <c r="BF65" s="3">
        <f t="shared" si="13"/>
        <v>1.4174166875373766</v>
      </c>
      <c r="BG65" s="3">
        <f t="shared" si="14"/>
        <v>1.4240023361331056</v>
      </c>
    </row>
    <row r="66" spans="1:59">
      <c r="A66">
        <v>1987</v>
      </c>
      <c r="B66" s="3">
        <f t="shared" si="0"/>
        <v>109.32765107388398</v>
      </c>
      <c r="C66" s="3">
        <f t="shared" si="1"/>
        <v>52.136856526716379</v>
      </c>
      <c r="D66" s="2">
        <v>76.392700000000005</v>
      </c>
      <c r="E66" s="2">
        <v>74.614459999999994</v>
      </c>
      <c r="F66" s="2">
        <f t="shared" si="15"/>
        <v>57.000000584419993</v>
      </c>
      <c r="G66" s="2">
        <v>0.39748936170212773</v>
      </c>
      <c r="H66" s="2">
        <f t="shared" si="16"/>
        <v>0.2265689384932201</v>
      </c>
      <c r="I66" s="32">
        <f t="shared" si="2"/>
        <v>0.2265689384932201</v>
      </c>
      <c r="J66" s="32">
        <f t="shared" si="3"/>
        <v>0.23834696964089849</v>
      </c>
      <c r="P66" s="32">
        <f t="shared" si="4"/>
        <v>7.2502060317830408E-2</v>
      </c>
      <c r="Q66" s="32">
        <f t="shared" si="5"/>
        <v>8.42800914655088E-2</v>
      </c>
      <c r="S66" s="2">
        <f>USA!Z74*G66</f>
        <v>7.6317957446808524</v>
      </c>
      <c r="T66" s="2">
        <v>1</v>
      </c>
      <c r="U66" s="2">
        <v>1</v>
      </c>
      <c r="V66" s="2">
        <v>0</v>
      </c>
      <c r="X66" s="39">
        <f t="shared" si="24"/>
        <v>0.68</v>
      </c>
      <c r="Y66" s="32">
        <f t="shared" si="17"/>
        <v>9.4092747397772597E-2</v>
      </c>
      <c r="Z66" s="2">
        <v>0.36</v>
      </c>
      <c r="AA66" s="2">
        <f t="shared" si="6"/>
        <v>5.9974130777617089E-2</v>
      </c>
      <c r="AB66" s="2">
        <f t="shared" si="7"/>
        <v>0.15406687817538969</v>
      </c>
      <c r="AD66"/>
      <c r="AE66"/>
      <c r="AF66"/>
      <c r="AG66"/>
      <c r="AH66"/>
      <c r="AM66" s="9">
        <v>1987</v>
      </c>
      <c r="AN66" s="3">
        <f t="shared" si="18"/>
        <v>0.2265689384932201</v>
      </c>
      <c r="AO66" s="3">
        <f t="shared" si="19"/>
        <v>0.15406687817538969</v>
      </c>
      <c r="AP66" s="3">
        <f t="shared" si="20"/>
        <v>7.2502060317830408E-2</v>
      </c>
      <c r="AR66" s="3">
        <v>19.179070446224578</v>
      </c>
      <c r="AT66" s="3">
        <f t="shared" si="22"/>
        <v>1.1813343046446783</v>
      </c>
      <c r="AU66" s="3">
        <f t="shared" si="21"/>
        <v>1.1568543661951094</v>
      </c>
      <c r="AV66" s="3">
        <f t="shared" si="9"/>
        <v>0.80330732715838127</v>
      </c>
      <c r="AW66" s="3">
        <f t="shared" si="23"/>
        <v>0.37802697748629699</v>
      </c>
      <c r="AX66" s="3">
        <f t="shared" si="11"/>
        <v>0.35354703903672802</v>
      </c>
      <c r="AY66" s="3">
        <f t="shared" si="12"/>
        <v>39.79231301162033</v>
      </c>
      <c r="AZ66">
        <v>0</v>
      </c>
      <c r="BA66">
        <v>0</v>
      </c>
      <c r="BB66">
        <v>0</v>
      </c>
      <c r="BC66">
        <v>0</v>
      </c>
      <c r="BD66" s="23">
        <v>1</v>
      </c>
      <c r="BF66" s="3">
        <f t="shared" si="13"/>
        <v>1.2057786477579091</v>
      </c>
      <c r="BG66" s="3">
        <f t="shared" si="14"/>
        <v>1.1807921668228649</v>
      </c>
    </row>
    <row r="67" spans="1:59">
      <c r="A67">
        <v>1988</v>
      </c>
      <c r="B67" s="3">
        <f t="shared" si="0"/>
        <v>100.31885009231125</v>
      </c>
      <c r="C67" s="3">
        <f t="shared" si="1"/>
        <v>54.227069431021505</v>
      </c>
      <c r="D67" s="2">
        <v>70.097800000000007</v>
      </c>
      <c r="E67" s="2">
        <v>77.605819999999994</v>
      </c>
      <c r="F67" s="2">
        <f t="shared" si="15"/>
        <v>54.39997249196</v>
      </c>
      <c r="G67" s="2">
        <v>0.41657202249938857</v>
      </c>
      <c r="H67" s="2">
        <f t="shared" si="16"/>
        <v>0.22661506564886882</v>
      </c>
      <c r="I67" s="32">
        <f t="shared" si="2"/>
        <v>0.22661506564886882</v>
      </c>
      <c r="J67" s="32">
        <f t="shared" si="3"/>
        <v>0.23039654435970702</v>
      </c>
      <c r="P67" s="32">
        <f t="shared" si="4"/>
        <v>7.1383745679393679E-2</v>
      </c>
      <c r="Q67" s="32">
        <f t="shared" si="5"/>
        <v>7.5165224390231877E-2</v>
      </c>
      <c r="S67" s="2">
        <f>USA!Z75*G67</f>
        <v>6.6526551993152356</v>
      </c>
      <c r="T67" s="2">
        <v>1</v>
      </c>
      <c r="U67" s="2">
        <v>1</v>
      </c>
      <c r="V67" s="2">
        <v>0</v>
      </c>
      <c r="X67" s="39">
        <f t="shared" si="24"/>
        <v>0.68500000000000005</v>
      </c>
      <c r="Y67" s="32">
        <f t="shared" si="17"/>
        <v>9.5244979062421631E-2</v>
      </c>
      <c r="Z67" s="2">
        <v>0.36</v>
      </c>
      <c r="AA67" s="2">
        <f t="shared" si="6"/>
        <v>5.9986340907053522E-2</v>
      </c>
      <c r="AB67" s="2">
        <f t="shared" si="7"/>
        <v>0.15523131996947515</v>
      </c>
      <c r="AD67"/>
      <c r="AE67"/>
      <c r="AF67"/>
      <c r="AG67"/>
      <c r="AH67"/>
      <c r="AM67" s="9">
        <v>1988</v>
      </c>
      <c r="AN67" s="3">
        <f t="shared" si="18"/>
        <v>0.22661506564886882</v>
      </c>
      <c r="AO67" s="3">
        <f t="shared" si="19"/>
        <v>0.15523131996947515</v>
      </c>
      <c r="AP67" s="3">
        <f t="shared" si="20"/>
        <v>7.1383745679393679E-2</v>
      </c>
      <c r="AR67" s="3">
        <v>21.773780036195678</v>
      </c>
      <c r="AT67" s="3">
        <f t="shared" si="22"/>
        <v>1.0407704370676791</v>
      </c>
      <c r="AU67" s="3">
        <f t="shared" si="21"/>
        <v>1.0184099112080558</v>
      </c>
      <c r="AV67" s="3">
        <f t="shared" si="9"/>
        <v>0.71292774939136028</v>
      </c>
      <c r="AW67" s="3">
        <f t="shared" si="23"/>
        <v>0.32784268767631886</v>
      </c>
      <c r="AX67" s="3">
        <f t="shared" si="11"/>
        <v>0.30548216181669563</v>
      </c>
      <c r="AY67" s="3">
        <f t="shared" si="12"/>
        <v>30.553515229125043</v>
      </c>
      <c r="AZ67">
        <v>0</v>
      </c>
      <c r="BA67">
        <v>0</v>
      </c>
      <c r="BB67">
        <v>0</v>
      </c>
      <c r="BC67">
        <v>0</v>
      </c>
      <c r="BD67" s="23">
        <v>1</v>
      </c>
      <c r="BF67" s="3">
        <f t="shared" si="13"/>
        <v>1.0623062119670983</v>
      </c>
      <c r="BG67" s="3">
        <f t="shared" si="14"/>
        <v>1.0394829988189098</v>
      </c>
    </row>
    <row r="68" spans="1:59">
      <c r="A68">
        <v>1989</v>
      </c>
      <c r="B68" s="3">
        <f t="shared" si="0"/>
        <v>83.561069175422006</v>
      </c>
      <c r="C68" s="3">
        <f t="shared" si="1"/>
        <v>56.844608024141067</v>
      </c>
      <c r="D68" s="2">
        <v>58.388300000000001</v>
      </c>
      <c r="E68" s="2">
        <v>81.351849999999999</v>
      </c>
      <c r="F68" s="2">
        <f t="shared" si="15"/>
        <v>47.499962233550008</v>
      </c>
      <c r="G68" s="2">
        <v>0.47681095622401565</v>
      </c>
      <c r="H68" s="2">
        <f t="shared" si="16"/>
        <v>0.2264850241318361</v>
      </c>
      <c r="I68" s="32">
        <f>H68</f>
        <v>0.2264850241318361</v>
      </c>
      <c r="J68" s="32">
        <f t="shared" si="3"/>
        <v>0.25668521189219773</v>
      </c>
      <c r="P68" s="32">
        <f t="shared" si="4"/>
        <v>7.0210357480869179E-2</v>
      </c>
      <c r="Q68" s="32">
        <f t="shared" si="5"/>
        <v>0.10041054524123083</v>
      </c>
      <c r="S68" s="2">
        <f>USA!Z76*G68</f>
        <v>9.3645671802396677</v>
      </c>
      <c r="T68" s="2">
        <v>1</v>
      </c>
      <c r="U68" s="2">
        <v>1</v>
      </c>
      <c r="V68" s="2">
        <v>0</v>
      </c>
      <c r="X68" s="39">
        <f t="shared" si="24"/>
        <v>0.69000000000000006</v>
      </c>
      <c r="Y68" s="32">
        <f t="shared" si="17"/>
        <v>9.6322748498422067E-2</v>
      </c>
      <c r="Z68" s="2">
        <v>0.36</v>
      </c>
      <c r="AA68" s="2">
        <f t="shared" si="6"/>
        <v>5.9951918152544859E-2</v>
      </c>
      <c r="AB68" s="2">
        <f t="shared" si="7"/>
        <v>0.15627466665096693</v>
      </c>
      <c r="AD68"/>
      <c r="AE68"/>
      <c r="AF68"/>
      <c r="AG68"/>
      <c r="AH68"/>
      <c r="AM68" s="9">
        <v>1989</v>
      </c>
      <c r="AN68" s="3">
        <f t="shared" si="18"/>
        <v>0.2264850241318361</v>
      </c>
      <c r="AO68" s="3">
        <f t="shared" si="19"/>
        <v>0.15627466665096693</v>
      </c>
      <c r="AP68" s="3">
        <f t="shared" si="20"/>
        <v>7.0210357480869179E-2</v>
      </c>
      <c r="AR68" s="3">
        <v>24.7471116333064</v>
      </c>
      <c r="AT68" s="3">
        <f t="shared" si="22"/>
        <v>0.91519781171963788</v>
      </c>
      <c r="AU68" s="3">
        <f t="shared" si="21"/>
        <v>0.97488208276889599</v>
      </c>
      <c r="AV68" s="3">
        <f t="shared" si="9"/>
        <v>0.63148649008655022</v>
      </c>
      <c r="AW68" s="3">
        <f t="shared" si="23"/>
        <v>0.28371132163308765</v>
      </c>
      <c r="AX68" s="3">
        <f t="shared" si="11"/>
        <v>0.34339559268234571</v>
      </c>
      <c r="AY68" s="3">
        <f t="shared" si="12"/>
        <v>37.841051186095498</v>
      </c>
      <c r="AZ68">
        <v>0</v>
      </c>
      <c r="BA68">
        <v>0</v>
      </c>
      <c r="BB68">
        <v>0</v>
      </c>
      <c r="BC68">
        <v>0</v>
      </c>
      <c r="BD68" s="23">
        <v>1</v>
      </c>
      <c r="BF68" s="3">
        <f t="shared" si="13"/>
        <v>0.93413521939348154</v>
      </c>
      <c r="BG68" s="3">
        <f t="shared" si="14"/>
        <v>0.99505448615416114</v>
      </c>
    </row>
    <row r="69" spans="1:59">
      <c r="A69">
        <v>1990</v>
      </c>
      <c r="B69" s="3">
        <f t="shared" si="0"/>
        <v>125.28156798795355</v>
      </c>
      <c r="C69" s="3">
        <f t="shared" si="1"/>
        <v>59.913057002261802</v>
      </c>
      <c r="D69" s="2">
        <v>87.540499999999994</v>
      </c>
      <c r="E69" s="2">
        <v>85.743189999999998</v>
      </c>
      <c r="F69" s="2">
        <f t="shared" si="15"/>
        <v>75.060017241949993</v>
      </c>
      <c r="G69" s="2">
        <v>0.46524578136463685</v>
      </c>
      <c r="H69" s="2">
        <f t="shared" si="16"/>
        <v>0.34921356370974138</v>
      </c>
      <c r="I69" s="32">
        <f t="shared" ref="I69:I75" si="25">H69</f>
        <v>0.34921356370974138</v>
      </c>
      <c r="J69" s="32">
        <f t="shared" si="3"/>
        <v>0.36217808315366207</v>
      </c>
      <c r="K69" s="2">
        <f t="shared" ref="K69:K77" si="26">K$79*L69/L$79</f>
        <v>0.32943696450428395</v>
      </c>
      <c r="L69" s="2">
        <v>35</v>
      </c>
      <c r="M69" s="2">
        <v>0</v>
      </c>
      <c r="P69" s="32">
        <f t="shared" si="4"/>
        <v>0.1065101369314711</v>
      </c>
      <c r="Q69" s="32">
        <f t="shared" si="5"/>
        <v>0.11947465637539179</v>
      </c>
      <c r="S69" s="2">
        <f>USA!Z77*G69</f>
        <v>11.412479016874542</v>
      </c>
      <c r="T69" s="2">
        <v>1</v>
      </c>
      <c r="U69" s="2">
        <v>1</v>
      </c>
      <c r="V69" s="2">
        <v>0</v>
      </c>
      <c r="X69" s="39">
        <f t="shared" si="24"/>
        <v>0.69500000000000006</v>
      </c>
      <c r="Y69" s="32">
        <f t="shared" si="17"/>
        <v>0.15026454226686814</v>
      </c>
      <c r="Z69" s="2">
        <v>0.36</v>
      </c>
      <c r="AA69" s="2">
        <f t="shared" si="6"/>
        <v>9.2438884511402142E-2</v>
      </c>
      <c r="AB69" s="2">
        <f t="shared" si="7"/>
        <v>0.24270342677827028</v>
      </c>
      <c r="AD69"/>
      <c r="AE69"/>
      <c r="AF69"/>
      <c r="AG69"/>
      <c r="AH69"/>
      <c r="AM69" s="9">
        <v>1990</v>
      </c>
      <c r="AN69" s="3">
        <f t="shared" si="18"/>
        <v>0.34921356370974138</v>
      </c>
      <c r="AO69" s="3">
        <f t="shared" si="19"/>
        <v>0.24270342677827028</v>
      </c>
      <c r="AP69" s="3">
        <f t="shared" si="20"/>
        <v>0.1065101369314711</v>
      </c>
      <c r="AR69" s="3">
        <v>29.803810214186903</v>
      </c>
      <c r="AT69" s="3">
        <f t="shared" si="22"/>
        <v>1.1717077823274835</v>
      </c>
      <c r="AU69" s="3">
        <f t="shared" si="21"/>
        <v>1.1600786341462586</v>
      </c>
      <c r="AV69" s="3">
        <f t="shared" si="9"/>
        <v>0.814336908717601</v>
      </c>
      <c r="AW69" s="3">
        <f t="shared" si="23"/>
        <v>0.35737087360988251</v>
      </c>
      <c r="AX69" s="3">
        <f t="shared" si="11"/>
        <v>0.34574172542865755</v>
      </c>
      <c r="AY69" s="3">
        <f t="shared" si="12"/>
        <v>38.292013453508339</v>
      </c>
      <c r="AZ69">
        <v>0</v>
      </c>
      <c r="BA69">
        <v>0</v>
      </c>
      <c r="BB69">
        <v>0</v>
      </c>
      <c r="BC69">
        <v>0</v>
      </c>
      <c r="BD69" s="23">
        <v>1</v>
      </c>
      <c r="BF69" s="3">
        <f t="shared" si="13"/>
        <v>1.1959529320256215</v>
      </c>
      <c r="BG69" s="3">
        <f t="shared" si="14"/>
        <v>1.1840831518004959</v>
      </c>
    </row>
    <row r="70" spans="1:59">
      <c r="A70">
        <v>1991</v>
      </c>
      <c r="B70" s="3">
        <f t="shared" si="0"/>
        <v>123.65022638778602</v>
      </c>
      <c r="C70" s="3">
        <f t="shared" si="1"/>
        <v>62.450351141377027</v>
      </c>
      <c r="D70" s="2">
        <v>86.400599999999997</v>
      </c>
      <c r="E70" s="2">
        <v>89.374380000000002</v>
      </c>
      <c r="F70" s="2">
        <f t="shared" si="15"/>
        <v>77.220000566279992</v>
      </c>
      <c r="G70" s="2">
        <v>0.53522377109317687</v>
      </c>
      <c r="H70" s="2">
        <f t="shared" si="16"/>
        <v>0.41329979906901637</v>
      </c>
      <c r="I70" s="32">
        <f t="shared" si="25"/>
        <v>0.41329979906901637</v>
      </c>
      <c r="J70" s="32">
        <f t="shared" si="3"/>
        <v>0.40986660897619609</v>
      </c>
      <c r="K70" s="2">
        <f t="shared" si="26"/>
        <v>0.42073806609547126</v>
      </c>
      <c r="L70" s="2">
        <v>44.7</v>
      </c>
      <c r="P70" s="32">
        <f t="shared" si="4"/>
        <v>0.12398993972070493</v>
      </c>
      <c r="Q70" s="32">
        <f t="shared" si="5"/>
        <v>0.12055674962788468</v>
      </c>
      <c r="S70" s="2">
        <f>USA!Z78*G70</f>
        <v>11.52872002934703</v>
      </c>
      <c r="T70" s="2">
        <v>1</v>
      </c>
      <c r="U70" s="2">
        <v>1</v>
      </c>
      <c r="V70" s="2">
        <v>0</v>
      </c>
      <c r="X70" s="2">
        <v>0.7</v>
      </c>
      <c r="Y70" s="32">
        <f t="shared" si="17"/>
        <v>0.17990697135945416</v>
      </c>
      <c r="Z70" s="2">
        <v>0.36</v>
      </c>
      <c r="AA70" s="2">
        <f t="shared" si="6"/>
        <v>0.10940288798885726</v>
      </c>
      <c r="AB70" s="2">
        <f t="shared" si="7"/>
        <v>0.28930985934831144</v>
      </c>
      <c r="AD70"/>
      <c r="AE70"/>
      <c r="AF70"/>
      <c r="AG70"/>
      <c r="AH70"/>
      <c r="AM70" s="9">
        <v>1991</v>
      </c>
      <c r="AN70" s="3">
        <f t="shared" si="18"/>
        <v>0.41329979906901637</v>
      </c>
      <c r="AO70" s="3">
        <f t="shared" si="19"/>
        <v>0.28930985934831144</v>
      </c>
      <c r="AP70" s="3">
        <f t="shared" si="20"/>
        <v>0.12398993972070493</v>
      </c>
      <c r="AR70" s="3">
        <v>35.602394823743786</v>
      </c>
      <c r="AT70" s="3">
        <f t="shared" si="22"/>
        <v>1.160876399228572</v>
      </c>
      <c r="AU70" s="3">
        <f t="shared" si="21"/>
        <v>1.1566173749632676</v>
      </c>
      <c r="AV70" s="3">
        <f t="shared" si="9"/>
        <v>0.8126134794600004</v>
      </c>
      <c r="AW70" s="3">
        <f t="shared" si="23"/>
        <v>0.3482629197685716</v>
      </c>
      <c r="AX70" s="3">
        <f t="shared" si="11"/>
        <v>0.3440038955032671</v>
      </c>
      <c r="AY70" s="3">
        <f t="shared" si="12"/>
        <v>32.381866687401455</v>
      </c>
      <c r="AZ70">
        <v>0</v>
      </c>
      <c r="BA70">
        <v>0</v>
      </c>
      <c r="BB70">
        <v>0</v>
      </c>
      <c r="BC70">
        <v>0</v>
      </c>
      <c r="BD70" s="23">
        <v>0.75</v>
      </c>
      <c r="BF70" s="3">
        <f t="shared" si="13"/>
        <v>1.1848974243551813</v>
      </c>
      <c r="BG70" s="3">
        <f t="shared" si="14"/>
        <v>1.1805502717336109</v>
      </c>
    </row>
    <row r="71" spans="1:59">
      <c r="A71">
        <v>1992</v>
      </c>
      <c r="B71" s="3">
        <f t="shared" si="0"/>
        <v>141.5563435622193</v>
      </c>
      <c r="C71" s="3">
        <f t="shared" si="1"/>
        <v>64.341860498266513</v>
      </c>
      <c r="D71" s="2">
        <v>98.912499999999994</v>
      </c>
      <c r="E71" s="2">
        <v>92.081370000000007</v>
      </c>
      <c r="F71" s="2">
        <f t="shared" si="15"/>
        <v>91.079985101250003</v>
      </c>
      <c r="G71" s="2">
        <v>0.56018341892883339</v>
      </c>
      <c r="H71" s="2">
        <f t="shared" si="16"/>
        <v>0.51021497450005437</v>
      </c>
      <c r="I71" s="32">
        <f t="shared" si="25"/>
        <v>0.51021497450005437</v>
      </c>
      <c r="J71" s="32">
        <f t="shared" si="3"/>
        <v>0.5311223961272058</v>
      </c>
      <c r="K71" s="2">
        <f t="shared" si="26"/>
        <v>0.50450917992656064</v>
      </c>
      <c r="L71" s="2">
        <v>53.6</v>
      </c>
      <c r="P71" s="32">
        <f t="shared" si="4"/>
        <v>0.15306449235001635</v>
      </c>
      <c r="Q71" s="32">
        <f t="shared" si="5"/>
        <v>0.17397191397716777</v>
      </c>
      <c r="S71" s="2">
        <f>USA!Z79*G71</f>
        <v>11.52857476155539</v>
      </c>
      <c r="T71" s="2">
        <v>1</v>
      </c>
      <c r="U71" s="2">
        <v>0</v>
      </c>
      <c r="V71" s="2">
        <v>0</v>
      </c>
      <c r="X71" s="39">
        <v>0.7</v>
      </c>
      <c r="Y71" s="32">
        <f t="shared" si="17"/>
        <v>0.22209357713531774</v>
      </c>
      <c r="Z71" s="2">
        <v>0.36</v>
      </c>
      <c r="AA71" s="2">
        <f t="shared" si="6"/>
        <v>0.13505690501472029</v>
      </c>
      <c r="AB71" s="2">
        <f t="shared" si="7"/>
        <v>0.35715048215003803</v>
      </c>
      <c r="AD71"/>
      <c r="AE71"/>
      <c r="AF71"/>
      <c r="AG71"/>
      <c r="AH71"/>
      <c r="AM71" s="9">
        <v>1992</v>
      </c>
      <c r="AN71" s="3">
        <f t="shared" si="18"/>
        <v>0.51021497450005437</v>
      </c>
      <c r="AO71" s="3">
        <f t="shared" si="19"/>
        <v>0.35715048215003803</v>
      </c>
      <c r="AP71" s="3">
        <f t="shared" si="20"/>
        <v>0.15306449235001635</v>
      </c>
      <c r="AR71" s="3">
        <v>41.255011971585965</v>
      </c>
      <c r="AT71" s="3">
        <f t="shared" si="22"/>
        <v>1.2367345205267679</v>
      </c>
      <c r="AU71" s="3">
        <f t="shared" si="21"/>
        <v>1.2446529590873134</v>
      </c>
      <c r="AV71" s="3">
        <f t="shared" si="9"/>
        <v>0.86571416436873738</v>
      </c>
      <c r="AW71" s="3">
        <f t="shared" si="23"/>
        <v>0.37102035615803053</v>
      </c>
      <c r="AX71" s="3">
        <f t="shared" si="11"/>
        <v>0.37893879471857611</v>
      </c>
      <c r="AY71" s="3">
        <f t="shared" si="12"/>
        <v>27.944664685821923</v>
      </c>
      <c r="AZ71">
        <v>0</v>
      </c>
      <c r="BA71">
        <v>0</v>
      </c>
      <c r="BB71">
        <v>0</v>
      </c>
      <c r="BC71">
        <v>0</v>
      </c>
      <c r="BD71" s="23">
        <v>0.25</v>
      </c>
      <c r="BF71" s="3">
        <f t="shared" si="13"/>
        <v>1.262325213052053</v>
      </c>
      <c r="BG71" s="3">
        <f t="shared" si="14"/>
        <v>1.270407501107474</v>
      </c>
    </row>
    <row r="72" spans="1:59">
      <c r="A72">
        <v>1993</v>
      </c>
      <c r="B72" s="3">
        <f t="shared" si="0"/>
        <v>119.95591530201308</v>
      </c>
      <c r="C72" s="3">
        <f t="shared" si="1"/>
        <v>66.241014180537462</v>
      </c>
      <c r="D72" s="2">
        <v>83.819199999999995</v>
      </c>
      <c r="E72" s="2">
        <v>94.799300000000002</v>
      </c>
      <c r="F72" s="2">
        <f t="shared" si="15"/>
        <v>79.460014865600002</v>
      </c>
      <c r="G72" s="2">
        <v>0.67337979946197113</v>
      </c>
      <c r="H72" s="2">
        <f t="shared" si="16"/>
        <v>0.53506768875442967</v>
      </c>
      <c r="I72" s="32">
        <f t="shared" si="25"/>
        <v>0.53506768875442967</v>
      </c>
      <c r="J72" s="32">
        <f t="shared" si="3"/>
        <v>0.52980126716522313</v>
      </c>
      <c r="K72" s="2">
        <f t="shared" si="26"/>
        <v>0.59204528763769892</v>
      </c>
      <c r="L72" s="2">
        <v>62.9</v>
      </c>
      <c r="P72" s="32">
        <f t="shared" si="4"/>
        <v>0.18744719385968617</v>
      </c>
      <c r="Q72" s="32">
        <f t="shared" si="5"/>
        <v>0.1821807722704796</v>
      </c>
      <c r="S72" s="2">
        <f>USA!Z80*G72</f>
        <v>12.410389704084128</v>
      </c>
      <c r="T72" s="2">
        <v>1</v>
      </c>
      <c r="U72" s="2">
        <v>0</v>
      </c>
      <c r="V72" s="2">
        <v>0</v>
      </c>
      <c r="X72" s="2">
        <v>0.71</v>
      </c>
      <c r="Y72" s="32">
        <f>(0.18+0.352)/2</f>
        <v>0.26600000000000001</v>
      </c>
      <c r="Z72" s="2">
        <v>0.18</v>
      </c>
      <c r="AA72" s="2">
        <f t="shared" si="6"/>
        <v>8.1620494894743503E-2</v>
      </c>
      <c r="AB72" s="2">
        <f t="shared" ref="AB72:AB97" si="27">Y72+AA72</f>
        <v>0.3476204948947435</v>
      </c>
      <c r="AD72"/>
      <c r="AE72"/>
      <c r="AF72"/>
      <c r="AG72"/>
      <c r="AH72"/>
      <c r="AM72" s="9">
        <v>1993</v>
      </c>
      <c r="AN72" s="3">
        <f t="shared" si="18"/>
        <v>0.53506768875442967</v>
      </c>
      <c r="AO72" s="3">
        <f t="shared" si="19"/>
        <v>0.3476204948947435</v>
      </c>
      <c r="AP72" s="3">
        <f t="shared" si="20"/>
        <v>0.18744719385968617</v>
      </c>
      <c r="AR72" s="3">
        <v>47.200383135343543</v>
      </c>
      <c r="AT72" s="3">
        <f t="shared" si="22"/>
        <v>1.1336087828358583</v>
      </c>
      <c r="AU72" s="3">
        <f t="shared" si="21"/>
        <v>1.1358337760854829</v>
      </c>
      <c r="AV72" s="3">
        <f t="shared" si="9"/>
        <v>0.73647812115839806</v>
      </c>
      <c r="AW72" s="3">
        <f t="shared" si="23"/>
        <v>0.39713066167746025</v>
      </c>
      <c r="AX72" s="3">
        <f t="shared" si="11"/>
        <v>0.39935565492708491</v>
      </c>
      <c r="AY72" s="3">
        <f t="shared" si="12"/>
        <v>26.292985098231664</v>
      </c>
      <c r="AZ72">
        <v>0</v>
      </c>
      <c r="BA72">
        <v>0</v>
      </c>
      <c r="BB72">
        <v>0</v>
      </c>
      <c r="BC72">
        <v>0</v>
      </c>
      <c r="BD72">
        <v>0</v>
      </c>
      <c r="BF72" s="3">
        <f t="shared" si="13"/>
        <v>1.1570655824351441</v>
      </c>
      <c r="BG72" s="3">
        <f t="shared" si="14"/>
        <v>1.1593366155722118</v>
      </c>
    </row>
    <row r="73" spans="1:59">
      <c r="A73">
        <v>1994</v>
      </c>
      <c r="B73" s="3">
        <f t="shared" si="0"/>
        <v>122.43963610830386</v>
      </c>
      <c r="C73" s="3">
        <f t="shared" si="1"/>
        <v>67.968212466727536</v>
      </c>
      <c r="D73" s="2">
        <v>85.554699999999997</v>
      </c>
      <c r="E73" s="2">
        <v>97.271140000000003</v>
      </c>
      <c r="F73" s="2">
        <f t="shared" si="15"/>
        <v>83.22003201358001</v>
      </c>
      <c r="G73" s="2">
        <v>0.71170212765957441</v>
      </c>
      <c r="H73" s="2">
        <f t="shared" si="16"/>
        <v>0.59227873847962786</v>
      </c>
      <c r="I73" s="32">
        <f t="shared" si="25"/>
        <v>0.59227873847962786</v>
      </c>
      <c r="J73" s="32">
        <f t="shared" si="3"/>
        <v>0.62295409427461523</v>
      </c>
      <c r="K73" s="2">
        <f t="shared" si="26"/>
        <v>0.60522276621787019</v>
      </c>
      <c r="L73" s="2">
        <v>64.3</v>
      </c>
      <c r="P73" s="32">
        <f t="shared" si="4"/>
        <v>0.1499311343047694</v>
      </c>
      <c r="Q73" s="32">
        <f t="shared" si="5"/>
        <v>0.18060649009975671</v>
      </c>
      <c r="S73" s="2">
        <f>USA!Z81*G73</f>
        <v>12.241276595744679</v>
      </c>
      <c r="T73" s="2">
        <v>1</v>
      </c>
      <c r="U73" s="2">
        <v>0</v>
      </c>
      <c r="V73" s="2">
        <v>0</v>
      </c>
      <c r="X73" s="2">
        <v>0.75</v>
      </c>
      <c r="Y73" s="32">
        <v>0.35199999999999998</v>
      </c>
      <c r="Z73" s="2">
        <v>0.18</v>
      </c>
      <c r="AA73" s="2">
        <f t="shared" si="6"/>
        <v>9.0347604174858501E-2</v>
      </c>
      <c r="AB73" s="2">
        <f t="shared" si="27"/>
        <v>0.44234760417485847</v>
      </c>
      <c r="AD73"/>
      <c r="AE73"/>
      <c r="AF73"/>
      <c r="AG73"/>
      <c r="AH73"/>
      <c r="AM73" s="9">
        <v>1994</v>
      </c>
      <c r="AN73" s="3">
        <f t="shared" si="18"/>
        <v>0.59227873847962786</v>
      </c>
      <c r="AO73" s="3">
        <f t="shared" si="19"/>
        <v>0.44234760417485847</v>
      </c>
      <c r="AP73" s="3">
        <f t="shared" si="20"/>
        <v>0.1499311343047694</v>
      </c>
      <c r="AR73" s="3">
        <v>52.332990557787312</v>
      </c>
      <c r="AT73" s="3">
        <f t="shared" si="22"/>
        <v>1.1317502251770226</v>
      </c>
      <c r="AU73" s="3">
        <f t="shared" si="21"/>
        <v>1.1806240362496874</v>
      </c>
      <c r="AV73" s="3">
        <f t="shared" si="9"/>
        <v>0.8452557353595298</v>
      </c>
      <c r="AW73" s="3">
        <f t="shared" si="23"/>
        <v>0.28649448981749281</v>
      </c>
      <c r="AX73" s="3">
        <f t="shared" si="11"/>
        <v>0.33536830089015757</v>
      </c>
      <c r="AY73" s="3">
        <f t="shared" si="12"/>
        <v>23.391127595178371</v>
      </c>
      <c r="AZ73">
        <v>0</v>
      </c>
      <c r="BA73">
        <v>0</v>
      </c>
      <c r="BB73">
        <v>0</v>
      </c>
      <c r="BC73" s="23">
        <v>1</v>
      </c>
      <c r="BD73">
        <v>0</v>
      </c>
      <c r="BF73" s="3">
        <f t="shared" si="13"/>
        <v>1.1551685672279839</v>
      </c>
      <c r="BG73" s="3">
        <f t="shared" si="14"/>
        <v>1.2050536823848643</v>
      </c>
    </row>
    <row r="74" spans="1:59">
      <c r="A74">
        <v>1995</v>
      </c>
      <c r="B74" s="3">
        <f t="shared" si="0"/>
        <v>128.77280216078344</v>
      </c>
      <c r="C74" s="3">
        <f t="shared" si="1"/>
        <v>69.875003486879606</v>
      </c>
      <c r="D74" s="2">
        <v>89.98</v>
      </c>
      <c r="E74" s="2">
        <v>100</v>
      </c>
      <c r="F74" s="2">
        <f t="shared" si="15"/>
        <v>89.98</v>
      </c>
      <c r="G74" s="2">
        <v>0.680232330643189</v>
      </c>
      <c r="H74" s="2">
        <f t="shared" si="16"/>
        <v>0.61207305111274146</v>
      </c>
      <c r="I74" s="32">
        <f t="shared" si="25"/>
        <v>0.61207305111274146</v>
      </c>
      <c r="J74" s="32">
        <f t="shared" si="3"/>
        <v>0.62872350764265972</v>
      </c>
      <c r="K74" s="2">
        <f t="shared" si="26"/>
        <v>0.62122399020807828</v>
      </c>
      <c r="L74" s="2">
        <v>66</v>
      </c>
      <c r="M74" s="2">
        <f>G74*N74/100</f>
        <v>0.59860445096600623</v>
      </c>
      <c r="N74" s="39">
        <v>88</v>
      </c>
      <c r="P74" s="32">
        <f t="shared" si="4"/>
        <v>0.16670597551927246</v>
      </c>
      <c r="Q74" s="32">
        <f t="shared" si="5"/>
        <v>0.18335643204919072</v>
      </c>
      <c r="S74" s="2">
        <f>USA!Z82*G74</f>
        <v>12.536681853753974</v>
      </c>
      <c r="T74" s="2">
        <v>1</v>
      </c>
      <c r="U74" s="2">
        <v>0</v>
      </c>
      <c r="V74" s="2">
        <v>0</v>
      </c>
      <c r="X74" s="2">
        <v>0.74</v>
      </c>
      <c r="Y74" s="32">
        <v>0.35199999999999998</v>
      </c>
      <c r="Z74" s="2">
        <v>0.18</v>
      </c>
      <c r="AA74" s="2">
        <f t="shared" si="6"/>
        <v>9.3367075593469032E-2</v>
      </c>
      <c r="AB74" s="2">
        <f t="shared" si="27"/>
        <v>0.445367075593469</v>
      </c>
      <c r="AD74"/>
      <c r="AE74"/>
      <c r="AF74"/>
      <c r="AG74"/>
      <c r="AH74"/>
      <c r="AM74" s="9">
        <v>1995</v>
      </c>
      <c r="AN74" s="3">
        <f t="shared" si="18"/>
        <v>0.61207305111274146</v>
      </c>
      <c r="AO74" s="3">
        <f t="shared" si="19"/>
        <v>0.445367075593469</v>
      </c>
      <c r="AP74" s="3">
        <f t="shared" si="20"/>
        <v>0.16670597551927246</v>
      </c>
      <c r="AR74" s="3">
        <v>57.008688925791496</v>
      </c>
      <c r="AT74" s="3">
        <f t="shared" si="22"/>
        <v>1.0736487062691096</v>
      </c>
      <c r="AU74" s="3">
        <f t="shared" si="21"/>
        <v>1.1093098880433216</v>
      </c>
      <c r="AV74" s="3">
        <f t="shared" si="9"/>
        <v>0.78122665857691553</v>
      </c>
      <c r="AW74" s="3">
        <f t="shared" si="23"/>
        <v>0.29242204769219404</v>
      </c>
      <c r="AX74" s="3">
        <f t="shared" si="11"/>
        <v>0.32808322946640622</v>
      </c>
      <c r="AY74" s="3">
        <f t="shared" si="12"/>
        <v>21.990826468703808</v>
      </c>
      <c r="AZ74">
        <v>0</v>
      </c>
      <c r="BA74">
        <v>0</v>
      </c>
      <c r="BB74">
        <v>0</v>
      </c>
      <c r="BC74" s="23">
        <v>1</v>
      </c>
      <c r="BD74">
        <v>0</v>
      </c>
      <c r="BF74" s="3">
        <f t="shared" si="13"/>
        <v>1.0958648031486566</v>
      </c>
      <c r="BG74" s="3">
        <f t="shared" si="14"/>
        <v>1.1322638913391005</v>
      </c>
    </row>
    <row r="75" spans="1:59">
      <c r="A75">
        <v>1996</v>
      </c>
      <c r="B75" s="3">
        <f t="shared" si="0"/>
        <v>134.50460867261006</v>
      </c>
      <c r="C75" s="3">
        <f t="shared" si="1"/>
        <v>71.923179589087013</v>
      </c>
      <c r="D75" s="2">
        <v>93.985100000000003</v>
      </c>
      <c r="E75" s="2">
        <v>102.9312</v>
      </c>
      <c r="F75" s="2">
        <f t="shared" si="15"/>
        <v>96.73999125120001</v>
      </c>
      <c r="G75" s="2">
        <v>0.70673514306676444</v>
      </c>
      <c r="H75" s="2">
        <f t="shared" si="16"/>
        <v>0.68369551557194386</v>
      </c>
      <c r="I75" s="32">
        <f t="shared" si="25"/>
        <v>0.68369551557194386</v>
      </c>
      <c r="J75" s="32">
        <f t="shared" si="3"/>
        <v>0.63647257143125802</v>
      </c>
      <c r="K75" s="2">
        <f t="shared" si="26"/>
        <v>0.68334638922888613</v>
      </c>
      <c r="L75" s="2">
        <v>72.599999999999994</v>
      </c>
      <c r="M75" s="2">
        <f t="shared" ref="M75:M88" si="28">G75*N75/100</f>
        <v>0.56774389826363403</v>
      </c>
      <c r="N75" s="2">
        <f>N74+(N$77-N$74)/3</f>
        <v>80.333333333333329</v>
      </c>
      <c r="P75" s="32">
        <f t="shared" si="4"/>
        <v>0.25940297929825751</v>
      </c>
      <c r="Q75" s="32">
        <f t="shared" si="5"/>
        <v>0.21218003515757161</v>
      </c>
      <c r="S75" s="2">
        <f>USA!Z83*G75</f>
        <v>15.63298136463683</v>
      </c>
      <c r="T75" s="2">
        <v>1</v>
      </c>
      <c r="U75" s="2">
        <v>0</v>
      </c>
      <c r="V75" s="2">
        <v>0</v>
      </c>
      <c r="Y75" s="32">
        <v>0.32</v>
      </c>
      <c r="Z75" s="2">
        <v>0.18</v>
      </c>
      <c r="AA75" s="2">
        <f t="shared" si="6"/>
        <v>0.10429253627368636</v>
      </c>
      <c r="AB75" s="2">
        <f t="shared" si="27"/>
        <v>0.42429253627368635</v>
      </c>
      <c r="AD75"/>
      <c r="AE75"/>
      <c r="AF75"/>
      <c r="AG75"/>
      <c r="AH75"/>
      <c r="AM75" s="9">
        <v>1996</v>
      </c>
      <c r="AN75" s="3">
        <f t="shared" si="18"/>
        <v>0.68369551557194386</v>
      </c>
      <c r="AO75" s="3">
        <f t="shared" si="19"/>
        <v>0.42429253627368635</v>
      </c>
      <c r="AP75" s="3">
        <f t="shared" si="20"/>
        <v>0.25940297929825751</v>
      </c>
      <c r="AR75" s="3">
        <v>61.680293874073058</v>
      </c>
      <c r="AT75" s="3">
        <f t="shared" si="22"/>
        <v>1.1084504833387818</v>
      </c>
      <c r="AU75" s="3">
        <f t="shared" si="21"/>
        <v>1.0334242036399972</v>
      </c>
      <c r="AV75" s="3">
        <f t="shared" si="9"/>
        <v>0.68788993959711853</v>
      </c>
      <c r="AW75" s="3">
        <f t="shared" si="23"/>
        <v>0.4205605437416633</v>
      </c>
      <c r="AX75" s="3">
        <f t="shared" si="11"/>
        <v>0.34553426404287868</v>
      </c>
      <c r="AY75" s="3">
        <f t="shared" si="12"/>
        <v>25.3451797693332</v>
      </c>
      <c r="AZ75">
        <v>0</v>
      </c>
      <c r="BA75">
        <v>0</v>
      </c>
      <c r="BB75">
        <v>0</v>
      </c>
      <c r="BC75" s="23">
        <v>1</v>
      </c>
      <c r="BD75">
        <v>0</v>
      </c>
      <c r="BF75" s="3">
        <f t="shared" si="13"/>
        <v>1.1313867037060634</v>
      </c>
      <c r="BG75" s="3">
        <f t="shared" si="14"/>
        <v>1.0548079691972767</v>
      </c>
    </row>
    <row r="76" spans="1:59">
      <c r="A76">
        <v>1997</v>
      </c>
      <c r="B76" s="3">
        <f t="shared" si="0"/>
        <v>110.72701782033923</v>
      </c>
      <c r="C76" s="3">
        <f t="shared" si="1"/>
        <v>73.604511922988308</v>
      </c>
      <c r="D76" s="34">
        <v>86.104299999999995</v>
      </c>
      <c r="E76" s="2">
        <v>105.3374</v>
      </c>
      <c r="F76" s="2">
        <f t="shared" si="15"/>
        <v>90.700030908200006</v>
      </c>
      <c r="G76" s="34">
        <v>0.80150403521643421</v>
      </c>
      <c r="H76" s="2">
        <f t="shared" si="16"/>
        <v>0.72696440767177606</v>
      </c>
      <c r="I76" s="32">
        <f>K76</f>
        <v>0.65322643818849457</v>
      </c>
      <c r="J76" s="32">
        <f t="shared" si="3"/>
        <v>0.63507271966798406</v>
      </c>
      <c r="K76" s="32">
        <f t="shared" si="26"/>
        <v>0.65322643818849457</v>
      </c>
      <c r="L76" s="32">
        <v>69.400000000000006</v>
      </c>
      <c r="M76" s="2">
        <f t="shared" si="28"/>
        <v>0.58242626559060884</v>
      </c>
      <c r="N76" s="2">
        <f>N75+(N$77-N$74)/3</f>
        <v>72.666666666666657</v>
      </c>
      <c r="P76" s="32">
        <f t="shared" si="4"/>
        <v>0.23858172727838522</v>
      </c>
      <c r="Q76" s="32">
        <f t="shared" si="5"/>
        <v>0.22042800875787469</v>
      </c>
      <c r="S76" s="2">
        <f>USA!Z84*G76</f>
        <v>16.518998165810707</v>
      </c>
      <c r="T76" s="2">
        <v>1</v>
      </c>
      <c r="U76" s="2">
        <v>0</v>
      </c>
      <c r="V76" s="2">
        <v>0</v>
      </c>
      <c r="Y76" s="32">
        <v>0.315</v>
      </c>
      <c r="Z76" s="2">
        <v>0.18</v>
      </c>
      <c r="AA76" s="2">
        <f t="shared" si="6"/>
        <v>9.9644710910109346E-2</v>
      </c>
      <c r="AB76" s="2">
        <f t="shared" si="27"/>
        <v>0.41464471091010935</v>
      </c>
      <c r="AD76"/>
      <c r="AE76"/>
      <c r="AF76"/>
      <c r="AG76"/>
      <c r="AH76"/>
      <c r="AM76" s="9">
        <v>1997</v>
      </c>
      <c r="AN76" s="3">
        <f t="shared" si="18"/>
        <v>0.65322643818849457</v>
      </c>
      <c r="AO76" s="3">
        <f t="shared" si="19"/>
        <v>0.41464471091010935</v>
      </c>
      <c r="AP76" s="3">
        <f t="shared" si="20"/>
        <v>0.23858172727838522</v>
      </c>
      <c r="AR76" s="3">
        <v>65.094916793350549</v>
      </c>
      <c r="AT76" s="3">
        <f t="shared" si="22"/>
        <v>1.0034983841552765</v>
      </c>
      <c r="AU76" s="3">
        <f t="shared" si="21"/>
        <v>0.98268347655307131</v>
      </c>
      <c r="AV76" s="3">
        <f t="shared" si="9"/>
        <v>0.63698477751563143</v>
      </c>
      <c r="AW76" s="3">
        <f t="shared" si="23"/>
        <v>0.36651360663964505</v>
      </c>
      <c r="AX76" s="3">
        <f t="shared" ref="AX76:AX97" si="29">AV$100+AV$101*AY76+AV$102*AZ76+AV$103*BA76+AV$104*BB76+AV$105*BC76+AV$106*BD76</f>
        <v>0.34569869903743988</v>
      </c>
      <c r="AY76" s="3">
        <f t="shared" si="12"/>
        <v>25.376786667155127</v>
      </c>
      <c r="AZ76">
        <v>0</v>
      </c>
      <c r="BA76">
        <v>0</v>
      </c>
      <c r="BB76">
        <v>0</v>
      </c>
      <c r="BC76" s="23">
        <v>1</v>
      </c>
      <c r="BD76">
        <v>0</v>
      </c>
      <c r="BF76" s="3">
        <f t="shared" si="13"/>
        <v>1.0242629202560396</v>
      </c>
      <c r="BG76" s="3">
        <f t="shared" si="14"/>
        <v>1.0030173075254911</v>
      </c>
    </row>
    <row r="77" spans="1:59">
      <c r="A77">
        <v>1998</v>
      </c>
      <c r="B77" s="3">
        <f t="shared" si="0"/>
        <v>94.846895950862788</v>
      </c>
      <c r="C77" s="3">
        <f t="shared" si="1"/>
        <v>74.747038105002289</v>
      </c>
      <c r="D77" s="34">
        <v>79.132499999999993</v>
      </c>
      <c r="E77" s="2">
        <v>106.9725</v>
      </c>
      <c r="F77" s="2">
        <f t="shared" si="15"/>
        <v>84.650013562499993</v>
      </c>
      <c r="G77" s="34">
        <v>0.86696258253851788</v>
      </c>
      <c r="H77" s="2">
        <f t="shared" si="16"/>
        <v>0.73388394370065557</v>
      </c>
      <c r="I77" s="32">
        <f>K77</f>
        <v>0.61463525091799265</v>
      </c>
      <c r="J77" s="32">
        <f t="shared" si="3"/>
        <v>0.57678777709161433</v>
      </c>
      <c r="K77" s="32">
        <f t="shared" si="26"/>
        <v>0.61463525091799265</v>
      </c>
      <c r="L77" s="32">
        <v>65.3</v>
      </c>
      <c r="M77" s="2">
        <f t="shared" si="28"/>
        <v>0.56352567865003667</v>
      </c>
      <c r="N77" s="39">
        <v>65</v>
      </c>
      <c r="P77" s="32">
        <f t="shared" si="4"/>
        <v>0.22087733128643444</v>
      </c>
      <c r="Q77" s="32">
        <f t="shared" si="5"/>
        <v>0.18302985746005609</v>
      </c>
      <c r="S77" s="2">
        <f>USA!Z85*G77</f>
        <v>12.501600440205427</v>
      </c>
      <c r="T77" s="2">
        <v>1</v>
      </c>
      <c r="U77" s="2">
        <v>0</v>
      </c>
      <c r="V77" s="2">
        <v>0</v>
      </c>
      <c r="Y77" s="32">
        <v>0.3</v>
      </c>
      <c r="Z77" s="2">
        <v>0.18</v>
      </c>
      <c r="AA77" s="2">
        <f t="shared" si="6"/>
        <v>9.3757919631558218E-2</v>
      </c>
      <c r="AB77" s="2">
        <f t="shared" si="27"/>
        <v>0.39375791963155821</v>
      </c>
      <c r="AD77"/>
      <c r="AE77"/>
      <c r="AF77"/>
      <c r="AG77"/>
      <c r="AH77"/>
      <c r="AM77" s="9">
        <v>1998</v>
      </c>
      <c r="AN77" s="3">
        <f t="shared" si="18"/>
        <v>0.61463525091799265</v>
      </c>
      <c r="AO77" s="3">
        <f t="shared" si="19"/>
        <v>0.39375791963155821</v>
      </c>
      <c r="AP77" s="3">
        <f t="shared" si="20"/>
        <v>0.22087733128643444</v>
      </c>
      <c r="AR77" s="3">
        <v>68.197487642233597</v>
      </c>
      <c r="AT77" s="3">
        <f t="shared" si="22"/>
        <v>0.90125790871122791</v>
      </c>
      <c r="AU77" s="3">
        <f t="shared" si="21"/>
        <v>0.88642432600867027</v>
      </c>
      <c r="AV77" s="3">
        <f t="shared" si="9"/>
        <v>0.57737892295567539</v>
      </c>
      <c r="AW77" s="3">
        <f t="shared" si="23"/>
        <v>0.32387898575555252</v>
      </c>
      <c r="AX77" s="3">
        <f t="shared" si="29"/>
        <v>0.30904540305299488</v>
      </c>
      <c r="AY77" s="3">
        <f t="shared" si="12"/>
        <v>18.331467730584535</v>
      </c>
      <c r="AZ77">
        <v>0</v>
      </c>
      <c r="BA77">
        <v>0</v>
      </c>
      <c r="BB77">
        <v>0</v>
      </c>
      <c r="BC77" s="23">
        <v>1</v>
      </c>
      <c r="BD77">
        <v>0</v>
      </c>
      <c r="BF77" s="3">
        <f t="shared" si="13"/>
        <v>0.91990686986255643</v>
      </c>
      <c r="BG77" s="3">
        <f t="shared" si="14"/>
        <v>0.90476634848586202</v>
      </c>
    </row>
    <row r="78" spans="1:59">
      <c r="A78">
        <v>1999</v>
      </c>
      <c r="B78" s="3">
        <f t="shared" si="0"/>
        <v>88.841929024101987</v>
      </c>
      <c r="C78" s="3">
        <f t="shared" si="1"/>
        <v>75.889564287016256</v>
      </c>
      <c r="D78" s="34">
        <v>75.685299999999998</v>
      </c>
      <c r="E78" s="2">
        <v>108.60760000000001</v>
      </c>
      <c r="F78" s="2">
        <f t="shared" si="15"/>
        <v>82.199987882800002</v>
      </c>
      <c r="G78" s="34">
        <v>0.89766691122523845</v>
      </c>
      <c r="H78" s="2">
        <f t="shared" si="16"/>
        <v>0.73788209225505097</v>
      </c>
      <c r="I78" s="32">
        <f>K78</f>
        <v>0.60522276621787019</v>
      </c>
      <c r="J78" s="32">
        <f t="shared" si="3"/>
        <v>0.60504427606908917</v>
      </c>
      <c r="K78" s="32">
        <f>K$79*L78/L$79</f>
        <v>0.60522276621787019</v>
      </c>
      <c r="L78" s="32">
        <v>64.3</v>
      </c>
      <c r="M78" s="2">
        <f t="shared" si="28"/>
        <v>0.61490183418928834</v>
      </c>
      <c r="N78" s="2">
        <f>(N77+N79)/2</f>
        <v>68.5</v>
      </c>
      <c r="P78" s="32">
        <f t="shared" si="4"/>
        <v>0.21290064933717812</v>
      </c>
      <c r="Q78" s="32">
        <f t="shared" si="5"/>
        <v>0.21272215918839707</v>
      </c>
      <c r="S78" s="2">
        <f>USA!Z86*G78</f>
        <v>15.691217608217169</v>
      </c>
      <c r="T78" s="2">
        <v>1</v>
      </c>
      <c r="U78" s="2">
        <v>0</v>
      </c>
      <c r="V78" s="2">
        <v>0</v>
      </c>
      <c r="X78" s="2">
        <v>0.51</v>
      </c>
      <c r="Y78" s="32">
        <v>0.3</v>
      </c>
      <c r="Z78" s="2">
        <v>0.18</v>
      </c>
      <c r="AA78" s="2">
        <f t="shared" si="6"/>
        <v>9.2322116880692071E-2</v>
      </c>
      <c r="AB78" s="2">
        <f t="shared" si="27"/>
        <v>0.39232211688069207</v>
      </c>
      <c r="AD78"/>
      <c r="AE78"/>
      <c r="AF78"/>
      <c r="AG78"/>
      <c r="AH78"/>
      <c r="AM78" s="9">
        <v>1999</v>
      </c>
      <c r="AN78" s="3">
        <f t="shared" si="18"/>
        <v>0.60522276621787019</v>
      </c>
      <c r="AO78" s="3">
        <f t="shared" si="19"/>
        <v>0.39232211688069207</v>
      </c>
      <c r="AP78" s="3">
        <f t="shared" si="20"/>
        <v>0.21290064933717812</v>
      </c>
      <c r="AR78" s="3">
        <v>69.995608516454027</v>
      </c>
      <c r="AT78" s="3">
        <f t="shared" si="22"/>
        <v>0.86465819648613973</v>
      </c>
      <c r="AU78" s="3">
        <f t="shared" si="21"/>
        <v>0.89079797364280899</v>
      </c>
      <c r="AV78" s="3">
        <f t="shared" si="9"/>
        <v>0.56049532991554463</v>
      </c>
      <c r="AW78" s="3">
        <f t="shared" si="23"/>
        <v>0.3041628665705951</v>
      </c>
      <c r="AX78" s="3">
        <f t="shared" si="29"/>
        <v>0.33030264372726437</v>
      </c>
      <c r="AY78" s="3">
        <f t="shared" si="12"/>
        <v>22.417431522905609</v>
      </c>
      <c r="AZ78">
        <v>0</v>
      </c>
      <c r="BA78">
        <v>0</v>
      </c>
      <c r="BB78">
        <v>0</v>
      </c>
      <c r="BC78" s="23">
        <v>1</v>
      </c>
      <c r="BD78">
        <v>0</v>
      </c>
      <c r="BF78" s="3">
        <f t="shared" si="13"/>
        <v>0.88254983101116269</v>
      </c>
      <c r="BG78" s="3">
        <f t="shared" si="14"/>
        <v>0.90923049627986652</v>
      </c>
    </row>
    <row r="79" spans="1:59">
      <c r="A79">
        <v>2000</v>
      </c>
      <c r="B79" s="3">
        <f t="shared" si="0"/>
        <v>90.70847028269921</v>
      </c>
      <c r="C79" s="3">
        <f t="shared" si="1"/>
        <v>78.958238837304293</v>
      </c>
      <c r="D79" s="2">
        <f>F79/E79*100</f>
        <v>63.382546772931228</v>
      </c>
      <c r="E79" s="2">
        <v>112.9992628224058</v>
      </c>
      <c r="F79" s="2">
        <f>I79/G79*100</f>
        <v>71.621810611478836</v>
      </c>
      <c r="G79" s="2">
        <v>1.0736952800195647</v>
      </c>
      <c r="H79" s="39">
        <f t="shared" ref="H79:H89" si="30">(Q79+Y79)+Z79*(Q79+Y79)</f>
        <v>0.74518900347879347</v>
      </c>
      <c r="I79" s="39">
        <f>K79</f>
        <v>0.76900000000000002</v>
      </c>
      <c r="J79" s="32">
        <f t="shared" si="3"/>
        <v>0.74882118938880793</v>
      </c>
      <c r="K79" s="2">
        <v>0.76900000000000002</v>
      </c>
      <c r="L79" s="2">
        <v>81.7</v>
      </c>
      <c r="M79" s="2">
        <f t="shared" si="28"/>
        <v>0.77306060161408652</v>
      </c>
      <c r="N79" s="39">
        <v>72</v>
      </c>
      <c r="P79" s="32">
        <f t="shared" ref="P79:P89" si="31">K79-AB79</f>
        <v>0.3626949152542373</v>
      </c>
      <c r="Q79" s="32">
        <f t="shared" si="5"/>
        <v>0.34251610464304527</v>
      </c>
      <c r="S79" s="2">
        <f>USA!Z87*G79</f>
        <v>29.633989728539987</v>
      </c>
      <c r="T79" s="2">
        <v>1</v>
      </c>
      <c r="U79" s="2">
        <v>0</v>
      </c>
      <c r="V79" s="2">
        <v>0</v>
      </c>
      <c r="Y79" s="32">
        <v>0.28899999999999998</v>
      </c>
      <c r="Z79" s="2">
        <v>0.18</v>
      </c>
      <c r="AA79" s="2">
        <f t="shared" si="6"/>
        <v>0.11730508474576273</v>
      </c>
      <c r="AB79" s="2">
        <f t="shared" si="27"/>
        <v>0.40630508474576271</v>
      </c>
      <c r="AD79"/>
      <c r="AE79"/>
      <c r="AF79"/>
      <c r="AG79"/>
      <c r="AH79"/>
      <c r="AM79" s="9">
        <v>2000</v>
      </c>
      <c r="AN79" s="3">
        <f t="shared" si="18"/>
        <v>0.76900000000000002</v>
      </c>
      <c r="AO79" s="3">
        <f t="shared" si="19"/>
        <v>0.40630508474576271</v>
      </c>
      <c r="AP79" s="3">
        <f t="shared" si="20"/>
        <v>0.3626949152542373</v>
      </c>
      <c r="AR79" s="3">
        <v>72.201294033034571</v>
      </c>
      <c r="AT79" s="3">
        <f t="shared" si="22"/>
        <v>1.065077863629641</v>
      </c>
      <c r="AU79" s="3">
        <f t="shared" si="21"/>
        <v>1.0388349702367572</v>
      </c>
      <c r="AV79" s="3">
        <f t="shared" si="9"/>
        <v>0.56273933893742145</v>
      </c>
      <c r="AW79" s="3">
        <f t="shared" si="23"/>
        <v>0.50233852469221951</v>
      </c>
      <c r="AX79" s="3">
        <f t="shared" si="29"/>
        <v>0.47609563129933569</v>
      </c>
      <c r="AY79" s="3">
        <f t="shared" si="12"/>
        <v>41.043571483610002</v>
      </c>
      <c r="AZ79">
        <v>0</v>
      </c>
      <c r="BA79">
        <v>0</v>
      </c>
      <c r="BB79">
        <v>0</v>
      </c>
      <c r="BC79">
        <v>0</v>
      </c>
      <c r="BD79">
        <v>0</v>
      </c>
      <c r="BF79" s="3">
        <f t="shared" si="13"/>
        <v>1.0871166113731943</v>
      </c>
      <c r="BG79" s="3">
        <f t="shared" si="14"/>
        <v>1.0603306961719559</v>
      </c>
    </row>
    <row r="80" spans="1:59">
      <c r="A80">
        <v>2001</v>
      </c>
      <c r="B80" s="3">
        <f t="shared" si="0"/>
        <v>83.101811995800233</v>
      </c>
      <c r="C80" s="3">
        <f t="shared" si="1"/>
        <v>81.182199298191421</v>
      </c>
      <c r="D80" s="2">
        <f t="shared" ref="D80:D89" si="32">F80/E80*100</f>
        <v>58.067394029725541</v>
      </c>
      <c r="E80" s="2">
        <v>116.1820325539375</v>
      </c>
      <c r="F80" s="2">
        <f t="shared" ref="F80:F89" si="33">I80/G80*100</f>
        <v>67.463878634838892</v>
      </c>
      <c r="G80" s="2">
        <v>1.117635118610907</v>
      </c>
      <c r="H80" s="39">
        <f t="shared" si="30"/>
        <v>0.71177021734809243</v>
      </c>
      <c r="I80" s="39">
        <f t="shared" ref="I80:I89" si="34">K80</f>
        <v>0.754</v>
      </c>
      <c r="J80" s="32">
        <f t="shared" si="3"/>
        <v>0.71821204860007826</v>
      </c>
      <c r="K80" s="2">
        <v>0.754</v>
      </c>
      <c r="L80" s="2">
        <v>78.5</v>
      </c>
      <c r="M80" s="2">
        <f t="shared" si="28"/>
        <v>0.83822633895818033</v>
      </c>
      <c r="N80" s="2">
        <f>(N79+N81)/2</f>
        <v>75</v>
      </c>
      <c r="P80" s="32">
        <f t="shared" si="31"/>
        <v>0.34298305084745762</v>
      </c>
      <c r="Q80" s="32">
        <f t="shared" si="5"/>
        <v>0.30719509944753587</v>
      </c>
      <c r="S80" s="2">
        <f>USA!Z88*G80</f>
        <v>25.83972394228417</v>
      </c>
      <c r="T80" s="2">
        <v>1</v>
      </c>
      <c r="U80" s="2">
        <v>0</v>
      </c>
      <c r="V80" s="2">
        <v>0</v>
      </c>
      <c r="Y80" s="32">
        <v>0.29599999999999999</v>
      </c>
      <c r="Z80" s="2">
        <v>0.18</v>
      </c>
      <c r="AA80" s="2">
        <f t="shared" si="6"/>
        <v>0.11501694915254237</v>
      </c>
      <c r="AB80" s="2">
        <f t="shared" si="27"/>
        <v>0.41101694915254239</v>
      </c>
      <c r="AD80"/>
      <c r="AE80"/>
      <c r="AF80"/>
      <c r="AG80"/>
      <c r="AH80"/>
      <c r="AM80" s="9">
        <v>2001</v>
      </c>
      <c r="AN80" s="3">
        <f t="shared" si="18"/>
        <v>0.754</v>
      </c>
      <c r="AO80" s="3">
        <f t="shared" si="19"/>
        <v>0.41101694915254239</v>
      </c>
      <c r="AP80" s="3">
        <f t="shared" si="20"/>
        <v>0.34298305084745762</v>
      </c>
      <c r="AR80" s="3">
        <v>74.63734114526919</v>
      </c>
      <c r="AT80" s="3">
        <f t="shared" si="22"/>
        <v>1.0102181943116975</v>
      </c>
      <c r="AU80" s="3">
        <f t="shared" si="21"/>
        <v>0.99336431686310234</v>
      </c>
      <c r="AV80" s="3">
        <f t="shared" si="9"/>
        <v>0.55068541141165006</v>
      </c>
      <c r="AW80" s="3">
        <f t="shared" si="23"/>
        <v>0.4595327829000474</v>
      </c>
      <c r="AX80" s="3">
        <f t="shared" si="29"/>
        <v>0.44267890545145233</v>
      </c>
      <c r="AY80" s="3">
        <f t="shared" si="12"/>
        <v>34.620370374651259</v>
      </c>
      <c r="AZ80">
        <v>0</v>
      </c>
      <c r="BA80">
        <v>0</v>
      </c>
      <c r="BB80">
        <v>0</v>
      </c>
      <c r="BC80">
        <v>0</v>
      </c>
      <c r="BD80">
        <v>0</v>
      </c>
      <c r="BF80" s="3">
        <f t="shared" si="13"/>
        <v>1.0311217777121737</v>
      </c>
      <c r="BG80" s="3">
        <f t="shared" si="14"/>
        <v>1.0139191573535302</v>
      </c>
    </row>
    <row r="81" spans="1:59">
      <c r="A81">
        <v>2002</v>
      </c>
      <c r="B81" s="3">
        <f t="shared" si="0"/>
        <v>83.967405379730295</v>
      </c>
      <c r="C81" s="3">
        <f t="shared" si="1"/>
        <v>82.47759894808965</v>
      </c>
      <c r="D81" s="2">
        <f t="shared" si="32"/>
        <v>58.672227436928871</v>
      </c>
      <c r="E81" s="2">
        <v>118.03591389240708</v>
      </c>
      <c r="F81" s="2">
        <f t="shared" si="33"/>
        <v>69.254299856210608</v>
      </c>
      <c r="G81" s="2">
        <v>1.061305942773294</v>
      </c>
      <c r="H81" s="39">
        <f t="shared" si="30"/>
        <v>0.71192058466192842</v>
      </c>
      <c r="I81" s="39">
        <f t="shared" si="34"/>
        <v>0.73499999999999999</v>
      </c>
      <c r="J81" s="32">
        <f t="shared" si="3"/>
        <v>0.71544117344231217</v>
      </c>
      <c r="K81" s="2">
        <v>0.73499999999999999</v>
      </c>
      <c r="L81" s="2">
        <v>76.900000000000006</v>
      </c>
      <c r="M81" s="2">
        <f t="shared" si="28"/>
        <v>0.82781863536316935</v>
      </c>
      <c r="N81" s="39">
        <v>78</v>
      </c>
      <c r="P81" s="32">
        <f t="shared" si="31"/>
        <v>0.32688135593220341</v>
      </c>
      <c r="Q81" s="32">
        <f t="shared" si="5"/>
        <v>0.3073225293745156</v>
      </c>
      <c r="S81" s="2">
        <f>USA!Z89*G81</f>
        <v>25.853412765957444</v>
      </c>
      <c r="T81" s="2">
        <v>1</v>
      </c>
      <c r="U81" s="2">
        <v>0</v>
      </c>
      <c r="V81" s="2">
        <v>0</v>
      </c>
      <c r="Y81" s="32">
        <v>0.29599999999999999</v>
      </c>
      <c r="Z81" s="2">
        <v>0.18</v>
      </c>
      <c r="AA81" s="2">
        <f t="shared" si="6"/>
        <v>0.11211864406779661</v>
      </c>
      <c r="AB81" s="2">
        <f t="shared" si="27"/>
        <v>0.40811864406779658</v>
      </c>
      <c r="AD81"/>
      <c r="AE81"/>
      <c r="AF81"/>
      <c r="AG81"/>
      <c r="AH81"/>
      <c r="AM81" s="9">
        <v>2002</v>
      </c>
      <c r="AN81" s="3">
        <f t="shared" si="18"/>
        <v>0.73499999999999999</v>
      </c>
      <c r="AO81" s="3">
        <f t="shared" si="19"/>
        <v>0.40811864406779658</v>
      </c>
      <c r="AP81" s="3">
        <f t="shared" si="20"/>
        <v>0.32688135593220341</v>
      </c>
      <c r="AR81" s="3">
        <v>77.346201188979379</v>
      </c>
      <c r="AT81" s="3">
        <f t="shared" si="22"/>
        <v>0.95027291412047521</v>
      </c>
      <c r="AU81" s="3">
        <f t="shared" si="21"/>
        <v>0.96411480776713998</v>
      </c>
      <c r="AV81" s="3">
        <f t="shared" si="9"/>
        <v>0.52765182749007078</v>
      </c>
      <c r="AW81" s="3">
        <f t="shared" si="23"/>
        <v>0.42262108663040443</v>
      </c>
      <c r="AX81" s="3">
        <f t="shared" si="29"/>
        <v>0.43646298027706915</v>
      </c>
      <c r="AY81" s="3">
        <f t="shared" si="12"/>
        <v>33.425575359273303</v>
      </c>
      <c r="AZ81">
        <v>0</v>
      </c>
      <c r="BA81">
        <v>0</v>
      </c>
      <c r="BB81">
        <v>0</v>
      </c>
      <c r="BC81">
        <v>0</v>
      </c>
      <c r="BD81">
        <v>0</v>
      </c>
      <c r="BF81" s="3">
        <f t="shared" si="13"/>
        <v>0.96993610096999061</v>
      </c>
      <c r="BG81" s="3">
        <f t="shared" si="14"/>
        <v>0.98406441311504789</v>
      </c>
    </row>
    <row r="82" spans="1:59">
      <c r="A82">
        <v>2003</v>
      </c>
      <c r="B82" s="3">
        <f t="shared" si="0"/>
        <v>99.064469603523392</v>
      </c>
      <c r="C82" s="3">
        <f t="shared" si="1"/>
        <v>84.37293294912061</v>
      </c>
      <c r="D82" s="2">
        <f t="shared" si="32"/>
        <v>69.221301589720753</v>
      </c>
      <c r="E82" s="2">
        <v>120.74837744367809</v>
      </c>
      <c r="F82" s="2">
        <f t="shared" si="33"/>
        <v>83.583598514982754</v>
      </c>
      <c r="G82" s="2">
        <v>0.88534115920763023</v>
      </c>
      <c r="H82" s="39">
        <f t="shared" si="30"/>
        <v>0.70120694095236391</v>
      </c>
      <c r="I82" s="39">
        <f t="shared" si="34"/>
        <v>0.74</v>
      </c>
      <c r="J82" s="32">
        <f t="shared" si="3"/>
        <v>0.70712452623081701</v>
      </c>
      <c r="K82" s="2">
        <v>0.74</v>
      </c>
      <c r="L82" s="2">
        <v>79.8</v>
      </c>
      <c r="M82" s="2">
        <f t="shared" si="28"/>
        <v>0.84992751283932511</v>
      </c>
      <c r="N82" s="2">
        <f>(N81+N83)/2</f>
        <v>96</v>
      </c>
      <c r="P82" s="32">
        <f t="shared" si="31"/>
        <v>0.33111864406779662</v>
      </c>
      <c r="Q82" s="32">
        <f t="shared" si="5"/>
        <v>0.29824317029861358</v>
      </c>
      <c r="S82" s="2">
        <f>USA!Z90*G82</f>
        <v>24.878086573734411</v>
      </c>
      <c r="T82" s="2">
        <v>1</v>
      </c>
      <c r="U82" s="2">
        <v>0</v>
      </c>
      <c r="V82" s="2">
        <v>0</v>
      </c>
      <c r="Y82" s="32">
        <v>0.29599999999999999</v>
      </c>
      <c r="Z82" s="2">
        <v>0.18</v>
      </c>
      <c r="AA82" s="2">
        <f t="shared" si="6"/>
        <v>0.11288135593220339</v>
      </c>
      <c r="AB82" s="2">
        <f t="shared" si="27"/>
        <v>0.40888135593220337</v>
      </c>
      <c r="AD82"/>
      <c r="AE82"/>
      <c r="AF82"/>
      <c r="AG82"/>
      <c r="AH82"/>
      <c r="AM82" s="9">
        <v>2003</v>
      </c>
      <c r="AN82" s="3">
        <f t="shared" si="18"/>
        <v>0.74</v>
      </c>
      <c r="AO82" s="3">
        <f t="shared" si="19"/>
        <v>0.40888135593220337</v>
      </c>
      <c r="AP82" s="3">
        <f t="shared" si="20"/>
        <v>0.33111864406779662</v>
      </c>
      <c r="AR82" s="3">
        <v>80.0770256147201</v>
      </c>
      <c r="AT82" s="3">
        <f t="shared" si="22"/>
        <v>0.92411024800098229</v>
      </c>
      <c r="AU82" s="3">
        <f t="shared" si="21"/>
        <v>0.93480617202552252</v>
      </c>
      <c r="AV82" s="3">
        <f t="shared" si="9"/>
        <v>0.51061006923444097</v>
      </c>
      <c r="AW82" s="3">
        <f t="shared" si="23"/>
        <v>0.41350017876654133</v>
      </c>
      <c r="AX82" s="3">
        <f t="shared" si="29"/>
        <v>0.4241961027910815</v>
      </c>
      <c r="AY82" s="3">
        <f t="shared" si="12"/>
        <v>31.067695612761643</v>
      </c>
      <c r="AZ82">
        <v>0</v>
      </c>
      <c r="BA82">
        <v>0</v>
      </c>
      <c r="BB82">
        <v>0</v>
      </c>
      <c r="BC82">
        <v>0</v>
      </c>
      <c r="BD82">
        <v>0</v>
      </c>
      <c r="BF82" s="3">
        <f t="shared" si="13"/>
        <v>0.94323207311667912</v>
      </c>
      <c r="BG82" s="3">
        <f t="shared" si="14"/>
        <v>0.95414931877366582</v>
      </c>
    </row>
    <row r="83" spans="1:59">
      <c r="A83">
        <v>2004</v>
      </c>
      <c r="B83" s="3">
        <f t="shared" si="0"/>
        <v>116.46894392096799</v>
      </c>
      <c r="C83" s="3">
        <f t="shared" si="1"/>
        <v>86.62364207534489</v>
      </c>
      <c r="D83" s="2">
        <f t="shared" si="32"/>
        <v>81.382678625908227</v>
      </c>
      <c r="E83" s="2">
        <v>123.96942791081244</v>
      </c>
      <c r="F83" s="2">
        <f t="shared" si="33"/>
        <v>100.88964111103347</v>
      </c>
      <c r="G83" s="2">
        <v>0.80483981413548544</v>
      </c>
      <c r="H83" s="39">
        <f t="shared" si="30"/>
        <v>0.74664383725062333</v>
      </c>
      <c r="I83" s="39">
        <f t="shared" si="34"/>
        <v>0.81200000000000006</v>
      </c>
      <c r="J83" s="32">
        <f t="shared" si="3"/>
        <v>0.75661342139883336</v>
      </c>
      <c r="K83" s="2">
        <v>0.81200000000000006</v>
      </c>
      <c r="L83" s="2">
        <v>85.9</v>
      </c>
      <c r="M83" s="2">
        <f t="shared" si="28"/>
        <v>0.91751738811445338</v>
      </c>
      <c r="N83" s="39">
        <v>114</v>
      </c>
      <c r="P83" s="32">
        <f t="shared" si="31"/>
        <v>0.39213559322033903</v>
      </c>
      <c r="Q83" s="32">
        <f t="shared" si="5"/>
        <v>0.33674901461917228</v>
      </c>
      <c r="S83" s="2">
        <f>USA!Z91*G83</f>
        <v>29.014475299584248</v>
      </c>
      <c r="T83" s="2">
        <v>1</v>
      </c>
      <c r="U83" s="2">
        <v>0</v>
      </c>
      <c r="V83" s="2">
        <v>0</v>
      </c>
      <c r="Y83" s="32">
        <v>0.29599999999999999</v>
      </c>
      <c r="Z83" s="2">
        <v>0.18</v>
      </c>
      <c r="AA83" s="2">
        <f t="shared" si="6"/>
        <v>0.12386440677966104</v>
      </c>
      <c r="AB83" s="2">
        <f t="shared" si="27"/>
        <v>0.41986440677966103</v>
      </c>
      <c r="AD83"/>
      <c r="AE83"/>
      <c r="AF83"/>
      <c r="AG83"/>
      <c r="AH83"/>
      <c r="AM83" s="9">
        <v>2004</v>
      </c>
      <c r="AN83" s="3">
        <f t="shared" si="18"/>
        <v>0.81200000000000006</v>
      </c>
      <c r="AO83" s="3">
        <f t="shared" si="19"/>
        <v>0.41986440677966103</v>
      </c>
      <c r="AP83" s="3">
        <f t="shared" si="20"/>
        <v>0.39213559322033903</v>
      </c>
      <c r="AR83" s="3">
        <v>82.398336870211907</v>
      </c>
      <c r="AT83" s="3">
        <f t="shared" si="22"/>
        <v>0.98545678328314512</v>
      </c>
      <c r="AU83" s="3">
        <f t="shared" si="21"/>
        <v>0.95531368281110962</v>
      </c>
      <c r="AV83" s="3">
        <f t="shared" si="9"/>
        <v>0.50955446763567813</v>
      </c>
      <c r="AW83" s="3">
        <f t="shared" si="23"/>
        <v>0.47590231564746699</v>
      </c>
      <c r="AX83" s="3">
        <f t="shared" si="29"/>
        <v>0.44575921517543149</v>
      </c>
      <c r="AY83" s="3">
        <f t="shared" si="12"/>
        <v>35.212452582976063</v>
      </c>
      <c r="AZ83">
        <v>0</v>
      </c>
      <c r="BA83">
        <v>0</v>
      </c>
      <c r="BB83">
        <v>0</v>
      </c>
      <c r="BC83">
        <v>0</v>
      </c>
      <c r="BD83">
        <v>0</v>
      </c>
      <c r="BE83" s="25"/>
      <c r="BF83" s="3">
        <f t="shared" si="13"/>
        <v>1.0058479999261594</v>
      </c>
      <c r="BG83" s="3">
        <f t="shared" si="14"/>
        <v>0.97508117398747307</v>
      </c>
    </row>
    <row r="84" spans="1:59">
      <c r="A84">
        <v>2005</v>
      </c>
      <c r="B84" s="3">
        <f t="shared" si="0"/>
        <v>122.40257875336246</v>
      </c>
      <c r="C84" s="3">
        <f t="shared" si="1"/>
        <v>89.539246597092159</v>
      </c>
      <c r="D84" s="2">
        <f t="shared" si="32"/>
        <v>85.528806171942577</v>
      </c>
      <c r="E84" s="2">
        <v>128.14202809149756</v>
      </c>
      <c r="F84" s="2">
        <f t="shared" si="33"/>
        <v>109.59834683117316</v>
      </c>
      <c r="G84" s="2">
        <v>0.80475666422108105</v>
      </c>
      <c r="H84" s="39">
        <f t="shared" si="30"/>
        <v>0.80815106802508241</v>
      </c>
      <c r="I84" s="39">
        <f t="shared" si="34"/>
        <v>0.88200000000000001</v>
      </c>
      <c r="J84" s="32">
        <f t="shared" si="3"/>
        <v>0.81994207397065755</v>
      </c>
      <c r="K84" s="2">
        <v>0.88200000000000001</v>
      </c>
      <c r="L84" s="2">
        <v>100</v>
      </c>
      <c r="M84" s="2">
        <f t="shared" si="28"/>
        <v>0.92547016385424319</v>
      </c>
      <c r="N84" s="2">
        <f>(N83+N85)/2</f>
        <v>115</v>
      </c>
      <c r="P84" s="32">
        <f t="shared" si="31"/>
        <v>0.44517647058823528</v>
      </c>
      <c r="Q84" s="32">
        <f t="shared" si="5"/>
        <v>0.38311854455889283</v>
      </c>
      <c r="S84" s="2">
        <f>USA!Z92*G84</f>
        <v>40.752877476155547</v>
      </c>
      <c r="T84" s="2">
        <v>0</v>
      </c>
      <c r="U84" s="2">
        <v>0</v>
      </c>
      <c r="V84" s="2">
        <v>0</v>
      </c>
      <c r="Y84" s="32">
        <v>0.29599999999999999</v>
      </c>
      <c r="Z84" s="2">
        <v>0.19</v>
      </c>
      <c r="AA84" s="2">
        <f t="shared" si="6"/>
        <v>0.14082352941176471</v>
      </c>
      <c r="AB84" s="2">
        <f t="shared" si="27"/>
        <v>0.43682352941176472</v>
      </c>
      <c r="AC84" s="2">
        <f>'EU total tax'!N3</f>
        <v>0.44348224489795918</v>
      </c>
      <c r="AD84" s="2">
        <f t="shared" ref="AD84:AD95" si="35">AC84-AA84</f>
        <v>0.3026587154861945</v>
      </c>
      <c r="AE84"/>
      <c r="AF84"/>
      <c r="AG84"/>
      <c r="AH84"/>
      <c r="AM84" s="9">
        <v>2005</v>
      </c>
      <c r="AN84" s="3">
        <f t="shared" si="18"/>
        <v>0.88200000000000001</v>
      </c>
      <c r="AO84" s="3">
        <f t="shared" si="19"/>
        <v>0.43682352941176472</v>
      </c>
      <c r="AP84" s="3">
        <f t="shared" si="20"/>
        <v>0.44517647058823528</v>
      </c>
      <c r="AR84" s="3">
        <v>85.31941806304684</v>
      </c>
      <c r="AT84" s="3">
        <f t="shared" si="22"/>
        <v>1.0337623251816432</v>
      </c>
      <c r="AU84" s="3">
        <f t="shared" si="21"/>
        <v>1.0230502993784032</v>
      </c>
      <c r="AV84" s="3">
        <f t="shared" si="9"/>
        <v>0.5119860628784102</v>
      </c>
      <c r="AW84" s="3">
        <f t="shared" si="23"/>
        <v>0.52177626230323304</v>
      </c>
      <c r="AX84" s="3">
        <f t="shared" si="29"/>
        <v>0.511064236499993</v>
      </c>
      <c r="AY84" s="3">
        <f t="shared" si="12"/>
        <v>47.765067321534218</v>
      </c>
      <c r="AZ84">
        <v>0</v>
      </c>
      <c r="BA84">
        <v>0</v>
      </c>
      <c r="BB84">
        <v>0</v>
      </c>
      <c r="BC84">
        <v>0</v>
      </c>
      <c r="BD84">
        <v>0</v>
      </c>
      <c r="BF84" s="3">
        <f t="shared" si="13"/>
        <v>1.0551530871995736</v>
      </c>
      <c r="BG84" s="3">
        <f t="shared" si="14"/>
        <v>1.0442194065835149</v>
      </c>
    </row>
    <row r="85" spans="1:59">
      <c r="A85">
        <v>2006</v>
      </c>
      <c r="B85" s="3">
        <f t="shared" si="0"/>
        <v>131.42699024952677</v>
      </c>
      <c r="C85" s="3">
        <f t="shared" si="1"/>
        <v>92.424281215596963</v>
      </c>
      <c r="D85" s="2">
        <f t="shared" si="32"/>
        <v>91.834614019557733</v>
      </c>
      <c r="E85" s="2">
        <v>132.27087886006535</v>
      </c>
      <c r="F85" s="2">
        <f t="shared" si="33"/>
        <v>121.4704510614178</v>
      </c>
      <c r="G85" s="2">
        <v>0.79690162631450223</v>
      </c>
      <c r="H85" s="39">
        <f t="shared" si="30"/>
        <v>0.90661774891253066</v>
      </c>
      <c r="I85" s="39">
        <f t="shared" si="34"/>
        <v>0.96799999999999997</v>
      </c>
      <c r="J85" s="32">
        <f t="shared" si="3"/>
        <v>0.91641827639708451</v>
      </c>
      <c r="K85" s="2">
        <v>0.96799999999999997</v>
      </c>
      <c r="L85" s="2">
        <v>110.8</v>
      </c>
      <c r="M85" s="2">
        <f t="shared" si="28"/>
        <v>0.92440588652482258</v>
      </c>
      <c r="N85" s="39">
        <v>116</v>
      </c>
      <c r="P85" s="32">
        <f t="shared" si="31"/>
        <v>0.50844537815126045</v>
      </c>
      <c r="Q85" s="32">
        <f t="shared" si="5"/>
        <v>0.45686365454834504</v>
      </c>
      <c r="S85" s="2">
        <f>USA!Z93*G85</f>
        <v>48.674751335289798</v>
      </c>
      <c r="T85" s="2">
        <v>0</v>
      </c>
      <c r="U85" s="2">
        <v>0</v>
      </c>
      <c r="V85" s="2">
        <v>0</v>
      </c>
      <c r="Y85" s="32">
        <v>0.30499999999999999</v>
      </c>
      <c r="Z85" s="2">
        <v>0.19</v>
      </c>
      <c r="AA85" s="2">
        <f t="shared" si="6"/>
        <v>0.1545546218487395</v>
      </c>
      <c r="AB85" s="2">
        <f t="shared" si="27"/>
        <v>0.45955462184873952</v>
      </c>
      <c r="AC85" s="2">
        <f>'EU total tax'!N4</f>
        <v>0.46888734693877554</v>
      </c>
      <c r="AD85" s="2">
        <f t="shared" si="35"/>
        <v>0.31433272509003607</v>
      </c>
      <c r="AE85"/>
      <c r="AF85"/>
      <c r="AG85"/>
      <c r="AH85"/>
      <c r="AM85" s="9">
        <v>2006</v>
      </c>
      <c r="AN85" s="3">
        <f t="shared" si="18"/>
        <v>0.96799999999999997</v>
      </c>
      <c r="AO85" s="3">
        <f t="shared" si="19"/>
        <v>0.45955462184873952</v>
      </c>
      <c r="AP85" s="3">
        <f t="shared" si="20"/>
        <v>0.50844537815126045</v>
      </c>
      <c r="AR85" s="3">
        <v>88.046180591856057</v>
      </c>
      <c r="AT85" s="3">
        <f t="shared" si="22"/>
        <v>1.0994230453757314</v>
      </c>
      <c r="AU85" s="3">
        <f t="shared" si="21"/>
        <v>1.0721246324807412</v>
      </c>
      <c r="AV85" s="3">
        <f t="shared" si="9"/>
        <v>0.52194725399734898</v>
      </c>
      <c r="AW85" s="3">
        <f t="shared" si="23"/>
        <v>0.57747579137838245</v>
      </c>
      <c r="AX85" s="3">
        <f t="shared" si="29"/>
        <v>0.55017737848339232</v>
      </c>
      <c r="AY85" s="3">
        <f t="shared" si="12"/>
        <v>55.283205935899538</v>
      </c>
      <c r="AZ85">
        <v>0</v>
      </c>
      <c r="BA85">
        <v>0</v>
      </c>
      <c r="BB85">
        <v>0</v>
      </c>
      <c r="BC85">
        <v>0</v>
      </c>
      <c r="BD85">
        <v>0</v>
      </c>
      <c r="BF85" s="3">
        <f t="shared" si="13"/>
        <v>1.1221724686694543</v>
      </c>
      <c r="BG85" s="3">
        <f t="shared" si="14"/>
        <v>1.0943091930013877</v>
      </c>
    </row>
    <row r="86" spans="1:59">
      <c r="A86">
        <v>2007</v>
      </c>
      <c r="B86" s="3">
        <f t="shared" si="0"/>
        <v>145.82960595608887</v>
      </c>
      <c r="C86" s="3">
        <f t="shared" si="1"/>
        <v>95.074004003893037</v>
      </c>
      <c r="D86" s="2">
        <f t="shared" si="32"/>
        <v>101.89844224671987</v>
      </c>
      <c r="E86" s="2">
        <v>136.06296852886032</v>
      </c>
      <c r="F86" s="2">
        <f t="shared" si="33"/>
        <v>138.64604540555337</v>
      </c>
      <c r="G86" s="2">
        <v>0.73063749999999994</v>
      </c>
      <c r="H86" s="39">
        <f t="shared" si="30"/>
        <v>0.95747211029396451</v>
      </c>
      <c r="I86" s="39">
        <f t="shared" si="34"/>
        <v>1.0129999999999999</v>
      </c>
      <c r="J86" s="32">
        <f t="shared" si="3"/>
        <v>0.96633790781005424</v>
      </c>
      <c r="K86" s="2">
        <v>1.0129999999999999</v>
      </c>
      <c r="L86" s="2">
        <v>112.4</v>
      </c>
      <c r="M86" s="2">
        <f t="shared" si="28"/>
        <v>0.99001381249999998</v>
      </c>
      <c r="N86" s="2">
        <f>(N85+N87)/2</f>
        <v>135.5</v>
      </c>
      <c r="P86" s="32">
        <f t="shared" si="31"/>
        <v>0.52026050420168057</v>
      </c>
      <c r="Q86" s="32">
        <f t="shared" si="5"/>
        <v>0.47359841201173491</v>
      </c>
      <c r="S86" s="2">
        <f>USA!Z94*G86</f>
        <v>50.472438499999996</v>
      </c>
      <c r="T86" s="2">
        <v>0</v>
      </c>
      <c r="U86" s="2">
        <v>0</v>
      </c>
      <c r="V86" s="2">
        <v>0</v>
      </c>
      <c r="Y86" s="32">
        <v>0.33100000000000002</v>
      </c>
      <c r="Z86" s="2">
        <v>0.19</v>
      </c>
      <c r="AA86" s="2">
        <f t="shared" si="6"/>
        <v>0.16173949579831934</v>
      </c>
      <c r="AB86" s="2">
        <f t="shared" si="27"/>
        <v>0.49273949579831933</v>
      </c>
      <c r="AC86" s="2">
        <f>'EU total tax'!N5</f>
        <v>0.50113306122448964</v>
      </c>
      <c r="AD86" s="2">
        <f t="shared" si="35"/>
        <v>0.33939356542617027</v>
      </c>
      <c r="AE86"/>
      <c r="AF86"/>
      <c r="AG86"/>
      <c r="AH86"/>
      <c r="AM86" s="9">
        <v>2007</v>
      </c>
      <c r="AN86" s="3">
        <f t="shared" si="18"/>
        <v>1.0129999999999999</v>
      </c>
      <c r="AO86" s="3">
        <f t="shared" si="19"/>
        <v>0.49273949579831933</v>
      </c>
      <c r="AP86" s="3">
        <f t="shared" si="20"/>
        <v>0.52026050420168057</v>
      </c>
      <c r="AR86" s="3">
        <v>90.595118400452094</v>
      </c>
      <c r="AT86" s="3">
        <f t="shared" si="22"/>
        <v>1.1181617926942791</v>
      </c>
      <c r="AU86" s="3">
        <f t="shared" si="21"/>
        <v>1.0963005591915311</v>
      </c>
      <c r="AV86" s="3">
        <f t="shared" si="9"/>
        <v>0.54389188346803952</v>
      </c>
      <c r="AW86" s="3">
        <f t="shared" si="23"/>
        <v>0.57426990922623955</v>
      </c>
      <c r="AX86" s="3">
        <f t="shared" si="29"/>
        <v>0.5524086757234915</v>
      </c>
      <c r="AY86" s="3">
        <f t="shared" si="12"/>
        <v>55.712095078787513</v>
      </c>
      <c r="AZ86">
        <v>0</v>
      </c>
      <c r="BA86">
        <v>0</v>
      </c>
      <c r="BB86">
        <v>0</v>
      </c>
      <c r="BC86">
        <v>0</v>
      </c>
      <c r="BD86">
        <v>0</v>
      </c>
      <c r="BF86" s="3">
        <f t="shared" si="13"/>
        <v>1.1412989609025157</v>
      </c>
      <c r="BG86" s="3">
        <f t="shared" si="14"/>
        <v>1.1189853715420579</v>
      </c>
    </row>
    <row r="87" spans="1:59">
      <c r="A87">
        <v>2008</v>
      </c>
      <c r="B87" s="3">
        <f t="shared" si="0"/>
        <v>164.732584969941</v>
      </c>
      <c r="C87" s="3">
        <f t="shared" si="1"/>
        <v>98.70291900542351</v>
      </c>
      <c r="D87" s="2">
        <f t="shared" si="32"/>
        <v>115.10689949177318</v>
      </c>
      <c r="E87" s="2">
        <v>141.25640655453694</v>
      </c>
      <c r="F87" s="2">
        <f t="shared" si="33"/>
        <v>162.59586991842133</v>
      </c>
      <c r="G87" s="2">
        <v>0.68267416666666658</v>
      </c>
      <c r="H87" s="39">
        <f t="shared" si="30"/>
        <v>1.1352388417453025</v>
      </c>
      <c r="I87" s="39">
        <f t="shared" si="34"/>
        <v>1.1100000000000001</v>
      </c>
      <c r="J87" s="32">
        <f t="shared" si="3"/>
        <v>1.1312091107103384</v>
      </c>
      <c r="K87" s="2">
        <v>1.1100000000000001</v>
      </c>
      <c r="L87" s="2">
        <v>129.19999999999999</v>
      </c>
      <c r="M87" s="2">
        <f t="shared" si="28"/>
        <v>1.0581449583333333</v>
      </c>
      <c r="N87" s="39">
        <v>155</v>
      </c>
      <c r="P87" s="32">
        <f t="shared" si="31"/>
        <v>0.58277310924369763</v>
      </c>
      <c r="Q87" s="32">
        <f t="shared" si="5"/>
        <v>0.60398221995403578</v>
      </c>
      <c r="S87" s="2">
        <f>USA!Z95*G87</f>
        <v>64.478575041666659</v>
      </c>
      <c r="T87" s="2">
        <v>0</v>
      </c>
      <c r="U87" s="2">
        <v>0</v>
      </c>
      <c r="V87" s="2">
        <v>0</v>
      </c>
      <c r="Y87" s="32">
        <v>0.35</v>
      </c>
      <c r="Z87" s="2">
        <v>0.19</v>
      </c>
      <c r="AA87" s="2">
        <f t="shared" si="6"/>
        <v>0.17722689075630255</v>
      </c>
      <c r="AB87" s="2">
        <f t="shared" si="27"/>
        <v>0.52722689075630247</v>
      </c>
      <c r="AC87" s="2">
        <f>'EU total tax'!N6</f>
        <v>0.53987040816326504</v>
      </c>
      <c r="AD87" s="2">
        <f t="shared" si="35"/>
        <v>0.36264351740696249</v>
      </c>
      <c r="AE87"/>
      <c r="AF87"/>
      <c r="AG87"/>
      <c r="AH87"/>
      <c r="AM87" s="9">
        <v>2008</v>
      </c>
      <c r="AN87" s="3">
        <f t="shared" si="18"/>
        <v>1.1100000000000001</v>
      </c>
      <c r="AO87" s="3">
        <f t="shared" si="19"/>
        <v>0.52722689075630247</v>
      </c>
      <c r="AP87" s="3">
        <f t="shared" si="20"/>
        <v>0.58277310924369763</v>
      </c>
      <c r="AR87" s="3">
        <v>94.357348853581342</v>
      </c>
      <c r="AT87" s="3">
        <f t="shared" si="22"/>
        <v>1.1763789609248543</v>
      </c>
      <c r="AU87" s="3">
        <f t="shared" si="21"/>
        <v>1.1768320340002871</v>
      </c>
      <c r="AV87" s="3">
        <f t="shared" si="9"/>
        <v>0.55875551524282951</v>
      </c>
      <c r="AW87" s="3">
        <f t="shared" si="23"/>
        <v>0.61762344568202476</v>
      </c>
      <c r="AX87" s="3">
        <f t="shared" si="29"/>
        <v>0.6180765187574575</v>
      </c>
      <c r="AY87" s="3">
        <f t="shared" si="12"/>
        <v>68.334449648136086</v>
      </c>
      <c r="AZ87">
        <v>0</v>
      </c>
      <c r="BA87">
        <v>0</v>
      </c>
      <c r="BB87">
        <v>0</v>
      </c>
      <c r="BC87">
        <v>0</v>
      </c>
      <c r="BD87">
        <v>0</v>
      </c>
      <c r="BF87" s="3">
        <f t="shared" si="13"/>
        <v>1.2007207673372926</v>
      </c>
      <c r="BG87" s="3">
        <f t="shared" si="14"/>
        <v>1.2011832154674138</v>
      </c>
    </row>
    <row r="88" spans="1:59">
      <c r="A88">
        <v>2009</v>
      </c>
      <c r="B88" s="3">
        <f t="shared" si="0"/>
        <v>141.77046600805753</v>
      </c>
      <c r="C88" s="3">
        <f>E88/E$89*100</f>
        <v>98.380597588111073</v>
      </c>
      <c r="D88" s="2">
        <f t="shared" si="32"/>
        <v>99.062118066495657</v>
      </c>
      <c r="E88" s="2">
        <v>140.7951236905254</v>
      </c>
      <c r="F88" s="2">
        <f t="shared" si="33"/>
        <v>139.47463166217688</v>
      </c>
      <c r="G88" s="2">
        <f>'Exchange Rates'!M48</f>
        <v>0.71984416666666673</v>
      </c>
      <c r="H88" s="39">
        <f t="shared" si="30"/>
        <v>0.96379886921684932</v>
      </c>
      <c r="I88" s="39">
        <f t="shared" si="34"/>
        <v>1.004</v>
      </c>
      <c r="J88" s="32">
        <f t="shared" si="3"/>
        <v>0.97021753715701609</v>
      </c>
      <c r="K88" s="2">
        <v>1.004</v>
      </c>
      <c r="L88" s="2">
        <v>107.8</v>
      </c>
      <c r="M88" s="2">
        <f t="shared" si="28"/>
        <v>0.88540832500000011</v>
      </c>
      <c r="N88" s="2">
        <v>123</v>
      </c>
      <c r="P88" s="32">
        <f t="shared" si="31"/>
        <v>0.44669747899159662</v>
      </c>
      <c r="Q88" s="32">
        <f t="shared" si="5"/>
        <v>0.41291501614861276</v>
      </c>
      <c r="S88" s="2">
        <f>USA!Z96*G88</f>
        <v>43.953684816666673</v>
      </c>
      <c r="T88" s="2">
        <v>0</v>
      </c>
      <c r="U88" s="2">
        <v>0</v>
      </c>
      <c r="V88" s="2">
        <v>0</v>
      </c>
      <c r="Y88" s="32">
        <v>0.39700000000000002</v>
      </c>
      <c r="Z88" s="2">
        <v>0.19</v>
      </c>
      <c r="AA88" s="2">
        <f t="shared" si="6"/>
        <v>0.16030252100840336</v>
      </c>
      <c r="AB88" s="2">
        <f t="shared" si="27"/>
        <v>0.55730252100840338</v>
      </c>
      <c r="AC88" s="2">
        <f>'EU total tax'!N7</f>
        <v>0.55237979999999987</v>
      </c>
      <c r="AD88" s="2">
        <f t="shared" si="35"/>
        <v>0.3920772789915965</v>
      </c>
      <c r="AE88"/>
      <c r="AF88"/>
      <c r="AG88"/>
      <c r="AH88"/>
      <c r="AM88" s="9">
        <v>2009</v>
      </c>
      <c r="AN88" s="3">
        <f t="shared" si="18"/>
        <v>1.004</v>
      </c>
      <c r="AO88" s="3">
        <f t="shared" si="19"/>
        <v>0.55730252100840338</v>
      </c>
      <c r="AP88" s="3">
        <f t="shared" si="20"/>
        <v>0.44669747899159662</v>
      </c>
      <c r="AR88" s="3">
        <v>95.499142599147817</v>
      </c>
      <c r="AT88" s="3">
        <f t="shared" si="22"/>
        <v>1.0513183392800001</v>
      </c>
      <c r="AU88" s="3">
        <f t="shared" si="21"/>
        <v>1.0855807324896973</v>
      </c>
      <c r="AV88" s="3">
        <f t="shared" si="9"/>
        <v>0.58356808850907571</v>
      </c>
      <c r="AW88" s="3">
        <f t="shared" si="23"/>
        <v>0.46775025077092436</v>
      </c>
      <c r="AX88" s="3">
        <f t="shared" si="29"/>
        <v>0.50201264398062162</v>
      </c>
      <c r="AY88" s="3">
        <f t="shared" si="12"/>
        <v>46.025214070412915</v>
      </c>
      <c r="AZ88">
        <v>0</v>
      </c>
      <c r="BA88">
        <v>0</v>
      </c>
      <c r="BB88">
        <v>0</v>
      </c>
      <c r="BC88">
        <v>0</v>
      </c>
      <c r="BD88">
        <v>0</v>
      </c>
      <c r="BF88" s="3">
        <f t="shared" si="13"/>
        <v>1.0730723729227649</v>
      </c>
      <c r="BG88" s="3">
        <f t="shared" si="14"/>
        <v>1.1080437286100651</v>
      </c>
    </row>
    <row r="89" spans="1:59">
      <c r="A89">
        <v>2010</v>
      </c>
      <c r="B89" s="3">
        <f>I89/G89*100/C89*100</f>
        <v>187.03752666710309</v>
      </c>
      <c r="C89" s="3">
        <f>CPIs!AB49</f>
        <v>99.999998509883881</v>
      </c>
      <c r="D89" s="2">
        <f t="shared" si="32"/>
        <v>130.69247633294196</v>
      </c>
      <c r="E89" s="2">
        <v>143.11269411067286</v>
      </c>
      <c r="F89" s="2">
        <f t="shared" si="33"/>
        <v>187.03752388002675</v>
      </c>
      <c r="G89" s="2">
        <f>'Exchange Rates'!M49</f>
        <v>0.75867129256384003</v>
      </c>
      <c r="H89" s="39">
        <f t="shared" si="30"/>
        <v>1.4295219091850624</v>
      </c>
      <c r="I89" s="39">
        <f t="shared" si="34"/>
        <v>1.419</v>
      </c>
      <c r="J89" s="32">
        <f t="shared" si="3"/>
        <v>1.4276245157254608</v>
      </c>
      <c r="K89" s="2">
        <v>1.419</v>
      </c>
      <c r="L89" s="2">
        <v>149</v>
      </c>
      <c r="P89" s="32">
        <f t="shared" si="31"/>
        <v>0.54211475409836063</v>
      </c>
      <c r="Q89" s="32">
        <f t="shared" si="5"/>
        <v>0.55073926982382149</v>
      </c>
      <c r="S89" s="2">
        <f>USA!Z97*G89</f>
        <v>58.759091609069415</v>
      </c>
      <c r="T89" s="2">
        <v>0</v>
      </c>
      <c r="U89" s="2">
        <v>0</v>
      </c>
      <c r="V89" s="2">
        <v>0</v>
      </c>
      <c r="Y89" s="32">
        <v>0.621</v>
      </c>
      <c r="Z89" s="2">
        <f>(0.21+0.23)/2</f>
        <v>0.22</v>
      </c>
      <c r="AA89" s="2">
        <f t="shared" si="6"/>
        <v>0.25588524590163936</v>
      </c>
      <c r="AB89" s="2">
        <f>Y89+AA89</f>
        <v>0.87688524590163941</v>
      </c>
      <c r="AC89" s="2">
        <f>'EU total tax'!N8</f>
        <v>0.88490571428571385</v>
      </c>
      <c r="AD89" s="2">
        <f t="shared" si="35"/>
        <v>0.62902046838407455</v>
      </c>
      <c r="AE89"/>
      <c r="AF89"/>
      <c r="AG89"/>
      <c r="AH89"/>
      <c r="AM89" s="9">
        <v>2010</v>
      </c>
      <c r="AN89" s="3">
        <f t="shared" si="18"/>
        <v>1.419</v>
      </c>
      <c r="AO89" s="3">
        <f t="shared" si="19"/>
        <v>0.87688524590163941</v>
      </c>
      <c r="AP89" s="3">
        <f t="shared" si="20"/>
        <v>0.54211475409836063</v>
      </c>
      <c r="AR89" s="3">
        <v>100</v>
      </c>
      <c r="AT89" s="3">
        <f t="shared" si="22"/>
        <v>1.419</v>
      </c>
      <c r="AU89" s="3">
        <f t="shared" si="21"/>
        <v>1.4451459315473905</v>
      </c>
      <c r="AV89" s="3">
        <f t="shared" si="9"/>
        <v>0.87688524590163952</v>
      </c>
      <c r="AW89" s="3">
        <f t="shared" si="23"/>
        <v>0.54211475409836052</v>
      </c>
      <c r="AX89" s="3">
        <f t="shared" si="29"/>
        <v>0.56826068564575105</v>
      </c>
      <c r="AY89" s="3">
        <f t="shared" si="12"/>
        <v>58.759091609069415</v>
      </c>
      <c r="AZ89">
        <v>0</v>
      </c>
      <c r="BA89">
        <v>0</v>
      </c>
      <c r="BB89">
        <v>0</v>
      </c>
      <c r="BC89">
        <v>0</v>
      </c>
      <c r="BD89">
        <v>0</v>
      </c>
      <c r="BE89" s="25"/>
      <c r="BF89" s="3">
        <f t="shared" si="13"/>
        <v>1.4483621566234868</v>
      </c>
      <c r="BG89" s="3">
        <f t="shared" si="14"/>
        <v>1.4750491036304694</v>
      </c>
    </row>
    <row r="90" spans="1:59">
      <c r="A90">
        <v>2011</v>
      </c>
      <c r="B90" s="3">
        <f t="shared" ref="B90:B96" si="36">I90/G90*100/C90*100</f>
        <v>225.86743125558203</v>
      </c>
      <c r="C90" s="3">
        <f>CPIs!AB50</f>
        <v>103.13271097869961</v>
      </c>
      <c r="G90" s="2">
        <f>'Exchange Rates'!M50</f>
        <v>0.71544109992713056</v>
      </c>
      <c r="I90" s="2">
        <f>'EU petrol prices nominal'!AE9</f>
        <v>1.6665714285714293</v>
      </c>
      <c r="S90" s="2">
        <f>USA!Z98*G90</f>
        <v>76.874146187170183</v>
      </c>
      <c r="Y90" s="39">
        <f>AD90</f>
        <v>0.68313305956529013</v>
      </c>
      <c r="Z90" s="32">
        <v>0.23</v>
      </c>
      <c r="AA90" s="2">
        <f>Z90*(I90*(1/(1+Z90)))</f>
        <v>0.31163530778164938</v>
      </c>
      <c r="AB90" s="2">
        <f t="shared" si="27"/>
        <v>0.99476836734693952</v>
      </c>
      <c r="AC90" s="2">
        <f>'EU total tax'!N9</f>
        <v>0.99476836734693952</v>
      </c>
      <c r="AD90" s="2">
        <f t="shared" si="35"/>
        <v>0.68313305956529013</v>
      </c>
      <c r="AE90"/>
      <c r="AF90"/>
      <c r="AG90"/>
      <c r="AH90"/>
      <c r="AM90" s="9">
        <v>2011</v>
      </c>
      <c r="AN90" s="3">
        <f t="shared" si="18"/>
        <v>1.6665714285714293</v>
      </c>
      <c r="AO90" s="3">
        <f t="shared" si="19"/>
        <v>0.99476836734693952</v>
      </c>
      <c r="AP90" s="3">
        <f t="shared" si="20"/>
        <v>0.67180306122448974</v>
      </c>
      <c r="AR90" s="3">
        <f>CPIs!M50</f>
        <v>103.32987213134766</v>
      </c>
      <c r="AT90" s="3">
        <f t="shared" ref="AT90:AT96" si="37">AN90/$AR90*100</f>
        <v>1.6128650836352227</v>
      </c>
      <c r="AU90" s="3">
        <f t="shared" ref="AU90:AU96" si="38">AX90+AV90</f>
        <v>1.6123273693336571</v>
      </c>
      <c r="AV90" s="3">
        <f t="shared" ref="AV90:AV96" si="39">AO90/$AR90*100</f>
        <v>0.9627113116741699</v>
      </c>
      <c r="AW90" s="3">
        <f t="shared" ref="AW90:AW96" si="40">AT90-AV90</f>
        <v>0.65015377196105284</v>
      </c>
      <c r="AX90" s="3">
        <f t="shared" si="29"/>
        <v>0.64961605765948705</v>
      </c>
      <c r="AY90" s="3">
        <f t="shared" si="12"/>
        <v>74.396826978989864</v>
      </c>
      <c r="AZ90">
        <v>0</v>
      </c>
      <c r="BA90">
        <v>0</v>
      </c>
      <c r="BB90">
        <v>0</v>
      </c>
      <c r="BC90">
        <v>0</v>
      </c>
      <c r="BD90">
        <v>0</v>
      </c>
      <c r="BE90" s="25"/>
      <c r="BF90" s="3">
        <f t="shared" si="13"/>
        <v>1.6462387250716219</v>
      </c>
      <c r="BG90" s="3">
        <f t="shared" si="14"/>
        <v>1.6456898843066725</v>
      </c>
    </row>
    <row r="91" spans="1:59">
      <c r="A91">
        <v>2012</v>
      </c>
      <c r="B91" s="3">
        <f t="shared" si="36"/>
        <v>214.90068212527541</v>
      </c>
      <c r="C91" s="3">
        <f>CPIs!AB51</f>
        <v>105.21072267093371</v>
      </c>
      <c r="G91" s="2">
        <f>'Exchange Rates'!M51</f>
        <v>0.773899446716382</v>
      </c>
      <c r="I91" s="2">
        <f>'EU petrol prices nominal'!AE10</f>
        <v>1.7497755102040815</v>
      </c>
      <c r="S91" s="2">
        <f>USA!Z99*G91</f>
        <v>84.738784181902005</v>
      </c>
      <c r="Y91" s="39">
        <f>AD91</f>
        <v>0.68441538908246224</v>
      </c>
      <c r="Z91" s="32">
        <v>0.23</v>
      </c>
      <c r="AA91" s="2">
        <f t="shared" ref="AA91:AA97" si="41">Z91*(I91*(1/(1+Z91)))</f>
        <v>0.32719379459100711</v>
      </c>
      <c r="AB91" s="2">
        <f t="shared" si="27"/>
        <v>1.0116091836734693</v>
      </c>
      <c r="AC91" s="2">
        <f>'EU total tax'!N10</f>
        <v>1.0116091836734693</v>
      </c>
      <c r="AD91" s="2">
        <f t="shared" si="35"/>
        <v>0.68441538908246224</v>
      </c>
      <c r="AE91"/>
      <c r="AF91"/>
      <c r="AG91"/>
      <c r="AH91"/>
      <c r="AM91" s="9">
        <v>2012</v>
      </c>
      <c r="AN91" s="3">
        <f t="shared" si="18"/>
        <v>1.7497755102040815</v>
      </c>
      <c r="AO91" s="3">
        <f t="shared" si="19"/>
        <v>1.0116091836734693</v>
      </c>
      <c r="AP91" s="3">
        <f t="shared" si="20"/>
        <v>0.7381663265306122</v>
      </c>
      <c r="AR91" s="3">
        <f>CPIs!M51</f>
        <v>104.88138580322266</v>
      </c>
      <c r="AT91" s="3">
        <f t="shared" si="37"/>
        <v>1.6683375193830789</v>
      </c>
      <c r="AU91" s="3">
        <f t="shared" si="38"/>
        <v>1.6474288269141324</v>
      </c>
      <c r="AV91" s="3">
        <f t="shared" si="39"/>
        <v>0.96452690429876631</v>
      </c>
      <c r="AW91" s="3">
        <f t="shared" si="40"/>
        <v>0.70381061508431264</v>
      </c>
      <c r="AX91" s="3">
        <f t="shared" si="29"/>
        <v>0.68290192261536597</v>
      </c>
      <c r="AY91" s="3">
        <f t="shared" si="12"/>
        <v>80.794874641424002</v>
      </c>
      <c r="AZ91">
        <v>0</v>
      </c>
      <c r="BA91">
        <v>0</v>
      </c>
      <c r="BB91">
        <v>0</v>
      </c>
      <c r="BC91">
        <v>0</v>
      </c>
      <c r="BD91">
        <v>0</v>
      </c>
      <c r="BF91" s="3">
        <f t="shared" si="13"/>
        <v>1.7028590046156125</v>
      </c>
      <c r="BG91" s="3">
        <f t="shared" si="14"/>
        <v>1.6815176664080715</v>
      </c>
    </row>
    <row r="92" spans="1:59">
      <c r="A92">
        <v>2013</v>
      </c>
      <c r="B92" s="3">
        <f t="shared" si="36"/>
        <v>211.05309584701578</v>
      </c>
      <c r="C92" s="3">
        <f>CPIs!AB52</f>
        <v>106.69767516878358</v>
      </c>
      <c r="G92" s="2">
        <f>'Exchange Rates'!M52</f>
        <v>0.75166876437654617</v>
      </c>
      <c r="I92" s="2">
        <f>'EU petrol prices nominal'!AE11</f>
        <v>1.6926734693877552</v>
      </c>
      <c r="R92" s="42"/>
      <c r="S92" s="2">
        <f>USA!Z100*G92</f>
        <v>79.628970140184876</v>
      </c>
      <c r="Y92" s="39">
        <f t="shared" ref="Y92:Y95" si="42">AD92</f>
        <v>0.68371096565455436</v>
      </c>
      <c r="Z92" s="32">
        <v>0.23</v>
      </c>
      <c r="AA92" s="2">
        <f t="shared" si="41"/>
        <v>0.3165161772025884</v>
      </c>
      <c r="AB92" s="2">
        <f t="shared" si="27"/>
        <v>1.0002271428571428</v>
      </c>
      <c r="AC92" s="2">
        <f>'EU total tax'!N11</f>
        <v>1.0002271428571428</v>
      </c>
      <c r="AD92" s="2">
        <f t="shared" si="35"/>
        <v>0.68371096565455436</v>
      </c>
      <c r="AE92"/>
      <c r="AF92"/>
      <c r="AG92"/>
      <c r="AH92"/>
      <c r="AM92" s="9">
        <v>2013</v>
      </c>
      <c r="AN92" s="3">
        <f t="shared" si="18"/>
        <v>1.6926734693877552</v>
      </c>
      <c r="AO92" s="3">
        <f t="shared" si="19"/>
        <v>1.0002271428571428</v>
      </c>
      <c r="AP92" s="3">
        <f t="shared" si="20"/>
        <v>0.69244632653061244</v>
      </c>
      <c r="AR92" s="3">
        <f>CPIs!M52</f>
        <v>103.91514587402344</v>
      </c>
      <c r="AT92" s="3">
        <f t="shared" si="37"/>
        <v>1.6288996711218469</v>
      </c>
      <c r="AU92" s="3">
        <f t="shared" si="38"/>
        <v>1.6237703206217557</v>
      </c>
      <c r="AV92" s="3">
        <f t="shared" si="39"/>
        <v>0.96254221119000338</v>
      </c>
      <c r="AW92" s="3">
        <f t="shared" si="40"/>
        <v>0.66635745993184348</v>
      </c>
      <c r="AX92" s="3">
        <f t="shared" si="29"/>
        <v>0.66122810943175225</v>
      </c>
      <c r="AY92" s="3">
        <f t="shared" si="12"/>
        <v>76.628839300018157</v>
      </c>
      <c r="AZ92">
        <v>0</v>
      </c>
      <c r="BA92">
        <v>0</v>
      </c>
      <c r="BB92">
        <v>0</v>
      </c>
      <c r="BC92">
        <v>0</v>
      </c>
      <c r="BD92">
        <v>0</v>
      </c>
      <c r="BF92" s="3">
        <f t="shared" si="13"/>
        <v>1.662605102599948</v>
      </c>
      <c r="BG92" s="3">
        <f t="shared" si="14"/>
        <v>1.6573696148251844</v>
      </c>
    </row>
    <row r="93" spans="1:59">
      <c r="A93">
        <v>2014</v>
      </c>
      <c r="B93" s="3">
        <f t="shared" si="36"/>
        <v>201.23734413119033</v>
      </c>
      <c r="C93" s="3">
        <f>CPIs!AB53</f>
        <v>108.45811062912946</v>
      </c>
      <c r="G93" s="2">
        <f>'Exchange Rates'!M53</f>
        <v>0.757387838338895</v>
      </c>
      <c r="I93" s="2">
        <f>'EU petrol prices nominal'!AE12</f>
        <v>1.653061224489796</v>
      </c>
      <c r="R93" s="42"/>
      <c r="S93" s="2">
        <f>USA!Z101*G93</f>
        <v>72.852422962937197</v>
      </c>
      <c r="Y93" s="39">
        <f t="shared" si="42"/>
        <v>0.68310548033847684</v>
      </c>
      <c r="Z93" s="32">
        <v>0.23</v>
      </c>
      <c r="AA93" s="2">
        <f t="shared" si="41"/>
        <v>0.30910900945744152</v>
      </c>
      <c r="AB93" s="2">
        <f t="shared" si="27"/>
        <v>0.99221448979591842</v>
      </c>
      <c r="AC93" s="2">
        <f>'EU total tax'!N12</f>
        <v>0.99221448979591831</v>
      </c>
      <c r="AD93" s="2">
        <f t="shared" si="35"/>
        <v>0.68310548033847684</v>
      </c>
      <c r="AE93"/>
      <c r="AF93"/>
      <c r="AG93"/>
      <c r="AH93"/>
      <c r="AM93" s="9">
        <v>2014</v>
      </c>
      <c r="AN93" s="3">
        <f t="shared" si="18"/>
        <v>1.653061224489796</v>
      </c>
      <c r="AO93" s="3">
        <f t="shared" si="19"/>
        <v>0.99221448979591842</v>
      </c>
      <c r="AP93" s="3">
        <f t="shared" si="20"/>
        <v>0.66084673469387756</v>
      </c>
      <c r="AR93" s="3">
        <f>CPIs!M53</f>
        <v>102.55152893066406</v>
      </c>
      <c r="AT93" s="3">
        <f t="shared" si="37"/>
        <v>1.6119323053754218</v>
      </c>
      <c r="AU93" s="3">
        <f t="shared" si="38"/>
        <v>1.5996789640391123</v>
      </c>
      <c r="AV93" s="3">
        <f t="shared" si="39"/>
        <v>0.96752773960762961</v>
      </c>
      <c r="AW93" s="3">
        <f t="shared" si="40"/>
        <v>0.64440456576779215</v>
      </c>
      <c r="AX93" s="3">
        <f t="shared" si="29"/>
        <v>0.63215122443148264</v>
      </c>
      <c r="AY93" s="3">
        <f t="shared" si="12"/>
        <v>71.039821368429642</v>
      </c>
      <c r="AZ93">
        <v>0</v>
      </c>
      <c r="BA93">
        <v>0</v>
      </c>
      <c r="BB93">
        <v>0</v>
      </c>
      <c r="BC93">
        <v>0</v>
      </c>
      <c r="BD93">
        <v>0</v>
      </c>
      <c r="BF93" s="3">
        <f t="shared" si="13"/>
        <v>1.6452866456269306</v>
      </c>
      <c r="BG93" s="3">
        <f t="shared" si="14"/>
        <v>1.6327797563501858</v>
      </c>
    </row>
    <row r="94" spans="1:59">
      <c r="A94">
        <v>2015</v>
      </c>
      <c r="B94" s="3">
        <f t="shared" si="36"/>
        <v>150.36051016981941</v>
      </c>
      <c r="C94" s="3">
        <f>CPIs!AB54</f>
        <v>108.69337137051741</v>
      </c>
      <c r="G94" s="2">
        <f>'Exchange Rates'!M54</f>
        <v>0.90592556207997499</v>
      </c>
      <c r="I94" s="2">
        <f>'EU petrol prices nominal'!AE13</f>
        <v>1.480571428571428</v>
      </c>
      <c r="R94" s="42"/>
      <c r="S94" s="2">
        <f>USA!Z102*G94</f>
        <v>44.858421631706442</v>
      </c>
      <c r="Y94" s="39">
        <f t="shared" si="42"/>
        <v>0.68073313920690182</v>
      </c>
      <c r="Z94" s="32">
        <v>0.23</v>
      </c>
      <c r="AA94" s="2">
        <f t="shared" si="41"/>
        <v>0.27685481997677108</v>
      </c>
      <c r="AB94" s="2">
        <f t="shared" si="27"/>
        <v>0.9575879591836729</v>
      </c>
      <c r="AC94" s="2">
        <f>'EU total tax'!N13</f>
        <v>0.9575879591836729</v>
      </c>
      <c r="AD94" s="2">
        <f t="shared" si="35"/>
        <v>0.68073313920690182</v>
      </c>
      <c r="AE94"/>
      <c r="AF94"/>
      <c r="AG94"/>
      <c r="AH94"/>
      <c r="AM94" s="9">
        <v>2015</v>
      </c>
      <c r="AN94" s="3">
        <f t="shared" si="18"/>
        <v>1.480571428571428</v>
      </c>
      <c r="AO94" s="3">
        <f t="shared" si="19"/>
        <v>0.9575879591836729</v>
      </c>
      <c r="AP94" s="3">
        <f t="shared" si="20"/>
        <v>0.52298346938775508</v>
      </c>
      <c r="AR94" s="3">
        <f>CPIs!M54</f>
        <v>100.77133178710938</v>
      </c>
      <c r="AT94" s="3">
        <f t="shared" si="37"/>
        <v>1.4692387232703239</v>
      </c>
      <c r="AU94" s="3">
        <f t="shared" si="38"/>
        <v>1.4444143915596193</v>
      </c>
      <c r="AV94" s="3">
        <f t="shared" si="39"/>
        <v>0.95025831474241473</v>
      </c>
      <c r="AW94" s="3">
        <f t="shared" si="40"/>
        <v>0.51898040852790916</v>
      </c>
      <c r="AX94" s="3">
        <f t="shared" si="29"/>
        <v>0.49415607681720453</v>
      </c>
      <c r="AY94" s="3">
        <f t="shared" si="12"/>
        <v>44.5150628022609</v>
      </c>
      <c r="AZ94">
        <v>0</v>
      </c>
      <c r="BA94">
        <v>0</v>
      </c>
      <c r="BB94">
        <v>0</v>
      </c>
      <c r="BC94">
        <v>0</v>
      </c>
      <c r="BD94">
        <v>0</v>
      </c>
      <c r="BF94" s="3">
        <f t="shared" si="13"/>
        <v>1.4996404269418917</v>
      </c>
      <c r="BG94" s="3">
        <f t="shared" si="14"/>
        <v>1.4743024265097191</v>
      </c>
    </row>
    <row r="95" spans="1:59">
      <c r="A95">
        <v>2016</v>
      </c>
      <c r="B95" s="3">
        <f t="shared" si="36"/>
        <v>139.62949238512243</v>
      </c>
      <c r="C95" s="3">
        <f>CPIs!AB55</f>
        <v>110.08253978538585</v>
      </c>
      <c r="G95" s="2">
        <f>'Exchange Rates'!M55</f>
        <v>0.90674707708863456</v>
      </c>
      <c r="I95" s="2">
        <f>'EU petrol prices nominal'!AE14</f>
        <v>1.3937399999999993</v>
      </c>
      <c r="S95" s="2">
        <f>USA!Z103*G95</f>
        <v>36.890067859371442</v>
      </c>
      <c r="Y95" s="39">
        <f t="shared" si="42"/>
        <v>0.67996081295546507</v>
      </c>
      <c r="Z95" s="32">
        <v>0.23499999999999999</v>
      </c>
      <c r="AA95" s="2">
        <f t="shared" si="41"/>
        <v>0.26520558704453429</v>
      </c>
      <c r="AB95" s="2">
        <f t="shared" si="27"/>
        <v>0.9451663999999993</v>
      </c>
      <c r="AC95" s="2">
        <f>'EU total tax'!N14</f>
        <v>0.9451663999999993</v>
      </c>
      <c r="AD95" s="2">
        <f t="shared" si="35"/>
        <v>0.67996081295546507</v>
      </c>
      <c r="AE95"/>
      <c r="AF95"/>
      <c r="AG95"/>
      <c r="AH95"/>
      <c r="AM95" s="9">
        <v>2016</v>
      </c>
      <c r="AN95" s="3">
        <f t="shared" si="18"/>
        <v>1.3937399999999993</v>
      </c>
      <c r="AO95" s="3">
        <f t="shared" si="19"/>
        <v>0.9451663999999993</v>
      </c>
      <c r="AP95" s="3">
        <f t="shared" si="20"/>
        <v>0.44857360000000002</v>
      </c>
      <c r="AR95" s="3">
        <f>CPIs!M55</f>
        <v>99.939308166503906</v>
      </c>
      <c r="AT95" s="3">
        <f t="shared" si="37"/>
        <v>1.3945864000558803</v>
      </c>
      <c r="AU95" s="3">
        <f t="shared" si="38"/>
        <v>1.4003439525299766</v>
      </c>
      <c r="AV95" s="3">
        <f t="shared" si="39"/>
        <v>0.94574038718109255</v>
      </c>
      <c r="AW95" s="3">
        <f t="shared" si="40"/>
        <v>0.44884601287478776</v>
      </c>
      <c r="AX95" s="3">
        <f t="shared" si="29"/>
        <v>0.45460356534888402</v>
      </c>
      <c r="AY95" s="3">
        <f t="shared" si="12"/>
        <v>36.912470714636861</v>
      </c>
      <c r="AZ95">
        <v>0</v>
      </c>
      <c r="BA95">
        <v>0</v>
      </c>
      <c r="BB95">
        <v>0</v>
      </c>
      <c r="BC95">
        <v>0</v>
      </c>
      <c r="BD95">
        <v>0</v>
      </c>
      <c r="BF95" s="3">
        <f t="shared" si="13"/>
        <v>1.4234433868799994</v>
      </c>
      <c r="BG95" s="3">
        <f t="shared" si="14"/>
        <v>1.4293200754763737</v>
      </c>
    </row>
    <row r="96" spans="1:59">
      <c r="A96">
        <v>2017</v>
      </c>
      <c r="B96" s="3">
        <f t="shared" si="36"/>
        <v>151.51166728542233</v>
      </c>
      <c r="C96" s="3">
        <f>CPIs!AB56</f>
        <v>112.42729788281457</v>
      </c>
      <c r="G96" s="2">
        <f>'Exchange Rates'!M56</f>
        <v>0.88700000000000001</v>
      </c>
      <c r="I96" s="2">
        <f>'EU petrol prices nominal'!AE15</f>
        <v>1.51092</v>
      </c>
      <c r="S96" s="2">
        <f>USA!Z104*G96</f>
        <v>46.576369999999997</v>
      </c>
      <c r="Y96" s="39">
        <f>AD96</f>
        <v>0.70990627096774195</v>
      </c>
      <c r="Z96" s="32">
        <v>0.24</v>
      </c>
      <c r="AA96" s="2">
        <f t="shared" si="41"/>
        <v>0.29243612903225807</v>
      </c>
      <c r="AB96" s="2">
        <f t="shared" si="27"/>
        <v>1.0023424000000001</v>
      </c>
      <c r="AC96" s="2">
        <f>'EU total tax'!N15</f>
        <v>1.0023424000000001</v>
      </c>
      <c r="AD96" s="2">
        <f>AC96-AA96</f>
        <v>0.70990627096774195</v>
      </c>
      <c r="AE96"/>
      <c r="AF96"/>
      <c r="AG96"/>
      <c r="AH96"/>
      <c r="AM96" s="9">
        <v>2017</v>
      </c>
      <c r="AN96" s="3">
        <f t="shared" si="18"/>
        <v>1.51092</v>
      </c>
      <c r="AO96" s="3">
        <f t="shared" si="19"/>
        <v>1.0023424000000001</v>
      </c>
      <c r="AP96" s="3">
        <f t="shared" si="20"/>
        <v>0.50857759999999996</v>
      </c>
      <c r="AR96" s="3">
        <f>CPIs!M56</f>
        <v>101.05862841796876</v>
      </c>
      <c r="AT96" s="3">
        <f t="shared" si="37"/>
        <v>1.4950925256485574</v>
      </c>
      <c r="AU96" s="3">
        <f t="shared" si="38"/>
        <v>1.4941841778445246</v>
      </c>
      <c r="AV96" s="3">
        <f t="shared" si="39"/>
        <v>0.99184247371180267</v>
      </c>
      <c r="AW96" s="3">
        <f t="shared" si="40"/>
        <v>0.50325005193675476</v>
      </c>
      <c r="AX96" s="3">
        <f t="shared" si="29"/>
        <v>0.50234170413272183</v>
      </c>
      <c r="AY96" s="3">
        <f t="shared" si="12"/>
        <v>46.088464418262845</v>
      </c>
      <c r="AZ96">
        <v>0</v>
      </c>
      <c r="BA96">
        <v>0</v>
      </c>
      <c r="BB96">
        <v>0</v>
      </c>
      <c r="BC96">
        <v>0</v>
      </c>
      <c r="BD96">
        <v>0</v>
      </c>
      <c r="BF96" s="3">
        <f t="shared" si="13"/>
        <v>1.5260292000000002</v>
      </c>
      <c r="BG96" s="3">
        <f t="shared" si="14"/>
        <v>1.5251020565296596</v>
      </c>
    </row>
    <row r="97" spans="1:59">
      <c r="A97">
        <v>2018</v>
      </c>
      <c r="D97"/>
      <c r="E97"/>
      <c r="F97"/>
      <c r="G97" s="2">
        <f>'Exchange Rates'!M57</f>
        <v>0.84599999999999997</v>
      </c>
      <c r="H97"/>
      <c r="I97" s="2">
        <f>'EU petrol prices nominal'!AE16</f>
        <v>1.5917884615384623</v>
      </c>
      <c r="J97"/>
      <c r="K97"/>
      <c r="L97"/>
      <c r="M97"/>
      <c r="N97"/>
      <c r="O97"/>
      <c r="P97" s="2"/>
      <c r="R97"/>
      <c r="S97" s="2">
        <f>USA!Z105*G97</f>
        <v>59.392569350649353</v>
      </c>
      <c r="T97"/>
      <c r="U97"/>
      <c r="V97"/>
      <c r="W97"/>
      <c r="X97"/>
      <c r="Y97" s="39">
        <f>AD97</f>
        <v>0.73863322935129438</v>
      </c>
      <c r="Z97" s="32">
        <v>0.24</v>
      </c>
      <c r="AA97" s="2">
        <f t="shared" si="41"/>
        <v>0.30808808933002496</v>
      </c>
      <c r="AB97" s="2">
        <f t="shared" si="27"/>
        <v>1.0467213186813193</v>
      </c>
      <c r="AC97" s="2">
        <f>'EU total tax'!N16</f>
        <v>1.0467213186813193</v>
      </c>
      <c r="AD97" s="2">
        <f>AC97-AA97</f>
        <v>0.73863322935129438</v>
      </c>
      <c r="AE97"/>
      <c r="AF97"/>
      <c r="AG97"/>
      <c r="AH97"/>
      <c r="AM97" s="9">
        <v>2018</v>
      </c>
      <c r="AN97" s="3">
        <f t="shared" ref="AN97" si="43">I97</f>
        <v>1.5917884615384623</v>
      </c>
      <c r="AO97" s="3">
        <f>AB97</f>
        <v>1.0467213186813193</v>
      </c>
      <c r="AP97" s="3">
        <f t="shared" ref="AP97" si="44">AN97-AO97</f>
        <v>0.54506714285714297</v>
      </c>
      <c r="AR97" s="3">
        <f>CPIs!M57</f>
        <v>102.06921470214846</v>
      </c>
      <c r="AT97" s="3">
        <f t="shared" ref="AT97" si="45">AN97/$AR97*100</f>
        <v>1.5595186718968228</v>
      </c>
      <c r="AU97" s="3">
        <f t="shared" ref="AU97" si="46">AX97+AV97</f>
        <v>1.5907937960274765</v>
      </c>
      <c r="AV97" s="3">
        <f>AO97/$AR97*100</f>
        <v>1.0255014910576037</v>
      </c>
      <c r="AW97" s="3">
        <f t="shared" ref="AW97" si="47">AT97-AV97</f>
        <v>0.53401718083921912</v>
      </c>
      <c r="AX97" s="3">
        <f t="shared" si="29"/>
        <v>0.56529230496987282</v>
      </c>
      <c r="AY97" s="3">
        <f>S97/AR97*100</f>
        <v>58.188523859975575</v>
      </c>
      <c r="AZ97">
        <v>0</v>
      </c>
      <c r="BA97">
        <v>0</v>
      </c>
      <c r="BB97">
        <v>0</v>
      </c>
      <c r="BC97">
        <v>0</v>
      </c>
      <c r="BD97">
        <v>0</v>
      </c>
      <c r="BF97" s="3">
        <f>AT97*$AR$97/$AR$89</f>
        <v>1.5917884615384623</v>
      </c>
      <c r="BG97" s="3">
        <f>AU97*$AR$97/$AR$89</f>
        <v>1.6237107351357425</v>
      </c>
    </row>
    <row r="98" spans="1:59">
      <c r="D98"/>
      <c r="E98"/>
      <c r="F98"/>
      <c r="G98"/>
      <c r="H98"/>
      <c r="I98"/>
      <c r="J98"/>
      <c r="K98"/>
      <c r="L98"/>
      <c r="M98"/>
      <c r="N98"/>
      <c r="O98"/>
      <c r="P98" s="40"/>
      <c r="Q98" s="4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M98" s="9">
        <v>2019</v>
      </c>
      <c r="AR98" s="3">
        <f>AR97</f>
        <v>102.06921470214846</v>
      </c>
    </row>
    <row r="99" spans="1:59">
      <c r="D99"/>
      <c r="E99"/>
      <c r="F99"/>
      <c r="G99"/>
      <c r="H99"/>
      <c r="I99"/>
      <c r="J99"/>
      <c r="K99"/>
      <c r="L99"/>
      <c r="M99"/>
      <c r="N99"/>
      <c r="O99"/>
      <c r="P99" s="40"/>
      <c r="Q99" s="4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M99" s="9">
        <v>2020</v>
      </c>
      <c r="AR99" s="3">
        <f t="shared" ref="AR99:AR109" si="48">AR98</f>
        <v>102.06921470214846</v>
      </c>
    </row>
    <row r="100" spans="1:59">
      <c r="AM100" s="9">
        <v>2021</v>
      </c>
      <c r="AR100" s="3">
        <f t="shared" si="48"/>
        <v>102.06921470214846</v>
      </c>
      <c r="AU100" s="13" t="s">
        <v>88</v>
      </c>
      <c r="AV100" s="13">
        <v>0.26256630957642646</v>
      </c>
    </row>
    <row r="101" spans="1:59">
      <c r="AM101" s="9">
        <v>2022</v>
      </c>
      <c r="AR101" s="3">
        <f t="shared" si="48"/>
        <v>102.06921470214846</v>
      </c>
      <c r="AU101" s="13" t="s">
        <v>229</v>
      </c>
      <c r="AV101" s="13">
        <v>5.2025034373087697E-3</v>
      </c>
    </row>
    <row r="102" spans="1:59">
      <c r="AM102" s="9">
        <v>2023</v>
      </c>
      <c r="AR102" s="3">
        <f t="shared" si="48"/>
        <v>102.06921470214846</v>
      </c>
      <c r="AU102" s="3" t="s">
        <v>2446</v>
      </c>
      <c r="AV102" s="13">
        <v>3.6468960462175189E-2</v>
      </c>
    </row>
    <row r="103" spans="1:59">
      <c r="AM103" s="9">
        <v>2024</v>
      </c>
      <c r="AR103" s="3">
        <f t="shared" si="48"/>
        <v>102.06921470214846</v>
      </c>
      <c r="AU103" s="3" t="s">
        <v>2447</v>
      </c>
      <c r="AV103" s="13">
        <v>-0.21851756692801508</v>
      </c>
    </row>
    <row r="104" spans="1:59">
      <c r="AM104" s="9">
        <v>2025</v>
      </c>
      <c r="AR104" s="3">
        <f t="shared" si="48"/>
        <v>102.06921470214846</v>
      </c>
      <c r="AU104" s="3" t="s">
        <v>1987</v>
      </c>
      <c r="AV104" s="13">
        <v>-5.7946840663034634E-2</v>
      </c>
    </row>
    <row r="105" spans="1:59">
      <c r="P105" s="13" t="s">
        <v>88</v>
      </c>
      <c r="Q105" s="13">
        <v>3.7480212072118387E-3</v>
      </c>
      <c r="AM105" s="9">
        <v>2026</v>
      </c>
      <c r="AR105" s="3">
        <f t="shared" si="48"/>
        <v>102.06921470214846</v>
      </c>
      <c r="AU105" s="3" t="s">
        <v>279</v>
      </c>
      <c r="AV105" s="13">
        <v>-4.8890430402712431E-2</v>
      </c>
    </row>
    <row r="106" spans="1:59" ht="15.75" thickBot="1">
      <c r="P106" s="13" t="s">
        <v>229</v>
      </c>
      <c r="Q106" s="13">
        <v>9.3090487554811346E-3</v>
      </c>
      <c r="AM106" s="9">
        <v>2027</v>
      </c>
      <c r="AR106" s="3">
        <f t="shared" si="48"/>
        <v>102.06921470214846</v>
      </c>
      <c r="AU106" s="3" t="s">
        <v>1988</v>
      </c>
      <c r="AV106" s="14">
        <v>-0.1160389157611197</v>
      </c>
    </row>
    <row r="107" spans="1:59">
      <c r="P107" s="13" t="s">
        <v>235</v>
      </c>
      <c r="Q107" s="13">
        <v>6.2903828233427522E-2</v>
      </c>
      <c r="AM107" s="9">
        <v>2028</v>
      </c>
      <c r="AR107" s="3">
        <f t="shared" si="48"/>
        <v>102.06921470214846</v>
      </c>
    </row>
    <row r="108" spans="1:59" ht="15.75" thickBot="1">
      <c r="P108" s="14" t="s">
        <v>236</v>
      </c>
      <c r="Q108" s="14">
        <v>-5.3416516654238078E-2</v>
      </c>
      <c r="AM108" s="9">
        <v>2029</v>
      </c>
      <c r="AR108" s="3">
        <f t="shared" si="48"/>
        <v>102.06921470214846</v>
      </c>
    </row>
    <row r="109" spans="1:59" ht="15.75" thickBot="1">
      <c r="P109" s="49"/>
      <c r="Q109" s="49"/>
      <c r="AM109" s="9">
        <v>2030</v>
      </c>
      <c r="AR109" s="3">
        <f t="shared" si="48"/>
        <v>102.06921470214846</v>
      </c>
    </row>
    <row r="111" spans="1:59">
      <c r="R111" s="13" t="str">
        <f>AU100</f>
        <v>Intercept</v>
      </c>
      <c r="S111" s="13">
        <f>AV100</f>
        <v>0.26256630957642646</v>
      </c>
    </row>
    <row r="112" spans="1:59">
      <c r="R112" s="13" t="str">
        <f>AU101</f>
        <v>landed oil price</v>
      </c>
      <c r="S112" s="13">
        <f>AV101</f>
        <v>5.2025034373087697E-3</v>
      </c>
    </row>
    <row r="113" spans="1:51">
      <c r="R113" s="13" t="str">
        <f t="shared" ref="R113:S113" si="49">AU102</f>
        <v>dum7279</v>
      </c>
      <c r="S113" s="13">
        <f t="shared" si="49"/>
        <v>3.6468960462175189E-2</v>
      </c>
    </row>
    <row r="114" spans="1:51">
      <c r="R114" s="13" t="str">
        <f t="shared" ref="R114:S114" si="50">AU103</f>
        <v>dum8185</v>
      </c>
      <c r="S114" s="13">
        <f t="shared" si="50"/>
        <v>-0.21851756692801508</v>
      </c>
    </row>
    <row r="115" spans="1:51">
      <c r="R115" s="13" t="str">
        <f t="shared" ref="R115:S115" si="51">AU104</f>
        <v>dum6771</v>
      </c>
      <c r="S115" s="13">
        <f t="shared" si="51"/>
        <v>-5.7946840663034634E-2</v>
      </c>
    </row>
    <row r="116" spans="1:51">
      <c r="B116" s="2"/>
      <c r="C116" s="2"/>
      <c r="J116" s="2"/>
      <c r="O116" s="2"/>
      <c r="P116" s="2"/>
      <c r="Q116" s="2"/>
      <c r="R116" s="13" t="str">
        <f t="shared" ref="R116:S116" si="52">AU105</f>
        <v>dum9499</v>
      </c>
      <c r="S116" s="13">
        <f t="shared" si="52"/>
        <v>-4.8890430402712431E-2</v>
      </c>
      <c r="W116" s="2"/>
      <c r="AF116"/>
      <c r="AG116"/>
      <c r="AH116"/>
      <c r="AJ116" s="9"/>
      <c r="AK116" s="3"/>
      <c r="AL116" s="3"/>
      <c r="AM116" s="3"/>
      <c r="AW116"/>
      <c r="AX116"/>
      <c r="AY116"/>
    </row>
    <row r="117" spans="1:51">
      <c r="B117" s="2"/>
      <c r="C117" s="2"/>
      <c r="J117" s="2"/>
      <c r="O117" s="2"/>
      <c r="P117" s="2"/>
      <c r="Q117" s="2"/>
      <c r="R117" s="13" t="str">
        <f t="shared" ref="R117:S117" si="53">AU106</f>
        <v>dum8792</v>
      </c>
      <c r="S117" s="13">
        <f t="shared" si="53"/>
        <v>-0.1160389157611197</v>
      </c>
      <c r="W117" s="2"/>
      <c r="AF117"/>
      <c r="AG117"/>
      <c r="AH117"/>
      <c r="AJ117" s="9"/>
      <c r="AK117" s="3"/>
      <c r="AL117" s="3"/>
      <c r="AM117" s="3"/>
      <c r="AW117"/>
      <c r="AX117"/>
      <c r="AY117"/>
    </row>
    <row r="118" spans="1:51">
      <c r="B118" s="2"/>
      <c r="C118" s="2"/>
      <c r="J118" s="2"/>
      <c r="O118" s="32"/>
      <c r="P118" s="2"/>
      <c r="Q118" s="2"/>
      <c r="R118" s="2"/>
      <c r="W118" s="2"/>
      <c r="AG118"/>
      <c r="AH118"/>
      <c r="AK118" s="9"/>
      <c r="AL118" s="3"/>
      <c r="AM118" s="3"/>
      <c r="AX118"/>
      <c r="AY118"/>
    </row>
    <row r="119" spans="1:51">
      <c r="B119" s="2"/>
      <c r="C119" s="2"/>
      <c r="J119" s="2"/>
      <c r="O119" s="32"/>
      <c r="P119" s="2"/>
      <c r="Q119" s="2"/>
      <c r="R119" s="2"/>
      <c r="W119" s="2"/>
      <c r="AG119"/>
      <c r="AH119" t="s">
        <v>1960</v>
      </c>
      <c r="AI119" t="s">
        <v>1960</v>
      </c>
      <c r="AJ119" t="s">
        <v>1960</v>
      </c>
      <c r="AK119" s="9"/>
      <c r="AL119" s="3"/>
      <c r="AM119" s="3"/>
      <c r="AX119"/>
      <c r="AY119"/>
    </row>
    <row r="120" spans="1:51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2601</v>
      </c>
      <c r="R120" s="26"/>
      <c r="S120" s="26"/>
      <c r="T120" s="79">
        <v>0.24</v>
      </c>
      <c r="U120" s="76" t="s">
        <v>2548</v>
      </c>
      <c r="V120" s="76"/>
      <c r="W120" s="76"/>
      <c r="X120" s="76"/>
      <c r="Y120" s="26" t="s">
        <v>2574</v>
      </c>
      <c r="Z120" s="26"/>
      <c r="AA120" s="26"/>
      <c r="AB120" s="79"/>
      <c r="AG120"/>
      <c r="AH120" s="3" t="s">
        <v>1957</v>
      </c>
      <c r="AI120" s="3" t="s">
        <v>1957</v>
      </c>
      <c r="AJ120" s="3" t="s">
        <v>1957</v>
      </c>
      <c r="AK120" s="9"/>
      <c r="AL120" s="3"/>
      <c r="AM120" s="3"/>
      <c r="AX120"/>
      <c r="AY120"/>
    </row>
    <row r="121" spans="1:51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G121"/>
      <c r="AH121" s="3" t="s">
        <v>268</v>
      </c>
      <c r="AI121" s="3" t="s">
        <v>267</v>
      </c>
      <c r="AJ121" s="3" t="s">
        <v>266</v>
      </c>
      <c r="AK121" s="9"/>
      <c r="AL121" s="3"/>
      <c r="AM121" s="3"/>
      <c r="AX121"/>
      <c r="AY121"/>
    </row>
    <row r="122" spans="1:51">
      <c r="A122">
        <v>2010</v>
      </c>
      <c r="B122" s="3">
        <f>AH122</f>
        <v>77.45</v>
      </c>
      <c r="C122" s="3">
        <f>AH122</f>
        <v>77.45</v>
      </c>
      <c r="D122" s="3">
        <f t="shared" ref="D122:E122" si="54">AI122</f>
        <v>77.45</v>
      </c>
      <c r="E122" s="3">
        <f t="shared" si="54"/>
        <v>77.45</v>
      </c>
      <c r="F122" s="39">
        <f>'Exchange Rates'!M49</f>
        <v>0.75867129256384003</v>
      </c>
      <c r="G122" s="3">
        <f>AY89</f>
        <v>58.759091609069415</v>
      </c>
      <c r="H122" s="3">
        <f>(C122*USA!$AU97/100)/$AR89*100*$F122</f>
        <v>58.759091609069415</v>
      </c>
      <c r="I122" s="3">
        <f>(D122*USA!$AU97/100)/$AR89*100*$F122</f>
        <v>58.759091609069415</v>
      </c>
      <c r="J122" s="3">
        <f>(E122*USA!$AU97/100)/$AR89*100*$F122</f>
        <v>58.759091609069415</v>
      </c>
      <c r="K122" s="6">
        <f>AW89</f>
        <v>0.54211475409836052</v>
      </c>
      <c r="L122" s="6">
        <f t="shared" ref="L122:N122" si="55">$S$111+$S$112*H122</f>
        <v>0.56826068564575105</v>
      </c>
      <c r="M122" s="6">
        <f t="shared" si="55"/>
        <v>0.56826068564575105</v>
      </c>
      <c r="N122" s="6">
        <f t="shared" si="55"/>
        <v>0.56826068564575105</v>
      </c>
      <c r="O122">
        <v>2010</v>
      </c>
      <c r="P122" s="24">
        <f t="shared" ref="P122:P130" si="56">Y89/AR89*AR$89</f>
        <v>0.621</v>
      </c>
      <c r="Q122" s="3">
        <f>(K122+$P122)*$Z89</f>
        <v>0.2558852459016393</v>
      </c>
      <c r="R122" s="3">
        <f>(L122+$P122)*$Z89</f>
        <v>0.26163735084206524</v>
      </c>
      <c r="S122" s="3">
        <f>(M122+$P122)*$Z89</f>
        <v>0.26163735084206524</v>
      </c>
      <c r="T122" s="3">
        <f>(N122+$P122)*$Z89</f>
        <v>0.26163735084206524</v>
      </c>
      <c r="U122" s="3">
        <f t="shared" ref="U122:U130" si="57">AT89</f>
        <v>1.419</v>
      </c>
      <c r="V122" s="3">
        <f t="shared" ref="V122:V142" si="58">L122+$P122+R122</f>
        <v>1.4508980364878163</v>
      </c>
      <c r="W122" s="3">
        <f t="shared" ref="W122:W142" si="59">M122+$P122+S122</f>
        <v>1.4508980364878163</v>
      </c>
      <c r="X122" s="3">
        <f t="shared" ref="X122:X142" si="60">N122+$P122+T122</f>
        <v>1.4508980364878163</v>
      </c>
      <c r="Y122" s="3">
        <f t="shared" ref="Y122:Y130" si="61">AT89*$AR$97/100</f>
        <v>1.4483621566234868</v>
      </c>
      <c r="Z122" s="3">
        <f t="shared" ref="Z122:Z129" si="62">V122*$AR$97/100</f>
        <v>1.4809202319720054</v>
      </c>
      <c r="AA122" s="3">
        <f t="shared" ref="AA122:AA129" si="63">W122*$AR$97/100</f>
        <v>1.4809202319720054</v>
      </c>
      <c r="AB122" s="3">
        <f t="shared" ref="AB122:AB129" si="64">X122*$AR$97/100</f>
        <v>1.4809202319720054</v>
      </c>
      <c r="AG122"/>
      <c r="AH122" s="3">
        <f>USA!AJ135</f>
        <v>77.45</v>
      </c>
      <c r="AI122" s="3">
        <f>USA!AK135</f>
        <v>77.45</v>
      </c>
      <c r="AJ122" s="3">
        <f>USA!AL135</f>
        <v>77.45</v>
      </c>
      <c r="AK122" s="9"/>
      <c r="AL122" s="3"/>
      <c r="AM122" s="3"/>
      <c r="AX122"/>
      <c r="AY122"/>
    </row>
    <row r="123" spans="1:51">
      <c r="A123">
        <v>2011</v>
      </c>
      <c r="B123" s="3">
        <f t="shared" ref="B123:B130" si="65">AH123</f>
        <v>104.18614906980586</v>
      </c>
      <c r="C123" s="3">
        <f t="shared" ref="C123:C142" si="66">AH123</f>
        <v>104.18614906980586</v>
      </c>
      <c r="D123" s="3">
        <f t="shared" ref="D123:D142" si="67">AI123</f>
        <v>104.18614906980586</v>
      </c>
      <c r="E123" s="3">
        <f t="shared" ref="E123:E142" si="68">AJ123</f>
        <v>104.18614906980586</v>
      </c>
      <c r="F123" s="39">
        <f>'Exchange Rates'!M50</f>
        <v>0.71544109992713056</v>
      </c>
      <c r="G123" s="3">
        <f t="shared" ref="G123:G130" si="69">AY90</f>
        <v>74.396826978989864</v>
      </c>
      <c r="H123" s="3">
        <f>(C123*USA!$AU98/100)/$AR90*100*$F123</f>
        <v>74.396826978989878</v>
      </c>
      <c r="I123" s="3">
        <f>(D123*USA!$AU98/100)/$AR90*100*$F123</f>
        <v>74.396826978989878</v>
      </c>
      <c r="J123" s="3">
        <f>(E123*USA!$AU98/100)/$AR90*100*$F123</f>
        <v>74.396826978989878</v>
      </c>
      <c r="K123" s="6">
        <f t="shared" ref="K123:K130" si="70">AW90</f>
        <v>0.65015377196105284</v>
      </c>
      <c r="L123" s="6">
        <f t="shared" ref="L123:L129" si="71">$S$111+$S$112*H123</f>
        <v>0.64961605765948716</v>
      </c>
      <c r="M123" s="6">
        <f t="shared" ref="M123:M130" si="72">$S$111+$S$112*I123</f>
        <v>0.64961605765948716</v>
      </c>
      <c r="N123" s="6">
        <f t="shared" ref="N123:N130" si="73">$S$111+$S$112*J123</f>
        <v>0.64961605765948716</v>
      </c>
      <c r="O123">
        <v>2011</v>
      </c>
      <c r="P123" s="24">
        <f t="shared" si="56"/>
        <v>0.66111865375864043</v>
      </c>
      <c r="Q123" s="3">
        <f t="shared" ref="Q123:Q130" si="74">(K123+P123)*Z90</f>
        <v>0.30159265791552947</v>
      </c>
      <c r="R123" s="3">
        <f t="shared" ref="R123:T130" si="75">(L123+$P123)*$Z90</f>
        <v>0.30146898362616936</v>
      </c>
      <c r="S123" s="3">
        <f t="shared" si="75"/>
        <v>0.30146898362616936</v>
      </c>
      <c r="T123" s="3">
        <f t="shared" si="75"/>
        <v>0.30146898362616936</v>
      </c>
      <c r="U123" s="3">
        <f t="shared" si="57"/>
        <v>1.6128650836352227</v>
      </c>
      <c r="V123" s="3">
        <f t="shared" si="58"/>
        <v>1.6122036950442968</v>
      </c>
      <c r="W123" s="3">
        <f t="shared" si="59"/>
        <v>1.6122036950442968</v>
      </c>
      <c r="X123" s="3">
        <f t="shared" si="60"/>
        <v>1.6122036950442968</v>
      </c>
      <c r="Y123" s="3">
        <f t="shared" si="61"/>
        <v>1.6462387250716219</v>
      </c>
      <c r="Z123" s="3">
        <f t="shared" si="62"/>
        <v>1.6455636509307343</v>
      </c>
      <c r="AA123" s="3">
        <f t="shared" si="63"/>
        <v>1.6455636509307343</v>
      </c>
      <c r="AB123" s="3">
        <f t="shared" si="64"/>
        <v>1.6455636509307343</v>
      </c>
      <c r="AG123"/>
      <c r="AH123" s="3">
        <f>USA!AJ136</f>
        <v>104.18614906980586</v>
      </c>
      <c r="AI123" s="3">
        <f>USA!AK136</f>
        <v>104.18614906980586</v>
      </c>
      <c r="AJ123" s="3">
        <f>USA!AL136</f>
        <v>104.18614906980586</v>
      </c>
      <c r="AK123" s="9"/>
      <c r="AL123" s="3"/>
      <c r="AM123" s="3"/>
      <c r="AX123"/>
      <c r="AY123"/>
    </row>
    <row r="124" spans="1:51">
      <c r="A124">
        <v>2012</v>
      </c>
      <c r="B124" s="3">
        <f t="shared" si="65"/>
        <v>104.07290773565181</v>
      </c>
      <c r="C124" s="3">
        <f t="shared" si="66"/>
        <v>104.07290773565181</v>
      </c>
      <c r="D124" s="3">
        <f t="shared" si="67"/>
        <v>104.07290773565181</v>
      </c>
      <c r="E124" s="3">
        <f t="shared" si="68"/>
        <v>104.07290773565181</v>
      </c>
      <c r="F124" s="39">
        <f>'Exchange Rates'!M51</f>
        <v>0.773899446716382</v>
      </c>
      <c r="G124" s="3">
        <f t="shared" si="69"/>
        <v>80.794874641424002</v>
      </c>
      <c r="H124" s="3">
        <f>(C124*USA!$AU99/100)/$AR91*100*$F124</f>
        <v>80.794874641424016</v>
      </c>
      <c r="I124" s="3">
        <f>(D124*USA!$AU99/100)/$AR91*100*$F124</f>
        <v>80.794874641424016</v>
      </c>
      <c r="J124" s="3">
        <f>(E124*USA!$AU99/100)/$AR91*100*$F124</f>
        <v>80.794874641424016</v>
      </c>
      <c r="K124" s="6">
        <f t="shared" si="70"/>
        <v>0.70381061508431264</v>
      </c>
      <c r="L124" s="6">
        <f t="shared" si="71"/>
        <v>0.68290192261536609</v>
      </c>
      <c r="M124" s="6">
        <f t="shared" si="72"/>
        <v>0.68290192261536609</v>
      </c>
      <c r="N124" s="6">
        <f t="shared" si="73"/>
        <v>0.68290192261536609</v>
      </c>
      <c r="O124">
        <v>2012</v>
      </c>
      <c r="P124" s="24">
        <f t="shared" si="56"/>
        <v>0.65256135189380038</v>
      </c>
      <c r="Q124" s="3">
        <f t="shared" si="74"/>
        <v>0.31196555240496598</v>
      </c>
      <c r="R124" s="3">
        <f t="shared" si="75"/>
        <v>0.30715655313710827</v>
      </c>
      <c r="S124" s="3">
        <f t="shared" si="75"/>
        <v>0.30715655313710827</v>
      </c>
      <c r="T124" s="3">
        <f t="shared" si="75"/>
        <v>0.30715655313710827</v>
      </c>
      <c r="U124" s="3">
        <f t="shared" si="57"/>
        <v>1.6683375193830789</v>
      </c>
      <c r="V124" s="3">
        <f t="shared" si="58"/>
        <v>1.6426198276462747</v>
      </c>
      <c r="W124" s="3">
        <f t="shared" si="59"/>
        <v>1.6426198276462747</v>
      </c>
      <c r="X124" s="3">
        <f t="shared" si="60"/>
        <v>1.6426198276462747</v>
      </c>
      <c r="Y124" s="3">
        <f t="shared" si="61"/>
        <v>1.7028590046156125</v>
      </c>
      <c r="Z124" s="3">
        <f t="shared" si="62"/>
        <v>1.6766091586203371</v>
      </c>
      <c r="AA124" s="3">
        <f t="shared" si="63"/>
        <v>1.6766091586203371</v>
      </c>
      <c r="AB124" s="3">
        <f t="shared" si="64"/>
        <v>1.6766091586203371</v>
      </c>
      <c r="AG124"/>
      <c r="AH124" s="3">
        <f>USA!AJ137</f>
        <v>104.07290773565181</v>
      </c>
      <c r="AI124" s="3">
        <f>USA!AK137</f>
        <v>104.07290773565181</v>
      </c>
      <c r="AJ124" s="3">
        <f>USA!AL137</f>
        <v>104.07290773565181</v>
      </c>
      <c r="AK124" s="9"/>
      <c r="AL124" s="3"/>
      <c r="AM124" s="3"/>
      <c r="AX124"/>
      <c r="AY124"/>
    </row>
    <row r="125" spans="1:51">
      <c r="A125">
        <v>2013</v>
      </c>
      <c r="B125" s="3">
        <f t="shared" si="65"/>
        <v>99.286371359470493</v>
      </c>
      <c r="C125" s="3">
        <f t="shared" si="66"/>
        <v>99.286371359470493</v>
      </c>
      <c r="D125" s="3">
        <f t="shared" si="67"/>
        <v>99.286371359470493</v>
      </c>
      <c r="E125" s="3">
        <f t="shared" si="68"/>
        <v>99.286371359470493</v>
      </c>
      <c r="F125" s="39">
        <f>'Exchange Rates'!M52</f>
        <v>0.75166876437654617</v>
      </c>
      <c r="G125" s="3">
        <f t="shared" si="69"/>
        <v>76.628839300018157</v>
      </c>
      <c r="H125" s="3">
        <f>(C125*USA!$AU100/100)/$AR92*100*$F125</f>
        <v>76.628839300018171</v>
      </c>
      <c r="I125" s="3">
        <f>(D125*USA!$AU100/100)/$AR92*100*$F125</f>
        <v>76.628839300018171</v>
      </c>
      <c r="J125" s="3">
        <f>(E125*USA!$AU100/100)/$AR92*100*$F125</f>
        <v>76.628839300018171</v>
      </c>
      <c r="K125" s="6">
        <f t="shared" si="70"/>
        <v>0.66635745993184348</v>
      </c>
      <c r="L125" s="6">
        <f t="shared" si="71"/>
        <v>0.66122810943175236</v>
      </c>
      <c r="M125" s="6">
        <f t="shared" si="72"/>
        <v>0.66122810943175236</v>
      </c>
      <c r="N125" s="6">
        <f t="shared" si="73"/>
        <v>0.66122810943175236</v>
      </c>
      <c r="O125">
        <v>2013</v>
      </c>
      <c r="P125" s="24">
        <f t="shared" si="56"/>
        <v>0.65795121577697502</v>
      </c>
      <c r="Q125" s="3">
        <f t="shared" si="74"/>
        <v>0.30459099541302825</v>
      </c>
      <c r="R125" s="3">
        <f t="shared" si="75"/>
        <v>0.3034112447980073</v>
      </c>
      <c r="S125" s="3">
        <f t="shared" si="75"/>
        <v>0.3034112447980073</v>
      </c>
      <c r="T125" s="3">
        <f t="shared" si="75"/>
        <v>0.3034112447980073</v>
      </c>
      <c r="U125" s="3">
        <f t="shared" si="57"/>
        <v>1.6288996711218469</v>
      </c>
      <c r="V125" s="3">
        <f t="shared" si="58"/>
        <v>1.6225905700067347</v>
      </c>
      <c r="W125" s="3">
        <f t="shared" si="59"/>
        <v>1.6225905700067347</v>
      </c>
      <c r="X125" s="3">
        <f t="shared" si="60"/>
        <v>1.6225905700067347</v>
      </c>
      <c r="Y125" s="3">
        <f t="shared" si="61"/>
        <v>1.662605102599948</v>
      </c>
      <c r="Z125" s="3">
        <f t="shared" si="62"/>
        <v>1.6561654526369884</v>
      </c>
      <c r="AA125" s="3">
        <f t="shared" si="63"/>
        <v>1.6561654526369884</v>
      </c>
      <c r="AB125" s="3">
        <f t="shared" si="64"/>
        <v>1.6561654526369884</v>
      </c>
      <c r="AG125"/>
      <c r="AH125" s="3">
        <f>USA!AJ138</f>
        <v>99.286371359470493</v>
      </c>
      <c r="AI125" s="3">
        <f>USA!AK138</f>
        <v>99.286371359470493</v>
      </c>
      <c r="AJ125" s="3">
        <f>USA!AL138</f>
        <v>99.286371359470493</v>
      </c>
      <c r="AK125" s="9"/>
      <c r="AL125" s="3"/>
      <c r="AM125" s="3"/>
      <c r="AX125"/>
      <c r="AY125"/>
    </row>
    <row r="126" spans="1:51">
      <c r="A126">
        <v>2014</v>
      </c>
      <c r="B126" s="3">
        <f t="shared" si="65"/>
        <v>88.687750298592292</v>
      </c>
      <c r="C126" s="3">
        <f t="shared" si="66"/>
        <v>88.687750298592292</v>
      </c>
      <c r="D126" s="3">
        <f t="shared" si="67"/>
        <v>88.687750298592292</v>
      </c>
      <c r="E126" s="3">
        <f t="shared" si="68"/>
        <v>88.687750298592292</v>
      </c>
      <c r="F126" s="39">
        <f>'Exchange Rates'!M53</f>
        <v>0.757387838338895</v>
      </c>
      <c r="G126" s="3">
        <f t="shared" si="69"/>
        <v>71.039821368429642</v>
      </c>
      <c r="H126" s="3">
        <f>(C126*USA!$AU101/100)/$AR93*100*$F126</f>
        <v>71.039821368429642</v>
      </c>
      <c r="I126" s="3">
        <f>(D126*USA!$AU101/100)/$AR93*100*$F126</f>
        <v>71.039821368429642</v>
      </c>
      <c r="J126" s="3">
        <f>(E126*USA!$AU101/100)/$AR93*100*$F126</f>
        <v>71.039821368429642</v>
      </c>
      <c r="K126" s="6">
        <f t="shared" si="70"/>
        <v>0.64440456576779215</v>
      </c>
      <c r="L126" s="6">
        <f t="shared" si="71"/>
        <v>0.63215122443148264</v>
      </c>
      <c r="M126" s="6">
        <f t="shared" si="72"/>
        <v>0.63215122443148264</v>
      </c>
      <c r="N126" s="6">
        <f t="shared" si="73"/>
        <v>0.63215122443148264</v>
      </c>
      <c r="O126">
        <v>2014</v>
      </c>
      <c r="P126" s="24">
        <f t="shared" si="56"/>
        <v>0.66610950364311994</v>
      </c>
      <c r="Q126" s="3">
        <f t="shared" si="74"/>
        <v>0.30141823596450978</v>
      </c>
      <c r="R126" s="3">
        <f t="shared" si="75"/>
        <v>0.29859996745715861</v>
      </c>
      <c r="S126" s="3">
        <f t="shared" si="75"/>
        <v>0.29859996745715861</v>
      </c>
      <c r="T126" s="3">
        <f t="shared" si="75"/>
        <v>0.29859996745715861</v>
      </c>
      <c r="U126" s="3">
        <f t="shared" si="57"/>
        <v>1.6119323053754218</v>
      </c>
      <c r="V126" s="3">
        <f t="shared" si="58"/>
        <v>1.5968606955317612</v>
      </c>
      <c r="W126" s="3">
        <f t="shared" si="59"/>
        <v>1.5968606955317612</v>
      </c>
      <c r="X126" s="3">
        <f t="shared" si="60"/>
        <v>1.5968606955317612</v>
      </c>
      <c r="Y126" s="3">
        <f t="shared" si="61"/>
        <v>1.6452866456269306</v>
      </c>
      <c r="Z126" s="3">
        <f t="shared" si="62"/>
        <v>1.6299031718165347</v>
      </c>
      <c r="AA126" s="3">
        <f t="shared" si="63"/>
        <v>1.6299031718165347</v>
      </c>
      <c r="AB126" s="3">
        <f t="shared" si="64"/>
        <v>1.6299031718165347</v>
      </c>
      <c r="AG126"/>
      <c r="AH126" s="3">
        <f>USA!AJ139</f>
        <v>88.687750298592292</v>
      </c>
      <c r="AI126" s="3">
        <f>USA!AK139</f>
        <v>88.687750298592292</v>
      </c>
      <c r="AJ126" s="3">
        <f>USA!AL139</f>
        <v>88.687750298592292</v>
      </c>
      <c r="AK126" s="9"/>
      <c r="AL126" s="3"/>
      <c r="AM126" s="3"/>
      <c r="AX126"/>
      <c r="AY126"/>
    </row>
    <row r="127" spans="1:51">
      <c r="A127">
        <v>2015</v>
      </c>
      <c r="B127" s="3">
        <f t="shared" si="65"/>
        <v>45.556296925601814</v>
      </c>
      <c r="C127" s="3">
        <f t="shared" si="66"/>
        <v>45.556296925601814</v>
      </c>
      <c r="D127" s="3">
        <f t="shared" si="67"/>
        <v>45.556296925601814</v>
      </c>
      <c r="E127" s="3">
        <f t="shared" si="68"/>
        <v>45.556296925601814</v>
      </c>
      <c r="F127" s="39">
        <f>'Exchange Rates'!M54</f>
        <v>0.90592556207997499</v>
      </c>
      <c r="G127" s="3">
        <f t="shared" si="69"/>
        <v>44.5150628022609</v>
      </c>
      <c r="H127" s="3">
        <f>(C127*USA!$AU102/100)/$AR94*100*$F127</f>
        <v>44.515062802260893</v>
      </c>
      <c r="I127" s="3">
        <f>(D127*USA!$AU102/100)/$AR94*100*$F127</f>
        <v>44.515062802260893</v>
      </c>
      <c r="J127" s="3">
        <f>(E127*USA!$AU102/100)/$AR94*100*$F127</f>
        <v>44.515062802260893</v>
      </c>
      <c r="K127" s="6">
        <f t="shared" si="70"/>
        <v>0.51898040852790916</v>
      </c>
      <c r="L127" s="6">
        <f t="shared" si="71"/>
        <v>0.49415607681720453</v>
      </c>
      <c r="M127" s="6">
        <f t="shared" si="72"/>
        <v>0.49415607681720453</v>
      </c>
      <c r="N127" s="6">
        <f t="shared" si="73"/>
        <v>0.49415607681720453</v>
      </c>
      <c r="O127">
        <v>2015</v>
      </c>
      <c r="P127" s="24">
        <f t="shared" si="56"/>
        <v>0.67552261852113471</v>
      </c>
      <c r="Q127" s="3">
        <f t="shared" si="74"/>
        <v>0.27473569622128013</v>
      </c>
      <c r="R127" s="3">
        <f t="shared" si="75"/>
        <v>0.26902609992781801</v>
      </c>
      <c r="S127" s="3">
        <f t="shared" si="75"/>
        <v>0.26902609992781801</v>
      </c>
      <c r="T127" s="3">
        <f t="shared" si="75"/>
        <v>0.26902609992781801</v>
      </c>
      <c r="U127" s="3">
        <f t="shared" si="57"/>
        <v>1.4692387232703239</v>
      </c>
      <c r="V127" s="3">
        <f t="shared" si="58"/>
        <v>1.4387047952661571</v>
      </c>
      <c r="W127" s="3">
        <f t="shared" si="59"/>
        <v>1.4387047952661571</v>
      </c>
      <c r="X127" s="3">
        <f t="shared" si="60"/>
        <v>1.4387047952661571</v>
      </c>
      <c r="Y127" s="3">
        <f t="shared" si="61"/>
        <v>1.4996404269418917</v>
      </c>
      <c r="Z127" s="3">
        <f t="shared" si="62"/>
        <v>1.4684746864103193</v>
      </c>
      <c r="AA127" s="3">
        <f t="shared" si="63"/>
        <v>1.4684746864103193</v>
      </c>
      <c r="AB127" s="3">
        <f t="shared" si="64"/>
        <v>1.4684746864103193</v>
      </c>
      <c r="AG127"/>
      <c r="AH127" s="3">
        <f>USA!AJ140</f>
        <v>45.556296925601814</v>
      </c>
      <c r="AI127" s="3">
        <f>USA!AK140</f>
        <v>45.556296925601814</v>
      </c>
      <c r="AJ127" s="3">
        <f>USA!AL140</f>
        <v>45.556296925601814</v>
      </c>
      <c r="AK127" s="9"/>
      <c r="AL127" s="3"/>
      <c r="AM127" s="3"/>
      <c r="AX127"/>
      <c r="AY127"/>
    </row>
    <row r="128" spans="1:51">
      <c r="A128">
        <v>2016</v>
      </c>
      <c r="B128" s="3">
        <f t="shared" si="65"/>
        <v>36.957692605914716</v>
      </c>
      <c r="C128" s="3">
        <f t="shared" si="66"/>
        <v>36.957692605914716</v>
      </c>
      <c r="D128" s="3">
        <f t="shared" si="67"/>
        <v>36.957692605914716</v>
      </c>
      <c r="E128" s="3">
        <f t="shared" si="68"/>
        <v>36.957692605914716</v>
      </c>
      <c r="F128" s="39">
        <f>'Exchange Rates'!M55</f>
        <v>0.90674707708863456</v>
      </c>
      <c r="G128" s="3">
        <f t="shared" si="69"/>
        <v>36.912470714636861</v>
      </c>
      <c r="H128" s="3">
        <f>(C128*USA!$AU103/100)/$AR95*100*$F128</f>
        <v>36.912470714636861</v>
      </c>
      <c r="I128" s="3">
        <f>(D128*USA!$AU103/100)/$AR95*100*$F128</f>
        <v>36.912470714636861</v>
      </c>
      <c r="J128" s="3">
        <f>(E128*USA!$AU103/100)/$AR95*100*$F128</f>
        <v>36.912470714636861</v>
      </c>
      <c r="K128" s="6">
        <f t="shared" si="70"/>
        <v>0.44884601287478776</v>
      </c>
      <c r="L128" s="6">
        <f t="shared" si="71"/>
        <v>0.45460356534888402</v>
      </c>
      <c r="M128" s="6">
        <f t="shared" si="72"/>
        <v>0.45460356534888402</v>
      </c>
      <c r="N128" s="6">
        <f t="shared" si="73"/>
        <v>0.45460356534888402</v>
      </c>
      <c r="O128">
        <v>2016</v>
      </c>
      <c r="P128" s="24">
        <f t="shared" si="56"/>
        <v>0.6803737442554797</v>
      </c>
      <c r="Q128" s="3">
        <f t="shared" si="74"/>
        <v>0.26536664292561279</v>
      </c>
      <c r="R128" s="3">
        <f t="shared" si="75"/>
        <v>0.26671966775702544</v>
      </c>
      <c r="S128" s="3">
        <f t="shared" si="75"/>
        <v>0.26671966775702544</v>
      </c>
      <c r="T128" s="3">
        <f t="shared" si="75"/>
        <v>0.26671966775702544</v>
      </c>
      <c r="U128" s="3">
        <f t="shared" si="57"/>
        <v>1.3945864000558803</v>
      </c>
      <c r="V128" s="3">
        <f t="shared" si="58"/>
        <v>1.401696977361389</v>
      </c>
      <c r="W128" s="3">
        <f t="shared" si="59"/>
        <v>1.401696977361389</v>
      </c>
      <c r="X128" s="3">
        <f t="shared" si="60"/>
        <v>1.401696977361389</v>
      </c>
      <c r="Y128" s="3">
        <f t="shared" si="61"/>
        <v>1.4234433868799994</v>
      </c>
      <c r="Z128" s="3">
        <f t="shared" si="62"/>
        <v>1.4307010972965213</v>
      </c>
      <c r="AA128" s="3">
        <f t="shared" si="63"/>
        <v>1.4307010972965213</v>
      </c>
      <c r="AB128" s="3">
        <f t="shared" si="64"/>
        <v>1.4307010972965213</v>
      </c>
      <c r="AG128"/>
      <c r="AH128" s="3">
        <f>USA!AJ141</f>
        <v>36.957692605914716</v>
      </c>
      <c r="AI128" s="3">
        <f>USA!AK141</f>
        <v>36.957692605914716</v>
      </c>
      <c r="AJ128" s="3">
        <f>USA!AL141</f>
        <v>36.957692605914716</v>
      </c>
      <c r="AK128" s="9"/>
      <c r="AL128" s="3"/>
      <c r="AM128" s="3"/>
      <c r="AX128"/>
      <c r="AY128"/>
    </row>
    <row r="129" spans="1:51">
      <c r="A129">
        <v>2017</v>
      </c>
      <c r="B129" s="3">
        <f t="shared" si="65"/>
        <v>46.705738720797434</v>
      </c>
      <c r="C129" s="3">
        <f t="shared" si="66"/>
        <v>46.705738720797434</v>
      </c>
      <c r="D129" s="3">
        <f t="shared" si="67"/>
        <v>46.705738720797434</v>
      </c>
      <c r="E129" s="3">
        <f t="shared" si="68"/>
        <v>46.705738720797434</v>
      </c>
      <c r="F129" s="8">
        <f>'Exchange Rates'!M56</f>
        <v>0.88700000000000001</v>
      </c>
      <c r="G129" s="3">
        <f t="shared" si="69"/>
        <v>46.088464418262845</v>
      </c>
      <c r="H129" s="3">
        <f>(C129*USA!$AU104/100)/$AR96*100*$F129</f>
        <v>46.088464418262845</v>
      </c>
      <c r="I129" s="3">
        <f>(D129*USA!$AU104/100)/$AR96*100*$F129</f>
        <v>46.088464418262845</v>
      </c>
      <c r="J129" s="3">
        <f>(E129*USA!$AU104/100)/$AR96*100*$F129</f>
        <v>46.088464418262845</v>
      </c>
      <c r="K129" s="6">
        <f t="shared" si="70"/>
        <v>0.50325005193675476</v>
      </c>
      <c r="L129" s="6">
        <f t="shared" si="71"/>
        <v>0.50234170413272183</v>
      </c>
      <c r="M129" s="6">
        <f t="shared" si="72"/>
        <v>0.50234170413272183</v>
      </c>
      <c r="N129" s="6">
        <f t="shared" si="73"/>
        <v>0.50234170413272183</v>
      </c>
      <c r="O129">
        <v>2017</v>
      </c>
      <c r="P129" s="24">
        <f t="shared" si="56"/>
        <v>0.70246972681208175</v>
      </c>
      <c r="Q129" s="3">
        <f t="shared" si="74"/>
        <v>0.28937274689972076</v>
      </c>
      <c r="R129" s="3">
        <f t="shared" si="75"/>
        <v>0.2891547434267529</v>
      </c>
      <c r="S129" s="3">
        <f t="shared" si="75"/>
        <v>0.2891547434267529</v>
      </c>
      <c r="T129" s="3">
        <f t="shared" si="75"/>
        <v>0.2891547434267529</v>
      </c>
      <c r="U129" s="3">
        <f t="shared" si="57"/>
        <v>1.4950925256485574</v>
      </c>
      <c r="V129" s="3">
        <f t="shared" si="58"/>
        <v>1.4939661743715567</v>
      </c>
      <c r="W129" s="3">
        <f t="shared" si="59"/>
        <v>1.4939661743715567</v>
      </c>
      <c r="X129" s="3">
        <f t="shared" si="60"/>
        <v>1.4939661743715567</v>
      </c>
      <c r="Y129" s="3">
        <f t="shared" si="61"/>
        <v>1.5260292000000002</v>
      </c>
      <c r="Z129" s="3">
        <f t="shared" si="62"/>
        <v>1.5248795420967778</v>
      </c>
      <c r="AA129" s="3">
        <f t="shared" si="63"/>
        <v>1.5248795420967778</v>
      </c>
      <c r="AB129" s="3">
        <f t="shared" si="64"/>
        <v>1.5248795420967778</v>
      </c>
      <c r="AG129"/>
      <c r="AH129" s="3">
        <f>USA!AJ142</f>
        <v>46.705738720797434</v>
      </c>
      <c r="AI129" s="3">
        <f>USA!AK142</f>
        <v>46.705738720797434</v>
      </c>
      <c r="AJ129" s="3">
        <f>USA!AL142</f>
        <v>46.705738720797434</v>
      </c>
      <c r="AK129" s="9"/>
      <c r="AL129" s="3"/>
      <c r="AM129" s="3"/>
      <c r="AX129"/>
      <c r="AY129"/>
    </row>
    <row r="130" spans="1:51">
      <c r="A130">
        <v>2018</v>
      </c>
      <c r="B130" s="3">
        <f t="shared" si="65"/>
        <v>60.818458312139953</v>
      </c>
      <c r="C130" s="3">
        <f t="shared" si="66"/>
        <v>60.818458312139953</v>
      </c>
      <c r="D130" s="3">
        <f t="shared" si="67"/>
        <v>60.818458312139953</v>
      </c>
      <c r="E130" s="3">
        <f t="shared" si="68"/>
        <v>60.818458312139953</v>
      </c>
      <c r="F130" s="8">
        <f>'Exchange Rates'!M57</f>
        <v>0.84599999999999997</v>
      </c>
      <c r="G130" s="3">
        <f t="shared" si="69"/>
        <v>58.188523859975575</v>
      </c>
      <c r="H130" s="3">
        <f>(C130*USA!$AU105/100)/$AR97*100*$F130</f>
        <v>58.188523859975582</v>
      </c>
      <c r="I130" s="3">
        <f>(D130*USA!$AU105/100)/$AR97*100*$F130</f>
        <v>58.188523859975582</v>
      </c>
      <c r="J130" s="3">
        <f>(E130*USA!$AU105/100)/$AR97*100*$F130</f>
        <v>58.188523859975582</v>
      </c>
      <c r="K130" s="6">
        <f t="shared" si="70"/>
        <v>0.53401718083921912</v>
      </c>
      <c r="L130" s="6">
        <f>$S$111+$S$112*H130</f>
        <v>0.56529230496987282</v>
      </c>
      <c r="M130" s="6">
        <f t="shared" si="72"/>
        <v>0.56529230496987282</v>
      </c>
      <c r="N130" s="6">
        <f t="shared" si="73"/>
        <v>0.56529230496987282</v>
      </c>
      <c r="O130">
        <v>2018</v>
      </c>
      <c r="P130" s="24">
        <f t="shared" si="56"/>
        <v>0.72365916746467029</v>
      </c>
      <c r="Q130" s="3">
        <f t="shared" si="74"/>
        <v>0.30184232359293345</v>
      </c>
      <c r="R130" s="3">
        <f t="shared" si="75"/>
        <v>0.30934835338429029</v>
      </c>
      <c r="S130" s="3">
        <f t="shared" si="75"/>
        <v>0.30934835338429029</v>
      </c>
      <c r="T130" s="3">
        <f t="shared" si="75"/>
        <v>0.30934835338429029</v>
      </c>
      <c r="U130" s="3">
        <f t="shared" si="57"/>
        <v>1.5595186718968228</v>
      </c>
      <c r="V130" s="3">
        <f t="shared" si="58"/>
        <v>1.5982998258188332</v>
      </c>
      <c r="W130" s="3">
        <f t="shared" si="59"/>
        <v>1.5982998258188332</v>
      </c>
      <c r="X130" s="3">
        <f t="shared" si="60"/>
        <v>1.5982998258188332</v>
      </c>
      <c r="Y130" s="3">
        <f t="shared" si="61"/>
        <v>1.5917884615384623</v>
      </c>
      <c r="Z130" s="3">
        <f>V130*$AR$97/100</f>
        <v>1.6313720807990897</v>
      </c>
      <c r="AA130" s="3">
        <f t="shared" ref="AA130:AB138" si="76">W130*$AR$97/100</f>
        <v>1.6313720807990897</v>
      </c>
      <c r="AB130" s="3">
        <f t="shared" si="76"/>
        <v>1.6313720807990897</v>
      </c>
      <c r="AG130"/>
      <c r="AH130" s="3">
        <f>USA!AJ143</f>
        <v>60.818458312139953</v>
      </c>
      <c r="AI130" s="3">
        <f>USA!AK143</f>
        <v>60.818458312139953</v>
      </c>
      <c r="AJ130" s="3">
        <f>USA!AL143</f>
        <v>60.818458312139953</v>
      </c>
      <c r="AK130" s="9"/>
      <c r="AL130" s="3"/>
      <c r="AM130" s="3"/>
      <c r="AX130"/>
      <c r="AY130"/>
    </row>
    <row r="131" spans="1:51">
      <c r="A131">
        <v>2019</v>
      </c>
      <c r="B131" s="3"/>
      <c r="C131" s="3">
        <f>AH131</f>
        <v>90.611761513694489</v>
      </c>
      <c r="D131" s="3">
        <f t="shared" si="67"/>
        <v>56.019786702864394</v>
      </c>
      <c r="E131" s="3">
        <f t="shared" si="68"/>
        <v>25.889074718198426</v>
      </c>
      <c r="F131" s="8">
        <f>'Exchange Rates'!M58</f>
        <v>0.86199999999999999</v>
      </c>
      <c r="G131" s="3"/>
      <c r="H131" s="3">
        <f>(C131*USA!$AU106/100)/$AR98*100*$F131</f>
        <v>88.333087201152622</v>
      </c>
      <c r="I131" s="3">
        <f>(D131*USA!$AU106/100)/$AR98*100*$F131</f>
        <v>54.61101981850581</v>
      </c>
      <c r="J131" s="3">
        <f>(E131*USA!$AU106/100)/$AR98*100*$F131</f>
        <v>25.238024914615035</v>
      </c>
      <c r="K131" s="6"/>
      <c r="L131" s="6">
        <f t="shared" ref="L131:L142" si="77">$S$111+$S$112*H131</f>
        <v>0.72211949936851827</v>
      </c>
      <c r="M131" s="6">
        <f t="shared" ref="M131:M142" si="78">$S$111+$S$112*I131</f>
        <v>0.54668032789714027</v>
      </c>
      <c r="N131" s="6">
        <f t="shared" ref="N131:N142" si="79">$S$111+$S$112*J131</f>
        <v>0.39386722094559556</v>
      </c>
      <c r="O131">
        <v>2019</v>
      </c>
      <c r="P131" s="3">
        <f t="shared" ref="P131:P142" si="80">P130</f>
        <v>0.72365916746467029</v>
      </c>
      <c r="Q131" s="3"/>
      <c r="R131" s="3">
        <f t="shared" ref="R131:R142" si="81">(L131+P131)*$T$120</f>
        <v>0.3469868800399652</v>
      </c>
      <c r="S131" s="3">
        <f t="shared" ref="S131:S142" si="82">(M131+P131)*$T$120</f>
        <v>0.30488147888683453</v>
      </c>
      <c r="T131" s="3">
        <f t="shared" ref="T131:T142" si="83">(N131+P131)*$T$120</f>
        <v>0.26820633321846382</v>
      </c>
      <c r="U131" s="3"/>
      <c r="V131" s="3">
        <f t="shared" si="58"/>
        <v>1.7927655468731536</v>
      </c>
      <c r="W131" s="3">
        <f t="shared" si="59"/>
        <v>1.5752209742486452</v>
      </c>
      <c r="X131" s="3">
        <f t="shared" si="60"/>
        <v>1.3857327216287298</v>
      </c>
      <c r="Y131" s="3"/>
      <c r="Z131" s="3">
        <f t="shared" ref="Z131:Z142" si="84">V131*$AR$97/100</f>
        <v>1.829861715144105</v>
      </c>
      <c r="AA131" s="3">
        <f t="shared" si="76"/>
        <v>1.6078156782391244</v>
      </c>
      <c r="AB131" s="3">
        <f t="shared" si="76"/>
        <v>1.4144065068371534</v>
      </c>
      <c r="AG131"/>
      <c r="AH131" s="3">
        <f>USA!AJ144</f>
        <v>90.611761513694489</v>
      </c>
      <c r="AI131" s="3">
        <f>USA!AK144</f>
        <v>56.019786702864394</v>
      </c>
      <c r="AJ131" s="3">
        <f>USA!AL144</f>
        <v>25.889074718198426</v>
      </c>
      <c r="AK131" s="9"/>
      <c r="AL131" s="3"/>
      <c r="AM131" s="3"/>
      <c r="AX131"/>
      <c r="AY131"/>
    </row>
    <row r="132" spans="1:51">
      <c r="A132">
        <v>2020</v>
      </c>
      <c r="B132" s="3"/>
      <c r="C132" s="3">
        <f t="shared" si="66"/>
        <v>105.28223718734027</v>
      </c>
      <c r="D132" s="3">
        <f t="shared" si="67"/>
        <v>56.251630823658907</v>
      </c>
      <c r="E132" s="3">
        <f t="shared" si="68"/>
        <v>26.752043875471706</v>
      </c>
      <c r="F132" s="8">
        <f>'Exchange Rates'!M59</f>
        <v>0.86199999999999999</v>
      </c>
      <c r="G132" s="3"/>
      <c r="H132" s="3">
        <f>(C132*USA!$AU107/100)/$AR99*100*$F132</f>
        <v>102.63463465276783</v>
      </c>
      <c r="I132" s="3">
        <f>(D132*USA!$AU107/100)/$AR99*100*$F132</f>
        <v>54.837033600790811</v>
      </c>
      <c r="J132" s="3">
        <f>(E132*USA!$AU107/100)/$AR99*100*$F132</f>
        <v>26.079292411768868</v>
      </c>
      <c r="K132" s="6"/>
      <c r="L132" s="6">
        <f t="shared" si="77"/>
        <v>0.79652334914438083</v>
      </c>
      <c r="M132" s="6">
        <f t="shared" si="78"/>
        <v>0.54785616537635717</v>
      </c>
      <c r="N132" s="6">
        <f t="shared" si="79"/>
        <v>0.39824391799123449</v>
      </c>
      <c r="O132">
        <v>2020</v>
      </c>
      <c r="P132" s="3">
        <f t="shared" si="80"/>
        <v>0.72365916746467029</v>
      </c>
      <c r="Q132" s="3"/>
      <c r="R132" s="3">
        <f t="shared" si="81"/>
        <v>0.36484380398617228</v>
      </c>
      <c r="S132" s="3">
        <f t="shared" si="82"/>
        <v>0.30516367988184662</v>
      </c>
      <c r="T132" s="3">
        <f t="shared" si="83"/>
        <v>0.26925674050941711</v>
      </c>
      <c r="U132" s="3"/>
      <c r="V132" s="3">
        <f t="shared" si="58"/>
        <v>1.8850263205952236</v>
      </c>
      <c r="W132" s="3">
        <f t="shared" si="59"/>
        <v>1.5766790127228743</v>
      </c>
      <c r="X132" s="3">
        <f t="shared" si="60"/>
        <v>1.3911598259653217</v>
      </c>
      <c r="Y132" s="3"/>
      <c r="Z132" s="3">
        <f t="shared" si="84"/>
        <v>1.9240315623603481</v>
      </c>
      <c r="AA132" s="3">
        <f t="shared" si="76"/>
        <v>1.6093038866598253</v>
      </c>
      <c r="AB132" s="3">
        <f t="shared" si="76"/>
        <v>1.419945909614579</v>
      </c>
      <c r="AG132"/>
      <c r="AH132" s="3">
        <f>USA!AJ145</f>
        <v>105.28223718734027</v>
      </c>
      <c r="AI132" s="3">
        <f>USA!AK145</f>
        <v>56.251630823658907</v>
      </c>
      <c r="AJ132" s="3">
        <f>USA!AL145</f>
        <v>26.752043875471706</v>
      </c>
      <c r="AK132" s="9"/>
      <c r="AL132" s="3"/>
      <c r="AM132" s="3"/>
      <c r="AX132"/>
      <c r="AY132"/>
    </row>
    <row r="133" spans="1:51">
      <c r="A133">
        <v>2021</v>
      </c>
      <c r="B133" s="3"/>
      <c r="C133" s="3">
        <f t="shared" si="66"/>
        <v>120.81568201825931</v>
      </c>
      <c r="D133" s="3">
        <f t="shared" si="67"/>
        <v>63.082289986431647</v>
      </c>
      <c r="E133" s="3">
        <f t="shared" si="68"/>
        <v>28.477982190018274</v>
      </c>
      <c r="F133" s="8">
        <f>'Exchange Rates'!M60</f>
        <v>0.86199999999999999</v>
      </c>
      <c r="G133" s="3"/>
      <c r="H133" s="3">
        <f>(C133*USA!$AU108/100)/$AR100*100*$F133</f>
        <v>117.77744960153683</v>
      </c>
      <c r="I133" s="3">
        <f>(D133*USA!$AU108/100)/$AR100*100*$F133</f>
        <v>61.495917628504642</v>
      </c>
      <c r="J133" s="3">
        <f>(E133*USA!$AU108/100)/$AR100*100*$F133</f>
        <v>27.761827406076542</v>
      </c>
      <c r="K133" s="6"/>
      <c r="L133" s="6">
        <f t="shared" si="77"/>
        <v>0.87530389596588221</v>
      </c>
      <c r="M133" s="6">
        <f t="shared" si="78"/>
        <v>0.58249903241917877</v>
      </c>
      <c r="N133" s="6">
        <f t="shared" si="79"/>
        <v>0.40699731208251244</v>
      </c>
      <c r="O133">
        <v>2021</v>
      </c>
      <c r="P133" s="3">
        <f t="shared" si="80"/>
        <v>0.72365916746467029</v>
      </c>
      <c r="Q133" s="3"/>
      <c r="R133" s="3">
        <f t="shared" si="81"/>
        <v>0.3837511352233326</v>
      </c>
      <c r="S133" s="3">
        <f t="shared" si="82"/>
        <v>0.31347796797212374</v>
      </c>
      <c r="T133" s="3">
        <f t="shared" si="83"/>
        <v>0.27135755509132387</v>
      </c>
      <c r="U133" s="3"/>
      <c r="V133" s="3">
        <f t="shared" si="58"/>
        <v>1.982714198653885</v>
      </c>
      <c r="W133" s="3">
        <f t="shared" si="59"/>
        <v>1.6196361678559728</v>
      </c>
      <c r="X133" s="3">
        <f t="shared" si="60"/>
        <v>1.4020140346385066</v>
      </c>
      <c r="Y133" s="3"/>
      <c r="Z133" s="3">
        <f t="shared" si="84"/>
        <v>2.0237408123540161</v>
      </c>
      <c r="AA133" s="3">
        <f t="shared" si="76"/>
        <v>1.6531499175625624</v>
      </c>
      <c r="AB133" s="3">
        <f t="shared" si="76"/>
        <v>1.4310247151694313</v>
      </c>
      <c r="AG133"/>
      <c r="AH133" s="3">
        <f>USA!AJ146</f>
        <v>120.81568201825931</v>
      </c>
      <c r="AI133" s="3">
        <f>USA!AK146</f>
        <v>63.082289986431647</v>
      </c>
      <c r="AJ133" s="3">
        <f>USA!AL146</f>
        <v>28.477982190018274</v>
      </c>
      <c r="AK133" s="9"/>
      <c r="AL133" s="3"/>
      <c r="AM133" s="3"/>
      <c r="AX133"/>
      <c r="AY133"/>
    </row>
    <row r="134" spans="1:51">
      <c r="A134">
        <v>2022</v>
      </c>
      <c r="B134" s="3"/>
      <c r="C134" s="3">
        <f t="shared" si="66"/>
        <v>127.71943527644558</v>
      </c>
      <c r="D134" s="3">
        <f t="shared" si="67"/>
        <v>68.168185410991157</v>
      </c>
      <c r="E134" s="3">
        <f t="shared" si="68"/>
        <v>29.340951347291547</v>
      </c>
      <c r="F134" s="8">
        <f>'Exchange Rates'!M61</f>
        <v>0.86199999999999999</v>
      </c>
      <c r="G134" s="3"/>
      <c r="H134" s="3">
        <f>(C134*USA!$AU109/100)/$AR101*100*$F134</f>
        <v>124.50758957876754</v>
      </c>
      <c r="I134" s="3">
        <f>(D134*USA!$AU109/100)/$AR101*100*$F134</f>
        <v>66.453914653710498</v>
      </c>
      <c r="J134" s="3">
        <f>(E134*USA!$AU109/100)/$AR101*100*$F134</f>
        <v>28.603094903230371</v>
      </c>
      <c r="K134" s="6"/>
      <c r="L134" s="6">
        <f t="shared" si="77"/>
        <v>0.91031747233099414</v>
      </c>
      <c r="M134" s="6">
        <f t="shared" si="78"/>
        <v>0.60829302898497895</v>
      </c>
      <c r="N134" s="6">
        <f t="shared" si="79"/>
        <v>0.41137400912815142</v>
      </c>
      <c r="O134">
        <v>2022</v>
      </c>
      <c r="P134" s="3">
        <f t="shared" si="80"/>
        <v>0.72365916746467029</v>
      </c>
      <c r="Q134" s="3"/>
      <c r="R134" s="3">
        <f t="shared" si="81"/>
        <v>0.39215439355095949</v>
      </c>
      <c r="S134" s="3">
        <f t="shared" si="82"/>
        <v>0.31966852714791583</v>
      </c>
      <c r="T134" s="3">
        <f t="shared" si="83"/>
        <v>0.27240796238227721</v>
      </c>
      <c r="U134" s="3"/>
      <c r="V134" s="3">
        <f t="shared" si="58"/>
        <v>2.026131033346624</v>
      </c>
      <c r="W134" s="3">
        <f t="shared" si="59"/>
        <v>1.6516207235975651</v>
      </c>
      <c r="X134" s="3">
        <f t="shared" si="60"/>
        <v>1.4074411389750989</v>
      </c>
      <c r="Y134" s="3"/>
      <c r="Z134" s="3">
        <f t="shared" si="84"/>
        <v>2.0680560345734249</v>
      </c>
      <c r="AA134" s="3">
        <f t="shared" si="76"/>
        <v>1.6857963024339768</v>
      </c>
      <c r="AB134" s="3">
        <f t="shared" si="76"/>
        <v>1.4365641179468573</v>
      </c>
      <c r="AG134"/>
      <c r="AH134" s="3">
        <f>USA!AJ147</f>
        <v>127.71943527644558</v>
      </c>
      <c r="AI134" s="3">
        <f>USA!AK147</f>
        <v>68.168185410991157</v>
      </c>
      <c r="AJ134" s="3">
        <f>USA!AL147</f>
        <v>29.340951347291547</v>
      </c>
      <c r="AK134" s="9"/>
      <c r="AL134" s="3"/>
      <c r="AM134" s="3"/>
      <c r="AX134"/>
      <c r="AY134"/>
    </row>
    <row r="135" spans="1:51">
      <c r="A135">
        <v>2023</v>
      </c>
      <c r="B135" s="3"/>
      <c r="C135" s="3">
        <f t="shared" si="66"/>
        <v>132.89725022008525</v>
      </c>
      <c r="D135" s="3">
        <f t="shared" si="67"/>
        <v>70.508542947524788</v>
      </c>
      <c r="E135" s="3">
        <f t="shared" si="68"/>
        <v>29.340951347291547</v>
      </c>
      <c r="F135" s="8">
        <f>'Exchange Rates'!M62</f>
        <v>0.86199999999999999</v>
      </c>
      <c r="G135" s="3"/>
      <c r="H135" s="3">
        <f>(C135*USA!$AU110/100)/$AR102*100*$F135</f>
        <v>129.55519456169054</v>
      </c>
      <c r="I135" s="3">
        <f>(D135*USA!$AU110/100)/$AR102*100*$F135</f>
        <v>68.735417660638063</v>
      </c>
      <c r="J135" s="3">
        <f>(E135*USA!$AU110/100)/$AR102*100*$F135</f>
        <v>28.603094903230371</v>
      </c>
      <c r="K135" s="6"/>
      <c r="L135" s="6">
        <f t="shared" si="77"/>
        <v>0.93657765460482789</v>
      </c>
      <c r="M135" s="6">
        <f t="shared" si="78"/>
        <v>0.62016255622074989</v>
      </c>
      <c r="N135" s="6">
        <f t="shared" si="79"/>
        <v>0.41137400912815142</v>
      </c>
      <c r="O135">
        <v>2023</v>
      </c>
      <c r="P135" s="3">
        <f t="shared" si="80"/>
        <v>0.72365916746467029</v>
      </c>
      <c r="Q135" s="3"/>
      <c r="R135" s="3">
        <f t="shared" si="81"/>
        <v>0.39845683729667952</v>
      </c>
      <c r="S135" s="3">
        <f t="shared" si="82"/>
        <v>0.32251721368450081</v>
      </c>
      <c r="T135" s="3">
        <f t="shared" si="83"/>
        <v>0.27240796238227721</v>
      </c>
      <c r="U135" s="3"/>
      <c r="V135" s="3">
        <f t="shared" si="58"/>
        <v>2.0586936593661775</v>
      </c>
      <c r="W135" s="3">
        <f t="shared" si="59"/>
        <v>1.6663389373699209</v>
      </c>
      <c r="X135" s="3">
        <f t="shared" si="60"/>
        <v>1.4074411389750989</v>
      </c>
      <c r="Y135" s="3"/>
      <c r="Z135" s="3">
        <f t="shared" si="84"/>
        <v>2.1012924512379807</v>
      </c>
      <c r="AA135" s="3">
        <f t="shared" si="76"/>
        <v>1.7008190676496036</v>
      </c>
      <c r="AB135" s="3">
        <f t="shared" si="76"/>
        <v>1.4365641179468573</v>
      </c>
      <c r="AG135"/>
      <c r="AH135" s="3">
        <f>USA!AJ148</f>
        <v>132.89725022008525</v>
      </c>
      <c r="AI135" s="3">
        <f>USA!AK148</f>
        <v>70.508542947524788</v>
      </c>
      <c r="AJ135" s="3">
        <f>USA!AL148</f>
        <v>29.340951347291547</v>
      </c>
      <c r="AK135" s="9"/>
      <c r="AL135" s="3"/>
      <c r="AM135" s="3"/>
      <c r="AX135"/>
      <c r="AY135"/>
    </row>
    <row r="136" spans="1:51">
      <c r="A136">
        <v>2024</v>
      </c>
      <c r="B136" s="3"/>
      <c r="C136" s="3">
        <f t="shared" si="66"/>
        <v>137.21209600645167</v>
      </c>
      <c r="D136" s="3">
        <f t="shared" si="67"/>
        <v>71.127304204880986</v>
      </c>
      <c r="E136" s="3">
        <f t="shared" si="68"/>
        <v>29.340951347291547</v>
      </c>
      <c r="F136" s="8">
        <f>'Exchange Rates'!M63</f>
        <v>0.86199999999999999</v>
      </c>
      <c r="G136" s="3"/>
      <c r="H136" s="3">
        <f>(C136*USA!$AU111/100)/$AR103*100*$F136</f>
        <v>133.7615320474597</v>
      </c>
      <c r="I136" s="3">
        <f>(D136*USA!$AU111/100)/$AR103*100*$F136</f>
        <v>69.338618516571984</v>
      </c>
      <c r="J136" s="3">
        <f>(E136*USA!$AU111/100)/$AR103*100*$F136</f>
        <v>28.603094903230371</v>
      </c>
      <c r="K136" s="6"/>
      <c r="L136" s="6">
        <f t="shared" si="77"/>
        <v>0.95846113983302272</v>
      </c>
      <c r="M136" s="6">
        <f t="shared" si="78"/>
        <v>0.62330071074713378</v>
      </c>
      <c r="N136" s="6">
        <f t="shared" si="79"/>
        <v>0.41137400912815142</v>
      </c>
      <c r="O136">
        <v>2024</v>
      </c>
      <c r="P136" s="3">
        <f t="shared" si="80"/>
        <v>0.72365916746467029</v>
      </c>
      <c r="Q136" s="3"/>
      <c r="R136" s="3">
        <f t="shared" si="81"/>
        <v>0.40370887375144626</v>
      </c>
      <c r="S136" s="3">
        <f t="shared" si="82"/>
        <v>0.32327037077083298</v>
      </c>
      <c r="T136" s="3">
        <f t="shared" si="83"/>
        <v>0.27240796238227721</v>
      </c>
      <c r="U136" s="3"/>
      <c r="V136" s="3">
        <f t="shared" si="58"/>
        <v>2.0858291810491392</v>
      </c>
      <c r="W136" s="3">
        <f t="shared" si="59"/>
        <v>1.6702302489826373</v>
      </c>
      <c r="X136" s="3">
        <f t="shared" si="60"/>
        <v>1.4074411389750989</v>
      </c>
      <c r="Y136" s="3"/>
      <c r="Z136" s="3">
        <f t="shared" si="84"/>
        <v>2.1289894651251107</v>
      </c>
      <c r="AA136" s="3">
        <f t="shared" si="76"/>
        <v>1.7047908988543168</v>
      </c>
      <c r="AB136" s="3">
        <f t="shared" si="76"/>
        <v>1.4365641179468573</v>
      </c>
      <c r="AG136"/>
      <c r="AH136" s="3">
        <f>USA!AJ149</f>
        <v>137.21209600645167</v>
      </c>
      <c r="AI136" s="3">
        <f>USA!AK149</f>
        <v>71.127304204880986</v>
      </c>
      <c r="AJ136" s="3">
        <f>USA!AL149</f>
        <v>29.340951347291547</v>
      </c>
      <c r="AK136" s="9"/>
      <c r="AL136" s="3"/>
      <c r="AM136" s="3"/>
      <c r="AX136"/>
      <c r="AY136"/>
    </row>
    <row r="137" spans="1:51">
      <c r="A137">
        <v>2025</v>
      </c>
      <c r="B137" s="3"/>
      <c r="C137" s="3">
        <f t="shared" si="66"/>
        <v>141.52694179281806</v>
      </c>
      <c r="D137" s="3">
        <f t="shared" si="67"/>
        <v>74.364924740814473</v>
      </c>
      <c r="E137" s="3">
        <f t="shared" si="68"/>
        <v>30.203920504564827</v>
      </c>
      <c r="F137" s="8">
        <f>'Exchange Rates'!M64</f>
        <v>0.86199999999999999</v>
      </c>
      <c r="G137" s="3"/>
      <c r="H137" s="3">
        <f>(C137*USA!$AU112/100)/$AR104*100*$F137</f>
        <v>137.96786953322888</v>
      </c>
      <c r="I137" s="3">
        <f>(D137*USA!$AU112/100)/$AR104*100*$F137</f>
        <v>72.494820452692977</v>
      </c>
      <c r="J137" s="3">
        <f>(E137*USA!$AU112/100)/$AR104*100*$F137</f>
        <v>29.444362400384207</v>
      </c>
      <c r="K137" s="6"/>
      <c r="L137" s="6">
        <f t="shared" si="77"/>
        <v>0.98034462506121756</v>
      </c>
      <c r="M137" s="6">
        <f t="shared" si="78"/>
        <v>0.63972086216864377</v>
      </c>
      <c r="N137" s="6">
        <f t="shared" si="79"/>
        <v>0.4157507061737904</v>
      </c>
      <c r="O137">
        <v>2025</v>
      </c>
      <c r="P137" s="3">
        <f t="shared" si="80"/>
        <v>0.72365916746467029</v>
      </c>
      <c r="Q137" s="3"/>
      <c r="R137" s="3">
        <f t="shared" si="81"/>
        <v>0.40896091020621306</v>
      </c>
      <c r="S137" s="3">
        <f t="shared" si="82"/>
        <v>0.32721120711199536</v>
      </c>
      <c r="T137" s="3">
        <f t="shared" si="83"/>
        <v>0.27345836967323056</v>
      </c>
      <c r="U137" s="3"/>
      <c r="V137" s="3">
        <f t="shared" si="58"/>
        <v>2.1129647027321008</v>
      </c>
      <c r="W137" s="3">
        <f t="shared" si="59"/>
        <v>1.6905912367453095</v>
      </c>
      <c r="X137" s="3">
        <f t="shared" si="60"/>
        <v>1.4128682433116913</v>
      </c>
      <c r="Y137" s="3"/>
      <c r="Z137" s="3">
        <f t="shared" si="84"/>
        <v>2.1566864790122411</v>
      </c>
      <c r="AA137" s="3">
        <f t="shared" si="76"/>
        <v>1.7255731991692769</v>
      </c>
      <c r="AB137" s="3">
        <f t="shared" si="76"/>
        <v>1.4421035207242836</v>
      </c>
      <c r="AG137"/>
      <c r="AH137" s="3">
        <f>USA!AJ150</f>
        <v>141.52694179281806</v>
      </c>
      <c r="AI137" s="3">
        <f>USA!AK150</f>
        <v>74.364924740814473</v>
      </c>
      <c r="AJ137" s="3">
        <f>USA!AL150</f>
        <v>30.203920504564827</v>
      </c>
      <c r="AK137" s="9"/>
      <c r="AL137" s="3"/>
      <c r="AM137" s="3"/>
      <c r="AX137"/>
      <c r="AY137"/>
    </row>
    <row r="138" spans="1:51">
      <c r="A138">
        <v>2026</v>
      </c>
      <c r="B138" s="3"/>
      <c r="C138" s="3">
        <f t="shared" si="66"/>
        <v>145.84178757918448</v>
      </c>
      <c r="D138" s="3">
        <f t="shared" si="67"/>
        <v>80.055420065999314</v>
      </c>
      <c r="E138" s="3">
        <f t="shared" si="68"/>
        <v>31.066889661838108</v>
      </c>
      <c r="F138" s="8">
        <f>'Exchange Rates'!M65</f>
        <v>0.86199999999999999</v>
      </c>
      <c r="G138" s="3"/>
      <c r="H138" s="3">
        <f>(C138*USA!$AU113/100)/$AR105*100*$F138</f>
        <v>142.17420701899806</v>
      </c>
      <c r="I138" s="3">
        <f>(D138*USA!$AU113/100)/$AR105*100*$F138</f>
        <v>78.042213102170777</v>
      </c>
      <c r="J138" s="3">
        <f>(E138*USA!$AU113/100)/$AR105*100*$F138</f>
        <v>30.28562989753804</v>
      </c>
      <c r="K138" s="6"/>
      <c r="L138" s="6">
        <f t="shared" si="77"/>
        <v>1.0022281102894124</v>
      </c>
      <c r="M138" s="6">
        <f t="shared" si="78"/>
        <v>0.66858119149565343</v>
      </c>
      <c r="N138" s="6">
        <f t="shared" si="79"/>
        <v>0.42012740321942932</v>
      </c>
      <c r="O138">
        <v>2026</v>
      </c>
      <c r="P138" s="3">
        <f t="shared" si="80"/>
        <v>0.72365916746467029</v>
      </c>
      <c r="Q138" s="3"/>
      <c r="R138" s="3">
        <f t="shared" si="81"/>
        <v>0.4142129466609798</v>
      </c>
      <c r="S138" s="3">
        <f t="shared" si="82"/>
        <v>0.33413768615047773</v>
      </c>
      <c r="T138" s="3">
        <f t="shared" si="83"/>
        <v>0.27450877696418385</v>
      </c>
      <c r="U138" s="3"/>
      <c r="V138" s="3">
        <f t="shared" si="58"/>
        <v>2.1401002244150624</v>
      </c>
      <c r="W138" s="3">
        <f t="shared" si="59"/>
        <v>1.7263780451108015</v>
      </c>
      <c r="X138" s="3">
        <f t="shared" si="60"/>
        <v>1.4182953476482834</v>
      </c>
      <c r="Y138" s="3"/>
      <c r="Z138" s="3">
        <f t="shared" si="84"/>
        <v>2.1843834928993711</v>
      </c>
      <c r="AA138" s="3">
        <f t="shared" si="76"/>
        <v>1.7621005134348975</v>
      </c>
      <c r="AB138" s="3">
        <f t="shared" si="76"/>
        <v>1.4476429235017094</v>
      </c>
      <c r="AG138"/>
      <c r="AH138" s="3">
        <f>USA!AJ151</f>
        <v>145.84178757918448</v>
      </c>
      <c r="AI138" s="3">
        <f>USA!AK151</f>
        <v>80.055420065999314</v>
      </c>
      <c r="AJ138" s="3">
        <f>USA!AL151</f>
        <v>31.066889661838108</v>
      </c>
      <c r="AK138" s="9"/>
      <c r="AL138" s="3"/>
      <c r="AM138" s="3"/>
      <c r="AX138"/>
      <c r="AY138"/>
    </row>
    <row r="139" spans="1:51">
      <c r="A139">
        <v>2027</v>
      </c>
      <c r="B139" s="3"/>
      <c r="C139" s="3">
        <f t="shared" si="66"/>
        <v>150.15663336555087</v>
      </c>
      <c r="D139" s="3">
        <f t="shared" si="67"/>
        <v>82.98815737026753</v>
      </c>
      <c r="E139" s="3">
        <f t="shared" si="68"/>
        <v>31.929858819111395</v>
      </c>
      <c r="F139" s="8">
        <f>'Exchange Rates'!M66</f>
        <v>0.86199999999999999</v>
      </c>
      <c r="G139" s="3"/>
      <c r="H139" s="3">
        <f>(C139*USA!$AU114/100)/$AR106*100*$F139</f>
        <v>146.38054450476722</v>
      </c>
      <c r="I139" s="3">
        <f>(D139*USA!$AU114/100)/$AR106*100*$F139</f>
        <v>80.901198908299762</v>
      </c>
      <c r="J139" s="3">
        <f>(E139*USA!$AU114/100)/$AR106*100*$F139</f>
        <v>31.126897394691884</v>
      </c>
      <c r="K139" s="6"/>
      <c r="L139" s="6">
        <f t="shared" si="77"/>
        <v>1.0241115955176072</v>
      </c>
      <c r="M139" s="6">
        <f t="shared" si="78"/>
        <v>0.6834550749792565</v>
      </c>
      <c r="N139" s="6">
        <f t="shared" si="79"/>
        <v>0.42450410026506835</v>
      </c>
      <c r="O139">
        <v>2027</v>
      </c>
      <c r="P139" s="3">
        <f t="shared" si="80"/>
        <v>0.72365916746467029</v>
      </c>
      <c r="Q139" s="3"/>
      <c r="R139" s="3">
        <f t="shared" si="81"/>
        <v>0.41946498311574654</v>
      </c>
      <c r="S139" s="3">
        <f t="shared" si="82"/>
        <v>0.33770741818654237</v>
      </c>
      <c r="T139" s="3">
        <f t="shared" si="83"/>
        <v>0.27555918425513726</v>
      </c>
      <c r="U139" s="3"/>
      <c r="V139" s="3">
        <f t="shared" si="58"/>
        <v>2.1672357460980241</v>
      </c>
      <c r="W139" s="3">
        <f t="shared" si="59"/>
        <v>1.744821660630469</v>
      </c>
      <c r="X139" s="3">
        <f t="shared" si="60"/>
        <v>1.4237224519848759</v>
      </c>
      <c r="Y139" s="3"/>
      <c r="Z139" s="3">
        <f t="shared" si="84"/>
        <v>2.212080506786501</v>
      </c>
      <c r="AA139" s="3">
        <f t="shared" ref="AA139:AA142" si="85">W139*$AR$97/100</f>
        <v>1.7809257669585055</v>
      </c>
      <c r="AB139" s="3">
        <f t="shared" ref="AB139:AB142" si="86">X139*$AR$97/100</f>
        <v>1.4531823262791355</v>
      </c>
      <c r="AG139"/>
      <c r="AH139" s="3">
        <f>USA!AJ152</f>
        <v>150.15663336555087</v>
      </c>
      <c r="AI139" s="3">
        <f>USA!AK152</f>
        <v>82.98815737026753</v>
      </c>
      <c r="AJ139" s="3">
        <f>USA!AL152</f>
        <v>31.929858819111395</v>
      </c>
      <c r="AK139" s="9"/>
      <c r="AL139" s="3"/>
      <c r="AM139" s="3"/>
      <c r="AX139"/>
      <c r="AY139"/>
    </row>
    <row r="140" spans="1:51">
      <c r="A140">
        <v>2028</v>
      </c>
      <c r="B140" s="3"/>
      <c r="C140" s="3">
        <f t="shared" si="66"/>
        <v>153.60850999464401</v>
      </c>
      <c r="D140" s="3">
        <f t="shared" si="67"/>
        <v>84.844653255379882</v>
      </c>
      <c r="E140" s="3">
        <f t="shared" si="68"/>
        <v>31.929858819111395</v>
      </c>
      <c r="F140" s="8">
        <f>'Exchange Rates'!M67</f>
        <v>0.86199999999999999</v>
      </c>
      <c r="G140" s="3"/>
      <c r="H140" s="3">
        <f>(C140*USA!$AU115/100)/$AR107*100*$F140</f>
        <v>149.74561449338259</v>
      </c>
      <c r="I140" s="3">
        <f>(D140*USA!$AU115/100)/$AR107*100*$F140</f>
        <v>82.711008254997282</v>
      </c>
      <c r="J140" s="3">
        <f>(E140*USA!$AU115/100)/$AR107*100*$F140</f>
        <v>31.126897394691884</v>
      </c>
      <c r="K140" s="6"/>
      <c r="L140" s="6">
        <f t="shared" si="77"/>
        <v>1.0416183837001634</v>
      </c>
      <c r="M140" s="6">
        <f t="shared" si="78"/>
        <v>0.69287061432632391</v>
      </c>
      <c r="N140" s="6">
        <f t="shared" si="79"/>
        <v>0.42450410026506835</v>
      </c>
      <c r="O140">
        <v>2028</v>
      </c>
      <c r="P140" s="3">
        <f t="shared" si="80"/>
        <v>0.72365916746467029</v>
      </c>
      <c r="Q140" s="3"/>
      <c r="R140" s="3">
        <f t="shared" si="81"/>
        <v>0.42366661227956004</v>
      </c>
      <c r="S140" s="3">
        <f t="shared" si="82"/>
        <v>0.3399671476298386</v>
      </c>
      <c r="T140" s="3">
        <f t="shared" si="83"/>
        <v>0.27555918425513726</v>
      </c>
      <c r="U140" s="3"/>
      <c r="V140" s="3">
        <f t="shared" si="58"/>
        <v>2.1889441634443934</v>
      </c>
      <c r="W140" s="3">
        <f t="shared" si="59"/>
        <v>1.756496929420833</v>
      </c>
      <c r="X140" s="3">
        <f t="shared" si="60"/>
        <v>1.4237224519848759</v>
      </c>
      <c r="Y140" s="3"/>
      <c r="Z140" s="3">
        <f t="shared" si="84"/>
        <v>2.2342381178962056</v>
      </c>
      <c r="AA140" s="3">
        <f t="shared" si="85"/>
        <v>1.7928426221271951</v>
      </c>
      <c r="AB140" s="3">
        <f t="shared" si="86"/>
        <v>1.4531823262791355</v>
      </c>
      <c r="AG140"/>
      <c r="AH140" s="3">
        <f>USA!AJ153</f>
        <v>153.60850999464401</v>
      </c>
      <c r="AI140" s="3">
        <f>USA!AK153</f>
        <v>84.844653255379882</v>
      </c>
      <c r="AJ140" s="3">
        <f>USA!AL153</f>
        <v>31.929858819111395</v>
      </c>
      <c r="AK140" s="9"/>
      <c r="AL140" s="3"/>
      <c r="AM140" s="3"/>
      <c r="AX140"/>
      <c r="AY140"/>
    </row>
    <row r="141" spans="1:51">
      <c r="A141">
        <v>2029</v>
      </c>
      <c r="B141" s="3"/>
      <c r="C141" s="3">
        <f t="shared" si="66"/>
        <v>157.9233557810104</v>
      </c>
      <c r="D141" s="3">
        <f t="shared" si="67"/>
        <v>87.361009569245411</v>
      </c>
      <c r="E141" s="3">
        <f t="shared" si="68"/>
        <v>31.929858819111395</v>
      </c>
      <c r="F141" s="8">
        <f>'Exchange Rates'!M68</f>
        <v>0.86199999999999999</v>
      </c>
      <c r="G141" s="3"/>
      <c r="H141" s="3">
        <f>(C141*USA!$AU116/100)/$AR108*100*$F141</f>
        <v>153.95195197915172</v>
      </c>
      <c r="I141" s="3">
        <f>(D141*USA!$AU116/100)/$AR108*100*$F141</f>
        <v>85.16408408079127</v>
      </c>
      <c r="J141" s="3">
        <f>(E141*USA!$AU116/100)/$AR108*100*$F141</f>
        <v>31.126897394691884</v>
      </c>
      <c r="K141" s="6"/>
      <c r="L141" s="6">
        <f t="shared" si="77"/>
        <v>1.063501868928358</v>
      </c>
      <c r="M141" s="6">
        <f t="shared" si="78"/>
        <v>0.70563274974199608</v>
      </c>
      <c r="N141" s="6">
        <f t="shared" si="79"/>
        <v>0.42450410026506835</v>
      </c>
      <c r="O141">
        <v>2029</v>
      </c>
      <c r="P141" s="3">
        <f t="shared" si="80"/>
        <v>0.72365916746467029</v>
      </c>
      <c r="Q141" s="3"/>
      <c r="R141" s="3">
        <f t="shared" si="81"/>
        <v>0.42891864873432678</v>
      </c>
      <c r="S141" s="3">
        <f t="shared" si="82"/>
        <v>0.34303006012959991</v>
      </c>
      <c r="T141" s="3">
        <f t="shared" si="83"/>
        <v>0.27555918425513726</v>
      </c>
      <c r="U141" s="3"/>
      <c r="V141" s="3">
        <f t="shared" si="58"/>
        <v>2.216079685127355</v>
      </c>
      <c r="W141" s="3">
        <f t="shared" si="59"/>
        <v>1.7723219773362662</v>
      </c>
      <c r="X141" s="3">
        <f t="shared" si="60"/>
        <v>1.4237224519848759</v>
      </c>
      <c r="Y141" s="3"/>
      <c r="Z141" s="3">
        <f t="shared" si="84"/>
        <v>2.2619351317833356</v>
      </c>
      <c r="AA141" s="3">
        <f t="shared" si="85"/>
        <v>1.8089951242607165</v>
      </c>
      <c r="AB141" s="3">
        <f t="shared" si="86"/>
        <v>1.4531823262791355</v>
      </c>
      <c r="AG141"/>
      <c r="AH141" s="3">
        <f>USA!AJ154</f>
        <v>157.9233557810104</v>
      </c>
      <c r="AI141" s="3">
        <f>USA!AK154</f>
        <v>87.361009569245411</v>
      </c>
      <c r="AJ141" s="3">
        <f>USA!AL154</f>
        <v>31.929858819111395</v>
      </c>
      <c r="AK141" s="9"/>
      <c r="AL141" s="3"/>
      <c r="AM141" s="3"/>
      <c r="AX141"/>
      <c r="AY141"/>
    </row>
    <row r="142" spans="1:51">
      <c r="A142">
        <v>2030</v>
      </c>
      <c r="B142" s="3"/>
      <c r="C142" s="3">
        <f t="shared" si="66"/>
        <v>160.51226325283022</v>
      </c>
      <c r="D142" s="3">
        <f t="shared" si="67"/>
        <v>89.285088706337618</v>
      </c>
      <c r="E142" s="3">
        <f t="shared" si="68"/>
        <v>32.792827976384679</v>
      </c>
      <c r="F142" s="8">
        <f>'Exchange Rates'!M69</f>
        <v>0.86199999999999999</v>
      </c>
      <c r="G142" s="3"/>
      <c r="H142" s="3">
        <f>(C142*USA!$AU117/100)/$AR109*100*$F142</f>
        <v>156.47575447061323</v>
      </c>
      <c r="I142" s="3">
        <f>(D142*USA!$AU117/100)/$AR109*100*$F142</f>
        <v>87.039777118421924</v>
      </c>
      <c r="J142" s="3">
        <f>(E142*USA!$AU117/100)/$AR109*100*$F142</f>
        <v>31.968164891845717</v>
      </c>
      <c r="K142" s="6"/>
      <c r="L142" s="6">
        <f t="shared" si="77"/>
        <v>1.0766319600652747</v>
      </c>
      <c r="M142" s="6">
        <f t="shared" si="78"/>
        <v>0.71539104921760566</v>
      </c>
      <c r="N142" s="6">
        <f t="shared" si="79"/>
        <v>0.42888079731070733</v>
      </c>
      <c r="O142">
        <v>2030</v>
      </c>
      <c r="P142" s="3">
        <f t="shared" si="80"/>
        <v>0.72365916746467029</v>
      </c>
      <c r="Q142" s="3"/>
      <c r="R142" s="3">
        <f t="shared" si="81"/>
        <v>0.43206987060718677</v>
      </c>
      <c r="S142" s="3">
        <f t="shared" si="82"/>
        <v>0.34537205200374627</v>
      </c>
      <c r="T142" s="3">
        <f t="shared" si="83"/>
        <v>0.27660959154609061</v>
      </c>
      <c r="U142" s="3"/>
      <c r="V142" s="3">
        <f t="shared" si="58"/>
        <v>2.2323609981371315</v>
      </c>
      <c r="W142" s="3">
        <f t="shared" si="59"/>
        <v>1.7844222686860223</v>
      </c>
      <c r="X142" s="3">
        <f t="shared" si="60"/>
        <v>1.4291495563214682</v>
      </c>
      <c r="Y142" s="3"/>
      <c r="Z142" s="3">
        <f t="shared" si="84"/>
        <v>2.2785533401156131</v>
      </c>
      <c r="AA142" s="3">
        <f t="shared" si="85"/>
        <v>1.8213457966180846</v>
      </c>
      <c r="AB142" s="3">
        <f t="shared" si="86"/>
        <v>1.4587217290565615</v>
      </c>
      <c r="AG142"/>
      <c r="AH142" s="3">
        <f>USA!AJ155</f>
        <v>160.51226325283022</v>
      </c>
      <c r="AI142" s="3">
        <f>USA!AK155</f>
        <v>89.285088706337618</v>
      </c>
      <c r="AJ142" s="3">
        <f>USA!AL155</f>
        <v>32.792827976384679</v>
      </c>
      <c r="AK142" s="9"/>
      <c r="AL142" s="3"/>
      <c r="AM142" s="3"/>
      <c r="AX142"/>
      <c r="AY142"/>
    </row>
    <row r="143" spans="1:51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AG143"/>
      <c r="AH143" s="3">
        <f>USA!AJ156</f>
        <v>162.23820156737682</v>
      </c>
      <c r="AI143" s="3">
        <f>USA!AK156</f>
        <v>90.882363255178021</v>
      </c>
      <c r="AJ143" s="3">
        <f>USA!AL156</f>
        <v>33.224312555021314</v>
      </c>
      <c r="AK143" s="9"/>
      <c r="AL143" s="3"/>
      <c r="AM143" s="3"/>
      <c r="AX143"/>
      <c r="AY143"/>
    </row>
    <row r="144" spans="1:51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AG144"/>
      <c r="AH144" s="3">
        <f>USA!AJ157</f>
        <v>164.82710903919664</v>
      </c>
      <c r="AI144" s="3">
        <f>USA!AK157</f>
        <v>91.529643316939641</v>
      </c>
      <c r="AJ144" s="3">
        <f>USA!AL157</f>
        <v>33.655797133657956</v>
      </c>
      <c r="AK144" s="9"/>
      <c r="AL144" s="3"/>
      <c r="AM144" s="3"/>
      <c r="AX144"/>
      <c r="AY144"/>
    </row>
    <row r="145" spans="1:51">
      <c r="D145"/>
      <c r="E145"/>
      <c r="F145"/>
      <c r="G145"/>
      <c r="H145"/>
      <c r="I145"/>
      <c r="J145"/>
      <c r="K145"/>
      <c r="L145"/>
      <c r="M145"/>
      <c r="N145"/>
      <c r="O145" s="12"/>
      <c r="P145"/>
      <c r="Q145"/>
      <c r="R145"/>
      <c r="S145"/>
      <c r="T145"/>
      <c r="U145"/>
      <c r="V145"/>
      <c r="W145"/>
      <c r="X145"/>
      <c r="AG145"/>
      <c r="AH145" s="3">
        <f>USA!AJ158</f>
        <v>166.55304735374321</v>
      </c>
      <c r="AI145" s="3">
        <f>USA!AK158</f>
        <v>91.468448273790386</v>
      </c>
      <c r="AJ145" s="3">
        <f>USA!AL158</f>
        <v>34.08728171229459</v>
      </c>
      <c r="AK145" s="9"/>
      <c r="AL145" s="3"/>
      <c r="AM145" s="3"/>
      <c r="AX145"/>
      <c r="AY145"/>
    </row>
    <row r="146" spans="1:51">
      <c r="D146" s="13"/>
      <c r="E146" s="13"/>
      <c r="F146"/>
      <c r="G146"/>
      <c r="H146"/>
      <c r="I146"/>
      <c r="J146"/>
      <c r="K146"/>
      <c r="L146"/>
      <c r="M146"/>
      <c r="N146"/>
      <c r="O146" s="12"/>
      <c r="P146"/>
      <c r="Q146"/>
      <c r="R146"/>
      <c r="S146"/>
      <c r="T146"/>
      <c r="U146"/>
      <c r="V146"/>
      <c r="W146"/>
      <c r="X146"/>
      <c r="Y146"/>
      <c r="Z146"/>
      <c r="AA146"/>
      <c r="AB146" s="3"/>
      <c r="AC146" s="3"/>
      <c r="AG146"/>
      <c r="AH146" s="3">
        <f>USA!AJ159</f>
        <v>169.14195482556306</v>
      </c>
      <c r="AI146" s="3">
        <f>USA!AK159</f>
        <v>90.153207715955162</v>
      </c>
      <c r="AJ146" s="3">
        <f>USA!AL159</f>
        <v>34.518766290931239</v>
      </c>
      <c r="AK146" s="9"/>
      <c r="AL146" s="3"/>
      <c r="AM146" s="3"/>
      <c r="AX146"/>
      <c r="AY146"/>
    </row>
    <row r="147" spans="1:51">
      <c r="D147" s="13"/>
      <c r="E147" s="13"/>
      <c r="F147"/>
      <c r="G147"/>
      <c r="H147"/>
      <c r="I147"/>
      <c r="J147"/>
      <c r="K147"/>
      <c r="L147"/>
      <c r="M147"/>
      <c r="N147"/>
      <c r="O147" s="12"/>
      <c r="P147"/>
      <c r="Q147"/>
      <c r="R147"/>
      <c r="S147"/>
      <c r="T147"/>
      <c r="U147"/>
      <c r="V147"/>
      <c r="W147"/>
      <c r="X147"/>
      <c r="Y147"/>
      <c r="Z147"/>
      <c r="AA147"/>
      <c r="AB147" s="3"/>
      <c r="AC147" s="3"/>
      <c r="AG147"/>
      <c r="AH147" s="3">
        <f>USA!AJ160</f>
        <v>171.73086229738288</v>
      </c>
      <c r="AI147" s="3">
        <f>USA!AK160</f>
        <v>90.054464673113912</v>
      </c>
      <c r="AJ147" s="3">
        <f>USA!AL160</f>
        <v>34.950250869567881</v>
      </c>
      <c r="AK147" s="9"/>
      <c r="AL147" s="3"/>
      <c r="AM147" s="3"/>
      <c r="AX147"/>
      <c r="AY147"/>
    </row>
    <row r="148" spans="1:51">
      <c r="D148" s="13"/>
      <c r="E148" s="13"/>
      <c r="F148"/>
      <c r="G148"/>
      <c r="H148"/>
      <c r="I148"/>
      <c r="J148"/>
      <c r="K148"/>
      <c r="L148"/>
      <c r="M148"/>
      <c r="N148"/>
      <c r="O148" s="12"/>
      <c r="P148">
        <v>1.9275223569663302</v>
      </c>
      <c r="Q148"/>
      <c r="R148"/>
      <c r="S148"/>
      <c r="T148"/>
      <c r="U148"/>
      <c r="V148"/>
      <c r="W148"/>
      <c r="X148"/>
      <c r="Y148"/>
      <c r="Z148"/>
      <c r="AA148"/>
      <c r="AB148" s="3"/>
      <c r="AC148" s="3"/>
      <c r="AG148"/>
      <c r="AH148" s="3">
        <f>USA!AJ161</f>
        <v>173.45680061192945</v>
      </c>
      <c r="AI148" s="3">
        <f>USA!AK161</f>
        <v>91.250057240640103</v>
      </c>
      <c r="AJ148" s="3">
        <f>USA!AL161</f>
        <v>35.381735448204516</v>
      </c>
      <c r="AK148" s="9"/>
      <c r="AL148" s="3"/>
      <c r="AM148" s="3"/>
      <c r="AX148"/>
      <c r="AY148"/>
    </row>
    <row r="149" spans="1:51">
      <c r="D149" s="13"/>
      <c r="E149" s="13"/>
      <c r="F149"/>
      <c r="G149"/>
      <c r="H149"/>
      <c r="I149"/>
      <c r="J149"/>
      <c r="K149"/>
      <c r="L149"/>
      <c r="M149"/>
      <c r="N149"/>
      <c r="O149" s="12"/>
      <c r="P149">
        <v>1.5752209742486452</v>
      </c>
      <c r="Q149"/>
      <c r="R149"/>
      <c r="S149"/>
      <c r="T149"/>
      <c r="U149"/>
      <c r="V149"/>
      <c r="W149"/>
      <c r="X149"/>
      <c r="Y149"/>
      <c r="Z149"/>
      <c r="AA149"/>
      <c r="AB149" s="3"/>
      <c r="AC149" s="3"/>
      <c r="AG149"/>
      <c r="AH149" s="3">
        <f>USA!AJ162</f>
        <v>175.18273892647602</v>
      </c>
      <c r="AI149" s="3">
        <f>USA!AK162</f>
        <v>91.751958188656559</v>
      </c>
      <c r="AJ149" s="3">
        <f>USA!AL162</f>
        <v>36.2447046054778</v>
      </c>
      <c r="AK149" s="9"/>
      <c r="AL149" s="3"/>
      <c r="AM149" s="3"/>
      <c r="AX149"/>
      <c r="AY149"/>
    </row>
    <row r="150" spans="1:51">
      <c r="D150" s="13"/>
      <c r="E150" s="13"/>
      <c r="F150"/>
      <c r="G150"/>
      <c r="H150"/>
      <c r="I150"/>
      <c r="J150"/>
      <c r="K150"/>
      <c r="L150"/>
      <c r="M150"/>
      <c r="N150"/>
      <c r="O150" s="12"/>
      <c r="P150">
        <f>P148/P149-1</f>
        <v>0.22365203896915298</v>
      </c>
      <c r="Q150"/>
      <c r="R150"/>
      <c r="S150"/>
      <c r="T150"/>
      <c r="U150"/>
      <c r="V150"/>
      <c r="W150"/>
      <c r="X150"/>
      <c r="Y150"/>
      <c r="Z150"/>
      <c r="AA150"/>
      <c r="AB150" s="3"/>
      <c r="AC150" s="3"/>
      <c r="AG150"/>
      <c r="AH150" s="3">
        <f>USA!AJ163</f>
        <v>177.77164639829587</v>
      </c>
      <c r="AI150" s="3">
        <f>USA!AK163</f>
        <v>91.990526082750478</v>
      </c>
      <c r="AJ150" s="3">
        <f>USA!AL163</f>
        <v>37.107673762751077</v>
      </c>
      <c r="AK150" s="9"/>
      <c r="AL150" s="3"/>
      <c r="AM150" s="3"/>
      <c r="AX150"/>
      <c r="AY150"/>
    </row>
    <row r="151" spans="1:51">
      <c r="D151"/>
      <c r="E151"/>
      <c r="F151"/>
      <c r="G151"/>
      <c r="H151"/>
      <c r="I151"/>
      <c r="J151"/>
      <c r="K151"/>
      <c r="L151"/>
      <c r="M151"/>
      <c r="N151"/>
      <c r="O151" s="12"/>
      <c r="P151"/>
      <c r="Q151"/>
      <c r="R151"/>
      <c r="S151"/>
      <c r="T151"/>
      <c r="U151"/>
      <c r="V151"/>
      <c r="W151"/>
      <c r="X151"/>
      <c r="Y151"/>
      <c r="Z151"/>
      <c r="AA151"/>
      <c r="AB151" s="3"/>
      <c r="AC151" s="3"/>
      <c r="AG151"/>
      <c r="AH151" s="3">
        <f>USA!AJ164</f>
        <v>180.36055387011569</v>
      </c>
      <c r="AI151" s="3">
        <f>USA!AK164</f>
        <v>92.727792343203248</v>
      </c>
      <c r="AJ151" s="3">
        <f>USA!AL164</f>
        <v>37.970642920024368</v>
      </c>
      <c r="AK151" s="9"/>
      <c r="AL151" s="3"/>
      <c r="AM151" s="3"/>
      <c r="AX151"/>
      <c r="AY151"/>
    </row>
    <row r="152" spans="1:51">
      <c r="D152"/>
      <c r="E152"/>
      <c r="F152"/>
      <c r="G152"/>
      <c r="H152"/>
      <c r="I152"/>
      <c r="J152"/>
      <c r="K152"/>
      <c r="L152"/>
      <c r="M152"/>
      <c r="N152"/>
      <c r="O152" s="12"/>
      <c r="P152"/>
      <c r="Q152"/>
      <c r="R152"/>
      <c r="S152"/>
      <c r="T152"/>
      <c r="U152"/>
      <c r="V152"/>
      <c r="W152"/>
      <c r="X152"/>
      <c r="Y152"/>
      <c r="Z152"/>
      <c r="AA152"/>
      <c r="AB152" s="3"/>
      <c r="AC152" s="3"/>
      <c r="AG152"/>
      <c r="AH152" s="3">
        <f>USA!AJ165</f>
        <v>181.22352302738898</v>
      </c>
      <c r="AI152" s="3">
        <f>USA!AK165</f>
        <v>93.367803080926592</v>
      </c>
      <c r="AJ152" s="3">
        <f>USA!AL165</f>
        <v>38.833612077297637</v>
      </c>
      <c r="AK152" s="9"/>
      <c r="AL152" s="3"/>
      <c r="AM152" s="3"/>
      <c r="AX152"/>
      <c r="AY152"/>
    </row>
    <row r="153" spans="1:51">
      <c r="D153"/>
      <c r="E153"/>
      <c r="F153"/>
      <c r="G153"/>
      <c r="H153"/>
      <c r="I153"/>
      <c r="J153"/>
      <c r="K153"/>
      <c r="L153"/>
      <c r="M153"/>
      <c r="N153"/>
      <c r="O153" s="12"/>
      <c r="P153"/>
      <c r="Q153"/>
      <c r="R153"/>
      <c r="S153"/>
      <c r="T153"/>
      <c r="U153"/>
      <c r="V153"/>
      <c r="W153"/>
      <c r="X153"/>
      <c r="Y153"/>
      <c r="Z153"/>
      <c r="AA153"/>
      <c r="AB153" s="3"/>
      <c r="AC153" s="3"/>
      <c r="AG153"/>
      <c r="AH153"/>
      <c r="AK153" s="9"/>
      <c r="AL153" s="3"/>
      <c r="AM153" s="3"/>
      <c r="AX153"/>
      <c r="AY153"/>
    </row>
    <row r="154" spans="1:51">
      <c r="D154"/>
      <c r="E154"/>
      <c r="F154"/>
      <c r="G154"/>
      <c r="H154"/>
      <c r="I154"/>
      <c r="J154"/>
      <c r="K154"/>
      <c r="L154"/>
      <c r="M154"/>
      <c r="N154"/>
      <c r="O154" s="12"/>
      <c r="P154"/>
      <c r="Q154"/>
      <c r="R154"/>
      <c r="S154"/>
      <c r="T154"/>
      <c r="U154"/>
      <c r="V154"/>
      <c r="W154"/>
      <c r="X154"/>
      <c r="Y154"/>
      <c r="Z154"/>
      <c r="AA154"/>
      <c r="AB154" s="3"/>
      <c r="AC154" s="3"/>
      <c r="AG154"/>
      <c r="AH154"/>
      <c r="AK154" s="9"/>
      <c r="AL154" s="3"/>
      <c r="AM154" s="3"/>
      <c r="AX154"/>
      <c r="AY154"/>
    </row>
    <row r="155" spans="1:51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 s="3"/>
      <c r="AB155" s="3"/>
      <c r="AF155"/>
      <c r="AG155"/>
      <c r="AH155"/>
      <c r="AJ155" s="9"/>
      <c r="AK155" s="3"/>
      <c r="AL155" s="3"/>
      <c r="AM155" s="3"/>
      <c r="AW155"/>
      <c r="AX155"/>
      <c r="AY155"/>
    </row>
    <row r="156" spans="1:5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/>
      <c r="S156"/>
      <c r="T156"/>
      <c r="U156"/>
      <c r="V156"/>
      <c r="W156"/>
      <c r="X156"/>
      <c r="Y156"/>
      <c r="Z156"/>
      <c r="AA156" s="3"/>
      <c r="AB156" s="3"/>
      <c r="AF156"/>
      <c r="AG156"/>
      <c r="AH156"/>
      <c r="AJ156" s="9"/>
      <c r="AK156" s="3"/>
      <c r="AL156" s="3"/>
      <c r="AM156" s="3"/>
      <c r="AW156"/>
      <c r="AX156"/>
      <c r="AY156"/>
    </row>
    <row r="157" spans="1:5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/>
      <c r="S157"/>
      <c r="T157"/>
      <c r="U157"/>
      <c r="V157"/>
      <c r="W157"/>
      <c r="X157"/>
      <c r="Y157"/>
      <c r="Z157"/>
      <c r="AA157" s="3"/>
      <c r="AB157" s="3"/>
      <c r="AF157"/>
      <c r="AG157"/>
      <c r="AH157"/>
      <c r="AJ157" s="9"/>
      <c r="AK157" s="3"/>
      <c r="AL157" s="3"/>
      <c r="AM157" s="3"/>
      <c r="AW157"/>
      <c r="AX157"/>
      <c r="AY157"/>
    </row>
    <row r="158" spans="1:51">
      <c r="A158" s="12"/>
      <c r="B158" s="12"/>
      <c r="C158" s="12"/>
      <c r="D158" s="12"/>
      <c r="E158" s="12"/>
      <c r="F158" s="12"/>
      <c r="G158" s="83"/>
      <c r="H158" s="83"/>
      <c r="I158" s="12"/>
      <c r="J158" s="12"/>
      <c r="K158" s="12"/>
      <c r="L158" s="12"/>
      <c r="M158" s="12"/>
      <c r="N158" s="12"/>
      <c r="O158" s="12"/>
      <c r="P158" s="12"/>
      <c r="Q158" s="12"/>
      <c r="R158"/>
      <c r="S158"/>
      <c r="T158"/>
      <c r="U158"/>
      <c r="V158"/>
      <c r="W158"/>
      <c r="X158"/>
      <c r="Y158"/>
      <c r="Z158"/>
      <c r="AA158" s="3"/>
      <c r="AB158" s="3"/>
      <c r="AF158"/>
      <c r="AG158"/>
      <c r="AH158"/>
      <c r="AJ158" s="9"/>
      <c r="AK158" s="3"/>
      <c r="AL158" s="3"/>
      <c r="AM158" s="3"/>
      <c r="AW158"/>
      <c r="AX158"/>
      <c r="AY158"/>
    </row>
    <row r="159" spans="1:5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71"/>
      <c r="S159" s="71"/>
      <c r="T159" s="71"/>
      <c r="U159" s="71"/>
      <c r="V159" s="71"/>
      <c r="W159" s="71"/>
      <c r="X159" s="71"/>
      <c r="Y159" s="71"/>
      <c r="Z159" s="71"/>
      <c r="AA159" s="72"/>
      <c r="AB159" s="72"/>
      <c r="AF159"/>
      <c r="AG159"/>
      <c r="AH159"/>
      <c r="AJ159" s="9"/>
      <c r="AK159" s="3"/>
      <c r="AL159" s="3"/>
      <c r="AM159" s="3"/>
      <c r="AW159"/>
      <c r="AX159"/>
      <c r="AY159"/>
    </row>
    <row r="160" spans="1:51">
      <c r="A160" s="12"/>
      <c r="B160" s="21"/>
      <c r="C160" s="21"/>
      <c r="D160" s="21"/>
      <c r="E160" s="12"/>
      <c r="F160" s="12"/>
      <c r="G160" s="21"/>
      <c r="H160" s="21"/>
      <c r="I160" s="21"/>
      <c r="J160" s="21"/>
      <c r="K160" s="21"/>
      <c r="L160" s="21"/>
      <c r="M160" s="12"/>
      <c r="N160" s="12"/>
      <c r="O160" s="12"/>
      <c r="P160" s="12"/>
      <c r="Q160" s="12"/>
      <c r="R160"/>
      <c r="S160"/>
      <c r="T160"/>
      <c r="U160"/>
      <c r="V160"/>
      <c r="W160"/>
      <c r="X160"/>
      <c r="Y160"/>
      <c r="Z160"/>
      <c r="AA160" s="3"/>
      <c r="AB160" s="3"/>
      <c r="AF160"/>
      <c r="AG160"/>
      <c r="AH160"/>
      <c r="AJ160" s="9"/>
      <c r="AK160" s="3"/>
      <c r="AL160" s="3"/>
      <c r="AM160" s="3"/>
      <c r="AW160"/>
      <c r="AX160"/>
      <c r="AY160"/>
    </row>
    <row r="161" spans="1:51">
      <c r="A161" s="12"/>
      <c r="B161" s="21"/>
      <c r="C161" s="21"/>
      <c r="D161" s="21"/>
      <c r="E161" s="12"/>
      <c r="F161" s="12"/>
      <c r="G161" s="21"/>
      <c r="H161" s="21"/>
      <c r="I161" s="21"/>
      <c r="J161" s="21"/>
      <c r="K161" s="21"/>
      <c r="L161" s="21"/>
      <c r="M161" s="12"/>
      <c r="N161" s="12"/>
      <c r="O161" s="12"/>
      <c r="P161" s="12"/>
      <c r="Q161" s="12"/>
      <c r="R161"/>
      <c r="S161"/>
      <c r="T161"/>
      <c r="U161"/>
      <c r="V161"/>
      <c r="W161"/>
      <c r="X161"/>
      <c r="Y161"/>
      <c r="Z161"/>
      <c r="AA161" s="3"/>
      <c r="AB161" s="3"/>
      <c r="AF161"/>
      <c r="AG161"/>
      <c r="AH161"/>
      <c r="AJ161" s="9"/>
      <c r="AK161" s="3"/>
      <c r="AL161" s="3"/>
      <c r="AM161" s="3"/>
      <c r="AW161"/>
      <c r="AX161"/>
      <c r="AY161"/>
    </row>
    <row r="162" spans="1:51">
      <c r="A162" s="12"/>
      <c r="B162" s="21"/>
      <c r="C162" s="21"/>
      <c r="D162" s="21"/>
      <c r="E162" s="12"/>
      <c r="F162" s="12"/>
      <c r="G162" s="21"/>
      <c r="H162" s="21"/>
      <c r="I162" s="21"/>
      <c r="J162" s="21"/>
      <c r="K162" s="21"/>
      <c r="L162" s="21"/>
      <c r="M162" s="12"/>
      <c r="N162" s="13"/>
      <c r="O162" s="13"/>
      <c r="P162" s="12"/>
      <c r="Q162" s="12"/>
      <c r="R162"/>
      <c r="S162"/>
      <c r="T162"/>
      <c r="U162"/>
      <c r="V162"/>
      <c r="W162"/>
      <c r="X162"/>
      <c r="Y162"/>
      <c r="Z162"/>
      <c r="AA162" s="3"/>
      <c r="AB162" s="3"/>
      <c r="AF162"/>
      <c r="AG162"/>
      <c r="AH162"/>
      <c r="AJ162" s="9"/>
      <c r="AK162" s="3"/>
      <c r="AL162" s="3"/>
      <c r="AM162" s="3"/>
      <c r="AW162"/>
      <c r="AX162"/>
      <c r="AY162"/>
    </row>
    <row r="163" spans="1:51">
      <c r="A163" s="12"/>
      <c r="B163" s="21"/>
      <c r="C163" s="21"/>
      <c r="D163" s="21"/>
      <c r="E163" s="21"/>
      <c r="F163" s="21"/>
      <c r="G163" s="21"/>
      <c r="H163" s="12"/>
      <c r="I163" s="12"/>
      <c r="J163" s="21"/>
      <c r="K163" s="21"/>
      <c r="L163" s="21"/>
      <c r="M163" s="21"/>
      <c r="N163" s="21"/>
      <c r="O163" s="21"/>
      <c r="P163" s="12"/>
      <c r="Q163" s="13"/>
      <c r="R163" s="13"/>
      <c r="S163" s="116"/>
      <c r="T163" s="12"/>
      <c r="U163"/>
      <c r="V163"/>
      <c r="W163"/>
      <c r="X163"/>
      <c r="Y163"/>
      <c r="Z163"/>
      <c r="AA163"/>
      <c r="AB163"/>
      <c r="AC163"/>
      <c r="AD163" s="3"/>
      <c r="AE163" s="3"/>
    </row>
    <row r="164" spans="1:51">
      <c r="A164" s="12"/>
      <c r="B164" s="21"/>
      <c r="C164" s="21"/>
      <c r="D164" s="21"/>
      <c r="E164" s="21"/>
      <c r="F164" s="21"/>
      <c r="G164" s="21"/>
      <c r="H164" s="12"/>
      <c r="I164" s="12"/>
      <c r="J164" s="21"/>
      <c r="K164" s="21"/>
      <c r="L164" s="21"/>
      <c r="M164" s="21"/>
      <c r="N164" s="21"/>
      <c r="O164" s="21"/>
      <c r="P164" s="12"/>
      <c r="Q164" s="13"/>
      <c r="R164" s="13"/>
      <c r="S164" s="116"/>
      <c r="T164" s="12"/>
      <c r="U164"/>
      <c r="V164"/>
      <c r="W164"/>
      <c r="X164"/>
      <c r="Y164"/>
      <c r="Z164"/>
      <c r="AA164"/>
      <c r="AB164"/>
      <c r="AC164"/>
      <c r="AD164" s="3"/>
      <c r="AE164" s="3"/>
    </row>
    <row r="165" spans="1:51">
      <c r="A165" s="12"/>
      <c r="B165" s="21"/>
      <c r="C165" s="21"/>
      <c r="D165" s="21"/>
      <c r="E165" s="21"/>
      <c r="F165" s="21"/>
      <c r="G165" s="21"/>
      <c r="H165" s="12"/>
      <c r="I165" s="12"/>
      <c r="J165" s="21"/>
      <c r="K165" s="21"/>
      <c r="L165" s="21"/>
      <c r="M165" s="21"/>
      <c r="N165" s="21"/>
      <c r="O165" s="21"/>
      <c r="P165" s="12"/>
      <c r="Q165" s="13"/>
      <c r="R165" s="13"/>
      <c r="S165" s="116"/>
      <c r="T165" s="12"/>
      <c r="U165"/>
      <c r="V165"/>
      <c r="W165"/>
      <c r="X165"/>
      <c r="Y165"/>
      <c r="Z165"/>
      <c r="AA165"/>
      <c r="AB165"/>
      <c r="AC165"/>
      <c r="AD165" s="3"/>
      <c r="AE165" s="3"/>
    </row>
    <row r="166" spans="1:51">
      <c r="A166" s="12"/>
      <c r="B166" s="21"/>
      <c r="C166" s="21"/>
      <c r="D166" s="21"/>
      <c r="E166" s="21"/>
      <c r="F166" s="21"/>
      <c r="G166" s="21"/>
      <c r="H166" s="12"/>
      <c r="I166" s="12"/>
      <c r="J166" s="21"/>
      <c r="K166" s="21"/>
      <c r="L166" s="21"/>
      <c r="M166" s="21"/>
      <c r="N166" s="21"/>
      <c r="O166" s="21"/>
      <c r="P166" s="12"/>
      <c r="Q166" s="13"/>
      <c r="R166" s="13"/>
      <c r="S166" s="116"/>
      <c r="T166" s="12"/>
      <c r="U166"/>
      <c r="V166"/>
      <c r="W166"/>
      <c r="X166"/>
      <c r="Y166"/>
      <c r="Z166"/>
      <c r="AA166"/>
      <c r="AB166"/>
      <c r="AC166"/>
      <c r="AD166" s="3"/>
      <c r="AE166" s="3"/>
    </row>
    <row r="167" spans="1:51">
      <c r="A167" s="12"/>
      <c r="B167" s="21"/>
      <c r="C167" s="21"/>
      <c r="D167" s="21"/>
      <c r="E167" s="21"/>
      <c r="F167" s="21"/>
      <c r="G167" s="21"/>
      <c r="H167" s="12"/>
      <c r="I167" s="12"/>
      <c r="J167" s="21"/>
      <c r="K167" s="21"/>
      <c r="L167" s="21"/>
      <c r="M167" s="21"/>
      <c r="N167" s="21"/>
      <c r="O167" s="21"/>
      <c r="P167" s="12"/>
      <c r="Q167" s="13"/>
      <c r="R167" s="13"/>
      <c r="S167" s="116"/>
      <c r="T167" s="12"/>
      <c r="U167"/>
      <c r="V167"/>
      <c r="W167"/>
      <c r="X167"/>
      <c r="Y167"/>
      <c r="Z167"/>
      <c r="AA167"/>
      <c r="AB167"/>
      <c r="AC167"/>
      <c r="AD167" s="3"/>
      <c r="AE167" s="3"/>
    </row>
    <row r="168" spans="1:51">
      <c r="A168" s="12"/>
      <c r="B168" s="21"/>
      <c r="C168" s="21"/>
      <c r="D168" s="21"/>
      <c r="E168" s="21"/>
      <c r="F168" s="21"/>
      <c r="G168" s="21"/>
      <c r="H168" s="12"/>
      <c r="I168" s="12"/>
      <c r="J168" s="21"/>
      <c r="K168" s="21"/>
      <c r="L168" s="21"/>
      <c r="M168" s="21"/>
      <c r="N168" s="21"/>
      <c r="O168" s="21"/>
      <c r="P168" s="12"/>
      <c r="Q168" s="13"/>
      <c r="R168" s="13"/>
      <c r="S168" s="116"/>
      <c r="T168" s="12"/>
      <c r="U168"/>
      <c r="V168"/>
      <c r="W168"/>
      <c r="X168"/>
      <c r="Y168"/>
      <c r="Z168"/>
      <c r="AA168"/>
      <c r="AB168"/>
      <c r="AC168"/>
      <c r="AD168" s="3"/>
      <c r="AE168" s="3"/>
    </row>
    <row r="169" spans="1:51">
      <c r="A169" s="12"/>
      <c r="B169" s="21"/>
      <c r="C169" s="21"/>
      <c r="D169" s="21"/>
      <c r="E169" s="21"/>
      <c r="F169" s="21"/>
      <c r="G169" s="21"/>
      <c r="H169" s="12"/>
      <c r="I169" s="12"/>
      <c r="J169" s="21"/>
      <c r="K169" s="21"/>
      <c r="L169" s="21"/>
      <c r="M169" s="21"/>
      <c r="N169" s="21"/>
      <c r="O169" s="21"/>
      <c r="P169" s="12"/>
      <c r="Q169" s="117"/>
      <c r="R169" s="13"/>
      <c r="S169" s="116"/>
      <c r="T169" s="12"/>
      <c r="U169"/>
      <c r="V169"/>
      <c r="W169"/>
      <c r="X169"/>
      <c r="Y169"/>
      <c r="Z169"/>
      <c r="AA169"/>
      <c r="AB169"/>
      <c r="AC169"/>
      <c r="AD169" s="3"/>
      <c r="AE169" s="3"/>
    </row>
    <row r="170" spans="1:51">
      <c r="A170" s="12"/>
      <c r="B170" s="21"/>
      <c r="C170" s="21"/>
      <c r="D170" s="21"/>
      <c r="E170" s="21"/>
      <c r="F170" s="21"/>
      <c r="G170" s="21"/>
      <c r="H170" s="12"/>
      <c r="I170" s="12"/>
      <c r="J170" s="21"/>
      <c r="K170" s="21"/>
      <c r="L170" s="21"/>
      <c r="M170" s="21"/>
      <c r="N170" s="21"/>
      <c r="O170" s="21"/>
      <c r="P170" s="12"/>
      <c r="Q170" s="117"/>
      <c r="R170" s="13"/>
      <c r="S170" s="116"/>
      <c r="T170" s="12"/>
      <c r="U170"/>
      <c r="V170"/>
      <c r="W170"/>
      <c r="X170"/>
      <c r="Y170"/>
      <c r="Z170"/>
      <c r="AA170"/>
      <c r="AB170"/>
      <c r="AC170"/>
      <c r="AD170" s="3"/>
      <c r="AE170" s="3"/>
    </row>
    <row r="171" spans="1:51">
      <c r="A171" s="12"/>
      <c r="B171" s="21"/>
      <c r="C171" s="21"/>
      <c r="D171" s="21"/>
      <c r="E171" s="21"/>
      <c r="F171" s="21"/>
      <c r="G171" s="21"/>
      <c r="H171" s="12"/>
      <c r="I171" s="12"/>
      <c r="J171" s="21"/>
      <c r="K171" s="21"/>
      <c r="L171" s="21"/>
      <c r="M171" s="21"/>
      <c r="N171" s="21"/>
      <c r="O171" s="21"/>
      <c r="P171" s="12"/>
      <c r="Q171" s="116"/>
      <c r="R171" s="116"/>
      <c r="S171" s="116"/>
      <c r="T171" s="12"/>
      <c r="U171"/>
      <c r="V171"/>
      <c r="W171"/>
      <c r="X171"/>
      <c r="Y171"/>
      <c r="Z171"/>
      <c r="AA171"/>
      <c r="AB171"/>
      <c r="AC171"/>
      <c r="AD171" s="3"/>
      <c r="AE171" s="3"/>
    </row>
    <row r="172" spans="1:51">
      <c r="A172" s="12"/>
      <c r="B172" s="21"/>
      <c r="C172" s="21"/>
      <c r="D172" s="21"/>
      <c r="E172" s="21"/>
      <c r="F172" s="21"/>
      <c r="G172" s="21"/>
      <c r="H172" s="12"/>
      <c r="I172" s="12"/>
      <c r="J172" s="21"/>
      <c r="K172" s="21"/>
      <c r="L172" s="21"/>
      <c r="M172" s="21"/>
      <c r="N172" s="21"/>
      <c r="O172" s="21"/>
      <c r="P172" s="12"/>
      <c r="Q172" s="12"/>
      <c r="R172" s="12"/>
      <c r="S172" s="12"/>
      <c r="T172" s="12"/>
      <c r="U172"/>
      <c r="V172"/>
      <c r="W172"/>
      <c r="X172"/>
      <c r="Y172"/>
      <c r="Z172"/>
      <c r="AA172"/>
      <c r="AB172"/>
      <c r="AC172"/>
      <c r="AD172" s="3"/>
      <c r="AE172" s="3"/>
    </row>
    <row r="173" spans="1:51">
      <c r="A173" s="12"/>
      <c r="B173" s="21"/>
      <c r="C173" s="21"/>
      <c r="D173" s="21"/>
      <c r="E173" s="21"/>
      <c r="F173" s="21"/>
      <c r="G173" s="21"/>
      <c r="H173" s="12"/>
      <c r="I173" s="12"/>
      <c r="J173" s="21"/>
      <c r="K173" s="21"/>
      <c r="L173" s="21"/>
      <c r="M173" s="21"/>
      <c r="N173" s="21"/>
      <c r="O173" s="21"/>
      <c r="P173" s="12"/>
      <c r="Q173" s="12"/>
      <c r="R173" s="12"/>
      <c r="S173" s="12"/>
      <c r="T173" s="12"/>
      <c r="U173"/>
      <c r="V173"/>
      <c r="W173"/>
      <c r="X173"/>
      <c r="Y173"/>
      <c r="Z173"/>
      <c r="AA173"/>
      <c r="AB173"/>
      <c r="AC173"/>
      <c r="AD173" s="3"/>
      <c r="AE173" s="3"/>
    </row>
    <row r="174" spans="1:51">
      <c r="A174" s="12"/>
      <c r="B174" s="21"/>
      <c r="C174" s="21"/>
      <c r="D174" s="21"/>
      <c r="E174" s="21"/>
      <c r="F174" s="21"/>
      <c r="G174" s="21"/>
      <c r="H174" s="12"/>
      <c r="I174" s="12"/>
      <c r="J174" s="21"/>
      <c r="K174" s="21"/>
      <c r="L174" s="21"/>
      <c r="M174" s="21"/>
      <c r="N174" s="21"/>
      <c r="O174" s="21"/>
      <c r="P174" s="12"/>
      <c r="Q174" s="12"/>
      <c r="R174" s="12"/>
      <c r="S174" s="12"/>
      <c r="T174" s="12"/>
      <c r="U174"/>
      <c r="V174"/>
      <c r="W174"/>
      <c r="X174"/>
      <c r="Y174"/>
      <c r="Z174"/>
      <c r="AA174"/>
      <c r="AB174"/>
      <c r="AC174"/>
      <c r="AD174" s="3"/>
      <c r="AE174" s="3"/>
    </row>
    <row r="175" spans="1:51">
      <c r="A175" s="12"/>
      <c r="B175" s="21"/>
      <c r="C175" s="21"/>
      <c r="D175" s="21"/>
      <c r="E175" s="21"/>
      <c r="F175" s="21"/>
      <c r="G175" s="21"/>
      <c r="H175" s="12"/>
      <c r="I175" s="12"/>
      <c r="J175" s="21"/>
      <c r="K175" s="21"/>
      <c r="L175" s="21"/>
      <c r="M175" s="21"/>
      <c r="N175" s="21"/>
      <c r="O175" s="21"/>
      <c r="P175" s="12"/>
      <c r="Q175" s="12"/>
      <c r="R175" s="12"/>
      <c r="S175" s="12"/>
      <c r="T175" s="12"/>
      <c r="U175"/>
      <c r="V175"/>
      <c r="W175"/>
      <c r="X175"/>
      <c r="Y175"/>
      <c r="Z175"/>
      <c r="AA175"/>
      <c r="AB175"/>
      <c r="AC175"/>
      <c r="AD175" s="3"/>
      <c r="AE175" s="3"/>
    </row>
    <row r="176" spans="1:51">
      <c r="A176" s="12"/>
      <c r="B176" s="21"/>
      <c r="C176" s="21"/>
      <c r="D176" s="21"/>
      <c r="E176" s="21"/>
      <c r="F176" s="21"/>
      <c r="G176" s="21"/>
      <c r="H176" s="12"/>
      <c r="I176" s="12"/>
      <c r="J176" s="21"/>
      <c r="K176" s="21"/>
      <c r="L176" s="21"/>
      <c r="M176" s="21"/>
      <c r="N176" s="21"/>
      <c r="O176" s="21"/>
      <c r="P176" s="12"/>
      <c r="Q176" s="12"/>
      <c r="R176" s="12"/>
      <c r="S176" s="12"/>
      <c r="T176" s="12"/>
      <c r="U176"/>
      <c r="V176"/>
      <c r="W176"/>
      <c r="X176"/>
      <c r="Y176"/>
      <c r="Z176"/>
      <c r="AA176"/>
      <c r="AB176"/>
      <c r="AC176"/>
      <c r="AD176" s="3"/>
      <c r="AE176" s="3"/>
    </row>
    <row r="177" spans="1:31">
      <c r="A177" s="12"/>
      <c r="B177" s="21"/>
      <c r="C177" s="21"/>
      <c r="D177" s="21"/>
      <c r="E177" s="21"/>
      <c r="F177" s="21"/>
      <c r="G177" s="21"/>
      <c r="H177" s="12"/>
      <c r="I177" s="12"/>
      <c r="J177" s="21"/>
      <c r="K177" s="21"/>
      <c r="L177" s="21"/>
      <c r="M177" s="21"/>
      <c r="N177" s="21"/>
      <c r="O177" s="21"/>
      <c r="P177" s="12"/>
      <c r="Q177" s="12"/>
      <c r="R177" s="12"/>
      <c r="S177" s="12"/>
      <c r="T177" s="12"/>
      <c r="U177"/>
      <c r="V177"/>
      <c r="W177"/>
      <c r="X177"/>
      <c r="Y177"/>
      <c r="Z177"/>
      <c r="AA177"/>
      <c r="AB177"/>
      <c r="AC177"/>
      <c r="AD177" s="3"/>
      <c r="AE177" s="3"/>
    </row>
    <row r="178" spans="1:31">
      <c r="A178" s="12"/>
      <c r="B178" s="21"/>
      <c r="C178" s="21"/>
      <c r="D178" s="21"/>
      <c r="E178" s="21"/>
      <c r="F178" s="21"/>
      <c r="G178" s="21"/>
      <c r="H178" s="12"/>
      <c r="I178" s="12"/>
      <c r="J178" s="21"/>
      <c r="K178" s="21"/>
      <c r="L178" s="21"/>
      <c r="M178" s="21"/>
      <c r="N178" s="21"/>
      <c r="O178" s="21"/>
      <c r="P178" s="12"/>
      <c r="Q178" s="12"/>
      <c r="R178" s="12"/>
      <c r="S178" s="12"/>
      <c r="T178" s="12"/>
      <c r="U178"/>
      <c r="V178"/>
      <c r="W178"/>
      <c r="X178"/>
      <c r="Y178"/>
      <c r="Z178"/>
      <c r="AA178"/>
      <c r="AB178"/>
      <c r="AC178"/>
      <c r="AD178" s="3"/>
      <c r="AE178" s="3"/>
    </row>
    <row r="179" spans="1:31">
      <c r="A179" s="12"/>
      <c r="B179" s="21"/>
      <c r="C179" s="21"/>
      <c r="D179" s="21"/>
      <c r="E179" s="21"/>
      <c r="F179" s="21"/>
      <c r="G179" s="21"/>
      <c r="H179" s="12"/>
      <c r="I179" s="12"/>
      <c r="J179" s="21"/>
      <c r="K179" s="21"/>
      <c r="L179" s="21"/>
      <c r="M179" s="21"/>
      <c r="N179" s="21"/>
      <c r="O179" s="21"/>
      <c r="P179" s="12"/>
      <c r="Q179" s="12"/>
      <c r="R179" s="12"/>
      <c r="S179" s="12"/>
      <c r="T179" s="12"/>
      <c r="U179"/>
      <c r="V179"/>
      <c r="W179"/>
      <c r="X179"/>
      <c r="Y179"/>
      <c r="Z179"/>
      <c r="AA179"/>
      <c r="AB179"/>
      <c r="AC179"/>
      <c r="AD179" s="3"/>
      <c r="AE179" s="3"/>
    </row>
    <row r="180" spans="1:31">
      <c r="A180" s="12"/>
      <c r="B180" s="21"/>
      <c r="C180" s="21"/>
      <c r="D180" s="21"/>
      <c r="E180" s="21"/>
      <c r="F180" s="21"/>
      <c r="G180" s="21"/>
      <c r="H180" s="12"/>
      <c r="I180" s="12"/>
      <c r="J180" s="21"/>
      <c r="K180" s="21"/>
      <c r="L180" s="21"/>
      <c r="M180" s="21"/>
      <c r="N180" s="21"/>
      <c r="O180" s="21"/>
      <c r="P180" s="12"/>
      <c r="Q180" s="12"/>
      <c r="R180" s="12"/>
      <c r="S180" s="12"/>
      <c r="T180" s="12"/>
      <c r="U180"/>
      <c r="V180"/>
      <c r="W180"/>
      <c r="X180"/>
      <c r="Y180"/>
      <c r="Z180"/>
      <c r="AA180"/>
      <c r="AB180"/>
      <c r="AC180"/>
      <c r="AD180" s="3"/>
      <c r="AE180" s="3"/>
    </row>
    <row r="181" spans="1:3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/>
      <c r="V181"/>
      <c r="W181"/>
      <c r="X181"/>
      <c r="Y181" s="23"/>
      <c r="Z181"/>
      <c r="AA181"/>
      <c r="AB181"/>
      <c r="AC181"/>
      <c r="AD181"/>
      <c r="AE181"/>
    </row>
    <row r="182" spans="1:31">
      <c r="A182" s="12"/>
      <c r="B182" s="12"/>
      <c r="C182" s="12"/>
      <c r="D182" s="32"/>
      <c r="E182" s="32"/>
      <c r="F182" s="32"/>
      <c r="G182" s="32"/>
      <c r="H182" s="32"/>
      <c r="I182" s="32"/>
      <c r="K182" s="32"/>
      <c r="L182" s="32"/>
      <c r="M182" s="32"/>
      <c r="N182" s="32"/>
      <c r="O182" s="32"/>
      <c r="R182" s="32"/>
      <c r="S182" s="32"/>
      <c r="T182" s="32"/>
    </row>
    <row r="183" spans="1:31">
      <c r="A183" s="12"/>
      <c r="B183" s="12"/>
      <c r="C183" s="12"/>
      <c r="D183" s="32"/>
      <c r="E183" s="32"/>
      <c r="F183" s="32"/>
      <c r="G183" s="32"/>
      <c r="H183" s="32"/>
      <c r="I183" s="32"/>
      <c r="K183" s="32"/>
      <c r="L183" s="32"/>
      <c r="M183" s="32"/>
      <c r="N183" s="32"/>
      <c r="O183" s="32"/>
      <c r="R183" s="32"/>
      <c r="S183" s="32"/>
      <c r="T183" s="32"/>
    </row>
    <row r="184" spans="1:31">
      <c r="A184" s="12"/>
      <c r="B184" s="12"/>
      <c r="C184" s="12"/>
      <c r="D184" s="12"/>
      <c r="E184" s="12"/>
      <c r="F184" s="12"/>
      <c r="G184" s="12"/>
      <c r="H184" s="32"/>
      <c r="I184" s="32"/>
      <c r="K184" s="32"/>
      <c r="L184" s="32"/>
      <c r="M184" s="32"/>
      <c r="N184" s="32"/>
      <c r="O184" s="32"/>
      <c r="R184" s="32"/>
      <c r="S184" s="32"/>
      <c r="T184" s="32"/>
    </row>
    <row r="185" spans="1:31">
      <c r="A185" s="12"/>
      <c r="B185" s="83"/>
      <c r="C185" s="83"/>
      <c r="D185" s="12"/>
      <c r="E185" s="12"/>
      <c r="F185" s="12"/>
      <c r="G185" s="12"/>
      <c r="H185" s="32"/>
      <c r="I185" s="32"/>
      <c r="K185" s="32"/>
      <c r="L185" s="32"/>
      <c r="M185" s="32"/>
      <c r="N185" s="32"/>
      <c r="O185" s="32"/>
      <c r="R185" s="32"/>
      <c r="S185" s="32"/>
      <c r="T185" s="32"/>
    </row>
    <row r="186" spans="1:31">
      <c r="A186" s="83"/>
      <c r="B186" s="83"/>
      <c r="C186" s="83"/>
      <c r="D186" s="83"/>
      <c r="E186" s="83"/>
      <c r="F186" s="83"/>
      <c r="G186" s="83"/>
      <c r="H186" s="32"/>
      <c r="I186" s="32"/>
      <c r="K186" s="32"/>
      <c r="L186" s="32"/>
      <c r="M186" s="32"/>
      <c r="N186" s="32"/>
      <c r="O186" s="32"/>
      <c r="R186" s="32"/>
      <c r="S186" s="32"/>
      <c r="T186" s="32"/>
    </row>
    <row r="187" spans="1:31">
      <c r="A187" s="12"/>
      <c r="B187" s="21"/>
      <c r="C187" s="21"/>
      <c r="D187" s="21"/>
      <c r="E187" s="21"/>
      <c r="F187" s="21"/>
      <c r="G187" s="21"/>
      <c r="H187" s="32"/>
      <c r="I187" s="32"/>
      <c r="K187" s="32"/>
      <c r="L187" s="32"/>
      <c r="M187" s="32"/>
      <c r="N187" s="32"/>
      <c r="O187" s="32"/>
      <c r="R187" s="32"/>
      <c r="S187" s="32"/>
      <c r="T187" s="32"/>
    </row>
    <row r="188" spans="1:31">
      <c r="A188" s="12"/>
      <c r="B188" s="21"/>
      <c r="C188" s="21"/>
      <c r="D188" s="21"/>
      <c r="E188" s="21"/>
      <c r="F188" s="21"/>
      <c r="G188" s="21"/>
      <c r="H188" s="32"/>
      <c r="I188" s="32"/>
      <c r="K188" s="32"/>
      <c r="L188" s="32"/>
      <c r="M188" s="32"/>
      <c r="N188" s="32"/>
      <c r="O188" s="32"/>
      <c r="R188" s="32"/>
      <c r="S188" s="32"/>
      <c r="T188" s="32"/>
    </row>
    <row r="189" spans="1:31">
      <c r="A189" s="12"/>
      <c r="B189" s="21"/>
      <c r="C189" s="21"/>
      <c r="D189" s="21"/>
      <c r="E189" s="21"/>
      <c r="F189" s="21"/>
      <c r="G189" s="21"/>
      <c r="H189" s="32"/>
      <c r="I189" s="32"/>
      <c r="K189" s="32"/>
      <c r="L189" s="32"/>
      <c r="M189" s="32"/>
      <c r="N189" s="32"/>
      <c r="O189" s="32"/>
      <c r="R189" s="32"/>
      <c r="S189" s="32"/>
      <c r="T189" s="32"/>
    </row>
    <row r="190" spans="1:31">
      <c r="A190" s="12"/>
      <c r="B190" s="21"/>
      <c r="C190" s="21"/>
      <c r="D190" s="21"/>
      <c r="E190" s="21"/>
      <c r="F190" s="21"/>
      <c r="G190" s="21"/>
      <c r="H190" s="32"/>
      <c r="I190" s="32"/>
      <c r="K190" s="32"/>
      <c r="L190" s="32"/>
      <c r="M190" s="32"/>
      <c r="N190" s="32"/>
      <c r="O190" s="32"/>
      <c r="R190" s="32"/>
      <c r="S190" s="32"/>
      <c r="T190" s="32"/>
    </row>
    <row r="191" spans="1:31">
      <c r="A191" s="12"/>
      <c r="B191" s="21"/>
      <c r="C191" s="21"/>
      <c r="D191" s="21"/>
      <c r="E191" s="21"/>
      <c r="F191" s="21"/>
      <c r="G191" s="21"/>
      <c r="H191" s="32"/>
      <c r="I191" s="32"/>
      <c r="K191" s="32"/>
      <c r="L191" s="32"/>
      <c r="M191" s="32"/>
      <c r="N191" s="32"/>
      <c r="O191" s="32"/>
      <c r="R191" s="32"/>
      <c r="S191" s="32"/>
      <c r="T191" s="32"/>
    </row>
    <row r="192" spans="1:31">
      <c r="A192" s="12"/>
      <c r="B192" s="21"/>
      <c r="C192" s="21"/>
      <c r="D192" s="21"/>
      <c r="E192" s="21"/>
      <c r="F192" s="21"/>
      <c r="G192" s="21"/>
      <c r="H192" s="32"/>
      <c r="I192" s="32"/>
      <c r="K192" s="32"/>
      <c r="L192" s="32"/>
      <c r="M192" s="32"/>
      <c r="N192" s="32"/>
      <c r="O192" s="32"/>
      <c r="R192" s="32"/>
      <c r="S192" s="32"/>
      <c r="T192" s="32"/>
    </row>
    <row r="193" spans="1:20">
      <c r="A193" s="12"/>
      <c r="B193" s="21"/>
      <c r="C193" s="21"/>
      <c r="D193" s="21"/>
      <c r="E193" s="21"/>
      <c r="F193" s="21"/>
      <c r="G193" s="21"/>
      <c r="H193" s="32"/>
      <c r="I193" s="32"/>
      <c r="K193" s="32"/>
      <c r="L193" s="32"/>
      <c r="M193" s="32"/>
      <c r="N193" s="32"/>
      <c r="O193" s="32"/>
      <c r="R193" s="32"/>
      <c r="S193" s="32"/>
      <c r="T193" s="32"/>
    </row>
    <row r="194" spans="1:20">
      <c r="A194" s="12"/>
      <c r="B194" s="21"/>
      <c r="C194" s="21"/>
      <c r="D194" s="21"/>
      <c r="E194" s="21"/>
      <c r="F194" s="21"/>
      <c r="G194" s="21"/>
      <c r="H194" s="32"/>
      <c r="I194" s="32"/>
      <c r="K194" s="32"/>
      <c r="L194" s="32"/>
      <c r="M194" s="32"/>
      <c r="N194" s="32"/>
      <c r="O194" s="32"/>
      <c r="R194" s="32"/>
      <c r="S194" s="32"/>
      <c r="T194" s="32"/>
    </row>
    <row r="195" spans="1:20">
      <c r="A195" s="12"/>
      <c r="B195" s="21"/>
      <c r="C195" s="21"/>
      <c r="D195" s="21"/>
      <c r="E195" s="21"/>
      <c r="F195" s="21"/>
      <c r="G195" s="21"/>
      <c r="H195" s="32"/>
      <c r="I195" s="32"/>
      <c r="K195" s="32"/>
      <c r="L195" s="32"/>
      <c r="M195" s="32"/>
      <c r="N195" s="32"/>
      <c r="O195" s="32"/>
      <c r="R195" s="32"/>
      <c r="S195" s="32"/>
      <c r="T195" s="32"/>
    </row>
    <row r="196" spans="1:20">
      <c r="A196" s="12"/>
      <c r="B196" s="21"/>
      <c r="C196" s="21"/>
      <c r="D196" s="21"/>
      <c r="E196" s="21"/>
      <c r="F196" s="21"/>
      <c r="G196" s="21"/>
      <c r="H196" s="32"/>
      <c r="I196" s="32"/>
      <c r="K196" s="32"/>
      <c r="L196" s="32"/>
      <c r="M196" s="32"/>
      <c r="N196" s="32"/>
      <c r="O196" s="32"/>
      <c r="R196" s="32"/>
      <c r="S196" s="32"/>
      <c r="T196" s="32"/>
    </row>
    <row r="197" spans="1:20">
      <c r="A197" s="12"/>
      <c r="B197" s="21"/>
      <c r="C197" s="21"/>
      <c r="D197" s="21"/>
      <c r="E197" s="21"/>
      <c r="F197" s="21"/>
      <c r="G197" s="21"/>
      <c r="H197" s="32"/>
      <c r="I197" s="32"/>
      <c r="K197" s="32"/>
      <c r="L197" s="32"/>
      <c r="M197" s="32"/>
      <c r="N197" s="32"/>
      <c r="O197" s="32"/>
      <c r="R197" s="32"/>
      <c r="S197" s="32"/>
      <c r="T197" s="32"/>
    </row>
    <row r="198" spans="1:20">
      <c r="A198" s="12"/>
      <c r="B198" s="21"/>
      <c r="C198" s="21"/>
      <c r="D198" s="21"/>
      <c r="E198" s="21"/>
      <c r="F198" s="21"/>
      <c r="G198" s="21"/>
      <c r="H198" s="32"/>
      <c r="I198" s="32"/>
      <c r="K198" s="32"/>
      <c r="L198" s="32"/>
      <c r="M198" s="32"/>
      <c r="N198" s="32"/>
      <c r="O198" s="32"/>
      <c r="R198" s="32"/>
      <c r="S198" s="32"/>
      <c r="T198" s="32"/>
    </row>
    <row r="199" spans="1:20">
      <c r="A199" s="12"/>
      <c r="B199" s="21"/>
      <c r="C199" s="21"/>
      <c r="D199" s="21"/>
      <c r="E199" s="21"/>
      <c r="F199" s="21"/>
      <c r="G199" s="21"/>
      <c r="H199" s="32"/>
      <c r="I199" s="32"/>
      <c r="K199" s="32"/>
      <c r="L199" s="32"/>
      <c r="M199" s="32"/>
      <c r="N199" s="32"/>
      <c r="O199" s="32"/>
      <c r="R199" s="32"/>
      <c r="S199" s="32"/>
      <c r="T199" s="32"/>
    </row>
    <row r="200" spans="1:20">
      <c r="A200" s="12"/>
      <c r="B200" s="21"/>
      <c r="C200" s="21"/>
      <c r="D200" s="21"/>
      <c r="E200" s="21"/>
      <c r="F200" s="21"/>
      <c r="G200" s="21"/>
      <c r="H200" s="32"/>
      <c r="I200" s="32"/>
      <c r="K200" s="32"/>
      <c r="L200" s="32"/>
      <c r="M200" s="32"/>
      <c r="N200" s="32"/>
      <c r="O200" s="32"/>
      <c r="R200" s="32"/>
      <c r="S200" s="32"/>
      <c r="T200" s="32"/>
    </row>
    <row r="201" spans="1:20">
      <c r="A201" s="12"/>
      <c r="B201" s="21"/>
      <c r="C201" s="21"/>
      <c r="D201" s="21"/>
      <c r="E201" s="21"/>
      <c r="F201" s="21"/>
      <c r="G201" s="21"/>
      <c r="H201" s="32"/>
      <c r="I201" s="32"/>
      <c r="K201" s="32"/>
      <c r="L201" s="32"/>
      <c r="M201" s="32"/>
      <c r="N201" s="32"/>
      <c r="O201" s="32"/>
      <c r="R201" s="32"/>
      <c r="S201" s="32"/>
      <c r="T201" s="32"/>
    </row>
    <row r="202" spans="1:20">
      <c r="A202" s="12"/>
      <c r="B202" s="21"/>
      <c r="C202" s="21"/>
      <c r="D202" s="21"/>
      <c r="E202" s="21"/>
      <c r="F202" s="21"/>
      <c r="G202" s="21"/>
      <c r="H202" s="32"/>
      <c r="I202" s="32"/>
      <c r="K202" s="32"/>
      <c r="L202" s="32"/>
      <c r="M202" s="32"/>
      <c r="N202" s="32"/>
      <c r="O202" s="32"/>
      <c r="R202" s="32"/>
      <c r="S202" s="32"/>
      <c r="T202" s="32"/>
    </row>
    <row r="203" spans="1:20">
      <c r="A203" s="12"/>
      <c r="B203" s="21"/>
      <c r="C203" s="21"/>
      <c r="D203" s="21"/>
      <c r="E203" s="21"/>
      <c r="F203" s="21"/>
      <c r="G203" s="21"/>
      <c r="H203" s="32"/>
      <c r="I203" s="32"/>
      <c r="K203" s="32"/>
      <c r="L203" s="32"/>
      <c r="M203" s="32"/>
      <c r="N203" s="32"/>
      <c r="O203" s="32"/>
      <c r="R203" s="32"/>
      <c r="S203" s="32"/>
      <c r="T203" s="32"/>
    </row>
    <row r="204" spans="1:20">
      <c r="A204" s="12"/>
      <c r="B204" s="21"/>
      <c r="C204" s="21"/>
      <c r="D204" s="21"/>
      <c r="E204" s="21"/>
      <c r="F204" s="21"/>
      <c r="G204" s="21"/>
      <c r="H204" s="32"/>
      <c r="I204" s="32"/>
      <c r="K204" s="32"/>
      <c r="L204" s="32"/>
      <c r="M204" s="32"/>
      <c r="N204" s="32"/>
      <c r="O204" s="32"/>
      <c r="R204" s="32"/>
      <c r="S204" s="32"/>
      <c r="T204" s="32"/>
    </row>
    <row r="205" spans="1:20">
      <c r="A205" s="12"/>
      <c r="B205" s="21"/>
      <c r="C205" s="21"/>
      <c r="D205" s="21"/>
      <c r="E205" s="21"/>
      <c r="F205" s="21"/>
      <c r="G205" s="21"/>
      <c r="H205" s="32"/>
      <c r="I205" s="32"/>
      <c r="K205" s="32"/>
      <c r="L205" s="32"/>
      <c r="M205" s="32"/>
      <c r="N205" s="32"/>
      <c r="O205" s="32"/>
      <c r="R205" s="32"/>
      <c r="S205" s="32"/>
      <c r="T205" s="32"/>
    </row>
    <row r="206" spans="1:20">
      <c r="A206" s="12"/>
      <c r="B206" s="21"/>
      <c r="C206" s="21"/>
      <c r="D206" s="21"/>
      <c r="E206" s="21"/>
      <c r="F206" s="21"/>
      <c r="G206" s="21"/>
      <c r="H206" s="32"/>
      <c r="I206" s="32"/>
      <c r="K206" s="32"/>
      <c r="L206" s="32"/>
      <c r="M206" s="32"/>
      <c r="N206" s="32"/>
      <c r="O206" s="32"/>
      <c r="R206" s="32"/>
      <c r="S206" s="32"/>
      <c r="T206" s="32"/>
    </row>
    <row r="207" spans="1:20">
      <c r="A207" s="12"/>
      <c r="B207" s="21"/>
      <c r="C207" s="21"/>
      <c r="D207" s="21"/>
      <c r="E207" s="21"/>
      <c r="F207" s="21"/>
      <c r="G207" s="21"/>
      <c r="H207" s="32"/>
      <c r="I207" s="32"/>
      <c r="K207" s="32"/>
      <c r="L207" s="32"/>
      <c r="M207" s="32"/>
      <c r="N207" s="32"/>
      <c r="O207" s="32"/>
      <c r="R207" s="32"/>
      <c r="S207" s="32"/>
      <c r="T207" s="32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workbookViewId="0">
      <selection activeCell="A3" sqref="A3:G23"/>
    </sheetView>
  </sheetViews>
  <sheetFormatPr defaultRowHeight="15"/>
  <cols>
    <col min="1" max="1" width="18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0.95888760367362902</v>
      </c>
    </row>
    <row r="5" spans="1:7">
      <c r="A5" s="13" t="s">
        <v>80</v>
      </c>
      <c r="B5" s="13">
        <v>0.91946543647895462</v>
      </c>
    </row>
    <row r="6" spans="1:7">
      <c r="A6" s="13" t="s">
        <v>81</v>
      </c>
      <c r="B6" s="13">
        <v>0.909184428369885</v>
      </c>
    </row>
    <row r="7" spans="1:7">
      <c r="A7" s="13" t="s">
        <v>82</v>
      </c>
      <c r="B7" s="13">
        <v>16.330898091294696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6</v>
      </c>
      <c r="C12" s="13">
        <v>143110.36668180139</v>
      </c>
      <c r="D12" s="13">
        <v>23851.727780300233</v>
      </c>
      <c r="E12" s="13">
        <v>89.433392788381141</v>
      </c>
      <c r="F12" s="13">
        <v>5.1932129846269999E-24</v>
      </c>
    </row>
    <row r="13" spans="1:7">
      <c r="A13" s="13" t="s">
        <v>86</v>
      </c>
      <c r="B13" s="13">
        <v>47</v>
      </c>
      <c r="C13" s="13">
        <v>12534.816926007879</v>
      </c>
      <c r="D13" s="13">
        <v>266.69823246825274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155645.18360780927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24.155424593498122</v>
      </c>
      <c r="C17" s="13">
        <v>9.425132451858822</v>
      </c>
      <c r="D17" s="13">
        <v>2.5628737544939431</v>
      </c>
      <c r="E17" s="13">
        <v>1.3643145954587021E-2</v>
      </c>
      <c r="F17" s="13">
        <v>5.194503792824559</v>
      </c>
      <c r="G17" s="13">
        <v>43.116345394171688</v>
      </c>
    </row>
    <row r="18" spans="1:7">
      <c r="A18" s="13" t="s">
        <v>229</v>
      </c>
      <c r="B18" s="13">
        <v>6.7765387734986882E-3</v>
      </c>
      <c r="C18" s="13">
        <v>3.6479449127287881E-4</v>
      </c>
      <c r="D18" s="13">
        <v>18.576318819544905</v>
      </c>
      <c r="E18" s="13">
        <v>2.7549502753804936E-23</v>
      </c>
      <c r="F18" s="13">
        <v>6.0426669162195979E-3</v>
      </c>
      <c r="G18" s="13">
        <v>7.5104106307777784E-3</v>
      </c>
    </row>
    <row r="19" spans="1:7">
      <c r="A19" s="13" t="s">
        <v>240</v>
      </c>
      <c r="B19" s="13">
        <v>56.093629148937872</v>
      </c>
      <c r="C19" s="13">
        <v>7.2018587162225742</v>
      </c>
      <c r="D19" s="13">
        <v>7.7887711157931987</v>
      </c>
      <c r="E19" s="13">
        <v>5.2732292711182508E-10</v>
      </c>
      <c r="F19" s="13">
        <v>41.605358195355073</v>
      </c>
      <c r="G19" s="13">
        <v>70.581900102520677</v>
      </c>
    </row>
    <row r="20" spans="1:7">
      <c r="A20" s="13" t="s">
        <v>281</v>
      </c>
      <c r="B20" s="13">
        <v>-46.692569070279283</v>
      </c>
      <c r="C20" s="13">
        <v>15.115551986111875</v>
      </c>
      <c r="D20" s="13">
        <v>-3.0890416117903126</v>
      </c>
      <c r="E20" s="13">
        <v>3.3672730198135059E-3</v>
      </c>
      <c r="F20" s="13">
        <v>-77.10113738812899</v>
      </c>
      <c r="G20" s="13">
        <v>-16.284000752429584</v>
      </c>
    </row>
    <row r="21" spans="1:7">
      <c r="A21" s="13" t="s">
        <v>1990</v>
      </c>
      <c r="B21" s="13">
        <v>24.534194410792693</v>
      </c>
      <c r="C21" s="13">
        <v>8.8393388631708749</v>
      </c>
      <c r="D21" s="13">
        <v>2.7755689413621725</v>
      </c>
      <c r="E21" s="13">
        <v>7.8851191671425215E-3</v>
      </c>
      <c r="F21" s="13">
        <v>6.7517383051658264</v>
      </c>
      <c r="G21" s="13">
        <v>42.316650516419557</v>
      </c>
    </row>
    <row r="22" spans="1:7">
      <c r="A22" s="13" t="s">
        <v>1991</v>
      </c>
      <c r="B22" s="13">
        <v>-16.305939756385197</v>
      </c>
      <c r="C22" s="13">
        <v>8.2084446030398031</v>
      </c>
      <c r="D22" s="13">
        <v>-1.9864834989989064</v>
      </c>
      <c r="E22" s="13">
        <v>5.2827704625869214E-2</v>
      </c>
      <c r="F22" s="13">
        <v>-32.81920031902682</v>
      </c>
      <c r="G22" s="13">
        <v>0.20732080625642979</v>
      </c>
    </row>
    <row r="23" spans="1:7" ht="15.75" thickBot="1">
      <c r="A23" s="14" t="s">
        <v>2011</v>
      </c>
      <c r="B23" s="14">
        <v>24.083813597996034</v>
      </c>
      <c r="C23" s="14">
        <v>9.0206863899087892</v>
      </c>
      <c r="D23" s="14">
        <v>2.6698426879065411</v>
      </c>
      <c r="E23" s="14">
        <v>1.0387245650208522E-2</v>
      </c>
      <c r="F23" s="14">
        <v>5.9365333257658115</v>
      </c>
      <c r="G23" s="14">
        <v>42.23109387022626</v>
      </c>
    </row>
    <row r="43" spans="11:11">
      <c r="K43" t="s">
        <v>1992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V27"/>
  <sheetViews>
    <sheetView topLeftCell="Z1" zoomScale="75" zoomScaleNormal="75" workbookViewId="0">
      <selection activeCell="AN1" sqref="AN1:AV25"/>
    </sheetView>
  </sheetViews>
  <sheetFormatPr defaultRowHeight="15"/>
  <cols>
    <col min="1" max="1" width="13.28515625" customWidth="1"/>
    <col min="6" max="6" width="13.85546875" customWidth="1"/>
    <col min="7" max="7" width="12.7109375" customWidth="1"/>
    <col min="8" max="8" width="11.5703125" customWidth="1"/>
    <col min="11" max="11" width="10.7109375" customWidth="1"/>
    <col min="12" max="12" width="11" customWidth="1"/>
    <col min="14" max="14" width="26.42578125" customWidth="1"/>
    <col min="19" max="20" width="12.85546875" customWidth="1"/>
    <col min="21" max="21" width="12.7109375" customWidth="1"/>
    <col min="24" max="24" width="11.140625" customWidth="1"/>
    <col min="25" max="25" width="12.42578125" customWidth="1"/>
    <col min="40" max="40" width="15.42578125" customWidth="1"/>
    <col min="41" max="42" width="11.140625" customWidth="1"/>
    <col min="43" max="43" width="8.85546875" customWidth="1"/>
    <col min="44" max="44" width="9.5703125" customWidth="1"/>
    <col min="45" max="45" width="10.5703125" customWidth="1"/>
    <col min="46" max="46" width="11.7109375" customWidth="1"/>
    <col min="47" max="47" width="15" customWidth="1"/>
    <col min="48" max="48" width="16.5703125" customWidth="1"/>
  </cols>
  <sheetData>
    <row r="1" spans="1:48" s="71" customFormat="1">
      <c r="A1" s="71" t="s">
        <v>0</v>
      </c>
      <c r="O1" s="5" t="s">
        <v>2506</v>
      </c>
      <c r="P1" s="5" t="s">
        <v>219</v>
      </c>
      <c r="Q1" s="6" t="s">
        <v>146</v>
      </c>
      <c r="R1" s="5" t="s">
        <v>150</v>
      </c>
      <c r="S1" s="5" t="s">
        <v>29</v>
      </c>
      <c r="T1" s="5" t="s">
        <v>328</v>
      </c>
      <c r="U1" s="5" t="s">
        <v>125</v>
      </c>
      <c r="V1" s="5" t="s">
        <v>220</v>
      </c>
      <c r="W1" s="5" t="s">
        <v>168</v>
      </c>
      <c r="X1" s="5" t="s">
        <v>170</v>
      </c>
      <c r="Y1" s="5" t="s">
        <v>221</v>
      </c>
      <c r="Z1" s="5" t="s">
        <v>171</v>
      </c>
      <c r="AA1" s="5" t="s">
        <v>329</v>
      </c>
      <c r="AB1" s="5" t="s">
        <v>173</v>
      </c>
      <c r="AC1" s="5" t="s">
        <v>210</v>
      </c>
      <c r="AD1" s="5" t="s">
        <v>184</v>
      </c>
      <c r="AE1" s="5" t="s">
        <v>186</v>
      </c>
      <c r="AF1" s="5" t="s">
        <v>223</v>
      </c>
      <c r="AG1" s="5" t="s">
        <v>224</v>
      </c>
      <c r="AH1" s="5" t="s">
        <v>196</v>
      </c>
      <c r="AI1" s="5" t="s">
        <v>211</v>
      </c>
      <c r="AJ1" s="5" t="s">
        <v>200</v>
      </c>
      <c r="AK1" s="5" t="s">
        <v>225</v>
      </c>
      <c r="AL1" s="5" t="s">
        <v>226</v>
      </c>
      <c r="AN1" s="25"/>
      <c r="AO1" s="168" t="s">
        <v>88</v>
      </c>
      <c r="AP1" s="168" t="s">
        <v>1892</v>
      </c>
      <c r="AQ1" s="169" t="s">
        <v>2526</v>
      </c>
      <c r="AR1" s="168" t="s">
        <v>2529</v>
      </c>
      <c r="AS1" s="168" t="s">
        <v>2527</v>
      </c>
      <c r="AT1" s="169" t="s">
        <v>2518</v>
      </c>
      <c r="AU1" s="168" t="s">
        <v>2536</v>
      </c>
      <c r="AV1" s="168" t="s">
        <v>2530</v>
      </c>
    </row>
    <row r="2" spans="1:48" s="71" customFormat="1">
      <c r="B2" s="71" t="s">
        <v>2474</v>
      </c>
      <c r="C2" s="71" t="s">
        <v>2519</v>
      </c>
      <c r="D2" s="71" t="s">
        <v>2099</v>
      </c>
      <c r="E2" s="71" t="s">
        <v>2522</v>
      </c>
      <c r="F2" s="71" t="s">
        <v>2522</v>
      </c>
      <c r="G2" s="71" t="s">
        <v>2522</v>
      </c>
      <c r="H2" s="71" t="s">
        <v>2522</v>
      </c>
      <c r="I2" s="71" t="s">
        <v>2522</v>
      </c>
      <c r="J2" s="71" t="s">
        <v>2522</v>
      </c>
      <c r="K2" s="71" t="s">
        <v>2522</v>
      </c>
      <c r="L2" s="71" t="s">
        <v>2523</v>
      </c>
      <c r="N2" t="s">
        <v>2625</v>
      </c>
      <c r="O2" s="2">
        <v>0.3829417156815591</v>
      </c>
      <c r="P2" s="2">
        <v>0.30001897381913945</v>
      </c>
      <c r="Q2" s="2">
        <v>0.3028768766014347</v>
      </c>
      <c r="R2" s="2">
        <v>0.27930184026839666</v>
      </c>
      <c r="S2" s="2">
        <v>0.37030983811408813</v>
      </c>
      <c r="T2" s="2">
        <v>0.62443950193021824</v>
      </c>
      <c r="U2" s="2">
        <v>0.26835098932843993</v>
      </c>
      <c r="V2" s="2">
        <v>0.25274570912347483</v>
      </c>
      <c r="W2" s="2">
        <v>0.26712582992916989</v>
      </c>
      <c r="X2" s="2">
        <v>0.26078262331844426</v>
      </c>
      <c r="Y2" s="2">
        <v>0.22365203896915298</v>
      </c>
      <c r="Z2" s="2">
        <v>0.32121614420613676</v>
      </c>
      <c r="AA2" s="2">
        <v>0.47402061251104533</v>
      </c>
      <c r="AB2" s="2">
        <v>0.26655960815699098</v>
      </c>
      <c r="AC2" s="2">
        <v>0.26329617411905648</v>
      </c>
      <c r="AD2" s="2">
        <v>0.37577862078824231</v>
      </c>
      <c r="AE2" s="2">
        <v>0.3135026174479949</v>
      </c>
      <c r="AF2" s="2">
        <v>0.24036159265507839</v>
      </c>
      <c r="AG2" s="2">
        <v>0.35228012641985851</v>
      </c>
      <c r="AH2" s="2">
        <v>0.27033755608701759</v>
      </c>
      <c r="AI2" s="2">
        <v>0.28180350105817609</v>
      </c>
      <c r="AJ2" s="2">
        <v>0.26513619176409864</v>
      </c>
      <c r="AK2" s="2">
        <v>0.25146638279514311</v>
      </c>
      <c r="AL2" s="2">
        <v>0.65785534204056639</v>
      </c>
      <c r="AN2" s="4" t="s">
        <v>2506</v>
      </c>
      <c r="AO2" s="3">
        <f>OzReg!B17</f>
        <v>32.54903359051157</v>
      </c>
      <c r="AP2" s="3">
        <f>Australia!P131</f>
        <v>34.697611432852163</v>
      </c>
      <c r="AQ2" s="9">
        <v>10</v>
      </c>
      <c r="AR2" s="3">
        <f>(AP2+AO2)*AQ2/100</f>
        <v>6.7246645023363723</v>
      </c>
      <c r="AS2" s="3">
        <f>AO2+AP2+AR2</f>
        <v>73.971309525700093</v>
      </c>
      <c r="AT2" s="3">
        <f>Australia!W131</f>
        <v>119.87734612039708</v>
      </c>
      <c r="AU2" s="3">
        <f>AT2-AS2</f>
        <v>45.906036594696985</v>
      </c>
      <c r="AV2" s="3">
        <f>AU2/AT2</f>
        <v>0.38294171568155938</v>
      </c>
    </row>
    <row r="3" spans="1:48" s="71" customFormat="1">
      <c r="C3" s="71" t="s">
        <v>269</v>
      </c>
      <c r="D3" s="71" t="s">
        <v>2514</v>
      </c>
      <c r="E3" s="160" t="s">
        <v>2531</v>
      </c>
      <c r="F3" s="133"/>
      <c r="G3" s="133"/>
      <c r="H3" s="161" t="s">
        <v>2532</v>
      </c>
      <c r="I3" s="75"/>
      <c r="J3" s="75"/>
      <c r="N3" s="71" t="s">
        <v>2528</v>
      </c>
      <c r="O3" s="72">
        <f>1-O4</f>
        <v>0.61705828431844068</v>
      </c>
      <c r="P3" s="72">
        <f t="shared" ref="P3:AL3" si="0">1-P4</f>
        <v>0.69998102618086044</v>
      </c>
      <c r="Q3" s="72">
        <f t="shared" si="0"/>
        <v>0.69712312339856508</v>
      </c>
      <c r="R3" s="72">
        <f t="shared" si="0"/>
        <v>0.72069815973160312</v>
      </c>
      <c r="S3" s="72">
        <f t="shared" si="0"/>
        <v>0.62969016188591165</v>
      </c>
      <c r="T3" s="72">
        <f t="shared" si="0"/>
        <v>0.37556049806978209</v>
      </c>
      <c r="U3" s="72">
        <f t="shared" si="0"/>
        <v>0.73164901067156018</v>
      </c>
      <c r="V3" s="72">
        <f t="shared" si="0"/>
        <v>0.74725429087652495</v>
      </c>
      <c r="W3" s="72">
        <f t="shared" si="0"/>
        <v>0.73287417007082989</v>
      </c>
      <c r="X3" s="72">
        <f t="shared" si="0"/>
        <v>0.73921737668155585</v>
      </c>
      <c r="Y3" s="72">
        <f t="shared" si="0"/>
        <v>0.77634796103084702</v>
      </c>
      <c r="Z3" s="72">
        <f t="shared" si="0"/>
        <v>0.67878385579386336</v>
      </c>
      <c r="AA3" s="72">
        <f t="shared" si="0"/>
        <v>0.52597938748895445</v>
      </c>
      <c r="AB3" s="72">
        <f t="shared" si="0"/>
        <v>0.73343733328365657</v>
      </c>
      <c r="AC3" s="72">
        <f t="shared" si="0"/>
        <v>0.73670382588094352</v>
      </c>
      <c r="AD3" s="72">
        <f t="shared" si="0"/>
        <v>0.62422137921175769</v>
      </c>
      <c r="AE3" s="72">
        <f t="shared" si="0"/>
        <v>0.68649738255200499</v>
      </c>
      <c r="AF3" s="72">
        <f t="shared" si="0"/>
        <v>0.75963840734492161</v>
      </c>
      <c r="AG3" s="72">
        <f t="shared" si="0"/>
        <v>0.64771987358014138</v>
      </c>
      <c r="AH3" s="72">
        <f t="shared" si="0"/>
        <v>0.73022401905947643</v>
      </c>
      <c r="AI3" s="72">
        <f t="shared" si="0"/>
        <v>0.71819649894182391</v>
      </c>
      <c r="AJ3" s="72">
        <f t="shared" si="0"/>
        <v>0.73486380823590114</v>
      </c>
      <c r="AK3" s="72">
        <f t="shared" si="0"/>
        <v>0.74853361720485667</v>
      </c>
      <c r="AL3" s="72">
        <f t="shared" si="0"/>
        <v>0.34214465795943338</v>
      </c>
      <c r="AN3" s="166" t="s">
        <v>219</v>
      </c>
      <c r="AO3" s="130">
        <f>AustriaReg!B17</f>
        <v>0.21347054497496856</v>
      </c>
      <c r="AP3" s="130">
        <f>Austria!P131</f>
        <v>0.41496777451920003</v>
      </c>
      <c r="AQ3" s="167">
        <v>20</v>
      </c>
      <c r="AR3" s="130">
        <f t="shared" ref="AR3:AR24" si="1">(AP3+AO3)*AQ3/100</f>
        <v>0.12568766389883371</v>
      </c>
      <c r="AS3" s="130">
        <f t="shared" ref="AS3:AS24" si="2">AO3+AP3+AR3</f>
        <v>0.7541259833930023</v>
      </c>
      <c r="AT3" s="130">
        <f>Austria!W131</f>
        <v>1.0773520355366775</v>
      </c>
      <c r="AU3" s="130">
        <f t="shared" ref="AU3:AU25" si="3">AT3-AS3</f>
        <v>0.32322605214367517</v>
      </c>
      <c r="AV3" s="130">
        <f t="shared" ref="AV3:AV25" si="4">AU3/AT3</f>
        <v>0.30001897381913956</v>
      </c>
    </row>
    <row r="4" spans="1:48" s="71" customFormat="1">
      <c r="B4" s="159" t="s">
        <v>2513</v>
      </c>
      <c r="C4" s="71" t="s">
        <v>270</v>
      </c>
      <c r="D4" s="71" t="s">
        <v>2515</v>
      </c>
      <c r="E4" s="71" t="s">
        <v>2516</v>
      </c>
      <c r="F4" s="71" t="s">
        <v>2517</v>
      </c>
      <c r="G4" s="71" t="s">
        <v>87</v>
      </c>
      <c r="H4" s="71" t="s">
        <v>1892</v>
      </c>
      <c r="I4" s="71" t="s">
        <v>64</v>
      </c>
      <c r="J4" s="71" t="s">
        <v>87</v>
      </c>
      <c r="K4" s="159" t="s">
        <v>2518</v>
      </c>
      <c r="L4" s="162" t="s">
        <v>2524</v>
      </c>
      <c r="N4" s="71" t="s">
        <v>2626</v>
      </c>
      <c r="O4" s="173">
        <v>0.38294171568155938</v>
      </c>
      <c r="P4" s="173">
        <v>0.30001897381913956</v>
      </c>
      <c r="Q4" s="173">
        <v>0.30287687660143486</v>
      </c>
      <c r="R4" s="173">
        <v>0.27930184026839683</v>
      </c>
      <c r="S4" s="173">
        <v>0.37030983811408835</v>
      </c>
      <c r="T4" s="173">
        <v>0.62443950193021791</v>
      </c>
      <c r="U4" s="173">
        <v>0.26835098932843982</v>
      </c>
      <c r="V4" s="173">
        <v>0.2527457091234751</v>
      </c>
      <c r="W4" s="173">
        <v>0.26712582992917011</v>
      </c>
      <c r="X4" s="173">
        <v>0.26078262331844415</v>
      </c>
      <c r="Y4" s="173">
        <v>0.22365203896915295</v>
      </c>
      <c r="Z4" s="173">
        <v>0.32121614420613664</v>
      </c>
      <c r="AA4" s="173">
        <v>0.47402061251104549</v>
      </c>
      <c r="AB4" s="173">
        <v>0.26656266671634343</v>
      </c>
      <c r="AC4" s="173">
        <v>0.26329617411905654</v>
      </c>
      <c r="AD4" s="173">
        <v>0.37577862078824237</v>
      </c>
      <c r="AE4" s="173">
        <v>0.31350261744799501</v>
      </c>
      <c r="AF4" s="173">
        <v>0.24036159265507834</v>
      </c>
      <c r="AG4" s="173">
        <v>0.35228012641985862</v>
      </c>
      <c r="AH4" s="173">
        <v>0.26977598094052363</v>
      </c>
      <c r="AI4" s="173">
        <v>0.28180350105817614</v>
      </c>
      <c r="AJ4" s="173">
        <v>0.26513619176409886</v>
      </c>
      <c r="AK4" s="173">
        <v>0.25146638279514333</v>
      </c>
      <c r="AL4" s="173">
        <v>0.65785534204056662</v>
      </c>
      <c r="AN4" s="3" t="s">
        <v>146</v>
      </c>
      <c r="AO4" s="3">
        <f>BelgiumReg!B17</f>
        <v>0.2089769667352048</v>
      </c>
      <c r="AP4" s="3">
        <f>Belgium!P131</f>
        <v>0.53734924036934373</v>
      </c>
      <c r="AQ4" s="9">
        <v>21</v>
      </c>
      <c r="AR4" s="3">
        <f t="shared" si="1"/>
        <v>0.15672850349195519</v>
      </c>
      <c r="AS4" s="3">
        <f t="shared" si="2"/>
        <v>0.90305471059650377</v>
      </c>
      <c r="AT4" s="3">
        <f>Belgium!W131</f>
        <v>1.29540203198826</v>
      </c>
      <c r="AU4" s="3">
        <f t="shared" si="3"/>
        <v>0.39234732139175621</v>
      </c>
      <c r="AV4" s="3">
        <f t="shared" si="4"/>
        <v>0.30287687660143486</v>
      </c>
    </row>
    <row r="5" spans="1:48">
      <c r="A5">
        <v>2011</v>
      </c>
      <c r="B5" s="3">
        <f>Australia!D123</f>
        <v>104.18614906980586</v>
      </c>
      <c r="C5" s="2">
        <f>Australia!F123</f>
        <v>0.96091479088091858</v>
      </c>
      <c r="D5" s="3">
        <f>Australia!I123</f>
        <v>100.03630587653137</v>
      </c>
      <c r="E5" s="3">
        <f>Australia!R$103</f>
        <v>32.54903359051157</v>
      </c>
      <c r="F5" s="3">
        <f>G5-E5</f>
        <v>54.468719065610017</v>
      </c>
      <c r="G5" s="3">
        <f>Australia!M123</f>
        <v>87.017752656121587</v>
      </c>
      <c r="H5" s="3">
        <f>Australia!P123</f>
        <v>36.952773188020295</v>
      </c>
      <c r="I5" s="3">
        <f>Australia!S123</f>
        <v>12.39705258441419</v>
      </c>
      <c r="J5" s="3">
        <f>H5+I5</f>
        <v>49.349825772434485</v>
      </c>
      <c r="K5" s="3">
        <f>G5+J5</f>
        <v>136.36757842855607</v>
      </c>
      <c r="L5" s="3">
        <f>K5/C5</f>
        <v>141.91432968113759</v>
      </c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N5" s="166" t="s">
        <v>150</v>
      </c>
      <c r="AO5" s="130">
        <f>BritainReg!B17</f>
        <v>13.919432527381657</v>
      </c>
      <c r="AP5" s="130">
        <f>Britain!P131</f>
        <v>49.036756989036896</v>
      </c>
      <c r="AQ5" s="167">
        <v>20</v>
      </c>
      <c r="AR5" s="130">
        <f t="shared" si="1"/>
        <v>12.591237903283711</v>
      </c>
      <c r="AS5" s="130">
        <f>AO5+AP5+AR5</f>
        <v>75.547427419702259</v>
      </c>
      <c r="AT5" s="130">
        <f>Britain!W131</f>
        <v>104.82533693139587</v>
      </c>
      <c r="AU5" s="130">
        <f t="shared" si="3"/>
        <v>29.277909511693608</v>
      </c>
      <c r="AV5" s="130">
        <f t="shared" si="4"/>
        <v>0.27930184026839683</v>
      </c>
    </row>
    <row r="6" spans="1:48">
      <c r="A6">
        <v>2030</v>
      </c>
      <c r="B6" s="3">
        <f>Australia!D142</f>
        <v>89.285088706337618</v>
      </c>
      <c r="C6">
        <f>Australia!F142</f>
        <v>1.3979999999999999</v>
      </c>
      <c r="D6" s="3">
        <f>Australia!I142</f>
        <v>122.15889077532351</v>
      </c>
      <c r="E6" s="3">
        <f>Australia!R$103</f>
        <v>32.54903359051157</v>
      </c>
      <c r="F6" s="3">
        <f>G6-E6</f>
        <v>66.514234454239627</v>
      </c>
      <c r="G6" s="3">
        <f>Australia!M142</f>
        <v>99.063268044751197</v>
      </c>
      <c r="H6" s="6">
        <f>H5</f>
        <v>36.952773188020295</v>
      </c>
      <c r="I6" s="3">
        <f>Australia!S142</f>
        <v>13.376087947760338</v>
      </c>
      <c r="J6" s="3">
        <f>H6+I6</f>
        <v>50.328861135780635</v>
      </c>
      <c r="K6" s="3">
        <f>G6+J6</f>
        <v>149.39212918053184</v>
      </c>
      <c r="L6" s="3">
        <f>K6/C6</f>
        <v>106.8613227328554</v>
      </c>
      <c r="AN6" s="4" t="s">
        <v>29</v>
      </c>
      <c r="AO6" s="3">
        <f>CanadaReg!B17</f>
        <v>27.851005452295414</v>
      </c>
      <c r="AP6" s="3">
        <f>Canada!P131</f>
        <v>28.923300542060669</v>
      </c>
      <c r="AQ6" s="9">
        <v>17</v>
      </c>
      <c r="AR6" s="3">
        <f t="shared" si="1"/>
        <v>9.6516320190405338</v>
      </c>
      <c r="AS6" s="3">
        <f>AO6+AP6+AR6</f>
        <v>66.425938013396618</v>
      </c>
      <c r="AT6" s="3">
        <f>Canada!W131</f>
        <v>105.48987745727523</v>
      </c>
      <c r="AU6" s="3">
        <f t="shared" si="3"/>
        <v>39.06393944387861</v>
      </c>
      <c r="AV6" s="3">
        <f t="shared" si="4"/>
        <v>0.37030983811408835</v>
      </c>
    </row>
    <row r="7" spans="1:48">
      <c r="A7" t="s">
        <v>2520</v>
      </c>
      <c r="D7" s="111">
        <f>(D6/D5-1)</f>
        <v>0.22114556015389741</v>
      </c>
      <c r="E7" s="111">
        <f t="shared" ref="E7:L7" si="5">(E6/E5-1)</f>
        <v>0</v>
      </c>
      <c r="F7" s="111">
        <f t="shared" si="5"/>
        <v>0.22114556015389764</v>
      </c>
      <c r="G7" s="111">
        <f t="shared" si="5"/>
        <v>0.13842595356640963</v>
      </c>
      <c r="H7" s="111">
        <v>0</v>
      </c>
      <c r="I7" s="111">
        <f t="shared" si="5"/>
        <v>7.8973236314009876E-2</v>
      </c>
      <c r="J7" s="111">
        <f t="shared" si="5"/>
        <v>1.9838679225753442E-2</v>
      </c>
      <c r="K7" s="111">
        <f t="shared" si="5"/>
        <v>9.5510611114939081E-2</v>
      </c>
      <c r="L7" s="111">
        <f t="shared" si="5"/>
        <v>-0.24700118040962871</v>
      </c>
      <c r="N7" s="71"/>
      <c r="O7" s="170" t="s">
        <v>2506</v>
      </c>
      <c r="P7" s="170" t="s">
        <v>219</v>
      </c>
      <c r="Q7" s="171" t="s">
        <v>146</v>
      </c>
      <c r="R7" s="170" t="s">
        <v>150</v>
      </c>
      <c r="S7" s="170" t="s">
        <v>29</v>
      </c>
      <c r="T7" s="170" t="s">
        <v>328</v>
      </c>
      <c r="U7" s="170" t="s">
        <v>125</v>
      </c>
      <c r="V7" s="170" t="s">
        <v>220</v>
      </c>
      <c r="W7" s="170" t="s">
        <v>168</v>
      </c>
      <c r="X7" s="170" t="s">
        <v>170</v>
      </c>
      <c r="Y7" s="170" t="s">
        <v>221</v>
      </c>
      <c r="Z7" s="170" t="s">
        <v>171</v>
      </c>
      <c r="AN7" s="166" t="s">
        <v>328</v>
      </c>
      <c r="AO7" s="130">
        <f>ChinaReg!B17</f>
        <v>0.22065804870224937</v>
      </c>
      <c r="AP7" s="130">
        <f>China!$P$131</f>
        <v>1.2513192362342536</v>
      </c>
      <c r="AQ7" s="167">
        <v>16</v>
      </c>
      <c r="AR7" s="130">
        <f t="shared" si="1"/>
        <v>0.23551636558984046</v>
      </c>
      <c r="AS7" s="130">
        <f t="shared" si="2"/>
        <v>1.7074936505263434</v>
      </c>
      <c r="AT7" s="130">
        <f>China!W131</f>
        <v>4.5465208915797035</v>
      </c>
      <c r="AU7" s="130">
        <f t="shared" si="3"/>
        <v>2.8390272410533601</v>
      </c>
      <c r="AV7" s="130">
        <f t="shared" si="4"/>
        <v>0.62443950193021791</v>
      </c>
    </row>
    <row r="8" spans="1:48">
      <c r="A8" t="s">
        <v>2521</v>
      </c>
      <c r="D8" s="3">
        <f>D7/$D7</f>
        <v>1</v>
      </c>
      <c r="E8" s="3">
        <f t="shared" ref="E8:K8" si="6">E7/$D7</f>
        <v>0</v>
      </c>
      <c r="F8" s="3">
        <f t="shared" si="6"/>
        <v>1.0000000000000011</v>
      </c>
      <c r="G8" s="163">
        <f>G7/$D7</f>
        <v>0.62594950344052858</v>
      </c>
      <c r="H8" s="3"/>
      <c r="I8" s="3">
        <f>I7/$D7</f>
        <v>0.35710975277573564</v>
      </c>
      <c r="J8" s="30">
        <f>J7/$D7</f>
        <v>8.9708693278524362E-2</v>
      </c>
      <c r="K8" s="165">
        <f t="shared" si="6"/>
        <v>0.43189024933836467</v>
      </c>
      <c r="N8" t="s">
        <v>2525</v>
      </c>
      <c r="O8" s="72">
        <f>O2</f>
        <v>0.3829417156815591</v>
      </c>
      <c r="P8" s="72">
        <f t="shared" ref="P8:Z8" si="7">P2</f>
        <v>0.30001897381913945</v>
      </c>
      <c r="Q8" s="72">
        <f t="shared" si="7"/>
        <v>0.3028768766014347</v>
      </c>
      <c r="R8" s="72">
        <f t="shared" si="7"/>
        <v>0.27930184026839666</v>
      </c>
      <c r="S8" s="72">
        <f t="shared" si="7"/>
        <v>0.37030983811408813</v>
      </c>
      <c r="T8" s="72">
        <f t="shared" si="7"/>
        <v>0.62443950193021824</v>
      </c>
      <c r="U8" s="72">
        <f t="shared" si="7"/>
        <v>0.26835098932843993</v>
      </c>
      <c r="V8" s="72">
        <f t="shared" si="7"/>
        <v>0.25274570912347483</v>
      </c>
      <c r="W8" s="72">
        <f t="shared" si="7"/>
        <v>0.26712582992916989</v>
      </c>
      <c r="X8" s="72">
        <f t="shared" si="7"/>
        <v>0.26078262331844426</v>
      </c>
      <c r="Y8" s="72">
        <f t="shared" si="7"/>
        <v>0.22365203896915298</v>
      </c>
      <c r="Z8" s="72">
        <f t="shared" si="7"/>
        <v>0.32121614420613676</v>
      </c>
      <c r="AN8" s="3" t="s">
        <v>125</v>
      </c>
      <c r="AO8" s="3">
        <f>DenmarkReg!B17</f>
        <v>1.9831706976356491</v>
      </c>
      <c r="AP8" s="3">
        <f>Denmark!P131</f>
        <v>4.2159684284538024</v>
      </c>
      <c r="AQ8" s="9">
        <v>25</v>
      </c>
      <c r="AR8" s="3">
        <f t="shared" si="1"/>
        <v>1.5497847815223629</v>
      </c>
      <c r="AS8" s="3">
        <f t="shared" si="2"/>
        <v>7.7489239076118146</v>
      </c>
      <c r="AT8" s="3">
        <f>Denmark!W131</f>
        <v>10.591039958489514</v>
      </c>
      <c r="AU8" s="3">
        <f t="shared" si="3"/>
        <v>2.8421160508776993</v>
      </c>
      <c r="AV8" s="3">
        <f t="shared" si="4"/>
        <v>0.26835098932843982</v>
      </c>
    </row>
    <row r="9" spans="1:48">
      <c r="D9" s="3"/>
      <c r="E9" s="3"/>
      <c r="F9" s="3"/>
      <c r="G9" s="3"/>
      <c r="H9" s="3"/>
      <c r="I9" s="3"/>
      <c r="J9" s="3"/>
      <c r="K9" s="3"/>
      <c r="N9" s="71"/>
      <c r="O9" s="171" t="s">
        <v>329</v>
      </c>
      <c r="P9" s="171" t="s">
        <v>173</v>
      </c>
      <c r="Q9" s="171" t="s">
        <v>210</v>
      </c>
      <c r="R9" s="171" t="s">
        <v>184</v>
      </c>
      <c r="S9" s="171" t="s">
        <v>186</v>
      </c>
      <c r="T9" s="171" t="s">
        <v>223</v>
      </c>
      <c r="U9" s="171" t="s">
        <v>224</v>
      </c>
      <c r="V9" s="171" t="s">
        <v>196</v>
      </c>
      <c r="W9" s="171" t="s">
        <v>211</v>
      </c>
      <c r="X9" s="171" t="s">
        <v>200</v>
      </c>
      <c r="Y9" s="171" t="s">
        <v>225</v>
      </c>
      <c r="Z9" s="171" t="s">
        <v>226</v>
      </c>
      <c r="AN9" s="166" t="s">
        <v>220</v>
      </c>
      <c r="AO9" s="130">
        <f>FinlandReg!B17</f>
        <v>0.20149081191588439</v>
      </c>
      <c r="AP9" s="130">
        <f>Finland!P131</f>
        <v>0.62664082112302633</v>
      </c>
      <c r="AQ9" s="167">
        <v>24</v>
      </c>
      <c r="AR9" s="130">
        <f>(AP9+AO9)*AQ9/100</f>
        <v>0.19875159192933858</v>
      </c>
      <c r="AS9" s="130">
        <f>AO9+AP9+AR9</f>
        <v>1.0268832249682494</v>
      </c>
      <c r="AT9" s="130">
        <f>Finland!W131</f>
        <v>1.3742085358435632</v>
      </c>
      <c r="AU9" s="130">
        <f t="shared" si="3"/>
        <v>0.34732531087531382</v>
      </c>
      <c r="AV9" s="130">
        <f t="shared" si="4"/>
        <v>0.2527457091234751</v>
      </c>
    </row>
    <row r="10" spans="1:48">
      <c r="D10" s="3"/>
      <c r="E10" s="3"/>
      <c r="F10" s="3"/>
      <c r="G10" s="3"/>
      <c r="H10" s="3"/>
      <c r="I10" s="3"/>
      <c r="J10" s="3"/>
      <c r="K10" s="3"/>
      <c r="N10" t="s">
        <v>2525</v>
      </c>
      <c r="O10" s="72">
        <f>AA2</f>
        <v>0.47402061251104533</v>
      </c>
      <c r="P10" s="72">
        <f t="shared" ref="P10:Z10" si="8">AB2</f>
        <v>0.26655960815699098</v>
      </c>
      <c r="Q10" s="72">
        <f t="shared" si="8"/>
        <v>0.26329617411905648</v>
      </c>
      <c r="R10" s="72">
        <f t="shared" si="8"/>
        <v>0.37577862078824231</v>
      </c>
      <c r="S10" s="72">
        <f t="shared" si="8"/>
        <v>0.3135026174479949</v>
      </c>
      <c r="T10" s="72">
        <f t="shared" si="8"/>
        <v>0.24036159265507839</v>
      </c>
      <c r="U10" s="72">
        <f t="shared" si="8"/>
        <v>0.35228012641985851</v>
      </c>
      <c r="V10" s="72">
        <f t="shared" si="8"/>
        <v>0.27033755608701759</v>
      </c>
      <c r="W10" s="72">
        <f t="shared" si="8"/>
        <v>0.28180350105817609</v>
      </c>
      <c r="X10" s="72">
        <f t="shared" si="8"/>
        <v>0.26513619176409864</v>
      </c>
      <c r="Y10" s="72">
        <f t="shared" si="8"/>
        <v>0.25146638279514311</v>
      </c>
      <c r="Z10" s="72">
        <f t="shared" si="8"/>
        <v>0.65785534204056639</v>
      </c>
      <c r="AN10" s="4" t="s">
        <v>168</v>
      </c>
      <c r="AO10" s="3">
        <f>FranceReg!B17</f>
        <v>0.20662880838411471</v>
      </c>
      <c r="AP10" s="3">
        <f>France!P131</f>
        <v>0.60671319232538989</v>
      </c>
      <c r="AQ10" s="9">
        <v>20</v>
      </c>
      <c r="AR10" s="3">
        <f t="shared" si="1"/>
        <v>0.1626684001419009</v>
      </c>
      <c r="AS10" s="3">
        <f>AO10+AP10+AR10</f>
        <v>0.97601040085140545</v>
      </c>
      <c r="AT10" s="3">
        <f>France!W131</f>
        <v>1.3317571292723787</v>
      </c>
      <c r="AU10" s="3">
        <f t="shared" si="3"/>
        <v>0.35574672842097321</v>
      </c>
      <c r="AV10" s="3">
        <f t="shared" si="4"/>
        <v>0.26712582992917011</v>
      </c>
    </row>
    <row r="11" spans="1:48">
      <c r="D11" s="3"/>
      <c r="E11" s="3"/>
      <c r="H11" s="3"/>
      <c r="I11" s="3"/>
      <c r="J11" s="3"/>
      <c r="K11" s="3"/>
      <c r="AN11" s="166" t="s">
        <v>170</v>
      </c>
      <c r="AO11" s="130">
        <f>GermanyReg!B17</f>
        <v>0.2113580950253168</v>
      </c>
      <c r="AP11" s="130">
        <f>Germany!P131</f>
        <v>0.59888544456030957</v>
      </c>
      <c r="AQ11" s="167">
        <v>19</v>
      </c>
      <c r="AR11" s="130">
        <f t="shared" si="1"/>
        <v>0.153946272521269</v>
      </c>
      <c r="AS11" s="130">
        <f>AO11+AP11+AR11</f>
        <v>0.96418981210689536</v>
      </c>
      <c r="AT11" s="130">
        <f>Germany!W131</f>
        <v>1.3043386729290245</v>
      </c>
      <c r="AU11" s="130">
        <f t="shared" si="3"/>
        <v>0.34014886082212914</v>
      </c>
      <c r="AV11" s="130">
        <f t="shared" si="4"/>
        <v>0.26078262331844415</v>
      </c>
    </row>
    <row r="12" spans="1:48">
      <c r="H12" s="9"/>
      <c r="I12" s="9"/>
      <c r="J12" s="9"/>
      <c r="K12" s="9"/>
      <c r="AN12" s="3" t="s">
        <v>221</v>
      </c>
      <c r="AO12" s="3">
        <f>GreeceReg!B17</f>
        <v>0.26256630957642646</v>
      </c>
      <c r="AP12" s="3">
        <f>Greece!P131</f>
        <v>0.72365916746467029</v>
      </c>
      <c r="AQ12" s="9">
        <v>24</v>
      </c>
      <c r="AR12" s="3">
        <f t="shared" si="1"/>
        <v>0.23669411448986324</v>
      </c>
      <c r="AS12" s="3">
        <f t="shared" si="2"/>
        <v>1.2229195915309601</v>
      </c>
      <c r="AT12" s="3">
        <f>Greece!W131</f>
        <v>1.5752209742486452</v>
      </c>
      <c r="AU12" s="3">
        <f t="shared" si="3"/>
        <v>0.35230138271768507</v>
      </c>
      <c r="AV12" s="3">
        <f t="shared" si="4"/>
        <v>0.22365203896915295</v>
      </c>
    </row>
    <row r="13" spans="1:48">
      <c r="A13" s="71" t="s">
        <v>0</v>
      </c>
      <c r="B13" s="71"/>
      <c r="C13" s="71"/>
      <c r="D13" s="71"/>
      <c r="E13" s="71"/>
      <c r="F13" s="71"/>
      <c r="AN13" s="166" t="s">
        <v>171</v>
      </c>
      <c r="AO13" s="130">
        <f>HungaryReg!B17</f>
        <v>24.155424593498122</v>
      </c>
      <c r="AP13" s="130">
        <f>Hungary!P131</f>
        <v>201.05099405621957</v>
      </c>
      <c r="AQ13" s="167">
        <v>0</v>
      </c>
      <c r="AR13" s="130">
        <f t="shared" si="1"/>
        <v>0</v>
      </c>
      <c r="AS13" s="130">
        <f t="shared" si="2"/>
        <v>225.20641864971768</v>
      </c>
      <c r="AT13" s="130">
        <f>Hungary!W131</f>
        <v>331.77927955627388</v>
      </c>
      <c r="AU13" s="130">
        <f t="shared" si="3"/>
        <v>106.5728609065562</v>
      </c>
      <c r="AV13" s="130">
        <f t="shared" si="4"/>
        <v>0.32121614420613664</v>
      </c>
    </row>
    <row r="14" spans="1:48">
      <c r="A14" s="71"/>
      <c r="B14" s="71" t="s">
        <v>2474</v>
      </c>
      <c r="C14" s="71" t="s">
        <v>2519</v>
      </c>
      <c r="D14" s="71" t="s">
        <v>2099</v>
      </c>
      <c r="E14" s="71" t="s">
        <v>2522</v>
      </c>
      <c r="F14" s="71" t="s">
        <v>2522</v>
      </c>
      <c r="G14" s="71" t="s">
        <v>2522</v>
      </c>
      <c r="H14" s="71" t="s">
        <v>2522</v>
      </c>
      <c r="I14" s="71" t="s">
        <v>2522</v>
      </c>
      <c r="J14" s="71" t="s">
        <v>2522</v>
      </c>
      <c r="K14" s="71" t="s">
        <v>2522</v>
      </c>
      <c r="L14" s="71" t="s">
        <v>2523</v>
      </c>
      <c r="AN14" s="4" t="s">
        <v>329</v>
      </c>
      <c r="AO14" s="3">
        <f>IndiaReg!B17</f>
        <v>5.1372194790365535</v>
      </c>
      <c r="AP14" s="3">
        <f>India!P131</f>
        <v>13.921192827854073</v>
      </c>
      <c r="AQ14" s="9">
        <v>27</v>
      </c>
      <c r="AR14" s="3">
        <f t="shared" si="1"/>
        <v>5.1457713228604689</v>
      </c>
      <c r="AS14" s="3">
        <f t="shared" si="2"/>
        <v>24.204183629751096</v>
      </c>
      <c r="AT14" s="3">
        <f>India!W131</f>
        <v>46.017361526851431</v>
      </c>
      <c r="AU14" s="3">
        <f t="shared" si="3"/>
        <v>21.813177897100335</v>
      </c>
      <c r="AV14" s="3">
        <f t="shared" si="4"/>
        <v>0.47402061251104549</v>
      </c>
    </row>
    <row r="15" spans="1:48">
      <c r="A15" s="71"/>
      <c r="B15" s="71"/>
      <c r="C15" s="71" t="s">
        <v>269</v>
      </c>
      <c r="D15" s="71" t="s">
        <v>2514</v>
      </c>
      <c r="E15" s="160" t="s">
        <v>2531</v>
      </c>
      <c r="F15" s="133"/>
      <c r="G15" s="133"/>
      <c r="H15" s="161" t="s">
        <v>2532</v>
      </c>
      <c r="I15" s="75"/>
      <c r="J15" s="75"/>
      <c r="K15" s="71"/>
      <c r="AN15" s="166" t="s">
        <v>173</v>
      </c>
      <c r="AO15" s="130">
        <f>IrelandReg!B17</f>
        <v>0.24032342152996813</v>
      </c>
      <c r="AP15" s="130">
        <f>Ireland!P131</f>
        <v>0.55755496278838912</v>
      </c>
      <c r="AQ15" s="167">
        <v>23</v>
      </c>
      <c r="AR15" s="130">
        <f t="shared" si="1"/>
        <v>0.18351202839322217</v>
      </c>
      <c r="AS15" s="130">
        <f>AO15+AP15+AR15</f>
        <v>0.98139041271157934</v>
      </c>
      <c r="AT15" s="130">
        <f>Ireland!W131</f>
        <v>1.338069891149142</v>
      </c>
      <c r="AU15" s="130">
        <f t="shared" si="3"/>
        <v>0.35667947843756265</v>
      </c>
      <c r="AV15" s="130">
        <f t="shared" si="4"/>
        <v>0.26656266671634343</v>
      </c>
    </row>
    <row r="16" spans="1:48">
      <c r="A16" s="71"/>
      <c r="B16" s="159" t="s">
        <v>2513</v>
      </c>
      <c r="C16" s="71" t="s">
        <v>270</v>
      </c>
      <c r="D16" s="71" t="s">
        <v>2515</v>
      </c>
      <c r="E16" s="71" t="s">
        <v>2516</v>
      </c>
      <c r="F16" s="71" t="s">
        <v>2517</v>
      </c>
      <c r="G16" s="71" t="s">
        <v>87</v>
      </c>
      <c r="H16" s="71" t="s">
        <v>1892</v>
      </c>
      <c r="I16" s="71" t="s">
        <v>64</v>
      </c>
      <c r="J16" s="71" t="s">
        <v>87</v>
      </c>
      <c r="K16" s="159" t="s">
        <v>2518</v>
      </c>
      <c r="L16" s="162" t="s">
        <v>2524</v>
      </c>
      <c r="AN16" s="3" t="s">
        <v>210</v>
      </c>
      <c r="AO16" s="3">
        <f>ItalyReg!B17</f>
        <v>0.21386731648548357</v>
      </c>
      <c r="AP16" s="3">
        <f>Italy!P131</f>
        <v>0.66337048628092754</v>
      </c>
      <c r="AQ16" s="9">
        <v>22</v>
      </c>
      <c r="AR16" s="3">
        <f t="shared" si="1"/>
        <v>0.19299231660861046</v>
      </c>
      <c r="AS16" s="3">
        <f t="shared" si="2"/>
        <v>1.0702301193750217</v>
      </c>
      <c r="AT16" s="3">
        <f>Italy!W131</f>
        <v>1.4527277879889529</v>
      </c>
      <c r="AU16" s="3">
        <f t="shared" si="3"/>
        <v>0.3824976686139312</v>
      </c>
      <c r="AV16" s="3">
        <f t="shared" si="4"/>
        <v>0.26329617411905654</v>
      </c>
    </row>
    <row r="17" spans="1:48">
      <c r="A17">
        <v>2019</v>
      </c>
      <c r="B17" s="3">
        <f>Australia!D131</f>
        <v>56.019786702864394</v>
      </c>
      <c r="C17" s="2">
        <f>Australia!F131</f>
        <v>1.3979999999999999</v>
      </c>
      <c r="D17" s="3">
        <f>Australia!I131</f>
        <v>76.645665074042554</v>
      </c>
      <c r="E17" s="3">
        <f>Australia!R$103</f>
        <v>32.54903359051157</v>
      </c>
      <c r="F17" s="3">
        <f>G17-E17</f>
        <v>41.732760540633606</v>
      </c>
      <c r="G17" s="3">
        <f>Australia!M131</f>
        <v>74.281794131145176</v>
      </c>
      <c r="H17" s="3">
        <f>Australia!P131</f>
        <v>34.697611432852163</v>
      </c>
      <c r="I17" s="3">
        <f>Australia!S131</f>
        <v>10.897940556399735</v>
      </c>
      <c r="J17" s="3">
        <f>H17+I17</f>
        <v>45.595551989251902</v>
      </c>
      <c r="K17" s="3">
        <f>G17+J17</f>
        <v>119.87734612039708</v>
      </c>
      <c r="L17" s="3">
        <f>K17/C17</f>
        <v>85.749174621171022</v>
      </c>
      <c r="AN17" s="166" t="s">
        <v>184</v>
      </c>
      <c r="AO17" s="130">
        <f>JapanReg!B17</f>
        <v>24.848565076999186</v>
      </c>
      <c r="AP17" s="130">
        <f>Japan!P131</f>
        <v>53.923427216668252</v>
      </c>
      <c r="AQ17" s="167">
        <v>8</v>
      </c>
      <c r="AR17" s="130">
        <f t="shared" si="1"/>
        <v>6.3017593834933949</v>
      </c>
      <c r="AS17" s="130">
        <f t="shared" si="2"/>
        <v>85.073751677160828</v>
      </c>
      <c r="AT17" s="130">
        <f>Japan!W131</f>
        <v>136.28778909269118</v>
      </c>
      <c r="AU17" s="130">
        <f t="shared" si="3"/>
        <v>51.214037415530356</v>
      </c>
      <c r="AV17" s="130">
        <f t="shared" si="4"/>
        <v>0.37577862078824237</v>
      </c>
    </row>
    <row r="18" spans="1:48">
      <c r="A18">
        <v>2030</v>
      </c>
      <c r="B18" s="3">
        <f>Australia!D142</f>
        <v>89.285088706337618</v>
      </c>
      <c r="C18">
        <f>Australia!F142</f>
        <v>1.3979999999999999</v>
      </c>
      <c r="D18" s="3">
        <f>Australia!I142</f>
        <v>122.15889077532351</v>
      </c>
      <c r="E18" s="3">
        <f>Australia!R$103</f>
        <v>32.54903359051157</v>
      </c>
      <c r="F18" s="3">
        <f>G18-E18</f>
        <v>66.514234454239627</v>
      </c>
      <c r="G18" s="3">
        <f>Australia!M142</f>
        <v>99.063268044751197</v>
      </c>
      <c r="H18" s="3">
        <f>Australia!P142</f>
        <v>34.697611432852163</v>
      </c>
      <c r="I18" s="3">
        <f>Australia!S142</f>
        <v>13.376087947760338</v>
      </c>
      <c r="J18" s="3">
        <f>H18+I18</f>
        <v>48.073699380612503</v>
      </c>
      <c r="K18" s="3">
        <f>G18+J18</f>
        <v>147.13696742536371</v>
      </c>
      <c r="L18" s="3">
        <f>K18/C18</f>
        <v>105.24818843016003</v>
      </c>
      <c r="AN18" s="4" t="s">
        <v>186</v>
      </c>
      <c r="AO18" s="9">
        <f>KoreaReg!B17</f>
        <v>403.05548566989853</v>
      </c>
      <c r="AP18" s="9">
        <f>Korea!P131</f>
        <v>461.40003097736144</v>
      </c>
      <c r="AQ18" s="9">
        <v>10</v>
      </c>
      <c r="AR18" s="9">
        <f t="shared" si="1"/>
        <v>86.445551664725997</v>
      </c>
      <c r="AS18" s="9">
        <f t="shared" si="2"/>
        <v>950.90106831198591</v>
      </c>
      <c r="AT18" s="9">
        <f>Korea!W131</f>
        <v>1385.1488621516357</v>
      </c>
      <c r="AU18" s="9">
        <f t="shared" si="3"/>
        <v>434.24779383964983</v>
      </c>
      <c r="AV18" s="17">
        <f t="shared" si="4"/>
        <v>0.31350261744799501</v>
      </c>
    </row>
    <row r="19" spans="1:48">
      <c r="A19" t="s">
        <v>2520</v>
      </c>
      <c r="D19" s="111">
        <f>(D18/D17-1)</f>
        <v>0.59381343559761013</v>
      </c>
      <c r="E19" s="111">
        <f t="shared" ref="E19" si="9">(E18/E17-1)</f>
        <v>0</v>
      </c>
      <c r="F19" s="111">
        <f t="shared" ref="F19" si="10">(F18/F17-1)</f>
        <v>0.59381343559761013</v>
      </c>
      <c r="G19" s="111">
        <f t="shared" ref="G19" si="11">(G18/G17-1)</f>
        <v>0.33361436948943513</v>
      </c>
      <c r="H19" s="111">
        <f t="shared" ref="H19" si="12">(H18/H17-1)</f>
        <v>0</v>
      </c>
      <c r="I19" s="111">
        <f t="shared" ref="I19" si="13">(I18/I17-1)</f>
        <v>0.22739593582250994</v>
      </c>
      <c r="J19" s="111">
        <f t="shared" ref="J19" si="14">(J18/J17-1)</f>
        <v>5.4350639113762034E-2</v>
      </c>
      <c r="K19" s="111">
        <f>(K18/K17-1)</f>
        <v>0.22739593582250994</v>
      </c>
      <c r="L19" s="111">
        <f t="shared" ref="L19" si="15">(L18/L17-1)</f>
        <v>0.22739593582250994</v>
      </c>
      <c r="AN19" s="166" t="s">
        <v>223</v>
      </c>
      <c r="AO19" s="130">
        <f>NethReg!B17</f>
        <v>0.20855598404621289</v>
      </c>
      <c r="AP19" s="130">
        <f>Netherlands!P131</f>
        <v>0.69683983881099343</v>
      </c>
      <c r="AQ19" s="167">
        <v>21</v>
      </c>
      <c r="AR19" s="130">
        <f t="shared" si="1"/>
        <v>0.19013312280001332</v>
      </c>
      <c r="AS19" s="130">
        <f t="shared" si="2"/>
        <v>1.0955289456572197</v>
      </c>
      <c r="AT19" s="130">
        <f>Netherlands!W131</f>
        <v>1.4421716109461846</v>
      </c>
      <c r="AU19" s="130">
        <f t="shared" si="3"/>
        <v>0.34664266528896492</v>
      </c>
      <c r="AV19" s="130">
        <f t="shared" si="4"/>
        <v>0.24036159265507834</v>
      </c>
    </row>
    <row r="20" spans="1:48">
      <c r="A20" t="s">
        <v>2521</v>
      </c>
      <c r="D20" s="3">
        <f>D19/$D19</f>
        <v>1</v>
      </c>
      <c r="E20" s="3">
        <f t="shared" ref="E20" si="16">E19/$D19</f>
        <v>0</v>
      </c>
      <c r="F20" s="3">
        <f t="shared" ref="F20" si="17">F19/$D19</f>
        <v>1</v>
      </c>
      <c r="G20" s="163">
        <f t="shared" ref="G20" si="18">G19/$D19</f>
        <v>0.56181680893374819</v>
      </c>
      <c r="H20" s="3"/>
      <c r="I20" s="3">
        <f t="shared" ref="I20" si="19">I19/$D19</f>
        <v>0.38294171568155932</v>
      </c>
      <c r="J20" s="164">
        <f>I19*0.3</f>
        <v>6.8218780746752986E-2</v>
      </c>
      <c r="K20" s="165">
        <f>K19/$D19</f>
        <v>0.38294171568155932</v>
      </c>
      <c r="AN20" s="3" t="s">
        <v>224</v>
      </c>
      <c r="AO20" s="3">
        <f>NZreg!B17</f>
        <v>0.5199309205859628</v>
      </c>
      <c r="AP20" s="3">
        <f>'New Zealand'!P131</f>
        <v>0.59235156802966071</v>
      </c>
      <c r="AQ20" s="9">
        <v>15</v>
      </c>
      <c r="AR20" s="3">
        <f t="shared" si="1"/>
        <v>0.16684237329234353</v>
      </c>
      <c r="AS20" s="3">
        <f t="shared" si="2"/>
        <v>1.2791248619079671</v>
      </c>
      <c r="AT20" s="3">
        <f>'New Zealand'!W131</f>
        <v>1.974811819248129</v>
      </c>
      <c r="AU20" s="3">
        <f t="shared" si="3"/>
        <v>0.69568695734016184</v>
      </c>
      <c r="AV20" s="3">
        <f t="shared" si="4"/>
        <v>0.35228012641985862</v>
      </c>
    </row>
    <row r="21" spans="1:48">
      <c r="AN21" s="166" t="s">
        <v>196</v>
      </c>
      <c r="AO21" s="130">
        <f>NorwayReg!B17</f>
        <v>3.1942678972575127</v>
      </c>
      <c r="AP21" s="130">
        <f>Norway!P131</f>
        <v>5.3916408247219998</v>
      </c>
      <c r="AQ21" s="167">
        <v>25</v>
      </c>
      <c r="AR21" s="130">
        <f t="shared" si="1"/>
        <v>2.1464771804948781</v>
      </c>
      <c r="AS21" s="130">
        <f t="shared" si="2"/>
        <v>10.732385902474391</v>
      </c>
      <c r="AT21" s="130">
        <f>Norway!W131</f>
        <v>14.697388229296582</v>
      </c>
      <c r="AU21" s="130">
        <f t="shared" si="3"/>
        <v>3.9650023268221908</v>
      </c>
      <c r="AV21" s="130">
        <f t="shared" si="4"/>
        <v>0.26977598094052363</v>
      </c>
    </row>
    <row r="22" spans="1:48">
      <c r="F22" s="3"/>
      <c r="G22" s="3"/>
      <c r="AN22" s="4" t="s">
        <v>211</v>
      </c>
      <c r="AO22" s="3">
        <f>SpainReg!B17</f>
        <v>0.31485412291069198</v>
      </c>
      <c r="AP22" s="3">
        <f>Spain!P131</f>
        <v>0.39666288573745473</v>
      </c>
      <c r="AQ22" s="9">
        <v>21</v>
      </c>
      <c r="AR22" s="3">
        <f t="shared" si="1"/>
        <v>0.14941857181611082</v>
      </c>
      <c r="AS22" s="3">
        <f t="shared" si="2"/>
        <v>0.86093558046425755</v>
      </c>
      <c r="AT22" s="3">
        <f>Spain!W131</f>
        <v>1.1987465571507834</v>
      </c>
      <c r="AU22" s="3">
        <f t="shared" si="3"/>
        <v>0.33781097668652582</v>
      </c>
      <c r="AV22" s="3">
        <f t="shared" si="4"/>
        <v>0.28180350105817614</v>
      </c>
    </row>
    <row r="23" spans="1:48">
      <c r="AN23" s="166" t="s">
        <v>200</v>
      </c>
      <c r="AO23" s="130">
        <f>SwedenReg!B17</f>
        <v>2.1984574290997543</v>
      </c>
      <c r="AP23" s="130">
        <f>Sweden!P131</f>
        <v>5.9943272433318029</v>
      </c>
      <c r="AQ23" s="167">
        <v>25</v>
      </c>
      <c r="AR23" s="130">
        <f t="shared" si="1"/>
        <v>2.0481961681078893</v>
      </c>
      <c r="AS23" s="130">
        <f t="shared" si="2"/>
        <v>10.240980840539446</v>
      </c>
      <c r="AT23" s="130">
        <f>Sweden!W131</f>
        <v>13.935889515533134</v>
      </c>
      <c r="AU23" s="130">
        <f t="shared" si="3"/>
        <v>3.6949086749936875</v>
      </c>
      <c r="AV23" s="130">
        <f t="shared" si="4"/>
        <v>0.26513619176409886</v>
      </c>
    </row>
    <row r="24" spans="1:48">
      <c r="AN24" s="3" t="s">
        <v>225</v>
      </c>
      <c r="AO24" s="3">
        <f>SwissReg!B17</f>
        <v>0.33210817557615496</v>
      </c>
      <c r="AP24" s="3">
        <f>Swiss!P131</f>
        <v>0.75614875723115393</v>
      </c>
      <c r="AQ24" s="4">
        <v>7.7</v>
      </c>
      <c r="AR24" s="3">
        <f t="shared" si="1"/>
        <v>8.379578382616279E-2</v>
      </c>
      <c r="AS24" s="3">
        <f t="shared" si="2"/>
        <v>1.1720527166334715</v>
      </c>
      <c r="AT24" s="3">
        <f>Swiss!W131</f>
        <v>1.5657983685623933</v>
      </c>
      <c r="AU24" s="3">
        <f t="shared" si="3"/>
        <v>0.39374565192892175</v>
      </c>
      <c r="AV24" s="3">
        <f t="shared" si="4"/>
        <v>0.25146638279514333</v>
      </c>
    </row>
    <row r="25" spans="1:48">
      <c r="AN25" s="166" t="s">
        <v>2624</v>
      </c>
      <c r="AO25" s="130">
        <f>'USreg(gallon)'!B17</f>
        <v>40.643653903605923</v>
      </c>
      <c r="AP25" s="130">
        <f>USA!P198</f>
        <v>38.357452088819592</v>
      </c>
      <c r="AQ25" s="167">
        <v>0</v>
      </c>
      <c r="AR25" s="130">
        <f>(AP25+AO25)*AQ25/100</f>
        <v>0</v>
      </c>
      <c r="AS25" s="130">
        <f>AO25+AP25+AR25</f>
        <v>79.001105992425522</v>
      </c>
      <c r="AT25" s="130">
        <f>USA!W198</f>
        <v>230.89972078942222</v>
      </c>
      <c r="AU25" s="130">
        <f t="shared" si="3"/>
        <v>151.8986147969967</v>
      </c>
      <c r="AV25" s="130">
        <f t="shared" si="4"/>
        <v>0.65785534204056662</v>
      </c>
    </row>
    <row r="27" spans="1:48">
      <c r="A27" s="71"/>
      <c r="B27" s="4"/>
      <c r="C27" s="4"/>
      <c r="D27" s="3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21"/>
      <c r="Q27" s="4"/>
      <c r="R27" s="4"/>
      <c r="S27" s="4"/>
      <c r="T27" s="4"/>
      <c r="U27" s="4"/>
      <c r="V27" s="4"/>
      <c r="W27" s="4"/>
      <c r="X27" s="4"/>
      <c r="Y27" s="4"/>
      <c r="AO27" s="3">
        <f>AO4/100</f>
        <v>2.0897696673520482E-3</v>
      </c>
      <c r="AP27" s="3">
        <f t="shared" ref="AP27:AU27" si="20">AP4/100</f>
        <v>5.3734924036934369E-3</v>
      </c>
      <c r="AQ27" s="3">
        <f t="shared" si="20"/>
        <v>0.21</v>
      </c>
      <c r="AR27" s="3">
        <f t="shared" si="20"/>
        <v>1.5672850349195519E-3</v>
      </c>
      <c r="AS27" s="3">
        <f t="shared" si="20"/>
        <v>9.030547105965037E-3</v>
      </c>
      <c r="AT27" s="3">
        <f t="shared" si="20"/>
        <v>1.29540203198826E-2</v>
      </c>
      <c r="AU27" s="3">
        <f t="shared" si="20"/>
        <v>3.9234732139175619E-3</v>
      </c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G207"/>
  <sheetViews>
    <sheetView zoomScale="75" zoomScaleNormal="75" workbookViewId="0">
      <pane xSplit="1" ySplit="4" topLeftCell="AK52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D97"/>
    </sheetView>
  </sheetViews>
  <sheetFormatPr defaultRowHeight="15"/>
  <cols>
    <col min="1" max="1" width="6.7109375" customWidth="1"/>
    <col min="2" max="2" width="10.140625" customWidth="1"/>
    <col min="3" max="3" width="10.5703125" customWidth="1"/>
    <col min="4" max="5" width="11.5703125" style="3" customWidth="1"/>
    <col min="6" max="7" width="11.140625" style="3" customWidth="1"/>
    <col min="8" max="8" width="11.140625" style="9" customWidth="1"/>
    <col min="9" max="9" width="9.42578125" style="9" bestFit="1" customWidth="1"/>
    <col min="10" max="10" width="9.85546875" style="44" bestFit="1" customWidth="1"/>
    <col min="11" max="11" width="9.42578125" style="9" bestFit="1" customWidth="1"/>
    <col min="12" max="12" width="9.28515625" style="9" bestFit="1" customWidth="1"/>
    <col min="13" max="13" width="9.85546875" style="9" customWidth="1"/>
    <col min="14" max="14" width="8.28515625" style="3" customWidth="1"/>
    <col min="15" max="15" width="11" style="24" customWidth="1"/>
    <col min="16" max="17" width="11.5703125" style="7" customWidth="1"/>
    <col min="18" max="18" width="10.28515625" style="24" customWidth="1"/>
    <col min="19" max="19" width="9.85546875" style="9" bestFit="1" customWidth="1"/>
    <col min="20" max="22" width="9.42578125" style="3" bestFit="1" customWidth="1"/>
    <col min="23" max="23" width="9.85546875" style="24" customWidth="1"/>
    <col min="24" max="24" width="9.28515625" style="3" bestFit="1" customWidth="1"/>
    <col min="25" max="25" width="9.42578125" style="3" bestFit="1" customWidth="1"/>
    <col min="26" max="26" width="9.28515625" style="3" bestFit="1" customWidth="1"/>
    <col min="27" max="28" width="9.42578125" style="3" bestFit="1" customWidth="1"/>
    <col min="29" max="29" width="9.28515625" style="3" bestFit="1" customWidth="1"/>
    <col min="30" max="32" width="9.140625" style="3"/>
    <col min="33" max="33" width="11.28515625" style="3" customWidth="1"/>
    <col min="34" max="37" width="9.140625" style="3"/>
    <col min="42" max="42" width="9.140625" customWidth="1"/>
    <col min="43" max="43" width="1.5703125" style="12" customWidth="1"/>
    <col min="44" max="44" width="9.85546875" bestFit="1" customWidth="1"/>
    <col min="45" max="45" width="1.140625" style="12" customWidth="1"/>
    <col min="47" max="47" width="11.42578125" customWidth="1"/>
    <col min="51" max="51" width="9.140625" style="9"/>
  </cols>
  <sheetData>
    <row r="1" spans="1:59">
      <c r="A1" s="23" t="s">
        <v>171</v>
      </c>
      <c r="B1" s="23"/>
      <c r="C1" s="23"/>
      <c r="G1" s="6" t="s">
        <v>172</v>
      </c>
      <c r="AM1" t="s">
        <v>171</v>
      </c>
      <c r="AN1" t="s">
        <v>239</v>
      </c>
    </row>
    <row r="2" spans="1:59">
      <c r="D2" s="3" t="s">
        <v>45</v>
      </c>
      <c r="F2" s="3" t="s">
        <v>46</v>
      </c>
      <c r="H2" s="9" t="s">
        <v>169</v>
      </c>
      <c r="I2" s="9" t="s">
        <v>169</v>
      </c>
      <c r="J2" s="9" t="s">
        <v>169</v>
      </c>
      <c r="K2" s="9" t="s">
        <v>169</v>
      </c>
      <c r="N2" s="24" t="s">
        <v>171</v>
      </c>
      <c r="P2" s="24" t="s">
        <v>171</v>
      </c>
      <c r="Q2" s="30" t="s">
        <v>142</v>
      </c>
      <c r="S2" s="45" t="s">
        <v>171</v>
      </c>
      <c r="X2" s="24" t="s">
        <v>171</v>
      </c>
      <c r="Y2" s="24" t="s">
        <v>171</v>
      </c>
      <c r="Z2" s="24" t="s">
        <v>171</v>
      </c>
      <c r="AA2" s="24" t="s">
        <v>171</v>
      </c>
      <c r="AB2" s="24" t="s">
        <v>171</v>
      </c>
      <c r="AC2" s="3" t="s">
        <v>1918</v>
      </c>
      <c r="BF2" t="s">
        <v>2448</v>
      </c>
      <c r="BG2" t="s">
        <v>2448</v>
      </c>
    </row>
    <row r="3" spans="1:59">
      <c r="B3" t="s">
        <v>182</v>
      </c>
      <c r="C3" t="s">
        <v>218</v>
      </c>
      <c r="D3" s="24" t="s">
        <v>171</v>
      </c>
      <c r="F3" s="24" t="s">
        <v>171</v>
      </c>
      <c r="H3" s="45" t="s">
        <v>171</v>
      </c>
      <c r="I3" s="45" t="s">
        <v>171</v>
      </c>
      <c r="J3" s="45" t="s">
        <v>171</v>
      </c>
      <c r="K3" s="45" t="s">
        <v>171</v>
      </c>
      <c r="L3" s="9" t="s">
        <v>25</v>
      </c>
      <c r="M3" s="9" t="s">
        <v>169</v>
      </c>
      <c r="N3" s="3" t="s">
        <v>5</v>
      </c>
      <c r="P3" s="30" t="s">
        <v>133</v>
      </c>
      <c r="Q3" s="30" t="s">
        <v>133</v>
      </c>
      <c r="S3" s="9" t="s">
        <v>128</v>
      </c>
      <c r="X3" s="3" t="s">
        <v>61</v>
      </c>
      <c r="Y3" s="3" t="s">
        <v>61</v>
      </c>
      <c r="Z3" s="3" t="s">
        <v>61</v>
      </c>
      <c r="AA3" s="3" t="s">
        <v>61</v>
      </c>
      <c r="AB3" s="30" t="s">
        <v>61</v>
      </c>
      <c r="AC3" s="3" t="s">
        <v>61</v>
      </c>
      <c r="AN3" t="s">
        <v>3</v>
      </c>
      <c r="AO3" t="s">
        <v>3</v>
      </c>
      <c r="AP3" t="s">
        <v>3</v>
      </c>
      <c r="AT3" t="s">
        <v>182</v>
      </c>
      <c r="AV3" t="s">
        <v>182</v>
      </c>
      <c r="AW3" t="s">
        <v>182</v>
      </c>
      <c r="AY3" s="9" t="s">
        <v>182</v>
      </c>
      <c r="BF3" t="s">
        <v>182</v>
      </c>
    </row>
    <row r="4" spans="1:59">
      <c r="A4" t="s">
        <v>2103</v>
      </c>
      <c r="B4" t="s">
        <v>227</v>
      </c>
      <c r="C4" t="s">
        <v>42</v>
      </c>
      <c r="D4" s="3" t="s">
        <v>6</v>
      </c>
      <c r="E4" s="3" t="s">
        <v>42</v>
      </c>
      <c r="F4" s="3" t="s">
        <v>6</v>
      </c>
      <c r="G4" s="3" t="s">
        <v>11</v>
      </c>
      <c r="H4" s="9" t="s">
        <v>6</v>
      </c>
      <c r="I4" s="46" t="s">
        <v>110</v>
      </c>
      <c r="J4" s="47" t="s">
        <v>135</v>
      </c>
      <c r="K4" s="46" t="s">
        <v>8</v>
      </c>
      <c r="L4" s="9" t="s">
        <v>9</v>
      </c>
      <c r="M4" s="46" t="s">
        <v>145</v>
      </c>
      <c r="N4" s="3" t="s">
        <v>10</v>
      </c>
      <c r="P4" s="30" t="s">
        <v>101</v>
      </c>
      <c r="Q4" s="30" t="s">
        <v>103</v>
      </c>
      <c r="S4" s="13" t="s">
        <v>229</v>
      </c>
      <c r="T4" s="3" t="s">
        <v>238</v>
      </c>
      <c r="U4" s="3" t="s">
        <v>148</v>
      </c>
      <c r="V4" s="3" t="s">
        <v>126</v>
      </c>
      <c r="X4" s="3" t="s">
        <v>109</v>
      </c>
      <c r="Y4" s="3" t="s">
        <v>111</v>
      </c>
      <c r="Z4" s="3" t="s">
        <v>152</v>
      </c>
      <c r="AA4" s="3" t="s">
        <v>112</v>
      </c>
      <c r="AB4" s="30" t="s">
        <v>87</v>
      </c>
      <c r="AC4" s="3" t="s">
        <v>87</v>
      </c>
      <c r="AF4" s="3" t="s">
        <v>1694</v>
      </c>
      <c r="AG4" s="3" t="s">
        <v>1695</v>
      </c>
      <c r="AH4" s="3" t="s">
        <v>1693</v>
      </c>
      <c r="AI4" s="3" t="s">
        <v>1703</v>
      </c>
      <c r="AN4" t="s">
        <v>131</v>
      </c>
      <c r="AO4" t="s">
        <v>67</v>
      </c>
      <c r="AP4" t="s">
        <v>133</v>
      </c>
      <c r="AR4" t="s">
        <v>237</v>
      </c>
      <c r="AT4" t="s">
        <v>131</v>
      </c>
      <c r="AU4" s="23" t="s">
        <v>103</v>
      </c>
      <c r="AV4" t="s">
        <v>67</v>
      </c>
      <c r="AW4" t="s">
        <v>133</v>
      </c>
      <c r="AX4" t="s">
        <v>103</v>
      </c>
      <c r="AY4" s="51" t="s">
        <v>229</v>
      </c>
      <c r="AZ4" s="3" t="s">
        <v>240</v>
      </c>
      <c r="BA4" s="3" t="s">
        <v>281</v>
      </c>
      <c r="BB4" t="s">
        <v>1990</v>
      </c>
      <c r="BC4" t="s">
        <v>1991</v>
      </c>
      <c r="BD4" t="s">
        <v>2011</v>
      </c>
      <c r="BF4" t="s">
        <v>131</v>
      </c>
      <c r="BG4" s="23" t="s">
        <v>103</v>
      </c>
    </row>
    <row r="5" spans="1:59">
      <c r="A5">
        <v>1926</v>
      </c>
      <c r="AM5">
        <v>1926</v>
      </c>
    </row>
    <row r="6" spans="1:59">
      <c r="A6">
        <v>1927</v>
      </c>
      <c r="AM6">
        <v>1927</v>
      </c>
    </row>
    <row r="7" spans="1:59">
      <c r="A7">
        <v>1928</v>
      </c>
      <c r="AM7">
        <v>1928</v>
      </c>
    </row>
    <row r="8" spans="1:59">
      <c r="A8">
        <v>1929</v>
      </c>
      <c r="AM8">
        <v>1929</v>
      </c>
    </row>
    <row r="9" spans="1:59">
      <c r="A9">
        <v>1930</v>
      </c>
      <c r="AM9">
        <v>1930</v>
      </c>
    </row>
    <row r="10" spans="1:59">
      <c r="A10">
        <v>1931</v>
      </c>
      <c r="AM10">
        <v>1931</v>
      </c>
    </row>
    <row r="11" spans="1:59">
      <c r="A11">
        <v>1932</v>
      </c>
      <c r="AM11">
        <v>1932</v>
      </c>
    </row>
    <row r="12" spans="1:59">
      <c r="A12">
        <v>1933</v>
      </c>
      <c r="AM12">
        <v>1933</v>
      </c>
    </row>
    <row r="13" spans="1:59">
      <c r="A13">
        <v>1934</v>
      </c>
      <c r="AM13">
        <v>1934</v>
      </c>
    </row>
    <row r="14" spans="1:59">
      <c r="A14">
        <v>1935</v>
      </c>
      <c r="AM14">
        <v>1935</v>
      </c>
    </row>
    <row r="15" spans="1:59">
      <c r="A15">
        <v>1936</v>
      </c>
      <c r="AM15">
        <v>1936</v>
      </c>
    </row>
    <row r="16" spans="1:59">
      <c r="A16">
        <v>1937</v>
      </c>
      <c r="AM16">
        <v>1937</v>
      </c>
    </row>
    <row r="17" spans="1:39">
      <c r="A17">
        <v>1938</v>
      </c>
      <c r="AM17">
        <v>1938</v>
      </c>
    </row>
    <row r="18" spans="1:39">
      <c r="A18">
        <v>1939</v>
      </c>
      <c r="AM18">
        <v>1939</v>
      </c>
    </row>
    <row r="19" spans="1:39">
      <c r="A19">
        <v>1940</v>
      </c>
      <c r="AM19">
        <v>1940</v>
      </c>
    </row>
    <row r="20" spans="1:39">
      <c r="A20">
        <v>1941</v>
      </c>
      <c r="AM20">
        <v>1941</v>
      </c>
    </row>
    <row r="21" spans="1:39">
      <c r="A21">
        <v>1942</v>
      </c>
      <c r="AM21">
        <v>1942</v>
      </c>
    </row>
    <row r="22" spans="1:39">
      <c r="A22">
        <v>1943</v>
      </c>
      <c r="AM22">
        <v>1943</v>
      </c>
    </row>
    <row r="23" spans="1:39">
      <c r="A23">
        <v>1944</v>
      </c>
      <c r="AM23">
        <v>1944</v>
      </c>
    </row>
    <row r="24" spans="1:39">
      <c r="A24">
        <v>1945</v>
      </c>
      <c r="AM24">
        <v>1945</v>
      </c>
    </row>
    <row r="25" spans="1:39">
      <c r="A25">
        <v>1946</v>
      </c>
      <c r="AM25">
        <v>1946</v>
      </c>
    </row>
    <row r="26" spans="1:39">
      <c r="A26">
        <v>1947</v>
      </c>
      <c r="AM26">
        <v>1947</v>
      </c>
    </row>
    <row r="27" spans="1:39">
      <c r="A27">
        <v>1948</v>
      </c>
      <c r="AM27">
        <v>1948</v>
      </c>
    </row>
    <row r="28" spans="1:39">
      <c r="A28">
        <v>1949</v>
      </c>
      <c r="AM28">
        <v>1949</v>
      </c>
    </row>
    <row r="29" spans="1:39">
      <c r="A29">
        <v>1950</v>
      </c>
      <c r="AM29">
        <v>1950</v>
      </c>
    </row>
    <row r="30" spans="1:39">
      <c r="A30">
        <v>1951</v>
      </c>
      <c r="AM30">
        <v>1951</v>
      </c>
    </row>
    <row r="31" spans="1:39">
      <c r="A31">
        <v>1952</v>
      </c>
      <c r="AM31">
        <v>1952</v>
      </c>
    </row>
    <row r="32" spans="1:39">
      <c r="A32">
        <v>1953</v>
      </c>
      <c r="AM32">
        <v>1953</v>
      </c>
    </row>
    <row r="33" spans="1:59">
      <c r="A33">
        <v>1954</v>
      </c>
      <c r="AM33">
        <v>1954</v>
      </c>
    </row>
    <row r="34" spans="1:59">
      <c r="A34">
        <v>1955</v>
      </c>
      <c r="AM34">
        <v>1955</v>
      </c>
    </row>
    <row r="35" spans="1:59">
      <c r="A35">
        <v>1956</v>
      </c>
      <c r="AM35">
        <v>1956</v>
      </c>
    </row>
    <row r="36" spans="1:59">
      <c r="A36">
        <v>1957</v>
      </c>
      <c r="AM36">
        <v>1957</v>
      </c>
    </row>
    <row r="37" spans="1:59">
      <c r="A37">
        <v>1958</v>
      </c>
      <c r="AM37">
        <v>1958</v>
      </c>
    </row>
    <row r="38" spans="1:59">
      <c r="A38">
        <v>1959</v>
      </c>
      <c r="AM38">
        <v>1959</v>
      </c>
    </row>
    <row r="39" spans="1:59">
      <c r="A39">
        <v>1960</v>
      </c>
      <c r="AM39">
        <v>1960</v>
      </c>
    </row>
    <row r="40" spans="1:59">
      <c r="A40">
        <v>1961</v>
      </c>
      <c r="AM40">
        <v>1961</v>
      </c>
    </row>
    <row r="41" spans="1:59">
      <c r="A41">
        <v>1962</v>
      </c>
      <c r="AM41">
        <v>1962</v>
      </c>
    </row>
    <row r="42" spans="1:59">
      <c r="A42">
        <v>1963</v>
      </c>
      <c r="AM42" s="46" t="s">
        <v>2103</v>
      </c>
      <c r="AN42" s="46" t="s">
        <v>3</v>
      </c>
      <c r="AO42" s="46" t="s">
        <v>3</v>
      </c>
      <c r="AP42" s="46" t="s">
        <v>3</v>
      </c>
      <c r="AQ42" s="7"/>
      <c r="AR42" s="46"/>
      <c r="AS42" s="7"/>
      <c r="AT42" s="46" t="s">
        <v>182</v>
      </c>
      <c r="AU42" s="46"/>
      <c r="AV42" s="46" t="s">
        <v>182</v>
      </c>
      <c r="AW42" s="46" t="s">
        <v>182</v>
      </c>
      <c r="AX42" s="46"/>
      <c r="AY42" s="46" t="s">
        <v>182</v>
      </c>
      <c r="AZ42" s="46"/>
      <c r="BA42" s="46"/>
      <c r="BB42" s="46"/>
      <c r="BC42" s="46"/>
      <c r="BD42" s="46"/>
    </row>
    <row r="43" spans="1:59">
      <c r="A43">
        <v>1964</v>
      </c>
      <c r="AM43" s="46"/>
      <c r="AN43" s="46" t="s">
        <v>131</v>
      </c>
      <c r="AO43" s="46" t="s">
        <v>67</v>
      </c>
      <c r="AP43" s="46" t="s">
        <v>133</v>
      </c>
      <c r="AQ43" s="7"/>
      <c r="AR43" s="46" t="s">
        <v>237</v>
      </c>
      <c r="AS43" s="7"/>
      <c r="AT43" s="46" t="s">
        <v>131</v>
      </c>
      <c r="AU43" s="46" t="s">
        <v>103</v>
      </c>
      <c r="AV43" s="46" t="s">
        <v>67</v>
      </c>
      <c r="AW43" s="46" t="s">
        <v>133</v>
      </c>
      <c r="AX43" s="46" t="s">
        <v>103</v>
      </c>
      <c r="AY43" s="46" t="s">
        <v>229</v>
      </c>
      <c r="AZ43" s="46" t="s">
        <v>240</v>
      </c>
      <c r="BA43" s="46" t="s">
        <v>281</v>
      </c>
      <c r="BB43" s="46" t="s">
        <v>1990</v>
      </c>
      <c r="BC43" s="46" t="s">
        <v>1991</v>
      </c>
      <c r="BD43" s="46" t="s">
        <v>2011</v>
      </c>
    </row>
    <row r="44" spans="1:59">
      <c r="A44">
        <v>1965</v>
      </c>
      <c r="B44" s="3">
        <f t="shared" ref="B44:B88" si="0">I44/G44*100/C44*100</f>
        <v>69.160926781312</v>
      </c>
      <c r="C44" s="3">
        <f t="shared" ref="C44:C87" si="1">E44/E$89*100</f>
        <v>14.459024846529534</v>
      </c>
      <c r="D44" s="3">
        <v>48.3262</v>
      </c>
      <c r="E44" s="3">
        <v>20.692699999999999</v>
      </c>
      <c r="F44" s="3">
        <f>D44*E44/100</f>
        <v>9.9999955873999991</v>
      </c>
      <c r="G44" s="3">
        <v>60</v>
      </c>
      <c r="H44" s="9">
        <f>F44*G44/100</f>
        <v>5.9999973524399994</v>
      </c>
      <c r="I44" s="44">
        <f t="shared" ref="I44:I67" si="2">H44</f>
        <v>5.9999973524399994</v>
      </c>
      <c r="J44" s="44">
        <f t="shared" ref="J44:J89" si="3">Q44+AB44</f>
        <v>5.0871170658895943</v>
      </c>
      <c r="P44" s="7">
        <f t="shared" ref="P44:P89" si="4">I44-AB44</f>
        <v>3.3791788800000004</v>
      </c>
      <c r="Q44" s="7">
        <f t="shared" ref="Q44:Q89" si="5">Q$105+Q$106*S44+Q$107*T44+Q$108*U44+Q$109*V44</f>
        <v>2.4662985934495953</v>
      </c>
      <c r="S44" s="9">
        <f>USA!Z52*G44</f>
        <v>198</v>
      </c>
      <c r="T44" s="3">
        <v>0</v>
      </c>
      <c r="U44" s="3">
        <v>0</v>
      </c>
      <c r="V44" s="3">
        <v>0</v>
      </c>
      <c r="X44" s="3">
        <v>0.43680327148381148</v>
      </c>
      <c r="Y44" s="3">
        <f t="shared" ref="Y44:Y65" si="6">AB44-AA44</f>
        <v>2.620818472439999</v>
      </c>
      <c r="AA44" s="3">
        <f>Z44*(I44*(1/(1+Z44)))</f>
        <v>0</v>
      </c>
      <c r="AB44" s="3">
        <f>I44*X44</f>
        <v>2.620818472439999</v>
      </c>
      <c r="AM44">
        <v>1965</v>
      </c>
      <c r="AN44" s="4">
        <f>I44</f>
        <v>5.9999973524399994</v>
      </c>
      <c r="AO44" s="4">
        <f>AB44</f>
        <v>2.620818472439999</v>
      </c>
      <c r="AP44" s="4">
        <f>AN44-AO44</f>
        <v>3.3791788800000004</v>
      </c>
      <c r="AR44" s="24">
        <v>1.8</v>
      </c>
      <c r="AT44" s="4">
        <f t="shared" ref="AT44:AT51" si="7">AN44/$AR44*100</f>
        <v>333.33318624666663</v>
      </c>
      <c r="AU44" s="4">
        <f>AX44+AV44</f>
        <v>324.4758200955842</v>
      </c>
      <c r="AV44" s="4">
        <f t="shared" ref="AV44:AV51" si="8">AO44/$AR44*100</f>
        <v>145.60102624666661</v>
      </c>
      <c r="AW44" s="4">
        <f t="shared" ref="AW44:AW51" si="9">AT44-AV44</f>
        <v>187.73216000000002</v>
      </c>
      <c r="AX44" s="4">
        <f t="shared" ref="AX44:AX75" si="10">AU$100+AU$101*AY44+AU$102*AZ44+AU$103*BA44+AU$104*BB44+AU$105*BC44+AU$106*BD44</f>
        <v>178.87479384891759</v>
      </c>
      <c r="AY44" s="9">
        <f t="shared" ref="AY44:AY96" si="11">S44/AR44*100</f>
        <v>11000</v>
      </c>
      <c r="AZ44" s="23">
        <v>1</v>
      </c>
      <c r="BA44">
        <v>0</v>
      </c>
      <c r="BB44">
        <v>0</v>
      </c>
      <c r="BC44">
        <v>0</v>
      </c>
      <c r="BD44" s="23">
        <v>1</v>
      </c>
      <c r="BF44" s="4">
        <f t="shared" ref="BF44:BF96" si="12">AT44*$AR$97/$AR$89</f>
        <v>393.70206119377508</v>
      </c>
      <c r="BG44" s="4">
        <f t="shared" ref="BG44:BG96" si="13">AU44*$AR$97/$AR$89</f>
        <v>383.24056664624857</v>
      </c>
    </row>
    <row r="45" spans="1:59">
      <c r="A45">
        <v>1966</v>
      </c>
      <c r="B45" s="3">
        <f t="shared" si="0"/>
        <v>67.152483232162822</v>
      </c>
      <c r="C45" s="3">
        <f t="shared" si="1"/>
        <v>14.891495218110531</v>
      </c>
      <c r="D45" s="3">
        <v>46.922800000000002</v>
      </c>
      <c r="E45" s="3">
        <v>21.311620000000001</v>
      </c>
      <c r="F45" s="3">
        <f t="shared" ref="F45:F78" si="14">D45*E45/100</f>
        <v>10.000008829360002</v>
      </c>
      <c r="G45" s="3">
        <v>60</v>
      </c>
      <c r="H45" s="9">
        <f t="shared" ref="H45:H78" si="15">F45*G45/100</f>
        <v>6.000005297616001</v>
      </c>
      <c r="I45" s="44">
        <f t="shared" si="2"/>
        <v>6.000005297616001</v>
      </c>
      <c r="J45" s="44">
        <f t="shared" si="3"/>
        <v>4.9365943230655969</v>
      </c>
      <c r="P45" s="7">
        <f t="shared" si="4"/>
        <v>3.5297095679999999</v>
      </c>
      <c r="Q45" s="7">
        <f t="shared" si="5"/>
        <v>2.4662985934495953</v>
      </c>
      <c r="S45" s="9">
        <f>USA!Z53*G45</f>
        <v>198</v>
      </c>
      <c r="T45" s="3">
        <v>0</v>
      </c>
      <c r="U45" s="3">
        <v>0</v>
      </c>
      <c r="V45" s="3">
        <v>0</v>
      </c>
      <c r="X45" s="3">
        <v>0.41171559141748271</v>
      </c>
      <c r="Y45" s="3">
        <f t="shared" si="6"/>
        <v>2.4702957296160011</v>
      </c>
      <c r="AA45" s="3">
        <f t="shared" ref="AA45:AA90" si="16">Z45*(I45*(1/(1+Z45)))</f>
        <v>0</v>
      </c>
      <c r="AB45" s="3">
        <f t="shared" ref="AB45:AB89" si="17">I45*X45</f>
        <v>2.4702957296160011</v>
      </c>
      <c r="AM45">
        <v>1966</v>
      </c>
      <c r="AN45" s="4">
        <f t="shared" ref="AN45:AN96" si="18">I45</f>
        <v>6.000005297616001</v>
      </c>
      <c r="AO45" s="4">
        <f t="shared" ref="AO45:AO96" si="19">AB45</f>
        <v>2.4702957296160011</v>
      </c>
      <c r="AP45" s="4">
        <f t="shared" ref="AP45:AP96" si="20">AN45-AO45</f>
        <v>3.5297095679999999</v>
      </c>
      <c r="AR45" s="24">
        <f>AR44+(AR$52-AR$44)/8</f>
        <v>1.880321563515875</v>
      </c>
      <c r="AT45" s="4">
        <f t="shared" si="7"/>
        <v>319.09463859984845</v>
      </c>
      <c r="AU45" s="4">
        <f t="shared" ref="AU45:AU89" si="21">AX45+AV45</f>
        <v>307.06682948469785</v>
      </c>
      <c r="AV45" s="4">
        <f t="shared" si="8"/>
        <v>131.37623784928451</v>
      </c>
      <c r="AW45" s="4">
        <f t="shared" si="9"/>
        <v>187.71840075056394</v>
      </c>
      <c r="AX45" s="4">
        <f t="shared" si="10"/>
        <v>175.69059163541334</v>
      </c>
      <c r="AY45" s="9">
        <f t="shared" si="11"/>
        <v>10530.113776378459</v>
      </c>
      <c r="AZ45" s="23">
        <v>1</v>
      </c>
      <c r="BA45">
        <v>0</v>
      </c>
      <c r="BB45">
        <v>0</v>
      </c>
      <c r="BC45">
        <v>0</v>
      </c>
      <c r="BD45" s="23">
        <v>1</v>
      </c>
      <c r="BF45" s="4">
        <f t="shared" si="12"/>
        <v>376.88481710212363</v>
      </c>
      <c r="BG45" s="4">
        <f t="shared" si="13"/>
        <v>362.67869111268834</v>
      </c>
    </row>
    <row r="46" spans="1:59">
      <c r="A46">
        <v>1967</v>
      </c>
      <c r="B46" s="3">
        <f t="shared" si="0"/>
        <v>65.33881605969826</v>
      </c>
      <c r="C46" s="3">
        <f t="shared" si="1"/>
        <v>15.30482682623647</v>
      </c>
      <c r="D46" s="3">
        <v>45.655500000000004</v>
      </c>
      <c r="E46" s="3">
        <v>21.90315</v>
      </c>
      <c r="F46" s="3">
        <f t="shared" si="14"/>
        <v>9.9999926482500001</v>
      </c>
      <c r="G46" s="3">
        <v>60</v>
      </c>
      <c r="H46" s="9">
        <f t="shared" si="15"/>
        <v>5.999995588950001</v>
      </c>
      <c r="I46" s="44">
        <f t="shared" si="2"/>
        <v>5.999995588950001</v>
      </c>
      <c r="J46" s="44">
        <f t="shared" si="3"/>
        <v>4.8353226623995962</v>
      </c>
      <c r="P46" s="7">
        <f t="shared" si="4"/>
        <v>3.6309715200000001</v>
      </c>
      <c r="Q46" s="7">
        <f t="shared" si="5"/>
        <v>2.4662985934495953</v>
      </c>
      <c r="S46" s="9">
        <f>USA!Z54*G46</f>
        <v>198</v>
      </c>
      <c r="T46" s="3">
        <v>0</v>
      </c>
      <c r="U46" s="3">
        <v>0</v>
      </c>
      <c r="V46" s="3">
        <v>0</v>
      </c>
      <c r="X46" s="3">
        <v>0.39483763509975844</v>
      </c>
      <c r="Y46" s="3">
        <f t="shared" si="6"/>
        <v>2.3690240689500008</v>
      </c>
      <c r="AA46" s="3">
        <f t="shared" si="16"/>
        <v>0</v>
      </c>
      <c r="AB46" s="3">
        <f t="shared" si="17"/>
        <v>2.3690240689500008</v>
      </c>
      <c r="AM46">
        <v>1967</v>
      </c>
      <c r="AN46" s="4">
        <f t="shared" si="18"/>
        <v>5.999995588950001</v>
      </c>
      <c r="AO46" s="4">
        <f t="shared" si="19"/>
        <v>2.3690240689500008</v>
      </c>
      <c r="AP46" s="4">
        <f t="shared" si="20"/>
        <v>3.6309715200000001</v>
      </c>
      <c r="AR46" s="24">
        <f t="shared" ref="AR46:AR51" si="22">AR45+(AR$52-AR$44)/8</f>
        <v>1.9606431270317499</v>
      </c>
      <c r="AT46" s="4">
        <f t="shared" si="7"/>
        <v>306.02181020232342</v>
      </c>
      <c r="AU46" s="4">
        <f t="shared" si="21"/>
        <v>293.59621133922235</v>
      </c>
      <c r="AV46" s="4">
        <f t="shared" si="8"/>
        <v>120.82892782923251</v>
      </c>
      <c r="AW46" s="4">
        <f t="shared" si="9"/>
        <v>185.19288237309092</v>
      </c>
      <c r="AX46" s="4">
        <f t="shared" si="10"/>
        <v>172.76728350998985</v>
      </c>
      <c r="AY46" s="9">
        <f t="shared" si="11"/>
        <v>10098.727161008412</v>
      </c>
      <c r="AZ46" s="23">
        <v>1</v>
      </c>
      <c r="BA46">
        <v>0</v>
      </c>
      <c r="BB46">
        <v>0</v>
      </c>
      <c r="BC46">
        <v>0</v>
      </c>
      <c r="BD46" s="23">
        <v>1</v>
      </c>
      <c r="BF46" s="4">
        <f t="shared" si="12"/>
        <v>361.44441183167606</v>
      </c>
      <c r="BG46" s="4">
        <f t="shared" si="13"/>
        <v>346.76845370385303</v>
      </c>
    </row>
    <row r="47" spans="1:59">
      <c r="A47">
        <v>1968</v>
      </c>
      <c r="B47" s="3">
        <f t="shared" si="0"/>
        <v>62.708834080026421</v>
      </c>
      <c r="C47" s="3">
        <f t="shared" si="1"/>
        <v>15.950346083448959</v>
      </c>
      <c r="D47" s="3">
        <v>43.817799999999998</v>
      </c>
      <c r="E47" s="3">
        <v>22.826969999999999</v>
      </c>
      <c r="F47" s="3">
        <f t="shared" si="14"/>
        <v>10.00227606066</v>
      </c>
      <c r="G47" s="3">
        <v>60</v>
      </c>
      <c r="H47" s="9">
        <f t="shared" si="15"/>
        <v>6.0013656363959997</v>
      </c>
      <c r="I47" s="44">
        <f t="shared" si="2"/>
        <v>6.0013656363959997</v>
      </c>
      <c r="J47" s="44">
        <f t="shared" si="3"/>
        <v>5.3882541818455945</v>
      </c>
      <c r="P47" s="7">
        <f t="shared" si="4"/>
        <v>3.0794100480000006</v>
      </c>
      <c r="Q47" s="7">
        <f t="shared" si="5"/>
        <v>2.4662985934495953</v>
      </c>
      <c r="S47" s="9">
        <f>USA!Z55*G47</f>
        <v>198</v>
      </c>
      <c r="T47" s="3">
        <v>0</v>
      </c>
      <c r="U47" s="3">
        <v>0</v>
      </c>
      <c r="V47" s="3">
        <v>0</v>
      </c>
      <c r="X47" s="3">
        <v>0.48688178081926053</v>
      </c>
      <c r="Y47" s="3">
        <f t="shared" si="6"/>
        <v>2.9219555883959991</v>
      </c>
      <c r="AA47" s="3">
        <f t="shared" si="16"/>
        <v>0</v>
      </c>
      <c r="AB47" s="3">
        <f t="shared" si="17"/>
        <v>2.9219555883959991</v>
      </c>
      <c r="AM47">
        <v>1968</v>
      </c>
      <c r="AN47" s="4">
        <f t="shared" si="18"/>
        <v>6.0013656363959997</v>
      </c>
      <c r="AO47" s="4">
        <f t="shared" si="19"/>
        <v>2.9219555883959991</v>
      </c>
      <c r="AP47" s="4">
        <f t="shared" si="20"/>
        <v>3.0794100480000006</v>
      </c>
      <c r="AR47" s="24">
        <f t="shared" si="22"/>
        <v>2.0409646905476246</v>
      </c>
      <c r="AT47" s="4">
        <f t="shared" si="7"/>
        <v>294.045539552462</v>
      </c>
      <c r="AU47" s="4">
        <f t="shared" si="21"/>
        <v>313.23948318221392</v>
      </c>
      <c r="AV47" s="4">
        <f t="shared" si="8"/>
        <v>143.16541593926303</v>
      </c>
      <c r="AW47" s="4">
        <f t="shared" si="9"/>
        <v>150.88012361319898</v>
      </c>
      <c r="AX47" s="4">
        <f t="shared" si="10"/>
        <v>170.07406724295092</v>
      </c>
      <c r="AY47" s="9">
        <f t="shared" si="11"/>
        <v>9701.2947317022572</v>
      </c>
      <c r="AZ47" s="23">
        <v>1</v>
      </c>
      <c r="BA47">
        <v>0</v>
      </c>
      <c r="BB47">
        <v>0</v>
      </c>
      <c r="BC47">
        <v>0</v>
      </c>
      <c r="BD47" s="23">
        <v>1</v>
      </c>
      <c r="BF47" s="4">
        <f t="shared" si="12"/>
        <v>347.29915826914663</v>
      </c>
      <c r="BG47" s="4">
        <f t="shared" si="13"/>
        <v>369.96925378096438</v>
      </c>
    </row>
    <row r="48" spans="1:59">
      <c r="A48">
        <v>1969</v>
      </c>
      <c r="B48" s="3">
        <f t="shared" si="0"/>
        <v>59.474200967736991</v>
      </c>
      <c r="C48" s="3">
        <f t="shared" si="1"/>
        <v>16.814008114047141</v>
      </c>
      <c r="D48" s="3">
        <v>41.557600000000001</v>
      </c>
      <c r="E48" s="3">
        <v>24.06298</v>
      </c>
      <c r="F48" s="3">
        <f t="shared" si="14"/>
        <v>9.9999969764800003</v>
      </c>
      <c r="G48" s="3">
        <v>60</v>
      </c>
      <c r="H48" s="9">
        <f t="shared" si="15"/>
        <v>5.9999981858880007</v>
      </c>
      <c r="I48" s="44">
        <f t="shared" si="2"/>
        <v>5.9999981858880007</v>
      </c>
      <c r="J48" s="44">
        <f t="shared" si="3"/>
        <v>5.0897451470376591</v>
      </c>
      <c r="P48" s="7">
        <f t="shared" si="4"/>
        <v>3.3765516322999365</v>
      </c>
      <c r="Q48" s="7">
        <f t="shared" si="5"/>
        <v>2.4662985934495953</v>
      </c>
      <c r="S48" s="9">
        <f>USA!Z56*G48</f>
        <v>198</v>
      </c>
      <c r="T48" s="3">
        <v>0</v>
      </c>
      <c r="U48" s="3">
        <v>0</v>
      </c>
      <c r="V48" s="3">
        <v>0</v>
      </c>
      <c r="X48" s="3">
        <v>0.43724122446543601</v>
      </c>
      <c r="Y48" s="3">
        <f t="shared" si="6"/>
        <v>2.6234465535880642</v>
      </c>
      <c r="AA48" s="3">
        <f t="shared" si="16"/>
        <v>0</v>
      </c>
      <c r="AB48" s="3">
        <f t="shared" si="17"/>
        <v>2.6234465535880642</v>
      </c>
      <c r="AM48">
        <v>1969</v>
      </c>
      <c r="AN48" s="4">
        <f t="shared" si="18"/>
        <v>5.9999981858880007</v>
      </c>
      <c r="AO48" s="4">
        <f t="shared" si="19"/>
        <v>2.6234465535880642</v>
      </c>
      <c r="AP48" s="4">
        <f t="shared" si="20"/>
        <v>3.3765516322999365</v>
      </c>
      <c r="AR48" s="24">
        <f t="shared" si="22"/>
        <v>2.1212862540634996</v>
      </c>
      <c r="AT48" s="4">
        <f t="shared" si="7"/>
        <v>282.8471722943807</v>
      </c>
      <c r="AU48" s="4">
        <f t="shared" si="21"/>
        <v>291.25724980626535</v>
      </c>
      <c r="AV48" s="4">
        <f t="shared" si="8"/>
        <v>123.67244395058117</v>
      </c>
      <c r="AW48" s="4">
        <f t="shared" si="9"/>
        <v>159.17472834379953</v>
      </c>
      <c r="AX48" s="4">
        <f t="shared" si="10"/>
        <v>167.58480585568418</v>
      </c>
      <c r="AY48" s="9">
        <f t="shared" si="11"/>
        <v>9333.9595078558868</v>
      </c>
      <c r="AZ48" s="23">
        <v>1</v>
      </c>
      <c r="BA48">
        <v>0</v>
      </c>
      <c r="BB48">
        <v>0</v>
      </c>
      <c r="BC48">
        <v>0</v>
      </c>
      <c r="BD48" s="23">
        <v>1</v>
      </c>
      <c r="BF48" s="4">
        <f t="shared" si="12"/>
        <v>334.07269161830146</v>
      </c>
      <c r="BG48" s="4">
        <f t="shared" si="13"/>
        <v>344.00589055511</v>
      </c>
    </row>
    <row r="49" spans="1:59">
      <c r="A49">
        <v>1970</v>
      </c>
      <c r="B49" s="3">
        <f t="shared" si="0"/>
        <v>56.163288789486579</v>
      </c>
      <c r="C49" s="3">
        <f t="shared" si="1"/>
        <v>17.805240938511318</v>
      </c>
      <c r="D49" s="3">
        <v>39.244100000000003</v>
      </c>
      <c r="E49" s="3">
        <v>25.481560000000002</v>
      </c>
      <c r="F49" s="3">
        <f t="shared" si="14"/>
        <v>10.000008887960002</v>
      </c>
      <c r="G49" s="3">
        <v>60</v>
      </c>
      <c r="H49" s="9">
        <f t="shared" si="15"/>
        <v>6.0000053327760012</v>
      </c>
      <c r="I49" s="44">
        <f t="shared" si="2"/>
        <v>6.0000053327760012</v>
      </c>
      <c r="J49" s="44">
        <f t="shared" si="3"/>
        <v>5.0742762338650493</v>
      </c>
      <c r="P49" s="7">
        <f t="shared" si="4"/>
        <v>3.4218171477666184</v>
      </c>
      <c r="Q49" s="7">
        <f t="shared" si="5"/>
        <v>2.4960880488556669</v>
      </c>
      <c r="S49" s="9">
        <f>USA!Z57*G49</f>
        <v>201</v>
      </c>
      <c r="T49" s="3">
        <v>0</v>
      </c>
      <c r="U49" s="3">
        <v>0</v>
      </c>
      <c r="V49" s="3">
        <v>0</v>
      </c>
      <c r="X49" s="3">
        <v>0.42969764892134549</v>
      </c>
      <c r="Y49" s="3">
        <f t="shared" si="6"/>
        <v>2.5781881850093828</v>
      </c>
      <c r="AA49" s="3">
        <f t="shared" si="16"/>
        <v>0</v>
      </c>
      <c r="AB49" s="3">
        <f t="shared" si="17"/>
        <v>2.5781881850093828</v>
      </c>
      <c r="AM49">
        <v>1970</v>
      </c>
      <c r="AN49" s="4">
        <f t="shared" si="18"/>
        <v>6.0000053327760012</v>
      </c>
      <c r="AO49" s="4">
        <f t="shared" si="19"/>
        <v>2.5781881850093828</v>
      </c>
      <c r="AP49" s="4">
        <f t="shared" si="20"/>
        <v>3.4218171477666184</v>
      </c>
      <c r="AR49" s="24">
        <f t="shared" si="22"/>
        <v>2.2016078175793745</v>
      </c>
      <c r="AT49" s="4">
        <f t="shared" si="7"/>
        <v>272.52834427944993</v>
      </c>
      <c r="AU49" s="4">
        <f t="shared" si="21"/>
        <v>283.30536403218491</v>
      </c>
      <c r="AV49" s="4">
        <f t="shared" si="8"/>
        <v>117.10478880130664</v>
      </c>
      <c r="AW49" s="4">
        <f t="shared" si="9"/>
        <v>155.42355547814327</v>
      </c>
      <c r="AX49" s="4">
        <f t="shared" si="10"/>
        <v>166.20057523087829</v>
      </c>
      <c r="AY49" s="9">
        <f t="shared" si="11"/>
        <v>9129.6914189283561</v>
      </c>
      <c r="AZ49" s="23">
        <v>1</v>
      </c>
      <c r="BA49">
        <v>0</v>
      </c>
      <c r="BB49">
        <v>0</v>
      </c>
      <c r="BC49">
        <v>0</v>
      </c>
      <c r="BD49" s="23">
        <v>1</v>
      </c>
      <c r="BF49" s="4">
        <f t="shared" si="12"/>
        <v>321.88505466463783</v>
      </c>
      <c r="BG49" s="4">
        <f t="shared" si="13"/>
        <v>334.61386495188606</v>
      </c>
    </row>
    <row r="50" spans="1:59">
      <c r="A50">
        <v>1971</v>
      </c>
      <c r="B50" s="3">
        <f t="shared" si="0"/>
        <v>64.644719493261476</v>
      </c>
      <c r="C50" s="3">
        <f t="shared" si="1"/>
        <v>18.563021376325832</v>
      </c>
      <c r="D50" s="3">
        <v>45.170499999999997</v>
      </c>
      <c r="E50" s="3">
        <v>26.566040000000001</v>
      </c>
      <c r="F50" s="3">
        <f t="shared" si="14"/>
        <v>12.0000130982</v>
      </c>
      <c r="G50" s="3">
        <v>59.426583333333333</v>
      </c>
      <c r="H50" s="9">
        <f t="shared" si="15"/>
        <v>7.1311977838127385</v>
      </c>
      <c r="I50" s="44">
        <f t="shared" si="2"/>
        <v>7.1311977838127385</v>
      </c>
      <c r="J50" s="44">
        <f t="shared" si="3"/>
        <v>5.6745884362151795</v>
      </c>
      <c r="P50" s="7">
        <f t="shared" si="4"/>
        <v>4.0575427418300869</v>
      </c>
      <c r="Q50" s="7">
        <f t="shared" si="5"/>
        <v>2.600933394232527</v>
      </c>
      <c r="S50" s="9">
        <f>USA!Z58*G50</f>
        <v>211.55863666666667</v>
      </c>
      <c r="T50" s="3">
        <v>0</v>
      </c>
      <c r="U50" s="3">
        <v>0</v>
      </c>
      <c r="V50" s="3">
        <v>0</v>
      </c>
      <c r="X50" s="3">
        <v>0.43101525650566147</v>
      </c>
      <c r="Y50" s="3">
        <f t="shared" si="6"/>
        <v>3.073655041982652</v>
      </c>
      <c r="AA50" s="3">
        <f t="shared" si="16"/>
        <v>0</v>
      </c>
      <c r="AB50" s="3">
        <f t="shared" si="17"/>
        <v>3.073655041982652</v>
      </c>
      <c r="AM50">
        <v>1971</v>
      </c>
      <c r="AN50" s="4">
        <f t="shared" si="18"/>
        <v>7.1311977838127385</v>
      </c>
      <c r="AO50" s="4">
        <f t="shared" si="19"/>
        <v>3.073655041982652</v>
      </c>
      <c r="AP50" s="4">
        <f t="shared" si="20"/>
        <v>4.0575427418300869</v>
      </c>
      <c r="AR50" s="24">
        <f t="shared" si="22"/>
        <v>2.2819293810952495</v>
      </c>
      <c r="AT50" s="4">
        <f t="shared" si="7"/>
        <v>312.50738269516489</v>
      </c>
      <c r="AU50" s="4">
        <f t="shared" si="21"/>
        <v>301.85389422074206</v>
      </c>
      <c r="AV50" s="4">
        <f t="shared" si="8"/>
        <v>134.69544971226938</v>
      </c>
      <c r="AW50" s="4">
        <f t="shared" si="9"/>
        <v>177.81193298289551</v>
      </c>
      <c r="AX50" s="4">
        <f t="shared" si="10"/>
        <v>167.15844450847266</v>
      </c>
      <c r="AY50" s="9">
        <f t="shared" si="11"/>
        <v>9271.0422337927757</v>
      </c>
      <c r="AZ50" s="23">
        <v>1</v>
      </c>
      <c r="BA50">
        <v>0</v>
      </c>
      <c r="BB50">
        <v>0</v>
      </c>
      <c r="BC50">
        <v>0</v>
      </c>
      <c r="BD50" s="23">
        <v>1</v>
      </c>
      <c r="BF50" s="4">
        <f t="shared" si="12"/>
        <v>369.10456498715524</v>
      </c>
      <c r="BG50" s="4">
        <f t="shared" si="13"/>
        <v>356.5216583209687</v>
      </c>
    </row>
    <row r="51" spans="1:59">
      <c r="A51">
        <v>1972</v>
      </c>
      <c r="B51" s="3">
        <f t="shared" si="0"/>
        <v>56.318566062596645</v>
      </c>
      <c r="C51" s="3">
        <f t="shared" si="1"/>
        <v>19.17664269444656</v>
      </c>
      <c r="D51" s="3">
        <v>39.352600000000002</v>
      </c>
      <c r="E51" s="3">
        <v>27.444210000000002</v>
      </c>
      <c r="F51" s="3">
        <f t="shared" si="14"/>
        <v>10.800010184460001</v>
      </c>
      <c r="G51" s="3">
        <v>55.26</v>
      </c>
      <c r="H51" s="9">
        <f t="shared" si="15"/>
        <v>5.968085627932596</v>
      </c>
      <c r="I51" s="44">
        <f t="shared" si="2"/>
        <v>5.968085627932596</v>
      </c>
      <c r="J51" s="44">
        <f t="shared" si="3"/>
        <v>4.9251713319628978</v>
      </c>
      <c r="P51" s="7">
        <f t="shared" si="4"/>
        <v>3.4965583287627942</v>
      </c>
      <c r="Q51" s="7">
        <f t="shared" si="5"/>
        <v>2.453644032793096</v>
      </c>
      <c r="S51" s="9">
        <f>USA!Z59*G51</f>
        <v>196.72559999999999</v>
      </c>
      <c r="T51" s="3">
        <v>0</v>
      </c>
      <c r="U51" s="3">
        <v>0</v>
      </c>
      <c r="V51" s="3">
        <v>0</v>
      </c>
      <c r="X51" s="3">
        <v>0.41412396759226178</v>
      </c>
      <c r="Y51" s="3">
        <f t="shared" si="6"/>
        <v>2.4715272991698019</v>
      </c>
      <c r="AA51" s="3">
        <f t="shared" si="16"/>
        <v>0</v>
      </c>
      <c r="AB51" s="3">
        <f t="shared" si="17"/>
        <v>2.4715272991698019</v>
      </c>
      <c r="AM51">
        <v>1972</v>
      </c>
      <c r="AN51" s="4">
        <f t="shared" si="18"/>
        <v>5.968085627932596</v>
      </c>
      <c r="AO51" s="4">
        <f t="shared" si="19"/>
        <v>2.4715272991698019</v>
      </c>
      <c r="AP51" s="4">
        <f t="shared" si="20"/>
        <v>3.4965583287627942</v>
      </c>
      <c r="AR51" s="24">
        <f t="shared" si="22"/>
        <v>2.3622509446111244</v>
      </c>
      <c r="AT51" s="4">
        <f t="shared" si="7"/>
        <v>252.64401487688119</v>
      </c>
      <c r="AU51" s="4">
        <f t="shared" si="21"/>
        <v>265.39306138920267</v>
      </c>
      <c r="AV51" s="4">
        <f t="shared" si="8"/>
        <v>104.62594182925247</v>
      </c>
      <c r="AW51" s="4">
        <f t="shared" si="9"/>
        <v>148.01807304762872</v>
      </c>
      <c r="AX51" s="4">
        <f t="shared" si="10"/>
        <v>160.76711955995023</v>
      </c>
      <c r="AY51" s="9">
        <f t="shared" si="11"/>
        <v>8327.8874519567653</v>
      </c>
      <c r="AZ51" s="23">
        <v>1</v>
      </c>
      <c r="BA51">
        <v>0</v>
      </c>
      <c r="BB51">
        <v>0</v>
      </c>
      <c r="BC51">
        <v>0</v>
      </c>
      <c r="BD51" s="23">
        <v>1</v>
      </c>
      <c r="BF51" s="4">
        <f t="shared" si="12"/>
        <v>298.39953988767769</v>
      </c>
      <c r="BG51" s="4">
        <f t="shared" si="13"/>
        <v>313.45752420263267</v>
      </c>
    </row>
    <row r="52" spans="1:59">
      <c r="A52">
        <v>1973</v>
      </c>
      <c r="B52" s="3">
        <f t="shared" si="0"/>
        <v>58.911768079882052</v>
      </c>
      <c r="C52" s="3">
        <f t="shared" si="1"/>
        <v>20.369443941469338</v>
      </c>
      <c r="D52" s="3">
        <v>41.1646</v>
      </c>
      <c r="E52" s="3">
        <v>29.151260000000001</v>
      </c>
      <c r="F52" s="3">
        <f t="shared" si="14"/>
        <v>11.999999573960002</v>
      </c>
      <c r="G52" s="3">
        <v>48.257249999999999</v>
      </c>
      <c r="H52" s="9">
        <f t="shared" si="15"/>
        <v>5.7908697944048129</v>
      </c>
      <c r="I52" s="44">
        <f t="shared" si="2"/>
        <v>5.7908697944048129</v>
      </c>
      <c r="J52" s="44">
        <f t="shared" si="3"/>
        <v>4.1565204372675844</v>
      </c>
      <c r="P52" s="7">
        <f t="shared" si="4"/>
        <v>3.9889926777801943</v>
      </c>
      <c r="Q52" s="7">
        <f t="shared" si="5"/>
        <v>2.3546433206429662</v>
      </c>
      <c r="S52" s="9">
        <f>USA!Z60*G52</f>
        <v>186.75555750000001</v>
      </c>
      <c r="T52" s="3">
        <v>0</v>
      </c>
      <c r="U52" s="3">
        <v>0</v>
      </c>
      <c r="V52" s="3">
        <v>0</v>
      </c>
      <c r="X52" s="3">
        <v>0.3111582854730402</v>
      </c>
      <c r="Y52" s="3">
        <f t="shared" si="6"/>
        <v>1.8018771166246184</v>
      </c>
      <c r="AA52" s="3">
        <f t="shared" si="16"/>
        <v>0</v>
      </c>
      <c r="AB52" s="3">
        <f t="shared" si="17"/>
        <v>1.8018771166246184</v>
      </c>
      <c r="AM52">
        <v>1973</v>
      </c>
      <c r="AN52" s="4">
        <f t="shared" si="18"/>
        <v>5.7908697944048129</v>
      </c>
      <c r="AO52" s="4">
        <f t="shared" si="19"/>
        <v>1.8018771166246184</v>
      </c>
      <c r="AP52" s="4">
        <f t="shared" si="20"/>
        <v>3.9889926777801943</v>
      </c>
      <c r="AR52" s="3">
        <v>2.4425725081269989</v>
      </c>
      <c r="AT52" s="4">
        <f>AN52/$AR52*100</f>
        <v>237.08077345246704</v>
      </c>
      <c r="AU52" s="4">
        <f t="shared" si="21"/>
        <v>229.91494864953043</v>
      </c>
      <c r="AV52" s="4">
        <f>AO52/$AR52*100</f>
        <v>73.769646986091914</v>
      </c>
      <c r="AW52" s="4">
        <f>AT52-AV52</f>
        <v>163.31112646637513</v>
      </c>
      <c r="AX52" s="4">
        <f t="shared" si="10"/>
        <v>156.14530166343852</v>
      </c>
      <c r="AY52" s="9">
        <f t="shared" si="11"/>
        <v>7645.855215295408</v>
      </c>
      <c r="AZ52" s="23">
        <v>1</v>
      </c>
      <c r="BA52">
        <v>0</v>
      </c>
      <c r="BB52">
        <v>0</v>
      </c>
      <c r="BC52">
        <v>0</v>
      </c>
      <c r="BD52" s="23">
        <v>1</v>
      </c>
      <c r="BF52" s="4">
        <f t="shared" si="12"/>
        <v>280.01769109355848</v>
      </c>
      <c r="BG52" s="4">
        <f t="shared" si="13"/>
        <v>271.55408737369987</v>
      </c>
    </row>
    <row r="53" spans="1:59">
      <c r="A53">
        <v>1974</v>
      </c>
      <c r="B53" s="3">
        <f t="shared" si="0"/>
        <v>64.729299095480883</v>
      </c>
      <c r="C53" s="3">
        <f t="shared" si="1"/>
        <v>22.617266903639468</v>
      </c>
      <c r="D53" s="3">
        <v>45.229599999999998</v>
      </c>
      <c r="E53" s="3">
        <v>32.368180000000002</v>
      </c>
      <c r="F53" s="3">
        <f t="shared" si="14"/>
        <v>14.63999834128</v>
      </c>
      <c r="G53" s="3">
        <v>46.713166666666666</v>
      </c>
      <c r="H53" s="9">
        <f t="shared" si="15"/>
        <v>6.8388068251593621</v>
      </c>
      <c r="I53" s="44">
        <f t="shared" si="2"/>
        <v>6.8388068251593621</v>
      </c>
      <c r="J53" s="44">
        <f t="shared" si="3"/>
        <v>8.1977353021848316</v>
      </c>
      <c r="P53" s="7">
        <f t="shared" si="4"/>
        <v>4.8373841550229884</v>
      </c>
      <c r="Q53" s="7">
        <f t="shared" si="5"/>
        <v>6.1963126320484587</v>
      </c>
      <c r="S53" s="9">
        <f>USA!Z61*G53</f>
        <v>573.63768666666658</v>
      </c>
      <c r="T53" s="3">
        <v>0</v>
      </c>
      <c r="U53" s="3">
        <v>0</v>
      </c>
      <c r="V53" s="3">
        <v>0</v>
      </c>
      <c r="X53" s="3">
        <v>0.29265670478851918</v>
      </c>
      <c r="Y53" s="3">
        <f t="shared" si="6"/>
        <v>2.0014226701363738</v>
      </c>
      <c r="AA53" s="3">
        <f t="shared" si="16"/>
        <v>0</v>
      </c>
      <c r="AB53" s="3">
        <f t="shared" si="17"/>
        <v>2.0014226701363738</v>
      </c>
      <c r="AM53">
        <v>1974</v>
      </c>
      <c r="AN53" s="4">
        <f t="shared" si="18"/>
        <v>6.8388068251593621</v>
      </c>
      <c r="AO53" s="4">
        <f t="shared" si="19"/>
        <v>2.0014226701363738</v>
      </c>
      <c r="AP53" s="4">
        <f t="shared" si="20"/>
        <v>4.8373841550229884</v>
      </c>
      <c r="AR53" s="3">
        <v>2.525326330799154</v>
      </c>
      <c r="AT53" s="4">
        <f t="shared" ref="AT53:AT89" si="23">AN53/$AR53*100</f>
        <v>270.80883534743737</v>
      </c>
      <c r="AU53" s="4">
        <f t="shared" si="21"/>
        <v>281.42497042553845</v>
      </c>
      <c r="AV53" s="4">
        <f t="shared" ref="AV53:AV89" si="24">AO53/$AR53*100</f>
        <v>79.254021380397674</v>
      </c>
      <c r="AW53" s="4">
        <f t="shared" ref="AW53:AW89" si="25">AT53-AV53</f>
        <v>191.55481396703971</v>
      </c>
      <c r="AX53" s="4">
        <f t="shared" si="10"/>
        <v>202.17094904514076</v>
      </c>
      <c r="AY53" s="9">
        <f t="shared" si="11"/>
        <v>22715.388489420915</v>
      </c>
      <c r="AZ53">
        <v>0</v>
      </c>
      <c r="BA53">
        <v>0</v>
      </c>
      <c r="BB53">
        <v>0</v>
      </c>
      <c r="BC53">
        <v>0</v>
      </c>
      <c r="BD53" s="23">
        <v>1</v>
      </c>
      <c r="BF53" s="4">
        <f t="shared" si="12"/>
        <v>319.85413113614914</v>
      </c>
      <c r="BG53" s="4">
        <f t="shared" si="13"/>
        <v>332.39291945549468</v>
      </c>
    </row>
    <row r="54" spans="1:59">
      <c r="A54">
        <v>1975</v>
      </c>
      <c r="B54" s="3">
        <f t="shared" si="0"/>
        <v>56.882000739310357</v>
      </c>
      <c r="C54" s="3">
        <f t="shared" si="1"/>
        <v>24.682660206706046</v>
      </c>
      <c r="D54" s="3">
        <v>39.746299999999998</v>
      </c>
      <c r="E54" s="3">
        <v>35.324019999999997</v>
      </c>
      <c r="F54" s="3">
        <f t="shared" si="14"/>
        <v>14.039990961259997</v>
      </c>
      <c r="G54" s="3">
        <v>43.556333333333335</v>
      </c>
      <c r="H54" s="9">
        <f t="shared" si="15"/>
        <v>6.1153052630562748</v>
      </c>
      <c r="I54" s="44">
        <f t="shared" si="2"/>
        <v>6.1153052630562748</v>
      </c>
      <c r="J54" s="44">
        <f t="shared" si="3"/>
        <v>7.7213053727872021</v>
      </c>
      <c r="P54" s="7">
        <f t="shared" si="4"/>
        <v>4.3740515685776344</v>
      </c>
      <c r="Q54" s="7">
        <f t="shared" si="5"/>
        <v>5.9800516783085618</v>
      </c>
      <c r="S54" s="9">
        <f>USA!Z62*G54</f>
        <v>551.85874333333334</v>
      </c>
      <c r="T54" s="3">
        <v>0</v>
      </c>
      <c r="U54" s="3">
        <v>0</v>
      </c>
      <c r="V54" s="3">
        <v>0</v>
      </c>
      <c r="X54" s="3">
        <v>0.28473700323643464</v>
      </c>
      <c r="Y54" s="3">
        <f t="shared" si="6"/>
        <v>1.7412536944786403</v>
      </c>
      <c r="AA54" s="3">
        <f t="shared" si="16"/>
        <v>0</v>
      </c>
      <c r="AB54" s="3">
        <f t="shared" si="17"/>
        <v>1.7412536944786403</v>
      </c>
      <c r="AM54">
        <v>1975</v>
      </c>
      <c r="AN54" s="4">
        <f t="shared" si="18"/>
        <v>6.1153052630562748</v>
      </c>
      <c r="AO54" s="4">
        <f t="shared" si="19"/>
        <v>1.7412536944786403</v>
      </c>
      <c r="AP54" s="4">
        <f t="shared" si="20"/>
        <v>4.3740515685776344</v>
      </c>
      <c r="AR54" s="3">
        <v>2.5707074593426262</v>
      </c>
      <c r="AT54" s="4">
        <f t="shared" si="23"/>
        <v>237.88413733471106</v>
      </c>
      <c r="AU54" s="4">
        <f t="shared" si="21"/>
        <v>261.44692334649056</v>
      </c>
      <c r="AV54" s="4">
        <f t="shared" si="24"/>
        <v>67.734416382170096</v>
      </c>
      <c r="AW54" s="4">
        <f t="shared" si="25"/>
        <v>170.14972095254097</v>
      </c>
      <c r="AX54" s="4">
        <f t="shared" si="10"/>
        <v>193.71250696432045</v>
      </c>
      <c r="AY54" s="9">
        <f t="shared" si="11"/>
        <v>21467.193450103925</v>
      </c>
      <c r="AZ54">
        <v>0</v>
      </c>
      <c r="BA54">
        <v>0</v>
      </c>
      <c r="BB54">
        <v>0</v>
      </c>
      <c r="BC54">
        <v>0</v>
      </c>
      <c r="BD54" s="23">
        <v>1</v>
      </c>
      <c r="BF54" s="4">
        <f t="shared" si="12"/>
        <v>280.96654956123609</v>
      </c>
      <c r="BG54" s="4">
        <f t="shared" si="13"/>
        <v>308.79671410249085</v>
      </c>
    </row>
    <row r="55" spans="1:59">
      <c r="A55">
        <v>1976</v>
      </c>
      <c r="B55" s="3">
        <f t="shared" si="0"/>
        <v>53.335954404636119</v>
      </c>
      <c r="C55" s="3">
        <f t="shared" si="1"/>
        <v>26.098712089869402</v>
      </c>
      <c r="D55" s="3">
        <v>37.268500000000003</v>
      </c>
      <c r="E55" s="3">
        <v>37.350569999999998</v>
      </c>
      <c r="F55" s="3">
        <f t="shared" si="14"/>
        <v>13.91999718045</v>
      </c>
      <c r="G55" s="3">
        <v>41.575249999999997</v>
      </c>
      <c r="H55" s="9">
        <f t="shared" si="15"/>
        <v>5.7872736277650381</v>
      </c>
      <c r="I55" s="44">
        <f t="shared" si="2"/>
        <v>5.7872736277650381</v>
      </c>
      <c r="J55" s="44">
        <f t="shared" si="3"/>
        <v>7.5699236403577927</v>
      </c>
      <c r="P55" s="7">
        <f t="shared" si="4"/>
        <v>4.2165025321246006</v>
      </c>
      <c r="Q55" s="7">
        <f t="shared" si="5"/>
        <v>5.9991525447173553</v>
      </c>
      <c r="S55" s="9">
        <f>USA!Z63*G55</f>
        <v>553.78233</v>
      </c>
      <c r="T55" s="3">
        <v>0</v>
      </c>
      <c r="U55" s="3">
        <v>0</v>
      </c>
      <c r="V55" s="3">
        <v>0</v>
      </c>
      <c r="X55" s="3">
        <v>0.2714181489716509</v>
      </c>
      <c r="Y55" s="3">
        <f t="shared" si="6"/>
        <v>1.5707710956404377</v>
      </c>
      <c r="AA55" s="3">
        <f t="shared" si="16"/>
        <v>0</v>
      </c>
      <c r="AB55" s="3">
        <f t="shared" si="17"/>
        <v>1.5707710956404377</v>
      </c>
      <c r="AM55">
        <v>1976</v>
      </c>
      <c r="AN55" s="4">
        <f t="shared" si="18"/>
        <v>5.7872736277650381</v>
      </c>
      <c r="AO55" s="4">
        <f t="shared" si="19"/>
        <v>1.5707710956404377</v>
      </c>
      <c r="AP55" s="4">
        <f t="shared" si="20"/>
        <v>4.2165025321246006</v>
      </c>
      <c r="AR55" s="3">
        <v>2.6694781509529339</v>
      </c>
      <c r="AT55" s="4">
        <f t="shared" si="23"/>
        <v>216.79419349055667</v>
      </c>
      <c r="AU55" s="4">
        <f t="shared" si="21"/>
        <v>247.66018213379738</v>
      </c>
      <c r="AV55" s="4">
        <f t="shared" si="24"/>
        <v>58.841878705008824</v>
      </c>
      <c r="AW55" s="4">
        <f t="shared" si="25"/>
        <v>157.95231478554786</v>
      </c>
      <c r="AX55" s="4">
        <f t="shared" si="10"/>
        <v>188.81830342878857</v>
      </c>
      <c r="AY55" s="9">
        <f t="shared" si="11"/>
        <v>20744.96582046623</v>
      </c>
      <c r="AZ55">
        <v>0</v>
      </c>
      <c r="BA55">
        <v>0</v>
      </c>
      <c r="BB55">
        <v>0</v>
      </c>
      <c r="BC55">
        <v>0</v>
      </c>
      <c r="BD55" s="23">
        <v>1</v>
      </c>
      <c r="BF55" s="4">
        <f t="shared" si="12"/>
        <v>256.05707548396788</v>
      </c>
      <c r="BG55" s="4">
        <f t="shared" si="13"/>
        <v>292.51310161943655</v>
      </c>
    </row>
    <row r="56" spans="1:59">
      <c r="A56">
        <v>1977</v>
      </c>
      <c r="B56" s="3">
        <f t="shared" si="0"/>
        <v>64.048082671514095</v>
      </c>
      <c r="C56" s="3">
        <f t="shared" si="1"/>
        <v>27.791594761847083</v>
      </c>
      <c r="D56" s="3">
        <v>44.753599999999999</v>
      </c>
      <c r="E56" s="3">
        <v>39.773299999999999</v>
      </c>
      <c r="F56" s="3">
        <f t="shared" si="14"/>
        <v>17.7999835888</v>
      </c>
      <c r="G56" s="3">
        <v>40.835833333333348</v>
      </c>
      <c r="H56" s="9">
        <f t="shared" si="15"/>
        <v>7.2687716316830562</v>
      </c>
      <c r="I56" s="44">
        <f t="shared" si="2"/>
        <v>7.2687716316830562</v>
      </c>
      <c r="J56" s="44">
        <f t="shared" si="3"/>
        <v>8.2905848218131162</v>
      </c>
      <c r="P56" s="7">
        <f t="shared" si="4"/>
        <v>5.3012523830930194</v>
      </c>
      <c r="Q56" s="7">
        <f t="shared" si="5"/>
        <v>6.3230655732230803</v>
      </c>
      <c r="S56" s="9">
        <f>USA!Z64*G56</f>
        <v>586.40256666666687</v>
      </c>
      <c r="T56" s="3">
        <v>0</v>
      </c>
      <c r="U56" s="3">
        <v>0</v>
      </c>
      <c r="V56" s="3">
        <v>0</v>
      </c>
      <c r="X56" s="3">
        <v>0.27068112031667518</v>
      </c>
      <c r="Y56" s="3">
        <f t="shared" si="6"/>
        <v>1.9675192485900368</v>
      </c>
      <c r="AA56" s="3">
        <f t="shared" si="16"/>
        <v>0</v>
      </c>
      <c r="AB56" s="3">
        <f t="shared" si="17"/>
        <v>1.9675192485900368</v>
      </c>
      <c r="AM56">
        <v>1977</v>
      </c>
      <c r="AN56" s="4">
        <f t="shared" si="18"/>
        <v>7.2687716316830562</v>
      </c>
      <c r="AO56" s="4">
        <f t="shared" si="19"/>
        <v>1.9675192485900368</v>
      </c>
      <c r="AP56" s="4">
        <f t="shared" si="20"/>
        <v>5.3012523830930194</v>
      </c>
      <c r="AR56" s="3">
        <v>2.8090491020994768</v>
      </c>
      <c r="AT56" s="4">
        <f t="shared" si="23"/>
        <v>258.76271177497017</v>
      </c>
      <c r="AU56" s="4">
        <f t="shared" si="21"/>
        <v>259.74493860966561</v>
      </c>
      <c r="AV56" s="4">
        <f t="shared" si="24"/>
        <v>70.042180719429837</v>
      </c>
      <c r="AW56" s="4">
        <f t="shared" si="25"/>
        <v>188.72053105554033</v>
      </c>
      <c r="AX56" s="4">
        <f t="shared" si="10"/>
        <v>189.70275789023574</v>
      </c>
      <c r="AY56" s="9">
        <f t="shared" si="11"/>
        <v>20875.482960706915</v>
      </c>
      <c r="AZ56">
        <v>0</v>
      </c>
      <c r="BA56">
        <v>0</v>
      </c>
      <c r="BB56">
        <v>0</v>
      </c>
      <c r="BC56">
        <v>0</v>
      </c>
      <c r="BD56" s="23">
        <v>1</v>
      </c>
      <c r="BF56" s="4">
        <f t="shared" si="12"/>
        <v>305.62637381838317</v>
      </c>
      <c r="BG56" s="4">
        <f t="shared" si="13"/>
        <v>306.78648851843371</v>
      </c>
    </row>
    <row r="57" spans="1:59">
      <c r="A57">
        <v>1978</v>
      </c>
      <c r="B57" s="3">
        <f t="shared" si="0"/>
        <v>72.467259353350869</v>
      </c>
      <c r="C57" s="3">
        <f t="shared" si="1"/>
        <v>29.916940817905406</v>
      </c>
      <c r="D57" s="3">
        <v>50.636499999999998</v>
      </c>
      <c r="E57" s="3">
        <v>42.81494</v>
      </c>
      <c r="F57" s="3">
        <f t="shared" si="14"/>
        <v>21.679987093099999</v>
      </c>
      <c r="G57" s="3">
        <v>37.559583333333329</v>
      </c>
      <c r="H57" s="9">
        <f t="shared" si="15"/>
        <v>8.1429128188888047</v>
      </c>
      <c r="I57" s="44">
        <f t="shared" si="2"/>
        <v>8.1429128188888047</v>
      </c>
      <c r="J57" s="44">
        <f t="shared" si="3"/>
        <v>7.5891033606613636</v>
      </c>
      <c r="P57" s="7">
        <f t="shared" si="4"/>
        <v>6.402248161559764</v>
      </c>
      <c r="Q57" s="7">
        <f t="shared" si="5"/>
        <v>5.8484387033323229</v>
      </c>
      <c r="S57" s="9">
        <f>USA!Z65*G57</f>
        <v>538.60442499999988</v>
      </c>
      <c r="T57" s="3">
        <v>0</v>
      </c>
      <c r="U57" s="3">
        <v>0</v>
      </c>
      <c r="V57" s="3">
        <v>0</v>
      </c>
      <c r="X57" s="3">
        <v>0.21376437351647526</v>
      </c>
      <c r="Y57" s="3">
        <f t="shared" si="6"/>
        <v>1.740664657329041</v>
      </c>
      <c r="AA57" s="3">
        <f t="shared" si="16"/>
        <v>0</v>
      </c>
      <c r="AB57" s="3">
        <f t="shared" si="17"/>
        <v>1.740664657329041</v>
      </c>
      <c r="AM57">
        <v>1978</v>
      </c>
      <c r="AN57" s="4">
        <f t="shared" si="18"/>
        <v>8.1429128188888047</v>
      </c>
      <c r="AO57" s="4">
        <f t="shared" si="19"/>
        <v>1.740664657329041</v>
      </c>
      <c r="AP57" s="4">
        <f t="shared" si="20"/>
        <v>6.402248161559764</v>
      </c>
      <c r="AR57" s="3">
        <v>2.9188519015400778</v>
      </c>
      <c r="AT57" s="4">
        <f t="shared" si="23"/>
        <v>278.97656659429509</v>
      </c>
      <c r="AU57" s="4">
        <f t="shared" si="21"/>
        <v>232.91933189803981</v>
      </c>
      <c r="AV57" s="4">
        <f t="shared" si="24"/>
        <v>59.635250983806742</v>
      </c>
      <c r="AW57" s="4">
        <f t="shared" si="25"/>
        <v>219.34131561048835</v>
      </c>
      <c r="AX57" s="4">
        <f t="shared" si="10"/>
        <v>173.28408091423307</v>
      </c>
      <c r="AY57" s="9">
        <f t="shared" si="11"/>
        <v>18452.612299918856</v>
      </c>
      <c r="AZ57">
        <v>0</v>
      </c>
      <c r="BA57">
        <v>0</v>
      </c>
      <c r="BB57">
        <v>0</v>
      </c>
      <c r="BC57">
        <v>0</v>
      </c>
      <c r="BD57" s="23">
        <v>1</v>
      </c>
      <c r="BF57" s="4">
        <f t="shared" si="12"/>
        <v>329.50109327446177</v>
      </c>
      <c r="BG57" s="4">
        <f t="shared" si="13"/>
        <v>275.1025845721723</v>
      </c>
    </row>
    <row r="58" spans="1:59">
      <c r="A58">
        <v>1979</v>
      </c>
      <c r="B58" s="3">
        <f t="shared" si="0"/>
        <v>76.785828010834535</v>
      </c>
      <c r="C58" s="3">
        <f t="shared" si="1"/>
        <v>33.287054161079702</v>
      </c>
      <c r="D58" s="3">
        <v>53.6541</v>
      </c>
      <c r="E58" s="3">
        <v>47.637999999999998</v>
      </c>
      <c r="F58" s="3">
        <f t="shared" si="14"/>
        <v>25.559740158</v>
      </c>
      <c r="G58" s="3">
        <v>35.446499999999993</v>
      </c>
      <c r="H58" s="9">
        <f t="shared" si="15"/>
        <v>9.0600332951054678</v>
      </c>
      <c r="I58" s="44">
        <f t="shared" si="2"/>
        <v>9.0600332951054678</v>
      </c>
      <c r="J58" s="44">
        <f t="shared" si="3"/>
        <v>9.3777422635526335</v>
      </c>
      <c r="P58" s="7">
        <f t="shared" si="4"/>
        <v>7.7253593290116251</v>
      </c>
      <c r="Q58" s="7">
        <f t="shared" si="5"/>
        <v>8.0430682974587899</v>
      </c>
      <c r="S58" s="9">
        <f>USA!Z66*G58</f>
        <v>759.61849499999983</v>
      </c>
      <c r="T58" s="3">
        <v>0</v>
      </c>
      <c r="U58" s="3">
        <v>0</v>
      </c>
      <c r="V58" s="3">
        <v>0</v>
      </c>
      <c r="X58" s="3">
        <v>0.14731446592087891</v>
      </c>
      <c r="Y58" s="3">
        <f t="shared" si="6"/>
        <v>1.3346739660938427</v>
      </c>
      <c r="AA58" s="3">
        <f t="shared" si="16"/>
        <v>0</v>
      </c>
      <c r="AB58" s="3">
        <f t="shared" si="17"/>
        <v>1.3346739660938427</v>
      </c>
      <c r="AM58">
        <v>1979</v>
      </c>
      <c r="AN58" s="4">
        <f t="shared" si="18"/>
        <v>9.0600332951054678</v>
      </c>
      <c r="AO58" s="4">
        <f t="shared" si="19"/>
        <v>1.3346739660938427</v>
      </c>
      <c r="AP58" s="4">
        <f t="shared" si="20"/>
        <v>7.7253593290116251</v>
      </c>
      <c r="AR58" s="3">
        <v>3.0556626567834764</v>
      </c>
      <c r="AT58" s="4">
        <f t="shared" si="23"/>
        <v>296.49978786082534</v>
      </c>
      <c r="AU58" s="4">
        <f t="shared" si="21"/>
        <v>260.3784328155358</v>
      </c>
      <c r="AV58" s="4">
        <f t="shared" si="24"/>
        <v>43.678707894371385</v>
      </c>
      <c r="AW58" s="4">
        <f t="shared" si="25"/>
        <v>252.82107996645396</v>
      </c>
      <c r="AX58" s="4">
        <f t="shared" si="10"/>
        <v>216.6997249211644</v>
      </c>
      <c r="AY58" s="9">
        <f t="shared" si="11"/>
        <v>24859.370301026858</v>
      </c>
      <c r="AZ58">
        <v>0</v>
      </c>
      <c r="BA58">
        <v>0</v>
      </c>
      <c r="BB58">
        <v>0</v>
      </c>
      <c r="BC58">
        <v>0</v>
      </c>
      <c r="BD58" s="23">
        <v>1</v>
      </c>
      <c r="BF58" s="4">
        <f t="shared" si="12"/>
        <v>350.19788740129172</v>
      </c>
      <c r="BG58" s="4">
        <f t="shared" si="13"/>
        <v>307.53471277241135</v>
      </c>
    </row>
    <row r="59" spans="1:59">
      <c r="A59">
        <v>1980</v>
      </c>
      <c r="B59" s="3">
        <f t="shared" si="0"/>
        <v>77.915845843532409</v>
      </c>
      <c r="C59" s="3">
        <f t="shared" si="1"/>
        <v>37.784321185500851</v>
      </c>
      <c r="D59" s="3">
        <v>54.4437</v>
      </c>
      <c r="E59" s="3">
        <v>54.074159999999999</v>
      </c>
      <c r="F59" s="3">
        <f t="shared" si="14"/>
        <v>29.43997344792</v>
      </c>
      <c r="G59" s="3">
        <v>32.411833333333327</v>
      </c>
      <c r="H59" s="9">
        <f t="shared" si="15"/>
        <v>9.5420351273174155</v>
      </c>
      <c r="I59" s="44">
        <f t="shared" si="2"/>
        <v>9.5420351273174155</v>
      </c>
      <c r="J59" s="44">
        <f t="shared" si="3"/>
        <v>12.639154607184221</v>
      </c>
      <c r="P59" s="7">
        <f t="shared" si="4"/>
        <v>8.2781710183956161</v>
      </c>
      <c r="Q59" s="7">
        <f t="shared" si="5"/>
        <v>11.375290498262421</v>
      </c>
      <c r="S59" s="9">
        <f>USA!Z67*G59</f>
        <v>1095.1958483333331</v>
      </c>
      <c r="T59" s="3">
        <v>0</v>
      </c>
      <c r="U59" s="3">
        <v>0</v>
      </c>
      <c r="V59" s="3">
        <v>0</v>
      </c>
      <c r="X59" s="3">
        <v>0.1324522590892111</v>
      </c>
      <c r="Y59" s="3">
        <f t="shared" si="6"/>
        <v>1.2638641089217997</v>
      </c>
      <c r="AA59" s="3">
        <f t="shared" si="16"/>
        <v>0</v>
      </c>
      <c r="AB59" s="3">
        <f t="shared" si="17"/>
        <v>1.2638641089217997</v>
      </c>
      <c r="AM59">
        <v>1980</v>
      </c>
      <c r="AN59" s="4">
        <f t="shared" si="18"/>
        <v>9.5420351273174155</v>
      </c>
      <c r="AO59" s="4">
        <f t="shared" si="19"/>
        <v>1.2638641089217997</v>
      </c>
      <c r="AP59" s="4">
        <f t="shared" si="20"/>
        <v>8.2781710183956161</v>
      </c>
      <c r="AR59" s="3">
        <v>3.3299515367897428</v>
      </c>
      <c r="AT59" s="4">
        <f t="shared" si="23"/>
        <v>286.55177175690864</v>
      </c>
      <c r="AU59" s="4">
        <f t="shared" si="21"/>
        <v>309.06889723514269</v>
      </c>
      <c r="AV59" s="4">
        <f t="shared" si="24"/>
        <v>37.95442951521855</v>
      </c>
      <c r="AW59" s="4">
        <f t="shared" si="25"/>
        <v>248.59734224169009</v>
      </c>
      <c r="AX59" s="4">
        <f t="shared" si="10"/>
        <v>271.11446771992416</v>
      </c>
      <c r="AY59" s="9">
        <f t="shared" si="11"/>
        <v>32889.24286835605</v>
      </c>
      <c r="AZ59">
        <v>0</v>
      </c>
      <c r="BA59">
        <v>0</v>
      </c>
      <c r="BB59">
        <v>0</v>
      </c>
      <c r="BC59">
        <v>0</v>
      </c>
      <c r="BD59" s="23">
        <v>1</v>
      </c>
      <c r="BF59" s="4">
        <f t="shared" si="12"/>
        <v>338.44821888193042</v>
      </c>
      <c r="BG59" s="4">
        <f t="shared" si="13"/>
        <v>365.0433467561154</v>
      </c>
    </row>
    <row r="60" spans="1:59">
      <c r="A60">
        <v>1981</v>
      </c>
      <c r="B60" s="3">
        <f t="shared" si="0"/>
        <v>91.838278064700958</v>
      </c>
      <c r="C60" s="3">
        <f t="shared" si="1"/>
        <v>41.681969842500045</v>
      </c>
      <c r="D60" s="3">
        <v>64.171999999999997</v>
      </c>
      <c r="E60" s="3">
        <v>59.652189999999997</v>
      </c>
      <c r="F60" s="3">
        <f t="shared" si="14"/>
        <v>38.280003366799995</v>
      </c>
      <c r="G60" s="3">
        <v>34.470916666666675</v>
      </c>
      <c r="H60" s="9">
        <f t="shared" si="15"/>
        <v>13.195468060566823</v>
      </c>
      <c r="I60" s="44">
        <f t="shared" si="2"/>
        <v>13.195468060566823</v>
      </c>
      <c r="J60" s="44">
        <f t="shared" si="3"/>
        <v>15.743876272918815</v>
      </c>
      <c r="P60" s="7">
        <f t="shared" si="4"/>
        <v>10.414563219903069</v>
      </c>
      <c r="Q60" s="7">
        <f t="shared" si="5"/>
        <v>12.962971432255062</v>
      </c>
      <c r="S60" s="9">
        <f>USA!Z68*G60</f>
        <v>1255.0860758333336</v>
      </c>
      <c r="T60" s="3">
        <v>0</v>
      </c>
      <c r="U60" s="3">
        <v>0</v>
      </c>
      <c r="V60" s="3">
        <v>0</v>
      </c>
      <c r="X60" s="3">
        <v>0.21074696463206002</v>
      </c>
      <c r="Y60" s="3">
        <f t="shared" si="6"/>
        <v>2.7809048406637538</v>
      </c>
      <c r="AA60" s="3">
        <f t="shared" si="16"/>
        <v>0</v>
      </c>
      <c r="AB60" s="3">
        <f t="shared" si="17"/>
        <v>2.7809048406637538</v>
      </c>
      <c r="AM60">
        <v>1981</v>
      </c>
      <c r="AN60" s="4">
        <f t="shared" si="18"/>
        <v>13.195468060566823</v>
      </c>
      <c r="AO60" s="4">
        <f t="shared" si="19"/>
        <v>2.7809048406637538</v>
      </c>
      <c r="AP60" s="4">
        <f t="shared" si="20"/>
        <v>10.414563219903069</v>
      </c>
      <c r="AR60" s="3">
        <v>3.4851742307208133</v>
      </c>
      <c r="AT60" s="4">
        <f t="shared" si="23"/>
        <v>378.61717053490611</v>
      </c>
      <c r="AU60" s="4">
        <f t="shared" si="21"/>
        <v>372.06936978558792</v>
      </c>
      <c r="AV60" s="4">
        <f t="shared" si="24"/>
        <v>79.792419447810488</v>
      </c>
      <c r="AW60" s="4">
        <f t="shared" si="25"/>
        <v>298.82475108709559</v>
      </c>
      <c r="AX60" s="4">
        <f t="shared" si="10"/>
        <v>292.27695033777741</v>
      </c>
      <c r="AY60" s="9">
        <f t="shared" si="11"/>
        <v>36012.147248482128</v>
      </c>
      <c r="AZ60">
        <v>0</v>
      </c>
      <c r="BA60">
        <v>0</v>
      </c>
      <c r="BB60">
        <v>0</v>
      </c>
      <c r="BC60">
        <v>0</v>
      </c>
      <c r="BD60" s="23">
        <v>1</v>
      </c>
      <c r="BF60" s="4">
        <f t="shared" si="12"/>
        <v>447.18727865470134</v>
      </c>
      <c r="BG60" s="4">
        <f t="shared" si="13"/>
        <v>439.45362728827217</v>
      </c>
    </row>
    <row r="61" spans="1:59">
      <c r="A61">
        <v>1982</v>
      </c>
      <c r="B61" s="3">
        <f t="shared" si="0"/>
        <v>84.520067338657626</v>
      </c>
      <c r="C61" s="3">
        <f t="shared" si="1"/>
        <v>44.24984128314113</v>
      </c>
      <c r="D61" s="3">
        <v>59.058399999999999</v>
      </c>
      <c r="E61" s="3">
        <v>63.32714</v>
      </c>
      <c r="F61" s="3">
        <f t="shared" si="14"/>
        <v>37.399995649760001</v>
      </c>
      <c r="G61" s="3">
        <v>37.051083333333331</v>
      </c>
      <c r="H61" s="9">
        <f t="shared" si="15"/>
        <v>13.85710355485562</v>
      </c>
      <c r="I61" s="44">
        <f t="shared" si="2"/>
        <v>13.85710355485562</v>
      </c>
      <c r="J61" s="44">
        <f t="shared" si="3"/>
        <v>15.960457275053983</v>
      </c>
      <c r="P61" s="7">
        <f t="shared" si="4"/>
        <v>10.611470464518936</v>
      </c>
      <c r="Q61" s="7">
        <f t="shared" si="5"/>
        <v>12.714824184717299</v>
      </c>
      <c r="S61" s="9">
        <f>USA!Z69*G61</f>
        <v>1230.0959666666668</v>
      </c>
      <c r="T61" s="3">
        <v>0</v>
      </c>
      <c r="U61" s="3">
        <v>0</v>
      </c>
      <c r="V61" s="3">
        <v>0</v>
      </c>
      <c r="X61" s="3">
        <v>0.23422160897393257</v>
      </c>
      <c r="Y61" s="3">
        <f t="shared" si="6"/>
        <v>3.2456330903366841</v>
      </c>
      <c r="AA61" s="3">
        <f t="shared" si="16"/>
        <v>0</v>
      </c>
      <c r="AB61" s="3">
        <f t="shared" si="17"/>
        <v>3.2456330903366841</v>
      </c>
      <c r="AM61">
        <v>1982</v>
      </c>
      <c r="AN61" s="4">
        <f t="shared" si="18"/>
        <v>13.85710355485562</v>
      </c>
      <c r="AO61" s="4">
        <f t="shared" si="19"/>
        <v>3.2456330903366841</v>
      </c>
      <c r="AP61" s="4">
        <f t="shared" si="20"/>
        <v>10.611470464518936</v>
      </c>
      <c r="AR61" s="3">
        <v>3.7234140495983654</v>
      </c>
      <c r="AT61" s="4">
        <f t="shared" si="23"/>
        <v>372.16123080242306</v>
      </c>
      <c r="AU61" s="4">
        <f t="shared" si="21"/>
        <v>359.28243535692781</v>
      </c>
      <c r="AV61" s="4">
        <f t="shared" si="24"/>
        <v>87.168202276262605</v>
      </c>
      <c r="AW61" s="4">
        <f t="shared" si="25"/>
        <v>284.99302852616046</v>
      </c>
      <c r="AX61" s="4">
        <f t="shared" si="10"/>
        <v>272.1142330806652</v>
      </c>
      <c r="AY61" s="9">
        <f t="shared" si="11"/>
        <v>33036.776202725938</v>
      </c>
      <c r="AZ61">
        <v>0</v>
      </c>
      <c r="BA61">
        <v>0</v>
      </c>
      <c r="BB61">
        <v>0</v>
      </c>
      <c r="BC61">
        <v>0</v>
      </c>
      <c r="BD61" s="23">
        <v>1</v>
      </c>
      <c r="BF61" s="4">
        <f t="shared" si="12"/>
        <v>439.56212495116188</v>
      </c>
      <c r="BG61" s="4">
        <f t="shared" si="13"/>
        <v>424.3508933013004</v>
      </c>
    </row>
    <row r="62" spans="1:59">
      <c r="A62">
        <v>1983</v>
      </c>
      <c r="B62" s="3">
        <f t="shared" si="0"/>
        <v>82.787115725671498</v>
      </c>
      <c r="C62" s="3">
        <f t="shared" si="1"/>
        <v>45.671336429076113</v>
      </c>
      <c r="D62" s="3">
        <v>57.847499999999997</v>
      </c>
      <c r="E62" s="3">
        <v>65.36148</v>
      </c>
      <c r="F62" s="3">
        <f t="shared" si="14"/>
        <v>37.809982142999999</v>
      </c>
      <c r="G62" s="3">
        <v>43.155833333333334</v>
      </c>
      <c r="H62" s="9">
        <f t="shared" si="15"/>
        <v>16.317212876996177</v>
      </c>
      <c r="I62" s="44">
        <f t="shared" si="2"/>
        <v>16.317212876996177</v>
      </c>
      <c r="J62" s="44">
        <f t="shared" si="3"/>
        <v>17.876355784526119</v>
      </c>
      <c r="P62" s="7">
        <f t="shared" si="4"/>
        <v>11.346983284662553</v>
      </c>
      <c r="Q62" s="7">
        <f t="shared" si="5"/>
        <v>12.906126192192497</v>
      </c>
      <c r="S62" s="9">
        <f>USA!Z70*G62</f>
        <v>1249.361375</v>
      </c>
      <c r="T62" s="3">
        <v>0</v>
      </c>
      <c r="U62" s="3">
        <v>0</v>
      </c>
      <c r="V62" s="3">
        <v>0</v>
      </c>
      <c r="X62" s="3">
        <v>0.30460040141662903</v>
      </c>
      <c r="Y62" s="3">
        <f t="shared" si="6"/>
        <v>4.9702295923336237</v>
      </c>
      <c r="AA62" s="3">
        <f t="shared" si="16"/>
        <v>0</v>
      </c>
      <c r="AB62" s="3">
        <f t="shared" si="17"/>
        <v>4.9702295923336237</v>
      </c>
      <c r="AM62">
        <v>1983</v>
      </c>
      <c r="AN62" s="4">
        <f t="shared" si="18"/>
        <v>16.317212876996177</v>
      </c>
      <c r="AO62" s="4">
        <f t="shared" si="19"/>
        <v>4.9702295923336237</v>
      </c>
      <c r="AP62" s="4">
        <f t="shared" si="20"/>
        <v>11.346983284662553</v>
      </c>
      <c r="AR62" s="3">
        <v>3.9944745711219531</v>
      </c>
      <c r="AT62" s="4">
        <f t="shared" si="23"/>
        <v>408.49459888821019</v>
      </c>
      <c r="AU62" s="4">
        <f t="shared" si="21"/>
        <v>384.61828261632172</v>
      </c>
      <c r="AV62" s="4">
        <f t="shared" si="24"/>
        <v>124.42761879787369</v>
      </c>
      <c r="AW62" s="4">
        <f t="shared" si="25"/>
        <v>284.06698009033653</v>
      </c>
      <c r="AX62" s="4">
        <f t="shared" si="10"/>
        <v>260.19066381844806</v>
      </c>
      <c r="AY62" s="9">
        <f t="shared" si="11"/>
        <v>31277.239415472955</v>
      </c>
      <c r="AZ62">
        <v>0</v>
      </c>
      <c r="BA62">
        <v>0</v>
      </c>
      <c r="BB62">
        <v>0</v>
      </c>
      <c r="BC62">
        <v>0</v>
      </c>
      <c r="BD62" s="23">
        <v>1</v>
      </c>
      <c r="BF62" s="4">
        <f t="shared" si="12"/>
        <v>482.47570960366983</v>
      </c>
      <c r="BG62" s="4">
        <f t="shared" si="13"/>
        <v>454.27523237005641</v>
      </c>
    </row>
    <row r="63" spans="1:59">
      <c r="A63">
        <v>1984</v>
      </c>
      <c r="B63" s="3">
        <f t="shared" si="0"/>
        <v>80.221534458349439</v>
      </c>
      <c r="C63" s="3">
        <f t="shared" si="1"/>
        <v>47.643090239969929</v>
      </c>
      <c r="D63" s="3">
        <v>56.0548</v>
      </c>
      <c r="E63" s="3">
        <v>68.183310000000006</v>
      </c>
      <c r="F63" s="3">
        <f t="shared" si="14"/>
        <v>38.220018053880004</v>
      </c>
      <c r="G63" s="3">
        <v>48.544249999999998</v>
      </c>
      <c r="H63" s="9">
        <f t="shared" si="15"/>
        <v>18.553621114120642</v>
      </c>
      <c r="I63" s="44">
        <f t="shared" si="2"/>
        <v>18.553621114120642</v>
      </c>
      <c r="J63" s="44">
        <f t="shared" si="3"/>
        <v>20.333454629307649</v>
      </c>
      <c r="P63" s="7">
        <f t="shared" si="4"/>
        <v>12.468016053929684</v>
      </c>
      <c r="Q63" s="7">
        <f t="shared" si="5"/>
        <v>14.247849569116694</v>
      </c>
      <c r="S63" s="9">
        <f>USA!Z71*G63</f>
        <v>1384.4820099999999</v>
      </c>
      <c r="T63" s="3">
        <v>0</v>
      </c>
      <c r="U63" s="3">
        <v>0</v>
      </c>
      <c r="V63" s="3">
        <v>0</v>
      </c>
      <c r="X63" s="3">
        <v>0.32800093430599231</v>
      </c>
      <c r="Y63" s="3">
        <f t="shared" si="6"/>
        <v>6.0856050601909564</v>
      </c>
      <c r="AA63" s="3">
        <f t="shared" si="16"/>
        <v>0</v>
      </c>
      <c r="AB63" s="3">
        <f t="shared" si="17"/>
        <v>6.0856050601909564</v>
      </c>
      <c r="AM63">
        <v>1984</v>
      </c>
      <c r="AN63" s="4">
        <f t="shared" si="18"/>
        <v>18.553621114120642</v>
      </c>
      <c r="AO63" s="4">
        <f t="shared" si="19"/>
        <v>6.0856050601909564</v>
      </c>
      <c r="AP63" s="4">
        <f t="shared" si="20"/>
        <v>12.468016053929684</v>
      </c>
      <c r="AR63" s="3">
        <v>4.3327210455954148</v>
      </c>
      <c r="AT63" s="4">
        <f t="shared" si="23"/>
        <v>428.22099366360089</v>
      </c>
      <c r="AU63" s="4">
        <f t="shared" si="21"/>
        <v>405.2343209442023</v>
      </c>
      <c r="AV63" s="4">
        <f t="shared" si="24"/>
        <v>140.45688601110149</v>
      </c>
      <c r="AW63" s="4">
        <f t="shared" si="25"/>
        <v>287.76410765249943</v>
      </c>
      <c r="AX63" s="4">
        <f t="shared" si="10"/>
        <v>264.77743493310084</v>
      </c>
      <c r="AY63" s="9">
        <f t="shared" si="11"/>
        <v>31954.099870044611</v>
      </c>
      <c r="AZ63">
        <v>0</v>
      </c>
      <c r="BA63">
        <v>0</v>
      </c>
      <c r="BB63">
        <v>0</v>
      </c>
      <c r="BC63">
        <v>0</v>
      </c>
      <c r="BD63" s="23">
        <v>1</v>
      </c>
      <c r="BF63" s="4">
        <f t="shared" si="12"/>
        <v>505.77468673355679</v>
      </c>
      <c r="BG63" s="4">
        <f t="shared" si="13"/>
        <v>478.62497346463249</v>
      </c>
    </row>
    <row r="64" spans="1:59">
      <c r="A64">
        <v>1985</v>
      </c>
      <c r="B64" s="3">
        <f t="shared" si="0"/>
        <v>80.259888660371118</v>
      </c>
      <c r="C64" s="3">
        <f t="shared" si="1"/>
        <v>49.339718212134507</v>
      </c>
      <c r="D64" s="3">
        <v>56.081600000000002</v>
      </c>
      <c r="E64" s="3">
        <v>70.611400000000003</v>
      </c>
      <c r="F64" s="3">
        <f t="shared" si="14"/>
        <v>39.6000029024</v>
      </c>
      <c r="G64" s="3">
        <v>49.771916666666669</v>
      </c>
      <c r="H64" s="9">
        <f t="shared" si="15"/>
        <v>19.709680444580112</v>
      </c>
      <c r="I64" s="44">
        <f t="shared" si="2"/>
        <v>19.709680444580112</v>
      </c>
      <c r="J64" s="44">
        <f t="shared" si="3"/>
        <v>23.706025816266049</v>
      </c>
      <c r="P64" s="7">
        <f t="shared" si="4"/>
        <v>9.6848591809885693</v>
      </c>
      <c r="Q64" s="7">
        <f t="shared" si="5"/>
        <v>13.681204552674506</v>
      </c>
      <c r="S64" s="9">
        <f>USA!Z72*G64</f>
        <v>1327.4170175000002</v>
      </c>
      <c r="T64" s="3">
        <v>0</v>
      </c>
      <c r="U64" s="3">
        <v>0</v>
      </c>
      <c r="V64" s="3">
        <v>0</v>
      </c>
      <c r="X64" s="3">
        <v>0.50862424136096174</v>
      </c>
      <c r="Y64" s="3">
        <f t="shared" si="6"/>
        <v>10.024821263591543</v>
      </c>
      <c r="AA64" s="3">
        <f t="shared" si="16"/>
        <v>0</v>
      </c>
      <c r="AB64" s="3">
        <f t="shared" si="17"/>
        <v>10.024821263591543</v>
      </c>
      <c r="AM64">
        <v>1985</v>
      </c>
      <c r="AN64" s="4">
        <f t="shared" si="18"/>
        <v>19.709680444580112</v>
      </c>
      <c r="AO64" s="4">
        <f t="shared" si="19"/>
        <v>10.024821263591543</v>
      </c>
      <c r="AP64" s="4">
        <f t="shared" si="20"/>
        <v>9.6848591809885693</v>
      </c>
      <c r="AR64" s="3">
        <v>4.6335132718322036</v>
      </c>
      <c r="AT64" s="4">
        <f t="shared" si="23"/>
        <v>425.37226696636662</v>
      </c>
      <c r="AU64" s="4">
        <f t="shared" si="21"/>
        <v>458.72935736107331</v>
      </c>
      <c r="AV64" s="4">
        <f t="shared" si="24"/>
        <v>216.35464658176073</v>
      </c>
      <c r="AW64" s="4">
        <f t="shared" si="25"/>
        <v>209.01762038460589</v>
      </c>
      <c r="AX64" s="4">
        <f t="shared" si="10"/>
        <v>242.37471077931261</v>
      </c>
      <c r="AY64" s="9">
        <f t="shared" si="11"/>
        <v>28648.175577041293</v>
      </c>
      <c r="AZ64">
        <v>0</v>
      </c>
      <c r="BA64">
        <v>0</v>
      </c>
      <c r="BB64">
        <v>0</v>
      </c>
      <c r="BC64">
        <v>0</v>
      </c>
      <c r="BD64" s="23">
        <v>1</v>
      </c>
      <c r="BF64" s="4">
        <f t="shared" si="12"/>
        <v>502.41003653143468</v>
      </c>
      <c r="BG64" s="4">
        <f t="shared" si="13"/>
        <v>541.80831964779031</v>
      </c>
    </row>
    <row r="65" spans="1:59">
      <c r="A65">
        <v>1986</v>
      </c>
      <c r="B65" s="3">
        <f t="shared" si="0"/>
        <v>83.192697100781103</v>
      </c>
      <c r="C65" s="3">
        <f t="shared" si="1"/>
        <v>50.256813657899102</v>
      </c>
      <c r="D65" s="3">
        <v>58.130899999999997</v>
      </c>
      <c r="E65" s="3">
        <v>71.923879999999997</v>
      </c>
      <c r="F65" s="3">
        <f t="shared" si="14"/>
        <v>41.809998758919988</v>
      </c>
      <c r="G65" s="3">
        <v>45.645833333333336</v>
      </c>
      <c r="H65" s="9">
        <f t="shared" si="15"/>
        <v>19.084522350165354</v>
      </c>
      <c r="I65" s="44">
        <f t="shared" si="2"/>
        <v>19.084522350165354</v>
      </c>
      <c r="J65" s="44">
        <f t="shared" si="3"/>
        <v>17.695580264009159</v>
      </c>
      <c r="P65" s="7">
        <f t="shared" si="4"/>
        <v>8.7106219475292317</v>
      </c>
      <c r="Q65" s="7">
        <f t="shared" si="5"/>
        <v>7.3216798613730383</v>
      </c>
      <c r="S65" s="9">
        <f>USA!Z73*G65</f>
        <v>686.96979166666677</v>
      </c>
      <c r="T65" s="3">
        <v>0</v>
      </c>
      <c r="U65" s="3">
        <v>0</v>
      </c>
      <c r="V65" s="3">
        <v>0</v>
      </c>
      <c r="X65" s="3">
        <v>0.54357663305868587</v>
      </c>
      <c r="Y65" s="3">
        <f t="shared" si="6"/>
        <v>10.373900402636123</v>
      </c>
      <c r="AA65" s="3">
        <f t="shared" si="16"/>
        <v>0</v>
      </c>
      <c r="AB65" s="3">
        <f t="shared" si="17"/>
        <v>10.373900402636123</v>
      </c>
      <c r="AM65">
        <v>1986</v>
      </c>
      <c r="AN65" s="4">
        <f t="shared" si="18"/>
        <v>19.084522350165354</v>
      </c>
      <c r="AO65" s="4">
        <f t="shared" si="19"/>
        <v>10.373900402636123</v>
      </c>
      <c r="AP65" s="4">
        <f t="shared" si="20"/>
        <v>8.7106219475292317</v>
      </c>
      <c r="AR65" s="3">
        <v>4.8787033645783691</v>
      </c>
      <c r="AT65" s="4">
        <f t="shared" si="23"/>
        <v>391.18021580749848</v>
      </c>
      <c r="AU65" s="4">
        <f t="shared" si="21"/>
        <v>380.83024009762158</v>
      </c>
      <c r="AV65" s="4">
        <f t="shared" si="24"/>
        <v>212.63642462781016</v>
      </c>
      <c r="AW65" s="4">
        <f t="shared" si="25"/>
        <v>178.54379117968833</v>
      </c>
      <c r="AX65" s="4">
        <f t="shared" si="10"/>
        <v>168.19381546981143</v>
      </c>
      <c r="AY65" s="9">
        <f t="shared" si="11"/>
        <v>14080.991204638172</v>
      </c>
      <c r="AZ65">
        <v>0</v>
      </c>
      <c r="BA65">
        <v>0</v>
      </c>
      <c r="BB65" s="23">
        <v>1</v>
      </c>
      <c r="BC65">
        <v>0</v>
      </c>
      <c r="BD65" s="23">
        <v>1</v>
      </c>
      <c r="BF65" s="4">
        <f t="shared" si="12"/>
        <v>462.02557565831927</v>
      </c>
      <c r="BG65" s="4">
        <f t="shared" si="13"/>
        <v>449.80114995331706</v>
      </c>
    </row>
    <row r="66" spans="1:59">
      <c r="A66">
        <v>1987</v>
      </c>
      <c r="B66" s="3">
        <f t="shared" si="0"/>
        <v>84.431623693697219</v>
      </c>
      <c r="C66" s="3">
        <f t="shared" si="1"/>
        <v>52.136856526716379</v>
      </c>
      <c r="D66" s="3">
        <v>58.996600000000001</v>
      </c>
      <c r="E66" s="3">
        <v>74.614459999999994</v>
      </c>
      <c r="F66" s="3">
        <f t="shared" si="14"/>
        <v>44.019994508359993</v>
      </c>
      <c r="G66" s="3">
        <v>47.160000000000004</v>
      </c>
      <c r="H66" s="9">
        <f t="shared" si="15"/>
        <v>20.759829410142576</v>
      </c>
      <c r="I66" s="44">
        <f t="shared" si="2"/>
        <v>20.759829410142576</v>
      </c>
      <c r="J66" s="44">
        <f t="shared" si="3"/>
        <v>21.40449886334844</v>
      </c>
      <c r="P66" s="7">
        <f t="shared" si="4"/>
        <v>8.8466976719251793</v>
      </c>
      <c r="Q66" s="7">
        <f t="shared" si="5"/>
        <v>9.4913671251310436</v>
      </c>
      <c r="S66" s="9">
        <f>USA!Z74*G66</f>
        <v>905.47200000000009</v>
      </c>
      <c r="T66" s="3">
        <v>0</v>
      </c>
      <c r="U66" s="3">
        <v>0</v>
      </c>
      <c r="V66" s="3">
        <v>0</v>
      </c>
      <c r="X66" s="3">
        <v>0.57385499191033951</v>
      </c>
      <c r="Y66" s="6"/>
      <c r="AA66" s="3">
        <f t="shared" si="16"/>
        <v>0</v>
      </c>
      <c r="AB66" s="3">
        <f t="shared" si="17"/>
        <v>11.913131738217396</v>
      </c>
      <c r="AM66">
        <v>1987</v>
      </c>
      <c r="AN66" s="4">
        <f t="shared" si="18"/>
        <v>20.759829410142576</v>
      </c>
      <c r="AO66" s="4">
        <f t="shared" si="19"/>
        <v>11.913131738217396</v>
      </c>
      <c r="AP66" s="4">
        <f t="shared" si="20"/>
        <v>8.8466976719251793</v>
      </c>
      <c r="AR66" s="3">
        <v>5.3018975599115628</v>
      </c>
      <c r="AT66" s="4">
        <f t="shared" si="23"/>
        <v>391.55470613221087</v>
      </c>
      <c r="AU66" s="4">
        <f t="shared" si="21"/>
        <v>413.20056554062796</v>
      </c>
      <c r="AV66" s="4">
        <f t="shared" si="24"/>
        <v>224.6956227199552</v>
      </c>
      <c r="AW66" s="4">
        <f t="shared" si="25"/>
        <v>166.85908341225567</v>
      </c>
      <c r="AX66" s="4">
        <f t="shared" si="10"/>
        <v>188.5049428206728</v>
      </c>
      <c r="AY66" s="9">
        <f t="shared" si="11"/>
        <v>17078.26282511395</v>
      </c>
      <c r="AZ66">
        <v>0</v>
      </c>
      <c r="BA66">
        <v>0</v>
      </c>
      <c r="BB66" s="23">
        <v>1</v>
      </c>
      <c r="BC66">
        <v>0</v>
      </c>
      <c r="BD66" s="23">
        <v>1</v>
      </c>
      <c r="BF66" s="4">
        <f t="shared" si="12"/>
        <v>462.46788869170348</v>
      </c>
      <c r="BG66" s="4">
        <f t="shared" si="13"/>
        <v>488.03395836920083</v>
      </c>
    </row>
    <row r="67" spans="1:59">
      <c r="A67">
        <v>1988</v>
      </c>
      <c r="B67" s="3">
        <f t="shared" si="0"/>
        <v>74.409298612432679</v>
      </c>
      <c r="C67" s="3">
        <f t="shared" si="1"/>
        <v>54.227069431021505</v>
      </c>
      <c r="D67" s="3">
        <v>51.993499999999997</v>
      </c>
      <c r="E67" s="3">
        <v>77.605819999999994</v>
      </c>
      <c r="F67" s="3">
        <f t="shared" si="14"/>
        <v>40.349982021699994</v>
      </c>
      <c r="G67" s="3">
        <v>50.921916666666654</v>
      </c>
      <c r="H67" s="9">
        <f t="shared" si="15"/>
        <v>20.546984220105045</v>
      </c>
      <c r="I67" s="44">
        <f t="shared" si="2"/>
        <v>20.546984220105045</v>
      </c>
      <c r="J67" s="44">
        <f t="shared" si="3"/>
        <v>18.843169722564067</v>
      </c>
      <c r="P67" s="7">
        <f t="shared" si="4"/>
        <v>10.279165889777122</v>
      </c>
      <c r="Q67" s="7">
        <f t="shared" si="5"/>
        <v>8.5753513922361435</v>
      </c>
      <c r="S67" s="9">
        <f>USA!Z75*G67</f>
        <v>813.22300916666654</v>
      </c>
      <c r="T67" s="3">
        <v>0</v>
      </c>
      <c r="U67" s="3">
        <v>0</v>
      </c>
      <c r="V67" s="3">
        <v>0</v>
      </c>
      <c r="X67" s="3">
        <v>0.4997238631390466</v>
      </c>
      <c r="Y67" s="6"/>
      <c r="AA67" s="3">
        <f t="shared" si="16"/>
        <v>0</v>
      </c>
      <c r="AB67" s="3">
        <f t="shared" si="17"/>
        <v>10.267818330327923</v>
      </c>
      <c r="AM67">
        <v>1988</v>
      </c>
      <c r="AN67" s="4">
        <f t="shared" si="18"/>
        <v>20.546984220105045</v>
      </c>
      <c r="AO67" s="4">
        <f t="shared" si="19"/>
        <v>10.267818330327923</v>
      </c>
      <c r="AP67" s="4">
        <f t="shared" si="20"/>
        <v>10.279165889777122</v>
      </c>
      <c r="AR67" s="3">
        <v>6.1355440736930378</v>
      </c>
      <c r="AT67" s="4">
        <f t="shared" si="23"/>
        <v>334.88446946706773</v>
      </c>
      <c r="AU67" s="4">
        <f t="shared" si="21"/>
        <v>329.94142608309653</v>
      </c>
      <c r="AV67" s="4">
        <f t="shared" si="24"/>
        <v>167.34976078735318</v>
      </c>
      <c r="AW67" s="4">
        <f t="shared" si="25"/>
        <v>167.53470867971456</v>
      </c>
      <c r="AX67" s="4">
        <f t="shared" si="10"/>
        <v>162.59166529574338</v>
      </c>
      <c r="AY67" s="9">
        <f t="shared" si="11"/>
        <v>13254.293334041369</v>
      </c>
      <c r="AZ67">
        <v>0</v>
      </c>
      <c r="BA67">
        <v>0</v>
      </c>
      <c r="BB67" s="23">
        <v>1</v>
      </c>
      <c r="BC67">
        <v>0</v>
      </c>
      <c r="BD67" s="23">
        <v>1</v>
      </c>
      <c r="BF67" s="4">
        <f t="shared" si="12"/>
        <v>395.53429220636701</v>
      </c>
      <c r="BG67" s="4">
        <f t="shared" si="13"/>
        <v>389.69603052365653</v>
      </c>
    </row>
    <row r="68" spans="1:59">
      <c r="A68">
        <v>1989</v>
      </c>
      <c r="B68" s="3">
        <f t="shared" si="0"/>
        <v>64.526794633314282</v>
      </c>
      <c r="C68" s="3">
        <f t="shared" si="1"/>
        <v>56.844608024141067</v>
      </c>
      <c r="D68" s="3">
        <v>45.088099999999997</v>
      </c>
      <c r="E68" s="3">
        <v>81.351849999999999</v>
      </c>
      <c r="F68" s="3">
        <f t="shared" si="14"/>
        <v>36.680003479850001</v>
      </c>
      <c r="G68" s="3">
        <v>59.82191666666666</v>
      </c>
      <c r="H68" s="9">
        <f t="shared" si="15"/>
        <v>21.942681115046298</v>
      </c>
      <c r="I68" s="44">
        <f>H68</f>
        <v>21.942681115046298</v>
      </c>
      <c r="J68" s="44">
        <f t="shared" si="3"/>
        <v>20.46028269713824</v>
      </c>
      <c r="P68" s="7">
        <f t="shared" si="4"/>
        <v>13.649160935277918</v>
      </c>
      <c r="Q68" s="7">
        <f t="shared" si="5"/>
        <v>12.166762517369861</v>
      </c>
      <c r="S68" s="9">
        <f>USA!Z76*G68</f>
        <v>1174.9024433333332</v>
      </c>
      <c r="T68" s="3">
        <v>0</v>
      </c>
      <c r="U68" s="3">
        <v>0</v>
      </c>
      <c r="V68" s="3">
        <v>0</v>
      </c>
      <c r="X68" s="3">
        <v>0.37796293608265752</v>
      </c>
      <c r="Y68" s="6"/>
      <c r="AA68" s="3">
        <f t="shared" si="16"/>
        <v>0</v>
      </c>
      <c r="AB68" s="3">
        <f t="shared" si="17"/>
        <v>8.2935201797683806</v>
      </c>
      <c r="AM68">
        <v>1989</v>
      </c>
      <c r="AN68" s="4">
        <f t="shared" si="18"/>
        <v>21.942681115046298</v>
      </c>
      <c r="AO68" s="4">
        <f t="shared" si="19"/>
        <v>8.2935201797683806</v>
      </c>
      <c r="AP68" s="4">
        <f t="shared" si="20"/>
        <v>13.649160935277918</v>
      </c>
      <c r="AR68" s="3">
        <v>7.1877377302067664</v>
      </c>
      <c r="AT68" s="4">
        <f t="shared" si="23"/>
        <v>305.27937911300336</v>
      </c>
      <c r="AU68" s="4">
        <f t="shared" si="21"/>
        <v>298.92653879843419</v>
      </c>
      <c r="AV68" s="4">
        <f t="shared" si="24"/>
        <v>115.38429045504148</v>
      </c>
      <c r="AW68" s="4">
        <f t="shared" si="25"/>
        <v>189.89508865796188</v>
      </c>
      <c r="AX68" s="4">
        <f t="shared" si="10"/>
        <v>183.54224834339271</v>
      </c>
      <c r="AY68" s="9">
        <f t="shared" si="11"/>
        <v>16345.928126950943</v>
      </c>
      <c r="AZ68">
        <v>0</v>
      </c>
      <c r="BA68">
        <v>0</v>
      </c>
      <c r="BB68" s="23">
        <v>1</v>
      </c>
      <c r="BC68">
        <v>0</v>
      </c>
      <c r="BD68" s="23">
        <v>1</v>
      </c>
      <c r="BF68" s="4">
        <f t="shared" si="12"/>
        <v>360.56752149426052</v>
      </c>
      <c r="BG68" s="4">
        <f t="shared" si="13"/>
        <v>353.06413920447562</v>
      </c>
    </row>
    <row r="69" spans="1:59">
      <c r="A69">
        <v>1990</v>
      </c>
      <c r="B69" s="3">
        <f t="shared" si="0"/>
        <v>74.240854971464415</v>
      </c>
      <c r="C69" s="3">
        <f t="shared" si="1"/>
        <v>59.913057002261802</v>
      </c>
      <c r="D69" s="3">
        <v>51.875799999999998</v>
      </c>
      <c r="E69" s="3">
        <v>85.743189999999998</v>
      </c>
      <c r="F69" s="3">
        <f t="shared" si="14"/>
        <v>44.479965758020001</v>
      </c>
      <c r="G69" s="3">
        <v>63.725500000000011</v>
      </c>
      <c r="H69" s="9">
        <f t="shared" si="15"/>
        <v>28.345080579127039</v>
      </c>
      <c r="I69" s="44">
        <f t="shared" ref="I69:I78" si="26">H69</f>
        <v>28.345080579127039</v>
      </c>
      <c r="J69" s="44">
        <f t="shared" si="3"/>
        <v>31.293585442972606</v>
      </c>
      <c r="P69" s="7">
        <f t="shared" si="4"/>
        <v>13.073847999458334</v>
      </c>
      <c r="Q69" s="7">
        <f t="shared" si="5"/>
        <v>16.022352863303901</v>
      </c>
      <c r="S69" s="9">
        <f>USA!Z77*G69</f>
        <v>1563.1865150000003</v>
      </c>
      <c r="T69" s="3">
        <v>0</v>
      </c>
      <c r="U69" s="3">
        <v>0</v>
      </c>
      <c r="V69" s="3">
        <v>0</v>
      </c>
      <c r="X69" s="3">
        <v>0.53876130417192214</v>
      </c>
      <c r="Y69" s="6"/>
      <c r="AA69" s="3">
        <f t="shared" si="16"/>
        <v>0</v>
      </c>
      <c r="AB69" s="3">
        <f t="shared" si="17"/>
        <v>15.271232579668705</v>
      </c>
      <c r="AM69">
        <v>1990</v>
      </c>
      <c r="AN69" s="4">
        <f t="shared" si="18"/>
        <v>28.345080579127039</v>
      </c>
      <c r="AO69" s="4">
        <f t="shared" si="19"/>
        <v>15.271232579668705</v>
      </c>
      <c r="AP69" s="4">
        <f t="shared" si="20"/>
        <v>13.073847999458334</v>
      </c>
      <c r="AR69" s="3">
        <v>9.2268694545417329</v>
      </c>
      <c r="AT69" s="4">
        <f t="shared" si="23"/>
        <v>307.20149145683172</v>
      </c>
      <c r="AU69" s="4">
        <f t="shared" si="21"/>
        <v>328.55345241336516</v>
      </c>
      <c r="AV69" s="4">
        <f t="shared" si="24"/>
        <v>165.50827618084227</v>
      </c>
      <c r="AW69" s="4">
        <f t="shared" si="25"/>
        <v>141.69321527598944</v>
      </c>
      <c r="AX69" s="4">
        <f t="shared" si="10"/>
        <v>163.04517623252289</v>
      </c>
      <c r="AY69" s="9">
        <f t="shared" si="11"/>
        <v>16941.678027432743</v>
      </c>
      <c r="AZ69">
        <v>0</v>
      </c>
      <c r="BA69">
        <v>0</v>
      </c>
      <c r="BB69">
        <v>0</v>
      </c>
      <c r="BC69">
        <v>0</v>
      </c>
      <c r="BD69" s="23">
        <v>1</v>
      </c>
      <c r="BF69" s="4">
        <f t="shared" si="12"/>
        <v>362.83774127085132</v>
      </c>
      <c r="BG69" s="4">
        <f t="shared" si="13"/>
        <v>388.05668551631135</v>
      </c>
    </row>
    <row r="70" spans="1:59">
      <c r="A70">
        <v>1991</v>
      </c>
      <c r="B70" s="3">
        <f t="shared" si="0"/>
        <v>112.20106774623805</v>
      </c>
      <c r="C70" s="3">
        <f t="shared" si="1"/>
        <v>62.450351141377027</v>
      </c>
      <c r="D70" s="3">
        <v>78.400499999999994</v>
      </c>
      <c r="E70" s="3">
        <v>89.374380000000002</v>
      </c>
      <c r="F70" s="3">
        <f t="shared" si="14"/>
        <v>70.069960791899987</v>
      </c>
      <c r="G70" s="3">
        <v>75.428999999999988</v>
      </c>
      <c r="H70" s="9">
        <f t="shared" si="15"/>
        <v>52.853070725722233</v>
      </c>
      <c r="I70" s="44">
        <f t="shared" si="26"/>
        <v>52.853070725722233</v>
      </c>
      <c r="J70" s="44">
        <f t="shared" si="3"/>
        <v>53.933173566819086</v>
      </c>
      <c r="P70" s="7">
        <f t="shared" si="4"/>
        <v>15.553471508052496</v>
      </c>
      <c r="Q70" s="7">
        <f t="shared" si="5"/>
        <v>16.633574349149349</v>
      </c>
      <c r="S70" s="9">
        <f>USA!Z78*G70</f>
        <v>1624.7406599999997</v>
      </c>
      <c r="T70" s="3">
        <v>0</v>
      </c>
      <c r="U70" s="3">
        <v>0</v>
      </c>
      <c r="V70" s="3">
        <v>0</v>
      </c>
      <c r="X70" s="3">
        <v>0.70572246239454506</v>
      </c>
      <c r="Y70" s="6"/>
      <c r="AA70" s="3">
        <f t="shared" si="16"/>
        <v>0</v>
      </c>
      <c r="AB70" s="3">
        <f t="shared" si="17"/>
        <v>37.299599217669737</v>
      </c>
      <c r="AM70">
        <v>1991</v>
      </c>
      <c r="AN70" s="4">
        <f t="shared" si="18"/>
        <v>52.853070725722233</v>
      </c>
      <c r="AO70" s="4">
        <f t="shared" si="19"/>
        <v>37.299599217669737</v>
      </c>
      <c r="AP70" s="4">
        <f t="shared" si="20"/>
        <v>15.553471508052496</v>
      </c>
      <c r="AR70" s="3">
        <v>12.439438417624585</v>
      </c>
      <c r="AT70" s="4">
        <f t="shared" si="23"/>
        <v>424.88309320168628</v>
      </c>
      <c r="AU70" s="4">
        <f t="shared" si="21"/>
        <v>436.59854891884072</v>
      </c>
      <c r="AV70" s="4">
        <f t="shared" si="24"/>
        <v>299.84954276410502</v>
      </c>
      <c r="AW70" s="4">
        <f t="shared" si="25"/>
        <v>125.03355043758125</v>
      </c>
      <c r="AX70" s="4">
        <f t="shared" si="10"/>
        <v>136.74900615473572</v>
      </c>
      <c r="AY70" s="9">
        <f t="shared" si="11"/>
        <v>13061.205863586387</v>
      </c>
      <c r="AZ70">
        <v>0</v>
      </c>
      <c r="BA70">
        <v>0</v>
      </c>
      <c r="BB70">
        <v>0</v>
      </c>
      <c r="BC70">
        <v>0</v>
      </c>
      <c r="BD70" s="23">
        <v>1</v>
      </c>
      <c r="BF70" s="4">
        <f t="shared" si="12"/>
        <v>501.83227011817974</v>
      </c>
      <c r="BG70" s="4">
        <f t="shared" si="13"/>
        <v>515.66947341498837</v>
      </c>
    </row>
    <row r="71" spans="1:59">
      <c r="A71">
        <v>1992</v>
      </c>
      <c r="B71" s="3">
        <f t="shared" si="0"/>
        <v>96.515773359014219</v>
      </c>
      <c r="C71" s="3">
        <f t="shared" si="1"/>
        <v>64.341860498266513</v>
      </c>
      <c r="D71" s="3">
        <v>67.440399999999997</v>
      </c>
      <c r="E71" s="3">
        <v>92.081370000000007</v>
      </c>
      <c r="F71" s="3">
        <f t="shared" si="14"/>
        <v>62.10004425348</v>
      </c>
      <c r="G71" s="3">
        <v>79.564583333333346</v>
      </c>
      <c r="H71" s="9">
        <f t="shared" si="15"/>
        <v>49.409641460096985</v>
      </c>
      <c r="I71" s="44">
        <f t="shared" si="26"/>
        <v>49.409641460096985</v>
      </c>
      <c r="J71" s="44">
        <f t="shared" si="3"/>
        <v>51.48662693486758</v>
      </c>
      <c r="P71" s="7">
        <f t="shared" si="4"/>
        <v>14.68268232665978</v>
      </c>
      <c r="Q71" s="7">
        <f t="shared" si="5"/>
        <v>16.759667801430375</v>
      </c>
      <c r="S71" s="9">
        <f>USA!Z79*G71</f>
        <v>1637.4391250000001</v>
      </c>
      <c r="T71" s="3">
        <v>0</v>
      </c>
      <c r="U71" s="3">
        <v>0</v>
      </c>
      <c r="V71" s="3">
        <v>0</v>
      </c>
      <c r="X71" s="3">
        <v>0.70283770752480668</v>
      </c>
      <c r="Y71" s="6"/>
      <c r="AA71" s="3">
        <f t="shared" si="16"/>
        <v>0</v>
      </c>
      <c r="AB71" s="3">
        <f t="shared" si="17"/>
        <v>34.726959133437205</v>
      </c>
      <c r="AM71">
        <v>1992</v>
      </c>
      <c r="AN71" s="4">
        <f t="shared" si="18"/>
        <v>49.409641460096985</v>
      </c>
      <c r="AO71" s="4">
        <f t="shared" si="19"/>
        <v>34.726959133437205</v>
      </c>
      <c r="AP71" s="4">
        <f t="shared" si="20"/>
        <v>14.68268232665978</v>
      </c>
      <c r="AR71" s="3">
        <v>15.382077139270288</v>
      </c>
      <c r="AT71" s="4">
        <f t="shared" si="23"/>
        <v>321.21566556154283</v>
      </c>
      <c r="AU71" s="4">
        <f t="shared" si="21"/>
        <v>329.83278521025642</v>
      </c>
      <c r="AV71" s="4">
        <f t="shared" si="24"/>
        <v>225.76248200432977</v>
      </c>
      <c r="AW71" s="4">
        <f t="shared" si="25"/>
        <v>95.453183557213066</v>
      </c>
      <c r="AX71" s="4">
        <f t="shared" si="10"/>
        <v>104.07030320592665</v>
      </c>
      <c r="AY71" s="9">
        <f t="shared" si="11"/>
        <v>10645.110606158869</v>
      </c>
      <c r="AZ71">
        <v>0</v>
      </c>
      <c r="BA71">
        <v>0</v>
      </c>
      <c r="BB71">
        <v>0</v>
      </c>
      <c r="BC71" s="23">
        <v>1</v>
      </c>
      <c r="BD71" s="23">
        <v>1</v>
      </c>
      <c r="BF71" s="4">
        <f t="shared" si="12"/>
        <v>379.38997626755014</v>
      </c>
      <c r="BG71" s="4">
        <f t="shared" si="13"/>
        <v>389.56771406033448</v>
      </c>
    </row>
    <row r="72" spans="1:59">
      <c r="A72">
        <v>1993</v>
      </c>
      <c r="B72" s="3">
        <f t="shared" si="0"/>
        <v>107.54661359567666</v>
      </c>
      <c r="C72" s="3">
        <f t="shared" si="1"/>
        <v>66.241014180537462</v>
      </c>
      <c r="D72" s="3">
        <v>75.148200000000003</v>
      </c>
      <c r="E72" s="3">
        <v>94.799300000000002</v>
      </c>
      <c r="F72" s="3">
        <f t="shared" si="14"/>
        <v>71.2399675626</v>
      </c>
      <c r="G72" s="3">
        <v>93.435749999999999</v>
      </c>
      <c r="H72" s="9">
        <f t="shared" si="15"/>
        <v>66.56359799187203</v>
      </c>
      <c r="I72" s="44">
        <f t="shared" si="26"/>
        <v>66.56359799187203</v>
      </c>
      <c r="J72" s="44">
        <f t="shared" si="3"/>
        <v>67.07005730152872</v>
      </c>
      <c r="P72" s="7">
        <f t="shared" si="4"/>
        <v>17.093089890213299</v>
      </c>
      <c r="Q72" s="7">
        <f t="shared" si="5"/>
        <v>17.599549199869994</v>
      </c>
      <c r="S72" s="9">
        <f>USA!Z80*G72</f>
        <v>1722.0208725</v>
      </c>
      <c r="T72" s="3">
        <v>0</v>
      </c>
      <c r="U72" s="3">
        <v>0</v>
      </c>
      <c r="V72" s="3">
        <v>0</v>
      </c>
      <c r="X72" s="3">
        <v>0.74320664137926395</v>
      </c>
      <c r="Y72" s="6"/>
      <c r="AA72" s="3">
        <f t="shared" si="16"/>
        <v>0</v>
      </c>
      <c r="AB72" s="3">
        <f t="shared" si="17"/>
        <v>49.47050810165873</v>
      </c>
      <c r="AM72">
        <v>1993</v>
      </c>
      <c r="AN72" s="4">
        <f t="shared" si="18"/>
        <v>66.56359799187203</v>
      </c>
      <c r="AO72" s="4">
        <f t="shared" si="19"/>
        <v>49.47050810165873</v>
      </c>
      <c r="AP72" s="4">
        <f t="shared" si="20"/>
        <v>17.093089890213299</v>
      </c>
      <c r="AR72" s="3">
        <v>18.8375438648211</v>
      </c>
      <c r="AT72" s="4">
        <f t="shared" si="23"/>
        <v>353.3560344678416</v>
      </c>
      <c r="AU72" s="4">
        <f t="shared" si="21"/>
        <v>356.49710437324399</v>
      </c>
      <c r="AV72" s="4">
        <f t="shared" si="24"/>
        <v>262.61655158793997</v>
      </c>
      <c r="AW72" s="4">
        <f t="shared" si="25"/>
        <v>90.73948287990163</v>
      </c>
      <c r="AX72" s="4">
        <f t="shared" si="10"/>
        <v>93.880552785304019</v>
      </c>
      <c r="AY72" s="9">
        <f t="shared" si="11"/>
        <v>9141.4299276874117</v>
      </c>
      <c r="AZ72">
        <v>0</v>
      </c>
      <c r="BA72">
        <v>0</v>
      </c>
      <c r="BB72">
        <v>0</v>
      </c>
      <c r="BC72" s="23">
        <v>1</v>
      </c>
      <c r="BD72" s="23">
        <v>1</v>
      </c>
      <c r="BF72" s="4">
        <f t="shared" si="12"/>
        <v>417.35118147612593</v>
      </c>
      <c r="BG72" s="4">
        <f t="shared" si="13"/>
        <v>421.06112020150545</v>
      </c>
    </row>
    <row r="73" spans="1:59">
      <c r="A73">
        <v>1994</v>
      </c>
      <c r="B73" s="3">
        <f t="shared" si="0"/>
        <v>107.40321467617781</v>
      </c>
      <c r="C73" s="3">
        <f t="shared" si="1"/>
        <v>67.968212466727536</v>
      </c>
      <c r="D73" s="3">
        <v>75.048000000000002</v>
      </c>
      <c r="E73" s="3">
        <v>97.271140000000003</v>
      </c>
      <c r="F73" s="3">
        <f t="shared" si="14"/>
        <v>73.000045147200012</v>
      </c>
      <c r="G73" s="3">
        <v>105.95966666666668</v>
      </c>
      <c r="H73" s="9">
        <f t="shared" si="15"/>
        <v>77.350604504489326</v>
      </c>
      <c r="I73" s="44">
        <f t="shared" si="26"/>
        <v>77.350604504489326</v>
      </c>
      <c r="J73" s="44">
        <f t="shared" si="3"/>
        <v>75.410541843798171</v>
      </c>
      <c r="P73" s="7">
        <f t="shared" si="4"/>
        <v>20.537413583390965</v>
      </c>
      <c r="Q73" s="7">
        <f t="shared" si="5"/>
        <v>18.597350922699814</v>
      </c>
      <c r="S73" s="9">
        <f>USA!Z81*G73</f>
        <v>1822.5062666666668</v>
      </c>
      <c r="T73" s="3">
        <v>0</v>
      </c>
      <c r="U73" s="3">
        <v>0</v>
      </c>
      <c r="V73" s="3">
        <v>0</v>
      </c>
      <c r="X73" s="3">
        <v>0.73448929436357535</v>
      </c>
      <c r="Y73" s="6"/>
      <c r="AA73" s="3">
        <f t="shared" si="16"/>
        <v>0</v>
      </c>
      <c r="AB73" s="3">
        <f t="shared" si="17"/>
        <v>56.813190921098361</v>
      </c>
      <c r="AM73">
        <v>1994</v>
      </c>
      <c r="AN73" s="4">
        <f t="shared" si="18"/>
        <v>77.350604504489326</v>
      </c>
      <c r="AO73" s="4">
        <f t="shared" si="19"/>
        <v>56.813190921098361</v>
      </c>
      <c r="AP73" s="4">
        <f t="shared" si="20"/>
        <v>20.537413583390965</v>
      </c>
      <c r="AR73" s="3">
        <v>22.391826711270635</v>
      </c>
      <c r="AT73" s="4">
        <f t="shared" si="23"/>
        <v>345.4412429226058</v>
      </c>
      <c r="AU73" s="4">
        <f t="shared" si="21"/>
        <v>340.8115163399342</v>
      </c>
      <c r="AV73" s="4">
        <f t="shared" si="24"/>
        <v>253.72289475830115</v>
      </c>
      <c r="AW73" s="4">
        <f t="shared" si="25"/>
        <v>91.718348164304643</v>
      </c>
      <c r="AX73" s="4">
        <f t="shared" si="10"/>
        <v>87.088621581633021</v>
      </c>
      <c r="AY73" s="9">
        <f t="shared" si="11"/>
        <v>8139.1584981734968</v>
      </c>
      <c r="AZ73">
        <v>0</v>
      </c>
      <c r="BA73">
        <v>0</v>
      </c>
      <c r="BB73">
        <v>0</v>
      </c>
      <c r="BC73" s="23">
        <v>1</v>
      </c>
      <c r="BD73" s="23">
        <v>1</v>
      </c>
      <c r="BF73" s="4">
        <f t="shared" si="12"/>
        <v>408.00296811529813</v>
      </c>
      <c r="BG73" s="4">
        <f t="shared" si="13"/>
        <v>402.53476700731545</v>
      </c>
    </row>
    <row r="74" spans="1:59">
      <c r="A74">
        <v>1995</v>
      </c>
      <c r="B74" s="3">
        <f t="shared" si="0"/>
        <v>100.2218196857042</v>
      </c>
      <c r="C74" s="3">
        <f t="shared" si="1"/>
        <v>69.875003486879606</v>
      </c>
      <c r="D74" s="3">
        <v>70.03</v>
      </c>
      <c r="E74" s="3">
        <v>100</v>
      </c>
      <c r="F74" s="3">
        <f t="shared" si="14"/>
        <v>70.03</v>
      </c>
      <c r="G74" s="3">
        <v>128.22041666666669</v>
      </c>
      <c r="H74" s="9">
        <f t="shared" si="15"/>
        <v>89.792757791666688</v>
      </c>
      <c r="I74" s="44">
        <f t="shared" si="26"/>
        <v>89.792757791666688</v>
      </c>
      <c r="J74" s="44">
        <f t="shared" si="3"/>
        <v>83.027367425621236</v>
      </c>
      <c r="M74" s="9">
        <f>G74*N74/100</f>
        <v>94.883108333333354</v>
      </c>
      <c r="N74" s="6">
        <v>74</v>
      </c>
      <c r="P74" s="7">
        <f t="shared" si="4"/>
        <v>30.73076155776824</v>
      </c>
      <c r="Q74" s="7">
        <f t="shared" si="5"/>
        <v>23.965371191722788</v>
      </c>
      <c r="S74" s="9">
        <f>USA!Z82*G74</f>
        <v>2363.1022791666669</v>
      </c>
      <c r="T74" s="3">
        <v>0</v>
      </c>
      <c r="U74" s="3">
        <v>0</v>
      </c>
      <c r="V74" s="3">
        <v>0</v>
      </c>
      <c r="X74" s="3">
        <v>0.65775901850493956</v>
      </c>
      <c r="Y74" s="6"/>
      <c r="AA74" s="3">
        <f t="shared" si="16"/>
        <v>0</v>
      </c>
      <c r="AB74" s="3">
        <f t="shared" si="17"/>
        <v>59.061996233898448</v>
      </c>
      <c r="AM74">
        <v>1995</v>
      </c>
      <c r="AN74" s="4">
        <f t="shared" si="18"/>
        <v>89.792757791666688</v>
      </c>
      <c r="AO74" s="4">
        <f t="shared" si="19"/>
        <v>59.061996233898448</v>
      </c>
      <c r="AP74" s="4">
        <f t="shared" si="20"/>
        <v>30.73076155776824</v>
      </c>
      <c r="AR74" s="3">
        <v>28.729936264298662</v>
      </c>
      <c r="AT74" s="4">
        <f t="shared" si="23"/>
        <v>312.5407483178023</v>
      </c>
      <c r="AU74" s="4">
        <f t="shared" si="21"/>
        <v>293.24835936584782</v>
      </c>
      <c r="AV74" s="4">
        <f t="shared" si="24"/>
        <v>205.57649585631697</v>
      </c>
      <c r="AW74" s="4">
        <f t="shared" si="25"/>
        <v>106.96425246148533</v>
      </c>
      <c r="AX74" s="4">
        <f t="shared" si="10"/>
        <v>87.671863509530851</v>
      </c>
      <c r="AY74" s="9">
        <f t="shared" si="11"/>
        <v>8225.2263194303814</v>
      </c>
      <c r="AZ74">
        <v>0</v>
      </c>
      <c r="BA74">
        <v>0</v>
      </c>
      <c r="BB74">
        <v>0</v>
      </c>
      <c r="BC74" s="23">
        <v>1</v>
      </c>
      <c r="BD74" s="23">
        <v>1</v>
      </c>
      <c r="BF74" s="4">
        <f t="shared" si="12"/>
        <v>369.14397334776072</v>
      </c>
      <c r="BG74" s="4">
        <f t="shared" si="13"/>
        <v>346.35760340583761</v>
      </c>
    </row>
    <row r="75" spans="1:59">
      <c r="A75">
        <v>1996</v>
      </c>
      <c r="B75" s="3">
        <f t="shared" si="0"/>
        <v>102.10890367024754</v>
      </c>
      <c r="C75" s="3">
        <f t="shared" si="1"/>
        <v>71.923179589087013</v>
      </c>
      <c r="D75" s="3">
        <v>71.348600000000005</v>
      </c>
      <c r="E75" s="3">
        <v>102.9312</v>
      </c>
      <c r="F75" s="3">
        <f t="shared" si="14"/>
        <v>73.439970163200002</v>
      </c>
      <c r="G75" s="3">
        <v>154.66166666666666</v>
      </c>
      <c r="H75" s="9">
        <f t="shared" si="15"/>
        <v>113.58348185390783</v>
      </c>
      <c r="I75" s="44">
        <f t="shared" si="26"/>
        <v>113.58348185390783</v>
      </c>
      <c r="J75" s="44">
        <f t="shared" si="3"/>
        <v>113.78734016541128</v>
      </c>
      <c r="M75" s="9">
        <f t="shared" ref="M75:M89" si="27">G75*N75/100</f>
        <v>113.41855555555554</v>
      </c>
      <c r="N75" s="3">
        <f>N74+(N$77-N$74)/3</f>
        <v>73.333333333333329</v>
      </c>
      <c r="P75" s="7">
        <f t="shared" si="4"/>
        <v>34.26739772746609</v>
      </c>
      <c r="Q75" s="7">
        <f t="shared" si="5"/>
        <v>34.471256038969535</v>
      </c>
      <c r="S75" s="9">
        <f>USA!Z83*G75</f>
        <v>3421.1160666666669</v>
      </c>
      <c r="T75" s="3">
        <v>0</v>
      </c>
      <c r="U75" s="3">
        <v>0</v>
      </c>
      <c r="V75" s="3">
        <v>0</v>
      </c>
      <c r="X75" s="3">
        <v>0.69830650400785255</v>
      </c>
      <c r="Y75" s="6"/>
      <c r="AA75" s="3">
        <f t="shared" si="16"/>
        <v>0</v>
      </c>
      <c r="AB75" s="3">
        <f t="shared" si="17"/>
        <v>79.316084126441737</v>
      </c>
      <c r="AM75">
        <v>1996</v>
      </c>
      <c r="AN75" s="4">
        <f t="shared" si="18"/>
        <v>113.58348185390783</v>
      </c>
      <c r="AO75" s="4">
        <f t="shared" si="19"/>
        <v>79.316084126441737</v>
      </c>
      <c r="AP75" s="4">
        <f t="shared" si="20"/>
        <v>34.26739772746609</v>
      </c>
      <c r="AR75" s="3">
        <v>35.472573625147795</v>
      </c>
      <c r="AT75" s="4">
        <f t="shared" si="23"/>
        <v>320.20084884222888</v>
      </c>
      <c r="AU75" s="4">
        <f t="shared" si="21"/>
        <v>320.88726857552803</v>
      </c>
      <c r="AV75" s="4">
        <f t="shared" si="24"/>
        <v>223.59833533536366</v>
      </c>
      <c r="AW75" s="4">
        <f t="shared" si="25"/>
        <v>96.602513506865222</v>
      </c>
      <c r="AX75" s="4">
        <f t="shared" si="10"/>
        <v>97.288933240164368</v>
      </c>
      <c r="AY75" s="9">
        <f t="shared" si="11"/>
        <v>9644.3976769740602</v>
      </c>
      <c r="AZ75">
        <v>0</v>
      </c>
      <c r="BA75">
        <v>0</v>
      </c>
      <c r="BB75">
        <v>0</v>
      </c>
      <c r="BC75" s="23">
        <v>1</v>
      </c>
      <c r="BD75" s="23">
        <v>1</v>
      </c>
      <c r="BF75" s="4">
        <f t="shared" si="12"/>
        <v>378.19136943626944</v>
      </c>
      <c r="BG75" s="4">
        <f t="shared" si="13"/>
        <v>379.0021043855462</v>
      </c>
    </row>
    <row r="76" spans="1:59">
      <c r="A76">
        <v>1997</v>
      </c>
      <c r="B76" s="3">
        <f t="shared" si="0"/>
        <v>93.540460448453345</v>
      </c>
      <c r="C76" s="3">
        <f t="shared" si="1"/>
        <v>73.604511922988308</v>
      </c>
      <c r="D76" s="3">
        <v>65.361400000000003</v>
      </c>
      <c r="E76" s="3">
        <v>105.3374</v>
      </c>
      <c r="F76" s="3">
        <f t="shared" si="14"/>
        <v>68.849999363600006</v>
      </c>
      <c r="G76" s="3">
        <v>190.13583333333335</v>
      </c>
      <c r="H76" s="9">
        <f t="shared" si="15"/>
        <v>130.90852003997557</v>
      </c>
      <c r="I76" s="44">
        <f t="shared" si="26"/>
        <v>130.90852003997557</v>
      </c>
      <c r="J76" s="44">
        <f t="shared" si="3"/>
        <v>135.18102180331556</v>
      </c>
      <c r="M76" s="9">
        <f t="shared" si="27"/>
        <v>138.1653722222222</v>
      </c>
      <c r="N76" s="3">
        <f>N75+(N$77-N$74)/3</f>
        <v>72.666666666666657</v>
      </c>
      <c r="P76" s="7">
        <f t="shared" si="4"/>
        <v>35.139667689902808</v>
      </c>
      <c r="Q76" s="7">
        <f t="shared" si="5"/>
        <v>39.412169453242797</v>
      </c>
      <c r="S76" s="9">
        <f>USA!Z84*G76</f>
        <v>3918.6995250000004</v>
      </c>
      <c r="T76" s="3">
        <v>0</v>
      </c>
      <c r="U76" s="3">
        <v>0</v>
      </c>
      <c r="V76" s="3">
        <v>0</v>
      </c>
      <c r="X76" s="3">
        <v>0.73157081235681076</v>
      </c>
      <c r="Y76" s="6"/>
      <c r="AA76" s="3">
        <f t="shared" si="16"/>
        <v>0</v>
      </c>
      <c r="AB76" s="3">
        <f t="shared" si="17"/>
        <v>95.768852350072763</v>
      </c>
      <c r="AM76">
        <v>1997</v>
      </c>
      <c r="AN76" s="4">
        <f t="shared" si="18"/>
        <v>130.90852003997557</v>
      </c>
      <c r="AO76" s="4">
        <f t="shared" si="19"/>
        <v>95.768852350072763</v>
      </c>
      <c r="AP76" s="4">
        <f t="shared" si="20"/>
        <v>35.139667689902808</v>
      </c>
      <c r="AR76" s="3">
        <v>41.96585660529</v>
      </c>
      <c r="AT76" s="4">
        <f t="shared" si="23"/>
        <v>311.9405407858967</v>
      </c>
      <c r="AU76" s="4">
        <f t="shared" si="21"/>
        <v>323.41804703310754</v>
      </c>
      <c r="AV76" s="4">
        <f t="shared" si="24"/>
        <v>228.20659482976126</v>
      </c>
      <c r="AW76" s="4">
        <f t="shared" si="25"/>
        <v>83.733945956135443</v>
      </c>
      <c r="AX76" s="4">
        <f t="shared" ref="AX76:AX96" si="28">AU$100+AU$101*AY76+AU$102*AZ76+AU$103*BA76+AU$104*BB76+AU$105*BC76+AU$106*BD76</f>
        <v>95.211452203346312</v>
      </c>
      <c r="AY76" s="9">
        <f t="shared" si="11"/>
        <v>9337.8280392494817</v>
      </c>
      <c r="AZ76">
        <v>0</v>
      </c>
      <c r="BA76">
        <v>0</v>
      </c>
      <c r="BB76">
        <v>0</v>
      </c>
      <c r="BC76" s="23">
        <v>1</v>
      </c>
      <c r="BD76" s="23">
        <v>1</v>
      </c>
      <c r="BF76" s="4">
        <f t="shared" si="12"/>
        <v>368.4350642075816</v>
      </c>
      <c r="BG76" s="4">
        <f t="shared" si="13"/>
        <v>381.99122379004666</v>
      </c>
    </row>
    <row r="77" spans="1:59">
      <c r="A77">
        <v>1998</v>
      </c>
      <c r="B77" s="3">
        <f t="shared" si="0"/>
        <v>103.74997693361459</v>
      </c>
      <c r="C77" s="3">
        <f t="shared" si="1"/>
        <v>74.747038105002289</v>
      </c>
      <c r="D77" s="3">
        <v>72.4953</v>
      </c>
      <c r="E77" s="3">
        <v>106.9725</v>
      </c>
      <c r="F77" s="3">
        <f t="shared" si="14"/>
        <v>77.5500347925</v>
      </c>
      <c r="G77" s="3">
        <v>215.21000000000004</v>
      </c>
      <c r="H77" s="9">
        <f t="shared" si="15"/>
        <v>166.89542987693926</v>
      </c>
      <c r="I77" s="44">
        <f t="shared" si="26"/>
        <v>166.89542987693926</v>
      </c>
      <c r="J77" s="44">
        <f t="shared" si="3"/>
        <v>171.58806619589433</v>
      </c>
      <c r="M77" s="9">
        <f t="shared" si="27"/>
        <v>154.95120000000003</v>
      </c>
      <c r="N77" s="6">
        <v>72</v>
      </c>
      <c r="P77" s="7">
        <f t="shared" si="4"/>
        <v>45.19410000000002</v>
      </c>
      <c r="Q77" s="7">
        <f t="shared" si="5"/>
        <v>49.886736318955087</v>
      </c>
      <c r="S77" s="9">
        <f>USA!Z85*G77</f>
        <v>3103.3282000000004</v>
      </c>
      <c r="T77" s="3">
        <v>1</v>
      </c>
      <c r="U77" s="3">
        <v>0</v>
      </c>
      <c r="V77" s="3">
        <v>0</v>
      </c>
      <c r="X77" s="3">
        <v>0.72920708473968399</v>
      </c>
      <c r="Y77" s="6"/>
      <c r="AA77" s="3">
        <f t="shared" si="16"/>
        <v>0</v>
      </c>
      <c r="AB77" s="3">
        <f t="shared" si="17"/>
        <v>121.70132987693924</v>
      </c>
      <c r="AM77">
        <v>1998</v>
      </c>
      <c r="AN77" s="4">
        <f t="shared" si="18"/>
        <v>166.89542987693926</v>
      </c>
      <c r="AO77" s="4">
        <f t="shared" si="19"/>
        <v>121.70132987693924</v>
      </c>
      <c r="AP77" s="4">
        <f t="shared" si="20"/>
        <v>45.19410000000002</v>
      </c>
      <c r="AR77" s="3">
        <v>47.905615820903868</v>
      </c>
      <c r="AT77" s="4">
        <f t="shared" si="23"/>
        <v>348.38385232512456</v>
      </c>
      <c r="AU77" s="4">
        <f t="shared" si="21"/>
        <v>346.18166374079613</v>
      </c>
      <c r="AV77" s="4">
        <f t="shared" si="24"/>
        <v>254.04397332438469</v>
      </c>
      <c r="AW77" s="4">
        <f t="shared" si="25"/>
        <v>94.33987900073987</v>
      </c>
      <c r="AX77" s="4">
        <f t="shared" si="28"/>
        <v>92.137690416411431</v>
      </c>
      <c r="AY77" s="9">
        <f t="shared" si="11"/>
        <v>6478.0050247174713</v>
      </c>
      <c r="AZ77">
        <v>0</v>
      </c>
      <c r="BA77">
        <v>0</v>
      </c>
      <c r="BB77">
        <v>0</v>
      </c>
      <c r="BC77">
        <v>0</v>
      </c>
      <c r="BD77" s="23">
        <v>1</v>
      </c>
      <c r="BF77" s="4">
        <f t="shared" si="12"/>
        <v>411.47850381009249</v>
      </c>
      <c r="BG77" s="4">
        <f t="shared" si="13"/>
        <v>408.87748410800401</v>
      </c>
    </row>
    <row r="78" spans="1:59">
      <c r="A78">
        <v>1999</v>
      </c>
      <c r="B78" s="3">
        <f t="shared" si="0"/>
        <v>115.53630908248731</v>
      </c>
      <c r="C78" s="3">
        <f t="shared" si="1"/>
        <v>75.889564287016256</v>
      </c>
      <c r="D78" s="30">
        <v>80.730999999999995</v>
      </c>
      <c r="E78" s="3">
        <v>108.60760000000001</v>
      </c>
      <c r="F78" s="3">
        <f t="shared" si="14"/>
        <v>87.680001556000008</v>
      </c>
      <c r="G78" s="3">
        <v>240.07833333333335</v>
      </c>
      <c r="H78" s="9">
        <f t="shared" si="15"/>
        <v>210.50068640228557</v>
      </c>
      <c r="I78" s="44">
        <f t="shared" si="26"/>
        <v>210.50068640228557</v>
      </c>
      <c r="J78" s="44">
        <f t="shared" si="3"/>
        <v>201.30426990430061</v>
      </c>
      <c r="M78" s="9">
        <f t="shared" si="27"/>
        <v>183.65992500000002</v>
      </c>
      <c r="N78" s="3">
        <f>(N77+N79)/2</f>
        <v>76.5</v>
      </c>
      <c r="P78" s="7">
        <f t="shared" si="4"/>
        <v>69.938838151457674</v>
      </c>
      <c r="Q78" s="7">
        <f t="shared" si="5"/>
        <v>60.742421653472725</v>
      </c>
      <c r="S78" s="9">
        <f>USA!Z86*G78</f>
        <v>4196.5692666666673</v>
      </c>
      <c r="T78" s="3">
        <v>1</v>
      </c>
      <c r="U78" s="3">
        <v>0</v>
      </c>
      <c r="V78" s="3">
        <v>0</v>
      </c>
      <c r="X78" s="3">
        <v>0.66775007081070359</v>
      </c>
      <c r="Y78" s="6"/>
      <c r="AA78" s="3">
        <f t="shared" si="16"/>
        <v>0</v>
      </c>
      <c r="AB78" s="3">
        <f t="shared" si="17"/>
        <v>140.56184825082789</v>
      </c>
      <c r="AM78">
        <v>1999</v>
      </c>
      <c r="AN78" s="4">
        <f t="shared" si="18"/>
        <v>210.50068640228557</v>
      </c>
      <c r="AO78" s="4">
        <f t="shared" si="19"/>
        <v>140.56184825082789</v>
      </c>
      <c r="AP78" s="4">
        <f t="shared" si="20"/>
        <v>69.938838151457674</v>
      </c>
      <c r="AR78" s="3">
        <v>52.695096652301331</v>
      </c>
      <c r="AT78" s="4">
        <f t="shared" si="23"/>
        <v>399.46921018332063</v>
      </c>
      <c r="AU78" s="4">
        <f t="shared" si="21"/>
        <v>368.9523089297121</v>
      </c>
      <c r="AV78" s="4">
        <f t="shared" si="24"/>
        <v>266.74559338660816</v>
      </c>
      <c r="AW78" s="4">
        <f t="shared" si="25"/>
        <v>132.72361679671246</v>
      </c>
      <c r="AX78" s="4">
        <f t="shared" si="28"/>
        <v>102.20671554310397</v>
      </c>
      <c r="AY78" s="9">
        <f t="shared" si="11"/>
        <v>7963.8705178907612</v>
      </c>
      <c r="AZ78">
        <v>0</v>
      </c>
      <c r="BA78">
        <v>0</v>
      </c>
      <c r="BB78">
        <v>0</v>
      </c>
      <c r="BC78">
        <v>0</v>
      </c>
      <c r="BD78" s="23">
        <v>1</v>
      </c>
      <c r="BF78" s="4">
        <f t="shared" si="12"/>
        <v>471.81576249129148</v>
      </c>
      <c r="BG78" s="4">
        <f t="shared" si="13"/>
        <v>435.77204581226329</v>
      </c>
    </row>
    <row r="79" spans="1:59">
      <c r="A79">
        <v>2000</v>
      </c>
      <c r="B79" s="3">
        <f t="shared" si="0"/>
        <v>102.58587475197214</v>
      </c>
      <c r="C79" s="3">
        <f t="shared" si="1"/>
        <v>78.958238837304293</v>
      </c>
      <c r="D79" s="2">
        <f>F79/E79*100</f>
        <v>71.681883559986474</v>
      </c>
      <c r="E79" s="2">
        <v>112.9992628224058</v>
      </c>
      <c r="F79" s="2">
        <f>I79/G79*100</f>
        <v>81</v>
      </c>
      <c r="G79" s="3">
        <v>284.77</v>
      </c>
      <c r="H79" s="44">
        <f>(Q79+Y79)+Z79*(Q79+Y79)</f>
        <v>78.545112123729567</v>
      </c>
      <c r="I79" s="44">
        <f>M79</f>
        <v>230.66369999999998</v>
      </c>
      <c r="J79" s="44">
        <f t="shared" si="3"/>
        <v>233.96069435606466</v>
      </c>
      <c r="M79" s="9">
        <f t="shared" si="27"/>
        <v>230.66369999999998</v>
      </c>
      <c r="N79" s="6">
        <v>81</v>
      </c>
      <c r="P79" s="7">
        <f t="shared" si="4"/>
        <v>75.248117767664866</v>
      </c>
      <c r="Q79" s="7">
        <f t="shared" si="5"/>
        <v>78.545112123729567</v>
      </c>
      <c r="S79" s="9">
        <f>USA!Z87*G79</f>
        <v>7859.652</v>
      </c>
      <c r="T79" s="3">
        <v>0</v>
      </c>
      <c r="U79" s="3">
        <v>0</v>
      </c>
      <c r="V79" s="3">
        <v>0</v>
      </c>
      <c r="X79" s="3">
        <v>0.67377564060723527</v>
      </c>
      <c r="Y79" s="6"/>
      <c r="AA79" s="3">
        <f t="shared" si="16"/>
        <v>0</v>
      </c>
      <c r="AB79" s="3">
        <f t="shared" si="17"/>
        <v>155.41558223233511</v>
      </c>
      <c r="AM79">
        <v>2000</v>
      </c>
      <c r="AN79" s="4">
        <f t="shared" si="18"/>
        <v>230.66369999999998</v>
      </c>
      <c r="AO79" s="4">
        <f t="shared" si="19"/>
        <v>155.41558223233511</v>
      </c>
      <c r="AP79" s="4">
        <f t="shared" si="20"/>
        <v>75.248117767664866</v>
      </c>
      <c r="AR79" s="3">
        <v>57.861117363314072</v>
      </c>
      <c r="AT79" s="4">
        <f t="shared" si="23"/>
        <v>398.65061462889872</v>
      </c>
      <c r="AU79" s="4">
        <f t="shared" si="21"/>
        <v>408.89044623202517</v>
      </c>
      <c r="AV79" s="4">
        <f t="shared" si="24"/>
        <v>268.6010732500543</v>
      </c>
      <c r="AW79" s="4">
        <f t="shared" si="25"/>
        <v>130.04954137884442</v>
      </c>
      <c r="AX79" s="4">
        <f t="shared" si="28"/>
        <v>140.28937298197084</v>
      </c>
      <c r="AY79" s="9">
        <f t="shared" si="11"/>
        <v>13583.650572540253</v>
      </c>
      <c r="AZ79">
        <v>0</v>
      </c>
      <c r="BA79">
        <v>0</v>
      </c>
      <c r="BB79">
        <v>0</v>
      </c>
      <c r="BC79">
        <v>0</v>
      </c>
      <c r="BD79" s="23">
        <v>1</v>
      </c>
      <c r="BF79" s="4">
        <f t="shared" si="12"/>
        <v>470.84891379347994</v>
      </c>
      <c r="BG79" s="4">
        <f t="shared" si="13"/>
        <v>482.94324755550974</v>
      </c>
    </row>
    <row r="80" spans="1:59">
      <c r="A80">
        <v>2001</v>
      </c>
      <c r="B80" s="3">
        <f t="shared" si="0"/>
        <v>107.78224876441517</v>
      </c>
      <c r="C80" s="3">
        <f t="shared" si="1"/>
        <v>81.182199298191421</v>
      </c>
      <c r="D80" s="2">
        <f t="shared" ref="D80:D89" si="29">F80/E80*100</f>
        <v>75.312850082372336</v>
      </c>
      <c r="E80" s="2">
        <v>116.1820325539375</v>
      </c>
      <c r="F80" s="2">
        <f t="shared" ref="F80:F89" si="30">I80/G80*100</f>
        <v>87.499999999999986</v>
      </c>
      <c r="G80" s="3">
        <v>285.96333333333337</v>
      </c>
      <c r="H80" s="44">
        <f t="shared" ref="H80:H89" si="31">(Q80+Y80)+Z80*(Q80+Y80)</f>
        <v>66.15091395543098</v>
      </c>
      <c r="I80" s="44">
        <f t="shared" ref="I80:I82" si="32">M80</f>
        <v>250.21791666666667</v>
      </c>
      <c r="J80" s="44">
        <f t="shared" si="3"/>
        <v>246.87532396448179</v>
      </c>
      <c r="M80" s="9">
        <f t="shared" si="27"/>
        <v>250.21791666666667</v>
      </c>
      <c r="N80" s="3">
        <f>(N79+N81)/2</f>
        <v>87.5</v>
      </c>
      <c r="P80" s="7">
        <f t="shared" si="4"/>
        <v>69.493506657615853</v>
      </c>
      <c r="Q80" s="7">
        <f t="shared" si="5"/>
        <v>66.15091395543098</v>
      </c>
      <c r="S80" s="9">
        <f>USA!Z88*G80</f>
        <v>6611.4722666666676</v>
      </c>
      <c r="T80" s="3">
        <v>0</v>
      </c>
      <c r="U80" s="3">
        <v>0</v>
      </c>
      <c r="V80" s="3">
        <v>0</v>
      </c>
      <c r="X80" s="3">
        <v>0.72226806304125224</v>
      </c>
      <c r="Y80" s="6"/>
      <c r="AA80" s="3">
        <f t="shared" si="16"/>
        <v>0</v>
      </c>
      <c r="AB80" s="3">
        <f t="shared" si="17"/>
        <v>180.72441000905081</v>
      </c>
      <c r="AM80">
        <v>2001</v>
      </c>
      <c r="AN80" s="4">
        <f t="shared" si="18"/>
        <v>250.21791666666667</v>
      </c>
      <c r="AO80" s="4">
        <f t="shared" si="19"/>
        <v>180.72441000905081</v>
      </c>
      <c r="AP80" s="4">
        <f t="shared" si="20"/>
        <v>69.493506657615853</v>
      </c>
      <c r="AR80" s="3">
        <v>63.136204918593258</v>
      </c>
      <c r="AT80" s="4">
        <f t="shared" si="23"/>
        <v>396.31447121234697</v>
      </c>
      <c r="AU80" s="4">
        <f t="shared" si="21"/>
        <v>405.44681578476218</v>
      </c>
      <c r="AV80" s="4">
        <f t="shared" si="24"/>
        <v>286.24528547775998</v>
      </c>
      <c r="AW80" s="4">
        <f t="shared" si="25"/>
        <v>110.06918573458699</v>
      </c>
      <c r="AX80" s="4">
        <f t="shared" si="28"/>
        <v>119.20153030700223</v>
      </c>
      <c r="AY80" s="9">
        <f t="shared" si="11"/>
        <v>10471.760656490815</v>
      </c>
      <c r="AZ80">
        <v>0</v>
      </c>
      <c r="BA80">
        <v>0</v>
      </c>
      <c r="BB80">
        <v>0</v>
      </c>
      <c r="BC80">
        <v>0</v>
      </c>
      <c r="BD80" s="23">
        <v>1</v>
      </c>
      <c r="BF80" s="4">
        <f t="shared" si="12"/>
        <v>468.08967914091795</v>
      </c>
      <c r="BG80" s="4">
        <f t="shared" si="13"/>
        <v>478.8759525455439</v>
      </c>
    </row>
    <row r="81" spans="1:59">
      <c r="A81">
        <v>2002</v>
      </c>
      <c r="B81" s="3">
        <f t="shared" si="0"/>
        <v>113.97034006671605</v>
      </c>
      <c r="C81" s="3">
        <f t="shared" si="1"/>
        <v>82.47759894808965</v>
      </c>
      <c r="D81" s="2">
        <f t="shared" si="29"/>
        <v>79.63677909562638</v>
      </c>
      <c r="E81" s="2">
        <v>118.03591389240708</v>
      </c>
      <c r="F81" s="2">
        <f t="shared" si="30"/>
        <v>94</v>
      </c>
      <c r="G81" s="3">
        <v>253.73249999999999</v>
      </c>
      <c r="H81" s="44">
        <f t="shared" si="31"/>
        <v>61.87564484647605</v>
      </c>
      <c r="I81" s="44">
        <f t="shared" si="32"/>
        <v>238.50854999999999</v>
      </c>
      <c r="J81" s="44">
        <f t="shared" si="3"/>
        <v>229.81636626282068</v>
      </c>
      <c r="M81" s="9">
        <f t="shared" si="27"/>
        <v>238.50854999999999</v>
      </c>
      <c r="N81" s="6">
        <v>94</v>
      </c>
      <c r="P81" s="7">
        <f t="shared" si="4"/>
        <v>70.567828583655341</v>
      </c>
      <c r="Q81" s="7">
        <f t="shared" si="5"/>
        <v>61.87564484647605</v>
      </c>
      <c r="S81" s="9">
        <f>USA!Z89*G81</f>
        <v>6180.9236999999994</v>
      </c>
      <c r="T81" s="3">
        <v>0</v>
      </c>
      <c r="U81" s="3">
        <v>0</v>
      </c>
      <c r="V81" s="3">
        <v>0</v>
      </c>
      <c r="X81" s="3">
        <v>0.70412872585215358</v>
      </c>
      <c r="Y81" s="6"/>
      <c r="AA81" s="3">
        <f t="shared" si="16"/>
        <v>0</v>
      </c>
      <c r="AB81" s="3">
        <f t="shared" si="17"/>
        <v>167.94072141634464</v>
      </c>
      <c r="AM81">
        <v>2002</v>
      </c>
      <c r="AN81" s="4">
        <f t="shared" si="18"/>
        <v>238.50854999999999</v>
      </c>
      <c r="AO81" s="4">
        <f t="shared" si="19"/>
        <v>167.94072141634464</v>
      </c>
      <c r="AP81" s="4">
        <f t="shared" si="20"/>
        <v>70.567828583655341</v>
      </c>
      <c r="AR81" s="3">
        <v>66.460608957755227</v>
      </c>
      <c r="AT81" s="4">
        <f t="shared" si="23"/>
        <v>358.8720502871177</v>
      </c>
      <c r="AU81" s="4">
        <f t="shared" si="21"/>
        <v>363.95405606023292</v>
      </c>
      <c r="AV81" s="4">
        <f t="shared" si="24"/>
        <v>252.69211951261815</v>
      </c>
      <c r="AW81" s="4">
        <f t="shared" si="25"/>
        <v>106.17993077449955</v>
      </c>
      <c r="AX81" s="4">
        <f t="shared" si="28"/>
        <v>111.26193654761479</v>
      </c>
      <c r="AY81" s="9">
        <f t="shared" si="11"/>
        <v>9300.1310053129637</v>
      </c>
      <c r="AZ81">
        <v>0</v>
      </c>
      <c r="BA81">
        <v>0</v>
      </c>
      <c r="BB81">
        <v>0</v>
      </c>
      <c r="BC81">
        <v>0</v>
      </c>
      <c r="BD81" s="23">
        <v>1</v>
      </c>
      <c r="BF81" s="4">
        <f t="shared" si="12"/>
        <v>423.86618474381578</v>
      </c>
      <c r="BG81" s="4">
        <f t="shared" si="13"/>
        <v>429.8685758360532</v>
      </c>
    </row>
    <row r="82" spans="1:59">
      <c r="A82">
        <v>2003</v>
      </c>
      <c r="B82" s="3">
        <f t="shared" si="0"/>
        <v>132.74399275362319</v>
      </c>
      <c r="C82" s="3">
        <f t="shared" si="1"/>
        <v>84.37293294912061</v>
      </c>
      <c r="D82" s="2">
        <f t="shared" si="29"/>
        <v>92.754869565217419</v>
      </c>
      <c r="E82" s="2">
        <v>120.74837744367809</v>
      </c>
      <c r="F82" s="2">
        <f t="shared" si="30"/>
        <v>112.00000000000001</v>
      </c>
      <c r="G82" s="3">
        <v>222.94749999999999</v>
      </c>
      <c r="H82" s="44">
        <f t="shared" si="31"/>
        <v>62.70876704230858</v>
      </c>
      <c r="I82" s="44">
        <f t="shared" si="32"/>
        <v>249.7012</v>
      </c>
      <c r="J82" s="44">
        <f t="shared" si="3"/>
        <v>234.36247153927013</v>
      </c>
      <c r="M82" s="9">
        <f t="shared" si="27"/>
        <v>249.7012</v>
      </c>
      <c r="N82" s="3">
        <f>(N81+N83)/2</f>
        <v>112</v>
      </c>
      <c r="P82" s="7">
        <f t="shared" si="4"/>
        <v>78.047495503038448</v>
      </c>
      <c r="Q82" s="7">
        <f t="shared" si="5"/>
        <v>62.70876704230858</v>
      </c>
      <c r="S82" s="9">
        <f>USA!Z90*G82</f>
        <v>6264.8247499999998</v>
      </c>
      <c r="T82" s="3">
        <v>0</v>
      </c>
      <c r="U82" s="3">
        <v>0</v>
      </c>
      <c r="V82" s="3">
        <v>0</v>
      </c>
      <c r="X82" s="3">
        <v>0.68743644202335252</v>
      </c>
      <c r="Y82" s="6"/>
      <c r="AA82" s="3">
        <f t="shared" si="16"/>
        <v>0</v>
      </c>
      <c r="AB82" s="3">
        <f t="shared" si="17"/>
        <v>171.65370449696155</v>
      </c>
      <c r="AM82">
        <v>2003</v>
      </c>
      <c r="AN82" s="4">
        <f t="shared" si="18"/>
        <v>249.7012</v>
      </c>
      <c r="AO82" s="4">
        <f t="shared" si="19"/>
        <v>171.65370449696155</v>
      </c>
      <c r="AP82" s="4">
        <f t="shared" si="20"/>
        <v>78.047495503038448</v>
      </c>
      <c r="AR82" s="3">
        <v>69.558349239579712</v>
      </c>
      <c r="AT82" s="4">
        <f t="shared" si="23"/>
        <v>358.98091707144249</v>
      </c>
      <c r="AU82" s="4">
        <f t="shared" si="21"/>
        <v>356.04920588791049</v>
      </c>
      <c r="AV82" s="4">
        <f t="shared" si="24"/>
        <v>246.77656438587258</v>
      </c>
      <c r="AW82" s="4">
        <f t="shared" si="25"/>
        <v>112.20435268556992</v>
      </c>
      <c r="AX82" s="4">
        <f t="shared" si="28"/>
        <v>109.27264150203791</v>
      </c>
      <c r="AY82" s="9">
        <f t="shared" si="11"/>
        <v>9006.5747943817278</v>
      </c>
      <c r="AZ82">
        <v>0</v>
      </c>
      <c r="BA82">
        <v>0</v>
      </c>
      <c r="BB82">
        <v>0</v>
      </c>
      <c r="BC82">
        <v>0</v>
      </c>
      <c r="BD82" s="23">
        <v>1</v>
      </c>
      <c r="BF82" s="4">
        <f t="shared" si="12"/>
        <v>423.99476803270699</v>
      </c>
      <c r="BG82" s="4">
        <f t="shared" si="13"/>
        <v>420.53210429742785</v>
      </c>
    </row>
    <row r="83" spans="1:59">
      <c r="A83">
        <v>2004</v>
      </c>
      <c r="B83" s="3">
        <f t="shared" si="0"/>
        <v>149.72984074056345</v>
      </c>
      <c r="C83" s="3">
        <f t="shared" si="1"/>
        <v>86.62364207534489</v>
      </c>
      <c r="D83" s="2">
        <f t="shared" si="29"/>
        <v>104.62373143836797</v>
      </c>
      <c r="E83" s="2">
        <v>123.96942791081244</v>
      </c>
      <c r="F83" s="2">
        <f t="shared" si="30"/>
        <v>129.7014413230896</v>
      </c>
      <c r="G83" s="3">
        <v>200.91666666666666</v>
      </c>
      <c r="H83" s="44">
        <f t="shared" si="31"/>
        <v>72.422324822054392</v>
      </c>
      <c r="I83" s="44">
        <v>260.59181252497416</v>
      </c>
      <c r="J83" s="44">
        <f t="shared" si="3"/>
        <v>243.81155536732587</v>
      </c>
      <c r="M83" s="9">
        <f t="shared" si="27"/>
        <v>261.19166666666666</v>
      </c>
      <c r="N83" s="6">
        <v>130</v>
      </c>
      <c r="P83" s="7">
        <f t="shared" si="4"/>
        <v>89.2025819797027</v>
      </c>
      <c r="Q83" s="7">
        <f t="shared" si="5"/>
        <v>72.422324822054392</v>
      </c>
      <c r="S83" s="9">
        <f>USA!Z91*G83</f>
        <v>7243.0458333333327</v>
      </c>
      <c r="T83" s="3">
        <v>0</v>
      </c>
      <c r="U83" s="3">
        <v>0</v>
      </c>
      <c r="V83" s="3">
        <v>0</v>
      </c>
      <c r="X83" s="3">
        <v>0.65769230769230769</v>
      </c>
      <c r="Y83" s="6"/>
      <c r="AA83" s="3">
        <f t="shared" si="16"/>
        <v>0</v>
      </c>
      <c r="AB83" s="3">
        <f t="shared" si="17"/>
        <v>171.38923054527146</v>
      </c>
      <c r="AM83">
        <v>2004</v>
      </c>
      <c r="AN83" s="4">
        <f t="shared" si="18"/>
        <v>260.59181252497416</v>
      </c>
      <c r="AO83" s="4">
        <f t="shared" si="19"/>
        <v>171.38923054527146</v>
      </c>
      <c r="AP83" s="4">
        <f t="shared" si="20"/>
        <v>89.2025819797027</v>
      </c>
      <c r="AR83" s="3">
        <v>74.24960567976882</v>
      </c>
      <c r="AT83" s="4">
        <f t="shared" si="23"/>
        <v>350.96726795948359</v>
      </c>
      <c r="AU83" s="4">
        <f t="shared" si="21"/>
        <v>345.17281710362579</v>
      </c>
      <c r="AV83" s="4">
        <f t="shared" si="24"/>
        <v>230.82847238873728</v>
      </c>
      <c r="AW83" s="4">
        <f t="shared" si="25"/>
        <v>120.13879557074631</v>
      </c>
      <c r="AX83" s="4">
        <f t="shared" si="28"/>
        <v>114.34434471488851</v>
      </c>
      <c r="AY83" s="9">
        <f t="shared" si="11"/>
        <v>9754.9956892321698</v>
      </c>
      <c r="AZ83">
        <v>0</v>
      </c>
      <c r="BA83">
        <v>0</v>
      </c>
      <c r="BB83">
        <v>0</v>
      </c>
      <c r="BC83">
        <v>0</v>
      </c>
      <c r="BD83" s="23">
        <v>1</v>
      </c>
      <c r="BF83" s="4">
        <f t="shared" si="12"/>
        <v>414.52979333700665</v>
      </c>
      <c r="BG83" s="4">
        <f t="shared" si="13"/>
        <v>407.68592858077113</v>
      </c>
    </row>
    <row r="84" spans="1:59">
      <c r="A84">
        <v>2005</v>
      </c>
      <c r="B84" s="3">
        <f t="shared" si="0"/>
        <v>145.93838800141324</v>
      </c>
      <c r="C84" s="3">
        <f t="shared" si="1"/>
        <v>89.539246597092159</v>
      </c>
      <c r="D84" s="2">
        <f t="shared" si="29"/>
        <v>101.97445370468338</v>
      </c>
      <c r="E84" s="2">
        <v>128.14202809149756</v>
      </c>
      <c r="F84" s="2">
        <f t="shared" si="30"/>
        <v>130.67213311240656</v>
      </c>
      <c r="G84" s="3">
        <v>199.42416666666665</v>
      </c>
      <c r="H84" s="44">
        <f t="shared" si="31"/>
        <v>100.77984049503614</v>
      </c>
      <c r="I84" s="44">
        <f>AF84</f>
        <v>260.59181252497416</v>
      </c>
      <c r="J84" s="44">
        <f t="shared" si="3"/>
        <v>256.10825244819466</v>
      </c>
      <c r="M84" s="9">
        <f t="shared" si="27"/>
        <v>259.25141666666661</v>
      </c>
      <c r="N84" s="3">
        <f>(N83+N85)/2</f>
        <v>130</v>
      </c>
      <c r="P84" s="7">
        <f t="shared" si="4"/>
        <v>105.26340057181562</v>
      </c>
      <c r="Q84" s="7">
        <f t="shared" si="5"/>
        <v>100.77984049503614</v>
      </c>
      <c r="S84" s="9">
        <f>USA!Z92*G84</f>
        <v>10098.8398</v>
      </c>
      <c r="T84" s="3">
        <v>0</v>
      </c>
      <c r="U84" s="3">
        <v>0</v>
      </c>
      <c r="V84" s="3">
        <v>0</v>
      </c>
      <c r="X84" s="3">
        <v>0.59606021558437272</v>
      </c>
      <c r="Y84" s="6"/>
      <c r="AA84" s="3">
        <f t="shared" si="16"/>
        <v>0</v>
      </c>
      <c r="AB84" s="3">
        <f t="shared" si="17"/>
        <v>155.32841195315854</v>
      </c>
      <c r="AC84" s="3">
        <f>'EU total tax'!O3*Hungary!G84</f>
        <v>126.06619045238099</v>
      </c>
      <c r="AF84" s="9">
        <f t="shared" ref="AF84:AF97" si="33">AI84/AH84*AG84</f>
        <v>260.59181252497416</v>
      </c>
      <c r="AG84" s="3">
        <f>'Exchange Rates'!N44</f>
        <v>199.42416666666665</v>
      </c>
      <c r="AH84" s="3">
        <f>'Exchange Rates'!AB44</f>
        <v>0.8041058333333333</v>
      </c>
      <c r="AI84" s="3">
        <f>'EU petrol prices nominal'!AF3</f>
        <v>1.0507422448979593</v>
      </c>
      <c r="AM84">
        <v>2005</v>
      </c>
      <c r="AN84" s="4">
        <f t="shared" si="18"/>
        <v>260.59181252497416</v>
      </c>
      <c r="AO84" s="4">
        <f t="shared" si="19"/>
        <v>155.32841195315854</v>
      </c>
      <c r="AP84" s="4">
        <f t="shared" si="20"/>
        <v>105.26340057181562</v>
      </c>
      <c r="AR84" s="3">
        <v>76.894018008486754</v>
      </c>
      <c r="AT84" s="4">
        <f t="shared" si="23"/>
        <v>338.89738015278738</v>
      </c>
      <c r="AU84" s="4">
        <f t="shared" si="21"/>
        <v>339.24183790024347</v>
      </c>
      <c r="AV84" s="4">
        <f t="shared" si="24"/>
        <v>202.00324547484959</v>
      </c>
      <c r="AW84" s="4">
        <f t="shared" si="25"/>
        <v>136.89413467793779</v>
      </c>
      <c r="AX84" s="4">
        <f t="shared" si="28"/>
        <v>137.23859242539385</v>
      </c>
      <c r="AY84" s="9">
        <f t="shared" si="11"/>
        <v>13133.453110598794</v>
      </c>
      <c r="AZ84">
        <v>0</v>
      </c>
      <c r="BA84">
        <v>0</v>
      </c>
      <c r="BB84">
        <v>0</v>
      </c>
      <c r="BC84">
        <v>0</v>
      </c>
      <c r="BD84" s="23">
        <v>1</v>
      </c>
      <c r="BF84" s="4">
        <f t="shared" si="12"/>
        <v>400.27396792285936</v>
      </c>
      <c r="BG84" s="4">
        <f t="shared" si="13"/>
        <v>400.68080927788503</v>
      </c>
    </row>
    <row r="85" spans="1:59">
      <c r="A85">
        <v>2006</v>
      </c>
      <c r="B85" s="3">
        <f t="shared" si="0"/>
        <v>142.38123144019025</v>
      </c>
      <c r="C85" s="3">
        <f t="shared" si="1"/>
        <v>92.424281215596963</v>
      </c>
      <c r="D85" s="2">
        <f t="shared" si="29"/>
        <v>99.48889043349503</v>
      </c>
      <c r="E85" s="2">
        <v>132.27087886006535</v>
      </c>
      <c r="F85" s="2">
        <f t="shared" si="30"/>
        <v>131.59482974451137</v>
      </c>
      <c r="G85" s="3">
        <v>210.39000000000001</v>
      </c>
      <c r="H85" s="44">
        <f t="shared" si="31"/>
        <v>128.10453026255533</v>
      </c>
      <c r="I85" s="44">
        <f t="shared" ref="I85:I97" si="34">AF85</f>
        <v>276.86236229947752</v>
      </c>
      <c r="J85" s="44">
        <f t="shared" si="3"/>
        <v>279.15436279004064</v>
      </c>
      <c r="M85" s="9">
        <f t="shared" si="27"/>
        <v>273.50700000000001</v>
      </c>
      <c r="N85" s="6">
        <v>130</v>
      </c>
      <c r="P85" s="7">
        <f t="shared" si="4"/>
        <v>125.81252977199219</v>
      </c>
      <c r="Q85" s="7">
        <f t="shared" si="5"/>
        <v>128.10453026255533</v>
      </c>
      <c r="S85" s="9">
        <f>USA!Z93*G85</f>
        <v>12850.621200000001</v>
      </c>
      <c r="T85" s="3">
        <v>0</v>
      </c>
      <c r="U85" s="3">
        <v>0</v>
      </c>
      <c r="V85" s="3">
        <v>0</v>
      </c>
      <c r="X85" s="3">
        <v>0.54557734490503695</v>
      </c>
      <c r="Y85" s="6"/>
      <c r="AA85" s="3">
        <f t="shared" si="16"/>
        <v>0</v>
      </c>
      <c r="AB85" s="3">
        <f t="shared" si="17"/>
        <v>151.04983252748534</v>
      </c>
      <c r="AC85" s="3">
        <f>'EU total tax'!O4*Hungary!G85</f>
        <v>121.53886806122441</v>
      </c>
      <c r="AF85" s="9">
        <f t="shared" si="33"/>
        <v>276.86236229947752</v>
      </c>
      <c r="AG85" s="3">
        <f>'Exchange Rates'!N45</f>
        <v>210.39000000000001</v>
      </c>
      <c r="AH85" s="3">
        <f>'Exchange Rates'!AB45</f>
        <v>0.7971408333333333</v>
      </c>
      <c r="AI85" s="3">
        <f>'EU petrol prices nominal'!AF4</f>
        <v>1.0489961224489792</v>
      </c>
      <c r="AM85">
        <v>2006</v>
      </c>
      <c r="AN85" s="4">
        <f t="shared" si="18"/>
        <v>276.86236229947752</v>
      </c>
      <c r="AO85" s="4">
        <f t="shared" si="19"/>
        <v>151.04983252748534</v>
      </c>
      <c r="AP85" s="4">
        <f t="shared" si="20"/>
        <v>125.81252977199219</v>
      </c>
      <c r="AR85" s="3">
        <v>79.916203590718993</v>
      </c>
      <c r="AT85" s="4">
        <f t="shared" si="23"/>
        <v>346.44083409841897</v>
      </c>
      <c r="AU85" s="4">
        <f t="shared" si="21"/>
        <v>346.21706327987823</v>
      </c>
      <c r="AV85" s="4">
        <f t="shared" si="24"/>
        <v>189.01027043410178</v>
      </c>
      <c r="AW85" s="4">
        <f t="shared" si="25"/>
        <v>157.43056366431719</v>
      </c>
      <c r="AX85" s="4">
        <f t="shared" si="28"/>
        <v>157.20679284577645</v>
      </c>
      <c r="AY85" s="9">
        <f t="shared" si="11"/>
        <v>16080.119703649683</v>
      </c>
      <c r="AZ85">
        <v>0</v>
      </c>
      <c r="BA85">
        <v>0</v>
      </c>
      <c r="BB85">
        <v>0</v>
      </c>
      <c r="BC85">
        <v>0</v>
      </c>
      <c r="BD85" s="23">
        <v>1</v>
      </c>
      <c r="BF85" s="4">
        <f t="shared" si="12"/>
        <v>409.1835919550665</v>
      </c>
      <c r="BG85" s="4">
        <f t="shared" si="13"/>
        <v>408.91929474095917</v>
      </c>
    </row>
    <row r="86" spans="1:59">
      <c r="A86">
        <v>2007</v>
      </c>
      <c r="B86" s="3">
        <f t="shared" si="0"/>
        <v>158.44092748090114</v>
      </c>
      <c r="C86" s="3">
        <f t="shared" si="1"/>
        <v>95.074004003893037</v>
      </c>
      <c r="D86" s="2">
        <f t="shared" si="29"/>
        <v>110.71060360192403</v>
      </c>
      <c r="E86" s="2">
        <v>136.06296852886032</v>
      </c>
      <c r="F86" s="2">
        <f t="shared" si="30"/>
        <v>150.63613373699721</v>
      </c>
      <c r="G86" s="3">
        <v>183.62583333333336</v>
      </c>
      <c r="H86" s="44">
        <f t="shared" si="31"/>
        <v>126.45867642212178</v>
      </c>
      <c r="I86" s="44">
        <f t="shared" si="34"/>
        <v>276.60685587567565</v>
      </c>
      <c r="J86" s="44">
        <f t="shared" si="3"/>
        <v>269.00301793400587</v>
      </c>
      <c r="M86" s="9">
        <f t="shared" si="27"/>
        <v>302.98262500000004</v>
      </c>
      <c r="N86" s="3">
        <f>(N85+N87)/2</f>
        <v>165</v>
      </c>
      <c r="P86" s="7">
        <f t="shared" si="4"/>
        <v>134.06251436379156</v>
      </c>
      <c r="Q86" s="7">
        <f t="shared" si="5"/>
        <v>126.45867642212178</v>
      </c>
      <c r="S86" s="9">
        <f>USA!Z94*G86</f>
        <v>12684.872566666669</v>
      </c>
      <c r="T86" s="3">
        <v>0</v>
      </c>
      <c r="U86" s="3">
        <v>0</v>
      </c>
      <c r="V86" s="3">
        <v>0</v>
      </c>
      <c r="X86" s="3">
        <v>0.51533191778859011</v>
      </c>
      <c r="Y86" s="6"/>
      <c r="AA86" s="3">
        <f t="shared" si="16"/>
        <v>0</v>
      </c>
      <c r="AB86" s="3">
        <f t="shared" si="17"/>
        <v>142.54434151188408</v>
      </c>
      <c r="AC86" s="3">
        <f>'EU total tax'!O5*Hungary!G86</f>
        <v>111.59597698214283</v>
      </c>
      <c r="AF86" s="9">
        <f t="shared" si="33"/>
        <v>276.60685587567565</v>
      </c>
      <c r="AG86" s="3">
        <f>'Exchange Rates'!N46</f>
        <v>183.62583333333336</v>
      </c>
      <c r="AH86" s="3">
        <f>'Exchange Rates'!AB46</f>
        <v>0.73063749999999994</v>
      </c>
      <c r="AI86" s="3">
        <f>'EU petrol prices nominal'!AF5</f>
        <v>1.1006040816326528</v>
      </c>
      <c r="AM86">
        <v>2007</v>
      </c>
      <c r="AN86" s="4">
        <f t="shared" si="18"/>
        <v>276.60685587567565</v>
      </c>
      <c r="AO86" s="4">
        <f t="shared" si="19"/>
        <v>142.54434151188408</v>
      </c>
      <c r="AP86" s="4">
        <f t="shared" si="20"/>
        <v>134.06251436379156</v>
      </c>
      <c r="AR86" s="3">
        <v>86.276530448185156</v>
      </c>
      <c r="AT86" s="4">
        <f t="shared" si="23"/>
        <v>320.60498311507394</v>
      </c>
      <c r="AU86" s="4">
        <f t="shared" si="21"/>
        <v>313.08979617032071</v>
      </c>
      <c r="AV86" s="4">
        <f t="shared" si="24"/>
        <v>165.21798080126962</v>
      </c>
      <c r="AW86" s="4">
        <f t="shared" si="25"/>
        <v>155.38700231380432</v>
      </c>
      <c r="AX86" s="4">
        <f t="shared" si="28"/>
        <v>147.87181536905112</v>
      </c>
      <c r="AY86" s="9">
        <f t="shared" si="11"/>
        <v>14702.576124436049</v>
      </c>
      <c r="AZ86">
        <v>0</v>
      </c>
      <c r="BA86">
        <v>0</v>
      </c>
      <c r="BB86">
        <v>0</v>
      </c>
      <c r="BC86">
        <v>0</v>
      </c>
      <c r="BD86" s="23">
        <v>1</v>
      </c>
      <c r="BF86" s="4">
        <f t="shared" si="12"/>
        <v>378.6686951355486</v>
      </c>
      <c r="BG86" s="4">
        <f t="shared" si="13"/>
        <v>369.79245744760226</v>
      </c>
    </row>
    <row r="87" spans="1:59">
      <c r="A87">
        <v>2008</v>
      </c>
      <c r="B87" s="3">
        <f t="shared" si="0"/>
        <v>175.0435303205563</v>
      </c>
      <c r="C87" s="3">
        <f t="shared" si="1"/>
        <v>98.70291900542351</v>
      </c>
      <c r="D87" s="2">
        <f t="shared" si="29"/>
        <v>122.31167291504588</v>
      </c>
      <c r="E87" s="2">
        <v>141.25640655453694</v>
      </c>
      <c r="F87" s="2">
        <f t="shared" si="30"/>
        <v>172.77307395653264</v>
      </c>
      <c r="G87" s="3">
        <v>172.11333333333334</v>
      </c>
      <c r="H87" s="44">
        <f t="shared" si="31"/>
        <v>117.92289534583004</v>
      </c>
      <c r="I87" s="44">
        <f t="shared" si="34"/>
        <v>297.36549668905354</v>
      </c>
      <c r="J87" s="44">
        <f t="shared" si="3"/>
        <v>305.23974365389529</v>
      </c>
      <c r="M87" s="9">
        <f t="shared" si="27"/>
        <v>344.22666666666669</v>
      </c>
      <c r="N87" s="6">
        <v>200</v>
      </c>
      <c r="P87" s="7">
        <f t="shared" si="4"/>
        <v>110.04864838098831</v>
      </c>
      <c r="Q87" s="7">
        <f t="shared" si="5"/>
        <v>117.92289534583004</v>
      </c>
      <c r="S87" s="9">
        <f>USA!Z95*G87</f>
        <v>16256.104333333335</v>
      </c>
      <c r="T87" s="3">
        <v>0</v>
      </c>
      <c r="U87" s="3">
        <v>1</v>
      </c>
      <c r="V87" s="3">
        <v>0</v>
      </c>
      <c r="X87" s="3">
        <v>0.62992125984251968</v>
      </c>
      <c r="Y87" s="6"/>
      <c r="AA87" s="3">
        <f t="shared" si="16"/>
        <v>0</v>
      </c>
      <c r="AB87" s="3">
        <f t="shared" si="17"/>
        <v>187.31684830806523</v>
      </c>
      <c r="AC87" s="3">
        <f>'EU total tax'!O6*Hungary!G87</f>
        <v>107.08269884489793</v>
      </c>
      <c r="AF87" s="9">
        <f t="shared" si="33"/>
        <v>297.36549668905354</v>
      </c>
      <c r="AG87" s="3">
        <f>'Exchange Rates'!N47</f>
        <v>172.11333333333334</v>
      </c>
      <c r="AH87" s="3">
        <f>'Exchange Rates'!AB47</f>
        <v>0.68267416666666658</v>
      </c>
      <c r="AI87" s="3">
        <f>'EU petrol prices nominal'!AF6</f>
        <v>1.1794771428571427</v>
      </c>
      <c r="AM87">
        <v>2008</v>
      </c>
      <c r="AN87" s="4">
        <f t="shared" si="18"/>
        <v>297.36549668905354</v>
      </c>
      <c r="AO87" s="4">
        <f t="shared" si="19"/>
        <v>187.31684830806523</v>
      </c>
      <c r="AP87" s="4">
        <f t="shared" si="20"/>
        <v>110.04864838098831</v>
      </c>
      <c r="AR87" s="3">
        <v>91.489800153700401</v>
      </c>
      <c r="AT87" s="4">
        <f t="shared" si="23"/>
        <v>325.02584571120224</v>
      </c>
      <c r="AU87" s="4">
        <f t="shared" si="21"/>
        <v>326.69435676419289</v>
      </c>
      <c r="AV87" s="4">
        <f t="shared" si="24"/>
        <v>204.74069021178093</v>
      </c>
      <c r="AW87" s="4">
        <f t="shared" si="25"/>
        <v>120.28515549942131</v>
      </c>
      <c r="AX87" s="4">
        <f t="shared" si="28"/>
        <v>121.95366655241196</v>
      </c>
      <c r="AY87" s="9">
        <f t="shared" si="11"/>
        <v>17768.214933275096</v>
      </c>
      <c r="AZ87">
        <v>0</v>
      </c>
      <c r="BA87" s="23">
        <v>1</v>
      </c>
      <c r="BB87">
        <v>0</v>
      </c>
      <c r="BC87">
        <v>0</v>
      </c>
      <c r="BD87" s="23">
        <v>1</v>
      </c>
      <c r="BF87" s="4">
        <f t="shared" si="12"/>
        <v>383.89020558864286</v>
      </c>
      <c r="BG87" s="4">
        <f t="shared" si="13"/>
        <v>385.86089518029041</v>
      </c>
    </row>
    <row r="88" spans="1:59">
      <c r="A88">
        <v>2009</v>
      </c>
      <c r="B88" s="3">
        <f t="shared" si="0"/>
        <v>141.04944175155316</v>
      </c>
      <c r="C88" s="3">
        <f>E88/E$89*100</f>
        <v>98.380597588111073</v>
      </c>
      <c r="D88" s="2">
        <f t="shared" si="29"/>
        <v>98.558302342121976</v>
      </c>
      <c r="E88" s="2">
        <v>140.7951236905254</v>
      </c>
      <c r="F88" s="2">
        <f t="shared" si="30"/>
        <v>138.76528368987263</v>
      </c>
      <c r="G88" s="3">
        <v>202.34166666666661</v>
      </c>
      <c r="H88" s="44">
        <f t="shared" si="31"/>
        <v>123.18292463555801</v>
      </c>
      <c r="I88" s="44">
        <f t="shared" si="34"/>
        <v>280.77998777281641</v>
      </c>
      <c r="J88" s="44">
        <f t="shared" si="3"/>
        <v>293.32356634605139</v>
      </c>
      <c r="M88" s="9">
        <f t="shared" si="27"/>
        <v>333.86374999999992</v>
      </c>
      <c r="N88" s="3">
        <f>N86</f>
        <v>165</v>
      </c>
      <c r="P88" s="7">
        <f t="shared" si="4"/>
        <v>110.639346062323</v>
      </c>
      <c r="Q88" s="7">
        <f t="shared" si="5"/>
        <v>123.18292463555801</v>
      </c>
      <c r="S88" s="9">
        <f>USA!Z96*G88</f>
        <v>12354.982166666663</v>
      </c>
      <c r="T88" s="3">
        <v>0</v>
      </c>
      <c r="U88" s="3">
        <v>0</v>
      </c>
      <c r="V88" s="3">
        <v>0</v>
      </c>
      <c r="X88" s="3">
        <v>0.60595715193262611</v>
      </c>
      <c r="Y88" s="6"/>
      <c r="Z88" s="7"/>
      <c r="AA88" s="3">
        <f t="shared" si="16"/>
        <v>0</v>
      </c>
      <c r="AB88" s="3">
        <f t="shared" si="17"/>
        <v>170.14064171049341</v>
      </c>
      <c r="AC88" s="3">
        <f>'EU total tax'!O7*Hungary!G88</f>
        <v>116.31570239999988</v>
      </c>
      <c r="AF88" s="9">
        <f t="shared" si="33"/>
        <v>280.77998777281641</v>
      </c>
      <c r="AG88" s="3">
        <f>'Exchange Rates'!N48</f>
        <v>202.34166666666661</v>
      </c>
      <c r="AH88" s="3">
        <f>'Exchange Rates'!AB48</f>
        <v>0.71984416666666673</v>
      </c>
      <c r="AI88" s="3">
        <f>'EU petrol prices nominal'!AF7</f>
        <v>0.99889379999999972</v>
      </c>
      <c r="AM88">
        <v>2009</v>
      </c>
      <c r="AN88" s="4">
        <f t="shared" si="18"/>
        <v>280.77998777281641</v>
      </c>
      <c r="AO88" s="4">
        <f t="shared" si="19"/>
        <v>170.14064171049341</v>
      </c>
      <c r="AP88" s="4">
        <f t="shared" si="20"/>
        <v>110.639346062323</v>
      </c>
      <c r="AR88" s="3">
        <v>95.343087045549808</v>
      </c>
      <c r="AT88" s="4">
        <f t="shared" si="23"/>
        <v>294.49433249279502</v>
      </c>
      <c r="AU88" s="4">
        <f t="shared" si="21"/>
        <v>291.15731038681361</v>
      </c>
      <c r="AV88" s="4">
        <f t="shared" si="24"/>
        <v>178.45094697763389</v>
      </c>
      <c r="AW88" s="4">
        <f t="shared" si="25"/>
        <v>116.04338551516113</v>
      </c>
      <c r="AX88" s="4">
        <f t="shared" si="28"/>
        <v>112.70636340917972</v>
      </c>
      <c r="AY88" s="9">
        <f t="shared" si="11"/>
        <v>12958.445703319963</v>
      </c>
      <c r="AZ88">
        <v>0</v>
      </c>
      <c r="BA88" s="23">
        <v>0.5</v>
      </c>
      <c r="BB88">
        <v>0</v>
      </c>
      <c r="BC88">
        <v>0</v>
      </c>
      <c r="BD88" s="23">
        <v>1</v>
      </c>
      <c r="BF88" s="4">
        <f t="shared" si="12"/>
        <v>347.82923062002135</v>
      </c>
      <c r="BG88" s="4">
        <f t="shared" si="13"/>
        <v>343.88785143672612</v>
      </c>
    </row>
    <row r="89" spans="1:59">
      <c r="A89">
        <v>2010</v>
      </c>
      <c r="B89" s="3">
        <f>I89/G89*100/C89*100</f>
        <v>161.17423754757567</v>
      </c>
      <c r="C89" s="3">
        <f>CPIs!AB49</f>
        <v>99.999998509883881</v>
      </c>
      <c r="D89" s="2">
        <f t="shared" si="29"/>
        <v>112.62050242814381</v>
      </c>
      <c r="E89" s="2">
        <v>143.11269411067286</v>
      </c>
      <c r="F89" s="2">
        <f t="shared" si="30"/>
        <v>161.17423514589237</v>
      </c>
      <c r="G89" s="3">
        <f>'Exchange Rates'!N49</f>
        <v>207.99112426035501</v>
      </c>
      <c r="H89" s="44">
        <f t="shared" si="31"/>
        <v>160.4587721241231</v>
      </c>
      <c r="I89" s="44">
        <f t="shared" si="34"/>
        <v>335.2281036979698</v>
      </c>
      <c r="J89" s="44">
        <f t="shared" si="3"/>
        <v>347.43543090736648</v>
      </c>
      <c r="M89" s="9">
        <f t="shared" si="27"/>
        <v>374.38402366863897</v>
      </c>
      <c r="N89" s="3">
        <v>180</v>
      </c>
      <c r="P89" s="7">
        <f t="shared" si="4"/>
        <v>148.25144491472642</v>
      </c>
      <c r="Q89" s="7">
        <f t="shared" si="5"/>
        <v>160.4587721241231</v>
      </c>
      <c r="S89" s="9">
        <f>USA!Z97*G89</f>
        <v>16108.912573964495</v>
      </c>
      <c r="T89" s="3">
        <v>0</v>
      </c>
      <c r="U89" s="3">
        <v>0</v>
      </c>
      <c r="V89" s="3">
        <v>0</v>
      </c>
      <c r="X89" s="3">
        <v>0.55775949784837731</v>
      </c>
      <c r="Y89" s="6"/>
      <c r="Z89" s="7"/>
      <c r="AA89" s="3">
        <f t="shared" si="16"/>
        <v>0</v>
      </c>
      <c r="AB89" s="3">
        <f t="shared" si="17"/>
        <v>186.97665878324338</v>
      </c>
      <c r="AC89" s="3">
        <f>'EU total tax'!O8*Hungary!G89</f>
        <v>144.0726502620457</v>
      </c>
      <c r="AF89" s="9">
        <f t="shared" si="33"/>
        <v>335.2281036979698</v>
      </c>
      <c r="AG89" s="3">
        <f>'Exchange Rates'!N49</f>
        <v>207.99112426035501</v>
      </c>
      <c r="AH89" s="3">
        <f>'Exchange Rates'!AB49</f>
        <v>0.75867129256384003</v>
      </c>
      <c r="AI89" s="3">
        <f>'EU petrol prices nominal'!AF8</f>
        <v>1.2227826530612247</v>
      </c>
      <c r="AM89">
        <v>2010</v>
      </c>
      <c r="AN89" s="4">
        <f t="shared" si="18"/>
        <v>335.2281036979698</v>
      </c>
      <c r="AO89" s="4">
        <f t="shared" si="19"/>
        <v>186.97665878324338</v>
      </c>
      <c r="AP89" s="4">
        <f t="shared" si="20"/>
        <v>148.25144491472642</v>
      </c>
      <c r="AR89" s="3">
        <v>100</v>
      </c>
      <c r="AT89" s="4">
        <f t="shared" si="23"/>
        <v>335.2281036979698</v>
      </c>
      <c r="AU89" s="3">
        <f t="shared" si="21"/>
        <v>344.37856763110847</v>
      </c>
      <c r="AV89" s="4">
        <f t="shared" si="24"/>
        <v>186.97665878324338</v>
      </c>
      <c r="AW89" s="4">
        <f t="shared" si="25"/>
        <v>148.25144491472642</v>
      </c>
      <c r="AX89" s="4">
        <f t="shared" si="28"/>
        <v>157.40190884786509</v>
      </c>
      <c r="AY89" s="9">
        <f t="shared" si="11"/>
        <v>16108.912573964495</v>
      </c>
      <c r="AZ89">
        <v>0</v>
      </c>
      <c r="BA89">
        <v>0</v>
      </c>
      <c r="BB89">
        <v>0</v>
      </c>
      <c r="BC89">
        <v>0</v>
      </c>
      <c r="BD89" s="23">
        <v>1</v>
      </c>
      <c r="BF89" s="4">
        <f t="shared" si="12"/>
        <v>395.94016090046927</v>
      </c>
      <c r="BG89" s="4">
        <f t="shared" si="13"/>
        <v>406.74783520353157</v>
      </c>
    </row>
    <row r="90" spans="1:59">
      <c r="A90">
        <v>2011</v>
      </c>
      <c r="B90" s="3">
        <f>I90/G90*100/C90*100</f>
        <v>185.95810934696487</v>
      </c>
      <c r="C90" s="3">
        <f>CPIs!AB50</f>
        <v>103.13271097869961</v>
      </c>
      <c r="G90" s="3">
        <f>'Exchange Rates'!N50</f>
        <v>200.6802769461078</v>
      </c>
      <c r="I90" s="44">
        <f t="shared" si="34"/>
        <v>384.87193879413275</v>
      </c>
      <c r="S90" s="9">
        <f>USA!Z98*G90</f>
        <v>21563.095757859282</v>
      </c>
      <c r="Y90" s="7"/>
      <c r="Z90" s="7"/>
      <c r="AA90" s="3">
        <f t="shared" si="16"/>
        <v>0</v>
      </c>
      <c r="AB90" s="3">
        <f>AC90*AB$89/AC$89</f>
        <v>186.80840860454722</v>
      </c>
      <c r="AC90" s="3">
        <f>'EU total tax'!O9*Hungary!G90</f>
        <v>143.9430070792572</v>
      </c>
      <c r="AF90" s="9">
        <f t="shared" si="33"/>
        <v>384.87193879413275</v>
      </c>
      <c r="AG90" s="3">
        <f>'Exchange Rates'!N50</f>
        <v>200.6802769461078</v>
      </c>
      <c r="AH90" s="3">
        <f>'Exchange Rates'!AB50</f>
        <v>0.71544109992713056</v>
      </c>
      <c r="AI90" s="3">
        <f>'EU petrol prices nominal'!AF9</f>
        <v>1.3720989795918364</v>
      </c>
      <c r="AM90">
        <v>2011</v>
      </c>
      <c r="AN90" s="4">
        <f t="shared" si="18"/>
        <v>384.87193879413275</v>
      </c>
      <c r="AO90" s="4">
        <f t="shared" si="19"/>
        <v>186.80840860454722</v>
      </c>
      <c r="AP90" s="4">
        <f t="shared" si="20"/>
        <v>198.06353018958552</v>
      </c>
      <c r="AR90" s="3">
        <f>CPIs!N50</f>
        <v>103.92073822021484</v>
      </c>
      <c r="AT90" s="4">
        <f t="shared" ref="AT90:AT96" si="35">AN90/$AR90*100</f>
        <v>370.35142877696262</v>
      </c>
      <c r="AU90" s="3">
        <f t="shared" ref="AU90:AU96" si="36">AX90+AV90</f>
        <v>368.60990605457454</v>
      </c>
      <c r="AV90" s="4">
        <f t="shared" ref="AV90:AV96" si="37">AO90/$AR90*100</f>
        <v>179.76047110894072</v>
      </c>
      <c r="AW90" s="4">
        <f t="shared" ref="AW90:AW96" si="38">AT90-AV90</f>
        <v>190.5909576680219</v>
      </c>
      <c r="AX90" s="4">
        <f t="shared" si="28"/>
        <v>188.84943494563382</v>
      </c>
      <c r="AY90" s="9">
        <f t="shared" si="11"/>
        <v>20749.559834886539</v>
      </c>
      <c r="AZ90">
        <v>0</v>
      </c>
      <c r="BA90">
        <v>0</v>
      </c>
      <c r="BB90">
        <v>0</v>
      </c>
      <c r="BC90">
        <v>0</v>
      </c>
      <c r="BD90" s="23">
        <v>1</v>
      </c>
      <c r="BF90" s="4">
        <f t="shared" si="12"/>
        <v>437.42455564460874</v>
      </c>
      <c r="BG90" s="4">
        <f t="shared" si="13"/>
        <v>435.36763148071049</v>
      </c>
    </row>
    <row r="91" spans="1:59">
      <c r="A91">
        <v>2012</v>
      </c>
      <c r="B91" s="3">
        <f t="shared" ref="B91:B96" si="39">I91/G91*100/C91*100</f>
        <v>181.68387777860872</v>
      </c>
      <c r="C91" s="3">
        <f>CPIs!AB51</f>
        <v>105.21072267093371</v>
      </c>
      <c r="G91" s="3">
        <f>'Exchange Rates'!N51</f>
        <v>224.95987582460225</v>
      </c>
      <c r="I91" s="44">
        <f t="shared" si="34"/>
        <v>430.01287404103169</v>
      </c>
      <c r="S91" s="9">
        <f>USA!Z99*G91</f>
        <v>24632.174693974906</v>
      </c>
      <c r="Y91" s="7"/>
      <c r="Z91" s="7"/>
      <c r="AB91" s="3">
        <f t="shared" ref="AB91:AB97" si="40">AC91*AB$89/AC$89</f>
        <v>216.48571298686198</v>
      </c>
      <c r="AC91" s="3">
        <f>'EU total tax'!O10*Hungary!G91</f>
        <v>166.81050253466691</v>
      </c>
      <c r="AF91" s="9">
        <f t="shared" si="33"/>
        <v>430.01287404103169</v>
      </c>
      <c r="AG91" s="3">
        <f>'Exchange Rates'!N51</f>
        <v>224.95987582460225</v>
      </c>
      <c r="AH91" s="3">
        <f>'Exchange Rates'!AB51</f>
        <v>0.773899446716382</v>
      </c>
      <c r="AI91" s="3">
        <f>'EU petrol prices nominal'!AF10</f>
        <v>1.4793159183673465</v>
      </c>
      <c r="AM91">
        <v>2012</v>
      </c>
      <c r="AN91" s="4">
        <f t="shared" si="18"/>
        <v>430.01287404103169</v>
      </c>
      <c r="AO91" s="4">
        <f t="shared" si="19"/>
        <v>216.48571298686198</v>
      </c>
      <c r="AP91" s="4">
        <f t="shared" si="20"/>
        <v>213.52716105416971</v>
      </c>
      <c r="AR91" s="3">
        <f>CPIs!N51</f>
        <v>109.81058502197266</v>
      </c>
      <c r="AT91" s="4">
        <f t="shared" si="35"/>
        <v>391.59510347293735</v>
      </c>
      <c r="AU91" s="3">
        <f t="shared" si="36"/>
        <v>397.39191759799945</v>
      </c>
      <c r="AV91" s="4">
        <f t="shared" si="37"/>
        <v>197.14466774177012</v>
      </c>
      <c r="AW91" s="4">
        <f t="shared" si="38"/>
        <v>194.45043573116723</v>
      </c>
      <c r="AX91" s="4">
        <f t="shared" si="28"/>
        <v>200.24724985622933</v>
      </c>
      <c r="AY91" s="9">
        <f t="shared" si="11"/>
        <v>22431.512125216443</v>
      </c>
      <c r="AZ91">
        <v>0</v>
      </c>
      <c r="BA91">
        <v>0</v>
      </c>
      <c r="BB91">
        <v>0</v>
      </c>
      <c r="BC91">
        <v>0</v>
      </c>
      <c r="BD91" s="23">
        <v>1</v>
      </c>
      <c r="BF91" s="4">
        <f t="shared" si="12"/>
        <v>462.51560226168988</v>
      </c>
      <c r="BG91" s="4">
        <f t="shared" si="13"/>
        <v>469.36225829102773</v>
      </c>
    </row>
    <row r="92" spans="1:59">
      <c r="A92">
        <v>2013</v>
      </c>
      <c r="B92" s="3">
        <f t="shared" si="39"/>
        <v>175.49255384277379</v>
      </c>
      <c r="C92" s="3">
        <f>CPIs!AB52</f>
        <v>106.69767516878358</v>
      </c>
      <c r="G92" s="3">
        <f>'Exchange Rates'!N52</f>
        <v>223.6152866242038</v>
      </c>
      <c r="I92" s="44">
        <f t="shared" si="34"/>
        <v>418.71174186462315</v>
      </c>
      <c r="R92" s="43"/>
      <c r="S92" s="9">
        <f>USA!Z100*G92</f>
        <v>23688.964907643309</v>
      </c>
      <c r="AB92" s="3">
        <f t="shared" si="40"/>
        <v>207.45510200175789</v>
      </c>
      <c r="AC92" s="3">
        <f>'EU total tax'!O11*Hungary!G92</f>
        <v>159.8520721799039</v>
      </c>
      <c r="AF92" s="9">
        <f t="shared" si="33"/>
        <v>418.71174186462315</v>
      </c>
      <c r="AG92" s="3">
        <f>'Exchange Rates'!N52</f>
        <v>223.6152866242038</v>
      </c>
      <c r="AH92" s="3">
        <f>'Exchange Rates'!AB52</f>
        <v>0.75166876437654617</v>
      </c>
      <c r="AI92" s="3">
        <f>'EU petrol prices nominal'!AF11</f>
        <v>1.4074732653061226</v>
      </c>
      <c r="AM92">
        <v>2013</v>
      </c>
      <c r="AN92" s="4">
        <f t="shared" si="18"/>
        <v>418.71174186462315</v>
      </c>
      <c r="AO92" s="4">
        <f t="shared" si="19"/>
        <v>207.45510200175789</v>
      </c>
      <c r="AP92" s="4">
        <f t="shared" si="20"/>
        <v>211.25663986286526</v>
      </c>
      <c r="AR92" s="3">
        <f>CPIs!N52</f>
        <v>111.70053863525391</v>
      </c>
      <c r="AT92" s="4">
        <f t="shared" si="35"/>
        <v>374.85203471747013</v>
      </c>
      <c r="AU92" s="3">
        <f t="shared" si="36"/>
        <v>377.67748056565642</v>
      </c>
      <c r="AV92" s="4">
        <f t="shared" si="37"/>
        <v>185.72435239473663</v>
      </c>
      <c r="AW92" s="4">
        <f t="shared" si="38"/>
        <v>189.12768232273351</v>
      </c>
      <c r="AX92" s="4">
        <f t="shared" si="28"/>
        <v>191.9531281709198</v>
      </c>
      <c r="AY92" s="9">
        <f t="shared" si="11"/>
        <v>21207.565511386721</v>
      </c>
      <c r="AZ92">
        <v>0</v>
      </c>
      <c r="BA92">
        <v>0</v>
      </c>
      <c r="BB92">
        <v>0</v>
      </c>
      <c r="BC92">
        <v>0</v>
      </c>
      <c r="BD92" s="23">
        <v>1</v>
      </c>
      <c r="BF92" s="4">
        <f t="shared" si="12"/>
        <v>442.74025149640897</v>
      </c>
      <c r="BG92" s="4">
        <f t="shared" si="13"/>
        <v>446.07740453162813</v>
      </c>
    </row>
    <row r="93" spans="1:59">
      <c r="A93">
        <v>2014</v>
      </c>
      <c r="B93" s="3">
        <f t="shared" si="39"/>
        <v>161.43162854149503</v>
      </c>
      <c r="C93" s="3">
        <f>CPIs!AB53</f>
        <v>108.45811062912946</v>
      </c>
      <c r="G93" s="3">
        <f>'Exchange Rates'!N53</f>
        <v>232.6727122153209</v>
      </c>
      <c r="I93" s="44">
        <f t="shared" si="34"/>
        <v>407.37663356820104</v>
      </c>
      <c r="R93" s="43"/>
      <c r="S93" s="9">
        <f>USA!Z101*G93</f>
        <v>22380.569087854379</v>
      </c>
      <c r="AB93" s="3">
        <f t="shared" si="40"/>
        <v>205.87580431745212</v>
      </c>
      <c r="AC93" s="3">
        <f>'EU total tax'!O12*Hungary!G93</f>
        <v>158.63516305118523</v>
      </c>
      <c r="AF93" s="9">
        <f t="shared" si="33"/>
        <v>407.37663356820104</v>
      </c>
      <c r="AG93" s="3">
        <f>'Exchange Rates'!N53</f>
        <v>232.6727122153209</v>
      </c>
      <c r="AH93" s="3">
        <f>'Exchange Rates'!AB53</f>
        <v>0.757387838338895</v>
      </c>
      <c r="AI93" s="3">
        <f>'EU petrol prices nominal'!AF12</f>
        <v>1.3260777551020408</v>
      </c>
      <c r="AM93">
        <v>2014</v>
      </c>
      <c r="AN93" s="4">
        <f t="shared" si="18"/>
        <v>407.37663356820104</v>
      </c>
      <c r="AO93" s="4">
        <f t="shared" si="19"/>
        <v>205.87580431745212</v>
      </c>
      <c r="AP93" s="4">
        <f t="shared" si="20"/>
        <v>201.50082925074892</v>
      </c>
      <c r="AR93" s="3">
        <f>CPIs!N53</f>
        <v>111.45221710205078</v>
      </c>
      <c r="AT93" s="4">
        <f t="shared" si="35"/>
        <v>365.51685032446528</v>
      </c>
      <c r="AU93" s="3">
        <f t="shared" si="36"/>
        <v>369.03913595116342</v>
      </c>
      <c r="AV93" s="4">
        <f t="shared" si="37"/>
        <v>184.7211385027386</v>
      </c>
      <c r="AW93" s="4">
        <f t="shared" si="38"/>
        <v>180.79571182172668</v>
      </c>
      <c r="AX93" s="4">
        <f t="shared" si="28"/>
        <v>184.31799744842479</v>
      </c>
      <c r="AY93" s="9">
        <f t="shared" si="11"/>
        <v>20080.864849338708</v>
      </c>
      <c r="AZ93">
        <v>0</v>
      </c>
      <c r="BA93">
        <v>0</v>
      </c>
      <c r="BB93">
        <v>0</v>
      </c>
      <c r="BC93">
        <v>0</v>
      </c>
      <c r="BD93" s="23">
        <v>1</v>
      </c>
      <c r="BF93" s="4">
        <f t="shared" si="12"/>
        <v>431.71440261969298</v>
      </c>
      <c r="BG93" s="4">
        <f t="shared" si="13"/>
        <v>435.87459778945345</v>
      </c>
    </row>
    <row r="94" spans="1:59">
      <c r="A94">
        <v>2015</v>
      </c>
      <c r="B94" s="3">
        <f t="shared" si="39"/>
        <v>117.60462183955522</v>
      </c>
      <c r="C94" s="3">
        <f>CPIs!AB54</f>
        <v>108.69337137051741</v>
      </c>
      <c r="G94" s="3">
        <f>'Exchange Rates'!N54</f>
        <v>279.47100124636478</v>
      </c>
      <c r="I94" s="44">
        <f t="shared" si="34"/>
        <v>357.24338862904693</v>
      </c>
      <c r="R94" s="43"/>
      <c r="S94" s="9">
        <f>USA!Z102*G94</f>
        <v>13838.474740640839</v>
      </c>
      <c r="AB94" s="3">
        <f t="shared" si="40"/>
        <v>231.53956068664124</v>
      </c>
      <c r="AC94" s="3">
        <f>'EU total tax'!O13*Hungary!G94</f>
        <v>178.41006661321148</v>
      </c>
      <c r="AF94" s="9">
        <f t="shared" si="33"/>
        <v>357.24338862904693</v>
      </c>
      <c r="AG94" s="3">
        <f>'Exchange Rates'!N54</f>
        <v>279.47100124636478</v>
      </c>
      <c r="AH94" s="3">
        <f>'Exchange Rates'!AB54</f>
        <v>0.90592556207997499</v>
      </c>
      <c r="AI94" s="3">
        <f>'EU petrol prices nominal'!AF13</f>
        <v>1.1580304081632655</v>
      </c>
      <c r="AM94">
        <v>2015</v>
      </c>
      <c r="AN94" s="4">
        <f t="shared" si="18"/>
        <v>357.24338862904693</v>
      </c>
      <c r="AO94" s="4">
        <f t="shared" si="19"/>
        <v>231.53956068664124</v>
      </c>
      <c r="AP94" s="4">
        <f t="shared" si="20"/>
        <v>125.7038279424057</v>
      </c>
      <c r="AR94" s="3">
        <f>CPIs!N54</f>
        <v>111.37387847900391</v>
      </c>
      <c r="AT94" s="4">
        <f t="shared" si="35"/>
        <v>320.76048127963338</v>
      </c>
      <c r="AU94" s="3">
        <f t="shared" si="36"/>
        <v>316.24951862651182</v>
      </c>
      <c r="AV94" s="4">
        <f t="shared" si="37"/>
        <v>207.8939548920269</v>
      </c>
      <c r="AW94" s="4">
        <f t="shared" si="38"/>
        <v>112.86652638760648</v>
      </c>
      <c r="AX94" s="4">
        <f t="shared" si="28"/>
        <v>108.35556373448493</v>
      </c>
      <c r="AY94" s="9">
        <f t="shared" si="11"/>
        <v>12425.242731624592</v>
      </c>
      <c r="AZ94">
        <v>0</v>
      </c>
      <c r="BA94">
        <v>0</v>
      </c>
      <c r="BB94">
        <v>0</v>
      </c>
      <c r="BC94">
        <v>0</v>
      </c>
      <c r="BD94">
        <v>0</v>
      </c>
      <c r="BF94" s="4">
        <f t="shared" si="12"/>
        <v>378.8523550602871</v>
      </c>
      <c r="BG94" s="4">
        <f t="shared" si="13"/>
        <v>373.52442682577924</v>
      </c>
    </row>
    <row r="95" spans="1:59">
      <c r="A95">
        <v>2016</v>
      </c>
      <c r="B95" s="3">
        <f t="shared" si="39"/>
        <v>107.10173347859526</v>
      </c>
      <c r="C95" s="3">
        <f>CPIs!AB55</f>
        <v>110.08253978538585</v>
      </c>
      <c r="G95" s="3">
        <f>'Exchange Rates'!N55</f>
        <v>281.70309623430961</v>
      </c>
      <c r="I95" s="44">
        <f t="shared" si="34"/>
        <v>332.12881914079992</v>
      </c>
      <c r="S95" s="9">
        <f>USA!Z103*G95</f>
        <v>11460.799377093446</v>
      </c>
      <c r="AB95" s="3">
        <f t="shared" si="40"/>
        <v>227.17357680089461</v>
      </c>
      <c r="AC95" s="3">
        <f>'EU total tax'!O14*Hungary!G95</f>
        <v>175.04590943169879</v>
      </c>
      <c r="AF95" s="9">
        <f t="shared" si="33"/>
        <v>332.12881914079992</v>
      </c>
      <c r="AG95" s="3">
        <f>'Exchange Rates'!N55</f>
        <v>281.70309623430961</v>
      </c>
      <c r="AH95" s="3">
        <f>'Exchange Rates'!AB55</f>
        <v>0.90674707708863456</v>
      </c>
      <c r="AI95" s="3">
        <f>'EU petrol prices nominal'!AF14</f>
        <v>1.0690576000000001</v>
      </c>
      <c r="AM95">
        <v>2016</v>
      </c>
      <c r="AN95" s="4">
        <f t="shared" si="18"/>
        <v>332.12881914079992</v>
      </c>
      <c r="AO95" s="4">
        <f t="shared" si="19"/>
        <v>227.17357680089461</v>
      </c>
      <c r="AP95" s="4">
        <f t="shared" si="20"/>
        <v>104.95524233990531</v>
      </c>
      <c r="AR95" s="3">
        <f>CPIs!N55</f>
        <v>111.82054138183594</v>
      </c>
      <c r="AT95" s="4">
        <f t="shared" si="35"/>
        <v>297.0195055724804</v>
      </c>
      <c r="AU95" s="3">
        <f t="shared" si="36"/>
        <v>296.76913616024939</v>
      </c>
      <c r="AV95" s="4">
        <f t="shared" si="37"/>
        <v>203.15907434677877</v>
      </c>
      <c r="AW95" s="4">
        <f t="shared" si="38"/>
        <v>93.860431225701632</v>
      </c>
      <c r="AX95" s="4">
        <f t="shared" si="28"/>
        <v>93.610061813470608</v>
      </c>
      <c r="AY95" s="9">
        <f t="shared" si="11"/>
        <v>10249.279099765772</v>
      </c>
      <c r="AZ95">
        <v>0</v>
      </c>
      <c r="BA95">
        <v>0</v>
      </c>
      <c r="BB95">
        <v>0</v>
      </c>
      <c r="BC95">
        <v>0</v>
      </c>
      <c r="BD95">
        <v>0</v>
      </c>
      <c r="BF95" s="4">
        <f t="shared" si="12"/>
        <v>350.81172947510822</v>
      </c>
      <c r="BG95" s="4">
        <f t="shared" si="13"/>
        <v>350.5160164836563</v>
      </c>
    </row>
    <row r="96" spans="1:59">
      <c r="A96">
        <v>2017</v>
      </c>
      <c r="B96" s="3">
        <f t="shared" si="39"/>
        <v>115.05406454627978</v>
      </c>
      <c r="C96" s="3">
        <f>CPIs!AB56</f>
        <v>112.42729788281457</v>
      </c>
      <c r="G96" s="3">
        <f>'Exchange Rates'!N56</f>
        <v>274.31299999999999</v>
      </c>
      <c r="I96" s="44">
        <f t="shared" si="34"/>
        <v>354.82983420450967</v>
      </c>
      <c r="S96" s="9">
        <f>USA!Z104*G96</f>
        <v>14404.17563</v>
      </c>
      <c r="AB96" s="3">
        <f t="shared" si="40"/>
        <v>228.58201570807492</v>
      </c>
      <c r="AC96" s="3">
        <f>'EU total tax'!O15*Hungary!G96</f>
        <v>176.13116535300006</v>
      </c>
      <c r="AF96" s="9">
        <f>AI96/AH96*AG96</f>
        <v>354.82983420450967</v>
      </c>
      <c r="AG96" s="3">
        <f>'Exchange Rates'!N56</f>
        <v>274.31299999999999</v>
      </c>
      <c r="AH96" s="3">
        <f>'Exchange Rates'!AB56</f>
        <v>0.88700000000000001</v>
      </c>
      <c r="AI96" s="3">
        <f>'EU petrol prices nominal'!AF15</f>
        <v>1.1473538000000003</v>
      </c>
      <c r="AM96">
        <v>2017</v>
      </c>
      <c r="AN96" s="4">
        <f t="shared" si="18"/>
        <v>354.82983420450967</v>
      </c>
      <c r="AO96" s="4">
        <f t="shared" si="19"/>
        <v>228.58201570807492</v>
      </c>
      <c r="AP96" s="4">
        <f t="shared" si="20"/>
        <v>126.24781849643475</v>
      </c>
      <c r="AR96" s="3">
        <f>CPIs!N56</f>
        <v>114.44832410430909</v>
      </c>
      <c r="AT96" s="4">
        <f t="shared" si="35"/>
        <v>310.03497603085475</v>
      </c>
      <c r="AU96" s="3">
        <f t="shared" si="36"/>
        <v>309.16830959455802</v>
      </c>
      <c r="AV96" s="4">
        <f t="shared" si="37"/>
        <v>199.7250877170936</v>
      </c>
      <c r="AW96" s="4">
        <f t="shared" si="38"/>
        <v>110.30988831376115</v>
      </c>
      <c r="AX96" s="4">
        <f t="shared" si="28"/>
        <v>109.44322187746442</v>
      </c>
      <c r="AY96" s="9">
        <f t="shared" si="11"/>
        <v>12585.746224533546</v>
      </c>
      <c r="AZ96">
        <v>0</v>
      </c>
      <c r="BA96">
        <v>0</v>
      </c>
      <c r="BB96">
        <v>0</v>
      </c>
      <c r="BC96">
        <v>0</v>
      </c>
      <c r="BD96">
        <v>0</v>
      </c>
      <c r="BF96" s="4">
        <f t="shared" si="12"/>
        <v>366.18438889905394</v>
      </c>
      <c r="BG96" s="4">
        <f t="shared" si="13"/>
        <v>365.1607633603565</v>
      </c>
    </row>
    <row r="97" spans="1:59">
      <c r="A97">
        <v>2018</v>
      </c>
      <c r="G97" s="3">
        <f>'Exchange Rates'!N57</f>
        <v>275.16399999999999</v>
      </c>
      <c r="I97" s="44">
        <f t="shared" si="34"/>
        <v>390.25206856428434</v>
      </c>
      <c r="P97" s="3"/>
      <c r="S97" s="9">
        <f>USA!Z105*G97</f>
        <v>19317.608691255413</v>
      </c>
      <c r="AB97" s="3">
        <f t="shared" si="40"/>
        <v>237.46267707775408</v>
      </c>
      <c r="AC97" s="3">
        <f>'EU total tax'!O16*Hungary!G97</f>
        <v>182.97405380728935</v>
      </c>
      <c r="AF97" s="9">
        <f t="shared" si="33"/>
        <v>390.25206856428434</v>
      </c>
      <c r="AG97" s="3">
        <f>'Exchange Rates'!N57</f>
        <v>275.16399999999999</v>
      </c>
      <c r="AH97" s="3">
        <f>'Exchange Rates'!AB57</f>
        <v>0.84599999999999997</v>
      </c>
      <c r="AI97" s="3">
        <f>'EU petrol prices nominal'!AF16</f>
        <v>1.1998417307692306</v>
      </c>
      <c r="AM97">
        <v>2018</v>
      </c>
      <c r="AN97" s="4">
        <f t="shared" ref="AN97" si="41">I97</f>
        <v>390.25206856428434</v>
      </c>
      <c r="AO97" s="4">
        <f t="shared" ref="AO97" si="42">AB97</f>
        <v>237.46267707775408</v>
      </c>
      <c r="AP97" s="4">
        <f t="shared" ref="AP97" si="43">AN97-AO97</f>
        <v>152.78939148653026</v>
      </c>
      <c r="AR97" s="3">
        <f>CPIs!N57</f>
        <v>118.11067047564698</v>
      </c>
      <c r="AT97" s="4">
        <f t="shared" ref="AT97" si="44">AN97/$AR97*100</f>
        <v>330.41220322659137</v>
      </c>
      <c r="AU97" s="3">
        <f t="shared" ref="AU97" si="45">AX97+AV97</f>
        <v>336.04020172824056</v>
      </c>
      <c r="AV97" s="4">
        <f t="shared" ref="AV97" si="46">AO97/$AR97*100</f>
        <v>201.05099405621957</v>
      </c>
      <c r="AW97" s="4">
        <f t="shared" ref="AW97" si="47">AT97-AV97</f>
        <v>129.36120917037181</v>
      </c>
      <c r="AX97" s="4">
        <f>AU$100+AU$101*AY97+AU$102*AZ97+AU$103*BA97+AU$104*BB97+AU$105*BC97+AU$106*BD97</f>
        <v>134.989207672021</v>
      </c>
      <c r="AY97" s="9">
        <f>S97/AR97*100</f>
        <v>16355.515224374645</v>
      </c>
      <c r="AZ97">
        <v>0</v>
      </c>
      <c r="BA97">
        <v>0</v>
      </c>
      <c r="BB97">
        <v>0</v>
      </c>
      <c r="BC97">
        <v>0</v>
      </c>
      <c r="BD97">
        <v>0</v>
      </c>
      <c r="BF97" s="4">
        <f>AT97*$AR$97/$AR$89</f>
        <v>390.25206856428434</v>
      </c>
      <c r="BG97" s="4">
        <f>AU97*$AR$97/$AR$89</f>
        <v>396.89933532894162</v>
      </c>
    </row>
    <row r="98" spans="1:59">
      <c r="P98" s="31"/>
      <c r="Q98" s="31"/>
      <c r="AM98">
        <v>2019</v>
      </c>
      <c r="AR98" s="3">
        <f>AR97</f>
        <v>118.11067047564698</v>
      </c>
    </row>
    <row r="99" spans="1:59">
      <c r="P99" s="31"/>
      <c r="Q99" s="31"/>
      <c r="AM99">
        <v>2020</v>
      </c>
      <c r="AR99" s="3">
        <f t="shared" ref="AR99:AR109" si="48">AR98</f>
        <v>118.11067047564698</v>
      </c>
    </row>
    <row r="100" spans="1:59">
      <c r="AM100">
        <v>2021</v>
      </c>
      <c r="AR100" s="3">
        <f t="shared" si="48"/>
        <v>118.11067047564698</v>
      </c>
      <c r="AT100" s="13" t="s">
        <v>88</v>
      </c>
      <c r="AU100" s="13">
        <v>24.155424593498122</v>
      </c>
    </row>
    <row r="101" spans="1:59">
      <c r="AM101">
        <v>2022</v>
      </c>
      <c r="AR101" s="3">
        <f t="shared" si="48"/>
        <v>118.11067047564698</v>
      </c>
      <c r="AT101" s="13" t="s">
        <v>229</v>
      </c>
      <c r="AU101" s="13">
        <v>6.7765387734986882E-3</v>
      </c>
    </row>
    <row r="102" spans="1:59">
      <c r="AM102">
        <v>2023</v>
      </c>
      <c r="AR102" s="3">
        <f t="shared" si="48"/>
        <v>118.11067047564698</v>
      </c>
      <c r="AT102" s="3" t="s">
        <v>240</v>
      </c>
      <c r="AU102" s="13">
        <v>56.093629148937872</v>
      </c>
    </row>
    <row r="103" spans="1:59">
      <c r="AM103">
        <v>2024</v>
      </c>
      <c r="AR103" s="3">
        <f t="shared" si="48"/>
        <v>118.11067047564698</v>
      </c>
      <c r="AT103" s="3" t="s">
        <v>281</v>
      </c>
      <c r="AU103" s="13">
        <v>-46.692569070279283</v>
      </c>
    </row>
    <row r="104" spans="1:59">
      <c r="AM104">
        <v>2025</v>
      </c>
      <c r="AR104" s="3">
        <f t="shared" si="48"/>
        <v>118.11067047564698</v>
      </c>
      <c r="AT104" t="s">
        <v>1990</v>
      </c>
      <c r="AU104" s="13">
        <v>24.534194410792693</v>
      </c>
    </row>
    <row r="105" spans="1:59">
      <c r="P105" s="13" t="s">
        <v>88</v>
      </c>
      <c r="Q105" s="13">
        <v>0.50019453664886426</v>
      </c>
      <c r="AM105">
        <v>2026</v>
      </c>
      <c r="AR105" s="3">
        <f t="shared" si="48"/>
        <v>118.11067047564698</v>
      </c>
      <c r="AT105" t="s">
        <v>1991</v>
      </c>
      <c r="AU105" s="13">
        <v>-16.305939756385197</v>
      </c>
    </row>
    <row r="106" spans="1:59" ht="15.75" thickBot="1">
      <c r="P106" s="13" t="s">
        <v>99</v>
      </c>
      <c r="Q106" s="13">
        <v>9.9298184686905603E-3</v>
      </c>
      <c r="AM106">
        <v>2027</v>
      </c>
      <c r="AR106" s="3">
        <f t="shared" si="48"/>
        <v>118.11067047564698</v>
      </c>
      <c r="AT106" t="s">
        <v>2011</v>
      </c>
      <c r="AU106" s="14">
        <v>24.083813597996034</v>
      </c>
    </row>
    <row r="107" spans="1:59">
      <c r="P107" s="13" t="s">
        <v>127</v>
      </c>
      <c r="Q107" s="13">
        <v>18.571056107537991</v>
      </c>
      <c r="AM107">
        <v>2028</v>
      </c>
      <c r="AR107" s="3">
        <f t="shared" si="48"/>
        <v>118.11067047564698</v>
      </c>
    </row>
    <row r="108" spans="1:59">
      <c r="P108" s="13" t="s">
        <v>136</v>
      </c>
      <c r="Q108" s="13">
        <v>-43.997464228912818</v>
      </c>
      <c r="AM108">
        <v>2029</v>
      </c>
      <c r="AR108" s="3">
        <f t="shared" si="48"/>
        <v>118.11067047564698</v>
      </c>
    </row>
    <row r="109" spans="1:59" ht="15.75" thickBot="1">
      <c r="P109" s="14" t="s">
        <v>141</v>
      </c>
      <c r="Q109" s="14">
        <v>0</v>
      </c>
      <c r="AM109">
        <v>2030</v>
      </c>
      <c r="AR109" s="3">
        <f t="shared" si="48"/>
        <v>118.11067047564698</v>
      </c>
    </row>
    <row r="111" spans="1:59">
      <c r="R111" s="13" t="str">
        <f>AT100</f>
        <v>Intercept</v>
      </c>
      <c r="S111" s="13">
        <f>AU100</f>
        <v>24.155424593498122</v>
      </c>
    </row>
    <row r="112" spans="1:59">
      <c r="R112" s="13" t="str">
        <f t="shared" ref="R112:S112" si="49">AT101</f>
        <v>landed oil price</v>
      </c>
      <c r="S112" s="13">
        <f t="shared" si="49"/>
        <v>6.7765387734986882E-3</v>
      </c>
    </row>
    <row r="113" spans="1:52">
      <c r="R113" s="13" t="str">
        <f t="shared" ref="R113:S113" si="50">AT102</f>
        <v>dum6573</v>
      </c>
      <c r="S113" s="13">
        <f t="shared" si="50"/>
        <v>56.093629148937872</v>
      </c>
    </row>
    <row r="114" spans="1:52">
      <c r="R114" s="13" t="str">
        <f t="shared" ref="R114:S114" si="51">AT103</f>
        <v>dum0809</v>
      </c>
      <c r="S114" s="13">
        <f t="shared" si="51"/>
        <v>-46.692569070279283</v>
      </c>
    </row>
    <row r="115" spans="1:52">
      <c r="R115" s="13" t="str">
        <f t="shared" ref="R115:S115" si="52">AT104</f>
        <v>dum8689</v>
      </c>
      <c r="S115" s="13">
        <f t="shared" si="52"/>
        <v>24.534194410792693</v>
      </c>
    </row>
    <row r="116" spans="1:52">
      <c r="R116" s="13" t="str">
        <f t="shared" ref="R116:S116" si="53">AT105</f>
        <v>dum9207</v>
      </c>
      <c r="S116" s="13">
        <f t="shared" si="53"/>
        <v>-16.305939756385197</v>
      </c>
    </row>
    <row r="117" spans="1:52">
      <c r="R117" s="13" t="str">
        <f t="shared" ref="R117:S117" si="54">AT106</f>
        <v>dum6514</v>
      </c>
      <c r="S117" s="13">
        <f t="shared" si="54"/>
        <v>24.083813597996034</v>
      </c>
    </row>
    <row r="118" spans="1:52">
      <c r="O118" s="7"/>
      <c r="P118" s="24"/>
      <c r="R118" s="7"/>
      <c r="S118" s="13"/>
      <c r="T118" s="13"/>
      <c r="W118" s="3"/>
      <c r="X118" s="24"/>
      <c r="AL118" s="3"/>
      <c r="AQ118"/>
      <c r="AR118" s="12"/>
      <c r="AS118"/>
      <c r="AT118" s="12"/>
      <c r="AY118"/>
      <c r="AZ118" s="9"/>
    </row>
    <row r="119" spans="1:52">
      <c r="B119" s="3"/>
      <c r="C119" s="3"/>
      <c r="E119" s="9"/>
      <c r="F119" s="9"/>
      <c r="G119" s="44"/>
      <c r="J119" s="9"/>
      <c r="K119" s="3"/>
      <c r="L119" s="24"/>
      <c r="M119" s="7"/>
      <c r="N119" s="7"/>
      <c r="O119" s="7"/>
      <c r="P119" s="24"/>
      <c r="Q119" s="9"/>
      <c r="R119" s="3"/>
      <c r="S119" s="3"/>
      <c r="U119" s="24"/>
      <c r="W119" s="3"/>
      <c r="AH119" t="s">
        <v>1960</v>
      </c>
      <c r="AI119" t="s">
        <v>1960</v>
      </c>
      <c r="AJ119" t="s">
        <v>1960</v>
      </c>
      <c r="AK119"/>
      <c r="AO119" s="12"/>
      <c r="AS119"/>
      <c r="AW119" s="9"/>
      <c r="AY119"/>
    </row>
    <row r="120" spans="1:52">
      <c r="B120" s="76" t="s">
        <v>2551</v>
      </c>
      <c r="C120" s="76"/>
      <c r="D120" s="76"/>
      <c r="E120" s="76"/>
      <c r="F120" s="26" t="s">
        <v>269</v>
      </c>
      <c r="G120" s="76" t="s">
        <v>2569</v>
      </c>
      <c r="H120" s="76"/>
      <c r="I120" s="76"/>
      <c r="J120" s="76"/>
      <c r="K120" s="26" t="s">
        <v>2602</v>
      </c>
      <c r="L120" s="26"/>
      <c r="M120" s="26"/>
      <c r="N120" s="26"/>
      <c r="O120" s="12"/>
      <c r="P120" s="77" t="s">
        <v>111</v>
      </c>
      <c r="Q120" s="26" t="s">
        <v>2603</v>
      </c>
      <c r="R120" s="26"/>
      <c r="S120" s="26"/>
      <c r="T120" s="79">
        <v>0</v>
      </c>
      <c r="U120" s="76" t="s">
        <v>2570</v>
      </c>
      <c r="V120" s="76"/>
      <c r="W120" s="76"/>
      <c r="X120" s="76"/>
      <c r="Y120" s="26" t="s">
        <v>2571</v>
      </c>
      <c r="Z120" s="26"/>
      <c r="AA120" s="26"/>
      <c r="AB120" s="79"/>
      <c r="AH120" s="3" t="s">
        <v>1957</v>
      </c>
      <c r="AI120" s="3" t="s">
        <v>1957</v>
      </c>
      <c r="AJ120" s="3" t="s">
        <v>1957</v>
      </c>
      <c r="AK120"/>
      <c r="AO120" s="12"/>
      <c r="AS120"/>
      <c r="AW120" s="9"/>
      <c r="AY120"/>
    </row>
    <row r="121" spans="1:52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2573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H121" s="3" t="s">
        <v>268</v>
      </c>
      <c r="AI121" s="3" t="s">
        <v>267</v>
      </c>
      <c r="AJ121" s="3" t="s">
        <v>266</v>
      </c>
      <c r="AK121"/>
      <c r="AO121" s="12"/>
      <c r="AS121"/>
      <c r="AW121" s="9"/>
      <c r="AY121"/>
    </row>
    <row r="122" spans="1:52">
      <c r="A122">
        <v>2010</v>
      </c>
      <c r="B122" s="3">
        <f>AI122</f>
        <v>77.45</v>
      </c>
      <c r="C122" s="3">
        <f>AH122</f>
        <v>77.45</v>
      </c>
      <c r="D122" s="3">
        <f t="shared" ref="D122:E122" si="55">AI122</f>
        <v>77.45</v>
      </c>
      <c r="E122" s="3">
        <f t="shared" si="55"/>
        <v>77.45</v>
      </c>
      <c r="F122" s="6">
        <f>'Exchange Rates'!N49</f>
        <v>207.99112426035501</v>
      </c>
      <c r="G122" s="9">
        <f>(B122*USA!$AU97/100)/$AR89*100*$F122</f>
        <v>16108.912573964495</v>
      </c>
      <c r="H122" s="9">
        <f>(C122*USA!$AU97/100)/$AR89*100*$F122</f>
        <v>16108.912573964495</v>
      </c>
      <c r="I122" s="9">
        <f>(D122*USA!$AU97/100)/$AR89*100*$F122</f>
        <v>16108.912573964495</v>
      </c>
      <c r="J122" s="9">
        <f>(E122*USA!$AU97/100)/$AR89*100*$F122</f>
        <v>16108.912573964495</v>
      </c>
      <c r="K122" s="6">
        <f>AW89</f>
        <v>148.25144491472642</v>
      </c>
      <c r="L122" s="6">
        <f>$S$111+$S$112*H122+$S$117</f>
        <v>157.40190884786509</v>
      </c>
      <c r="M122" s="6">
        <f t="shared" ref="M122:N122" si="56">$S$111+$S$112*I122+$S$117</f>
        <v>157.40190884786509</v>
      </c>
      <c r="N122" s="6">
        <f t="shared" si="56"/>
        <v>157.40190884786509</v>
      </c>
      <c r="O122">
        <v>2010</v>
      </c>
      <c r="P122" s="24">
        <f t="shared" ref="P122:P130" si="57">AV89</f>
        <v>186.97665878324338</v>
      </c>
      <c r="Q122" s="3">
        <f t="shared" ref="Q122:Q130" si="58">(K122+P122)*$T$120</f>
        <v>0</v>
      </c>
      <c r="R122" s="3">
        <f t="shared" ref="R122:R142" si="59">(L122+P122)*$T$120</f>
        <v>0</v>
      </c>
      <c r="S122" s="3">
        <f t="shared" ref="S122:S142" si="60">(M122+P122)*$T$120</f>
        <v>0</v>
      </c>
      <c r="T122" s="3">
        <f t="shared" ref="T122:T142" si="61">(N122+P122)*$T$120</f>
        <v>0</v>
      </c>
      <c r="U122" s="3">
        <f t="shared" ref="U122:U130" si="62">AT89</f>
        <v>335.2281036979698</v>
      </c>
      <c r="V122" s="3">
        <f t="shared" ref="V122:V142" si="63">L122+$P122+R122</f>
        <v>344.37856763110847</v>
      </c>
      <c r="W122" s="3">
        <f t="shared" ref="W122:W142" si="64">M122+$P122+S122</f>
        <v>344.37856763110847</v>
      </c>
      <c r="X122" s="3">
        <f t="shared" ref="X122:X142" si="65">N122+$P122+T122</f>
        <v>344.37856763110847</v>
      </c>
      <c r="Y122" s="3">
        <f>AT89*$AR$97/100</f>
        <v>395.94016090046927</v>
      </c>
      <c r="Z122" s="3">
        <f>V122*$AR$97/100</f>
        <v>406.74783520353157</v>
      </c>
      <c r="AA122" s="3">
        <f t="shared" ref="Z122:AB137" si="66">W122*$AR$97/100</f>
        <v>406.74783520353157</v>
      </c>
      <c r="AB122" s="3">
        <f t="shared" si="66"/>
        <v>406.74783520353157</v>
      </c>
      <c r="AH122" s="3">
        <f>USA!AJ135</f>
        <v>77.45</v>
      </c>
      <c r="AI122" s="3">
        <f>USA!AK135</f>
        <v>77.45</v>
      </c>
      <c r="AJ122" s="3">
        <f>USA!AL135</f>
        <v>77.45</v>
      </c>
      <c r="AK122"/>
      <c r="AO122" s="12"/>
      <c r="AS122"/>
      <c r="AW122" s="9"/>
      <c r="AY122"/>
    </row>
    <row r="123" spans="1:52">
      <c r="A123">
        <v>2011</v>
      </c>
      <c r="B123" s="3">
        <f t="shared" ref="B123:B130" si="67">AI123</f>
        <v>104.18614906980586</v>
      </c>
      <c r="C123" s="3">
        <f t="shared" ref="C123:C142" si="68">AH123</f>
        <v>104.18614906980586</v>
      </c>
      <c r="D123" s="3">
        <f t="shared" ref="D123:D142" si="69">AI123</f>
        <v>104.18614906980586</v>
      </c>
      <c r="E123" s="3">
        <f t="shared" ref="E123:E142" si="70">AJ123</f>
        <v>104.18614906980586</v>
      </c>
      <c r="F123" s="6">
        <f>'Exchange Rates'!N50</f>
        <v>200.6802769461078</v>
      </c>
      <c r="G123" s="9">
        <f>(B123*USA!$AU98/100)/$AR90*100*$F123</f>
        <v>20749.559834886542</v>
      </c>
      <c r="H123" s="9">
        <f>(C123*USA!$AU98/100)/$AR90*100*$F123</f>
        <v>20749.559834886542</v>
      </c>
      <c r="I123" s="9">
        <f>(D123*USA!$AU98/100)/$AR90*100*$F123</f>
        <v>20749.559834886542</v>
      </c>
      <c r="J123" s="9">
        <f>(E123*USA!$AU98/100)/$AR90*100*$F123</f>
        <v>20749.559834886542</v>
      </c>
      <c r="K123" s="6">
        <f t="shared" ref="K123:K130" si="71">AW90</f>
        <v>190.5909576680219</v>
      </c>
      <c r="L123" s="6">
        <f t="shared" ref="L123:L126" si="72">$S$111+$S$112*H123+$S$117</f>
        <v>188.84943494563382</v>
      </c>
      <c r="M123" s="6">
        <f>$S$111+$S$112*I123+$S$117</f>
        <v>188.84943494563382</v>
      </c>
      <c r="N123" s="6">
        <f t="shared" ref="N123:N126" si="73">$S$111+$S$112*J123+$S$117</f>
        <v>188.84943494563382</v>
      </c>
      <c r="O123">
        <v>2011</v>
      </c>
      <c r="P123" s="24">
        <f t="shared" si="57"/>
        <v>179.76047110894072</v>
      </c>
      <c r="Q123" s="3">
        <f t="shared" si="58"/>
        <v>0</v>
      </c>
      <c r="R123" s="3">
        <f t="shared" si="59"/>
        <v>0</v>
      </c>
      <c r="S123" s="3">
        <f t="shared" si="60"/>
        <v>0</v>
      </c>
      <c r="T123" s="3">
        <f t="shared" si="61"/>
        <v>0</v>
      </c>
      <c r="U123" s="3">
        <f t="shared" si="62"/>
        <v>370.35142877696262</v>
      </c>
      <c r="V123" s="3">
        <f t="shared" si="63"/>
        <v>368.60990605457454</v>
      </c>
      <c r="W123" s="3">
        <f t="shared" si="64"/>
        <v>368.60990605457454</v>
      </c>
      <c r="X123" s="3">
        <f t="shared" si="65"/>
        <v>368.60990605457454</v>
      </c>
      <c r="Y123" s="3">
        <f t="shared" ref="Y123:Y130" si="74">AT90*$AR$97/100</f>
        <v>437.42455564460874</v>
      </c>
      <c r="Z123" s="3">
        <f t="shared" si="66"/>
        <v>435.36763148071049</v>
      </c>
      <c r="AA123" s="3">
        <f t="shared" si="66"/>
        <v>435.36763148071049</v>
      </c>
      <c r="AB123" s="3">
        <f t="shared" si="66"/>
        <v>435.36763148071049</v>
      </c>
      <c r="AH123" s="3">
        <f>USA!AJ136</f>
        <v>104.18614906980586</v>
      </c>
      <c r="AI123" s="3">
        <f>USA!AK136</f>
        <v>104.18614906980586</v>
      </c>
      <c r="AJ123" s="3">
        <f>USA!AL136</f>
        <v>104.18614906980586</v>
      </c>
      <c r="AK123"/>
      <c r="AO123" s="12"/>
      <c r="AS123"/>
      <c r="AW123" s="9"/>
      <c r="AY123"/>
    </row>
    <row r="124" spans="1:52">
      <c r="A124">
        <v>2012</v>
      </c>
      <c r="B124" s="3">
        <f t="shared" si="67"/>
        <v>104.07290773565181</v>
      </c>
      <c r="C124" s="3">
        <f t="shared" si="68"/>
        <v>104.07290773565181</v>
      </c>
      <c r="D124" s="3">
        <f t="shared" si="69"/>
        <v>104.07290773565181</v>
      </c>
      <c r="E124" s="3">
        <f t="shared" si="70"/>
        <v>104.07290773565181</v>
      </c>
      <c r="F124" s="6">
        <f>'Exchange Rates'!N51</f>
        <v>224.95987582460225</v>
      </c>
      <c r="G124" s="9">
        <f>(B124*USA!$AU99/100)/$AR91*100*$F124</f>
        <v>22431.512125216446</v>
      </c>
      <c r="H124" s="9">
        <f>(C124*USA!$AU99/100)/$AR91*100*$F124</f>
        <v>22431.512125216446</v>
      </c>
      <c r="I124" s="9">
        <f>(D124*USA!$AU99/100)/$AR91*100*$F124</f>
        <v>22431.512125216446</v>
      </c>
      <c r="J124" s="9">
        <f>(E124*USA!$AU99/100)/$AR91*100*$F124</f>
        <v>22431.512125216446</v>
      </c>
      <c r="K124" s="6">
        <f t="shared" si="71"/>
        <v>194.45043573116723</v>
      </c>
      <c r="L124" s="6">
        <f t="shared" si="72"/>
        <v>200.24724985622936</v>
      </c>
      <c r="M124" s="6">
        <f t="shared" ref="M124:M126" si="75">$S$111+$S$112*I124+$S$117</f>
        <v>200.24724985622936</v>
      </c>
      <c r="N124" s="6">
        <f t="shared" si="73"/>
        <v>200.24724985622936</v>
      </c>
      <c r="O124">
        <v>2012</v>
      </c>
      <c r="P124" s="24">
        <f t="shared" si="57"/>
        <v>197.14466774177012</v>
      </c>
      <c r="Q124" s="3">
        <f t="shared" si="58"/>
        <v>0</v>
      </c>
      <c r="R124" s="3">
        <f t="shared" si="59"/>
        <v>0</v>
      </c>
      <c r="S124" s="3">
        <f t="shared" si="60"/>
        <v>0</v>
      </c>
      <c r="T124" s="3">
        <f t="shared" si="61"/>
        <v>0</v>
      </c>
      <c r="U124" s="3">
        <f t="shared" si="62"/>
        <v>391.59510347293735</v>
      </c>
      <c r="V124" s="3">
        <f t="shared" si="63"/>
        <v>397.39191759799951</v>
      </c>
      <c r="W124" s="3">
        <f t="shared" si="64"/>
        <v>397.39191759799951</v>
      </c>
      <c r="X124" s="3">
        <f t="shared" si="65"/>
        <v>397.39191759799951</v>
      </c>
      <c r="Y124" s="3">
        <f t="shared" si="74"/>
        <v>462.51560226168988</v>
      </c>
      <c r="Z124" s="3">
        <f t="shared" si="66"/>
        <v>469.36225829102784</v>
      </c>
      <c r="AA124" s="3">
        <f t="shared" si="66"/>
        <v>469.36225829102784</v>
      </c>
      <c r="AB124" s="3">
        <f t="shared" si="66"/>
        <v>469.36225829102784</v>
      </c>
      <c r="AH124" s="3">
        <f>USA!AJ137</f>
        <v>104.07290773565181</v>
      </c>
      <c r="AI124" s="3">
        <f>USA!AK137</f>
        <v>104.07290773565181</v>
      </c>
      <c r="AJ124" s="3">
        <f>USA!AL137</f>
        <v>104.07290773565181</v>
      </c>
      <c r="AK124"/>
      <c r="AO124" s="12"/>
      <c r="AS124"/>
      <c r="AW124" s="9"/>
      <c r="AY124"/>
    </row>
    <row r="125" spans="1:52">
      <c r="A125">
        <v>2013</v>
      </c>
      <c r="B125" s="3">
        <f t="shared" si="67"/>
        <v>99.286371359470493</v>
      </c>
      <c r="C125" s="3">
        <f t="shared" si="68"/>
        <v>99.286371359470493</v>
      </c>
      <c r="D125" s="3">
        <f t="shared" si="69"/>
        <v>99.286371359470493</v>
      </c>
      <c r="E125" s="3">
        <f t="shared" si="70"/>
        <v>99.286371359470493</v>
      </c>
      <c r="F125" s="6">
        <f>'Exchange Rates'!N52</f>
        <v>223.6152866242038</v>
      </c>
      <c r="G125" s="9">
        <f>(B125*USA!$AU100/100)/$AR92*100*$F125</f>
        <v>21207.565511386725</v>
      </c>
      <c r="H125" s="9">
        <f>(C125*USA!$AU100/100)/$AR92*100*$F125</f>
        <v>21207.565511386725</v>
      </c>
      <c r="I125" s="9">
        <f>(D125*USA!$AU100/100)/$AR92*100*$F125</f>
        <v>21207.565511386725</v>
      </c>
      <c r="J125" s="9">
        <f>(E125*USA!$AU100/100)/$AR92*100*$F125</f>
        <v>21207.565511386725</v>
      </c>
      <c r="K125" s="6">
        <f t="shared" si="71"/>
        <v>189.12768232273351</v>
      </c>
      <c r="L125" s="6">
        <f t="shared" si="72"/>
        <v>191.95312817091983</v>
      </c>
      <c r="M125" s="6">
        <f t="shared" si="75"/>
        <v>191.95312817091983</v>
      </c>
      <c r="N125" s="6">
        <f t="shared" si="73"/>
        <v>191.95312817091983</v>
      </c>
      <c r="O125">
        <v>2013</v>
      </c>
      <c r="P125" s="24">
        <f t="shared" si="57"/>
        <v>185.72435239473663</v>
      </c>
      <c r="Q125" s="3">
        <f t="shared" si="58"/>
        <v>0</v>
      </c>
      <c r="R125" s="3">
        <f t="shared" si="59"/>
        <v>0</v>
      </c>
      <c r="S125" s="3">
        <f t="shared" si="60"/>
        <v>0</v>
      </c>
      <c r="T125" s="3">
        <f t="shared" si="61"/>
        <v>0</v>
      </c>
      <c r="U125" s="3">
        <f t="shared" si="62"/>
        <v>374.85203471747013</v>
      </c>
      <c r="V125" s="3">
        <f t="shared" si="63"/>
        <v>377.67748056565642</v>
      </c>
      <c r="W125" s="3">
        <f t="shared" si="64"/>
        <v>377.67748056565642</v>
      </c>
      <c r="X125" s="3">
        <f t="shared" si="65"/>
        <v>377.67748056565642</v>
      </c>
      <c r="Y125" s="3">
        <f t="shared" si="74"/>
        <v>442.74025149640897</v>
      </c>
      <c r="Z125" s="3">
        <f t="shared" si="66"/>
        <v>446.07740453162813</v>
      </c>
      <c r="AA125" s="3">
        <f t="shared" si="66"/>
        <v>446.07740453162813</v>
      </c>
      <c r="AB125" s="3">
        <f t="shared" si="66"/>
        <v>446.07740453162813</v>
      </c>
      <c r="AH125" s="3">
        <f>USA!AJ138</f>
        <v>99.286371359470493</v>
      </c>
      <c r="AI125" s="3">
        <f>USA!AK138</f>
        <v>99.286371359470493</v>
      </c>
      <c r="AJ125" s="3">
        <f>USA!AL138</f>
        <v>99.286371359470493</v>
      </c>
      <c r="AK125"/>
      <c r="AO125" s="12"/>
      <c r="AS125"/>
      <c r="AW125" s="9"/>
      <c r="AY125"/>
    </row>
    <row r="126" spans="1:52">
      <c r="A126">
        <v>2014</v>
      </c>
      <c r="B126" s="3">
        <f t="shared" si="67"/>
        <v>88.687750298592292</v>
      </c>
      <c r="C126" s="3">
        <f t="shared" si="68"/>
        <v>88.687750298592292</v>
      </c>
      <c r="D126" s="3">
        <f t="shared" si="69"/>
        <v>88.687750298592292</v>
      </c>
      <c r="E126" s="3">
        <f t="shared" si="70"/>
        <v>88.687750298592292</v>
      </c>
      <c r="F126" s="6">
        <f>'Exchange Rates'!N53</f>
        <v>232.6727122153209</v>
      </c>
      <c r="G126" s="9">
        <f>(B126*USA!$AU101/100)/$AR93*100*$F126</f>
        <v>20080.864849338708</v>
      </c>
      <c r="H126" s="9">
        <f>(C126*USA!$AU101/100)/$AR93*100*$F126</f>
        <v>20080.864849338708</v>
      </c>
      <c r="I126" s="9">
        <f>(D126*USA!$AU101/100)/$AR93*100*$F126</f>
        <v>20080.864849338708</v>
      </c>
      <c r="J126" s="9">
        <f>(E126*USA!$AU101/100)/$AR93*100*$F126</f>
        <v>20080.864849338708</v>
      </c>
      <c r="K126" s="6">
        <f t="shared" si="71"/>
        <v>180.79571182172668</v>
      </c>
      <c r="L126" s="6">
        <f t="shared" si="72"/>
        <v>184.31799744842479</v>
      </c>
      <c r="M126" s="6">
        <f t="shared" si="75"/>
        <v>184.31799744842479</v>
      </c>
      <c r="N126" s="6">
        <f t="shared" si="73"/>
        <v>184.31799744842479</v>
      </c>
      <c r="O126">
        <v>2014</v>
      </c>
      <c r="P126" s="24">
        <f t="shared" si="57"/>
        <v>184.7211385027386</v>
      </c>
      <c r="Q126" s="3">
        <f t="shared" si="58"/>
        <v>0</v>
      </c>
      <c r="R126" s="3">
        <f t="shared" si="59"/>
        <v>0</v>
      </c>
      <c r="S126" s="3">
        <f t="shared" si="60"/>
        <v>0</v>
      </c>
      <c r="T126" s="3">
        <f t="shared" si="61"/>
        <v>0</v>
      </c>
      <c r="U126" s="3">
        <f t="shared" si="62"/>
        <v>365.51685032446528</v>
      </c>
      <c r="V126" s="3">
        <f t="shared" si="63"/>
        <v>369.03913595116342</v>
      </c>
      <c r="W126" s="3">
        <f t="shared" si="64"/>
        <v>369.03913595116342</v>
      </c>
      <c r="X126" s="3">
        <f t="shared" si="65"/>
        <v>369.03913595116342</v>
      </c>
      <c r="Y126" s="3">
        <f t="shared" si="74"/>
        <v>431.71440261969298</v>
      </c>
      <c r="Z126" s="3">
        <f t="shared" si="66"/>
        <v>435.87459778945345</v>
      </c>
      <c r="AA126" s="3">
        <f t="shared" si="66"/>
        <v>435.87459778945345</v>
      </c>
      <c r="AB126" s="3">
        <f t="shared" si="66"/>
        <v>435.87459778945345</v>
      </c>
      <c r="AH126" s="3">
        <f>USA!AJ139</f>
        <v>88.687750298592292</v>
      </c>
      <c r="AI126" s="3">
        <f>USA!AK139</f>
        <v>88.687750298592292</v>
      </c>
      <c r="AJ126" s="3">
        <f>USA!AL139</f>
        <v>88.687750298592292</v>
      </c>
      <c r="AK126"/>
      <c r="AO126" s="12"/>
      <c r="AS126"/>
      <c r="AW126" s="9"/>
      <c r="AY126"/>
    </row>
    <row r="127" spans="1:52">
      <c r="A127">
        <v>2015</v>
      </c>
      <c r="B127" s="3">
        <f t="shared" si="67"/>
        <v>45.556296925601814</v>
      </c>
      <c r="C127" s="3">
        <f t="shared" si="68"/>
        <v>45.556296925601814</v>
      </c>
      <c r="D127" s="3">
        <f t="shared" si="69"/>
        <v>45.556296925601814</v>
      </c>
      <c r="E127" s="3">
        <f t="shared" si="70"/>
        <v>45.556296925601814</v>
      </c>
      <c r="F127" s="6">
        <f>'Exchange Rates'!N54</f>
        <v>279.47100124636478</v>
      </c>
      <c r="G127" s="9">
        <f>(B127*USA!$AU102/100)/$AR94*100*$F127</f>
        <v>12425.242731624588</v>
      </c>
      <c r="H127" s="9">
        <f>(C127*USA!$AU102/100)/$AR94*100*$F127</f>
        <v>12425.242731624588</v>
      </c>
      <c r="I127" s="9">
        <f>(D127*USA!$AU102/100)/$AR94*100*$F127</f>
        <v>12425.242731624588</v>
      </c>
      <c r="J127" s="9">
        <f>(E127*USA!$AU102/100)/$AR94*100*$F127</f>
        <v>12425.242731624588</v>
      </c>
      <c r="K127" s="6">
        <f t="shared" si="71"/>
        <v>112.86652638760648</v>
      </c>
      <c r="L127" s="6">
        <f>$S$111+$S$112*H127</f>
        <v>108.3555637344849</v>
      </c>
      <c r="M127" s="6">
        <f t="shared" ref="M127:N127" si="76">$S$111+$S$112*I127</f>
        <v>108.3555637344849</v>
      </c>
      <c r="N127" s="6">
        <f t="shared" si="76"/>
        <v>108.3555637344849</v>
      </c>
      <c r="O127">
        <v>2015</v>
      </c>
      <c r="P127" s="24">
        <f t="shared" si="57"/>
        <v>207.8939548920269</v>
      </c>
      <c r="Q127" s="3">
        <f t="shared" si="58"/>
        <v>0</v>
      </c>
      <c r="R127" s="3">
        <f t="shared" si="59"/>
        <v>0</v>
      </c>
      <c r="S127" s="3">
        <f t="shared" si="60"/>
        <v>0</v>
      </c>
      <c r="T127" s="3">
        <f t="shared" si="61"/>
        <v>0</v>
      </c>
      <c r="U127" s="3">
        <f t="shared" si="62"/>
        <v>320.76048127963338</v>
      </c>
      <c r="V127" s="3">
        <f t="shared" si="63"/>
        <v>316.24951862651182</v>
      </c>
      <c r="W127" s="3">
        <f t="shared" si="64"/>
        <v>316.24951862651182</v>
      </c>
      <c r="X127" s="3">
        <f t="shared" si="65"/>
        <v>316.24951862651182</v>
      </c>
      <c r="Y127" s="3">
        <f t="shared" si="74"/>
        <v>378.8523550602871</v>
      </c>
      <c r="Z127" s="3">
        <f t="shared" si="66"/>
        <v>373.52442682577924</v>
      </c>
      <c r="AA127" s="3">
        <f t="shared" si="66"/>
        <v>373.52442682577924</v>
      </c>
      <c r="AB127" s="3">
        <f t="shared" si="66"/>
        <v>373.52442682577924</v>
      </c>
      <c r="AH127" s="3">
        <f>USA!AJ140</f>
        <v>45.556296925601814</v>
      </c>
      <c r="AI127" s="3">
        <f>USA!AK140</f>
        <v>45.556296925601814</v>
      </c>
      <c r="AJ127" s="3">
        <f>USA!AL140</f>
        <v>45.556296925601814</v>
      </c>
      <c r="AK127"/>
      <c r="AO127" s="12"/>
      <c r="AS127"/>
      <c r="AW127" s="9"/>
      <c r="AY127"/>
    </row>
    <row r="128" spans="1:52">
      <c r="A128">
        <v>2016</v>
      </c>
      <c r="B128" s="3">
        <f t="shared" si="67"/>
        <v>36.957692605914716</v>
      </c>
      <c r="C128" s="3">
        <f t="shared" si="68"/>
        <v>36.957692605914716</v>
      </c>
      <c r="D128" s="3">
        <f t="shared" si="69"/>
        <v>36.957692605914716</v>
      </c>
      <c r="E128" s="3">
        <f t="shared" si="70"/>
        <v>36.957692605914716</v>
      </c>
      <c r="F128" s="6">
        <f>'Exchange Rates'!N55</f>
        <v>281.70309623430961</v>
      </c>
      <c r="G128" s="9">
        <f>(B128*USA!$AU103/100)/$AR95*100*$F128</f>
        <v>10249.279099765772</v>
      </c>
      <c r="H128" s="9">
        <f>(C128*USA!$AU103/100)/$AR95*100*$F128</f>
        <v>10249.279099765772</v>
      </c>
      <c r="I128" s="9">
        <f>(D128*USA!$AU103/100)/$AR95*100*$F128</f>
        <v>10249.279099765772</v>
      </c>
      <c r="J128" s="9">
        <f>(E128*USA!$AU103/100)/$AR95*100*$F128</f>
        <v>10249.279099765772</v>
      </c>
      <c r="K128" s="6">
        <f t="shared" si="71"/>
        <v>93.860431225701632</v>
      </c>
      <c r="L128" s="6">
        <f t="shared" ref="L128:L130" si="77">$S$111+$S$112*H128</f>
        <v>93.610061813470608</v>
      </c>
      <c r="M128" s="6">
        <f t="shared" ref="M128:M130" si="78">$S$111+$S$112*I128</f>
        <v>93.610061813470608</v>
      </c>
      <c r="N128" s="6">
        <f t="shared" ref="N128:N130" si="79">$S$111+$S$112*J128</f>
        <v>93.610061813470608</v>
      </c>
      <c r="O128">
        <v>2016</v>
      </c>
      <c r="P128" s="24">
        <f t="shared" si="57"/>
        <v>203.15907434677877</v>
      </c>
      <c r="Q128" s="3">
        <f t="shared" si="58"/>
        <v>0</v>
      </c>
      <c r="R128" s="3">
        <f t="shared" si="59"/>
        <v>0</v>
      </c>
      <c r="S128" s="3">
        <f t="shared" si="60"/>
        <v>0</v>
      </c>
      <c r="T128" s="3">
        <f t="shared" si="61"/>
        <v>0</v>
      </c>
      <c r="U128" s="3">
        <f t="shared" si="62"/>
        <v>297.0195055724804</v>
      </c>
      <c r="V128" s="3">
        <f t="shared" si="63"/>
        <v>296.76913616024939</v>
      </c>
      <c r="W128" s="3">
        <f t="shared" si="64"/>
        <v>296.76913616024939</v>
      </c>
      <c r="X128" s="3">
        <f t="shared" si="65"/>
        <v>296.76913616024939</v>
      </c>
      <c r="Y128" s="3">
        <f t="shared" si="74"/>
        <v>350.81172947510822</v>
      </c>
      <c r="Z128" s="3">
        <f t="shared" si="66"/>
        <v>350.5160164836563</v>
      </c>
      <c r="AA128" s="3">
        <f t="shared" si="66"/>
        <v>350.5160164836563</v>
      </c>
      <c r="AB128" s="3">
        <f t="shared" si="66"/>
        <v>350.5160164836563</v>
      </c>
      <c r="AH128" s="3">
        <f>USA!AJ141</f>
        <v>36.957692605914716</v>
      </c>
      <c r="AI128" s="3">
        <f>USA!AK141</f>
        <v>36.957692605914716</v>
      </c>
      <c r="AJ128" s="3">
        <f>USA!AL141</f>
        <v>36.957692605914716</v>
      </c>
      <c r="AK128"/>
      <c r="AO128" s="12"/>
      <c r="AS128"/>
      <c r="AW128" s="9"/>
      <c r="AY128"/>
    </row>
    <row r="129" spans="1:52">
      <c r="A129">
        <v>2017</v>
      </c>
      <c r="B129" s="3">
        <f t="shared" si="67"/>
        <v>46.705738720797434</v>
      </c>
      <c r="C129" s="3">
        <f t="shared" si="68"/>
        <v>46.705738720797434</v>
      </c>
      <c r="D129" s="3">
        <f t="shared" si="69"/>
        <v>46.705738720797434</v>
      </c>
      <c r="E129" s="3">
        <f t="shared" si="70"/>
        <v>46.705738720797434</v>
      </c>
      <c r="F129" s="6">
        <f>'Exchange Rates'!N56</f>
        <v>274.31299999999999</v>
      </c>
      <c r="G129" s="9">
        <f>(B129*USA!$AU104/100)/$AR96*100*$F129</f>
        <v>12585.746224533546</v>
      </c>
      <c r="H129" s="9">
        <f>(C129*USA!$AU104/100)/$AR96*100*$F129</f>
        <v>12585.746224533546</v>
      </c>
      <c r="I129" s="9">
        <f>(D129*USA!$AU104/100)/$AR96*100*$F129</f>
        <v>12585.746224533546</v>
      </c>
      <c r="J129" s="9">
        <f>(E129*USA!$AU104/100)/$AR96*100*$F129</f>
        <v>12585.746224533546</v>
      </c>
      <c r="K129" s="6">
        <f t="shared" si="71"/>
        <v>110.30988831376115</v>
      </c>
      <c r="L129" s="6">
        <f t="shared" si="77"/>
        <v>109.44322187746442</v>
      </c>
      <c r="M129" s="6">
        <f t="shared" si="78"/>
        <v>109.44322187746442</v>
      </c>
      <c r="N129" s="6">
        <f t="shared" si="79"/>
        <v>109.44322187746442</v>
      </c>
      <c r="O129">
        <v>2017</v>
      </c>
      <c r="P129" s="24">
        <f t="shared" si="57"/>
        <v>199.7250877170936</v>
      </c>
      <c r="Q129" s="3">
        <f t="shared" si="58"/>
        <v>0</v>
      </c>
      <c r="R129" s="3">
        <f t="shared" si="59"/>
        <v>0</v>
      </c>
      <c r="S129" s="3">
        <f t="shared" si="60"/>
        <v>0</v>
      </c>
      <c r="T129" s="3">
        <f t="shared" si="61"/>
        <v>0</v>
      </c>
      <c r="U129" s="3">
        <f t="shared" si="62"/>
        <v>310.03497603085475</v>
      </c>
      <c r="V129" s="3">
        <f t="shared" si="63"/>
        <v>309.16830959455802</v>
      </c>
      <c r="W129" s="3">
        <f t="shared" si="64"/>
        <v>309.16830959455802</v>
      </c>
      <c r="X129" s="3">
        <f t="shared" si="65"/>
        <v>309.16830959455802</v>
      </c>
      <c r="Y129" s="3">
        <f t="shared" si="74"/>
        <v>366.18438889905394</v>
      </c>
      <c r="Z129" s="3">
        <f t="shared" si="66"/>
        <v>365.1607633603565</v>
      </c>
      <c r="AA129" s="3">
        <f t="shared" si="66"/>
        <v>365.1607633603565</v>
      </c>
      <c r="AB129" s="3">
        <f t="shared" si="66"/>
        <v>365.1607633603565</v>
      </c>
      <c r="AH129" s="3">
        <f>USA!AJ142</f>
        <v>46.705738720797434</v>
      </c>
      <c r="AI129" s="3">
        <f>USA!AK142</f>
        <v>46.705738720797434</v>
      </c>
      <c r="AJ129" s="3">
        <f>USA!AL142</f>
        <v>46.705738720797434</v>
      </c>
      <c r="AK129"/>
      <c r="AO129" s="12"/>
      <c r="AS129"/>
      <c r="AW129" s="9"/>
      <c r="AY129"/>
    </row>
    <row r="130" spans="1:52">
      <c r="A130">
        <v>2018</v>
      </c>
      <c r="B130" s="3">
        <f t="shared" si="67"/>
        <v>60.818458312139953</v>
      </c>
      <c r="C130" s="3">
        <f t="shared" si="68"/>
        <v>60.818458312139953</v>
      </c>
      <c r="D130" s="3">
        <f t="shared" si="69"/>
        <v>60.818458312139953</v>
      </c>
      <c r="E130" s="3">
        <f t="shared" si="70"/>
        <v>60.818458312139953</v>
      </c>
      <c r="F130" s="6">
        <f>'Exchange Rates'!N57</f>
        <v>275.16399999999999</v>
      </c>
      <c r="G130" s="9">
        <f>(B130*USA!$AU105/100)/$AR97*100*$F130</f>
        <v>16355.515224374643</v>
      </c>
      <c r="H130" s="9">
        <f>(C130*USA!$AU105/100)/$AR97*100*$F130</f>
        <v>16355.515224374643</v>
      </c>
      <c r="I130" s="9">
        <f>(D130*USA!$AU105/100)/$AR97*100*$F130</f>
        <v>16355.515224374643</v>
      </c>
      <c r="J130" s="9">
        <f>(E130*USA!$AU105/100)/$AR97*100*$F130</f>
        <v>16355.515224374643</v>
      </c>
      <c r="K130" s="6">
        <f t="shared" si="71"/>
        <v>129.36120917037181</v>
      </c>
      <c r="L130" s="6">
        <f t="shared" si="77"/>
        <v>134.989207672021</v>
      </c>
      <c r="M130" s="6">
        <f t="shared" si="78"/>
        <v>134.989207672021</v>
      </c>
      <c r="N130" s="6">
        <f t="shared" si="79"/>
        <v>134.989207672021</v>
      </c>
      <c r="O130">
        <v>2018</v>
      </c>
      <c r="P130" s="24">
        <f t="shared" si="57"/>
        <v>201.05099405621957</v>
      </c>
      <c r="Q130" s="3">
        <f t="shared" si="58"/>
        <v>0</v>
      </c>
      <c r="R130" s="3">
        <f t="shared" si="59"/>
        <v>0</v>
      </c>
      <c r="S130" s="3">
        <f t="shared" si="60"/>
        <v>0</v>
      </c>
      <c r="T130" s="3">
        <f t="shared" si="61"/>
        <v>0</v>
      </c>
      <c r="U130" s="3">
        <f t="shared" si="62"/>
        <v>330.41220322659137</v>
      </c>
      <c r="V130" s="3">
        <f t="shared" si="63"/>
        <v>336.04020172824056</v>
      </c>
      <c r="W130" s="3">
        <f t="shared" si="64"/>
        <v>336.04020172824056</v>
      </c>
      <c r="X130" s="3">
        <f t="shared" si="65"/>
        <v>336.04020172824056</v>
      </c>
      <c r="Y130" s="3">
        <f t="shared" si="74"/>
        <v>390.25206856428434</v>
      </c>
      <c r="Z130" s="3">
        <f>V130*$AR$97/100</f>
        <v>396.89933532894162</v>
      </c>
      <c r="AA130" s="3">
        <f t="shared" si="66"/>
        <v>396.89933532894162</v>
      </c>
      <c r="AB130" s="3">
        <f t="shared" si="66"/>
        <v>396.89933532894162</v>
      </c>
      <c r="AH130" s="3">
        <f>USA!AJ143</f>
        <v>60.818458312139953</v>
      </c>
      <c r="AI130" s="3">
        <f>USA!AK143</f>
        <v>60.818458312139953</v>
      </c>
      <c r="AJ130" s="3">
        <f>USA!AL143</f>
        <v>60.818458312139953</v>
      </c>
      <c r="AK130"/>
      <c r="AO130" s="12"/>
      <c r="AS130"/>
      <c r="AW130" s="9"/>
      <c r="AY130"/>
    </row>
    <row r="131" spans="1:52">
      <c r="A131">
        <v>2019</v>
      </c>
      <c r="B131" s="3"/>
      <c r="C131" s="3">
        <f>AH131</f>
        <v>90.611761513694489</v>
      </c>
      <c r="D131" s="3">
        <f t="shared" si="69"/>
        <v>56.019786702864394</v>
      </c>
      <c r="E131" s="3">
        <f t="shared" si="70"/>
        <v>25.889074718198426</v>
      </c>
      <c r="F131" s="6">
        <f>'Exchange Rates'!N58</f>
        <v>287.25</v>
      </c>
      <c r="G131" s="9"/>
      <c r="H131" s="9">
        <f>(C131*USA!$AU106/100)/$AR98*100*$F131</f>
        <v>25437.933004091847</v>
      </c>
      <c r="I131" s="9">
        <f>(D131*USA!$AU106/100)/$AR98*100*$F131</f>
        <v>15726.739633415138</v>
      </c>
      <c r="J131" s="9">
        <f>(E131*USA!$AU106/100)/$AR98*100*$F131</f>
        <v>7267.9808583119557</v>
      </c>
      <c r="K131" s="6"/>
      <c r="L131" s="6">
        <f t="shared" ref="L131:L142" si="80">$S$111+$S$112*H131</f>
        <v>196.53656391338848</v>
      </c>
      <c r="M131" s="6">
        <f t="shared" ref="M131:M142" si="81">$S$111+$S$112*I131</f>
        <v>130.72828550005434</v>
      </c>
      <c r="N131" s="6">
        <f t="shared" ref="N131:N142" si="82">$S$111+$S$112*J131</f>
        <v>73.407178684895371</v>
      </c>
      <c r="O131">
        <v>2019</v>
      </c>
      <c r="P131" s="3">
        <f t="shared" ref="P131:P142" si="83">P130</f>
        <v>201.05099405621957</v>
      </c>
      <c r="Q131" s="3"/>
      <c r="R131" s="3">
        <f t="shared" si="59"/>
        <v>0</v>
      </c>
      <c r="S131" s="3">
        <f t="shared" si="60"/>
        <v>0</v>
      </c>
      <c r="T131" s="3">
        <f t="shared" si="61"/>
        <v>0</v>
      </c>
      <c r="V131" s="3">
        <f t="shared" si="63"/>
        <v>397.58755796960804</v>
      </c>
      <c r="W131" s="3">
        <f t="shared" si="64"/>
        <v>331.77927955627388</v>
      </c>
      <c r="X131" s="3">
        <f t="shared" si="65"/>
        <v>274.45817274111494</v>
      </c>
      <c r="Z131" s="3">
        <f t="shared" ref="Z131:AB142" si="84">V131*$AR$97/100</f>
        <v>469.59333044565568</v>
      </c>
      <c r="AA131" s="3">
        <f t="shared" si="66"/>
        <v>391.86673158318627</v>
      </c>
      <c r="AB131" s="3">
        <f t="shared" si="66"/>
        <v>324.16438799974026</v>
      </c>
      <c r="AH131" s="3">
        <f>USA!AJ144</f>
        <v>90.611761513694489</v>
      </c>
      <c r="AI131" s="3">
        <f>USA!AK144</f>
        <v>56.019786702864394</v>
      </c>
      <c r="AJ131" s="3">
        <f>USA!AL144</f>
        <v>25.889074718198426</v>
      </c>
      <c r="AK131"/>
      <c r="AO131" s="12"/>
      <c r="AS131"/>
      <c r="AW131" s="9"/>
      <c r="AY131"/>
    </row>
    <row r="132" spans="1:52">
      <c r="A132">
        <v>2020</v>
      </c>
      <c r="B132" s="3"/>
      <c r="C132" s="3">
        <f t="shared" si="68"/>
        <v>105.28223718734027</v>
      </c>
      <c r="D132" s="3">
        <f t="shared" si="69"/>
        <v>56.251630823658907</v>
      </c>
      <c r="E132" s="3">
        <f t="shared" si="70"/>
        <v>26.752043875471706</v>
      </c>
      <c r="F132" s="6">
        <f>'Exchange Rates'!N59</f>
        <v>287.25</v>
      </c>
      <c r="G132" s="9"/>
      <c r="H132" s="9">
        <f>(C132*USA!$AU107/100)/$AR99*100*$F132</f>
        <v>29556.455490468623</v>
      </c>
      <c r="I132" s="9">
        <f>(D132*USA!$AU107/100)/$AR99*100*$F132</f>
        <v>15791.82649535935</v>
      </c>
      <c r="J132" s="9">
        <f>(E132*USA!$AU107/100)/$AR99*100*$F132</f>
        <v>7510.246886922354</v>
      </c>
      <c r="K132" s="6"/>
      <c r="L132" s="6">
        <f t="shared" si="80"/>
        <v>224.44589123184693</v>
      </c>
      <c r="M132" s="6">
        <f t="shared" si="81"/>
        <v>131.16934914366465</v>
      </c>
      <c r="N132" s="6">
        <f t="shared" si="82"/>
        <v>75.048903821275275</v>
      </c>
      <c r="O132">
        <v>2020</v>
      </c>
      <c r="P132" s="3">
        <f t="shared" si="83"/>
        <v>201.05099405621957</v>
      </c>
      <c r="Q132" s="3"/>
      <c r="R132" s="3">
        <f t="shared" si="59"/>
        <v>0</v>
      </c>
      <c r="S132" s="3">
        <f t="shared" si="60"/>
        <v>0</v>
      </c>
      <c r="T132" s="3">
        <f t="shared" si="61"/>
        <v>0</v>
      </c>
      <c r="V132" s="3">
        <f t="shared" si="63"/>
        <v>425.49688528806649</v>
      </c>
      <c r="W132" s="3">
        <f t="shared" si="64"/>
        <v>332.22034319988421</v>
      </c>
      <c r="X132" s="3">
        <f t="shared" si="65"/>
        <v>276.09989787749487</v>
      </c>
      <c r="Z132" s="3">
        <f t="shared" si="84"/>
        <v>502.55722406672982</v>
      </c>
      <c r="AA132" s="3">
        <f t="shared" si="66"/>
        <v>392.38767480987872</v>
      </c>
      <c r="AB132" s="3">
        <f t="shared" si="66"/>
        <v>326.10344056568579</v>
      </c>
      <c r="AH132" s="3">
        <f>USA!AJ145</f>
        <v>105.28223718734027</v>
      </c>
      <c r="AI132" s="3">
        <f>USA!AK145</f>
        <v>56.251630823658907</v>
      </c>
      <c r="AJ132" s="3">
        <f>USA!AL145</f>
        <v>26.752043875471706</v>
      </c>
      <c r="AK132"/>
      <c r="AO132" s="12"/>
      <c r="AS132"/>
      <c r="AW132" s="9"/>
      <c r="AY132"/>
    </row>
    <row r="133" spans="1:52">
      <c r="A133">
        <v>2021</v>
      </c>
      <c r="B133" s="3"/>
      <c r="C133" s="3">
        <f t="shared" si="68"/>
        <v>120.81568201825931</v>
      </c>
      <c r="D133" s="3">
        <f t="shared" si="69"/>
        <v>63.082289986431647</v>
      </c>
      <c r="E133" s="3">
        <f t="shared" si="70"/>
        <v>28.477982190018274</v>
      </c>
      <c r="F133" s="6">
        <f>'Exchange Rates'!N60</f>
        <v>287.25</v>
      </c>
      <c r="G133" s="9"/>
      <c r="H133" s="9">
        <f>(C133*USA!$AU108/100)/$AR100*100*$F133</f>
        <v>33917.244005455788</v>
      </c>
      <c r="I133" s="9">
        <f>(D133*USA!$AU108/100)/$AR100*100*$F133</f>
        <v>17709.434620990349</v>
      </c>
      <c r="J133" s="9">
        <f>(E133*USA!$AU108/100)/$AR100*100*$F133</f>
        <v>7994.7789441431541</v>
      </c>
      <c r="K133" s="6"/>
      <c r="L133" s="6">
        <f t="shared" si="80"/>
        <v>253.9969436866852</v>
      </c>
      <c r="M133" s="6">
        <f t="shared" si="81"/>
        <v>144.16409495937927</v>
      </c>
      <c r="N133" s="6">
        <f t="shared" si="82"/>
        <v>78.332354094035111</v>
      </c>
      <c r="O133">
        <v>2021</v>
      </c>
      <c r="P133" s="3">
        <f t="shared" si="83"/>
        <v>201.05099405621957</v>
      </c>
      <c r="Q133" s="3"/>
      <c r="R133" s="3">
        <f t="shared" si="59"/>
        <v>0</v>
      </c>
      <c r="S133" s="3">
        <f t="shared" si="60"/>
        <v>0</v>
      </c>
      <c r="T133" s="3">
        <f t="shared" si="61"/>
        <v>0</v>
      </c>
      <c r="V133" s="3">
        <f t="shared" si="63"/>
        <v>455.04793774290476</v>
      </c>
      <c r="W133" s="3">
        <f t="shared" si="64"/>
        <v>345.21508901559883</v>
      </c>
      <c r="X133" s="3">
        <f t="shared" si="65"/>
        <v>279.38334815025468</v>
      </c>
      <c r="Z133" s="3">
        <f t="shared" si="84"/>
        <v>537.46017025374942</v>
      </c>
      <c r="AA133" s="3">
        <f t="shared" si="66"/>
        <v>407.73585621942533</v>
      </c>
      <c r="AB133" s="3">
        <f t="shared" si="66"/>
        <v>329.98154569757685</v>
      </c>
      <c r="AH133" s="3">
        <f>USA!AJ146</f>
        <v>120.81568201825931</v>
      </c>
      <c r="AI133" s="3">
        <f>USA!AK146</f>
        <v>63.082289986431647</v>
      </c>
      <c r="AJ133" s="3">
        <f>USA!AL146</f>
        <v>28.477982190018274</v>
      </c>
      <c r="AK133"/>
      <c r="AO133" s="12"/>
      <c r="AS133"/>
      <c r="AW133" s="9"/>
      <c r="AY133"/>
    </row>
    <row r="134" spans="1:52">
      <c r="A134">
        <v>2022</v>
      </c>
      <c r="B134" s="3"/>
      <c r="C134" s="3">
        <f t="shared" si="68"/>
        <v>127.71943527644558</v>
      </c>
      <c r="D134" s="3">
        <f t="shared" si="69"/>
        <v>68.168185410991157</v>
      </c>
      <c r="E134" s="3">
        <f t="shared" si="70"/>
        <v>29.340951347291547</v>
      </c>
      <c r="F134" s="6">
        <f>'Exchange Rates'!N61</f>
        <v>287.25</v>
      </c>
      <c r="G134" s="9"/>
      <c r="H134" s="9">
        <f>(C134*USA!$AU109/100)/$AR101*100*$F134</f>
        <v>35855.372234338989</v>
      </c>
      <c r="I134" s="9">
        <f>(D134*USA!$AU109/100)/$AR101*100*$F134</f>
        <v>19137.225725748965</v>
      </c>
      <c r="J134" s="9">
        <f>(E134*USA!$AU109/100)/$AR101*100*$F134</f>
        <v>8237.0449727535506</v>
      </c>
      <c r="K134" s="6"/>
      <c r="L134" s="6">
        <f t="shared" si="80"/>
        <v>267.1307447777246</v>
      </c>
      <c r="M134" s="6">
        <f t="shared" si="81"/>
        <v>153.83957674123255</v>
      </c>
      <c r="N134" s="6">
        <f t="shared" si="82"/>
        <v>79.974079230415001</v>
      </c>
      <c r="O134">
        <v>2022</v>
      </c>
      <c r="P134" s="3">
        <f t="shared" si="83"/>
        <v>201.05099405621957</v>
      </c>
      <c r="Q134" s="3"/>
      <c r="R134" s="3">
        <f t="shared" si="59"/>
        <v>0</v>
      </c>
      <c r="S134" s="3">
        <f t="shared" si="60"/>
        <v>0</v>
      </c>
      <c r="T134" s="3">
        <f t="shared" si="61"/>
        <v>0</v>
      </c>
      <c r="V134" s="3">
        <f t="shared" si="63"/>
        <v>468.18173883394417</v>
      </c>
      <c r="W134" s="3">
        <f t="shared" si="64"/>
        <v>354.89057079745214</v>
      </c>
      <c r="X134" s="3">
        <f t="shared" si="65"/>
        <v>281.02507328663455</v>
      </c>
      <c r="Z134" s="3">
        <f t="shared" si="84"/>
        <v>552.97259078131401</v>
      </c>
      <c r="AA134" s="3">
        <f t="shared" si="66"/>
        <v>419.16363262372136</v>
      </c>
      <c r="AB134" s="3">
        <f t="shared" si="66"/>
        <v>331.92059826352238</v>
      </c>
      <c r="AH134" s="3">
        <f>USA!AJ147</f>
        <v>127.71943527644558</v>
      </c>
      <c r="AI134" s="3">
        <f>USA!AK147</f>
        <v>68.168185410991157</v>
      </c>
      <c r="AJ134" s="3">
        <f>USA!AL147</f>
        <v>29.340951347291547</v>
      </c>
      <c r="AK134"/>
      <c r="AO134" s="12"/>
      <c r="AS134"/>
      <c r="AW134" s="9"/>
      <c r="AY134"/>
    </row>
    <row r="135" spans="1:52">
      <c r="A135">
        <v>2023</v>
      </c>
      <c r="B135" s="3"/>
      <c r="C135" s="3">
        <f t="shared" si="68"/>
        <v>132.89725022008525</v>
      </c>
      <c r="D135" s="3">
        <f t="shared" si="69"/>
        <v>70.508542947524788</v>
      </c>
      <c r="E135" s="3">
        <f t="shared" si="70"/>
        <v>29.340951347291547</v>
      </c>
      <c r="F135" s="6">
        <f>'Exchange Rates'!N62</f>
        <v>287.25</v>
      </c>
      <c r="G135" s="9"/>
      <c r="H135" s="9">
        <f>(C135*USA!$AU110/100)/$AR102*100*$F135</f>
        <v>37308.968406001375</v>
      </c>
      <c r="I135" s="9">
        <f>(D135*USA!$AU110/100)/$AR102*100*$F135</f>
        <v>19794.247035404958</v>
      </c>
      <c r="J135" s="9">
        <f>(E135*USA!$AU110/100)/$AR102*100*$F135</f>
        <v>8237.0449727535506</v>
      </c>
      <c r="K135" s="6"/>
      <c r="L135" s="6">
        <f t="shared" si="80"/>
        <v>276.98109559600397</v>
      </c>
      <c r="M135" s="6">
        <f t="shared" si="81"/>
        <v>158.29190712113126</v>
      </c>
      <c r="N135" s="6">
        <f t="shared" si="82"/>
        <v>79.974079230415001</v>
      </c>
      <c r="O135">
        <v>2023</v>
      </c>
      <c r="P135" s="3">
        <f t="shared" si="83"/>
        <v>201.05099405621957</v>
      </c>
      <c r="Q135" s="3"/>
      <c r="R135" s="3">
        <f t="shared" si="59"/>
        <v>0</v>
      </c>
      <c r="S135" s="3">
        <f t="shared" si="60"/>
        <v>0</v>
      </c>
      <c r="T135" s="3">
        <f t="shared" si="61"/>
        <v>0</v>
      </c>
      <c r="V135" s="3">
        <f t="shared" si="63"/>
        <v>478.03208965222353</v>
      </c>
      <c r="W135" s="3">
        <f t="shared" si="64"/>
        <v>359.34290117735083</v>
      </c>
      <c r="X135" s="3">
        <f t="shared" si="65"/>
        <v>281.02507328663455</v>
      </c>
      <c r="Z135" s="3">
        <f t="shared" si="84"/>
        <v>564.60690617698708</v>
      </c>
      <c r="AA135" s="3">
        <f t="shared" si="66"/>
        <v>424.42230988721064</v>
      </c>
      <c r="AB135" s="3">
        <f t="shared" si="66"/>
        <v>331.92059826352238</v>
      </c>
      <c r="AH135" s="3">
        <f>USA!AJ148</f>
        <v>132.89725022008525</v>
      </c>
      <c r="AI135" s="3">
        <f>USA!AK148</f>
        <v>70.508542947524788</v>
      </c>
      <c r="AJ135" s="3">
        <f>USA!AL148</f>
        <v>29.340951347291547</v>
      </c>
      <c r="AK135"/>
      <c r="AO135" s="12"/>
      <c r="AS135"/>
      <c r="AW135" s="9"/>
      <c r="AY135"/>
    </row>
    <row r="136" spans="1:52">
      <c r="A136">
        <v>2024</v>
      </c>
      <c r="B136" s="3"/>
      <c r="C136" s="3">
        <f t="shared" si="68"/>
        <v>137.21209600645167</v>
      </c>
      <c r="D136" s="3">
        <f t="shared" si="69"/>
        <v>71.127304204880986</v>
      </c>
      <c r="E136" s="3">
        <f t="shared" si="70"/>
        <v>29.340951347291547</v>
      </c>
      <c r="F136" s="6">
        <f>'Exchange Rates'!N63</f>
        <v>287.25</v>
      </c>
      <c r="G136" s="9"/>
      <c r="H136" s="9">
        <f>(C136*USA!$AU111/100)/$AR103*100*$F136</f>
        <v>38520.298549053376</v>
      </c>
      <c r="I136" s="9">
        <f>(D136*USA!$AU111/100)/$AR103*100*$F136</f>
        <v>19967.955251062762</v>
      </c>
      <c r="J136" s="9">
        <f>(E136*USA!$AU111/100)/$AR103*100*$F136</f>
        <v>8237.0449727535506</v>
      </c>
      <c r="K136" s="6"/>
      <c r="L136" s="6">
        <f t="shared" si="80"/>
        <v>285.18972127790357</v>
      </c>
      <c r="M136" s="6">
        <f t="shared" si="81"/>
        <v>159.46904757981164</v>
      </c>
      <c r="N136" s="6">
        <f t="shared" si="82"/>
        <v>79.974079230415001</v>
      </c>
      <c r="O136">
        <v>2024</v>
      </c>
      <c r="P136" s="3">
        <f t="shared" si="83"/>
        <v>201.05099405621957</v>
      </c>
      <c r="Q136" s="3"/>
      <c r="R136" s="3">
        <f t="shared" si="59"/>
        <v>0</v>
      </c>
      <c r="S136" s="3">
        <f t="shared" si="60"/>
        <v>0</v>
      </c>
      <c r="T136" s="3">
        <f t="shared" si="61"/>
        <v>0</v>
      </c>
      <c r="V136" s="3">
        <f t="shared" si="63"/>
        <v>486.24071533412314</v>
      </c>
      <c r="W136" s="3">
        <f t="shared" si="64"/>
        <v>360.52004163603124</v>
      </c>
      <c r="X136" s="3">
        <f t="shared" si="65"/>
        <v>281.02507328663455</v>
      </c>
      <c r="Z136" s="3">
        <f t="shared" si="84"/>
        <v>574.30216900671485</v>
      </c>
      <c r="AA136" s="3">
        <f t="shared" si="66"/>
        <v>425.81263837539814</v>
      </c>
      <c r="AB136" s="3">
        <f t="shared" si="66"/>
        <v>331.92059826352238</v>
      </c>
      <c r="AH136" s="3">
        <f>USA!AJ149</f>
        <v>137.21209600645167</v>
      </c>
      <c r="AI136" s="3">
        <f>USA!AK149</f>
        <v>71.127304204880986</v>
      </c>
      <c r="AJ136" s="3">
        <f>USA!AL149</f>
        <v>29.340951347291547</v>
      </c>
      <c r="AK136"/>
      <c r="AO136" s="12"/>
      <c r="AS136"/>
      <c r="AW136" s="9"/>
      <c r="AY136"/>
    </row>
    <row r="137" spans="1:52">
      <c r="A137">
        <v>2025</v>
      </c>
      <c r="B137" s="3"/>
      <c r="C137" s="3">
        <f t="shared" si="68"/>
        <v>141.52694179281806</v>
      </c>
      <c r="D137" s="3">
        <f t="shared" si="69"/>
        <v>74.364924740814473</v>
      </c>
      <c r="E137" s="3">
        <f t="shared" si="70"/>
        <v>30.203920504564827</v>
      </c>
      <c r="F137" s="6">
        <f>'Exchange Rates'!N64</f>
        <v>287.25</v>
      </c>
      <c r="G137" s="9"/>
      <c r="H137" s="9">
        <f>(C137*USA!$AU112/100)/$AR104*100*$F137</f>
        <v>39731.628692105362</v>
      </c>
      <c r="I137" s="9">
        <f>(D137*USA!$AU112/100)/$AR104*100*$F137</f>
        <v>20876.870086288662</v>
      </c>
      <c r="J137" s="9">
        <f>(E137*USA!$AU112/100)/$AR104*100*$F137</f>
        <v>8479.3110013639471</v>
      </c>
      <c r="K137" s="6"/>
      <c r="L137" s="6">
        <f t="shared" si="80"/>
        <v>293.39834695980312</v>
      </c>
      <c r="M137" s="6">
        <f t="shared" si="81"/>
        <v>165.62834420252813</v>
      </c>
      <c r="N137" s="6">
        <f t="shared" si="82"/>
        <v>81.61580436679489</v>
      </c>
      <c r="O137">
        <v>2025</v>
      </c>
      <c r="P137" s="3">
        <f t="shared" si="83"/>
        <v>201.05099405621957</v>
      </c>
      <c r="Q137" s="3"/>
      <c r="R137" s="3">
        <f t="shared" si="59"/>
        <v>0</v>
      </c>
      <c r="S137" s="3">
        <f t="shared" si="60"/>
        <v>0</v>
      </c>
      <c r="T137" s="3">
        <f t="shared" si="61"/>
        <v>0</v>
      </c>
      <c r="V137" s="3">
        <f t="shared" si="63"/>
        <v>494.44934101602269</v>
      </c>
      <c r="W137" s="3">
        <f t="shared" si="64"/>
        <v>366.67933825874769</v>
      </c>
      <c r="X137" s="3">
        <f t="shared" si="65"/>
        <v>282.66679842301448</v>
      </c>
      <c r="Z137" s="3">
        <f t="shared" si="84"/>
        <v>583.9974318364425</v>
      </c>
      <c r="AA137" s="3">
        <f t="shared" si="66"/>
        <v>433.08742491307248</v>
      </c>
      <c r="AB137" s="3">
        <f t="shared" si="66"/>
        <v>333.85965082946791</v>
      </c>
      <c r="AH137" s="3">
        <f>USA!AJ150</f>
        <v>141.52694179281806</v>
      </c>
      <c r="AI137" s="3">
        <f>USA!AK150</f>
        <v>74.364924740814473</v>
      </c>
      <c r="AJ137" s="3">
        <f>USA!AL150</f>
        <v>30.203920504564827</v>
      </c>
      <c r="AK137"/>
      <c r="AO137" s="12"/>
      <c r="AS137"/>
      <c r="AW137" s="9"/>
      <c r="AY137"/>
    </row>
    <row r="138" spans="1:52">
      <c r="A138">
        <v>2026</v>
      </c>
      <c r="B138" s="3"/>
      <c r="C138" s="3">
        <f t="shared" si="68"/>
        <v>145.84178757918448</v>
      </c>
      <c r="D138" s="3">
        <f t="shared" si="69"/>
        <v>80.055420065999314</v>
      </c>
      <c r="E138" s="3">
        <f t="shared" si="70"/>
        <v>31.066889661838108</v>
      </c>
      <c r="F138" s="6">
        <f>'Exchange Rates'!N65</f>
        <v>287.25</v>
      </c>
      <c r="G138" s="9"/>
      <c r="H138" s="9">
        <f>(C138*USA!$AU113/100)/$AR105*100*$F138</f>
        <v>40942.958835157362</v>
      </c>
      <c r="I138" s="9">
        <f>(D138*USA!$AU113/100)/$AR105*100*$F138</f>
        <v>22474.393811950617</v>
      </c>
      <c r="J138" s="9">
        <f>(E138*USA!$AU113/100)/$AR105*100*$F138</f>
        <v>8721.5770299743454</v>
      </c>
      <c r="K138" s="6"/>
      <c r="L138" s="6">
        <f t="shared" si="80"/>
        <v>301.60697264170267</v>
      </c>
      <c r="M138" s="6">
        <f t="shared" si="81"/>
        <v>176.45402567106046</v>
      </c>
      <c r="N138" s="6">
        <f t="shared" si="82"/>
        <v>83.257529503174808</v>
      </c>
      <c r="O138">
        <v>2026</v>
      </c>
      <c r="P138" s="3">
        <f t="shared" si="83"/>
        <v>201.05099405621957</v>
      </c>
      <c r="Q138" s="3"/>
      <c r="R138" s="3">
        <f t="shared" si="59"/>
        <v>0</v>
      </c>
      <c r="S138" s="3">
        <f t="shared" si="60"/>
        <v>0</v>
      </c>
      <c r="T138" s="3">
        <f t="shared" si="61"/>
        <v>0</v>
      </c>
      <c r="V138" s="3">
        <f t="shared" si="63"/>
        <v>502.65796669792223</v>
      </c>
      <c r="W138" s="3">
        <f t="shared" si="64"/>
        <v>377.50501972728</v>
      </c>
      <c r="X138" s="3">
        <f t="shared" si="65"/>
        <v>284.30852355939436</v>
      </c>
      <c r="Z138" s="3">
        <f t="shared" si="84"/>
        <v>593.69269466617027</v>
      </c>
      <c r="AA138" s="3">
        <f t="shared" si="84"/>
        <v>445.87370987911379</v>
      </c>
      <c r="AB138" s="3">
        <f t="shared" si="84"/>
        <v>335.79870339541344</v>
      </c>
      <c r="AH138" s="3">
        <f>USA!AJ151</f>
        <v>145.84178757918448</v>
      </c>
      <c r="AI138" s="3">
        <f>USA!AK151</f>
        <v>80.055420065999314</v>
      </c>
      <c r="AJ138" s="3">
        <f>USA!AL151</f>
        <v>31.066889661838108</v>
      </c>
      <c r="AK138"/>
      <c r="AO138" s="12"/>
      <c r="AS138"/>
      <c r="AW138" s="9"/>
      <c r="AY138"/>
    </row>
    <row r="139" spans="1:52">
      <c r="A139">
        <v>2027</v>
      </c>
      <c r="B139" s="3"/>
      <c r="C139" s="3">
        <f t="shared" si="68"/>
        <v>150.15663336555087</v>
      </c>
      <c r="D139" s="3">
        <f t="shared" si="69"/>
        <v>82.98815737026753</v>
      </c>
      <c r="E139" s="3">
        <f t="shared" si="70"/>
        <v>31.929858819111395</v>
      </c>
      <c r="F139" s="6">
        <f>'Exchange Rates'!N66</f>
        <v>287.25</v>
      </c>
      <c r="G139" s="9"/>
      <c r="H139" s="9">
        <f>(C139*USA!$AU114/100)/$AR106*100*$F139</f>
        <v>42154.288978209348</v>
      </c>
      <c r="I139" s="9">
        <f>(D139*USA!$AU114/100)/$AR106*100*$F139</f>
        <v>23297.717118090084</v>
      </c>
      <c r="J139" s="9">
        <f>(E139*USA!$AU114/100)/$AR106*100*$F139</f>
        <v>8963.8430585847473</v>
      </c>
      <c r="K139" s="6"/>
      <c r="L139" s="6">
        <f t="shared" si="80"/>
        <v>309.81559832360216</v>
      </c>
      <c r="M139" s="6">
        <f t="shared" si="81"/>
        <v>182.03330797823969</v>
      </c>
      <c r="N139" s="6">
        <f t="shared" si="82"/>
        <v>84.899254639554741</v>
      </c>
      <c r="O139">
        <v>2027</v>
      </c>
      <c r="P139" s="3">
        <f t="shared" si="83"/>
        <v>201.05099405621957</v>
      </c>
      <c r="Q139" s="3"/>
      <c r="R139" s="3">
        <f t="shared" si="59"/>
        <v>0</v>
      </c>
      <c r="S139" s="3">
        <f t="shared" si="60"/>
        <v>0</v>
      </c>
      <c r="T139" s="3">
        <f t="shared" si="61"/>
        <v>0</v>
      </c>
      <c r="V139" s="3">
        <f t="shared" si="63"/>
        <v>510.86659237982172</v>
      </c>
      <c r="W139" s="3">
        <f t="shared" si="64"/>
        <v>383.08430203445926</v>
      </c>
      <c r="X139" s="3">
        <f t="shared" si="65"/>
        <v>285.95024869577429</v>
      </c>
      <c r="Z139" s="3">
        <f t="shared" si="84"/>
        <v>603.38795749589792</v>
      </c>
      <c r="AA139" s="3">
        <f t="shared" si="84"/>
        <v>452.46343761985241</v>
      </c>
      <c r="AB139" s="3">
        <f t="shared" si="84"/>
        <v>337.73775596135897</v>
      </c>
      <c r="AH139" s="3">
        <f>USA!AJ152</f>
        <v>150.15663336555087</v>
      </c>
      <c r="AI139" s="3">
        <f>USA!AK152</f>
        <v>82.98815737026753</v>
      </c>
      <c r="AJ139" s="3">
        <f>USA!AL152</f>
        <v>31.929858819111395</v>
      </c>
      <c r="AK139"/>
      <c r="AO139" s="12"/>
      <c r="AS139"/>
      <c r="AW139" s="9"/>
      <c r="AY139"/>
    </row>
    <row r="140" spans="1:52">
      <c r="A140">
        <v>2028</v>
      </c>
      <c r="B140" s="3"/>
      <c r="C140" s="3">
        <f t="shared" si="68"/>
        <v>153.60850999464401</v>
      </c>
      <c r="D140" s="3">
        <f t="shared" si="69"/>
        <v>84.844653255379882</v>
      </c>
      <c r="E140" s="3">
        <f t="shared" si="70"/>
        <v>31.929858819111395</v>
      </c>
      <c r="F140" s="6">
        <f>'Exchange Rates'!N67</f>
        <v>287.25</v>
      </c>
      <c r="G140" s="9"/>
      <c r="H140" s="9">
        <f>(C140*USA!$AU115/100)/$AR107*100*$F140</f>
        <v>43123.353092650948</v>
      </c>
      <c r="I140" s="9">
        <f>(D140*USA!$AU115/100)/$AR107*100*$F140</f>
        <v>23818.901312712795</v>
      </c>
      <c r="J140" s="9">
        <f>(E140*USA!$AU115/100)/$AR107*100*$F140</f>
        <v>8963.8430585847473</v>
      </c>
      <c r="K140" s="6"/>
      <c r="L140" s="6">
        <f t="shared" si="80"/>
        <v>316.38249886912183</v>
      </c>
      <c r="M140" s="6">
        <f t="shared" si="81"/>
        <v>185.56513288123517</v>
      </c>
      <c r="N140" s="6">
        <f t="shared" si="82"/>
        <v>84.899254639554741</v>
      </c>
      <c r="O140">
        <v>2028</v>
      </c>
      <c r="P140" s="3">
        <f t="shared" si="83"/>
        <v>201.05099405621957</v>
      </c>
      <c r="Q140" s="3"/>
      <c r="R140" s="3">
        <f t="shared" si="59"/>
        <v>0</v>
      </c>
      <c r="S140" s="3">
        <f t="shared" si="60"/>
        <v>0</v>
      </c>
      <c r="T140" s="3">
        <f t="shared" si="61"/>
        <v>0</v>
      </c>
      <c r="V140" s="3">
        <f t="shared" si="63"/>
        <v>517.4334929253414</v>
      </c>
      <c r="W140" s="3">
        <f t="shared" si="64"/>
        <v>386.61612693745474</v>
      </c>
      <c r="X140" s="3">
        <f t="shared" si="65"/>
        <v>285.95024869577429</v>
      </c>
      <c r="Z140" s="3">
        <f t="shared" si="84"/>
        <v>611.14416775968016</v>
      </c>
      <c r="AA140" s="3">
        <f t="shared" si="84"/>
        <v>456.63489969280619</v>
      </c>
      <c r="AB140" s="3">
        <f t="shared" si="84"/>
        <v>337.73775596135897</v>
      </c>
      <c r="AH140" s="3">
        <f>USA!AJ153</f>
        <v>153.60850999464401</v>
      </c>
      <c r="AI140" s="3">
        <f>USA!AK153</f>
        <v>84.844653255379882</v>
      </c>
      <c r="AJ140" s="3">
        <f>USA!AL153</f>
        <v>31.929858819111395</v>
      </c>
      <c r="AK140"/>
      <c r="AO140" s="12"/>
      <c r="AS140"/>
      <c r="AW140" s="9"/>
      <c r="AY140"/>
    </row>
    <row r="141" spans="1:52">
      <c r="A141">
        <v>2029</v>
      </c>
      <c r="B141" s="3"/>
      <c r="C141" s="3">
        <f t="shared" si="68"/>
        <v>157.9233557810104</v>
      </c>
      <c r="D141" s="3">
        <f t="shared" si="69"/>
        <v>87.361009569245411</v>
      </c>
      <c r="E141" s="3">
        <f t="shared" si="70"/>
        <v>31.929858819111395</v>
      </c>
      <c r="F141" s="6">
        <f>'Exchange Rates'!N68</f>
        <v>287.25</v>
      </c>
      <c r="G141" s="9"/>
      <c r="H141" s="9">
        <f>(C141*USA!$AU116/100)/$AR108*100*$F141</f>
        <v>44334.683235702934</v>
      </c>
      <c r="I141" s="9">
        <f>(D141*USA!$AU116/100)/$AR108*100*$F141</f>
        <v>24525.331717079902</v>
      </c>
      <c r="J141" s="9">
        <f>(E141*USA!$AU116/100)/$AR108*100*$F141</f>
        <v>8963.8430585847473</v>
      </c>
      <c r="K141" s="6"/>
      <c r="L141" s="6">
        <f t="shared" si="80"/>
        <v>324.59112455102138</v>
      </c>
      <c r="M141" s="6">
        <f t="shared" si="81"/>
        <v>190.35228590720723</v>
      </c>
      <c r="N141" s="6">
        <f t="shared" si="82"/>
        <v>84.899254639554741</v>
      </c>
      <c r="O141">
        <v>2029</v>
      </c>
      <c r="P141" s="3">
        <f t="shared" si="83"/>
        <v>201.05099405621957</v>
      </c>
      <c r="Q141" s="3"/>
      <c r="R141" s="3">
        <f t="shared" si="59"/>
        <v>0</v>
      </c>
      <c r="S141" s="3">
        <f t="shared" si="60"/>
        <v>0</v>
      </c>
      <c r="T141" s="3">
        <f t="shared" si="61"/>
        <v>0</v>
      </c>
      <c r="V141" s="3">
        <f t="shared" si="63"/>
        <v>525.64211860724095</v>
      </c>
      <c r="W141" s="3">
        <f t="shared" si="64"/>
        <v>391.40327996342683</v>
      </c>
      <c r="X141" s="3">
        <f t="shared" si="65"/>
        <v>285.95024869577429</v>
      </c>
      <c r="Z141" s="3">
        <f t="shared" si="84"/>
        <v>620.83943058940781</v>
      </c>
      <c r="AA141" s="3">
        <f t="shared" si="84"/>
        <v>462.28903822847707</v>
      </c>
      <c r="AB141" s="3">
        <f t="shared" si="84"/>
        <v>337.73775596135897</v>
      </c>
      <c r="AH141" s="3">
        <f>USA!AJ154</f>
        <v>157.9233557810104</v>
      </c>
      <c r="AI141" s="3">
        <f>USA!AK154</f>
        <v>87.361009569245411</v>
      </c>
      <c r="AJ141" s="3">
        <f>USA!AL154</f>
        <v>31.929858819111395</v>
      </c>
      <c r="AK141"/>
      <c r="AO141" s="12"/>
      <c r="AS141"/>
      <c r="AW141" s="9"/>
      <c r="AY141"/>
    </row>
    <row r="142" spans="1:52">
      <c r="A142">
        <v>2030</v>
      </c>
      <c r="B142" s="3"/>
      <c r="C142" s="3">
        <f t="shared" si="68"/>
        <v>160.51226325283022</v>
      </c>
      <c r="D142" s="3">
        <f t="shared" si="69"/>
        <v>89.285088706337618</v>
      </c>
      <c r="E142" s="3">
        <f t="shared" si="70"/>
        <v>32.792827976384679</v>
      </c>
      <c r="F142" s="6">
        <f>'Exchange Rates'!N69</f>
        <v>287.25</v>
      </c>
      <c r="G142" s="9"/>
      <c r="H142" s="9">
        <f>(C142*USA!$AU117/100)/$AR109*100*$F142</f>
        <v>45061.481321534127</v>
      </c>
      <c r="I142" s="9">
        <f>(D142*USA!$AU117/100)/$AR109*100*$F142</f>
        <v>25065.488925882484</v>
      </c>
      <c r="J142" s="9">
        <f>(E142*USA!$AU117/100)/$AR109*100*$F142</f>
        <v>9206.1090871951474</v>
      </c>
      <c r="K142" s="6"/>
      <c r="L142" s="6">
        <f t="shared" si="80"/>
        <v>329.51629996016106</v>
      </c>
      <c r="M142" s="6">
        <f t="shared" si="81"/>
        <v>194.01268217644275</v>
      </c>
      <c r="N142" s="6">
        <f t="shared" si="82"/>
        <v>86.540979775934659</v>
      </c>
      <c r="O142">
        <v>2030</v>
      </c>
      <c r="P142" s="3">
        <f t="shared" si="83"/>
        <v>201.05099405621957</v>
      </c>
      <c r="Q142" s="3"/>
      <c r="R142" s="3">
        <f t="shared" si="59"/>
        <v>0</v>
      </c>
      <c r="S142" s="3">
        <f t="shared" si="60"/>
        <v>0</v>
      </c>
      <c r="T142" s="3">
        <f t="shared" si="61"/>
        <v>0</v>
      </c>
      <c r="V142" s="3">
        <f t="shared" si="63"/>
        <v>530.56729401638063</v>
      </c>
      <c r="W142" s="3">
        <f t="shared" si="64"/>
        <v>395.06367623266232</v>
      </c>
      <c r="X142" s="3">
        <f t="shared" si="65"/>
        <v>287.59197383215422</v>
      </c>
      <c r="Z142" s="3">
        <f t="shared" si="84"/>
        <v>626.6565882872444</v>
      </c>
      <c r="AA142" s="3">
        <f t="shared" si="84"/>
        <v>466.61235680413665</v>
      </c>
      <c r="AB142" s="3">
        <f t="shared" si="84"/>
        <v>339.67680852730462</v>
      </c>
      <c r="AH142" s="3">
        <f>USA!AJ155</f>
        <v>160.51226325283022</v>
      </c>
      <c r="AI142" s="3">
        <f>USA!AK155</f>
        <v>89.285088706337618</v>
      </c>
      <c r="AJ142" s="3">
        <f>USA!AL155</f>
        <v>32.792827976384679</v>
      </c>
      <c r="AK142"/>
      <c r="AO142" s="12"/>
      <c r="AS142"/>
      <c r="AW142" s="9"/>
      <c r="AY142"/>
    </row>
    <row r="143" spans="1:52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AH143" s="3">
        <f>USA!AJ156</f>
        <v>162.23820156737682</v>
      </c>
      <c r="AI143" s="3">
        <f>USA!AK156</f>
        <v>90.882363255178021</v>
      </c>
      <c r="AJ143" s="3">
        <f>USA!AL156</f>
        <v>33.224312555021314</v>
      </c>
      <c r="AK143"/>
      <c r="AO143" s="12"/>
      <c r="AS143"/>
      <c r="AW143" s="9"/>
      <c r="AY143"/>
    </row>
    <row r="144" spans="1:52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H144" s="3">
        <f>USA!AJ157</f>
        <v>164.82710903919664</v>
      </c>
      <c r="AI144" s="3">
        <f>USA!AK157</f>
        <v>91.529643316939641</v>
      </c>
      <c r="AJ144" s="3">
        <f>USA!AL157</f>
        <v>33.655797133657956</v>
      </c>
      <c r="AL144" s="3"/>
      <c r="AQ144"/>
      <c r="AR144" s="12"/>
      <c r="AS144"/>
      <c r="AT144" s="12"/>
      <c r="AY144"/>
      <c r="AZ144" s="9"/>
    </row>
    <row r="145" spans="1:52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/>
      <c r="AA145"/>
      <c r="AB145"/>
      <c r="AC145"/>
      <c r="AD145"/>
      <c r="AH145" s="3">
        <f>USA!AJ158</f>
        <v>166.55304735374321</v>
      </c>
      <c r="AI145" s="3">
        <f>USA!AK158</f>
        <v>91.468448273790386</v>
      </c>
      <c r="AJ145" s="3">
        <f>USA!AL158</f>
        <v>34.08728171229459</v>
      </c>
      <c r="AL145" s="3"/>
      <c r="AQ145"/>
      <c r="AR145" s="12"/>
      <c r="AS145"/>
      <c r="AT145" s="12"/>
      <c r="AY145"/>
      <c r="AZ145" s="9"/>
    </row>
    <row r="146" spans="1:52">
      <c r="A146" s="116"/>
      <c r="B146" s="13"/>
      <c r="C146" s="13"/>
      <c r="D146" s="13"/>
      <c r="E146" s="116"/>
      <c r="F146" s="13"/>
      <c r="G146" s="13"/>
      <c r="H146" s="13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/>
      <c r="AA146"/>
      <c r="AB146"/>
      <c r="AC146"/>
      <c r="AD146"/>
      <c r="AH146" s="3">
        <f>USA!AJ159</f>
        <v>169.14195482556306</v>
      </c>
      <c r="AI146" s="3">
        <f>USA!AK159</f>
        <v>90.153207715955162</v>
      </c>
      <c r="AJ146" s="3">
        <f>USA!AL159</f>
        <v>34.518766290931239</v>
      </c>
      <c r="AL146" s="3"/>
      <c r="AQ146"/>
      <c r="AR146" s="12"/>
      <c r="AS146"/>
      <c r="AT146" s="12"/>
      <c r="AY146"/>
      <c r="AZ146" s="9"/>
    </row>
    <row r="147" spans="1:52">
      <c r="A147" s="116"/>
      <c r="B147" s="13"/>
      <c r="C147" s="13"/>
      <c r="D147" s="13"/>
      <c r="E147" s="116"/>
      <c r="F147" s="120"/>
      <c r="G147" s="13"/>
      <c r="H147" s="13"/>
      <c r="I147" s="116"/>
      <c r="J147" s="116"/>
      <c r="K147" s="116"/>
      <c r="L147" s="116"/>
      <c r="M147" s="116"/>
      <c r="N147" s="116"/>
      <c r="O147" s="116">
        <v>438.35214046283011</v>
      </c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/>
      <c r="AA147"/>
      <c r="AB147"/>
      <c r="AC147"/>
      <c r="AD147"/>
      <c r="AH147" s="3">
        <f>USA!AJ160</f>
        <v>171.73086229738288</v>
      </c>
      <c r="AI147" s="3">
        <f>USA!AK160</f>
        <v>90.054464673113912</v>
      </c>
      <c r="AJ147" s="3">
        <f>USA!AL160</f>
        <v>34.950250869567881</v>
      </c>
      <c r="AL147" s="3"/>
      <c r="AQ147"/>
      <c r="AR147" s="12"/>
      <c r="AS147"/>
      <c r="AT147" s="12"/>
      <c r="AY147"/>
      <c r="AZ147" s="9"/>
    </row>
    <row r="148" spans="1:52">
      <c r="A148" s="116"/>
      <c r="B148" s="13"/>
      <c r="C148" s="13"/>
      <c r="D148" s="13"/>
      <c r="E148" s="116"/>
      <c r="F148" s="120"/>
      <c r="G148" s="13"/>
      <c r="H148" s="13"/>
      <c r="I148" s="116"/>
      <c r="J148" s="116"/>
      <c r="K148" s="116"/>
      <c r="L148" s="116"/>
      <c r="M148" s="116"/>
      <c r="N148" s="116"/>
      <c r="O148" s="116">
        <v>331.77927955627388</v>
      </c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/>
      <c r="AA148"/>
      <c r="AB148"/>
      <c r="AC148"/>
      <c r="AD148"/>
      <c r="AH148" s="3">
        <f>USA!AJ161</f>
        <v>173.45680061192945</v>
      </c>
      <c r="AI148" s="3">
        <f>USA!AK161</f>
        <v>91.250057240640103</v>
      </c>
      <c r="AJ148" s="3">
        <f>USA!AL161</f>
        <v>35.381735448204516</v>
      </c>
      <c r="AL148" s="3"/>
      <c r="AQ148"/>
      <c r="AR148" s="12"/>
      <c r="AS148"/>
      <c r="AT148" s="12"/>
      <c r="AY148"/>
      <c r="AZ148" s="9"/>
    </row>
    <row r="149" spans="1:52">
      <c r="A149" s="116"/>
      <c r="B149" s="13"/>
      <c r="C149" s="13"/>
      <c r="D149" s="13"/>
      <c r="E149" s="116"/>
      <c r="F149" s="120"/>
      <c r="G149" s="13"/>
      <c r="H149" s="13"/>
      <c r="I149" s="116"/>
      <c r="J149" s="116"/>
      <c r="K149" s="116"/>
      <c r="L149" s="116"/>
      <c r="M149" s="116"/>
      <c r="N149" s="116"/>
      <c r="O149" s="116">
        <f>O147/O148-1</f>
        <v>0.32121614420613676</v>
      </c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/>
      <c r="AA149"/>
      <c r="AB149"/>
      <c r="AC149"/>
      <c r="AD149"/>
      <c r="AH149" s="3">
        <f>USA!AJ162</f>
        <v>175.18273892647602</v>
      </c>
      <c r="AI149" s="3">
        <f>USA!AK162</f>
        <v>91.751958188656559</v>
      </c>
      <c r="AJ149" s="3">
        <f>USA!AL162</f>
        <v>36.2447046054778</v>
      </c>
      <c r="AL149" s="3"/>
      <c r="AQ149"/>
      <c r="AR149" s="12"/>
      <c r="AS149"/>
      <c r="AT149" s="12"/>
      <c r="AY149"/>
      <c r="AZ149" s="9"/>
    </row>
    <row r="150" spans="1:52">
      <c r="A150" s="116"/>
      <c r="B150" s="13"/>
      <c r="C150" s="13"/>
      <c r="D150" s="13"/>
      <c r="E150" s="116"/>
      <c r="F150" s="120"/>
      <c r="G150" s="13"/>
      <c r="H150" s="13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/>
      <c r="AA150"/>
      <c r="AB150"/>
      <c r="AC150"/>
      <c r="AD150"/>
      <c r="AH150" s="3">
        <f>USA!AJ163</f>
        <v>177.77164639829587</v>
      </c>
      <c r="AI150" s="3">
        <f>USA!AK163</f>
        <v>91.990526082750478</v>
      </c>
      <c r="AJ150" s="3">
        <f>USA!AL163</f>
        <v>37.107673762751077</v>
      </c>
      <c r="AL150" s="3"/>
      <c r="AQ150"/>
      <c r="AR150" s="12"/>
      <c r="AS150"/>
      <c r="AT150" s="12"/>
      <c r="AY150"/>
      <c r="AZ150" s="9"/>
    </row>
    <row r="151" spans="1:52">
      <c r="A151" s="116"/>
      <c r="B151" s="13"/>
      <c r="C151" s="13"/>
      <c r="D151" s="13"/>
      <c r="E151" s="116"/>
      <c r="F151" s="118"/>
      <c r="G151" s="13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/>
      <c r="AA151"/>
      <c r="AB151"/>
      <c r="AC151"/>
      <c r="AD151"/>
      <c r="AH151" s="3">
        <f>USA!AJ164</f>
        <v>180.36055387011569</v>
      </c>
      <c r="AI151" s="3">
        <f>USA!AK164</f>
        <v>92.727792343203248</v>
      </c>
      <c r="AJ151" s="3">
        <f>USA!AL164</f>
        <v>37.970642920024368</v>
      </c>
      <c r="AL151" s="3"/>
      <c r="AQ151"/>
      <c r="AR151" s="12"/>
      <c r="AS151"/>
      <c r="AT151" s="12"/>
      <c r="AY151"/>
      <c r="AZ151" s="9"/>
    </row>
    <row r="152" spans="1:52">
      <c r="A152" s="116"/>
      <c r="B152" s="13"/>
      <c r="C152" s="13"/>
      <c r="D152" s="13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/>
      <c r="AA152"/>
      <c r="AB152"/>
      <c r="AC152"/>
      <c r="AD152"/>
      <c r="AH152" s="3">
        <f>USA!AJ165</f>
        <v>181.22352302738898</v>
      </c>
      <c r="AI152" s="3">
        <f>USA!AK165</f>
        <v>93.367803080926592</v>
      </c>
      <c r="AJ152" s="3">
        <f>USA!AL165</f>
        <v>38.833612077297637</v>
      </c>
      <c r="AL152" s="3"/>
      <c r="AQ152"/>
      <c r="AR152" s="12"/>
      <c r="AS152"/>
      <c r="AT152" s="12"/>
      <c r="AY152"/>
      <c r="AZ152" s="9"/>
    </row>
    <row r="153" spans="1:52">
      <c r="A153" s="116"/>
      <c r="B153" s="13"/>
      <c r="C153" s="117"/>
      <c r="D153" s="13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/>
      <c r="AA153"/>
      <c r="AB153"/>
      <c r="AC153"/>
      <c r="AD153"/>
      <c r="AL153" s="3"/>
      <c r="AQ153"/>
      <c r="AR153" s="12"/>
      <c r="AS153"/>
      <c r="AT153" s="12"/>
      <c r="AY153"/>
      <c r="AZ153" s="9"/>
    </row>
    <row r="154" spans="1:52">
      <c r="A154" s="116"/>
      <c r="B154" s="118"/>
      <c r="C154" s="117"/>
      <c r="D154" s="13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/>
      <c r="AA154"/>
      <c r="AB154"/>
      <c r="AC154"/>
      <c r="AD154"/>
      <c r="AL154" s="3"/>
      <c r="AQ154"/>
      <c r="AR154" s="12"/>
      <c r="AS154"/>
      <c r="AT154" s="12"/>
      <c r="AY154"/>
      <c r="AZ154" s="9"/>
    </row>
    <row r="155" spans="1:52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/>
      <c r="Z155"/>
      <c r="AA155"/>
      <c r="AB155"/>
      <c r="AC155"/>
    </row>
    <row r="156" spans="1:52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/>
      <c r="Z156"/>
      <c r="AA156"/>
      <c r="AB156"/>
      <c r="AC156"/>
    </row>
    <row r="157" spans="1:52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/>
      <c r="Z157"/>
      <c r="AA157"/>
      <c r="AB157"/>
      <c r="AC157"/>
    </row>
    <row r="158" spans="1:52">
      <c r="A158" s="116"/>
      <c r="B158" s="119"/>
      <c r="C158" s="119"/>
      <c r="D158" s="116"/>
      <c r="E158" s="116"/>
      <c r="F158" s="116"/>
      <c r="G158" s="116"/>
      <c r="H158" s="116"/>
      <c r="I158" s="116"/>
      <c r="J158" s="119"/>
      <c r="K158" s="119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/>
      <c r="Z158"/>
      <c r="AA158"/>
      <c r="AB158"/>
      <c r="AC158"/>
    </row>
    <row r="159" spans="1:52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71"/>
      <c r="Z159" s="71"/>
      <c r="AA159" s="71"/>
      <c r="AB159" s="71"/>
      <c r="AC159" s="71"/>
      <c r="AD159" s="72"/>
      <c r="AE159" s="72"/>
    </row>
    <row r="160" spans="1:52">
      <c r="A160" s="116"/>
      <c r="B160" s="118"/>
      <c r="C160" s="118"/>
      <c r="D160" s="118"/>
      <c r="E160" s="118"/>
      <c r="F160" s="118"/>
      <c r="G160" s="118"/>
      <c r="H160" s="116"/>
      <c r="I160" s="116"/>
      <c r="J160" s="117"/>
      <c r="K160" s="117"/>
      <c r="L160" s="117"/>
      <c r="M160" s="117"/>
      <c r="N160" s="117"/>
      <c r="O160" s="117"/>
      <c r="P160" s="116"/>
      <c r="Q160" s="116"/>
      <c r="R160" s="116"/>
      <c r="S160" s="116"/>
      <c r="T160" s="116"/>
      <c r="U160" s="116"/>
      <c r="V160" s="116"/>
      <c r="W160" s="116"/>
      <c r="X160" s="116"/>
      <c r="Y160"/>
      <c r="Z160"/>
      <c r="AA160"/>
      <c r="AB160"/>
      <c r="AC160"/>
    </row>
    <row r="161" spans="1:29">
      <c r="A161" s="116"/>
      <c r="B161" s="118"/>
      <c r="C161" s="118"/>
      <c r="D161" s="118"/>
      <c r="E161" s="118"/>
      <c r="F161" s="118"/>
      <c r="G161" s="118"/>
      <c r="H161" s="116"/>
      <c r="I161" s="116"/>
      <c r="J161" s="117"/>
      <c r="K161" s="117"/>
      <c r="L161" s="117"/>
      <c r="M161" s="117"/>
      <c r="N161" s="117"/>
      <c r="O161" s="117"/>
      <c r="P161" s="116"/>
      <c r="Q161" s="116"/>
      <c r="R161" s="116"/>
      <c r="S161" s="116"/>
      <c r="T161" s="116"/>
      <c r="U161" s="116"/>
      <c r="V161" s="116"/>
      <c r="W161" s="116"/>
      <c r="X161" s="116"/>
      <c r="Y161"/>
      <c r="Z161"/>
      <c r="AA161"/>
      <c r="AB161"/>
      <c r="AC161"/>
    </row>
    <row r="162" spans="1:29">
      <c r="A162" s="116"/>
      <c r="B162" s="118"/>
      <c r="C162" s="118"/>
      <c r="D162" s="118"/>
      <c r="E162" s="118"/>
      <c r="F162" s="118"/>
      <c r="G162" s="118"/>
      <c r="H162" s="116"/>
      <c r="I162" s="116"/>
      <c r="J162" s="117"/>
      <c r="K162" s="117"/>
      <c r="L162" s="117"/>
      <c r="M162" s="117"/>
      <c r="N162" s="117"/>
      <c r="O162" s="117"/>
      <c r="P162" s="116"/>
      <c r="Q162" s="116"/>
      <c r="R162" s="116"/>
      <c r="S162" s="116"/>
      <c r="T162" s="116"/>
      <c r="U162" s="116"/>
      <c r="V162" s="116"/>
      <c r="W162" s="116"/>
      <c r="X162" s="116"/>
      <c r="Y162"/>
      <c r="Z162"/>
      <c r="AA162"/>
      <c r="AB162"/>
      <c r="AC162"/>
    </row>
    <row r="163" spans="1:29">
      <c r="A163" s="116"/>
      <c r="B163" s="118"/>
      <c r="C163" s="118"/>
      <c r="D163" s="118"/>
      <c r="E163" s="118"/>
      <c r="F163" s="118"/>
      <c r="G163" s="118"/>
      <c r="H163" s="116"/>
      <c r="I163" s="116"/>
      <c r="J163" s="117"/>
      <c r="K163" s="117"/>
      <c r="L163" s="117"/>
      <c r="M163" s="117"/>
      <c r="N163" s="117"/>
      <c r="O163" s="117"/>
      <c r="P163" s="116"/>
      <c r="Q163" s="116"/>
      <c r="R163" s="116"/>
      <c r="S163" s="116"/>
      <c r="T163" s="116"/>
      <c r="U163" s="116"/>
      <c r="V163" s="116"/>
      <c r="W163" s="116"/>
      <c r="X163" s="116"/>
      <c r="Y163"/>
      <c r="Z163"/>
      <c r="AA163"/>
      <c r="AB163"/>
      <c r="AC163"/>
    </row>
    <row r="164" spans="1:29">
      <c r="A164" s="116"/>
      <c r="B164" s="118"/>
      <c r="C164" s="118"/>
      <c r="D164" s="118"/>
      <c r="E164" s="118"/>
      <c r="F164" s="118"/>
      <c r="G164" s="118"/>
      <c r="H164" s="116"/>
      <c r="I164" s="116"/>
      <c r="J164" s="117"/>
      <c r="K164" s="117"/>
      <c r="L164" s="117"/>
      <c r="M164" s="117"/>
      <c r="N164" s="117"/>
      <c r="O164" s="117"/>
      <c r="P164" s="116"/>
      <c r="Q164" s="116"/>
      <c r="R164" s="116"/>
      <c r="S164" s="116"/>
      <c r="T164" s="116"/>
      <c r="U164" s="116"/>
      <c r="V164" s="116"/>
      <c r="W164" s="116"/>
      <c r="X164" s="116"/>
      <c r="Y164"/>
      <c r="Z164"/>
      <c r="AA164"/>
      <c r="AB164"/>
      <c r="AC164"/>
    </row>
    <row r="165" spans="1:29">
      <c r="A165" s="116"/>
      <c r="B165" s="118"/>
      <c r="C165" s="118"/>
      <c r="D165" s="118"/>
      <c r="E165" s="118"/>
      <c r="F165" s="118"/>
      <c r="G165" s="118"/>
      <c r="H165" s="116"/>
      <c r="I165" s="116"/>
      <c r="J165" s="117"/>
      <c r="K165" s="117"/>
      <c r="L165" s="117"/>
      <c r="M165" s="117"/>
      <c r="N165" s="117"/>
      <c r="O165" s="117"/>
      <c r="P165" s="116"/>
      <c r="Q165" s="116"/>
      <c r="R165" s="116"/>
      <c r="S165" s="116"/>
      <c r="T165" s="116"/>
      <c r="U165" s="116"/>
      <c r="V165" s="116"/>
      <c r="W165" s="116"/>
      <c r="X165" s="116"/>
      <c r="Y165"/>
      <c r="Z165"/>
      <c r="AA165"/>
      <c r="AB165"/>
      <c r="AC165"/>
    </row>
    <row r="166" spans="1:29">
      <c r="A166" s="116"/>
      <c r="B166" s="118"/>
      <c r="C166" s="118"/>
      <c r="D166" s="118"/>
      <c r="E166" s="118"/>
      <c r="F166" s="118"/>
      <c r="G166" s="118"/>
      <c r="H166" s="116"/>
      <c r="I166" s="116"/>
      <c r="J166" s="117"/>
      <c r="K166" s="117"/>
      <c r="L166" s="117"/>
      <c r="M166" s="117"/>
      <c r="N166" s="117"/>
      <c r="O166" s="117"/>
      <c r="P166" s="116"/>
      <c r="Q166" s="116"/>
      <c r="R166" s="116"/>
      <c r="S166" s="116"/>
      <c r="T166" s="116"/>
      <c r="U166" s="116"/>
      <c r="V166" s="116"/>
      <c r="W166" s="116"/>
      <c r="X166" s="116"/>
      <c r="Y166"/>
      <c r="Z166"/>
      <c r="AA166"/>
      <c r="AB166"/>
      <c r="AC166"/>
    </row>
    <row r="167" spans="1:29">
      <c r="A167" s="116"/>
      <c r="B167" s="118"/>
      <c r="C167" s="118"/>
      <c r="D167" s="118"/>
      <c r="E167" s="118"/>
      <c r="F167" s="118"/>
      <c r="G167" s="118"/>
      <c r="H167" s="116"/>
      <c r="I167" s="116"/>
      <c r="J167" s="117"/>
      <c r="K167" s="117"/>
      <c r="L167" s="117"/>
      <c r="M167" s="117"/>
      <c r="N167" s="117"/>
      <c r="O167" s="117"/>
      <c r="P167" s="116"/>
      <c r="Q167" s="116"/>
      <c r="R167" s="116"/>
      <c r="S167" s="116"/>
      <c r="T167" s="116"/>
      <c r="U167" s="116"/>
      <c r="V167" s="116"/>
      <c r="W167" s="116"/>
      <c r="X167" s="116"/>
      <c r="Y167"/>
      <c r="Z167"/>
      <c r="AA167"/>
      <c r="AB167"/>
      <c r="AC167"/>
    </row>
    <row r="168" spans="1:29">
      <c r="A168" s="116"/>
      <c r="B168" s="118"/>
      <c r="C168" s="118"/>
      <c r="D168" s="118"/>
      <c r="E168" s="118"/>
      <c r="F168" s="118"/>
      <c r="G168" s="118"/>
      <c r="H168" s="116"/>
      <c r="I168" s="116"/>
      <c r="J168" s="117"/>
      <c r="K168" s="117"/>
      <c r="L168" s="117"/>
      <c r="M168" s="117"/>
      <c r="N168" s="117"/>
      <c r="O168" s="117"/>
      <c r="P168" s="116"/>
      <c r="Q168" s="116"/>
      <c r="R168" s="116"/>
      <c r="S168" s="116"/>
      <c r="T168" s="116"/>
      <c r="U168" s="116"/>
      <c r="V168" s="116"/>
      <c r="W168" s="116"/>
      <c r="X168" s="116"/>
      <c r="Y168"/>
      <c r="Z168"/>
      <c r="AA168"/>
      <c r="AB168"/>
      <c r="AC168"/>
    </row>
    <row r="169" spans="1:29">
      <c r="A169" s="116"/>
      <c r="B169" s="118"/>
      <c r="C169" s="118"/>
      <c r="D169" s="118"/>
      <c r="E169" s="118"/>
      <c r="F169" s="118"/>
      <c r="G169" s="118"/>
      <c r="H169" s="116"/>
      <c r="I169" s="116"/>
      <c r="J169" s="117"/>
      <c r="K169" s="117"/>
      <c r="L169" s="117"/>
      <c r="M169" s="117"/>
      <c r="N169" s="117"/>
      <c r="O169" s="117"/>
      <c r="P169" s="116"/>
      <c r="Q169" s="116"/>
      <c r="R169" s="116"/>
      <c r="S169" s="116"/>
      <c r="T169" s="116"/>
      <c r="U169" s="116"/>
      <c r="V169" s="116"/>
      <c r="W169" s="116"/>
      <c r="X169" s="116"/>
      <c r="Y169"/>
      <c r="Z169"/>
      <c r="AA169"/>
      <c r="AB169"/>
      <c r="AC169"/>
    </row>
    <row r="170" spans="1:29">
      <c r="A170" s="116"/>
      <c r="B170" s="118"/>
      <c r="C170" s="118"/>
      <c r="D170" s="118"/>
      <c r="E170" s="118"/>
      <c r="F170" s="118"/>
      <c r="G170" s="118"/>
      <c r="H170" s="116"/>
      <c r="I170" s="116"/>
      <c r="J170" s="117"/>
      <c r="K170" s="117"/>
      <c r="L170" s="117"/>
      <c r="M170" s="117"/>
      <c r="N170" s="117"/>
      <c r="O170" s="117"/>
      <c r="P170" s="116"/>
      <c r="Q170" s="116"/>
      <c r="R170" s="116"/>
      <c r="S170" s="116"/>
      <c r="T170" s="116"/>
      <c r="U170" s="116"/>
      <c r="V170" s="116"/>
      <c r="W170" s="116"/>
      <c r="X170" s="116"/>
      <c r="Y170"/>
      <c r="Z170"/>
      <c r="AA170"/>
      <c r="AB170"/>
      <c r="AC170"/>
    </row>
    <row r="171" spans="1:29">
      <c r="A171" s="116"/>
      <c r="B171" s="118"/>
      <c r="C171" s="118"/>
      <c r="D171" s="118"/>
      <c r="E171" s="118"/>
      <c r="F171" s="118"/>
      <c r="G171" s="118"/>
      <c r="H171" s="116"/>
      <c r="I171" s="116"/>
      <c r="J171" s="117"/>
      <c r="K171" s="117"/>
      <c r="L171" s="117"/>
      <c r="M171" s="117"/>
      <c r="N171" s="117"/>
      <c r="O171" s="117"/>
      <c r="P171" s="116"/>
      <c r="Q171" s="116"/>
      <c r="R171" s="116"/>
      <c r="S171" s="116"/>
      <c r="T171" s="116"/>
      <c r="U171" s="116"/>
      <c r="V171" s="116"/>
      <c r="W171" s="116"/>
      <c r="X171" s="116"/>
      <c r="Y171"/>
      <c r="Z171"/>
      <c r="AA171"/>
      <c r="AB171"/>
      <c r="AC171"/>
    </row>
    <row r="172" spans="1:29">
      <c r="A172" s="116"/>
      <c r="B172" s="118"/>
      <c r="C172" s="118"/>
      <c r="D172" s="118"/>
      <c r="E172" s="118"/>
      <c r="F172" s="118"/>
      <c r="G172" s="118"/>
      <c r="H172" s="116"/>
      <c r="I172" s="116"/>
      <c r="J172" s="117"/>
      <c r="K172" s="117"/>
      <c r="L172" s="117"/>
      <c r="M172" s="117"/>
      <c r="N172" s="117"/>
      <c r="O172" s="117"/>
      <c r="P172" s="116"/>
      <c r="Q172" s="116"/>
      <c r="R172" s="116"/>
      <c r="S172" s="116"/>
      <c r="T172" s="116"/>
      <c r="U172" s="116"/>
      <c r="V172" s="116"/>
      <c r="W172" s="116"/>
      <c r="X172" s="116"/>
      <c r="Y172"/>
      <c r="Z172"/>
      <c r="AA172"/>
      <c r="AB172"/>
      <c r="AC172"/>
    </row>
    <row r="173" spans="1:29">
      <c r="A173" s="116"/>
      <c r="B173" s="118"/>
      <c r="C173" s="118"/>
      <c r="D173" s="118"/>
      <c r="E173" s="118"/>
      <c r="F173" s="118"/>
      <c r="G173" s="118"/>
      <c r="H173" s="116"/>
      <c r="I173" s="116"/>
      <c r="J173" s="117"/>
      <c r="K173" s="117"/>
      <c r="L173" s="117"/>
      <c r="M173" s="117"/>
      <c r="N173" s="117"/>
      <c r="O173" s="117"/>
      <c r="P173" s="116"/>
      <c r="Q173" s="116"/>
      <c r="R173" s="116"/>
      <c r="S173" s="116"/>
      <c r="T173" s="116"/>
      <c r="U173" s="116"/>
      <c r="V173" s="116"/>
      <c r="W173" s="116"/>
      <c r="X173" s="116"/>
      <c r="Y173"/>
      <c r="Z173"/>
      <c r="AA173"/>
      <c r="AB173"/>
      <c r="AC173"/>
    </row>
    <row r="174" spans="1:29">
      <c r="A174" s="116"/>
      <c r="B174" s="118"/>
      <c r="C174" s="118"/>
      <c r="D174" s="118"/>
      <c r="E174" s="118"/>
      <c r="F174" s="118"/>
      <c r="G174" s="118"/>
      <c r="H174" s="116"/>
      <c r="I174" s="116"/>
      <c r="J174" s="117"/>
      <c r="K174" s="117"/>
      <c r="L174" s="117"/>
      <c r="M174" s="117"/>
      <c r="N174" s="117"/>
      <c r="O174" s="117"/>
      <c r="P174" s="116"/>
      <c r="Q174" s="116"/>
      <c r="R174" s="116"/>
      <c r="S174" s="116"/>
      <c r="T174" s="116"/>
      <c r="U174" s="116"/>
      <c r="V174" s="116"/>
      <c r="W174" s="116"/>
      <c r="X174" s="116"/>
      <c r="Y174"/>
      <c r="Z174"/>
      <c r="AA174"/>
      <c r="AB174"/>
      <c r="AC174"/>
    </row>
    <row r="175" spans="1:29">
      <c r="A175" s="116"/>
      <c r="B175" s="118"/>
      <c r="C175" s="118"/>
      <c r="D175" s="118"/>
      <c r="E175" s="118"/>
      <c r="F175" s="118"/>
      <c r="G175" s="118"/>
      <c r="H175" s="116"/>
      <c r="I175" s="116"/>
      <c r="J175" s="117"/>
      <c r="K175" s="117"/>
      <c r="L175" s="117"/>
      <c r="M175" s="117"/>
      <c r="N175" s="117"/>
      <c r="O175" s="117"/>
      <c r="P175" s="116"/>
      <c r="Q175" s="116"/>
      <c r="R175" s="116"/>
      <c r="S175" s="116"/>
      <c r="T175" s="116"/>
      <c r="U175" s="116"/>
      <c r="V175" s="116"/>
      <c r="W175" s="116"/>
      <c r="X175" s="116"/>
      <c r="Y175"/>
      <c r="Z175"/>
      <c r="AA175"/>
      <c r="AB175"/>
      <c r="AC175"/>
    </row>
    <row r="176" spans="1:29">
      <c r="A176" s="116"/>
      <c r="B176" s="118"/>
      <c r="C176" s="118"/>
      <c r="D176" s="118"/>
      <c r="E176" s="118"/>
      <c r="F176" s="118"/>
      <c r="G176" s="118"/>
      <c r="H176" s="116"/>
      <c r="I176" s="116"/>
      <c r="J176" s="117"/>
      <c r="K176" s="117"/>
      <c r="L176" s="117"/>
      <c r="M176" s="117"/>
      <c r="N176" s="117"/>
      <c r="O176" s="117"/>
      <c r="P176" s="116"/>
      <c r="Q176" s="116"/>
      <c r="R176" s="116"/>
      <c r="S176" s="116"/>
      <c r="T176" s="116"/>
      <c r="U176" s="116"/>
      <c r="V176" s="116"/>
      <c r="W176" s="116"/>
      <c r="X176" s="116"/>
      <c r="Y176"/>
      <c r="Z176"/>
      <c r="AA176"/>
      <c r="AB176"/>
      <c r="AC176"/>
    </row>
    <row r="177" spans="1:31">
      <c r="A177" s="116"/>
      <c r="B177" s="118"/>
      <c r="C177" s="118"/>
      <c r="D177" s="118"/>
      <c r="E177" s="118"/>
      <c r="F177" s="118"/>
      <c r="G177" s="118"/>
      <c r="H177" s="116"/>
      <c r="I177" s="116"/>
      <c r="J177" s="117"/>
      <c r="K177" s="117"/>
      <c r="L177" s="117"/>
      <c r="M177" s="117"/>
      <c r="N177" s="117"/>
      <c r="O177" s="117"/>
      <c r="P177" s="116"/>
      <c r="Q177" s="116"/>
      <c r="R177" s="116"/>
      <c r="S177" s="116"/>
      <c r="T177" s="116"/>
      <c r="U177" s="116"/>
      <c r="V177" s="116"/>
      <c r="W177" s="116"/>
      <c r="X177" s="116"/>
      <c r="Y177"/>
      <c r="Z177"/>
      <c r="AA177"/>
      <c r="AB177"/>
      <c r="AC177"/>
    </row>
    <row r="178" spans="1:31">
      <c r="A178" s="116"/>
      <c r="B178" s="118"/>
      <c r="C178" s="118"/>
      <c r="D178" s="118"/>
      <c r="E178" s="118"/>
      <c r="F178" s="118"/>
      <c r="G178" s="118"/>
      <c r="H178" s="116"/>
      <c r="I178" s="116"/>
      <c r="J178" s="117"/>
      <c r="K178" s="117"/>
      <c r="L178" s="117"/>
      <c r="M178" s="117"/>
      <c r="N178" s="117"/>
      <c r="O178" s="117"/>
      <c r="P178" s="116"/>
      <c r="Q178" s="116"/>
      <c r="R178" s="116"/>
      <c r="S178" s="116"/>
      <c r="T178" s="116"/>
      <c r="U178" s="116"/>
      <c r="V178" s="116"/>
      <c r="W178" s="116"/>
      <c r="X178" s="116"/>
      <c r="Y178"/>
      <c r="Z178"/>
      <c r="AA178"/>
      <c r="AB178"/>
      <c r="AC178"/>
    </row>
    <row r="179" spans="1:31">
      <c r="A179" s="116"/>
      <c r="B179" s="118"/>
      <c r="C179" s="118"/>
      <c r="D179" s="118"/>
      <c r="E179" s="118"/>
      <c r="F179" s="118"/>
      <c r="G179" s="118"/>
      <c r="H179" s="116"/>
      <c r="I179" s="116"/>
      <c r="J179" s="117"/>
      <c r="K179" s="117"/>
      <c r="L179" s="117"/>
      <c r="M179" s="117"/>
      <c r="N179" s="117"/>
      <c r="O179" s="117"/>
      <c r="P179" s="116"/>
      <c r="Q179" s="116"/>
      <c r="R179" s="116"/>
      <c r="S179" s="116"/>
      <c r="T179" s="116"/>
      <c r="U179" s="116"/>
      <c r="V179" s="116"/>
      <c r="W179" s="116"/>
      <c r="X179" s="116"/>
      <c r="Y179"/>
      <c r="Z179"/>
      <c r="AA179"/>
      <c r="AB179"/>
      <c r="AC179"/>
    </row>
    <row r="180" spans="1:31">
      <c r="A180" s="116"/>
      <c r="B180" s="118"/>
      <c r="C180" s="118"/>
      <c r="D180" s="118"/>
      <c r="E180" s="118"/>
      <c r="F180" s="118"/>
      <c r="G180" s="118"/>
      <c r="H180" s="116"/>
      <c r="I180" s="116"/>
      <c r="J180" s="117"/>
      <c r="K180" s="117"/>
      <c r="L180" s="117"/>
      <c r="M180" s="117"/>
      <c r="N180" s="117"/>
      <c r="O180" s="117"/>
      <c r="P180" s="116"/>
      <c r="Q180" s="116"/>
      <c r="R180" s="116"/>
      <c r="S180" s="116"/>
      <c r="T180" s="116"/>
      <c r="U180" s="116"/>
      <c r="V180" s="116"/>
      <c r="W180" s="116"/>
      <c r="X180" s="116"/>
      <c r="Y180"/>
      <c r="Z180"/>
      <c r="AA180"/>
      <c r="AB180"/>
      <c r="AC180"/>
    </row>
    <row r="181" spans="1:3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23"/>
      <c r="Z181"/>
      <c r="AA181"/>
      <c r="AB181"/>
      <c r="AC181"/>
      <c r="AD181"/>
      <c r="AE181"/>
    </row>
    <row r="182" spans="1:31">
      <c r="A182" s="116"/>
      <c r="B182" s="116"/>
      <c r="C182" s="116"/>
      <c r="D182" s="117"/>
      <c r="E182" s="117"/>
      <c r="F182" s="117"/>
      <c r="G182" s="117"/>
      <c r="H182" s="120"/>
      <c r="I182" s="120"/>
      <c r="J182" s="120"/>
      <c r="K182" s="120"/>
      <c r="L182" s="120"/>
      <c r="M182" s="120"/>
      <c r="N182" s="117"/>
      <c r="O182" s="117"/>
      <c r="P182" s="117"/>
      <c r="Q182" s="117"/>
      <c r="R182" s="117"/>
      <c r="S182" s="120"/>
      <c r="T182" s="117"/>
      <c r="U182" s="117"/>
      <c r="V182" s="117"/>
      <c r="W182" s="117"/>
      <c r="X182" s="117"/>
    </row>
    <row r="183" spans="1:31">
      <c r="A183" s="116"/>
      <c r="B183" s="116"/>
      <c r="C183" s="116"/>
      <c r="D183" s="116"/>
      <c r="E183" s="116"/>
      <c r="F183" s="116"/>
      <c r="G183" s="116"/>
      <c r="H183" s="120"/>
      <c r="I183" s="120"/>
      <c r="J183" s="120"/>
      <c r="K183" s="120"/>
      <c r="L183" s="120"/>
      <c r="M183" s="120"/>
      <c r="N183" s="117"/>
      <c r="O183" s="117"/>
      <c r="P183" s="117"/>
      <c r="Q183" s="117"/>
      <c r="R183" s="117"/>
      <c r="S183" s="120"/>
      <c r="T183" s="117"/>
      <c r="U183" s="117"/>
      <c r="V183" s="117"/>
      <c r="W183" s="117"/>
      <c r="X183" s="117"/>
    </row>
    <row r="184" spans="1:31">
      <c r="A184" s="116"/>
      <c r="B184" s="119"/>
      <c r="C184" s="116"/>
      <c r="D184" s="116"/>
      <c r="E184" s="116"/>
      <c r="F184" s="116"/>
      <c r="G184" s="116"/>
      <c r="H184" s="120"/>
      <c r="I184" s="120"/>
      <c r="J184" s="120"/>
      <c r="K184" s="120"/>
      <c r="L184" s="120"/>
      <c r="M184" s="120"/>
      <c r="N184" s="117"/>
      <c r="O184" s="117"/>
      <c r="P184" s="117"/>
      <c r="Q184" s="117"/>
      <c r="R184" s="117"/>
      <c r="S184" s="120"/>
      <c r="T184" s="117"/>
      <c r="U184" s="117"/>
      <c r="V184" s="117"/>
      <c r="W184" s="117"/>
      <c r="X184" s="117"/>
    </row>
    <row r="185" spans="1:31">
      <c r="A185" s="119"/>
      <c r="B185" s="119"/>
      <c r="C185" s="119"/>
      <c r="D185" s="119"/>
      <c r="E185" s="119"/>
      <c r="F185" s="119"/>
      <c r="G185" s="119"/>
      <c r="H185" s="120"/>
      <c r="I185" s="120"/>
      <c r="J185" s="120"/>
      <c r="K185" s="120"/>
      <c r="L185" s="120"/>
      <c r="M185" s="120"/>
      <c r="N185" s="117"/>
      <c r="O185" s="117"/>
      <c r="P185" s="117"/>
      <c r="Q185" s="117"/>
      <c r="R185" s="117"/>
      <c r="S185" s="120"/>
      <c r="T185" s="117"/>
      <c r="U185" s="117"/>
      <c r="V185" s="117"/>
      <c r="W185" s="117"/>
      <c r="X185" s="117"/>
    </row>
    <row r="186" spans="1:31">
      <c r="A186" s="116"/>
      <c r="B186" s="117"/>
      <c r="C186" s="117"/>
      <c r="D186" s="117"/>
      <c r="E186" s="117"/>
      <c r="F186" s="117"/>
      <c r="G186" s="117"/>
      <c r="H186" s="120"/>
      <c r="I186" s="120"/>
      <c r="J186" s="120"/>
      <c r="K186" s="120"/>
      <c r="L186" s="120"/>
      <c r="M186" s="120"/>
      <c r="N186" s="117"/>
      <c r="O186" s="117"/>
      <c r="P186" s="117"/>
      <c r="Q186" s="117"/>
      <c r="R186" s="117"/>
      <c r="S186" s="120"/>
      <c r="T186" s="117"/>
      <c r="U186" s="117"/>
      <c r="V186" s="117"/>
      <c r="W186" s="117"/>
      <c r="X186" s="117"/>
    </row>
    <row r="187" spans="1:31">
      <c r="A187" s="116"/>
      <c r="B187" s="117"/>
      <c r="C187" s="117"/>
      <c r="D187" s="117"/>
      <c r="E187" s="117"/>
      <c r="F187" s="117"/>
      <c r="G187" s="117"/>
      <c r="H187" s="120"/>
      <c r="I187" s="120"/>
      <c r="J187" s="120"/>
      <c r="K187" s="120"/>
      <c r="L187" s="120"/>
      <c r="M187" s="120"/>
      <c r="N187" s="117"/>
      <c r="O187" s="117"/>
      <c r="P187" s="117"/>
      <c r="Q187" s="117"/>
      <c r="R187" s="117"/>
      <c r="S187" s="120"/>
      <c r="T187" s="117"/>
      <c r="U187" s="117"/>
      <c r="V187" s="117"/>
      <c r="W187" s="117"/>
      <c r="X187" s="117"/>
    </row>
    <row r="188" spans="1:31">
      <c r="A188" s="116"/>
      <c r="B188" s="117"/>
      <c r="C188" s="117"/>
      <c r="D188" s="117"/>
      <c r="E188" s="117"/>
      <c r="F188" s="117"/>
      <c r="G188" s="117"/>
      <c r="H188" s="120"/>
      <c r="I188" s="120"/>
      <c r="J188" s="120"/>
      <c r="K188" s="120"/>
      <c r="L188" s="120"/>
      <c r="M188" s="120"/>
      <c r="N188" s="117"/>
      <c r="O188" s="117"/>
      <c r="P188" s="117"/>
      <c r="Q188" s="117"/>
      <c r="R188" s="117"/>
      <c r="S188" s="120"/>
      <c r="T188" s="117"/>
      <c r="U188" s="117"/>
      <c r="V188" s="117"/>
      <c r="W188" s="117"/>
      <c r="X188" s="117"/>
    </row>
    <row r="189" spans="1:31">
      <c r="A189" s="116"/>
      <c r="B189" s="117"/>
      <c r="C189" s="117"/>
      <c r="D189" s="117"/>
      <c r="E189" s="117"/>
      <c r="F189" s="117"/>
      <c r="G189" s="117"/>
      <c r="H189" s="120"/>
      <c r="I189" s="120"/>
      <c r="J189" s="120"/>
      <c r="K189" s="120"/>
      <c r="L189" s="120"/>
      <c r="M189" s="120"/>
      <c r="N189" s="117"/>
      <c r="O189" s="117"/>
      <c r="P189" s="117"/>
      <c r="Q189" s="117"/>
      <c r="R189" s="117"/>
      <c r="S189" s="120"/>
      <c r="T189" s="117"/>
      <c r="U189" s="117"/>
      <c r="V189" s="117"/>
      <c r="W189" s="117"/>
      <c r="X189" s="117"/>
    </row>
    <row r="190" spans="1:31">
      <c r="A190" s="116"/>
      <c r="B190" s="117"/>
      <c r="C190" s="117"/>
      <c r="D190" s="117"/>
      <c r="E190" s="117"/>
      <c r="F190" s="117"/>
      <c r="G190" s="117"/>
      <c r="H190" s="120"/>
      <c r="I190" s="120"/>
      <c r="J190" s="120"/>
      <c r="K190" s="120"/>
      <c r="L190" s="120"/>
      <c r="M190" s="120"/>
      <c r="N190" s="117"/>
      <c r="O190" s="117"/>
      <c r="P190" s="117"/>
      <c r="Q190" s="117"/>
      <c r="R190" s="117"/>
      <c r="S190" s="120"/>
      <c r="T190" s="117"/>
      <c r="U190" s="117"/>
      <c r="V190" s="117"/>
      <c r="W190" s="117"/>
      <c r="X190" s="117"/>
    </row>
    <row r="191" spans="1:31">
      <c r="A191" s="116"/>
      <c r="B191" s="117"/>
      <c r="C191" s="117"/>
      <c r="D191" s="117"/>
      <c r="E191" s="117"/>
      <c r="F191" s="117"/>
      <c r="G191" s="117"/>
      <c r="H191" s="120"/>
      <c r="I191" s="120"/>
      <c r="J191" s="120"/>
      <c r="K191" s="120"/>
      <c r="L191" s="120"/>
      <c r="M191" s="120"/>
      <c r="N191" s="117"/>
      <c r="O191" s="117"/>
      <c r="P191" s="117"/>
      <c r="Q191" s="117"/>
      <c r="R191" s="117"/>
      <c r="S191" s="120"/>
      <c r="T191" s="117"/>
      <c r="U191" s="117"/>
      <c r="V191" s="117"/>
      <c r="W191" s="117"/>
      <c r="X191" s="117"/>
    </row>
    <row r="192" spans="1:31">
      <c r="A192" s="116"/>
      <c r="B192" s="117"/>
      <c r="C192" s="117"/>
      <c r="D192" s="117"/>
      <c r="E192" s="117"/>
      <c r="F192" s="117"/>
      <c r="G192" s="117"/>
      <c r="H192" s="120"/>
      <c r="I192" s="120"/>
      <c r="J192" s="120"/>
      <c r="K192" s="120"/>
      <c r="L192" s="120"/>
      <c r="M192" s="120"/>
      <c r="N192" s="117"/>
      <c r="O192" s="117"/>
      <c r="P192" s="117"/>
      <c r="Q192" s="117"/>
      <c r="R192" s="117"/>
      <c r="S192" s="120"/>
      <c r="T192" s="117"/>
      <c r="U192" s="117"/>
      <c r="V192" s="117"/>
      <c r="W192" s="117"/>
      <c r="X192" s="117"/>
    </row>
    <row r="193" spans="1:24">
      <c r="A193" s="116"/>
      <c r="B193" s="117"/>
      <c r="C193" s="117"/>
      <c r="D193" s="117"/>
      <c r="E193" s="117"/>
      <c r="F193" s="117"/>
      <c r="G193" s="117"/>
      <c r="H193" s="120"/>
      <c r="I193" s="120"/>
      <c r="J193" s="120"/>
      <c r="K193" s="120"/>
      <c r="L193" s="120"/>
      <c r="M193" s="120"/>
      <c r="N193" s="117"/>
      <c r="O193" s="117"/>
      <c r="P193" s="117"/>
      <c r="Q193" s="117"/>
      <c r="R193" s="117"/>
      <c r="S193" s="120"/>
      <c r="T193" s="117"/>
      <c r="U193" s="117"/>
      <c r="V193" s="117"/>
      <c r="W193" s="117"/>
      <c r="X193" s="117"/>
    </row>
    <row r="194" spans="1:24">
      <c r="A194" s="116"/>
      <c r="B194" s="117"/>
      <c r="C194" s="117"/>
      <c r="D194" s="117"/>
      <c r="E194" s="117"/>
      <c r="F194" s="117"/>
      <c r="G194" s="117"/>
      <c r="H194" s="120"/>
      <c r="I194" s="120"/>
      <c r="J194" s="120"/>
      <c r="K194" s="120"/>
      <c r="L194" s="120"/>
      <c r="M194" s="120"/>
      <c r="N194" s="117"/>
      <c r="O194" s="117"/>
      <c r="P194" s="117"/>
      <c r="Q194" s="117"/>
      <c r="R194" s="117"/>
      <c r="S194" s="120"/>
      <c r="T194" s="117"/>
      <c r="U194" s="117"/>
      <c r="V194" s="117"/>
      <c r="W194" s="117"/>
      <c r="X194" s="117"/>
    </row>
    <row r="195" spans="1:24">
      <c r="A195" s="116"/>
      <c r="B195" s="117"/>
      <c r="C195" s="117"/>
      <c r="D195" s="117"/>
      <c r="E195" s="117"/>
      <c r="F195" s="117"/>
      <c r="G195" s="117"/>
      <c r="H195" s="120"/>
      <c r="I195" s="120"/>
      <c r="J195" s="120"/>
      <c r="K195" s="120"/>
      <c r="L195" s="120"/>
      <c r="M195" s="120"/>
      <c r="N195" s="117"/>
      <c r="O195" s="117"/>
      <c r="P195" s="117"/>
      <c r="Q195" s="117"/>
      <c r="R195" s="117"/>
      <c r="S195" s="120"/>
      <c r="T195" s="117"/>
      <c r="U195" s="117"/>
      <c r="V195" s="117"/>
      <c r="W195" s="117"/>
      <c r="X195" s="117"/>
    </row>
    <row r="196" spans="1:24">
      <c r="A196" s="116"/>
      <c r="B196" s="117"/>
      <c r="C196" s="117"/>
      <c r="D196" s="117"/>
      <c r="E196" s="117"/>
      <c r="F196" s="117"/>
      <c r="G196" s="117"/>
      <c r="H196" s="120"/>
      <c r="I196" s="120"/>
      <c r="J196" s="120"/>
      <c r="K196" s="120"/>
      <c r="L196" s="120"/>
      <c r="M196" s="120"/>
      <c r="N196" s="117"/>
      <c r="O196" s="117"/>
      <c r="P196" s="117"/>
      <c r="Q196" s="117"/>
      <c r="R196" s="117"/>
      <c r="S196" s="120"/>
      <c r="T196" s="117"/>
      <c r="U196" s="117"/>
      <c r="V196" s="117"/>
      <c r="W196" s="117"/>
      <c r="X196" s="117"/>
    </row>
    <row r="197" spans="1:24">
      <c r="A197" s="116"/>
      <c r="B197" s="117"/>
      <c r="C197" s="117"/>
      <c r="D197" s="117"/>
      <c r="E197" s="117"/>
      <c r="F197" s="117"/>
      <c r="G197" s="117"/>
      <c r="H197" s="120"/>
      <c r="I197" s="120"/>
      <c r="J197" s="120"/>
      <c r="K197" s="120"/>
      <c r="L197" s="120"/>
      <c r="M197" s="120"/>
      <c r="N197" s="117"/>
      <c r="O197" s="117"/>
      <c r="P197" s="117"/>
      <c r="Q197" s="117"/>
      <c r="R197" s="117"/>
      <c r="S197" s="120"/>
      <c r="T197" s="117"/>
      <c r="U197" s="117"/>
      <c r="V197" s="117"/>
      <c r="W197" s="117"/>
      <c r="X197" s="117"/>
    </row>
    <row r="198" spans="1:24">
      <c r="A198" s="116"/>
      <c r="B198" s="117"/>
      <c r="C198" s="117"/>
      <c r="D198" s="117"/>
      <c r="E198" s="117"/>
      <c r="F198" s="117"/>
      <c r="G198" s="117"/>
      <c r="H198" s="120"/>
      <c r="I198" s="120"/>
      <c r="J198" s="120"/>
      <c r="K198" s="120"/>
      <c r="L198" s="120"/>
      <c r="M198" s="120"/>
      <c r="N198" s="117"/>
      <c r="O198" s="117"/>
      <c r="P198" s="117"/>
      <c r="Q198" s="117"/>
      <c r="R198" s="117"/>
      <c r="S198" s="120"/>
      <c r="T198" s="117"/>
      <c r="U198" s="117"/>
      <c r="V198" s="117"/>
      <c r="W198" s="117"/>
      <c r="X198" s="117"/>
    </row>
    <row r="199" spans="1:24">
      <c r="A199" s="116"/>
      <c r="B199" s="117"/>
      <c r="C199" s="117"/>
      <c r="D199" s="117"/>
      <c r="E199" s="117"/>
      <c r="F199" s="117"/>
      <c r="G199" s="117"/>
      <c r="H199" s="120"/>
      <c r="I199" s="120"/>
      <c r="J199" s="120"/>
      <c r="K199" s="120"/>
      <c r="L199" s="120"/>
      <c r="M199" s="120"/>
      <c r="N199" s="117"/>
      <c r="O199" s="117"/>
      <c r="P199" s="117"/>
      <c r="Q199" s="117"/>
      <c r="R199" s="117"/>
      <c r="S199" s="120"/>
      <c r="T199" s="117"/>
      <c r="U199" s="117"/>
      <c r="V199" s="117"/>
      <c r="W199" s="117"/>
      <c r="X199" s="117"/>
    </row>
    <row r="200" spans="1:24">
      <c r="A200" s="116"/>
      <c r="B200" s="117"/>
      <c r="C200" s="117"/>
      <c r="D200" s="117"/>
      <c r="E200" s="117"/>
      <c r="F200" s="117"/>
      <c r="G200" s="117"/>
      <c r="H200" s="120"/>
      <c r="I200" s="120"/>
      <c r="J200" s="120"/>
      <c r="K200" s="120"/>
      <c r="L200" s="120"/>
      <c r="M200" s="120"/>
      <c r="N200" s="117"/>
      <c r="O200" s="117"/>
      <c r="P200" s="117"/>
      <c r="Q200" s="117"/>
      <c r="R200" s="117"/>
      <c r="S200" s="120"/>
      <c r="T200" s="117"/>
      <c r="U200" s="117"/>
      <c r="V200" s="117"/>
      <c r="W200" s="117"/>
      <c r="X200" s="117"/>
    </row>
    <row r="201" spans="1:24">
      <c r="A201" s="116"/>
      <c r="B201" s="117"/>
      <c r="C201" s="117"/>
      <c r="D201" s="117"/>
      <c r="E201" s="117"/>
      <c r="F201" s="117"/>
      <c r="G201" s="117"/>
      <c r="H201" s="120"/>
      <c r="I201" s="120"/>
      <c r="J201" s="120"/>
      <c r="K201" s="120"/>
      <c r="L201" s="120"/>
      <c r="M201" s="120"/>
      <c r="N201" s="117"/>
      <c r="O201" s="117"/>
      <c r="P201" s="117"/>
      <c r="Q201" s="117"/>
      <c r="R201" s="117"/>
      <c r="S201" s="120"/>
      <c r="T201" s="117"/>
      <c r="U201" s="117"/>
      <c r="V201" s="117"/>
      <c r="W201" s="117"/>
      <c r="X201" s="117"/>
    </row>
    <row r="202" spans="1:24">
      <c r="A202" s="116"/>
      <c r="B202" s="117"/>
      <c r="C202" s="117"/>
      <c r="D202" s="117"/>
      <c r="E202" s="117"/>
      <c r="F202" s="117"/>
      <c r="G202" s="117"/>
      <c r="H202" s="120"/>
      <c r="I202" s="120"/>
      <c r="J202" s="120"/>
      <c r="K202" s="120"/>
      <c r="L202" s="120"/>
      <c r="M202" s="120"/>
      <c r="N202" s="117"/>
      <c r="O202" s="117"/>
      <c r="P202" s="117"/>
      <c r="Q202" s="117"/>
      <c r="R202" s="117"/>
      <c r="S202" s="120"/>
      <c r="T202" s="117"/>
      <c r="U202" s="117"/>
      <c r="V202" s="117"/>
      <c r="W202" s="117"/>
      <c r="X202" s="117"/>
    </row>
    <row r="203" spans="1:24">
      <c r="A203" s="116"/>
      <c r="B203" s="117"/>
      <c r="C203" s="117"/>
      <c r="D203" s="117"/>
      <c r="E203" s="117"/>
      <c r="F203" s="117"/>
      <c r="G203" s="117"/>
      <c r="H203" s="120"/>
      <c r="I203" s="120"/>
      <c r="J203" s="120"/>
      <c r="K203" s="120"/>
      <c r="L203" s="120"/>
      <c r="M203" s="120"/>
      <c r="N203" s="117"/>
      <c r="O203" s="117"/>
      <c r="P203" s="117"/>
      <c r="Q203" s="117"/>
      <c r="R203" s="117"/>
      <c r="S203" s="120"/>
      <c r="T203" s="117"/>
      <c r="U203" s="117"/>
      <c r="V203" s="117"/>
      <c r="W203" s="117"/>
      <c r="X203" s="117"/>
    </row>
    <row r="204" spans="1:24">
      <c r="A204" s="116"/>
      <c r="B204" s="117"/>
      <c r="C204" s="117"/>
      <c r="D204" s="117"/>
      <c r="E204" s="117"/>
      <c r="F204" s="117"/>
      <c r="G204" s="117"/>
      <c r="H204" s="120"/>
      <c r="I204" s="120"/>
      <c r="J204" s="120"/>
      <c r="K204" s="120"/>
      <c r="L204" s="120"/>
      <c r="M204" s="120"/>
      <c r="N204" s="117"/>
      <c r="O204" s="117"/>
      <c r="P204" s="117"/>
      <c r="Q204" s="117"/>
      <c r="R204" s="117"/>
      <c r="S204" s="120"/>
      <c r="T204" s="117"/>
      <c r="U204" s="117"/>
      <c r="V204" s="117"/>
      <c r="W204" s="117"/>
      <c r="X204" s="117"/>
    </row>
    <row r="205" spans="1:24">
      <c r="A205" s="116"/>
      <c r="B205" s="117"/>
      <c r="C205" s="117"/>
      <c r="D205" s="117"/>
      <c r="E205" s="117"/>
      <c r="F205" s="117"/>
      <c r="G205" s="117"/>
      <c r="H205" s="120"/>
      <c r="I205" s="120"/>
      <c r="J205" s="120"/>
      <c r="K205" s="120"/>
      <c r="L205" s="120"/>
      <c r="M205" s="120"/>
      <c r="N205" s="117"/>
      <c r="O205" s="117"/>
      <c r="P205" s="117"/>
      <c r="Q205" s="117"/>
      <c r="R205" s="117"/>
      <c r="S205" s="120"/>
      <c r="T205" s="117"/>
      <c r="U205" s="117"/>
      <c r="V205" s="117"/>
      <c r="W205" s="117"/>
      <c r="X205" s="117"/>
    </row>
    <row r="206" spans="1:24">
      <c r="A206" s="116"/>
      <c r="B206" s="117"/>
      <c r="C206" s="117"/>
      <c r="D206" s="117"/>
      <c r="E206" s="117"/>
      <c r="F206" s="117"/>
      <c r="G206" s="117"/>
      <c r="H206" s="120"/>
      <c r="I206" s="120"/>
      <c r="J206" s="120"/>
      <c r="K206" s="120"/>
      <c r="L206" s="120"/>
      <c r="M206" s="120"/>
      <c r="N206" s="117"/>
      <c r="O206" s="117"/>
      <c r="P206" s="117"/>
      <c r="Q206" s="117"/>
      <c r="R206" s="117"/>
      <c r="S206" s="120"/>
      <c r="T206" s="117"/>
      <c r="U206" s="117"/>
      <c r="V206" s="117"/>
      <c r="W206" s="117"/>
      <c r="X206" s="117"/>
    </row>
    <row r="207" spans="1:24">
      <c r="A207" s="116"/>
      <c r="B207" s="116"/>
      <c r="C207" s="116"/>
      <c r="D207" s="117"/>
      <c r="E207" s="117"/>
      <c r="F207" s="117"/>
      <c r="G207" s="117"/>
      <c r="H207" s="120"/>
      <c r="I207" s="120"/>
      <c r="J207" s="120"/>
      <c r="K207" s="120"/>
      <c r="L207" s="120"/>
      <c r="M207" s="120"/>
      <c r="N207" s="117"/>
      <c r="O207" s="117"/>
      <c r="P207" s="117"/>
      <c r="Q207" s="117"/>
      <c r="R207" s="117"/>
      <c r="S207" s="120"/>
      <c r="T207" s="117"/>
      <c r="U207" s="117"/>
      <c r="V207" s="117"/>
      <c r="W207" s="117"/>
      <c r="X207" s="117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showGridLines="0" workbookViewId="0">
      <selection activeCell="A3" sqref="A3:G22"/>
    </sheetView>
  </sheetViews>
  <sheetFormatPr defaultRowHeight="15"/>
  <cols>
    <col min="1" max="1" width="18.42578125" customWidth="1"/>
    <col min="2" max="7" width="14.1406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0.99205638372612159</v>
      </c>
    </row>
    <row r="5" spans="1:7">
      <c r="A5" s="13" t="s">
        <v>80</v>
      </c>
      <c r="B5" s="13">
        <v>0.98417586849174976</v>
      </c>
    </row>
    <row r="6" spans="1:7">
      <c r="A6" s="13" t="s">
        <v>81</v>
      </c>
      <c r="B6" s="13">
        <v>0.97852439295308891</v>
      </c>
    </row>
    <row r="7" spans="1:7">
      <c r="A7" s="13" t="s">
        <v>82</v>
      </c>
      <c r="B7" s="13">
        <v>0.82990933857817983</v>
      </c>
    </row>
    <row r="8" spans="1:7" ht="15.75" thickBot="1">
      <c r="A8" s="14" t="s">
        <v>83</v>
      </c>
      <c r="B8" s="14">
        <v>20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5</v>
      </c>
      <c r="C12" s="13">
        <v>599.71121063484043</v>
      </c>
      <c r="D12" s="13">
        <v>119.94224212696808</v>
      </c>
      <c r="E12" s="13">
        <v>174.14493998234158</v>
      </c>
      <c r="F12" s="13">
        <v>4.3321451021815962E-12</v>
      </c>
    </row>
    <row r="13" spans="1:7">
      <c r="A13" s="13" t="s">
        <v>86</v>
      </c>
      <c r="B13" s="13">
        <v>14</v>
      </c>
      <c r="C13" s="13">
        <v>9.6424931436298085</v>
      </c>
      <c r="D13" s="13">
        <v>0.688749510259272</v>
      </c>
      <c r="E13" s="13"/>
      <c r="F13" s="13"/>
    </row>
    <row r="14" spans="1:7" ht="15.75" thickBot="1">
      <c r="A14" s="14" t="s">
        <v>87</v>
      </c>
      <c r="B14" s="14">
        <v>19</v>
      </c>
      <c r="C14" s="14">
        <v>609.35370377847028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5.1372194790365535</v>
      </c>
      <c r="C17" s="13">
        <v>0.84436345373223154</v>
      </c>
      <c r="D17" s="13">
        <v>6.0841329125854049</v>
      </c>
      <c r="E17" s="13">
        <v>2.8178195854939959E-5</v>
      </c>
      <c r="F17" s="13">
        <v>3.3262399837073624</v>
      </c>
      <c r="G17" s="13">
        <v>6.9481989743657451</v>
      </c>
    </row>
    <row r="18" spans="1:7">
      <c r="A18" s="13" t="s">
        <v>229</v>
      </c>
      <c r="B18" s="13">
        <v>6.1208153124140989E-3</v>
      </c>
      <c r="C18" s="13">
        <v>2.398153880038591E-4</v>
      </c>
      <c r="D18" s="13">
        <v>25.52302987461173</v>
      </c>
      <c r="E18" s="13">
        <v>3.8580267655109427E-13</v>
      </c>
      <c r="F18" s="13">
        <v>5.606462460665579E-3</v>
      </c>
      <c r="G18" s="13">
        <v>6.6351681641626187E-3</v>
      </c>
    </row>
    <row r="19" spans="1:7">
      <c r="A19" s="13" t="s">
        <v>1944</v>
      </c>
      <c r="B19" s="13">
        <v>7.2492265844976522</v>
      </c>
      <c r="C19" s="13">
        <v>0.74228678552710159</v>
      </c>
      <c r="D19" s="13">
        <v>9.7660725286250916</v>
      </c>
      <c r="E19" s="13">
        <v>1.2514058280123696E-7</v>
      </c>
      <c r="F19" s="13">
        <v>5.6571797682818268</v>
      </c>
      <c r="G19" s="13">
        <v>8.8412734007134777</v>
      </c>
    </row>
    <row r="20" spans="1:7">
      <c r="A20" s="13" t="s">
        <v>281</v>
      </c>
      <c r="B20" s="13">
        <v>-6.2571418927436389</v>
      </c>
      <c r="C20" s="13">
        <v>0.90121795313984565</v>
      </c>
      <c r="D20" s="13">
        <v>-6.9429840705500157</v>
      </c>
      <c r="E20" s="13">
        <v>6.8394123160045997E-6</v>
      </c>
      <c r="F20" s="13">
        <v>-8.1900621615505109</v>
      </c>
      <c r="G20" s="13">
        <v>-4.3242216239367668</v>
      </c>
    </row>
    <row r="21" spans="1:7">
      <c r="A21" s="13" t="s">
        <v>1945</v>
      </c>
      <c r="B21" s="13">
        <v>-3.440347366100573</v>
      </c>
      <c r="C21" s="13">
        <v>0.95397639743618323</v>
      </c>
      <c r="D21" s="13">
        <v>-3.6063233590962263</v>
      </c>
      <c r="E21" s="13">
        <v>2.862344954014258E-3</v>
      </c>
      <c r="F21" s="13">
        <v>-5.4864232439094831</v>
      </c>
      <c r="G21" s="13">
        <v>-1.3942714882916625</v>
      </c>
    </row>
    <row r="22" spans="1:7" ht="15.75" thickBot="1">
      <c r="A22" s="14" t="s">
        <v>2437</v>
      </c>
      <c r="B22" s="14">
        <v>0.97265645410247681</v>
      </c>
      <c r="C22" s="14">
        <v>0.70690815263270168</v>
      </c>
      <c r="D22" s="14">
        <v>1.3759304521811815</v>
      </c>
      <c r="E22" s="14">
        <v>0.19045619785170625</v>
      </c>
      <c r="F22" s="14">
        <v>-0.54351074124470922</v>
      </c>
      <c r="G22" s="14">
        <v>2.4888236494496629</v>
      </c>
    </row>
    <row r="40" spans="13:13">
      <c r="M40" t="s">
        <v>1946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T171"/>
  <sheetViews>
    <sheetView zoomScale="75" zoomScaleNormal="75" workbookViewId="0">
      <pane xSplit="1" ySplit="4" topLeftCell="AA70" activePane="bottomRight" state="frozen"/>
      <selection activeCell="BN97" sqref="BN97"/>
      <selection pane="topRight" activeCell="BN97" sqref="BN97"/>
      <selection pane="bottomLeft" activeCell="BN97" sqref="BN97"/>
      <selection pane="bottomRight" activeCell="AF76" sqref="AF76:AY97"/>
    </sheetView>
  </sheetViews>
  <sheetFormatPr defaultRowHeight="15"/>
  <cols>
    <col min="1" max="1" width="6.7109375" customWidth="1"/>
    <col min="2" max="2" width="11" customWidth="1"/>
    <col min="3" max="3" width="9.85546875" customWidth="1"/>
    <col min="4" max="4" width="9.7109375" customWidth="1"/>
    <col min="5" max="5" width="10.5703125" customWidth="1"/>
    <col min="6" max="6" width="9.85546875" customWidth="1"/>
    <col min="7" max="9" width="9.28515625" bestFit="1" customWidth="1"/>
    <col min="10" max="10" width="9.28515625" style="12" bestFit="1" customWidth="1"/>
    <col min="11" max="12" width="9.28515625" bestFit="1" customWidth="1"/>
    <col min="13" max="13" width="9.85546875" customWidth="1"/>
    <col min="14" max="14" width="8.28515625" customWidth="1"/>
    <col min="15" max="15" width="10.140625" style="23" customWidth="1"/>
    <col min="16" max="16" width="11.5703125" style="12" customWidth="1"/>
    <col min="17" max="17" width="9.28515625" style="12" customWidth="1"/>
    <col min="18" max="18" width="8.7109375" style="23" customWidth="1"/>
    <col min="19" max="22" width="9.28515625" bestFit="1" customWidth="1"/>
    <col min="23" max="23" width="9.28515625" customWidth="1"/>
    <col min="24" max="24" width="10.85546875" style="23" customWidth="1"/>
    <col min="25" max="32" width="8.5703125" customWidth="1"/>
    <col min="33" max="33" width="8.7109375" customWidth="1"/>
    <col min="34" max="36" width="8.5703125" customWidth="1"/>
    <col min="37" max="37" width="8.7109375" customWidth="1"/>
    <col min="38" max="38" width="9" customWidth="1"/>
    <col min="39" max="39" width="3.28515625" customWidth="1"/>
    <col min="41" max="41" width="2.85546875" customWidth="1"/>
    <col min="42" max="42" width="12.5703125" style="9" customWidth="1"/>
    <col min="43" max="43" width="9.7109375" style="3" customWidth="1"/>
    <col min="44" max="45" width="7.85546875" style="3" customWidth="1"/>
    <col min="46" max="46" width="9.28515625" style="3" customWidth="1"/>
    <col min="47" max="47" width="10" style="3" customWidth="1"/>
    <col min="48" max="48" width="5.7109375" style="3" customWidth="1"/>
    <col min="49" max="49" width="5.28515625" style="3" customWidth="1"/>
    <col min="50" max="50" width="6.7109375" style="3" customWidth="1"/>
    <col min="51" max="51" width="7.7109375" style="3" customWidth="1"/>
    <col min="52" max="61" width="9.140625" style="3"/>
  </cols>
  <sheetData>
    <row r="1" spans="1:61">
      <c r="F1" s="12"/>
      <c r="G1" s="23"/>
      <c r="H1" s="12"/>
      <c r="I1" s="12"/>
      <c r="J1" s="23"/>
      <c r="O1"/>
      <c r="P1" s="23"/>
      <c r="Q1"/>
      <c r="R1"/>
      <c r="X1"/>
      <c r="AF1" s="9"/>
      <c r="AG1" s="3"/>
      <c r="AH1" s="3"/>
      <c r="AI1" s="3"/>
      <c r="AJ1" s="3"/>
      <c r="AK1" s="3"/>
      <c r="AL1" s="3"/>
      <c r="AM1" s="3"/>
      <c r="AN1" s="3"/>
      <c r="AO1" s="3"/>
      <c r="AP1" s="3"/>
      <c r="BC1"/>
      <c r="BD1"/>
      <c r="BE1"/>
      <c r="BF1"/>
      <c r="BG1"/>
      <c r="BH1"/>
      <c r="BI1"/>
    </row>
    <row r="2" spans="1:61">
      <c r="E2" t="s">
        <v>1920</v>
      </c>
      <c r="F2" t="s">
        <v>1920</v>
      </c>
      <c r="G2" s="23"/>
      <c r="H2" s="12"/>
      <c r="I2" s="12"/>
      <c r="J2" s="23"/>
      <c r="K2" s="23" t="s">
        <v>329</v>
      </c>
      <c r="O2"/>
      <c r="P2" s="23"/>
      <c r="Q2"/>
      <c r="R2" s="23" t="s">
        <v>329</v>
      </c>
      <c r="S2" s="23" t="s">
        <v>329</v>
      </c>
      <c r="T2" s="23" t="s">
        <v>329</v>
      </c>
      <c r="U2" s="23" t="s">
        <v>329</v>
      </c>
      <c r="V2" s="23" t="s">
        <v>329</v>
      </c>
      <c r="W2" t="s">
        <v>113</v>
      </c>
      <c r="X2"/>
      <c r="AF2" s="9"/>
      <c r="AG2" s="3"/>
      <c r="AH2" s="3"/>
      <c r="AI2" s="3"/>
      <c r="AJ2" s="3"/>
      <c r="AK2" s="3"/>
      <c r="AL2" s="3"/>
      <c r="AM2" s="3"/>
      <c r="AN2" s="3"/>
      <c r="AO2" s="3"/>
      <c r="AP2" s="3"/>
      <c r="BC2"/>
      <c r="BD2"/>
      <c r="BE2"/>
      <c r="BF2"/>
      <c r="BG2"/>
      <c r="BH2"/>
      <c r="BI2"/>
    </row>
    <row r="3" spans="1:61">
      <c r="E3" s="23" t="s">
        <v>329</v>
      </c>
      <c r="F3" s="23" t="s">
        <v>329</v>
      </c>
      <c r="G3" s="23"/>
      <c r="H3" s="12"/>
      <c r="I3" s="12"/>
      <c r="J3" s="23"/>
      <c r="K3" s="3" t="s">
        <v>128</v>
      </c>
      <c r="L3" s="3"/>
      <c r="M3" s="3"/>
      <c r="N3" s="3"/>
      <c r="O3" s="3"/>
      <c r="P3" s="23"/>
      <c r="Q3"/>
      <c r="R3" t="s">
        <v>61</v>
      </c>
      <c r="S3" t="s">
        <v>61</v>
      </c>
      <c r="T3" t="s">
        <v>61</v>
      </c>
      <c r="U3" t="s">
        <v>61</v>
      </c>
      <c r="V3" s="26" t="s">
        <v>61</v>
      </c>
      <c r="W3" t="s">
        <v>61</v>
      </c>
      <c r="X3"/>
      <c r="AF3" s="46" t="s">
        <v>2103</v>
      </c>
      <c r="AG3" s="46" t="s">
        <v>2120</v>
      </c>
      <c r="AH3" s="46" t="s">
        <v>2120</v>
      </c>
      <c r="AI3" s="46" t="s">
        <v>2120</v>
      </c>
      <c r="AJ3" s="46" t="s">
        <v>2120</v>
      </c>
      <c r="AK3" s="46" t="s">
        <v>2120</v>
      </c>
      <c r="AL3" s="46" t="s">
        <v>2120</v>
      </c>
      <c r="AM3" s="3"/>
      <c r="AN3" s="46"/>
      <c r="AO3" s="3"/>
      <c r="AP3" s="46" t="s">
        <v>2119</v>
      </c>
      <c r="AQ3" s="46" t="s">
        <v>2119</v>
      </c>
      <c r="AR3" s="46" t="s">
        <v>2119</v>
      </c>
      <c r="AS3" s="46" t="s">
        <v>2119</v>
      </c>
      <c r="AT3" s="46" t="s">
        <v>2119</v>
      </c>
      <c r="AU3" s="46" t="s">
        <v>2121</v>
      </c>
      <c r="AV3" s="46" t="s">
        <v>2098</v>
      </c>
      <c r="AW3" s="46" t="s">
        <v>2098</v>
      </c>
      <c r="AX3" s="46" t="s">
        <v>2098</v>
      </c>
      <c r="AY3" s="46" t="s">
        <v>2098</v>
      </c>
      <c r="BA3" s="46" t="s">
        <v>2449</v>
      </c>
      <c r="BB3" s="46" t="s">
        <v>2449</v>
      </c>
      <c r="BC3"/>
      <c r="BD3"/>
      <c r="BE3"/>
      <c r="BF3"/>
      <c r="BG3"/>
      <c r="BH3"/>
      <c r="BI3"/>
    </row>
    <row r="4" spans="1:61">
      <c r="A4" t="s">
        <v>2103</v>
      </c>
      <c r="B4" t="s">
        <v>1948</v>
      </c>
      <c r="C4" t="s">
        <v>1949</v>
      </c>
      <c r="D4" t="s">
        <v>11</v>
      </c>
      <c r="E4" s="29" t="s">
        <v>110</v>
      </c>
      <c r="F4" s="26" t="s">
        <v>135</v>
      </c>
      <c r="G4" s="23"/>
      <c r="H4" s="12"/>
      <c r="I4" s="12"/>
      <c r="J4" s="23"/>
      <c r="K4" s="13" t="s">
        <v>229</v>
      </c>
      <c r="L4" s="3" t="s">
        <v>231</v>
      </c>
      <c r="M4" s="3" t="s">
        <v>167</v>
      </c>
      <c r="N4" s="3" t="s">
        <v>148</v>
      </c>
      <c r="O4" s="3" t="s">
        <v>232</v>
      </c>
      <c r="P4" s="23"/>
      <c r="Q4"/>
      <c r="R4" t="s">
        <v>111</v>
      </c>
      <c r="S4" t="s">
        <v>1932</v>
      </c>
      <c r="T4" t="s">
        <v>152</v>
      </c>
      <c r="U4" t="s">
        <v>112</v>
      </c>
      <c r="V4" s="26" t="s">
        <v>87</v>
      </c>
      <c r="W4" t="s">
        <v>87</v>
      </c>
      <c r="X4"/>
      <c r="AF4" s="46"/>
      <c r="AG4" s="46" t="s">
        <v>131</v>
      </c>
      <c r="AH4" s="46" t="s">
        <v>111</v>
      </c>
      <c r="AI4" s="46" t="s">
        <v>1932</v>
      </c>
      <c r="AJ4" s="46" t="s">
        <v>112</v>
      </c>
      <c r="AK4" s="46" t="s">
        <v>67</v>
      </c>
      <c r="AL4" s="46" t="s">
        <v>133</v>
      </c>
      <c r="AM4" s="3"/>
      <c r="AN4" s="139" t="s">
        <v>237</v>
      </c>
      <c r="AO4" s="3"/>
      <c r="AP4" s="46" t="s">
        <v>131</v>
      </c>
      <c r="AQ4" s="46" t="s">
        <v>2097</v>
      </c>
      <c r="AR4" s="46" t="s">
        <v>67</v>
      </c>
      <c r="AS4" s="46" t="s">
        <v>133</v>
      </c>
      <c r="AT4" s="46" t="s">
        <v>2097</v>
      </c>
      <c r="AU4" s="46" t="s">
        <v>1943</v>
      </c>
      <c r="AV4" s="46">
        <v>9906</v>
      </c>
      <c r="AW4" s="46" t="s">
        <v>2122</v>
      </c>
      <c r="AX4" s="46" t="s">
        <v>2123</v>
      </c>
      <c r="AY4" s="46">
        <v>9916</v>
      </c>
      <c r="BA4" s="46" t="s">
        <v>131</v>
      </c>
      <c r="BB4" s="46" t="s">
        <v>2097</v>
      </c>
      <c r="BC4"/>
      <c r="BD4"/>
      <c r="BE4"/>
      <c r="BF4"/>
      <c r="BG4"/>
      <c r="BH4"/>
      <c r="BI4"/>
    </row>
    <row r="5" spans="1:61">
      <c r="A5">
        <v>1926</v>
      </c>
      <c r="F5" s="12"/>
      <c r="G5" s="23"/>
      <c r="H5" s="12"/>
      <c r="I5" s="12"/>
      <c r="J5" s="23"/>
      <c r="O5"/>
      <c r="P5" s="23"/>
      <c r="Q5"/>
      <c r="R5"/>
      <c r="X5"/>
      <c r="AF5" s="9">
        <v>1926</v>
      </c>
      <c r="AG5" s="3"/>
      <c r="AH5" s="3"/>
      <c r="AI5" s="3"/>
      <c r="AJ5" s="3"/>
      <c r="AK5" s="3"/>
      <c r="AL5" s="3"/>
      <c r="AM5" s="3"/>
      <c r="AN5" s="3"/>
      <c r="AO5" s="3"/>
      <c r="AP5" s="3"/>
      <c r="BC5"/>
      <c r="BD5"/>
      <c r="BE5"/>
      <c r="BF5"/>
      <c r="BG5"/>
      <c r="BH5"/>
      <c r="BI5"/>
    </row>
    <row r="6" spans="1:61">
      <c r="A6">
        <v>1927</v>
      </c>
      <c r="F6" s="12"/>
      <c r="G6" s="23"/>
      <c r="H6" s="12"/>
      <c r="I6" s="12"/>
      <c r="J6" s="23"/>
      <c r="O6"/>
      <c r="P6" s="23"/>
      <c r="Q6"/>
      <c r="R6"/>
      <c r="X6"/>
      <c r="AF6" s="9">
        <v>1927</v>
      </c>
      <c r="AG6" s="3"/>
      <c r="AH6" s="3"/>
      <c r="AI6" s="3"/>
      <c r="AJ6" s="3"/>
      <c r="AK6" s="3"/>
      <c r="AL6" s="3"/>
      <c r="AM6" s="3"/>
      <c r="AN6" s="3"/>
      <c r="AO6" s="3"/>
      <c r="AP6" s="3"/>
      <c r="BC6"/>
      <c r="BD6"/>
      <c r="BE6"/>
      <c r="BF6"/>
      <c r="BG6"/>
      <c r="BH6"/>
      <c r="BI6"/>
    </row>
    <row r="7" spans="1:61">
      <c r="A7">
        <v>1928</v>
      </c>
      <c r="F7" s="12"/>
      <c r="G7" s="23"/>
      <c r="H7" s="12"/>
      <c r="I7" s="12"/>
      <c r="J7" s="23"/>
      <c r="O7"/>
      <c r="P7" s="23"/>
      <c r="Q7"/>
      <c r="R7"/>
      <c r="X7"/>
      <c r="AF7" s="9">
        <v>1928</v>
      </c>
      <c r="AG7" s="3"/>
      <c r="AH7" s="3"/>
      <c r="AI7" s="3"/>
      <c r="AJ7" s="3"/>
      <c r="AK7" s="3"/>
      <c r="AL7" s="3"/>
      <c r="AM7" s="3"/>
      <c r="AN7" s="3"/>
      <c r="AO7" s="3"/>
      <c r="AP7" s="3"/>
      <c r="BC7"/>
      <c r="BD7"/>
      <c r="BE7"/>
      <c r="BF7"/>
      <c r="BG7"/>
      <c r="BH7"/>
      <c r="BI7"/>
    </row>
    <row r="8" spans="1:61">
      <c r="A8">
        <v>1929</v>
      </c>
      <c r="F8" s="12"/>
      <c r="G8" s="23"/>
      <c r="H8" s="12"/>
      <c r="I8" s="12"/>
      <c r="J8" s="23"/>
      <c r="O8"/>
      <c r="P8" s="23"/>
      <c r="Q8"/>
      <c r="R8"/>
      <c r="X8"/>
      <c r="AF8" s="9">
        <v>1929</v>
      </c>
      <c r="AG8" s="3"/>
      <c r="AH8" s="3"/>
      <c r="AI8" s="3"/>
      <c r="AJ8" s="3"/>
      <c r="AK8" s="3"/>
      <c r="AL8" s="3"/>
      <c r="AM8" s="3"/>
      <c r="AN8" s="3"/>
      <c r="AO8" s="3"/>
      <c r="AP8" s="3"/>
      <c r="BC8"/>
      <c r="BD8"/>
      <c r="BE8"/>
      <c r="BF8"/>
      <c r="BG8"/>
      <c r="BH8"/>
      <c r="BI8"/>
    </row>
    <row r="9" spans="1:61">
      <c r="A9">
        <v>1930</v>
      </c>
      <c r="F9" s="12"/>
      <c r="G9" s="23"/>
      <c r="H9" s="12"/>
      <c r="I9" s="12"/>
      <c r="J9" s="23"/>
      <c r="O9"/>
      <c r="P9" s="23"/>
      <c r="Q9"/>
      <c r="R9"/>
      <c r="X9"/>
      <c r="AF9" s="9">
        <v>1930</v>
      </c>
      <c r="AG9" s="3"/>
      <c r="AH9" s="3"/>
      <c r="AI9" s="3"/>
      <c r="AJ9" s="3"/>
      <c r="AK9" s="3"/>
      <c r="AL9" s="3"/>
      <c r="AM9" s="3"/>
      <c r="AN9" s="3"/>
      <c r="AO9" s="3"/>
      <c r="AP9" s="3"/>
      <c r="BC9"/>
      <c r="BD9"/>
      <c r="BE9"/>
      <c r="BF9"/>
      <c r="BG9"/>
      <c r="BH9"/>
      <c r="BI9"/>
    </row>
    <row r="10" spans="1:61">
      <c r="A10">
        <v>1931</v>
      </c>
      <c r="F10" s="12"/>
      <c r="G10" s="23"/>
      <c r="H10" s="12"/>
      <c r="I10" s="12"/>
      <c r="J10" s="23"/>
      <c r="O10"/>
      <c r="P10" s="23"/>
      <c r="Q10"/>
      <c r="R10"/>
      <c r="X10"/>
      <c r="AF10" s="9">
        <v>1931</v>
      </c>
      <c r="AG10" s="3"/>
      <c r="AH10" s="3"/>
      <c r="AI10" s="3"/>
      <c r="AJ10" s="3"/>
      <c r="AK10" s="3"/>
      <c r="AL10" s="3"/>
      <c r="AM10" s="3"/>
      <c r="AN10" s="3"/>
      <c r="AO10" s="3"/>
      <c r="AP10" s="3"/>
      <c r="BC10"/>
      <c r="BD10"/>
      <c r="BE10"/>
      <c r="BF10"/>
      <c r="BG10"/>
      <c r="BH10"/>
      <c r="BI10"/>
    </row>
    <row r="11" spans="1:61">
      <c r="A11">
        <v>1932</v>
      </c>
      <c r="F11" s="12"/>
      <c r="G11" s="23"/>
      <c r="H11" s="12"/>
      <c r="I11" s="12"/>
      <c r="J11" s="23"/>
      <c r="O11"/>
      <c r="P11" s="23"/>
      <c r="Q11"/>
      <c r="R11"/>
      <c r="X11"/>
      <c r="AF11" s="9">
        <v>1932</v>
      </c>
      <c r="AG11" s="3"/>
      <c r="AH11" s="3"/>
      <c r="AI11" s="3"/>
      <c r="AJ11" s="3"/>
      <c r="AK11" s="3"/>
      <c r="AL11" s="3"/>
      <c r="AM11" s="3"/>
      <c r="AN11" s="3"/>
      <c r="AO11" s="3"/>
      <c r="AP11" s="3"/>
      <c r="BC11"/>
      <c r="BD11"/>
      <c r="BE11"/>
      <c r="BF11"/>
      <c r="BG11"/>
      <c r="BH11"/>
      <c r="BI11"/>
    </row>
    <row r="12" spans="1:61">
      <c r="A12">
        <v>1933</v>
      </c>
      <c r="F12" s="12"/>
      <c r="G12" s="23"/>
      <c r="H12" s="12"/>
      <c r="I12" s="12"/>
      <c r="J12" s="23"/>
      <c r="O12"/>
      <c r="P12" s="23"/>
      <c r="Q12"/>
      <c r="R12"/>
      <c r="X12"/>
      <c r="AF12" s="9">
        <v>1933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BC12"/>
      <c r="BD12"/>
      <c r="BE12"/>
      <c r="BF12"/>
      <c r="BG12"/>
      <c r="BH12"/>
      <c r="BI12"/>
    </row>
    <row r="13" spans="1:61">
      <c r="A13">
        <v>1934</v>
      </c>
      <c r="F13" s="12"/>
      <c r="G13" s="23"/>
      <c r="H13" s="12"/>
      <c r="I13" s="12"/>
      <c r="J13" s="23"/>
      <c r="O13"/>
      <c r="P13" s="23"/>
      <c r="Q13"/>
      <c r="R13"/>
      <c r="X13"/>
      <c r="AF13" s="9">
        <v>1934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BC13"/>
      <c r="BD13"/>
      <c r="BE13"/>
      <c r="BF13"/>
      <c r="BG13"/>
      <c r="BH13"/>
      <c r="BI13"/>
    </row>
    <row r="14" spans="1:61">
      <c r="A14">
        <v>1935</v>
      </c>
      <c r="F14" s="12"/>
      <c r="G14" s="23"/>
      <c r="H14" s="12"/>
      <c r="I14" s="12"/>
      <c r="J14" s="23"/>
      <c r="O14"/>
      <c r="P14" s="23"/>
      <c r="Q14"/>
      <c r="R14"/>
      <c r="X14"/>
      <c r="AF14" s="9">
        <v>1935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BC14"/>
      <c r="BD14"/>
      <c r="BE14"/>
      <c r="BF14"/>
      <c r="BG14"/>
      <c r="BH14"/>
      <c r="BI14"/>
    </row>
    <row r="15" spans="1:61">
      <c r="A15">
        <v>1936</v>
      </c>
      <c r="F15" s="12"/>
      <c r="G15" s="23"/>
      <c r="H15" s="12"/>
      <c r="I15" s="12"/>
      <c r="J15" s="23"/>
      <c r="O15"/>
      <c r="P15" s="23"/>
      <c r="Q15"/>
      <c r="R15"/>
      <c r="X15"/>
      <c r="AF15" s="9">
        <v>1936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BC15"/>
      <c r="BD15"/>
      <c r="BE15"/>
      <c r="BF15"/>
      <c r="BG15"/>
      <c r="BH15"/>
      <c r="BI15"/>
    </row>
    <row r="16" spans="1:61">
      <c r="A16">
        <v>1937</v>
      </c>
      <c r="F16" s="12"/>
      <c r="G16" s="23"/>
      <c r="H16" s="12"/>
      <c r="I16" s="12"/>
      <c r="J16" s="23"/>
      <c r="O16"/>
      <c r="P16" s="23"/>
      <c r="Q16"/>
      <c r="R16"/>
      <c r="X16"/>
      <c r="AF16" s="9">
        <v>1937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BC16"/>
      <c r="BD16"/>
      <c r="BE16"/>
      <c r="BF16"/>
      <c r="BG16"/>
      <c r="BH16"/>
      <c r="BI16"/>
    </row>
    <row r="17" spans="1:61">
      <c r="A17">
        <v>1938</v>
      </c>
      <c r="F17" s="12"/>
      <c r="G17" s="23"/>
      <c r="H17" s="12"/>
      <c r="I17" s="12"/>
      <c r="J17" s="23"/>
      <c r="O17"/>
      <c r="P17" s="23"/>
      <c r="Q17"/>
      <c r="R17"/>
      <c r="X17"/>
      <c r="AF17" s="9">
        <v>1938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BC17"/>
      <c r="BD17"/>
      <c r="BE17"/>
      <c r="BF17"/>
      <c r="BG17"/>
      <c r="BH17"/>
      <c r="BI17"/>
    </row>
    <row r="18" spans="1:61">
      <c r="A18">
        <v>1939</v>
      </c>
      <c r="F18" s="12"/>
      <c r="G18" s="23"/>
      <c r="H18" s="12"/>
      <c r="I18" s="12"/>
      <c r="J18" s="23"/>
      <c r="O18"/>
      <c r="P18" s="23"/>
      <c r="Q18"/>
      <c r="R18"/>
      <c r="X18"/>
      <c r="AF18" s="9">
        <v>1939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BC18"/>
      <c r="BD18"/>
      <c r="BE18"/>
      <c r="BF18"/>
      <c r="BG18"/>
      <c r="BH18"/>
      <c r="BI18"/>
    </row>
    <row r="19" spans="1:61">
      <c r="A19">
        <v>1940</v>
      </c>
      <c r="F19" s="12"/>
      <c r="G19" s="23"/>
      <c r="H19" s="12"/>
      <c r="I19" s="12"/>
      <c r="J19" s="23"/>
      <c r="O19"/>
      <c r="P19" s="23"/>
      <c r="Q19"/>
      <c r="R19"/>
      <c r="X19"/>
      <c r="AF19" s="9">
        <v>1940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BC19"/>
      <c r="BD19"/>
      <c r="BE19"/>
      <c r="BF19"/>
      <c r="BG19"/>
      <c r="BH19"/>
      <c r="BI19"/>
    </row>
    <row r="20" spans="1:61">
      <c r="A20">
        <v>1941</v>
      </c>
      <c r="F20" s="12"/>
      <c r="G20" s="23"/>
      <c r="H20" s="12"/>
      <c r="I20" s="12"/>
      <c r="J20" s="23"/>
      <c r="O20"/>
      <c r="P20" s="23"/>
      <c r="Q20"/>
      <c r="R20"/>
      <c r="X20"/>
      <c r="AF20" s="9">
        <v>1941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BC20"/>
      <c r="BD20"/>
      <c r="BE20"/>
      <c r="BF20"/>
      <c r="BG20"/>
      <c r="BH20"/>
      <c r="BI20"/>
    </row>
    <row r="21" spans="1:61">
      <c r="A21">
        <v>1942</v>
      </c>
      <c r="F21" s="12"/>
      <c r="G21" s="23"/>
      <c r="H21" s="12"/>
      <c r="I21" s="12"/>
      <c r="J21" s="23"/>
      <c r="O21"/>
      <c r="P21" s="23"/>
      <c r="Q21"/>
      <c r="R21"/>
      <c r="X21"/>
      <c r="AF21" s="9">
        <v>1942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BC21"/>
      <c r="BD21"/>
      <c r="BE21"/>
      <c r="BF21"/>
      <c r="BG21"/>
      <c r="BH21"/>
      <c r="BI21"/>
    </row>
    <row r="22" spans="1:61">
      <c r="A22">
        <v>1943</v>
      </c>
      <c r="F22" s="12"/>
      <c r="G22" s="23"/>
      <c r="H22" s="12"/>
      <c r="I22" s="12"/>
      <c r="J22" s="23"/>
      <c r="O22"/>
      <c r="P22" s="23"/>
      <c r="Q22"/>
      <c r="R22"/>
      <c r="X22"/>
      <c r="AF22" s="9">
        <v>1943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BC22"/>
      <c r="BD22"/>
      <c r="BE22"/>
      <c r="BF22"/>
      <c r="BG22"/>
      <c r="BH22"/>
      <c r="BI22"/>
    </row>
    <row r="23" spans="1:61">
      <c r="A23">
        <v>1944</v>
      </c>
      <c r="F23" s="12"/>
      <c r="G23" s="23"/>
      <c r="H23" s="12"/>
      <c r="I23" s="12"/>
      <c r="J23" s="23"/>
      <c r="O23"/>
      <c r="P23" s="23"/>
      <c r="Q23"/>
      <c r="R23"/>
      <c r="X23"/>
      <c r="AF23" s="9">
        <v>1944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BC23"/>
      <c r="BD23"/>
      <c r="BE23"/>
      <c r="BF23"/>
      <c r="BG23"/>
      <c r="BH23"/>
      <c r="BI23"/>
    </row>
    <row r="24" spans="1:61">
      <c r="A24">
        <v>1945</v>
      </c>
      <c r="F24" s="12"/>
      <c r="G24" s="23"/>
      <c r="H24" s="12"/>
      <c r="I24" s="12"/>
      <c r="J24" s="23"/>
      <c r="O24"/>
      <c r="P24" s="23"/>
      <c r="Q24"/>
      <c r="R24"/>
      <c r="X24"/>
      <c r="AF24" s="9">
        <v>1945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BC24"/>
      <c r="BD24"/>
      <c r="BE24"/>
      <c r="BF24"/>
      <c r="BG24"/>
      <c r="BH24"/>
      <c r="BI24"/>
    </row>
    <row r="25" spans="1:61">
      <c r="A25">
        <v>1946</v>
      </c>
      <c r="F25" s="12"/>
      <c r="G25" s="23"/>
      <c r="H25" s="12"/>
      <c r="I25" s="12"/>
      <c r="J25" s="23"/>
      <c r="O25"/>
      <c r="P25" s="23"/>
      <c r="Q25"/>
      <c r="R25"/>
      <c r="X25"/>
      <c r="AF25" s="9">
        <v>1946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BC25"/>
      <c r="BD25"/>
      <c r="BE25"/>
      <c r="BF25"/>
      <c r="BG25"/>
      <c r="BH25"/>
      <c r="BI25"/>
    </row>
    <row r="26" spans="1:61">
      <c r="A26">
        <v>1947</v>
      </c>
      <c r="F26" s="12"/>
      <c r="G26" s="23"/>
      <c r="H26" s="12"/>
      <c r="I26" s="12"/>
      <c r="J26" s="23"/>
      <c r="O26"/>
      <c r="P26" s="23"/>
      <c r="Q26"/>
      <c r="R26"/>
      <c r="X26"/>
      <c r="AF26" s="9">
        <v>1947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BC26"/>
      <c r="BD26"/>
      <c r="BE26"/>
      <c r="BF26"/>
      <c r="BG26"/>
      <c r="BH26"/>
      <c r="BI26"/>
    </row>
    <row r="27" spans="1:61">
      <c r="A27">
        <v>1948</v>
      </c>
      <c r="F27" s="12"/>
      <c r="G27" s="23"/>
      <c r="H27" s="12"/>
      <c r="I27" s="12"/>
      <c r="J27" s="23"/>
      <c r="O27"/>
      <c r="P27" s="23"/>
      <c r="Q27"/>
      <c r="R27"/>
      <c r="X27"/>
      <c r="AF27" s="9">
        <v>1948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BC27"/>
      <c r="BD27"/>
      <c r="BE27"/>
      <c r="BF27"/>
      <c r="BG27"/>
      <c r="BH27"/>
      <c r="BI27"/>
    </row>
    <row r="28" spans="1:61">
      <c r="A28">
        <v>1949</v>
      </c>
      <c r="F28" s="12"/>
      <c r="G28" s="23"/>
      <c r="H28" s="12"/>
      <c r="I28" s="12"/>
      <c r="J28" s="23"/>
      <c r="O28"/>
      <c r="P28" s="23"/>
      <c r="Q28"/>
      <c r="R28"/>
      <c r="X28"/>
      <c r="AF28" s="9">
        <v>1949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BC28"/>
      <c r="BD28"/>
      <c r="BE28"/>
      <c r="BF28"/>
      <c r="BG28"/>
      <c r="BH28"/>
      <c r="BI28"/>
    </row>
    <row r="29" spans="1:61">
      <c r="A29">
        <v>1950</v>
      </c>
      <c r="F29" s="12"/>
      <c r="G29" s="23"/>
      <c r="H29" s="12"/>
      <c r="I29" s="12"/>
      <c r="J29" s="23"/>
      <c r="O29"/>
      <c r="P29" s="23"/>
      <c r="Q29"/>
      <c r="R29"/>
      <c r="X29"/>
      <c r="AF29" s="9">
        <v>1950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BC29"/>
      <c r="BD29"/>
      <c r="BE29"/>
      <c r="BF29"/>
      <c r="BG29"/>
      <c r="BH29"/>
      <c r="BI29"/>
    </row>
    <row r="30" spans="1:61">
      <c r="A30">
        <v>1951</v>
      </c>
      <c r="F30" s="12"/>
      <c r="G30" s="23"/>
      <c r="H30" s="12"/>
      <c r="I30" s="12"/>
      <c r="J30" s="23"/>
      <c r="O30"/>
      <c r="P30" s="23"/>
      <c r="Q30"/>
      <c r="R30"/>
      <c r="X30"/>
      <c r="AF30" s="9">
        <v>1951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BC30"/>
      <c r="BD30"/>
      <c r="BE30"/>
      <c r="BF30"/>
      <c r="BG30"/>
      <c r="BH30"/>
      <c r="BI30"/>
    </row>
    <row r="31" spans="1:61">
      <c r="A31">
        <v>1952</v>
      </c>
      <c r="F31" s="12"/>
      <c r="G31" s="23"/>
      <c r="H31" s="12"/>
      <c r="I31" s="12"/>
      <c r="J31" s="23"/>
      <c r="O31"/>
      <c r="P31" s="23"/>
      <c r="Q31"/>
      <c r="R31"/>
      <c r="X31"/>
      <c r="AF31" s="9">
        <v>1952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BC31"/>
      <c r="BD31"/>
      <c r="BE31"/>
      <c r="BF31"/>
      <c r="BG31"/>
      <c r="BH31"/>
      <c r="BI31"/>
    </row>
    <row r="32" spans="1:61">
      <c r="A32">
        <v>1953</v>
      </c>
      <c r="F32" s="12"/>
      <c r="G32" s="23"/>
      <c r="H32" s="12"/>
      <c r="I32" s="12"/>
      <c r="J32" s="23"/>
      <c r="O32"/>
      <c r="P32" s="23"/>
      <c r="Q32"/>
      <c r="R32"/>
      <c r="X32"/>
      <c r="AF32" s="9">
        <v>1953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BC32"/>
      <c r="BD32"/>
      <c r="BE32"/>
      <c r="BF32"/>
      <c r="BG32"/>
      <c r="BH32"/>
      <c r="BI32"/>
    </row>
    <row r="33" spans="1:61">
      <c r="A33">
        <v>1954</v>
      </c>
      <c r="F33" s="12"/>
      <c r="G33" s="23"/>
      <c r="H33" s="12"/>
      <c r="I33" s="12"/>
      <c r="J33" s="23"/>
      <c r="O33"/>
      <c r="P33" s="23"/>
      <c r="Q33"/>
      <c r="R33"/>
      <c r="X33"/>
      <c r="AF33" s="9">
        <v>1954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BC33"/>
      <c r="BD33"/>
      <c r="BE33"/>
      <c r="BF33"/>
      <c r="BG33"/>
      <c r="BH33"/>
      <c r="BI33"/>
    </row>
    <row r="34" spans="1:61">
      <c r="A34">
        <v>1955</v>
      </c>
      <c r="F34" s="12"/>
      <c r="G34" s="23"/>
      <c r="H34" s="12"/>
      <c r="I34" s="12"/>
      <c r="J34" s="23"/>
      <c r="O34"/>
      <c r="P34" s="23"/>
      <c r="Q34"/>
      <c r="R34"/>
      <c r="X34"/>
      <c r="AF34" s="9">
        <v>1955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BC34"/>
      <c r="BD34"/>
      <c r="BE34"/>
      <c r="BF34"/>
      <c r="BG34"/>
      <c r="BH34"/>
      <c r="BI34"/>
    </row>
    <row r="35" spans="1:61">
      <c r="A35">
        <v>1956</v>
      </c>
      <c r="F35" s="12"/>
      <c r="G35" s="23"/>
      <c r="H35" s="12"/>
      <c r="I35" s="12"/>
      <c r="J35" s="23"/>
      <c r="O35"/>
      <c r="P35" s="23"/>
      <c r="Q35"/>
      <c r="R35"/>
      <c r="X35"/>
      <c r="AF35" s="9">
        <v>1956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BC35"/>
      <c r="BD35"/>
      <c r="BE35"/>
      <c r="BF35"/>
      <c r="BG35"/>
      <c r="BH35"/>
      <c r="BI35"/>
    </row>
    <row r="36" spans="1:61">
      <c r="A36">
        <v>1957</v>
      </c>
      <c r="F36" s="12"/>
      <c r="G36" s="23"/>
      <c r="H36" s="12"/>
      <c r="I36" s="12"/>
      <c r="J36" s="23"/>
      <c r="O36"/>
      <c r="P36" s="23"/>
      <c r="Q36"/>
      <c r="R36"/>
      <c r="X36"/>
      <c r="AF36" s="9">
        <v>1957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BC36"/>
      <c r="BD36"/>
      <c r="BE36"/>
      <c r="BF36"/>
      <c r="BG36"/>
      <c r="BH36"/>
      <c r="BI36"/>
    </row>
    <row r="37" spans="1:61">
      <c r="A37">
        <v>1958</v>
      </c>
      <c r="F37" s="12"/>
      <c r="G37" s="23"/>
      <c r="H37" s="12"/>
      <c r="I37" s="12"/>
      <c r="J37" s="23"/>
      <c r="O37"/>
      <c r="P37" s="23"/>
      <c r="Q37"/>
      <c r="R37"/>
      <c r="X37"/>
      <c r="AF37" s="9">
        <v>1958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BC37"/>
      <c r="BD37"/>
      <c r="BE37"/>
      <c r="BF37"/>
      <c r="BG37"/>
      <c r="BH37"/>
      <c r="BI37"/>
    </row>
    <row r="38" spans="1:61">
      <c r="A38">
        <v>1959</v>
      </c>
      <c r="F38" s="12"/>
      <c r="G38" s="23"/>
      <c r="H38" s="12"/>
      <c r="I38" s="12"/>
      <c r="J38" s="23"/>
      <c r="O38"/>
      <c r="P38" s="23"/>
      <c r="Q38"/>
      <c r="R38"/>
      <c r="X38"/>
      <c r="AF38" s="9">
        <v>1959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BC38"/>
      <c r="BD38"/>
      <c r="BE38"/>
      <c r="BF38"/>
      <c r="BG38"/>
      <c r="BH38"/>
      <c r="BI38"/>
    </row>
    <row r="39" spans="1:61">
      <c r="A39">
        <v>1960</v>
      </c>
      <c r="F39" s="12"/>
      <c r="G39" s="23"/>
      <c r="H39" s="12"/>
      <c r="I39" s="12"/>
      <c r="J39" s="23"/>
      <c r="O39"/>
      <c r="P39" s="23"/>
      <c r="Q39"/>
      <c r="R39"/>
      <c r="X39"/>
      <c r="AF39" s="9">
        <v>1960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BC39"/>
      <c r="BD39"/>
      <c r="BE39"/>
      <c r="BF39"/>
      <c r="BG39"/>
      <c r="BH39"/>
      <c r="BI39"/>
    </row>
    <row r="40" spans="1:61">
      <c r="A40">
        <v>1961</v>
      </c>
      <c r="F40" s="12"/>
      <c r="G40" s="23"/>
      <c r="H40" s="12"/>
      <c r="I40" s="12"/>
      <c r="J40" s="23"/>
      <c r="O40"/>
      <c r="P40" s="23"/>
      <c r="Q40"/>
      <c r="R40"/>
      <c r="X40"/>
      <c r="AF40" s="9">
        <v>1961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BC40"/>
      <c r="BD40"/>
      <c r="BE40"/>
      <c r="BF40"/>
      <c r="BG40"/>
      <c r="BH40"/>
      <c r="BI40"/>
    </row>
    <row r="41" spans="1:61">
      <c r="A41">
        <v>1962</v>
      </c>
      <c r="F41" s="12"/>
      <c r="G41" s="23"/>
      <c r="H41" s="12"/>
      <c r="I41" s="12"/>
      <c r="J41" s="23"/>
      <c r="O41"/>
      <c r="P41" s="23"/>
      <c r="Q41"/>
      <c r="R41"/>
      <c r="X41"/>
      <c r="AF41" s="9">
        <v>1962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BC41"/>
      <c r="BD41"/>
      <c r="BE41"/>
      <c r="BF41"/>
      <c r="BG41"/>
      <c r="BH41"/>
      <c r="BI41"/>
    </row>
    <row r="42" spans="1:61">
      <c r="A42">
        <v>1963</v>
      </c>
      <c r="F42" s="12"/>
      <c r="G42" s="23"/>
      <c r="H42" s="12"/>
      <c r="I42" s="12"/>
      <c r="J42" s="23"/>
      <c r="O42"/>
      <c r="P42" s="23"/>
      <c r="Q42"/>
      <c r="R42"/>
      <c r="X42"/>
      <c r="AF42" s="9">
        <v>1963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BC42"/>
      <c r="BD42"/>
      <c r="BE42"/>
      <c r="BF42"/>
      <c r="BG42"/>
      <c r="BH42"/>
      <c r="BI42"/>
    </row>
    <row r="43" spans="1:61">
      <c r="A43">
        <v>1964</v>
      </c>
      <c r="G43" s="23"/>
      <c r="H43" s="12"/>
      <c r="I43" s="12"/>
      <c r="J43" s="23"/>
      <c r="O43"/>
      <c r="P43" s="23"/>
      <c r="Q43"/>
      <c r="R43"/>
      <c r="X43"/>
      <c r="AF43" s="9">
        <v>1964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BC43"/>
      <c r="BD43"/>
      <c r="BE43"/>
      <c r="BF43"/>
      <c r="BG43"/>
      <c r="BH43"/>
      <c r="BI43"/>
    </row>
    <row r="44" spans="1:61">
      <c r="A44">
        <v>1965</v>
      </c>
      <c r="C44" s="3">
        <f>CPIs!AB4</f>
        <v>14.444279282050514</v>
      </c>
      <c r="D44" s="69"/>
      <c r="G44" s="23"/>
      <c r="H44" s="12"/>
      <c r="I44" s="12"/>
      <c r="J44" s="27"/>
      <c r="O44"/>
      <c r="P44" s="23"/>
      <c r="Q44"/>
      <c r="R44"/>
      <c r="V44" s="3">
        <f t="shared" ref="V44:V77" si="0">E44*Q44</f>
        <v>0</v>
      </c>
      <c r="X44" s="3"/>
      <c r="AF44" s="9">
        <v>1965</v>
      </c>
      <c r="AG44" s="3"/>
      <c r="AH44" s="3"/>
      <c r="AI44" s="3"/>
      <c r="AJ44" s="3"/>
      <c r="AK44" s="3"/>
      <c r="AL44" s="3"/>
      <c r="AM44" s="3"/>
      <c r="AN44" s="3">
        <f>CPIs!O4</f>
        <v>3.4842846884494669</v>
      </c>
      <c r="AO44" s="3"/>
      <c r="AP44" s="7"/>
      <c r="AQ44" s="7"/>
      <c r="AR44" s="7"/>
      <c r="AS44" s="7"/>
      <c r="AT44" s="7"/>
      <c r="AU44" s="7"/>
      <c r="AV44" s="7"/>
      <c r="BA44" s="7"/>
      <c r="BB44" s="7"/>
      <c r="BC44"/>
      <c r="BD44"/>
      <c r="BE44"/>
      <c r="BF44"/>
      <c r="BG44"/>
      <c r="BH44"/>
      <c r="BI44"/>
    </row>
    <row r="45" spans="1:61">
      <c r="A45">
        <v>1966</v>
      </c>
      <c r="C45" s="3">
        <f>CPIs!AB5</f>
        <v>14.856972975823387</v>
      </c>
      <c r="D45" s="69"/>
      <c r="G45" s="23"/>
      <c r="H45" s="12"/>
      <c r="I45" s="12"/>
      <c r="J45" s="27"/>
      <c r="O45"/>
      <c r="P45" s="23"/>
      <c r="Q45"/>
      <c r="R45"/>
      <c r="V45" s="3">
        <f t="shared" si="0"/>
        <v>0</v>
      </c>
      <c r="X45" s="3"/>
      <c r="AF45" s="9">
        <v>1966</v>
      </c>
      <c r="AG45" s="3"/>
      <c r="AH45" s="3"/>
      <c r="AI45" s="3"/>
      <c r="AJ45" s="3"/>
      <c r="AK45" s="3"/>
      <c r="AL45" s="3"/>
      <c r="AM45" s="3"/>
      <c r="AN45" s="3">
        <f>CPIs!O5</f>
        <v>3.8609641141995366</v>
      </c>
      <c r="AO45" s="3"/>
      <c r="AP45" s="7"/>
      <c r="AQ45" s="7"/>
      <c r="AR45" s="7"/>
      <c r="AS45" s="7"/>
      <c r="AT45" s="7"/>
      <c r="AU45" s="7"/>
      <c r="AV45" s="7"/>
      <c r="BA45" s="7"/>
      <c r="BB45" s="7"/>
      <c r="BC45"/>
      <c r="BD45"/>
      <c r="BE45"/>
      <c r="BF45"/>
      <c r="BG45"/>
      <c r="BH45"/>
      <c r="BI45"/>
    </row>
    <row r="46" spans="1:61">
      <c r="A46">
        <v>1967</v>
      </c>
      <c r="C46" s="3">
        <f>CPIs!AB6</f>
        <v>15.315521524459911</v>
      </c>
      <c r="D46" s="69"/>
      <c r="G46" s="23"/>
      <c r="H46" s="12"/>
      <c r="I46" s="12"/>
      <c r="J46" s="27"/>
      <c r="O46"/>
      <c r="P46" s="23"/>
      <c r="Q46"/>
      <c r="R46"/>
      <c r="V46" s="3">
        <f t="shared" si="0"/>
        <v>0</v>
      </c>
      <c r="X46" s="3"/>
      <c r="AF46" s="9">
        <v>1967</v>
      </c>
      <c r="AG46" s="3"/>
      <c r="AH46" s="3"/>
      <c r="AI46" s="3"/>
      <c r="AJ46" s="3"/>
      <c r="AK46" s="3"/>
      <c r="AL46" s="3"/>
      <c r="AM46" s="3"/>
      <c r="AN46" s="3">
        <f>CPIs!O6</f>
        <v>4.3649472348113489</v>
      </c>
      <c r="AO46" s="3"/>
      <c r="AP46" s="7"/>
      <c r="AQ46" s="7"/>
      <c r="AR46" s="7"/>
      <c r="AS46" s="7"/>
      <c r="AT46" s="7"/>
      <c r="AU46" s="7"/>
      <c r="AV46" s="7"/>
      <c r="BA46" s="7"/>
      <c r="BB46" s="7"/>
      <c r="BC46"/>
      <c r="BD46"/>
      <c r="BE46"/>
      <c r="BF46"/>
      <c r="BG46"/>
      <c r="BH46"/>
      <c r="BI46"/>
    </row>
    <row r="47" spans="1:61">
      <c r="A47">
        <v>1968</v>
      </c>
      <c r="C47" s="3">
        <f>CPIs!AB7</f>
        <v>15.957489492551044</v>
      </c>
      <c r="D47" s="69"/>
      <c r="G47" s="23"/>
      <c r="H47" s="12"/>
      <c r="I47" s="12"/>
      <c r="J47" s="27"/>
      <c r="O47"/>
      <c r="P47" s="23"/>
      <c r="Q47"/>
      <c r="R47"/>
      <c r="V47" s="3">
        <f t="shared" si="0"/>
        <v>0</v>
      </c>
      <c r="X47" s="3"/>
      <c r="AF47" s="9">
        <v>1968</v>
      </c>
      <c r="AG47" s="3"/>
      <c r="AH47" s="3"/>
      <c r="AI47" s="3"/>
      <c r="AJ47" s="3"/>
      <c r="AK47" s="3"/>
      <c r="AL47" s="3"/>
      <c r="AM47" s="3"/>
      <c r="AN47" s="3">
        <f>CPIs!O7</f>
        <v>4.4957387021027087</v>
      </c>
      <c r="AO47" s="3"/>
      <c r="AP47" s="7"/>
      <c r="AQ47" s="7"/>
      <c r="AR47" s="7"/>
      <c r="AS47" s="7"/>
      <c r="AT47" s="7"/>
      <c r="AU47" s="7"/>
      <c r="AV47" s="7"/>
      <c r="BA47" s="7"/>
      <c r="BB47" s="7"/>
      <c r="BC47"/>
      <c r="BD47"/>
      <c r="BE47"/>
      <c r="BF47"/>
      <c r="BG47"/>
      <c r="BH47"/>
      <c r="BI47"/>
    </row>
    <row r="48" spans="1:61">
      <c r="A48">
        <v>1969</v>
      </c>
      <c r="C48" s="3">
        <f>CPIs!AB8</f>
        <v>16.828731734960446</v>
      </c>
      <c r="D48" s="69"/>
      <c r="G48" s="23"/>
      <c r="H48" s="12"/>
      <c r="I48" s="12"/>
      <c r="J48" s="27"/>
      <c r="O48"/>
      <c r="P48" s="23"/>
      <c r="Q48"/>
      <c r="R48"/>
      <c r="V48" s="3">
        <f t="shared" si="0"/>
        <v>0</v>
      </c>
      <c r="X48" s="3"/>
      <c r="AF48" s="9">
        <v>1969</v>
      </c>
      <c r="AG48" s="3"/>
      <c r="AH48" s="3"/>
      <c r="AI48" s="3"/>
      <c r="AJ48" s="3"/>
      <c r="AK48" s="3"/>
      <c r="AL48" s="3"/>
      <c r="AM48" s="3"/>
      <c r="AN48" s="3">
        <f>CPIs!O8</f>
        <v>4.5215762808648945</v>
      </c>
      <c r="AO48" s="3"/>
      <c r="AP48" s="7"/>
      <c r="AQ48" s="7"/>
      <c r="AR48" s="7"/>
      <c r="AS48" s="7"/>
      <c r="AT48" s="7"/>
      <c r="AU48" s="7"/>
      <c r="AV48" s="7"/>
      <c r="BA48" s="7"/>
      <c r="BB48" s="7"/>
      <c r="BC48"/>
      <c r="BD48"/>
      <c r="BE48"/>
      <c r="BF48"/>
      <c r="BG48"/>
      <c r="BH48"/>
      <c r="BI48"/>
    </row>
    <row r="49" spans="1:61">
      <c r="A49">
        <v>1970</v>
      </c>
      <c r="C49" s="3">
        <f>CPIs!AB9</f>
        <v>17.791683687097141</v>
      </c>
      <c r="D49" s="69"/>
      <c r="G49" s="23"/>
      <c r="H49" s="12"/>
      <c r="I49" s="12"/>
      <c r="J49" s="27"/>
      <c r="O49"/>
      <c r="P49" s="23"/>
      <c r="Q49"/>
      <c r="R49"/>
      <c r="V49" s="3">
        <f t="shared" si="0"/>
        <v>0</v>
      </c>
      <c r="X49" s="3"/>
      <c r="AF49" s="9">
        <v>1970</v>
      </c>
      <c r="AG49" s="3"/>
      <c r="AH49" s="3"/>
      <c r="AI49" s="3"/>
      <c r="AJ49" s="3"/>
      <c r="AK49" s="3"/>
      <c r="AL49" s="3"/>
      <c r="AM49" s="3"/>
      <c r="AN49" s="3">
        <f>CPIs!O9</f>
        <v>4.7519613580220073</v>
      </c>
      <c r="AO49" s="3"/>
      <c r="AP49" s="7"/>
      <c r="AQ49" s="7"/>
      <c r="AR49" s="7"/>
      <c r="AS49" s="7"/>
      <c r="AT49" s="7"/>
      <c r="AU49" s="7"/>
      <c r="AV49" s="7"/>
      <c r="BA49" s="7"/>
      <c r="BB49" s="7"/>
      <c r="BC49"/>
      <c r="BD49"/>
      <c r="BE49"/>
      <c r="BF49"/>
      <c r="BG49"/>
      <c r="BH49"/>
      <c r="BI49"/>
    </row>
    <row r="50" spans="1:61">
      <c r="A50">
        <v>1971</v>
      </c>
      <c r="C50" s="3">
        <f>CPIs!AB10</f>
        <v>18.571216219779235</v>
      </c>
      <c r="D50" s="69"/>
      <c r="G50" s="23"/>
      <c r="H50" s="12"/>
      <c r="I50" s="12"/>
      <c r="J50" s="27"/>
      <c r="O50"/>
      <c r="P50" s="23"/>
      <c r="Q50"/>
      <c r="R50"/>
      <c r="V50" s="3">
        <f t="shared" si="0"/>
        <v>0</v>
      </c>
      <c r="X50" s="3"/>
      <c r="AF50" s="9">
        <v>1971</v>
      </c>
      <c r="AG50" s="3"/>
      <c r="AH50" s="3"/>
      <c r="AI50" s="3"/>
      <c r="AJ50" s="3"/>
      <c r="AK50" s="3"/>
      <c r="AL50" s="3"/>
      <c r="AM50" s="3"/>
      <c r="AN50" s="3">
        <f>CPIs!O10</f>
        <v>4.8983743042508303</v>
      </c>
      <c r="AO50" s="3"/>
      <c r="AP50" s="7"/>
      <c r="AQ50" s="7"/>
      <c r="AR50" s="7"/>
      <c r="AS50" s="7"/>
      <c r="AT50" s="7"/>
      <c r="AU50" s="7"/>
      <c r="AV50" s="7"/>
      <c r="BA50" s="7"/>
      <c r="BB50" s="7"/>
      <c r="BC50"/>
      <c r="BD50"/>
      <c r="BE50"/>
      <c r="BF50"/>
      <c r="BG50"/>
      <c r="BH50"/>
      <c r="BI50"/>
    </row>
    <row r="51" spans="1:61">
      <c r="A51">
        <v>1972</v>
      </c>
      <c r="C51" s="3">
        <f>CPIs!AB11</f>
        <v>19.167329333006716</v>
      </c>
      <c r="D51" s="69"/>
      <c r="G51" s="23"/>
      <c r="H51" s="12"/>
      <c r="I51" s="12"/>
      <c r="J51" s="27"/>
      <c r="O51"/>
      <c r="P51" s="23"/>
      <c r="Q51"/>
      <c r="R51"/>
      <c r="V51" s="3">
        <f t="shared" si="0"/>
        <v>0</v>
      </c>
      <c r="X51" s="3"/>
      <c r="AF51" s="9">
        <v>1972</v>
      </c>
      <c r="AG51" s="3"/>
      <c r="AH51" s="3"/>
      <c r="AI51" s="3"/>
      <c r="AJ51" s="3"/>
      <c r="AK51" s="3"/>
      <c r="AL51" s="3"/>
      <c r="AM51" s="3"/>
      <c r="AN51" s="3">
        <f>CPIs!O11</f>
        <v>5.2148846439327228</v>
      </c>
      <c r="AO51" s="3"/>
      <c r="AP51" s="7"/>
      <c r="AQ51" s="7"/>
      <c r="AR51" s="7"/>
      <c r="AS51" s="7"/>
      <c r="AT51" s="7"/>
      <c r="AU51" s="7"/>
      <c r="AV51" s="7"/>
      <c r="BA51" s="7"/>
      <c r="BB51" s="7"/>
      <c r="BC51"/>
      <c r="BD51"/>
      <c r="BE51"/>
      <c r="BF51"/>
      <c r="BG51"/>
      <c r="BH51"/>
      <c r="BI51"/>
    </row>
    <row r="52" spans="1:61">
      <c r="A52">
        <v>1973</v>
      </c>
      <c r="B52" s="3"/>
      <c r="C52" s="3">
        <f>CPIs!AB12</f>
        <v>20.359555559461679</v>
      </c>
      <c r="D52" s="69">
        <f>'Exchange Rates'!O12</f>
        <v>7.6540999999999997</v>
      </c>
      <c r="F52" s="21"/>
      <c r="G52" s="23"/>
      <c r="H52" s="12"/>
      <c r="I52" s="12"/>
      <c r="J52" s="27"/>
      <c r="K52" s="9">
        <f>USA!Z60*D52</f>
        <v>29.621366999999999</v>
      </c>
      <c r="O52"/>
      <c r="P52" s="23"/>
      <c r="Q52"/>
      <c r="R52"/>
      <c r="V52" s="3">
        <f t="shared" si="0"/>
        <v>0</v>
      </c>
      <c r="X52" s="3"/>
      <c r="AF52" s="9">
        <v>1973</v>
      </c>
      <c r="AG52" s="3"/>
      <c r="AH52" s="3"/>
      <c r="AI52" s="3"/>
      <c r="AJ52" s="3"/>
      <c r="AK52" s="3"/>
      <c r="AL52" s="3"/>
      <c r="AM52" s="3"/>
      <c r="AN52" s="3">
        <f>CPIs!O12</f>
        <v>6.0976685846572574</v>
      </c>
      <c r="AO52" s="3"/>
      <c r="AP52" s="7"/>
      <c r="AQ52" s="7"/>
      <c r="AR52" s="7"/>
      <c r="AS52" s="7"/>
      <c r="AT52" s="7"/>
      <c r="AU52" s="7"/>
      <c r="AV52" s="7"/>
      <c r="AW52" s="7"/>
      <c r="BA52" s="7"/>
      <c r="BB52" s="7"/>
      <c r="BC52"/>
      <c r="BD52"/>
      <c r="BE52"/>
      <c r="BF52"/>
      <c r="BG52"/>
      <c r="BH52"/>
      <c r="BI52"/>
    </row>
    <row r="53" spans="1:61">
      <c r="A53">
        <v>1974</v>
      </c>
      <c r="B53" s="3"/>
      <c r="C53" s="3">
        <f>CPIs!AB13</f>
        <v>22.606443447780649</v>
      </c>
      <c r="D53" s="69">
        <f>'Exchange Rates'!O13</f>
        <v>8.0289000000000001</v>
      </c>
      <c r="F53" s="21"/>
      <c r="G53" s="23"/>
      <c r="H53" s="12"/>
      <c r="I53" s="12"/>
      <c r="J53" s="27"/>
      <c r="K53" s="9">
        <f>USA!Z61*D53</f>
        <v>98.594892000000002</v>
      </c>
      <c r="O53"/>
      <c r="P53" s="23"/>
      <c r="Q53"/>
      <c r="R53"/>
      <c r="V53" s="3">
        <f t="shared" si="0"/>
        <v>0</v>
      </c>
      <c r="X53" s="3"/>
      <c r="AF53" s="9">
        <v>1974</v>
      </c>
      <c r="AG53" s="3"/>
      <c r="AH53" s="3"/>
      <c r="AI53" s="3"/>
      <c r="AJ53" s="3"/>
      <c r="AK53" s="3"/>
      <c r="AL53" s="3"/>
      <c r="AM53" s="3"/>
      <c r="AN53" s="3">
        <f>CPIs!O13</f>
        <v>7.8417051504736079</v>
      </c>
      <c r="AO53" s="3"/>
      <c r="AP53" s="7"/>
      <c r="AQ53" s="7"/>
      <c r="AR53" s="7"/>
      <c r="AS53" s="7"/>
      <c r="AT53" s="7"/>
      <c r="AU53" s="7"/>
      <c r="AV53" s="7"/>
      <c r="AW53" s="7"/>
      <c r="BA53" s="7"/>
      <c r="BB53" s="7"/>
      <c r="BC53"/>
      <c r="BD53"/>
      <c r="BE53"/>
      <c r="BF53"/>
      <c r="BG53"/>
      <c r="BH53"/>
      <c r="BI53"/>
    </row>
    <row r="54" spans="1:61">
      <c r="A54">
        <v>1975</v>
      </c>
      <c r="B54" s="3"/>
      <c r="C54" s="3">
        <f>CPIs!AB14</f>
        <v>24.681375630360922</v>
      </c>
      <c r="D54" s="69">
        <f>'Exchange Rates'!O14</f>
        <v>8.4085999999999999</v>
      </c>
      <c r="F54" s="21"/>
      <c r="G54" s="23"/>
      <c r="H54" s="12"/>
      <c r="I54" s="12"/>
      <c r="J54" s="27"/>
      <c r="K54" s="9">
        <f>USA!Z62*D54</f>
        <v>106.536962</v>
      </c>
      <c r="O54"/>
      <c r="P54" s="23"/>
      <c r="Q54"/>
      <c r="R54"/>
      <c r="V54" s="3">
        <f t="shared" si="0"/>
        <v>0</v>
      </c>
      <c r="X54" s="3"/>
      <c r="AF54" s="9">
        <v>1975</v>
      </c>
      <c r="AG54" s="3"/>
      <c r="AH54" s="3"/>
      <c r="AI54" s="3"/>
      <c r="AJ54" s="3"/>
      <c r="AK54" s="3"/>
      <c r="AL54" s="3"/>
      <c r="AM54" s="3"/>
      <c r="AN54" s="3">
        <f>CPIs!O14</f>
        <v>8.2917096470275062</v>
      </c>
      <c r="AO54" s="3"/>
      <c r="AP54" s="7"/>
      <c r="AQ54" s="7"/>
      <c r="AR54" s="7"/>
      <c r="AS54" s="7"/>
      <c r="AT54" s="7"/>
      <c r="AU54" s="7"/>
      <c r="AV54" s="7"/>
      <c r="AW54" s="7"/>
      <c r="BA54" s="7"/>
      <c r="BB54" s="7"/>
      <c r="BC54"/>
      <c r="BD54"/>
      <c r="BE54"/>
      <c r="BF54"/>
      <c r="BG54"/>
      <c r="BH54"/>
      <c r="BI54"/>
    </row>
    <row r="55" spans="1:61">
      <c r="A55">
        <v>1976</v>
      </c>
      <c r="B55" s="3"/>
      <c r="C55" s="3">
        <f>CPIs!AB15</f>
        <v>26.106697369039445</v>
      </c>
      <c r="D55" s="69">
        <f>'Exchange Rates'!O15</f>
        <v>8.9715000000000007</v>
      </c>
      <c r="F55" s="21"/>
      <c r="G55" s="23"/>
      <c r="H55" s="12"/>
      <c r="I55" s="12"/>
      <c r="J55" s="27"/>
      <c r="K55" s="9">
        <f>USA!Z63*D55</f>
        <v>119.50038000000001</v>
      </c>
      <c r="O55"/>
      <c r="P55" s="23"/>
      <c r="Q55"/>
      <c r="R55"/>
      <c r="V55" s="3">
        <f t="shared" si="0"/>
        <v>0</v>
      </c>
      <c r="X55" s="3"/>
      <c r="AF55" s="9">
        <v>1976</v>
      </c>
      <c r="AG55" s="3"/>
      <c r="AH55" s="3"/>
      <c r="AI55" s="3"/>
      <c r="AJ55" s="3"/>
      <c r="AK55" s="3"/>
      <c r="AL55" s="3"/>
      <c r="AM55" s="3"/>
      <c r="AN55" s="3">
        <f>CPIs!O15</f>
        <v>7.6586889676931422</v>
      </c>
      <c r="AO55" s="3"/>
      <c r="AP55" s="7"/>
      <c r="AQ55" s="7"/>
      <c r="AR55" s="7"/>
      <c r="AS55" s="7"/>
      <c r="AT55" s="7"/>
      <c r="AU55" s="7"/>
      <c r="AV55" s="7"/>
      <c r="AW55" s="7"/>
      <c r="BA55" s="7"/>
      <c r="BB55" s="7"/>
      <c r="BC55"/>
      <c r="BD55"/>
      <c r="BE55"/>
      <c r="BF55"/>
      <c r="BG55"/>
      <c r="BH55"/>
      <c r="BI55"/>
    </row>
    <row r="56" spans="1:61">
      <c r="A56">
        <v>1977</v>
      </c>
      <c r="B56" s="3"/>
      <c r="C56" s="3">
        <f>CPIs!AB16</f>
        <v>27.795684523183983</v>
      </c>
      <c r="D56" s="69">
        <f>'Exchange Rates'!O16</f>
        <v>8.7683</v>
      </c>
      <c r="F56" s="21"/>
      <c r="G56" s="23"/>
      <c r="H56" s="12"/>
      <c r="I56" s="12"/>
      <c r="J56" s="27"/>
      <c r="K56" s="9">
        <f>USA!Z64*D56</f>
        <v>125.91278799999999</v>
      </c>
      <c r="O56"/>
      <c r="P56" s="23"/>
      <c r="Q56"/>
      <c r="R56"/>
      <c r="V56" s="3">
        <f t="shared" si="0"/>
        <v>0</v>
      </c>
      <c r="X56" s="3"/>
      <c r="AF56" s="9">
        <v>1977</v>
      </c>
      <c r="AG56" s="3"/>
      <c r="AH56" s="3"/>
      <c r="AI56" s="3"/>
      <c r="AJ56" s="3"/>
      <c r="AK56" s="3"/>
      <c r="AL56" s="3"/>
      <c r="AM56" s="3"/>
      <c r="AN56" s="3">
        <f>CPIs!O16</f>
        <v>8.296015910172315</v>
      </c>
      <c r="AO56" s="3"/>
      <c r="AP56" s="7"/>
      <c r="AQ56" s="7"/>
      <c r="AR56" s="7"/>
      <c r="AS56" s="7"/>
      <c r="AT56" s="7"/>
      <c r="AU56" s="7"/>
      <c r="AV56" s="7"/>
      <c r="AW56" s="7"/>
      <c r="BA56" s="7"/>
      <c r="BB56" s="7"/>
      <c r="BC56"/>
      <c r="BD56"/>
      <c r="BE56"/>
      <c r="BF56"/>
      <c r="BG56"/>
      <c r="BH56"/>
      <c r="BI56"/>
    </row>
    <row r="57" spans="1:61">
      <c r="A57">
        <v>1978</v>
      </c>
      <c r="B57" s="3"/>
      <c r="C57" s="3">
        <f>CPIs!AB17</f>
        <v>29.916471560627922</v>
      </c>
      <c r="D57" s="69">
        <f>'Exchange Rates'!O17</f>
        <v>8.1979000000000006</v>
      </c>
      <c r="F57" s="21"/>
      <c r="G57" s="23"/>
      <c r="H57" s="12"/>
      <c r="I57" s="12"/>
      <c r="J57" s="27"/>
      <c r="K57" s="9">
        <f>USA!Z65*D57</f>
        <v>117.55788600000001</v>
      </c>
      <c r="O57"/>
      <c r="P57" s="23"/>
      <c r="Q57"/>
      <c r="R57"/>
      <c r="V57" s="3">
        <f t="shared" si="0"/>
        <v>0</v>
      </c>
      <c r="X57" s="3"/>
      <c r="AF57" s="9">
        <v>1978</v>
      </c>
      <c r="AG57" s="3"/>
      <c r="AH57" s="3"/>
      <c r="AI57" s="3"/>
      <c r="AJ57" s="3"/>
      <c r="AK57" s="3"/>
      <c r="AL57" s="3"/>
      <c r="AM57" s="3"/>
      <c r="AN57" s="3">
        <f>CPIs!O17</f>
        <v>8.5048696717722159</v>
      </c>
      <c r="AO57" s="3"/>
      <c r="AP57" s="7"/>
      <c r="AQ57" s="7"/>
      <c r="AR57" s="7"/>
      <c r="AS57" s="7"/>
      <c r="AT57" s="7"/>
      <c r="AU57" s="7"/>
      <c r="AV57" s="7"/>
      <c r="AW57" s="7"/>
      <c r="BA57" s="7"/>
      <c r="BB57" s="7"/>
      <c r="BC57"/>
      <c r="BD57"/>
      <c r="BE57"/>
      <c r="BF57"/>
      <c r="BG57"/>
      <c r="BH57"/>
      <c r="BI57"/>
    </row>
    <row r="58" spans="1:61">
      <c r="A58">
        <v>1979</v>
      </c>
      <c r="B58" s="3"/>
      <c r="C58" s="3">
        <f>CPIs!AB18</f>
        <v>33.282982155201061</v>
      </c>
      <c r="D58" s="69">
        <f>'Exchange Rates'!O18</f>
        <v>8.1563999999999997</v>
      </c>
      <c r="F58" s="21"/>
      <c r="G58" s="23"/>
      <c r="H58" s="12"/>
      <c r="I58" s="12"/>
      <c r="J58" s="27"/>
      <c r="K58" s="9">
        <f>USA!Z66*D58</f>
        <v>174.791652</v>
      </c>
      <c r="O58"/>
      <c r="P58" s="23"/>
      <c r="Q58"/>
      <c r="R58"/>
      <c r="V58" s="3">
        <f t="shared" si="0"/>
        <v>0</v>
      </c>
      <c r="X58" s="3"/>
      <c r="AF58" s="9">
        <v>1979</v>
      </c>
      <c r="AG58" s="3"/>
      <c r="AH58" s="3"/>
      <c r="AI58" s="3"/>
      <c r="AJ58" s="3"/>
      <c r="AK58" s="3"/>
      <c r="AL58" s="3"/>
      <c r="AM58" s="3"/>
      <c r="AN58" s="3">
        <f>CPIs!O18</f>
        <v>9.0366931677065185</v>
      </c>
      <c r="AO58" s="3"/>
      <c r="AP58" s="7"/>
      <c r="AQ58" s="7"/>
      <c r="AR58" s="7"/>
      <c r="AS58" s="7"/>
      <c r="AT58" s="7"/>
      <c r="AU58" s="7"/>
      <c r="AV58" s="7"/>
      <c r="AW58" s="7"/>
      <c r="BA58" s="7"/>
      <c r="BB58" s="7"/>
      <c r="BC58"/>
      <c r="BD58"/>
      <c r="BE58"/>
      <c r="BF58"/>
      <c r="BG58"/>
      <c r="BH58"/>
      <c r="BI58"/>
    </row>
    <row r="59" spans="1:61">
      <c r="A59">
        <v>1980</v>
      </c>
      <c r="B59" s="3"/>
      <c r="C59" s="3">
        <f>CPIs!AB19</f>
        <v>37.776757931838986</v>
      </c>
      <c r="D59" s="69">
        <f>'Exchange Rates'!O19</f>
        <v>7.8868</v>
      </c>
      <c r="F59" s="21"/>
      <c r="G59" s="23"/>
      <c r="H59" s="12"/>
      <c r="I59" s="12"/>
      <c r="J59" s="27"/>
      <c r="K59" s="9">
        <f>USA!Z67*D59</f>
        <v>266.49497200000002</v>
      </c>
      <c r="O59"/>
      <c r="P59" s="23"/>
      <c r="Q59"/>
      <c r="R59"/>
      <c r="V59" s="3">
        <f t="shared" si="0"/>
        <v>0</v>
      </c>
      <c r="X59" s="3"/>
      <c r="AF59" s="9">
        <v>1980</v>
      </c>
      <c r="AG59" s="3"/>
      <c r="AH59" s="3"/>
      <c r="AI59" s="3"/>
      <c r="AJ59" s="3"/>
      <c r="AK59" s="3"/>
      <c r="AL59" s="3"/>
      <c r="AM59" s="3"/>
      <c r="AN59" s="3">
        <f>CPIs!O19</f>
        <v>10.06373692294884</v>
      </c>
      <c r="AO59" s="3"/>
      <c r="AP59" s="7"/>
      <c r="AQ59" s="7"/>
      <c r="AR59" s="7"/>
      <c r="AS59" s="7"/>
      <c r="AT59" s="7"/>
      <c r="AU59" s="7"/>
      <c r="AV59" s="7"/>
      <c r="AW59" s="7"/>
      <c r="BA59" s="7"/>
      <c r="BB59" s="7"/>
      <c r="BC59"/>
      <c r="BD59"/>
      <c r="BE59"/>
      <c r="BF59"/>
      <c r="BG59"/>
      <c r="BH59"/>
      <c r="BI59"/>
    </row>
    <row r="60" spans="1:61">
      <c r="A60">
        <v>1981</v>
      </c>
      <c r="B60" s="3"/>
      <c r="C60" s="3">
        <f>CPIs!AB20</f>
        <v>41.697348022681282</v>
      </c>
      <c r="D60" s="69">
        <f>'Exchange Rates'!O20</f>
        <v>8.6806999999999999</v>
      </c>
      <c r="F60" s="21"/>
      <c r="G60" s="23"/>
      <c r="H60" s="12"/>
      <c r="I60" s="12"/>
      <c r="J60" s="27"/>
      <c r="K60" s="9">
        <f>USA!Z68*D60</f>
        <v>316.06428699999998</v>
      </c>
      <c r="O60"/>
      <c r="P60" s="23"/>
      <c r="Q60"/>
      <c r="R60"/>
      <c r="V60" s="3">
        <f t="shared" si="0"/>
        <v>0</v>
      </c>
      <c r="X60" s="3"/>
      <c r="AF60" s="9">
        <v>1981</v>
      </c>
      <c r="AG60" s="3"/>
      <c r="AH60" s="3"/>
      <c r="AI60" s="3"/>
      <c r="AJ60" s="3"/>
      <c r="AK60" s="3"/>
      <c r="AL60" s="3"/>
      <c r="AM60" s="3"/>
      <c r="AN60" s="3">
        <f>CPIs!O20</f>
        <v>11.38360657121537</v>
      </c>
      <c r="AO60" s="3"/>
      <c r="AP60" s="7"/>
      <c r="AQ60" s="7"/>
      <c r="AR60" s="7"/>
      <c r="AS60" s="7"/>
      <c r="AT60" s="7"/>
      <c r="AU60" s="7"/>
      <c r="AV60" s="7"/>
      <c r="AW60" s="7"/>
      <c r="BA60" s="7"/>
      <c r="BB60" s="7"/>
      <c r="BC60"/>
      <c r="BD60"/>
      <c r="BE60"/>
      <c r="BF60"/>
      <c r="BG60"/>
      <c r="BH60"/>
      <c r="BI60"/>
    </row>
    <row r="61" spans="1:61">
      <c r="A61">
        <v>1982</v>
      </c>
      <c r="B61" s="3"/>
      <c r="C61" s="3">
        <f>CPIs!AB21</f>
        <v>44.265219895045824</v>
      </c>
      <c r="D61" s="69">
        <f>'Exchange Rates'!O21</f>
        <v>9.4847000000000001</v>
      </c>
      <c r="F61" s="21"/>
      <c r="G61" s="23"/>
      <c r="H61" s="12"/>
      <c r="I61" s="12"/>
      <c r="J61" s="27"/>
      <c r="K61" s="9">
        <f>USA!Z69*D61</f>
        <v>314.89204000000001</v>
      </c>
      <c r="O61"/>
      <c r="P61" s="23"/>
      <c r="Q61"/>
      <c r="R61"/>
      <c r="V61" s="3">
        <f t="shared" si="0"/>
        <v>0</v>
      </c>
      <c r="X61" s="3"/>
      <c r="AF61" s="9">
        <v>1982</v>
      </c>
      <c r="AG61" s="3"/>
      <c r="AH61" s="3"/>
      <c r="AI61" s="3"/>
      <c r="AJ61" s="3"/>
      <c r="AK61" s="3"/>
      <c r="AL61" s="3"/>
      <c r="AM61" s="3"/>
      <c r="AN61" s="3">
        <f>CPIs!O21</f>
        <v>12.281462432812015</v>
      </c>
      <c r="AO61" s="3"/>
      <c r="AP61" s="7"/>
      <c r="AQ61" s="7"/>
      <c r="AR61" s="7"/>
      <c r="AS61" s="7"/>
      <c r="AT61" s="7"/>
      <c r="AU61" s="7"/>
      <c r="AV61" s="7"/>
      <c r="AW61" s="7"/>
      <c r="BA61" s="7"/>
      <c r="BB61" s="7"/>
      <c r="BC61"/>
      <c r="BD61"/>
      <c r="BE61"/>
      <c r="BF61"/>
      <c r="BG61"/>
      <c r="BH61"/>
      <c r="BI61"/>
    </row>
    <row r="62" spans="1:61">
      <c r="A62">
        <v>1983</v>
      </c>
      <c r="B62" s="3"/>
      <c r="C62" s="3">
        <f>CPIs!AB22</f>
        <v>45.663792968387206</v>
      </c>
      <c r="D62" s="69">
        <f>'Exchange Rates'!O22</f>
        <v>10.104100000000001</v>
      </c>
      <c r="F62" s="21"/>
      <c r="G62" s="23"/>
      <c r="H62" s="12"/>
      <c r="I62" s="12"/>
      <c r="J62" s="27"/>
      <c r="K62" s="9">
        <f>USA!Z70*D62</f>
        <v>292.51369500000004</v>
      </c>
      <c r="O62"/>
      <c r="P62" s="23"/>
      <c r="Q62"/>
      <c r="R62"/>
      <c r="V62" s="3">
        <f t="shared" si="0"/>
        <v>0</v>
      </c>
      <c r="X62" s="3"/>
      <c r="AF62" s="9">
        <v>1983</v>
      </c>
      <c r="AG62" s="3"/>
      <c r="AH62" s="3"/>
      <c r="AI62" s="3"/>
      <c r="AJ62" s="3"/>
      <c r="AK62" s="3"/>
      <c r="AL62" s="3"/>
      <c r="AM62" s="3"/>
      <c r="AN62" s="3">
        <f>CPIs!O22</f>
        <v>13.739132501260979</v>
      </c>
      <c r="AO62" s="3"/>
      <c r="AP62" s="7"/>
      <c r="AQ62" s="7"/>
      <c r="AR62" s="7"/>
      <c r="AS62" s="7"/>
      <c r="AT62" s="7"/>
      <c r="AU62" s="7"/>
      <c r="AV62" s="7"/>
      <c r="AW62" s="7"/>
      <c r="BA62" s="7"/>
      <c r="BB62" s="7"/>
      <c r="BC62"/>
      <c r="BD62"/>
      <c r="BE62"/>
      <c r="BF62"/>
      <c r="BG62"/>
      <c r="BH62"/>
      <c r="BI62"/>
    </row>
    <row r="63" spans="1:61">
      <c r="A63">
        <v>1984</v>
      </c>
      <c r="B63" s="3"/>
      <c r="C63" s="3">
        <f>CPIs!AB23</f>
        <v>47.65847915495609</v>
      </c>
      <c r="D63" s="69">
        <f>'Exchange Rates'!O23</f>
        <v>11.346500000000001</v>
      </c>
      <c r="E63" s="3"/>
      <c r="F63" s="21"/>
      <c r="G63" s="23"/>
      <c r="H63" s="12"/>
      <c r="I63" s="12"/>
      <c r="J63" s="27"/>
      <c r="K63" s="9">
        <f>USA!Z71*D63</f>
        <v>323.60218000000003</v>
      </c>
      <c r="O63"/>
      <c r="P63" s="23"/>
      <c r="Q63"/>
      <c r="R63"/>
      <c r="V63" s="3">
        <f t="shared" si="0"/>
        <v>0</v>
      </c>
      <c r="X63" s="3"/>
      <c r="AF63" s="9">
        <v>1984</v>
      </c>
      <c r="AG63" s="3"/>
      <c r="AH63" s="3"/>
      <c r="AI63" s="3"/>
      <c r="AJ63" s="3"/>
      <c r="AK63" s="3"/>
      <c r="AL63" s="3"/>
      <c r="AM63" s="3"/>
      <c r="AN63" s="3">
        <f>CPIs!O23</f>
        <v>14.882445361068102</v>
      </c>
      <c r="AO63" s="3"/>
      <c r="AP63" s="7"/>
      <c r="AQ63" s="7"/>
      <c r="AR63" s="7"/>
      <c r="AS63" s="7"/>
      <c r="AT63" s="7"/>
      <c r="AU63" s="7"/>
      <c r="AV63" s="7"/>
      <c r="AW63" s="7"/>
      <c r="BA63" s="7"/>
      <c r="BB63" s="7"/>
      <c r="BC63"/>
      <c r="BD63"/>
      <c r="BE63"/>
      <c r="BF63"/>
      <c r="BG63"/>
      <c r="BH63"/>
      <c r="BI63"/>
    </row>
    <row r="64" spans="1:61">
      <c r="A64">
        <v>1985</v>
      </c>
      <c r="B64" s="3"/>
      <c r="C64" s="3">
        <f>CPIs!AB24</f>
        <v>49.339823833290041</v>
      </c>
      <c r="D64" s="69">
        <f>'Exchange Rates'!O24</f>
        <v>12.331799999999999</v>
      </c>
      <c r="E64" s="3"/>
      <c r="F64" s="21"/>
      <c r="G64" s="23"/>
      <c r="H64" s="12"/>
      <c r="I64" s="12"/>
      <c r="J64" s="27"/>
      <c r="K64" s="9">
        <f>USA!Z72*D64</f>
        <v>328.88910600000003</v>
      </c>
      <c r="O64"/>
      <c r="P64" s="23"/>
      <c r="Q64"/>
      <c r="R64"/>
      <c r="V64" s="3">
        <f t="shared" si="0"/>
        <v>0</v>
      </c>
      <c r="X64" s="3"/>
      <c r="AF64" s="9">
        <v>1985</v>
      </c>
      <c r="AG64" s="3"/>
      <c r="AH64" s="3"/>
      <c r="AI64" s="3"/>
      <c r="AJ64" s="3"/>
      <c r="AK64" s="3"/>
      <c r="AL64" s="3"/>
      <c r="AM64" s="3"/>
      <c r="AN64" s="3">
        <f>CPIs!O24</f>
        <v>15.709247881193585</v>
      </c>
      <c r="AO64" s="3"/>
      <c r="AP64" s="7"/>
      <c r="AQ64" s="7"/>
      <c r="AR64" s="7"/>
      <c r="AS64" s="7"/>
      <c r="AT64" s="7"/>
      <c r="AU64" s="7"/>
      <c r="AV64" s="7"/>
      <c r="AW64" s="7"/>
      <c r="BA64" s="7"/>
      <c r="BB64" s="7"/>
      <c r="BC64"/>
      <c r="BD64"/>
      <c r="BE64"/>
      <c r="BF64"/>
      <c r="BG64"/>
      <c r="BH64"/>
      <c r="BI64"/>
    </row>
    <row r="65" spans="1:61">
      <c r="A65">
        <v>1986</v>
      </c>
      <c r="B65" s="3"/>
      <c r="C65" s="3">
        <f>CPIs!AB25</f>
        <v>50.298954547521411</v>
      </c>
      <c r="D65" s="69">
        <f>'Exchange Rates'!O25</f>
        <v>12.5967</v>
      </c>
      <c r="E65" s="3"/>
      <c r="F65" s="21"/>
      <c r="G65" s="23"/>
      <c r="H65" s="12"/>
      <c r="I65" s="12"/>
      <c r="J65" s="27"/>
      <c r="K65" s="9">
        <f>USA!Z73*D65</f>
        <v>189.58033500000002</v>
      </c>
      <c r="M65" s="12"/>
      <c r="O65"/>
      <c r="P65" s="23"/>
      <c r="Q65"/>
      <c r="R65"/>
      <c r="V65" s="3">
        <f t="shared" si="0"/>
        <v>0</v>
      </c>
      <c r="X65" s="3"/>
      <c r="AF65" s="9">
        <v>1986</v>
      </c>
      <c r="AG65" s="3"/>
      <c r="AH65" s="3"/>
      <c r="AI65" s="3"/>
      <c r="AJ65" s="3"/>
      <c r="AK65" s="3"/>
      <c r="AL65" s="3"/>
      <c r="AM65" s="3"/>
      <c r="AN65" s="3">
        <f>CPIs!O25</f>
        <v>17.080792686687463</v>
      </c>
      <c r="AO65" s="3"/>
      <c r="AP65" s="7"/>
      <c r="AQ65" s="7"/>
      <c r="AR65" s="7"/>
      <c r="AS65" s="7"/>
      <c r="AT65" s="7"/>
      <c r="AU65" s="7"/>
      <c r="AV65" s="7"/>
      <c r="AW65" s="7"/>
      <c r="BA65" s="7"/>
      <c r="BB65" s="7"/>
      <c r="BC65"/>
      <c r="BD65"/>
      <c r="BE65"/>
      <c r="BF65"/>
      <c r="BG65"/>
      <c r="BH65"/>
      <c r="BI65"/>
    </row>
    <row r="66" spans="1:61">
      <c r="A66">
        <v>1987</v>
      </c>
      <c r="B66" s="3"/>
      <c r="C66" s="3">
        <f>CPIs!AB26</f>
        <v>52.098757600919789</v>
      </c>
      <c r="D66" s="69">
        <f>'Exchange Rates'!O26</f>
        <v>12.946899999999999</v>
      </c>
      <c r="E66" s="3"/>
      <c r="F66" s="21"/>
      <c r="G66" s="23"/>
      <c r="H66" s="12"/>
      <c r="I66" s="12"/>
      <c r="J66" s="27"/>
      <c r="K66" s="9">
        <f>USA!Z74*D66</f>
        <v>248.58047999999997</v>
      </c>
      <c r="M66" s="12"/>
      <c r="O66"/>
      <c r="P66" s="23"/>
      <c r="Q66"/>
      <c r="R66"/>
      <c r="V66" s="3">
        <f t="shared" si="0"/>
        <v>0</v>
      </c>
      <c r="X66" s="3"/>
      <c r="AF66" s="9">
        <v>1987</v>
      </c>
      <c r="AG66" s="3"/>
      <c r="AH66" s="3"/>
      <c r="AI66" s="3"/>
      <c r="AJ66" s="3"/>
      <c r="AK66" s="3"/>
      <c r="AL66" s="3"/>
      <c r="AM66" s="3"/>
      <c r="AN66" s="3">
        <f>CPIs!O26</f>
        <v>18.583678517510805</v>
      </c>
      <c r="AO66" s="3"/>
      <c r="AP66" s="7"/>
      <c r="AQ66" s="7"/>
      <c r="AR66" s="7"/>
      <c r="AS66" s="7"/>
      <c r="AT66" s="7"/>
      <c r="AU66" s="7"/>
      <c r="AV66" s="7"/>
      <c r="AW66" s="7"/>
      <c r="BA66" s="7"/>
      <c r="BB66" s="7"/>
      <c r="BC66"/>
      <c r="BD66"/>
      <c r="BE66"/>
      <c r="BF66"/>
      <c r="BG66"/>
      <c r="BH66"/>
      <c r="BI66"/>
    </row>
    <row r="67" spans="1:61">
      <c r="A67">
        <v>1988</v>
      </c>
      <c r="B67" s="3"/>
      <c r="C67" s="3">
        <f>CPIs!AB27</f>
        <v>54.234829589984898</v>
      </c>
      <c r="D67" s="69">
        <f>'Exchange Rates'!O27</f>
        <v>13.8995</v>
      </c>
      <c r="E67" s="3"/>
      <c r="F67" s="21"/>
      <c r="G67" s="23"/>
      <c r="H67" s="12"/>
      <c r="I67" s="12"/>
      <c r="J67" s="27"/>
      <c r="K67" s="9">
        <f>USA!Z75*D67</f>
        <v>221.97501500000001</v>
      </c>
      <c r="M67" s="12"/>
      <c r="O67"/>
      <c r="P67" s="23"/>
      <c r="Q67"/>
      <c r="R67"/>
      <c r="V67" s="3">
        <f t="shared" si="0"/>
        <v>0</v>
      </c>
      <c r="X67" s="3"/>
      <c r="AF67" s="9">
        <v>1988</v>
      </c>
      <c r="AG67" s="3"/>
      <c r="AH67" s="3"/>
      <c r="AI67" s="3"/>
      <c r="AJ67" s="3"/>
      <c r="AK67" s="3"/>
      <c r="AL67" s="3"/>
      <c r="AM67" s="3"/>
      <c r="AN67" s="3">
        <f>CPIs!O27</f>
        <v>20.327715083258649</v>
      </c>
      <c r="AO67" s="3"/>
      <c r="AP67" s="7"/>
      <c r="AQ67" s="7"/>
      <c r="AR67" s="7"/>
      <c r="AS67" s="7"/>
      <c r="AT67" s="7"/>
      <c r="AU67" s="7"/>
      <c r="AV67" s="7"/>
      <c r="AW67" s="7"/>
      <c r="BA67" s="7"/>
      <c r="BB67" s="7"/>
      <c r="BC67"/>
      <c r="BD67"/>
      <c r="BE67"/>
      <c r="BF67"/>
      <c r="BG67"/>
      <c r="BH67"/>
      <c r="BI67"/>
    </row>
    <row r="68" spans="1:61">
      <c r="A68">
        <v>1989</v>
      </c>
      <c r="B68" s="3">
        <f t="shared" ref="B68:B88" si="1">E68/D68*100/C68*100</f>
        <v>92.246566279016349</v>
      </c>
      <c r="C68" s="3">
        <f>CPIs!AB28</f>
        <v>56.833271365591884</v>
      </c>
      <c r="D68" s="69">
        <f>'Exchange Rates'!O28</f>
        <v>16.213100000000001</v>
      </c>
      <c r="E68" s="3">
        <f>' India data'!N10</f>
        <v>8.5</v>
      </c>
      <c r="F68" s="21"/>
      <c r="G68" s="23"/>
      <c r="H68" s="12"/>
      <c r="I68" s="12"/>
      <c r="J68" s="27"/>
      <c r="K68" s="9">
        <f>USA!Z76*D68</f>
        <v>318.42528400000003</v>
      </c>
      <c r="M68" s="12"/>
      <c r="O68"/>
      <c r="P68" s="23"/>
      <c r="Q68"/>
      <c r="R68"/>
      <c r="V68" s="3">
        <f t="shared" si="0"/>
        <v>0</v>
      </c>
      <c r="X68" s="3"/>
      <c r="AF68" s="9">
        <v>1989</v>
      </c>
      <c r="AG68" s="3"/>
      <c r="AH68" s="3"/>
      <c r="AI68" s="3"/>
      <c r="AJ68" s="3"/>
      <c r="AK68" s="3"/>
      <c r="AL68" s="3"/>
      <c r="AM68" s="3"/>
      <c r="AN68" s="3">
        <f>CPIs!O28</f>
        <v>20.990919006839498</v>
      </c>
      <c r="AO68" s="3"/>
      <c r="AP68" s="7"/>
      <c r="AQ68" s="7"/>
      <c r="AR68" s="7"/>
      <c r="AS68" s="7"/>
      <c r="AT68" s="7"/>
      <c r="AU68" s="7"/>
      <c r="AV68" s="7"/>
      <c r="AW68" s="7"/>
      <c r="BA68" s="7"/>
      <c r="BB68" s="7"/>
      <c r="BC68"/>
      <c r="BD68"/>
      <c r="BE68"/>
      <c r="BF68"/>
      <c r="BG68"/>
      <c r="BH68"/>
      <c r="BI68"/>
    </row>
    <row r="69" spans="1:61">
      <c r="A69">
        <v>1990</v>
      </c>
      <c r="B69" s="3">
        <f t="shared" si="1"/>
        <v>97.462168154464763</v>
      </c>
      <c r="C69" s="3">
        <f>CPIs!AB29</f>
        <v>59.913189117267208</v>
      </c>
      <c r="D69" s="69">
        <f>'Exchange Rates'!O29</f>
        <v>17.4922</v>
      </c>
      <c r="E69" s="3">
        <f>' India data'!N11</f>
        <v>10.214166666666669</v>
      </c>
      <c r="F69" s="21"/>
      <c r="G69" s="23"/>
      <c r="H69" s="12"/>
      <c r="I69" s="12"/>
      <c r="J69" s="27"/>
      <c r="K69" s="9">
        <f>USA!Z77*D69</f>
        <v>429.08366600000005</v>
      </c>
      <c r="M69" s="12"/>
      <c r="O69"/>
      <c r="P69" s="23"/>
      <c r="Q69"/>
      <c r="R69"/>
      <c r="V69" s="3">
        <f t="shared" si="0"/>
        <v>0</v>
      </c>
      <c r="X69" s="3"/>
      <c r="AF69" s="9">
        <v>1990</v>
      </c>
      <c r="AG69" s="3"/>
      <c r="AH69" s="3"/>
      <c r="AI69" s="3"/>
      <c r="AJ69" s="3"/>
      <c r="AK69" s="3"/>
      <c r="AL69" s="3"/>
      <c r="AM69" s="3"/>
      <c r="AN69" s="3">
        <f>CPIs!O29</f>
        <v>22.874063374184864</v>
      </c>
      <c r="AO69" s="3"/>
      <c r="AP69" s="7"/>
      <c r="AQ69" s="7"/>
      <c r="AR69" s="7"/>
      <c r="AS69" s="7"/>
      <c r="AT69" s="7"/>
      <c r="AU69" s="7"/>
      <c r="AV69" s="7"/>
      <c r="AW69" s="7"/>
      <c r="BA69" s="7"/>
      <c r="BB69" s="7"/>
      <c r="BC69"/>
      <c r="BD69"/>
      <c r="BE69"/>
      <c r="BF69"/>
      <c r="BG69"/>
      <c r="BH69"/>
      <c r="BI69"/>
    </row>
    <row r="70" spans="1:61">
      <c r="A70">
        <v>1991</v>
      </c>
      <c r="B70" s="3">
        <f t="shared" si="1"/>
        <v>94.669576496133033</v>
      </c>
      <c r="C70" s="3">
        <f>CPIs!AB30</f>
        <v>62.439027372673394</v>
      </c>
      <c r="D70" s="69">
        <f>'Exchange Rates'!O30</f>
        <v>22.711600000000001</v>
      </c>
      <c r="E70" s="3">
        <f>' India data'!N12</f>
        <v>13.425000000000002</v>
      </c>
      <c r="F70" s="21"/>
      <c r="G70" s="23"/>
      <c r="H70" s="12"/>
      <c r="I70" s="12"/>
      <c r="J70" s="27"/>
      <c r="K70" s="9">
        <f>USA!Z78*D70</f>
        <v>489.20786399999997</v>
      </c>
      <c r="M70" s="12"/>
      <c r="O70"/>
      <c r="P70" s="23"/>
      <c r="Q70"/>
      <c r="R70"/>
      <c r="V70" s="3">
        <f t="shared" si="0"/>
        <v>0</v>
      </c>
      <c r="X70" s="3"/>
      <c r="AF70" s="9">
        <v>1991</v>
      </c>
      <c r="AG70" s="3"/>
      <c r="AH70" s="3"/>
      <c r="AI70" s="3"/>
      <c r="AJ70" s="3"/>
      <c r="AK70" s="3"/>
      <c r="AL70" s="3"/>
      <c r="AM70" s="3"/>
      <c r="AN70" s="3">
        <f>CPIs!O30</f>
        <v>26.046752254966862</v>
      </c>
      <c r="AO70" s="3"/>
      <c r="AP70" s="7"/>
      <c r="AQ70" s="7"/>
      <c r="AR70" s="7"/>
      <c r="AS70" s="7"/>
      <c r="AT70" s="7"/>
      <c r="AU70" s="7"/>
      <c r="AV70" s="7"/>
      <c r="AW70" s="7"/>
      <c r="BA70" s="7"/>
      <c r="BB70" s="7"/>
      <c r="BC70"/>
      <c r="BD70"/>
      <c r="BE70"/>
      <c r="BF70"/>
      <c r="BG70"/>
      <c r="BH70"/>
      <c r="BI70"/>
    </row>
    <row r="71" spans="1:61">
      <c r="A71">
        <v>1992</v>
      </c>
      <c r="B71" s="3">
        <f t="shared" si="1"/>
        <v>82.712620567618288</v>
      </c>
      <c r="C71" s="3">
        <f>CPIs!AB31</f>
        <v>64.338182611609682</v>
      </c>
      <c r="D71" s="69">
        <f>'Exchange Rates'!O31</f>
        <v>28.155799999999999</v>
      </c>
      <c r="E71" s="3">
        <f>' India data'!N13</f>
        <v>14.983333333333336</v>
      </c>
      <c r="F71" s="21"/>
      <c r="G71" s="23"/>
      <c r="H71" s="12"/>
      <c r="I71" s="12"/>
      <c r="J71" s="27"/>
      <c r="K71" s="9">
        <f>USA!Z79*D71</f>
        <v>579.4463639999999</v>
      </c>
      <c r="O71"/>
      <c r="P71" s="23"/>
      <c r="Q71"/>
      <c r="R71"/>
      <c r="V71" s="3">
        <f t="shared" si="0"/>
        <v>0</v>
      </c>
      <c r="X71" s="3"/>
      <c r="AF71" s="9">
        <v>1992</v>
      </c>
      <c r="AG71" s="3"/>
      <c r="AH71" s="3"/>
      <c r="AI71" s="3"/>
      <c r="AJ71" s="3"/>
      <c r="AK71" s="3"/>
      <c r="AL71" s="3"/>
      <c r="AM71" s="3"/>
      <c r="AN71" s="3">
        <f>CPIs!O31</f>
        <v>29.117096331277658</v>
      </c>
      <c r="AO71" s="3"/>
      <c r="AP71" s="7"/>
      <c r="AQ71" s="7"/>
      <c r="AR71" s="7"/>
      <c r="AS71" s="7"/>
      <c r="AT71" s="7"/>
      <c r="AU71" s="7"/>
      <c r="AV71" s="7"/>
      <c r="AW71" s="7"/>
      <c r="BA71" s="7"/>
      <c r="BB71" s="7"/>
      <c r="BC71"/>
      <c r="BD71"/>
      <c r="BE71"/>
      <c r="BF71"/>
      <c r="BG71"/>
      <c r="BH71"/>
      <c r="BI71"/>
    </row>
    <row r="72" spans="1:61">
      <c r="A72">
        <v>1993</v>
      </c>
      <c r="B72" s="3">
        <f t="shared" si="1"/>
        <v>75.783965783482316</v>
      </c>
      <c r="C72" s="3">
        <f>CPIs!AB32</f>
        <v>66.248801564261839</v>
      </c>
      <c r="D72" s="69">
        <f>'Exchange Rates'!O32</f>
        <v>31.2911</v>
      </c>
      <c r="E72" s="3">
        <f>' India data'!N14</f>
        <v>15.710000000000006</v>
      </c>
      <c r="F72" s="21"/>
      <c r="G72" s="23"/>
      <c r="H72" s="12"/>
      <c r="I72" s="12"/>
      <c r="J72" s="27"/>
      <c r="K72" s="9">
        <f>USA!Z80*D72</f>
        <v>576.694973</v>
      </c>
      <c r="O72"/>
      <c r="P72" s="23"/>
      <c r="Q72"/>
      <c r="R72"/>
      <c r="V72" s="3">
        <f t="shared" si="0"/>
        <v>0</v>
      </c>
      <c r="X72" s="3"/>
      <c r="AF72" s="9">
        <v>1993</v>
      </c>
      <c r="AG72" s="3"/>
      <c r="AH72" s="3"/>
      <c r="AI72" s="3"/>
      <c r="AJ72" s="3"/>
      <c r="AK72" s="3"/>
      <c r="AL72" s="3"/>
      <c r="AM72" s="3"/>
      <c r="AN72" s="3">
        <f>CPIs!O32</f>
        <v>30.969537257707668</v>
      </c>
      <c r="AO72" s="3"/>
      <c r="AP72" s="7"/>
      <c r="AQ72" s="7"/>
      <c r="AR72" s="7"/>
      <c r="AS72" s="7"/>
      <c r="AT72" s="7"/>
      <c r="AU72" s="7"/>
      <c r="AV72" s="7"/>
      <c r="BA72" s="7"/>
      <c r="BB72" s="7"/>
      <c r="BC72"/>
      <c r="BD72"/>
      <c r="BE72"/>
      <c r="BF72"/>
      <c r="BG72"/>
      <c r="BH72"/>
      <c r="BI72"/>
    </row>
    <row r="73" spans="1:61">
      <c r="A73">
        <v>1994</v>
      </c>
      <c r="B73" s="3">
        <f t="shared" si="1"/>
        <v>78.221468997267337</v>
      </c>
      <c r="C73" s="3">
        <f>CPIs!AB33</f>
        <v>67.968358621648804</v>
      </c>
      <c r="D73" s="69">
        <f>'Exchange Rates'!O33</f>
        <v>31.393899999999999</v>
      </c>
      <c r="E73" s="3">
        <f>' India data'!N15</f>
        <v>16.690833333333334</v>
      </c>
      <c r="F73" s="21"/>
      <c r="G73" s="23"/>
      <c r="H73" s="12"/>
      <c r="I73" s="12"/>
      <c r="J73" s="27"/>
      <c r="K73" s="9">
        <f>USA!Z81*D73</f>
        <v>539.97507999999993</v>
      </c>
      <c r="O73"/>
      <c r="P73" s="23"/>
      <c r="Q73"/>
      <c r="R73"/>
      <c r="V73" s="3">
        <f t="shared" si="0"/>
        <v>0</v>
      </c>
      <c r="X73" s="3"/>
      <c r="AF73" s="9">
        <v>1994</v>
      </c>
      <c r="AG73" s="3"/>
      <c r="AH73" s="3"/>
      <c r="AI73" s="3"/>
      <c r="AJ73" s="3"/>
      <c r="AK73" s="3"/>
      <c r="AL73" s="3"/>
      <c r="AM73" s="3"/>
      <c r="AN73" s="3">
        <f>CPIs!O33</f>
        <v>34.131991656977959</v>
      </c>
      <c r="AO73" s="3"/>
      <c r="AP73" s="7"/>
      <c r="AQ73" s="7"/>
      <c r="AR73" s="7"/>
      <c r="AS73" s="7"/>
      <c r="AT73" s="7"/>
      <c r="AU73" s="7"/>
      <c r="AV73" s="7"/>
      <c r="BA73" s="7"/>
      <c r="BB73" s="7"/>
      <c r="BC73"/>
      <c r="BD73"/>
      <c r="BE73"/>
      <c r="BF73"/>
      <c r="BG73"/>
      <c r="BH73"/>
      <c r="BI73"/>
    </row>
    <row r="74" spans="1:61">
      <c r="A74">
        <v>1995</v>
      </c>
      <c r="B74" s="3">
        <f t="shared" si="1"/>
        <v>74.076696479091765</v>
      </c>
      <c r="C74" s="3">
        <f>CPIs!AB34</f>
        <v>69.875156336395719</v>
      </c>
      <c r="D74" s="69">
        <f>'Exchange Rates'!O34</f>
        <v>32.418100000000003</v>
      </c>
      <c r="E74" s="3">
        <f>' India data'!N16</f>
        <v>16.78</v>
      </c>
      <c r="F74" s="21"/>
      <c r="G74" s="23"/>
      <c r="H74" s="12"/>
      <c r="I74" s="12"/>
      <c r="J74" s="27"/>
      <c r="K74" s="9">
        <f>USA!Z82*D74</f>
        <v>597.46558300000004</v>
      </c>
      <c r="O74"/>
      <c r="P74" s="23"/>
      <c r="Q74"/>
      <c r="R74"/>
      <c r="V74" s="3">
        <f t="shared" si="0"/>
        <v>0</v>
      </c>
      <c r="X74" s="3"/>
      <c r="AF74" s="9">
        <v>1995</v>
      </c>
      <c r="AG74" s="3"/>
      <c r="AH74" s="3"/>
      <c r="AI74" s="3"/>
      <c r="AJ74" s="3"/>
      <c r="AK74" s="3"/>
      <c r="AL74" s="3"/>
      <c r="AM74" s="3"/>
      <c r="AN74" s="3">
        <f>CPIs!O34</f>
        <v>37.621949425892538</v>
      </c>
      <c r="AO74" s="3"/>
      <c r="AP74" s="7"/>
      <c r="AQ74" s="7"/>
      <c r="AR74" s="7"/>
      <c r="AS74" s="7"/>
      <c r="AT74" s="7"/>
      <c r="AU74" s="7"/>
      <c r="AV74" s="7"/>
      <c r="BA74" s="7"/>
      <c r="BB74" s="7"/>
      <c r="BC74"/>
      <c r="BD74"/>
      <c r="BE74"/>
      <c r="BF74"/>
      <c r="BG74"/>
      <c r="BH74"/>
      <c r="BI74"/>
    </row>
    <row r="75" spans="1:61">
      <c r="A75">
        <v>1996</v>
      </c>
      <c r="B75" s="3">
        <f t="shared" si="1"/>
        <v>74.221396357225942</v>
      </c>
      <c r="C75" s="3">
        <f>CPIs!AB35</f>
        <v>71.92716109154415</v>
      </c>
      <c r="D75" s="69">
        <f>'Exchange Rates'!O35</f>
        <v>35.506</v>
      </c>
      <c r="E75" s="3">
        <f>' India data'!N17</f>
        <v>18.954999999999998</v>
      </c>
      <c r="F75" s="21"/>
      <c r="G75" s="23"/>
      <c r="H75" s="12"/>
      <c r="I75" s="12"/>
      <c r="J75" s="27"/>
      <c r="K75" s="9">
        <f>USA!Z83*D75</f>
        <v>785.39272000000005</v>
      </c>
      <c r="O75"/>
      <c r="P75" s="23"/>
      <c r="Q75"/>
      <c r="R75"/>
      <c r="V75" s="3">
        <f t="shared" si="0"/>
        <v>0</v>
      </c>
      <c r="X75" s="3"/>
      <c r="AF75" s="9">
        <v>1996</v>
      </c>
      <c r="AG75" s="3"/>
      <c r="AH75" s="3"/>
      <c r="AI75" s="3"/>
      <c r="AJ75" s="3"/>
      <c r="AK75" s="3"/>
      <c r="AL75" s="3"/>
      <c r="AM75" s="3"/>
      <c r="AN75" s="3">
        <f>CPIs!O35</f>
        <v>40.999327910776017</v>
      </c>
      <c r="AO75" s="3"/>
      <c r="AP75" s="7"/>
      <c r="AQ75" s="7"/>
      <c r="AR75" s="7"/>
      <c r="AS75" s="7"/>
      <c r="AT75" s="7"/>
      <c r="AU75" s="7"/>
      <c r="AV75" s="7"/>
      <c r="BA75" s="7"/>
      <c r="BB75" s="7"/>
      <c r="BC75"/>
      <c r="BD75"/>
      <c r="BE75"/>
      <c r="BF75"/>
      <c r="BG75"/>
      <c r="BH75"/>
      <c r="BI75"/>
    </row>
    <row r="76" spans="1:61">
      <c r="A76">
        <v>1997</v>
      </c>
      <c r="B76" s="3">
        <f t="shared" si="1"/>
        <v>81.068868506809338</v>
      </c>
      <c r="C76" s="3">
        <f>CPIs!AB36</f>
        <v>73.608505769878093</v>
      </c>
      <c r="D76" s="69">
        <f>'Exchange Rates'!O36</f>
        <v>36.3645</v>
      </c>
      <c r="E76" s="3">
        <f>' India data'!N18</f>
        <v>21.7</v>
      </c>
      <c r="F76" s="21"/>
      <c r="G76" s="23"/>
      <c r="H76" s="12"/>
      <c r="I76" s="12"/>
      <c r="J76" s="27"/>
      <c r="K76" s="9">
        <f>USA!Z84*D76</f>
        <v>749.47234500000002</v>
      </c>
      <c r="O76"/>
      <c r="P76" s="23"/>
      <c r="Q76"/>
      <c r="R76"/>
      <c r="V76" s="3">
        <f t="shared" si="0"/>
        <v>0</v>
      </c>
      <c r="X76" s="3"/>
      <c r="AF76" s="46" t="s">
        <v>2103</v>
      </c>
      <c r="AG76" s="46" t="s">
        <v>2120</v>
      </c>
      <c r="AH76" s="46" t="s">
        <v>2120</v>
      </c>
      <c r="AI76" s="46" t="s">
        <v>2120</v>
      </c>
      <c r="AJ76" s="46" t="s">
        <v>2120</v>
      </c>
      <c r="AK76" s="46" t="s">
        <v>2120</v>
      </c>
      <c r="AL76" s="46" t="s">
        <v>2120</v>
      </c>
      <c r="AM76" s="3"/>
      <c r="AN76" s="46"/>
      <c r="AO76" s="3"/>
      <c r="AP76" s="46" t="s">
        <v>2119</v>
      </c>
      <c r="AQ76" s="46" t="s">
        <v>2119</v>
      </c>
      <c r="AR76" s="46" t="s">
        <v>2119</v>
      </c>
      <c r="AS76" s="46" t="s">
        <v>2119</v>
      </c>
      <c r="AT76" s="46" t="s">
        <v>2119</v>
      </c>
      <c r="AU76" s="46" t="s">
        <v>2121</v>
      </c>
      <c r="AV76" s="46" t="s">
        <v>2098</v>
      </c>
      <c r="AW76" s="46" t="s">
        <v>2098</v>
      </c>
      <c r="AX76" s="46" t="s">
        <v>2098</v>
      </c>
      <c r="AY76" s="46" t="s">
        <v>2098</v>
      </c>
      <c r="BA76" s="46" t="s">
        <v>2449</v>
      </c>
      <c r="BB76" s="46" t="s">
        <v>2449</v>
      </c>
      <c r="BC76"/>
      <c r="BD76"/>
      <c r="BE76"/>
      <c r="BF76"/>
      <c r="BG76"/>
      <c r="BH76"/>
      <c r="BI76"/>
    </row>
    <row r="77" spans="1:61">
      <c r="A77">
        <v>1998</v>
      </c>
      <c r="B77" s="3">
        <f t="shared" si="1"/>
        <v>75.961618874624378</v>
      </c>
      <c r="C77" s="3">
        <f>CPIs!AB37</f>
        <v>74.74723466565878</v>
      </c>
      <c r="D77" s="69">
        <f>'Exchange Rates'!O37</f>
        <v>41.356099999999998</v>
      </c>
      <c r="E77" s="3">
        <f>' India data'!N19</f>
        <v>23.481666666666669</v>
      </c>
      <c r="F77" s="21"/>
      <c r="G77" s="23"/>
      <c r="H77" s="12"/>
      <c r="I77" s="12"/>
      <c r="J77" s="27"/>
      <c r="K77" s="9">
        <f>USA!Z85*D77</f>
        <v>596.354962</v>
      </c>
      <c r="O77"/>
      <c r="P77" s="23"/>
      <c r="Q77"/>
      <c r="R77"/>
      <c r="V77" s="3">
        <f t="shared" si="0"/>
        <v>0</v>
      </c>
      <c r="X77" s="3"/>
      <c r="AF77" s="46"/>
      <c r="AG77" s="46" t="s">
        <v>131</v>
      </c>
      <c r="AH77" s="46" t="s">
        <v>111</v>
      </c>
      <c r="AI77" s="46" t="s">
        <v>1932</v>
      </c>
      <c r="AJ77" s="46" t="s">
        <v>112</v>
      </c>
      <c r="AK77" s="46" t="s">
        <v>67</v>
      </c>
      <c r="AL77" s="46" t="s">
        <v>133</v>
      </c>
      <c r="AM77" s="3"/>
      <c r="AN77" s="139" t="s">
        <v>237</v>
      </c>
      <c r="AO77" s="3"/>
      <c r="AP77" s="46" t="s">
        <v>131</v>
      </c>
      <c r="AQ77" s="46" t="s">
        <v>2097</v>
      </c>
      <c r="AR77" s="46" t="s">
        <v>67</v>
      </c>
      <c r="AS77" s="46" t="s">
        <v>133</v>
      </c>
      <c r="AT77" s="46" t="s">
        <v>2097</v>
      </c>
      <c r="AU77" s="46" t="s">
        <v>1943</v>
      </c>
      <c r="AV77" s="46">
        <v>9906</v>
      </c>
      <c r="AW77" s="46" t="s">
        <v>2122</v>
      </c>
      <c r="AX77" s="46" t="s">
        <v>2123</v>
      </c>
      <c r="AY77" s="46">
        <v>9916</v>
      </c>
      <c r="BA77" s="46" t="s">
        <v>131</v>
      </c>
      <c r="BB77" s="46" t="s">
        <v>2097</v>
      </c>
      <c r="BC77"/>
      <c r="BD77"/>
      <c r="BE77"/>
      <c r="BF77"/>
      <c r="BG77"/>
      <c r="BH77"/>
      <c r="BI77"/>
    </row>
    <row r="78" spans="1:61">
      <c r="A78">
        <v>1999</v>
      </c>
      <c r="B78" s="3">
        <f t="shared" si="1"/>
        <v>72.280250039289271</v>
      </c>
      <c r="C78" s="3">
        <f>CPIs!AB38</f>
        <v>76.386545727034331</v>
      </c>
      <c r="D78" s="69">
        <f>'Exchange Rates'!O38</f>
        <v>43.127400000000002</v>
      </c>
      <c r="E78" s="3">
        <f>' India data'!N20</f>
        <v>23.811666666666671</v>
      </c>
      <c r="F78" s="21">
        <f>AP78*AN78/100</f>
        <v>23.811666666666671</v>
      </c>
      <c r="G78" s="23"/>
      <c r="H78" s="12"/>
      <c r="I78" s="12"/>
      <c r="J78" s="27"/>
      <c r="K78" s="9">
        <f>USA!Z86*D78</f>
        <v>753.86695200000008</v>
      </c>
      <c r="O78"/>
      <c r="P78" s="23"/>
      <c r="Q78"/>
      <c r="R78" s="3">
        <f>' India data'!J20</f>
        <v>8.48</v>
      </c>
      <c r="S78" s="3">
        <f>' India data'!K20</f>
        <v>0.44223686560294428</v>
      </c>
      <c r="T78">
        <f>' India data'!P20</f>
        <v>0.14696000000000001</v>
      </c>
      <c r="U78" s="3">
        <f>T78*(E78*(1/(1+T78)))</f>
        <v>3.0509891655622985</v>
      </c>
      <c r="V78" s="3">
        <f>R78+S78+U78</f>
        <v>11.973226031165243</v>
      </c>
      <c r="X78" s="3"/>
      <c r="AF78" s="9">
        <v>1999</v>
      </c>
      <c r="AG78" s="3">
        <f t="shared" ref="AG78:AG96" si="2">E78</f>
        <v>23.811666666666671</v>
      </c>
      <c r="AH78" s="3">
        <f>R78</f>
        <v>8.48</v>
      </c>
      <c r="AI78" s="3">
        <f>S78</f>
        <v>0.44223686560294428</v>
      </c>
      <c r="AJ78" s="3">
        <f>U78</f>
        <v>3.0509891655622985</v>
      </c>
      <c r="AK78" s="3">
        <f>V78</f>
        <v>11.973226031165243</v>
      </c>
      <c r="AL78" s="3">
        <f t="shared" ref="AL78:AL96" si="3">AG78-AK78</f>
        <v>11.838440635501428</v>
      </c>
      <c r="AM78" s="3"/>
      <c r="AN78" s="3">
        <f>CPIs!O38</f>
        <v>52.073035547406739</v>
      </c>
      <c r="AO78" s="3"/>
      <c r="AP78" s="3">
        <f t="shared" ref="AP78:AP96" si="4">AG78/$AN78*100</f>
        <v>45.727441114871787</v>
      </c>
      <c r="AQ78" s="3">
        <f t="shared" ref="AQ78:AQ96" si="5">AT78+AR78</f>
        <v>45.21341298776224</v>
      </c>
      <c r="AR78" s="3">
        <f t="shared" ref="AR78:AR96" si="6">AK78/$AN78*100</f>
        <v>22.993140125785342</v>
      </c>
      <c r="AS78" s="3">
        <f>AP78-AR78</f>
        <v>22.734300989086446</v>
      </c>
      <c r="AT78" s="3">
        <f t="shared" ref="AT78:AT97" si="7">AQ$100+AQ$101*AU78+AQ$102*AV78+AQ$103*AW78+AQ$104*AX78+AQ$105*AY78</f>
        <v>22.220272861976898</v>
      </c>
      <c r="AU78" s="3">
        <f t="shared" ref="AU78:AU96" si="8">K78/AN78*100</f>
        <v>1447.7107855824681</v>
      </c>
      <c r="AV78" s="24">
        <v>1</v>
      </c>
      <c r="AW78" s="3">
        <v>0</v>
      </c>
      <c r="AX78" s="3">
        <v>0</v>
      </c>
      <c r="AY78" s="24">
        <v>1</v>
      </c>
      <c r="BA78" s="3">
        <f t="shared" ref="BA78" si="9">AP78*$AN$97/$AN$89</f>
        <v>75.91024542453556</v>
      </c>
      <c r="BB78" s="3">
        <f t="shared" ref="BB78" si="10">AQ78*$AN$97/$AN$89</f>
        <v>75.056928459215371</v>
      </c>
      <c r="BC78"/>
      <c r="BD78"/>
      <c r="BE78"/>
      <c r="BF78"/>
      <c r="BG78"/>
      <c r="BH78"/>
      <c r="BI78"/>
    </row>
    <row r="79" spans="1:61">
      <c r="A79">
        <v>2000</v>
      </c>
      <c r="B79" s="3">
        <f t="shared" si="1"/>
        <v>75.074328067634497</v>
      </c>
      <c r="C79" s="3">
        <f>CPIs!AB39</f>
        <v>78.958238837304165</v>
      </c>
      <c r="D79" s="69">
        <f>'Exchange Rates'!O39</f>
        <v>44.997500000000002</v>
      </c>
      <c r="E79" s="3">
        <f>' India data'!N21</f>
        <v>26.673333333333332</v>
      </c>
      <c r="F79" s="21">
        <f t="shared" ref="F79:F96" si="11">AP79*AN79/100</f>
        <v>26.673333333333332</v>
      </c>
      <c r="G79" s="23"/>
      <c r="H79" s="12"/>
      <c r="I79" s="12"/>
      <c r="J79" s="27"/>
      <c r="K79" s="9">
        <f>USA!Z87*D79</f>
        <v>1241.931</v>
      </c>
      <c r="O79"/>
      <c r="P79" s="23"/>
      <c r="Q79"/>
      <c r="R79" s="3">
        <f>' India data'!J21</f>
        <v>9.48</v>
      </c>
      <c r="S79" s="3">
        <f>' India data'!K21</f>
        <v>0.53419706340588258</v>
      </c>
      <c r="T79">
        <f>' India data'!P21</f>
        <v>0.16031999999999999</v>
      </c>
      <c r="U79" s="3">
        <f t="shared" ref="U79:U96" si="12">T79*(E79*(1/(1+T79)))</f>
        <v>3.6854219525648095</v>
      </c>
      <c r="V79" s="3">
        <f t="shared" ref="V79:V95" si="13">R79+S79+U79</f>
        <v>13.699619015970692</v>
      </c>
      <c r="X79"/>
      <c r="AF79" s="9">
        <v>2000</v>
      </c>
      <c r="AG79" s="3">
        <f t="shared" si="2"/>
        <v>26.673333333333332</v>
      </c>
      <c r="AH79" s="3">
        <f t="shared" ref="AH79:AH96" si="14">R79</f>
        <v>9.48</v>
      </c>
      <c r="AI79" s="3">
        <f t="shared" ref="AI79:AI96" si="15">S79</f>
        <v>0.53419706340588258</v>
      </c>
      <c r="AJ79" s="3">
        <f t="shared" ref="AJ79:AJ96" si="16">U79</f>
        <v>3.6854219525648095</v>
      </c>
      <c r="AK79" s="3">
        <f t="shared" ref="AK79:AK96" si="17">V79</f>
        <v>13.699619015970692</v>
      </c>
      <c r="AL79" s="3">
        <f t="shared" si="3"/>
        <v>12.97371431736264</v>
      </c>
      <c r="AM79" s="3"/>
      <c r="AN79" s="3">
        <f>CPIs!O39</f>
        <v>54.160869519688795</v>
      </c>
      <c r="AO79" s="3"/>
      <c r="AP79" s="3">
        <f t="shared" si="4"/>
        <v>49.24834769064578</v>
      </c>
      <c r="AQ79" s="3">
        <f t="shared" si="5"/>
        <v>49.248347690645772</v>
      </c>
      <c r="AR79" s="3">
        <f t="shared" si="6"/>
        <v>25.294311441936042</v>
      </c>
      <c r="AS79" s="3">
        <f t="shared" ref="AS79:AS96" si="18">AP79-AR79</f>
        <v>23.954036248709738</v>
      </c>
      <c r="AT79" s="3">
        <f t="shared" si="7"/>
        <v>23.954036248709734</v>
      </c>
      <c r="AU79" s="3">
        <f t="shared" si="8"/>
        <v>2293.0411033163487</v>
      </c>
      <c r="AV79" s="24">
        <v>1</v>
      </c>
      <c r="AW79" s="3">
        <v>0</v>
      </c>
      <c r="AX79" s="24">
        <v>1</v>
      </c>
      <c r="AY79" s="24">
        <v>1</v>
      </c>
      <c r="BA79" s="3">
        <f t="shared" ref="BA79:BA96" si="19">AP79*$AN$97/$AN$89</f>
        <v>81.755157708440734</v>
      </c>
      <c r="BB79" s="3">
        <f t="shared" ref="BB79:BB96" si="20">AQ79*$AN$97/$AN$89</f>
        <v>81.755157708440734</v>
      </c>
      <c r="BC79"/>
      <c r="BD79"/>
      <c r="BE79"/>
      <c r="BF79"/>
      <c r="BG79"/>
      <c r="BH79"/>
      <c r="BI79"/>
    </row>
    <row r="80" spans="1:61">
      <c r="A80">
        <v>2001</v>
      </c>
      <c r="B80" s="3">
        <f t="shared" si="1"/>
        <v>74.867805156137706</v>
      </c>
      <c r="C80" s="3">
        <f>CPIs!AB40</f>
        <v>81.182199298191293</v>
      </c>
      <c r="D80" s="69">
        <f>'Exchange Rates'!O40</f>
        <v>47.22</v>
      </c>
      <c r="E80" s="3">
        <f>' India data'!N22</f>
        <v>28.699999999999992</v>
      </c>
      <c r="F80" s="21">
        <f t="shared" si="11"/>
        <v>28.699999999999992</v>
      </c>
      <c r="G80" s="23"/>
      <c r="H80" s="12"/>
      <c r="I80" s="12"/>
      <c r="J80" s="27"/>
      <c r="K80" s="9">
        <f>USA!Z88*D80</f>
        <v>1091.7264</v>
      </c>
      <c r="O80"/>
      <c r="P80" s="23"/>
      <c r="Q80"/>
      <c r="R80" s="3">
        <f>' India data'!J22</f>
        <v>10.004999999999999</v>
      </c>
      <c r="S80" s="3">
        <f>' India data'!K22</f>
        <v>0.57478589301732674</v>
      </c>
      <c r="T80">
        <f>' India data'!P22</f>
        <v>0.16031999999999999</v>
      </c>
      <c r="U80" s="3">
        <f t="shared" si="12"/>
        <v>3.9654440154440143</v>
      </c>
      <c r="V80" s="3">
        <f t="shared" si="13"/>
        <v>14.545229908461339</v>
      </c>
      <c r="X80"/>
      <c r="AF80" s="9">
        <v>2001</v>
      </c>
      <c r="AG80" s="3">
        <f t="shared" si="2"/>
        <v>28.699999999999992</v>
      </c>
      <c r="AH80" s="3">
        <f t="shared" si="14"/>
        <v>10.004999999999999</v>
      </c>
      <c r="AI80" s="3">
        <f t="shared" si="15"/>
        <v>0.57478589301732674</v>
      </c>
      <c r="AJ80" s="3">
        <f t="shared" si="16"/>
        <v>3.9654440154440143</v>
      </c>
      <c r="AK80" s="3">
        <f t="shared" si="17"/>
        <v>14.545229908461339</v>
      </c>
      <c r="AL80" s="3">
        <f t="shared" si="3"/>
        <v>14.154770091538653</v>
      </c>
      <c r="AM80" s="3"/>
      <c r="AN80" s="3">
        <f>CPIs!O40</f>
        <v>56.156593169662983</v>
      </c>
      <c r="AO80" s="3"/>
      <c r="AP80" s="3">
        <f t="shared" si="4"/>
        <v>51.107088909916918</v>
      </c>
      <c r="AQ80" s="3">
        <f t="shared" si="5"/>
        <v>51.159624907616006</v>
      </c>
      <c r="AR80" s="3">
        <f t="shared" si="6"/>
        <v>25.901197147976184</v>
      </c>
      <c r="AS80" s="3">
        <f t="shared" si="18"/>
        <v>25.205891761940734</v>
      </c>
      <c r="AT80" s="3">
        <f t="shared" si="7"/>
        <v>25.258427759639822</v>
      </c>
      <c r="AU80" s="3">
        <f t="shared" si="8"/>
        <v>1944.0751982614472</v>
      </c>
      <c r="AV80" s="24">
        <v>1</v>
      </c>
      <c r="AW80" s="3">
        <v>0</v>
      </c>
      <c r="AX80" s="3">
        <v>0</v>
      </c>
      <c r="AY80" s="24">
        <v>1</v>
      </c>
      <c r="BA80" s="3">
        <f t="shared" si="19"/>
        <v>84.840777605279527</v>
      </c>
      <c r="BB80" s="3">
        <f t="shared" si="20"/>
        <v>84.92799045563217</v>
      </c>
      <c r="BC80"/>
      <c r="BD80"/>
      <c r="BE80"/>
      <c r="BF80"/>
      <c r="BG80"/>
      <c r="BH80"/>
      <c r="BI80"/>
    </row>
    <row r="81" spans="1:61">
      <c r="A81">
        <v>2002</v>
      </c>
      <c r="B81" s="3">
        <f t="shared" si="1"/>
        <v>70.744996408363406</v>
      </c>
      <c r="C81" s="3">
        <f>CPIs!AB41</f>
        <v>82.477598948089508</v>
      </c>
      <c r="D81" s="69">
        <f>'Exchange Rates'!O41</f>
        <v>48.625700000000002</v>
      </c>
      <c r="E81" s="3">
        <f>' India data'!N23</f>
        <v>28.372500000000002</v>
      </c>
      <c r="F81" s="21">
        <f t="shared" si="11"/>
        <v>28.372500000000006</v>
      </c>
      <c r="G81" s="23"/>
      <c r="H81" s="12"/>
      <c r="I81" s="12"/>
      <c r="J81" s="27"/>
      <c r="K81" s="9">
        <f>USA!Z89*D81</f>
        <v>1184.522052</v>
      </c>
      <c r="O81"/>
      <c r="P81" s="23"/>
      <c r="Q81"/>
      <c r="R81" s="3">
        <f>' India data'!J23</f>
        <v>10.53</v>
      </c>
      <c r="S81" s="3">
        <f>' India data'!K23</f>
        <v>0.56822692507435912</v>
      </c>
      <c r="T81">
        <f>' India data'!P23</f>
        <v>0.16031999999999999</v>
      </c>
      <c r="U81" s="3">
        <f t="shared" si="12"/>
        <v>3.9201937396580258</v>
      </c>
      <c r="V81" s="3">
        <f t="shared" si="13"/>
        <v>15.018420664732385</v>
      </c>
      <c r="X81"/>
      <c r="AF81" s="9">
        <v>2002</v>
      </c>
      <c r="AG81" s="3">
        <f t="shared" si="2"/>
        <v>28.372500000000002</v>
      </c>
      <c r="AH81" s="3">
        <f t="shared" si="14"/>
        <v>10.53</v>
      </c>
      <c r="AI81" s="3">
        <f t="shared" si="15"/>
        <v>0.56822692507435912</v>
      </c>
      <c r="AJ81" s="3">
        <f t="shared" si="16"/>
        <v>3.9201937396580258</v>
      </c>
      <c r="AK81" s="3">
        <f t="shared" si="17"/>
        <v>15.018420664732385</v>
      </c>
      <c r="AL81" s="3">
        <f t="shared" si="3"/>
        <v>13.354079335267617</v>
      </c>
      <c r="AM81" s="3"/>
      <c r="AN81" s="3">
        <f>CPIs!O41</f>
        <v>58.623102911661611</v>
      </c>
      <c r="AO81" s="3"/>
      <c r="AP81" s="3">
        <f t="shared" si="4"/>
        <v>48.398154636669702</v>
      </c>
      <c r="AQ81" s="3">
        <f t="shared" si="5"/>
        <v>48.808025894305786</v>
      </c>
      <c r="AR81" s="3">
        <f t="shared" si="6"/>
        <v>25.618604131827428</v>
      </c>
      <c r="AS81" s="3">
        <f t="shared" si="18"/>
        <v>22.779550504842273</v>
      </c>
      <c r="AT81" s="3">
        <f t="shared" si="7"/>
        <v>23.189421762478361</v>
      </c>
      <c r="AU81" s="3">
        <f t="shared" si="8"/>
        <v>2020.5720836458297</v>
      </c>
      <c r="AV81" s="24">
        <v>0.65</v>
      </c>
      <c r="AW81" s="3">
        <v>0</v>
      </c>
      <c r="AX81" s="3">
        <v>0</v>
      </c>
      <c r="AY81" s="24">
        <v>1</v>
      </c>
      <c r="BA81" s="3">
        <f t="shared" si="19"/>
        <v>80.343787165675565</v>
      </c>
      <c r="BB81" s="3">
        <f t="shared" si="20"/>
        <v>81.024197593222951</v>
      </c>
      <c r="BC81"/>
      <c r="BD81"/>
      <c r="BE81"/>
      <c r="BF81"/>
      <c r="BG81"/>
      <c r="BH81"/>
      <c r="BI81"/>
    </row>
    <row r="82" spans="1:61">
      <c r="A82">
        <v>2003</v>
      </c>
      <c r="B82" s="3">
        <f t="shared" si="1"/>
        <v>79.858764891775891</v>
      </c>
      <c r="C82" s="3">
        <f>CPIs!AB42</f>
        <v>84.372932949120482</v>
      </c>
      <c r="D82" s="69">
        <f>'Exchange Rates'!O42</f>
        <v>46.590800000000002</v>
      </c>
      <c r="E82" s="3">
        <f>' India data'!N24</f>
        <v>31.392500000000002</v>
      </c>
      <c r="F82" s="21">
        <f t="shared" si="11"/>
        <v>31.392499999999998</v>
      </c>
      <c r="G82" s="23"/>
      <c r="H82" s="12"/>
      <c r="I82" s="12"/>
      <c r="J82" s="27"/>
      <c r="K82" s="9">
        <f>USA!Z90*D82</f>
        <v>1309.2014800000002</v>
      </c>
      <c r="O82"/>
      <c r="P82" s="23"/>
      <c r="Q82"/>
      <c r="R82" s="3">
        <f>' India data'!J24</f>
        <v>11.883333333333333</v>
      </c>
      <c r="S82" s="3">
        <f>' India data'!K24</f>
        <v>0.6287096218308863</v>
      </c>
      <c r="T82">
        <f>' India data'!P24</f>
        <v>0.16031999999999999</v>
      </c>
      <c r="U82" s="3">
        <f t="shared" si="12"/>
        <v>4.3374634583563161</v>
      </c>
      <c r="V82" s="3">
        <f t="shared" si="13"/>
        <v>16.849506413520537</v>
      </c>
      <c r="X82"/>
      <c r="AD82" t="s">
        <v>174</v>
      </c>
      <c r="AF82" s="9">
        <v>2003</v>
      </c>
      <c r="AG82" s="3">
        <f t="shared" si="2"/>
        <v>31.392500000000002</v>
      </c>
      <c r="AH82" s="3">
        <f t="shared" si="14"/>
        <v>11.883333333333333</v>
      </c>
      <c r="AI82" s="3">
        <f t="shared" si="15"/>
        <v>0.6287096218308863</v>
      </c>
      <c r="AJ82" s="3">
        <f t="shared" si="16"/>
        <v>4.3374634583563161</v>
      </c>
      <c r="AK82" s="3">
        <f t="shared" si="17"/>
        <v>16.849506413520537</v>
      </c>
      <c r="AL82" s="3">
        <f t="shared" si="3"/>
        <v>14.542993586479465</v>
      </c>
      <c r="AM82" s="3"/>
      <c r="AN82" s="3">
        <f>CPIs!O42</f>
        <v>60.854219607795535</v>
      </c>
      <c r="AO82" s="3"/>
      <c r="AP82" s="3">
        <f t="shared" si="4"/>
        <v>51.586398120498721</v>
      </c>
      <c r="AQ82" s="3">
        <f t="shared" si="5"/>
        <v>51.678344694548329</v>
      </c>
      <c r="AR82" s="3">
        <f t="shared" si="6"/>
        <v>27.688312367022917</v>
      </c>
      <c r="AS82" s="3">
        <f t="shared" si="18"/>
        <v>23.898085753475804</v>
      </c>
      <c r="AT82" s="3">
        <f t="shared" si="7"/>
        <v>23.990032327525409</v>
      </c>
      <c r="AU82" s="3">
        <f t="shared" si="8"/>
        <v>2151.3733779477948</v>
      </c>
      <c r="AV82" s="24">
        <v>0.65</v>
      </c>
      <c r="AW82" s="3">
        <v>0</v>
      </c>
      <c r="AX82" s="3">
        <v>0</v>
      </c>
      <c r="AY82" s="24">
        <v>1</v>
      </c>
      <c r="BA82" s="3">
        <f t="shared" si="19"/>
        <v>85.636459124350409</v>
      </c>
      <c r="BB82" s="3">
        <f t="shared" si="20"/>
        <v>85.789095852579251</v>
      </c>
      <c r="BC82"/>
      <c r="BD82"/>
      <c r="BE82"/>
      <c r="BF82"/>
      <c r="BG82"/>
      <c r="BH82"/>
      <c r="BI82"/>
    </row>
    <row r="83" spans="1:61">
      <c r="A83">
        <v>2004</v>
      </c>
      <c r="B83" s="3">
        <f t="shared" si="1"/>
        <v>90.039821459874787</v>
      </c>
      <c r="C83" s="3">
        <f>CPIs!AB43</f>
        <v>86.623642075344748</v>
      </c>
      <c r="D83" s="69">
        <f>'Exchange Rates'!O43</f>
        <v>45.261000000000003</v>
      </c>
      <c r="E83" s="3">
        <f>' India data'!N25</f>
        <v>35.301666666666669</v>
      </c>
      <c r="F83" s="21">
        <f t="shared" si="11"/>
        <v>35.301666666666677</v>
      </c>
      <c r="G83" s="23"/>
      <c r="H83" s="12"/>
      <c r="I83" s="12"/>
      <c r="J83" s="27"/>
      <c r="K83" s="9">
        <f>USA!Z91*D83</f>
        <v>1631.65905</v>
      </c>
      <c r="O83"/>
      <c r="P83" s="23"/>
      <c r="Q83"/>
      <c r="R83" s="3">
        <f>' India data'!J25</f>
        <v>13.236666666666666</v>
      </c>
      <c r="S83" s="3">
        <f>' India data'!K25</f>
        <v>0.70699999999999996</v>
      </c>
      <c r="T83">
        <f>' India data'!P25</f>
        <v>0.16031999999999999</v>
      </c>
      <c r="U83" s="3">
        <f t="shared" si="12"/>
        <v>4.8775882515168227</v>
      </c>
      <c r="V83" s="3">
        <f t="shared" si="13"/>
        <v>18.821254918183492</v>
      </c>
      <c r="X83"/>
      <c r="AF83" s="9">
        <v>2004</v>
      </c>
      <c r="AG83" s="3">
        <f t="shared" si="2"/>
        <v>35.301666666666669</v>
      </c>
      <c r="AH83" s="3">
        <f t="shared" si="14"/>
        <v>13.236666666666666</v>
      </c>
      <c r="AI83" s="3">
        <f t="shared" si="15"/>
        <v>0.70699999999999996</v>
      </c>
      <c r="AJ83" s="3">
        <f t="shared" si="16"/>
        <v>4.8775882515168227</v>
      </c>
      <c r="AK83" s="3">
        <f t="shared" si="17"/>
        <v>18.821254918183492</v>
      </c>
      <c r="AL83" s="3">
        <f t="shared" si="3"/>
        <v>16.480411748483178</v>
      </c>
      <c r="AM83" s="3"/>
      <c r="AN83" s="3">
        <f>CPIs!O43</f>
        <v>63.146743185564112</v>
      </c>
      <c r="AO83" s="3"/>
      <c r="AP83" s="3">
        <f t="shared" si="4"/>
        <v>55.90417634513404</v>
      </c>
      <c r="AQ83" s="3">
        <f t="shared" si="5"/>
        <v>56.443131195292636</v>
      </c>
      <c r="AR83" s="3">
        <f t="shared" si="6"/>
        <v>29.805582946495001</v>
      </c>
      <c r="AS83" s="3">
        <f t="shared" si="18"/>
        <v>26.098593398639039</v>
      </c>
      <c r="AT83" s="3">
        <f t="shared" si="7"/>
        <v>26.637548248797639</v>
      </c>
      <c r="AU83" s="3">
        <f t="shared" si="8"/>
        <v>2583.9163948727783</v>
      </c>
      <c r="AV83" s="24">
        <v>0.65</v>
      </c>
      <c r="AW83" s="3">
        <v>0</v>
      </c>
      <c r="AX83" s="3">
        <v>0</v>
      </c>
      <c r="AY83" s="24">
        <v>1</v>
      </c>
      <c r="BA83" s="3">
        <f t="shared" si="19"/>
        <v>92.804225278100589</v>
      </c>
      <c r="BB83" s="3">
        <f t="shared" si="20"/>
        <v>93.698922071772188</v>
      </c>
      <c r="BC83"/>
      <c r="BD83"/>
      <c r="BE83"/>
      <c r="BF83"/>
      <c r="BG83"/>
      <c r="BH83"/>
      <c r="BI83"/>
    </row>
    <row r="84" spans="1:61">
      <c r="A84">
        <v>2005</v>
      </c>
      <c r="B84" s="3">
        <f t="shared" si="1"/>
        <v>101.98207193628454</v>
      </c>
      <c r="C84" s="3">
        <f>CPIs!AB44</f>
        <v>89.539246597092017</v>
      </c>
      <c r="D84" s="69">
        <f>'Exchange Rates'!O44</f>
        <v>44.0002</v>
      </c>
      <c r="E84" s="3">
        <f>' India data'!N26</f>
        <v>40.178333333333335</v>
      </c>
      <c r="F84" s="21">
        <f t="shared" si="11"/>
        <v>40.178333333333335</v>
      </c>
      <c r="G84" s="23"/>
      <c r="H84" s="12"/>
      <c r="I84" s="12"/>
      <c r="J84" s="27"/>
      <c r="K84" s="9">
        <f>USA!Z92*D84</f>
        <v>2228.1701280000002</v>
      </c>
      <c r="O84"/>
      <c r="P84" s="23"/>
      <c r="Q84"/>
      <c r="R84" s="3">
        <f>' India data'!J26</f>
        <v>14.59</v>
      </c>
      <c r="S84" s="3">
        <f>' India data'!K26</f>
        <v>0.77800000000000002</v>
      </c>
      <c r="T84">
        <f>' India data'!P26</f>
        <v>0.16700000000000001</v>
      </c>
      <c r="U84" s="3">
        <f t="shared" si="12"/>
        <v>5.7495986860896888</v>
      </c>
      <c r="V84" s="3">
        <f t="shared" si="13"/>
        <v>21.117598686089689</v>
      </c>
      <c r="X84"/>
      <c r="AF84" s="9">
        <v>2005</v>
      </c>
      <c r="AG84" s="3">
        <f t="shared" si="2"/>
        <v>40.178333333333335</v>
      </c>
      <c r="AH84" s="3">
        <f t="shared" si="14"/>
        <v>14.59</v>
      </c>
      <c r="AI84" s="3">
        <f t="shared" si="15"/>
        <v>0.77800000000000002</v>
      </c>
      <c r="AJ84" s="3">
        <f t="shared" si="16"/>
        <v>5.7495986860896888</v>
      </c>
      <c r="AK84" s="3">
        <f t="shared" si="17"/>
        <v>21.117598686089689</v>
      </c>
      <c r="AL84" s="3">
        <f t="shared" si="3"/>
        <v>19.060734647243645</v>
      </c>
      <c r="AM84" s="3"/>
      <c r="AN84" s="3">
        <f>CPIs!O44</f>
        <v>65.828177013190597</v>
      </c>
      <c r="AO84" s="3"/>
      <c r="AP84" s="3">
        <f t="shared" si="4"/>
        <v>61.035160255588472</v>
      </c>
      <c r="AQ84" s="3">
        <f t="shared" si="5"/>
        <v>61.444885916420795</v>
      </c>
      <c r="AR84" s="3">
        <f t="shared" si="6"/>
        <v>32.079877712333065</v>
      </c>
      <c r="AS84" s="3">
        <f t="shared" si="18"/>
        <v>28.955282543255407</v>
      </c>
      <c r="AT84" s="3">
        <f t="shared" si="7"/>
        <v>29.365008204087729</v>
      </c>
      <c r="AU84" s="3">
        <f t="shared" si="8"/>
        <v>3384.8273324560109</v>
      </c>
      <c r="AV84" s="24">
        <v>0.35</v>
      </c>
      <c r="AW84" s="3">
        <v>0</v>
      </c>
      <c r="AX84" s="3">
        <v>0</v>
      </c>
      <c r="AY84" s="24">
        <v>1</v>
      </c>
      <c r="BA84" s="3">
        <f t="shared" si="19"/>
        <v>101.32196076505889</v>
      </c>
      <c r="BB84" s="3">
        <f t="shared" si="20"/>
        <v>102.00212949333692</v>
      </c>
      <c r="BC84"/>
      <c r="BD84"/>
      <c r="BE84"/>
      <c r="BF84"/>
      <c r="BG84"/>
      <c r="BH84"/>
      <c r="BI84"/>
    </row>
    <row r="85" spans="1:61">
      <c r="A85">
        <v>2006</v>
      </c>
      <c r="B85" s="3">
        <f t="shared" si="1"/>
        <v>109.22765405698452</v>
      </c>
      <c r="C85" s="3">
        <f>CPIs!AB45</f>
        <v>92.424281215596821</v>
      </c>
      <c r="D85" s="69">
        <f>'Exchange Rates'!O45</f>
        <v>45.186100000000003</v>
      </c>
      <c r="E85" s="3">
        <f>' India data'!N27</f>
        <v>45.616666666666667</v>
      </c>
      <c r="F85" s="21">
        <f t="shared" si="11"/>
        <v>45.616666666666667</v>
      </c>
      <c r="G85" s="23"/>
      <c r="H85" s="12"/>
      <c r="I85" s="12"/>
      <c r="J85" s="27"/>
      <c r="K85" s="9">
        <f>USA!Z93*D85</f>
        <v>2759.9669880000001</v>
      </c>
      <c r="O85"/>
      <c r="P85" s="23"/>
      <c r="Q85"/>
      <c r="R85" s="3">
        <f>' India data'!J27</f>
        <v>14.59</v>
      </c>
      <c r="S85" s="3">
        <f>' India data'!K27</f>
        <v>0.84799999999999998</v>
      </c>
      <c r="T85">
        <f>' India data'!P27</f>
        <v>0.16700000000000001</v>
      </c>
      <c r="U85" s="3">
        <f t="shared" si="12"/>
        <v>6.5278349043130541</v>
      </c>
      <c r="V85" s="3">
        <f t="shared" si="13"/>
        <v>21.965834904313056</v>
      </c>
      <c r="X85"/>
      <c r="AF85" s="9">
        <v>2006</v>
      </c>
      <c r="AG85" s="3">
        <f t="shared" si="2"/>
        <v>45.616666666666667</v>
      </c>
      <c r="AH85" s="3">
        <f t="shared" si="14"/>
        <v>14.59</v>
      </c>
      <c r="AI85" s="3">
        <f t="shared" si="15"/>
        <v>0.84799999999999998</v>
      </c>
      <c r="AJ85" s="3">
        <f t="shared" si="16"/>
        <v>6.5278349043130541</v>
      </c>
      <c r="AK85" s="3">
        <f t="shared" si="17"/>
        <v>21.965834904313056</v>
      </c>
      <c r="AL85" s="3">
        <f t="shared" si="3"/>
        <v>23.650831762353612</v>
      </c>
      <c r="AM85" s="3"/>
      <c r="AN85" s="3">
        <f>CPIs!O45</f>
        <v>69.873662369148491</v>
      </c>
      <c r="AO85" s="3"/>
      <c r="AP85" s="3">
        <f t="shared" si="4"/>
        <v>65.284493641781566</v>
      </c>
      <c r="AQ85" s="3">
        <f t="shared" si="5"/>
        <v>64.260453370125447</v>
      </c>
      <c r="AR85" s="3">
        <f t="shared" si="6"/>
        <v>31.436501479292279</v>
      </c>
      <c r="AS85" s="3">
        <f t="shared" si="18"/>
        <v>33.847992162489291</v>
      </c>
      <c r="AT85" s="3">
        <f t="shared" si="7"/>
        <v>32.823951890833172</v>
      </c>
      <c r="AU85" s="3">
        <f t="shared" si="8"/>
        <v>3949.9389246535557</v>
      </c>
      <c r="AV85" s="24">
        <v>0.35</v>
      </c>
      <c r="AW85" s="3">
        <v>0</v>
      </c>
      <c r="AX85" s="3">
        <v>0</v>
      </c>
      <c r="AY85" s="24">
        <v>1</v>
      </c>
      <c r="BA85" s="3">
        <f t="shared" si="19"/>
        <v>108.37610445585207</v>
      </c>
      <c r="BB85" s="3">
        <f t="shared" si="20"/>
        <v>106.67613729279246</v>
      </c>
      <c r="BC85"/>
      <c r="BD85"/>
      <c r="BE85"/>
      <c r="BF85"/>
      <c r="BG85"/>
      <c r="BH85"/>
      <c r="BI85"/>
    </row>
    <row r="86" spans="1:61">
      <c r="A86">
        <v>2007</v>
      </c>
      <c r="B86" s="3">
        <f t="shared" si="1"/>
        <v>111.09052615461397</v>
      </c>
      <c r="C86" s="3">
        <f>CPIs!AB46</f>
        <v>95.074004003892881</v>
      </c>
      <c r="D86" s="69">
        <f>'Exchange Rates'!O46</f>
        <v>41.177399999999999</v>
      </c>
      <c r="E86" s="3">
        <f>' India data'!N28</f>
        <v>43.49083333333332</v>
      </c>
      <c r="F86" s="21">
        <f t="shared" si="11"/>
        <v>43.49083333333332</v>
      </c>
      <c r="G86" s="23"/>
      <c r="H86" s="12"/>
      <c r="I86" s="12"/>
      <c r="J86" s="27"/>
      <c r="K86" s="9">
        <f>USA!Z94*D86</f>
        <v>2844.5347919999999</v>
      </c>
      <c r="O86"/>
      <c r="P86" s="23"/>
      <c r="Q86"/>
      <c r="R86" s="3">
        <f>' India data'!J28</f>
        <v>14.78</v>
      </c>
      <c r="S86" s="3">
        <f>' India data'!K28</f>
        <v>0.89400000000000002</v>
      </c>
      <c r="T86">
        <f>' India data'!P28</f>
        <v>0.16700000000000001</v>
      </c>
      <c r="U86" s="3">
        <f t="shared" si="12"/>
        <v>6.2236239645815461</v>
      </c>
      <c r="V86" s="3">
        <f t="shared" si="13"/>
        <v>21.897623964581545</v>
      </c>
      <c r="X86"/>
      <c r="AF86" s="9">
        <v>2007</v>
      </c>
      <c r="AG86" s="3">
        <f t="shared" si="2"/>
        <v>43.49083333333332</v>
      </c>
      <c r="AH86" s="3">
        <f t="shared" si="14"/>
        <v>14.78</v>
      </c>
      <c r="AI86" s="3">
        <f t="shared" si="15"/>
        <v>0.89400000000000002</v>
      </c>
      <c r="AJ86" s="3">
        <f t="shared" si="16"/>
        <v>6.2236239645815461</v>
      </c>
      <c r="AK86" s="3">
        <f t="shared" si="17"/>
        <v>21.897623964581545</v>
      </c>
      <c r="AL86" s="3">
        <f t="shared" si="3"/>
        <v>21.593209368751776</v>
      </c>
      <c r="AM86" s="3"/>
      <c r="AN86" s="3">
        <f>CPIs!O46</f>
        <v>74.324612388374277</v>
      </c>
      <c r="AO86" s="3"/>
      <c r="AP86" s="3">
        <f t="shared" si="4"/>
        <v>58.514712604321737</v>
      </c>
      <c r="AQ86" s="3">
        <f t="shared" si="5"/>
        <v>58.997465673598086</v>
      </c>
      <c r="AR86" s="3">
        <f t="shared" si="6"/>
        <v>29.462143509283518</v>
      </c>
      <c r="AS86" s="3">
        <f t="shared" si="18"/>
        <v>29.052569095038219</v>
      </c>
      <c r="AT86" s="3">
        <f t="shared" si="7"/>
        <v>29.535322164314572</v>
      </c>
      <c r="AU86" s="3">
        <f t="shared" si="8"/>
        <v>3827.1774323372547</v>
      </c>
      <c r="AV86" s="3">
        <v>0</v>
      </c>
      <c r="AW86" s="3">
        <v>0</v>
      </c>
      <c r="AX86" s="3">
        <v>0</v>
      </c>
      <c r="AY86" s="24">
        <v>1</v>
      </c>
      <c r="BA86" s="3">
        <f t="shared" si="19"/>
        <v>97.137869219093773</v>
      </c>
      <c r="BB86" s="3">
        <f t="shared" si="20"/>
        <v>97.939267746427888</v>
      </c>
      <c r="BC86"/>
      <c r="BD86"/>
      <c r="BE86"/>
      <c r="BF86"/>
      <c r="BG86"/>
      <c r="BH86"/>
      <c r="BI86"/>
    </row>
    <row r="87" spans="1:61">
      <c r="A87">
        <v>2008</v>
      </c>
      <c r="B87" s="3">
        <f t="shared" si="1"/>
        <v>111.67246445116174</v>
      </c>
      <c r="C87" s="3">
        <f>CPIs!AB47</f>
        <v>98.70291900542334</v>
      </c>
      <c r="D87" s="69">
        <f>'Exchange Rates'!O47</f>
        <v>43.385899999999999</v>
      </c>
      <c r="E87" s="3">
        <f>' India data'!N29</f>
        <v>47.821666666666665</v>
      </c>
      <c r="F87" s="21">
        <f t="shared" si="11"/>
        <v>47.821666666666673</v>
      </c>
      <c r="G87" s="23"/>
      <c r="H87" s="12"/>
      <c r="I87" s="12"/>
      <c r="J87" s="27"/>
      <c r="K87" s="9">
        <f>USA!Z95*D87</f>
        <v>4097.7982549999997</v>
      </c>
      <c r="O87"/>
      <c r="P87" s="23"/>
      <c r="Q87"/>
      <c r="R87" s="3">
        <f>' India data'!J29</f>
        <v>14.78</v>
      </c>
      <c r="S87" s="3">
        <f>' India data'!K29</f>
        <v>1.024</v>
      </c>
      <c r="T87">
        <f>' India data'!P29</f>
        <v>0.16700000000000001</v>
      </c>
      <c r="U87" s="3">
        <f t="shared" si="12"/>
        <v>6.8433747500714075</v>
      </c>
      <c r="V87" s="3">
        <f t="shared" si="13"/>
        <v>22.647374750071407</v>
      </c>
      <c r="X87"/>
      <c r="AF87" s="9">
        <v>2008</v>
      </c>
      <c r="AG87" s="3">
        <f t="shared" si="2"/>
        <v>47.821666666666665</v>
      </c>
      <c r="AH87" s="3">
        <f t="shared" si="14"/>
        <v>14.78</v>
      </c>
      <c r="AI87" s="3">
        <f t="shared" si="15"/>
        <v>1.024</v>
      </c>
      <c r="AJ87" s="3">
        <f t="shared" si="16"/>
        <v>6.8433747500714075</v>
      </c>
      <c r="AK87" s="3">
        <f t="shared" si="17"/>
        <v>22.647374750071407</v>
      </c>
      <c r="AL87" s="3">
        <f t="shared" si="3"/>
        <v>25.174291916595259</v>
      </c>
      <c r="AM87" s="3"/>
      <c r="AN87" s="3">
        <f>CPIs!O47</f>
        <v>80.532067587765781</v>
      </c>
      <c r="AO87" s="3"/>
      <c r="AP87" s="3">
        <f t="shared" si="4"/>
        <v>59.382141920731726</v>
      </c>
      <c r="AQ87" s="3">
        <f t="shared" si="5"/>
        <v>59.120107257210805</v>
      </c>
      <c r="AR87" s="3">
        <f t="shared" si="6"/>
        <v>28.122182167233884</v>
      </c>
      <c r="AS87" s="3">
        <f t="shared" si="18"/>
        <v>31.259959753497842</v>
      </c>
      <c r="AT87" s="3">
        <f t="shared" si="7"/>
        <v>30.997925089976917</v>
      </c>
      <c r="AU87" s="3">
        <f t="shared" si="8"/>
        <v>5088.4056224362066</v>
      </c>
      <c r="AV87" s="3">
        <v>0</v>
      </c>
      <c r="AW87" s="24">
        <v>1</v>
      </c>
      <c r="AX87" s="3">
        <v>0</v>
      </c>
      <c r="AY87" s="24">
        <v>1</v>
      </c>
      <c r="BA87" s="3">
        <f t="shared" si="19"/>
        <v>98.577852972650106</v>
      </c>
      <c r="BB87" s="3">
        <f t="shared" si="20"/>
        <v>98.142859998351796</v>
      </c>
      <c r="BC87"/>
      <c r="BD87"/>
      <c r="BE87"/>
      <c r="BF87"/>
      <c r="BG87"/>
      <c r="BH87"/>
      <c r="BI87"/>
    </row>
    <row r="88" spans="1:61">
      <c r="A88">
        <v>2009</v>
      </c>
      <c r="B88" s="3">
        <f t="shared" si="1"/>
        <v>90.550861711233566</v>
      </c>
      <c r="C88" s="3">
        <f>CPIs!AB48</f>
        <v>98.380597588110902</v>
      </c>
      <c r="D88" s="69">
        <f>'Exchange Rates'!O48</f>
        <v>48.3324</v>
      </c>
      <c r="E88" s="3">
        <f>' India data'!N30</f>
        <v>43.056666666666672</v>
      </c>
      <c r="F88" s="21">
        <f t="shared" si="11"/>
        <v>43.056666666666672</v>
      </c>
      <c r="G88" s="23"/>
      <c r="H88" s="12"/>
      <c r="I88" s="12"/>
      <c r="J88" s="27"/>
      <c r="K88" s="9">
        <f>USA!Z96*D88</f>
        <v>2951.176344</v>
      </c>
      <c r="O88"/>
      <c r="P88" s="23"/>
      <c r="Q88"/>
      <c r="R88" s="3">
        <f>' India data'!J30</f>
        <v>14.78</v>
      </c>
      <c r="S88" s="3">
        <f>' India data'!K30</f>
        <v>1.052</v>
      </c>
      <c r="T88">
        <f>' India data'!P30</f>
        <v>0.16700000000000001</v>
      </c>
      <c r="U88" s="3">
        <f t="shared" si="12"/>
        <v>6.161493858897459</v>
      </c>
      <c r="V88" s="3">
        <f t="shared" si="13"/>
        <v>21.993493858897459</v>
      </c>
      <c r="X88"/>
      <c r="AF88" s="9">
        <v>2009</v>
      </c>
      <c r="AG88" s="3">
        <f t="shared" si="2"/>
        <v>43.056666666666672</v>
      </c>
      <c r="AH88" s="3">
        <f t="shared" si="14"/>
        <v>14.78</v>
      </c>
      <c r="AI88" s="3">
        <f t="shared" si="15"/>
        <v>1.052</v>
      </c>
      <c r="AJ88" s="3">
        <f t="shared" si="16"/>
        <v>6.161493858897459</v>
      </c>
      <c r="AK88" s="3">
        <f t="shared" si="17"/>
        <v>21.993493858897459</v>
      </c>
      <c r="AL88" s="3">
        <f t="shared" si="3"/>
        <v>21.063172807769213</v>
      </c>
      <c r="AM88" s="3"/>
      <c r="AN88" s="3">
        <f>CPIs!O48</f>
        <v>89.291855556309812</v>
      </c>
      <c r="AO88" s="3"/>
      <c r="AP88" s="3">
        <f t="shared" si="4"/>
        <v>48.220149977188001</v>
      </c>
      <c r="AQ88" s="3">
        <f t="shared" si="5"/>
        <v>49.093598855591082</v>
      </c>
      <c r="AR88" s="3">
        <f t="shared" si="6"/>
        <v>24.631018945538408</v>
      </c>
      <c r="AS88" s="3">
        <f t="shared" si="18"/>
        <v>23.589131031649593</v>
      </c>
      <c r="AT88" s="3">
        <f t="shared" si="7"/>
        <v>24.462579910052675</v>
      </c>
      <c r="AU88" s="3">
        <f t="shared" si="8"/>
        <v>3305.0901738052808</v>
      </c>
      <c r="AV88" s="3">
        <v>0</v>
      </c>
      <c r="AW88" s="24">
        <v>0.3</v>
      </c>
      <c r="AX88" s="3">
        <v>0</v>
      </c>
      <c r="AY88" s="24">
        <v>1</v>
      </c>
      <c r="BA88" s="3">
        <f t="shared" si="19"/>
        <v>80.048288947132718</v>
      </c>
      <c r="BB88" s="3">
        <f t="shared" si="20"/>
        <v>81.498265528127092</v>
      </c>
      <c r="BC88"/>
      <c r="BD88"/>
      <c r="BE88"/>
      <c r="BF88"/>
      <c r="BG88"/>
      <c r="BH88"/>
      <c r="BI88"/>
    </row>
    <row r="89" spans="1:61">
      <c r="A89">
        <v>2010</v>
      </c>
      <c r="B89" s="3">
        <f>E89/D89*100/C89*100</f>
        <v>108.11809545557529</v>
      </c>
      <c r="C89" s="3">
        <f>CPIs!AB49</f>
        <v>99.999998509883881</v>
      </c>
      <c r="D89" s="69">
        <f>'Exchange Rates'!O49</f>
        <v>45.650700000000001</v>
      </c>
      <c r="E89" s="3">
        <f>' India data'!N31</f>
        <v>49.356666666666662</v>
      </c>
      <c r="F89" s="21">
        <f t="shared" si="11"/>
        <v>49.356666666666662</v>
      </c>
      <c r="G89" s="23"/>
      <c r="H89" s="12"/>
      <c r="I89" s="12"/>
      <c r="J89" s="27"/>
      <c r="K89" s="9">
        <f>USA!Z97*D89</f>
        <v>3535.6467150000003</v>
      </c>
      <c r="O89"/>
      <c r="P89" s="23"/>
      <c r="Q89"/>
      <c r="R89" s="3">
        <f>' India data'!J31</f>
        <v>14.35</v>
      </c>
      <c r="S89" s="3">
        <f>' India data'!K31</f>
        <v>1.125</v>
      </c>
      <c r="T89">
        <f>' India data'!P31</f>
        <v>0.16700000000000001</v>
      </c>
      <c r="U89" s="3">
        <f t="shared" si="12"/>
        <v>7.0630362753498996</v>
      </c>
      <c r="V89" s="3">
        <f t="shared" si="13"/>
        <v>22.538036275349899</v>
      </c>
      <c r="X89"/>
      <c r="AF89" s="9">
        <v>2010</v>
      </c>
      <c r="AG89" s="3">
        <f t="shared" si="2"/>
        <v>49.356666666666662</v>
      </c>
      <c r="AH89" s="3">
        <f t="shared" si="14"/>
        <v>14.35</v>
      </c>
      <c r="AI89" s="3">
        <f t="shared" si="15"/>
        <v>1.125</v>
      </c>
      <c r="AJ89" s="3">
        <f t="shared" si="16"/>
        <v>7.0630362753498996</v>
      </c>
      <c r="AK89" s="3">
        <f t="shared" si="17"/>
        <v>22.538036275349899</v>
      </c>
      <c r="AL89" s="3">
        <f t="shared" si="3"/>
        <v>26.818630391316763</v>
      </c>
      <c r="AM89" s="3"/>
      <c r="AN89" s="3">
        <f>CPIs!O49</f>
        <v>100</v>
      </c>
      <c r="AO89" s="3"/>
      <c r="AP89" s="3">
        <f t="shared" si="4"/>
        <v>49.356666666666662</v>
      </c>
      <c r="AQ89" s="2">
        <f t="shared" si="5"/>
        <v>50.288952760947538</v>
      </c>
      <c r="AR89" s="3">
        <f t="shared" si="6"/>
        <v>22.538036275349899</v>
      </c>
      <c r="AS89" s="3">
        <f t="shared" si="18"/>
        <v>26.818630391316763</v>
      </c>
      <c r="AT89" s="3">
        <f t="shared" si="7"/>
        <v>27.750916485597635</v>
      </c>
      <c r="AU89" s="3">
        <f>K89/AN89*100</f>
        <v>3535.6467149999999</v>
      </c>
      <c r="AV89" s="3">
        <v>0</v>
      </c>
      <c r="AW89" s="3">
        <v>0</v>
      </c>
      <c r="AX89" s="3">
        <v>0</v>
      </c>
      <c r="AY89" s="24">
        <v>1</v>
      </c>
      <c r="BA89" s="3">
        <f t="shared" si="19"/>
        <v>81.934973588214632</v>
      </c>
      <c r="BB89" s="3">
        <f t="shared" si="20"/>
        <v>83.482623412856285</v>
      </c>
      <c r="BC89"/>
      <c r="BD89"/>
      <c r="BE89"/>
      <c r="BF89"/>
      <c r="BG89"/>
      <c r="BH89"/>
      <c r="BI89"/>
    </row>
    <row r="90" spans="1:61">
      <c r="A90">
        <v>2011</v>
      </c>
      <c r="B90" s="3">
        <f t="shared" ref="B90:B95" si="21">E90/D90*100/C90*100</f>
        <v>128.91701966323467</v>
      </c>
      <c r="C90" s="3">
        <f>CPIs!AB50</f>
        <v>103.13271097869961</v>
      </c>
      <c r="D90" s="69">
        <f>'Exchange Rates'!O50</f>
        <v>46.578200000000002</v>
      </c>
      <c r="E90" s="3">
        <f>' India data'!N32</f>
        <v>61.928333333333335</v>
      </c>
      <c r="F90" s="21">
        <f>AP90*AN90/100</f>
        <v>61.928333333333327</v>
      </c>
      <c r="G90" s="23"/>
      <c r="H90" s="12"/>
      <c r="I90" s="12"/>
      <c r="J90" s="23"/>
      <c r="K90" s="9">
        <f>USA!Z98*D90</f>
        <v>5004.8275900000008</v>
      </c>
      <c r="O90"/>
      <c r="P90" s="23"/>
      <c r="Q90"/>
      <c r="R90" s="3">
        <f>' India data'!J32</f>
        <v>14.35</v>
      </c>
      <c r="S90" s="3">
        <f>' India data'!K32</f>
        <v>1.218</v>
      </c>
      <c r="T90">
        <f>' India data'!P32</f>
        <v>0.16700000000000001</v>
      </c>
      <c r="U90" s="3">
        <f t="shared" si="12"/>
        <v>8.8620665524135962</v>
      </c>
      <c r="V90" s="3">
        <f t="shared" si="13"/>
        <v>24.430066552413596</v>
      </c>
      <c r="X90"/>
      <c r="AF90" s="9">
        <v>2011</v>
      </c>
      <c r="AG90" s="3">
        <f t="shared" si="2"/>
        <v>61.928333333333335</v>
      </c>
      <c r="AH90" s="3">
        <f t="shared" si="14"/>
        <v>14.35</v>
      </c>
      <c r="AI90" s="3">
        <f t="shared" si="15"/>
        <v>1.218</v>
      </c>
      <c r="AJ90" s="3">
        <f t="shared" si="16"/>
        <v>8.8620665524135962</v>
      </c>
      <c r="AK90" s="3">
        <f t="shared" si="17"/>
        <v>24.430066552413596</v>
      </c>
      <c r="AL90" s="3">
        <f t="shared" si="3"/>
        <v>37.498266780919735</v>
      </c>
      <c r="AM90" s="3"/>
      <c r="AN90" s="3">
        <f>CPIs!O50</f>
        <v>108.857845297</v>
      </c>
      <c r="AO90" s="3"/>
      <c r="AP90" s="3">
        <f t="shared" si="4"/>
        <v>56.889177958990899</v>
      </c>
      <c r="AQ90" s="2">
        <f t="shared" si="5"/>
        <v>56.692993531182879</v>
      </c>
      <c r="AR90" s="3">
        <f t="shared" si="6"/>
        <v>22.442173539041068</v>
      </c>
      <c r="AS90" s="3">
        <f t="shared" si="18"/>
        <v>34.447004419949835</v>
      </c>
      <c r="AT90" s="3">
        <f t="shared" si="7"/>
        <v>34.250819992141807</v>
      </c>
      <c r="AU90" s="3">
        <f t="shared" si="8"/>
        <v>4597.5809794371598</v>
      </c>
      <c r="AV90" s="3">
        <v>0</v>
      </c>
      <c r="AW90" s="3">
        <v>0</v>
      </c>
      <c r="AX90" s="3">
        <v>0</v>
      </c>
      <c r="AY90" s="24">
        <v>1</v>
      </c>
      <c r="BA90" s="3">
        <f t="shared" si="19"/>
        <v>94.43938596998369</v>
      </c>
      <c r="BB90" s="3">
        <f t="shared" si="20"/>
        <v>94.11370826529938</v>
      </c>
      <c r="BC90"/>
      <c r="BD90"/>
      <c r="BE90"/>
      <c r="BF90"/>
      <c r="BG90"/>
      <c r="BH90"/>
      <c r="BI90"/>
    </row>
    <row r="91" spans="1:61">
      <c r="A91">
        <v>2012</v>
      </c>
      <c r="B91" s="3">
        <f t="shared" si="21"/>
        <v>119.72115974818604</v>
      </c>
      <c r="C91" s="3">
        <f>CPIs!AB51</f>
        <v>105.21072267093371</v>
      </c>
      <c r="D91" s="69">
        <f>'Exchange Rates'!O51</f>
        <v>53.374299999999998</v>
      </c>
      <c r="E91" s="3">
        <f>' India data'!N33</f>
        <v>67.23</v>
      </c>
      <c r="F91" s="21">
        <f t="shared" si="11"/>
        <v>67.23</v>
      </c>
      <c r="G91" s="23"/>
      <c r="H91" s="12"/>
      <c r="I91" s="12"/>
      <c r="J91" s="23"/>
      <c r="K91" s="9">
        <f>USA!Z99*D91</f>
        <v>5844.2647914408326</v>
      </c>
      <c r="O91"/>
      <c r="P91" s="23"/>
      <c r="Q91"/>
      <c r="R91" s="3">
        <f>' India data'!J33</f>
        <v>14.45</v>
      </c>
      <c r="S91" s="3">
        <f>' India data'!K33</f>
        <v>1.4990000000000001</v>
      </c>
      <c r="T91">
        <f>' India data'!P33</f>
        <v>0.16700000000000001</v>
      </c>
      <c r="U91" s="3">
        <f t="shared" si="12"/>
        <v>9.6207455012853487</v>
      </c>
      <c r="V91" s="3">
        <f t="shared" si="13"/>
        <v>25.569745501285347</v>
      </c>
      <c r="X91"/>
      <c r="AF91" s="9">
        <v>2012</v>
      </c>
      <c r="AG91" s="3">
        <f t="shared" si="2"/>
        <v>67.23</v>
      </c>
      <c r="AH91" s="3">
        <f t="shared" si="14"/>
        <v>14.45</v>
      </c>
      <c r="AI91" s="3">
        <f t="shared" si="15"/>
        <v>1.4990000000000001</v>
      </c>
      <c r="AJ91" s="3">
        <f t="shared" si="16"/>
        <v>9.6207455012853487</v>
      </c>
      <c r="AK91" s="3">
        <f t="shared" si="17"/>
        <v>25.569745501285347</v>
      </c>
      <c r="AL91" s="3">
        <f t="shared" si="3"/>
        <v>41.660254498714657</v>
      </c>
      <c r="AM91" s="3"/>
      <c r="AN91" s="3">
        <f>CPIs!O51</f>
        <v>118.99517292705816</v>
      </c>
      <c r="AO91" s="3"/>
      <c r="AP91" s="3">
        <f t="shared" si="4"/>
        <v>56.498090087411143</v>
      </c>
      <c r="AQ91" s="2">
        <f t="shared" si="5"/>
        <v>57.659371108157714</v>
      </c>
      <c r="AR91" s="3">
        <f t="shared" si="6"/>
        <v>21.488052727112827</v>
      </c>
      <c r="AS91" s="3">
        <f t="shared" si="18"/>
        <v>35.010037360298313</v>
      </c>
      <c r="AT91" s="3">
        <f t="shared" si="7"/>
        <v>36.171318381044884</v>
      </c>
      <c r="AU91" s="3">
        <f t="shared" si="8"/>
        <v>4911.3461056300648</v>
      </c>
      <c r="AV91" s="3">
        <v>0</v>
      </c>
      <c r="AW91" s="3">
        <v>0</v>
      </c>
      <c r="AX91" s="3">
        <v>0</v>
      </c>
      <c r="AY91" s="24">
        <v>1</v>
      </c>
      <c r="BA91" s="3">
        <f t="shared" si="19"/>
        <v>93.790157069560408</v>
      </c>
      <c r="BB91" s="3">
        <f t="shared" si="20"/>
        <v>95.717951959072778</v>
      </c>
      <c r="BC91"/>
      <c r="BD91"/>
      <c r="BE91"/>
      <c r="BF91"/>
      <c r="BG91"/>
      <c r="BH91"/>
      <c r="BI91"/>
    </row>
    <row r="92" spans="1:61">
      <c r="A92">
        <v>2013</v>
      </c>
      <c r="B92" s="3">
        <f t="shared" si="21"/>
        <v>110.70483712816998</v>
      </c>
      <c r="C92" s="3">
        <f>CPIs!AB52</f>
        <v>106.69767516878358</v>
      </c>
      <c r="D92" s="69">
        <f>'Exchange Rates'!O52</f>
        <v>58.514899999999997</v>
      </c>
      <c r="E92" s="3">
        <f>' India data'!N34</f>
        <v>69.117499999999993</v>
      </c>
      <c r="F92" s="21">
        <f t="shared" si="11"/>
        <v>69.117499999999993</v>
      </c>
      <c r="G92" s="23"/>
      <c r="H92" s="12"/>
      <c r="I92" s="12"/>
      <c r="J92" s="28"/>
      <c r="K92" s="9">
        <f>USA!Z100*D92</f>
        <v>6198.8490751249992</v>
      </c>
      <c r="O92"/>
      <c r="P92" s="23"/>
      <c r="Q92"/>
      <c r="R92" s="3">
        <f>' India data'!J34</f>
        <v>9.2799999999999994</v>
      </c>
      <c r="S92" s="3">
        <f>' India data'!K34</f>
        <v>1.794</v>
      </c>
      <c r="T92">
        <f>' India data'!P34</f>
        <v>0.2</v>
      </c>
      <c r="U92" s="3">
        <f t="shared" si="12"/>
        <v>11.519583333333333</v>
      </c>
      <c r="V92" s="3">
        <f t="shared" si="13"/>
        <v>22.593583333333335</v>
      </c>
      <c r="X92"/>
      <c r="AF92" s="9">
        <v>2013</v>
      </c>
      <c r="AG92" s="3">
        <f t="shared" si="2"/>
        <v>69.117499999999993</v>
      </c>
      <c r="AH92" s="3">
        <f t="shared" si="14"/>
        <v>9.2799999999999994</v>
      </c>
      <c r="AI92" s="3">
        <f t="shared" si="15"/>
        <v>1.794</v>
      </c>
      <c r="AJ92" s="3">
        <f t="shared" si="16"/>
        <v>11.519583333333333</v>
      </c>
      <c r="AK92" s="3">
        <f t="shared" si="17"/>
        <v>22.593583333333335</v>
      </c>
      <c r="AL92" s="3">
        <f t="shared" si="3"/>
        <v>46.523916666666658</v>
      </c>
      <c r="AM92" s="3"/>
      <c r="AN92" s="3">
        <f>CPIs!O52</f>
        <v>131.97474194605937</v>
      </c>
      <c r="AO92" s="3"/>
      <c r="AP92" s="3">
        <f t="shared" si="4"/>
        <v>52.371763703277139</v>
      </c>
      <c r="AQ92" s="2">
        <f t="shared" si="5"/>
        <v>51.978951166068434</v>
      </c>
      <c r="AR92" s="3">
        <f t="shared" si="6"/>
        <v>17.119626831752221</v>
      </c>
      <c r="AS92" s="3">
        <f t="shared" si="18"/>
        <v>35.252136871524918</v>
      </c>
      <c r="AT92" s="3">
        <f t="shared" si="7"/>
        <v>34.859324334316213</v>
      </c>
      <c r="AU92" s="3">
        <f t="shared" si="8"/>
        <v>4696.9965492780348</v>
      </c>
      <c r="AV92" s="3">
        <v>0</v>
      </c>
      <c r="AW92" s="3">
        <v>0</v>
      </c>
      <c r="AX92" s="3">
        <v>0</v>
      </c>
      <c r="AY92" s="24">
        <v>1</v>
      </c>
      <c r="BA92" s="3">
        <f t="shared" si="19"/>
        <v>86.940212246833866</v>
      </c>
      <c r="BB92" s="3">
        <f t="shared" si="20"/>
        <v>86.288120299890238</v>
      </c>
      <c r="BC92"/>
      <c r="BD92"/>
      <c r="BE92"/>
      <c r="BF92"/>
      <c r="BG92"/>
      <c r="BH92"/>
      <c r="BI92"/>
    </row>
    <row r="93" spans="1:61">
      <c r="A93">
        <v>2014</v>
      </c>
      <c r="B93" s="3">
        <f t="shared" si="21"/>
        <v>105.57128903854863</v>
      </c>
      <c r="C93" s="3">
        <f>CPIs!AB53</f>
        <v>108.45811062912946</v>
      </c>
      <c r="D93" s="69">
        <f>'Exchange Rates'!O53</f>
        <v>60.9953</v>
      </c>
      <c r="E93" s="3">
        <f>' India data'!N35</f>
        <v>69.84</v>
      </c>
      <c r="F93" s="21">
        <f t="shared" si="11"/>
        <v>69.84</v>
      </c>
      <c r="G93" s="23"/>
      <c r="H93" s="12"/>
      <c r="I93" s="12"/>
      <c r="J93" s="28"/>
      <c r="K93" s="9">
        <f>USA!Z101*D93</f>
        <v>5867.0804697591657</v>
      </c>
      <c r="O93"/>
      <c r="P93" s="23"/>
      <c r="Q93"/>
      <c r="R93" s="3">
        <f>' India data'!J35</f>
        <v>9.4179999999999993</v>
      </c>
      <c r="S93" s="3">
        <f>' India data'!K35</f>
        <v>2.0499999999999998</v>
      </c>
      <c r="T93">
        <f>' India data'!P35</f>
        <v>0.2</v>
      </c>
      <c r="U93" s="3">
        <f t="shared" si="12"/>
        <v>11.64</v>
      </c>
      <c r="V93" s="3">
        <f t="shared" si="13"/>
        <v>23.108000000000001</v>
      </c>
      <c r="X93"/>
      <c r="AF93" s="9">
        <v>2014</v>
      </c>
      <c r="AG93" s="3">
        <f t="shared" si="2"/>
        <v>69.84</v>
      </c>
      <c r="AH93" s="3">
        <f t="shared" si="14"/>
        <v>9.4179999999999993</v>
      </c>
      <c r="AI93" s="3">
        <f t="shared" si="15"/>
        <v>2.0499999999999998</v>
      </c>
      <c r="AJ93" s="3">
        <f t="shared" si="16"/>
        <v>11.64</v>
      </c>
      <c r="AK93" s="3">
        <f t="shared" si="17"/>
        <v>23.108000000000001</v>
      </c>
      <c r="AL93" s="3">
        <f t="shared" si="3"/>
        <v>46.731999999999999</v>
      </c>
      <c r="AM93" s="3"/>
      <c r="AN93" s="3">
        <f>CPIs!O53</f>
        <v>140.75040261104445</v>
      </c>
      <c r="AO93" s="3"/>
      <c r="AP93" s="3">
        <f t="shared" si="4"/>
        <v>49.619751492291485</v>
      </c>
      <c r="AQ93" s="2">
        <f t="shared" si="5"/>
        <v>48.041774445404073</v>
      </c>
      <c r="AR93" s="3">
        <f t="shared" si="6"/>
        <v>16.417715026974104</v>
      </c>
      <c r="AS93" s="3">
        <f t="shared" si="18"/>
        <v>33.202036465317377</v>
      </c>
      <c r="AT93" s="3">
        <f t="shared" si="7"/>
        <v>31.624059418429965</v>
      </c>
      <c r="AU93" s="3">
        <f t="shared" si="8"/>
        <v>4168.4289074273565</v>
      </c>
      <c r="AV93" s="3">
        <v>0</v>
      </c>
      <c r="AW93" s="3">
        <v>0</v>
      </c>
      <c r="AX93" s="3">
        <v>0</v>
      </c>
      <c r="AY93" s="24">
        <v>1</v>
      </c>
      <c r="BA93" s="3">
        <f t="shared" si="19"/>
        <v>82.371709893456014</v>
      </c>
      <c r="BB93" s="3">
        <f t="shared" si="20"/>
        <v>79.752175058725214</v>
      </c>
      <c r="BC93"/>
      <c r="BD93"/>
      <c r="BE93"/>
      <c r="BF93"/>
      <c r="BG93"/>
      <c r="BH93"/>
      <c r="BI93"/>
    </row>
    <row r="94" spans="1:61">
      <c r="A94">
        <v>2015</v>
      </c>
      <c r="B94" s="3">
        <f t="shared" si="21"/>
        <v>88.798303008567032</v>
      </c>
      <c r="C94" s="3">
        <f>CPIs!AB54</f>
        <v>108.69337137051741</v>
      </c>
      <c r="D94" s="69">
        <f>'Exchange Rates'!O54</f>
        <v>64.107299999999995</v>
      </c>
      <c r="E94" s="3">
        <f>' India data'!N36</f>
        <v>61.875000000000007</v>
      </c>
      <c r="F94" s="21">
        <f t="shared" si="11"/>
        <v>61.875000000000021</v>
      </c>
      <c r="G94" s="23"/>
      <c r="H94" s="12"/>
      <c r="I94" s="12"/>
      <c r="J94" s="28"/>
      <c r="K94" s="9">
        <f>USA!Z102*D94</f>
        <v>3174.3803392274999</v>
      </c>
      <c r="O94"/>
      <c r="P94" s="23"/>
      <c r="Q94"/>
      <c r="R94" s="3">
        <f>' India data'!J36</f>
        <v>16.95</v>
      </c>
      <c r="S94" s="3">
        <f>' India data'!K36</f>
        <v>2.21</v>
      </c>
      <c r="T94">
        <f>' India data'!P36</f>
        <v>0.25</v>
      </c>
      <c r="U94" s="3">
        <f t="shared" si="12"/>
        <v>12.375000000000002</v>
      </c>
      <c r="V94" s="3">
        <f t="shared" si="13"/>
        <v>31.535000000000004</v>
      </c>
      <c r="X94"/>
      <c r="AF94" s="9">
        <v>2015</v>
      </c>
      <c r="AG94" s="3">
        <f t="shared" si="2"/>
        <v>61.875000000000007</v>
      </c>
      <c r="AH94" s="3">
        <f t="shared" si="14"/>
        <v>16.95</v>
      </c>
      <c r="AI94" s="3">
        <f t="shared" si="15"/>
        <v>2.21</v>
      </c>
      <c r="AJ94" s="3">
        <f t="shared" si="16"/>
        <v>12.375000000000002</v>
      </c>
      <c r="AK94" s="3">
        <f t="shared" si="17"/>
        <v>31.535000000000004</v>
      </c>
      <c r="AL94" s="3">
        <f t="shared" si="3"/>
        <v>30.340000000000003</v>
      </c>
      <c r="AM94" s="3"/>
      <c r="AN94" s="3">
        <f>CPIs!O54</f>
        <v>147.65698748526896</v>
      </c>
      <c r="AO94" s="3"/>
      <c r="AP94" s="3">
        <f t="shared" si="4"/>
        <v>41.904552607896726</v>
      </c>
      <c r="AQ94" s="2">
        <f t="shared" si="5"/>
        <v>40.625544074380542</v>
      </c>
      <c r="AR94" s="3">
        <f t="shared" si="6"/>
        <v>21.356930367515524</v>
      </c>
      <c r="AS94" s="3">
        <f t="shared" si="18"/>
        <v>20.547622240381202</v>
      </c>
      <c r="AT94" s="3">
        <f t="shared" si="7"/>
        <v>19.268613706865022</v>
      </c>
      <c r="AU94" s="3">
        <f t="shared" si="8"/>
        <v>2149.8341482445544</v>
      </c>
      <c r="AV94" s="3">
        <v>0</v>
      </c>
      <c r="AW94" s="3">
        <v>0</v>
      </c>
      <c r="AX94" s="3">
        <v>0</v>
      </c>
      <c r="AY94" s="24">
        <v>1</v>
      </c>
      <c r="BA94" s="3">
        <f t="shared" si="19"/>
        <v>69.5640253492396</v>
      </c>
      <c r="BB94" s="3">
        <f t="shared" si="20"/>
        <v>67.440795854823108</v>
      </c>
      <c r="BC94"/>
      <c r="BD94"/>
      <c r="BE94"/>
      <c r="BF94"/>
      <c r="BG94"/>
      <c r="BH94"/>
      <c r="BI94"/>
    </row>
    <row r="95" spans="1:61">
      <c r="A95">
        <v>2016</v>
      </c>
      <c r="B95" s="3">
        <f t="shared" si="21"/>
        <v>85.131976389800357</v>
      </c>
      <c r="C95" s="3">
        <f>CPIs!AB55</f>
        <v>110.08253978538585</v>
      </c>
      <c r="D95" s="69">
        <f>'Exchange Rates'!O55</f>
        <v>67.157200000000003</v>
      </c>
      <c r="E95" s="3">
        <f>' India data'!N37</f>
        <v>62.936666666666667</v>
      </c>
      <c r="F95" s="21">
        <f t="shared" si="11"/>
        <v>62.93666666666666</v>
      </c>
      <c r="G95" s="23"/>
      <c r="H95" s="12"/>
      <c r="I95" s="12"/>
      <c r="J95" s="23"/>
      <c r="K95" s="9">
        <f>USA!Z103*D95</f>
        <v>2732.221286226667</v>
      </c>
      <c r="O95"/>
      <c r="P95" s="23"/>
      <c r="Q95"/>
      <c r="R95" s="3">
        <f>' India data'!J37</f>
        <v>21.48</v>
      </c>
      <c r="S95" s="3">
        <f>' India data'!K37</f>
        <v>2.34</v>
      </c>
      <c r="T95">
        <f>' India data'!P37</f>
        <v>0.27</v>
      </c>
      <c r="U95" s="3">
        <f t="shared" si="12"/>
        <v>13.38023622047244</v>
      </c>
      <c r="V95" s="3">
        <f t="shared" si="13"/>
        <v>37.200236220472441</v>
      </c>
      <c r="X95"/>
      <c r="AF95" s="9">
        <v>2016</v>
      </c>
      <c r="AG95" s="3">
        <f t="shared" si="2"/>
        <v>62.936666666666667</v>
      </c>
      <c r="AH95" s="3">
        <f t="shared" si="14"/>
        <v>21.48</v>
      </c>
      <c r="AI95" s="3">
        <f t="shared" si="15"/>
        <v>2.34</v>
      </c>
      <c r="AJ95" s="3">
        <f t="shared" si="16"/>
        <v>13.38023622047244</v>
      </c>
      <c r="AK95" s="3">
        <f t="shared" si="17"/>
        <v>37.200236220472441</v>
      </c>
      <c r="AL95" s="3">
        <f t="shared" si="3"/>
        <v>25.736430446194227</v>
      </c>
      <c r="AM95" s="3"/>
      <c r="AN95" s="3">
        <f>CPIs!O55</f>
        <v>154.95337961064408</v>
      </c>
      <c r="AO95" s="3"/>
      <c r="AP95" s="3">
        <f t="shared" si="4"/>
        <v>40.616517577615589</v>
      </c>
      <c r="AQ95" s="2">
        <f t="shared" si="5"/>
        <v>40.909799782239929</v>
      </c>
      <c r="AR95" s="3">
        <f t="shared" si="6"/>
        <v>24.007373258941865</v>
      </c>
      <c r="AS95" s="3">
        <f t="shared" si="18"/>
        <v>16.609144318673724</v>
      </c>
      <c r="AT95" s="3">
        <f t="shared" si="7"/>
        <v>16.902426523298061</v>
      </c>
      <c r="AU95" s="3">
        <f t="shared" si="8"/>
        <v>1763.253756124584</v>
      </c>
      <c r="AV95" s="3">
        <v>0</v>
      </c>
      <c r="AW95" s="3">
        <v>0</v>
      </c>
      <c r="AX95" s="3">
        <v>0</v>
      </c>
      <c r="AY95" s="24">
        <v>1</v>
      </c>
      <c r="BA95" s="3">
        <f t="shared" si="19"/>
        <v>67.425811338566675</v>
      </c>
      <c r="BB95" s="3">
        <f t="shared" si="20"/>
        <v>67.912677071458987</v>
      </c>
      <c r="BC95"/>
      <c r="BD95"/>
      <c r="BE95"/>
      <c r="BF95"/>
      <c r="BG95"/>
      <c r="BH95"/>
      <c r="BI95"/>
    </row>
    <row r="96" spans="1:61">
      <c r="A96">
        <v>2017</v>
      </c>
      <c r="B96" s="3">
        <f>E96/D96*100/C96*100</f>
        <v>93.46927869326845</v>
      </c>
      <c r="C96" s="3">
        <f>CPIs!AB56</f>
        <v>112.42729788281457</v>
      </c>
      <c r="D96" s="69">
        <f>'Exchange Rates'!O56</f>
        <v>65.11</v>
      </c>
      <c r="E96" s="3">
        <f>' India data'!N38</f>
        <v>68.420833333333334</v>
      </c>
      <c r="F96" s="21">
        <f t="shared" si="11"/>
        <v>68.420833333333334</v>
      </c>
      <c r="G96" s="23"/>
      <c r="H96" s="12"/>
      <c r="I96" s="12"/>
      <c r="J96" s="23"/>
      <c r="K96" s="9">
        <f>USA!Z104*D96</f>
        <v>3418.9260999999997</v>
      </c>
      <c r="O96"/>
      <c r="P96" s="23"/>
      <c r="Q96"/>
      <c r="R96" s="3">
        <f>' India data'!J38</f>
        <v>21.48</v>
      </c>
      <c r="S96" s="3">
        <f>' India data'!K38</f>
        <v>3.23</v>
      </c>
      <c r="T96">
        <f>' India data'!P38</f>
        <v>0.27</v>
      </c>
      <c r="U96" s="3">
        <f t="shared" si="12"/>
        <v>14.546161417322834</v>
      </c>
      <c r="V96" s="3">
        <f>R96+S96+U96</f>
        <v>39.256161417322836</v>
      </c>
      <c r="X96"/>
      <c r="AF96" s="9">
        <v>2017</v>
      </c>
      <c r="AG96" s="3">
        <f t="shared" si="2"/>
        <v>68.420833333333334</v>
      </c>
      <c r="AH96" s="3">
        <f t="shared" si="14"/>
        <v>21.48</v>
      </c>
      <c r="AI96" s="3">
        <f t="shared" si="15"/>
        <v>3.23</v>
      </c>
      <c r="AJ96" s="3">
        <f t="shared" si="16"/>
        <v>14.546161417322834</v>
      </c>
      <c r="AK96" s="3">
        <f t="shared" si="17"/>
        <v>39.256161417322836</v>
      </c>
      <c r="AL96" s="3">
        <f t="shared" si="3"/>
        <v>29.164671916010498</v>
      </c>
      <c r="AM96" s="3"/>
      <c r="AN96" s="3">
        <f>CPIs!O56</f>
        <v>158.81171876294911</v>
      </c>
      <c r="AO96" s="3"/>
      <c r="AP96" s="3">
        <f t="shared" si="4"/>
        <v>43.082987745672554</v>
      </c>
      <c r="AQ96" s="2">
        <f t="shared" si="5"/>
        <v>43.032896895667932</v>
      </c>
      <c r="AR96" s="3">
        <f t="shared" si="6"/>
        <v>24.71868053762373</v>
      </c>
      <c r="AS96" s="3">
        <f t="shared" si="18"/>
        <v>18.364307208048825</v>
      </c>
      <c r="AT96" s="3">
        <f t="shared" si="7"/>
        <v>18.314216358044206</v>
      </c>
      <c r="AU96" s="3">
        <f t="shared" si="8"/>
        <v>2152.817264765752</v>
      </c>
      <c r="AV96" s="3">
        <v>0</v>
      </c>
      <c r="AW96" s="3">
        <v>0</v>
      </c>
      <c r="AX96" s="3">
        <v>0</v>
      </c>
      <c r="AY96" s="3">
        <v>0</v>
      </c>
      <c r="BA96" s="3">
        <f t="shared" si="19"/>
        <v>71.520297083333332</v>
      </c>
      <c r="BB96" s="3">
        <f t="shared" si="20"/>
        <v>71.437143322163479</v>
      </c>
      <c r="BC96"/>
      <c r="BD96"/>
      <c r="BE96"/>
      <c r="BF96"/>
      <c r="BG96"/>
      <c r="BH96"/>
      <c r="BI96"/>
    </row>
    <row r="97" spans="1:64">
      <c r="A97">
        <v>2018</v>
      </c>
      <c r="D97" s="69">
        <f>'Exchange Rates'!O57</f>
        <v>68.816999999999993</v>
      </c>
      <c r="E97" s="3">
        <f>' India data'!N39</f>
        <v>77.63</v>
      </c>
      <c r="F97" s="12"/>
      <c r="G97" s="23"/>
      <c r="H97" s="12"/>
      <c r="I97" s="12"/>
      <c r="J97" s="23"/>
      <c r="K97" s="9">
        <f>USA!Z105*D97</f>
        <v>4831.227476363636</v>
      </c>
      <c r="O97"/>
      <c r="P97" s="23"/>
      <c r="Q97"/>
      <c r="R97" s="3">
        <f>' India data'!J39</f>
        <v>19.48</v>
      </c>
      <c r="S97" s="3">
        <f>' India data'!K39</f>
        <v>3.63</v>
      </c>
      <c r="T97">
        <f>' India data'!P39</f>
        <v>0.27</v>
      </c>
      <c r="U97" s="3">
        <f t="shared" ref="U97" si="22">T97*(E97*(1/(1+T97)))</f>
        <v>16.504015748031495</v>
      </c>
      <c r="V97" s="3">
        <f>R97+S97+U97</f>
        <v>39.614015748031491</v>
      </c>
      <c r="X97"/>
      <c r="AF97" s="9">
        <v>2018</v>
      </c>
      <c r="AG97" s="3">
        <f t="shared" ref="AG97" si="23">E97</f>
        <v>77.63</v>
      </c>
      <c r="AH97" s="3">
        <f t="shared" ref="AH97" si="24">R97</f>
        <v>19.48</v>
      </c>
      <c r="AI97" s="3">
        <f t="shared" ref="AI97" si="25">S97</f>
        <v>3.63</v>
      </c>
      <c r="AJ97" s="3">
        <f t="shared" ref="AJ97" si="26">U97</f>
        <v>16.504015748031495</v>
      </c>
      <c r="AK97" s="3">
        <f t="shared" ref="AK97" si="27">V97</f>
        <v>39.614015748031491</v>
      </c>
      <c r="AL97" s="3">
        <f t="shared" ref="AL97" si="28">AG97-AK97</f>
        <v>38.015984251968504</v>
      </c>
      <c r="AM97" s="3"/>
      <c r="AN97" s="3">
        <f>CPIs!O57</f>
        <v>166.00588962291073</v>
      </c>
      <c r="AO97" s="3"/>
      <c r="AP97" s="3">
        <f t="shared" ref="AP97" si="29">AG97/$AN97*100</f>
        <v>46.763401091575588</v>
      </c>
      <c r="AQ97" s="2">
        <f t="shared" ref="AQ97" si="30">AT97+AR97</f>
        <v>46.81349194158021</v>
      </c>
      <c r="AR97" s="3">
        <f t="shared" ref="AR97" si="31">AK97/$AN97*100</f>
        <v>23.863018256771717</v>
      </c>
      <c r="AS97" s="3">
        <f t="shared" ref="AS97" si="32">AP97-AR97</f>
        <v>22.900382834803871</v>
      </c>
      <c r="AT97" s="3">
        <f t="shared" si="7"/>
        <v>22.950473684808493</v>
      </c>
      <c r="AU97" s="3">
        <f>K97/AN97*100</f>
        <v>2910.2747422624402</v>
      </c>
      <c r="AV97" s="3">
        <v>0</v>
      </c>
      <c r="AW97" s="3">
        <v>0</v>
      </c>
      <c r="AX97" s="3">
        <v>0</v>
      </c>
      <c r="AY97" s="3">
        <v>0</v>
      </c>
      <c r="BA97" s="3">
        <f>AP97*$AN$97/$AN$89</f>
        <v>77.63</v>
      </c>
      <c r="BB97" s="3">
        <f>AQ97*$AN$97/$AN$89</f>
        <v>77.713153761169849</v>
      </c>
      <c r="BC97"/>
      <c r="BD97"/>
      <c r="BE97"/>
      <c r="BF97"/>
      <c r="BG97"/>
      <c r="BH97"/>
      <c r="BI97"/>
    </row>
    <row r="98" spans="1:64">
      <c r="H98" s="12"/>
      <c r="I98" s="12"/>
      <c r="J98"/>
      <c r="L98" s="12"/>
      <c r="M98" s="12"/>
      <c r="O98"/>
      <c r="P98"/>
      <c r="Q98"/>
      <c r="S98" s="13"/>
      <c r="T98" s="13"/>
      <c r="U98" s="23"/>
      <c r="X98"/>
      <c r="AF98" s="9">
        <v>2019</v>
      </c>
      <c r="AN98" s="3">
        <f>AN97</f>
        <v>166.00588962291073</v>
      </c>
      <c r="AP98"/>
      <c r="AQ98"/>
      <c r="AR98"/>
      <c r="AS98" s="9"/>
      <c r="BJ98" s="3"/>
      <c r="BK98" s="3"/>
      <c r="BL98" s="3"/>
    </row>
    <row r="99" spans="1:64">
      <c r="J99"/>
      <c r="L99" s="12"/>
      <c r="M99" s="12"/>
      <c r="O99"/>
      <c r="P99"/>
      <c r="Q99"/>
      <c r="S99" s="13"/>
      <c r="T99" s="13"/>
      <c r="U99" s="23"/>
      <c r="X99"/>
      <c r="AF99" s="9">
        <v>2020</v>
      </c>
      <c r="AN99" s="3">
        <f t="shared" ref="AN99:AN109" si="33">AN98</f>
        <v>166.00588962291073</v>
      </c>
      <c r="AP99"/>
      <c r="AQ99"/>
      <c r="AR99"/>
      <c r="AS99" s="9"/>
      <c r="BJ99" s="3"/>
      <c r="BK99" s="3"/>
      <c r="BL99" s="3"/>
    </row>
    <row r="100" spans="1:64">
      <c r="J100"/>
      <c r="L100" s="12"/>
      <c r="M100" s="12"/>
      <c r="O100"/>
      <c r="P100"/>
      <c r="Q100"/>
      <c r="S100" s="12"/>
      <c r="T100" s="12"/>
      <c r="U100" s="23"/>
      <c r="X100"/>
      <c r="AF100" s="9">
        <v>2021</v>
      </c>
      <c r="AN100" s="3">
        <f t="shared" si="33"/>
        <v>166.00588962291073</v>
      </c>
      <c r="AP100" s="13" t="s">
        <v>88</v>
      </c>
      <c r="AQ100" s="13">
        <v>5.1372194790365535</v>
      </c>
      <c r="AR100"/>
      <c r="AS100" s="9"/>
      <c r="BJ100" s="3"/>
      <c r="BK100" s="3"/>
      <c r="BL100" s="3"/>
    </row>
    <row r="101" spans="1:64">
      <c r="J101"/>
      <c r="L101" s="12"/>
      <c r="M101" s="12"/>
      <c r="O101"/>
      <c r="P101"/>
      <c r="Q101"/>
      <c r="S101" s="12"/>
      <c r="T101" s="12"/>
      <c r="U101" s="23"/>
      <c r="X101"/>
      <c r="AF101" s="9">
        <v>2022</v>
      </c>
      <c r="AN101" s="3">
        <f t="shared" si="33"/>
        <v>166.00588962291073</v>
      </c>
      <c r="AP101" s="13" t="s">
        <v>229</v>
      </c>
      <c r="AQ101" s="13">
        <v>6.1208153124140989E-3</v>
      </c>
      <c r="AR101"/>
      <c r="AS101" s="9"/>
      <c r="BJ101" s="3"/>
      <c r="BK101" s="3"/>
      <c r="BL101" s="3"/>
    </row>
    <row r="102" spans="1:64">
      <c r="J102"/>
      <c r="L102" s="12"/>
      <c r="M102" s="12"/>
      <c r="O102"/>
      <c r="P102"/>
      <c r="Q102"/>
      <c r="S102" s="12"/>
      <c r="T102" s="12"/>
      <c r="U102" s="23"/>
      <c r="X102"/>
      <c r="AF102" s="9">
        <v>2023</v>
      </c>
      <c r="AN102" s="3">
        <f t="shared" si="33"/>
        <v>166.00588962291073</v>
      </c>
      <c r="AP102" s="3" t="s">
        <v>1944</v>
      </c>
      <c r="AQ102" s="13">
        <v>7.2492265844976522</v>
      </c>
      <c r="AR102"/>
      <c r="AS102" s="9"/>
      <c r="BJ102" s="3"/>
      <c r="BK102" s="3"/>
      <c r="BL102" s="3"/>
    </row>
    <row r="103" spans="1:64">
      <c r="J103"/>
      <c r="L103" s="12"/>
      <c r="M103" s="12"/>
      <c r="O103"/>
      <c r="P103"/>
      <c r="Q103"/>
      <c r="S103" s="12"/>
      <c r="T103" s="12"/>
      <c r="U103" s="23"/>
      <c r="X103"/>
      <c r="AF103" s="9">
        <v>2024</v>
      </c>
      <c r="AN103" s="3">
        <f t="shared" si="33"/>
        <v>166.00588962291073</v>
      </c>
      <c r="AP103" s="3" t="s">
        <v>281</v>
      </c>
      <c r="AQ103" s="13">
        <v>-6.2571418927436389</v>
      </c>
      <c r="AR103"/>
      <c r="AS103" s="9"/>
      <c r="BJ103" s="3"/>
      <c r="BK103" s="3"/>
      <c r="BL103" s="3"/>
    </row>
    <row r="104" spans="1:64">
      <c r="J104"/>
      <c r="L104" s="12"/>
      <c r="M104" s="12"/>
      <c r="O104"/>
      <c r="P104"/>
      <c r="Q104"/>
      <c r="S104" s="12"/>
      <c r="T104" s="12"/>
      <c r="U104" s="23"/>
      <c r="X104"/>
      <c r="AF104" s="9">
        <v>2025</v>
      </c>
      <c r="AN104" s="3">
        <f t="shared" si="33"/>
        <v>166.00588962291073</v>
      </c>
      <c r="AP104" s="13" t="s">
        <v>1945</v>
      </c>
      <c r="AQ104" s="13">
        <v>-3.440347366100573</v>
      </c>
      <c r="AR104"/>
      <c r="AS104" s="9"/>
      <c r="BJ104" s="3"/>
      <c r="BK104" s="3"/>
      <c r="BL104" s="3"/>
    </row>
    <row r="105" spans="1:64" ht="15.75" thickBot="1">
      <c r="J105"/>
      <c r="L105" s="12"/>
      <c r="M105" s="12"/>
      <c r="O105"/>
      <c r="P105"/>
      <c r="Q105"/>
      <c r="S105" s="12"/>
      <c r="T105" s="12"/>
      <c r="U105" s="23"/>
      <c r="X105"/>
      <c r="AF105" s="9">
        <v>2026</v>
      </c>
      <c r="AN105" s="3">
        <f t="shared" si="33"/>
        <v>166.00588962291073</v>
      </c>
      <c r="AP105" s="17" t="s">
        <v>2437</v>
      </c>
      <c r="AQ105" s="14">
        <v>0.97265645410247681</v>
      </c>
      <c r="AR105"/>
      <c r="AS105" s="9"/>
      <c r="BJ105" s="3"/>
      <c r="BK105" s="3"/>
      <c r="BL105" s="3"/>
    </row>
    <row r="106" spans="1:64">
      <c r="J106"/>
      <c r="L106" s="12"/>
      <c r="M106" s="12"/>
      <c r="O106"/>
      <c r="P106"/>
      <c r="Q106"/>
      <c r="S106" s="12"/>
      <c r="T106" s="12"/>
      <c r="U106" s="23"/>
      <c r="X106"/>
      <c r="AF106" s="9">
        <v>2027</v>
      </c>
      <c r="AN106" s="3">
        <f t="shared" si="33"/>
        <v>166.00588962291073</v>
      </c>
      <c r="AP106"/>
      <c r="AQ106"/>
      <c r="AR106"/>
      <c r="AS106" s="9"/>
      <c r="BJ106" s="3"/>
      <c r="BK106" s="3"/>
      <c r="BL106" s="3"/>
    </row>
    <row r="107" spans="1:64">
      <c r="J107"/>
      <c r="L107" s="12"/>
      <c r="M107" s="12"/>
      <c r="O107"/>
      <c r="P107"/>
      <c r="Q107"/>
      <c r="S107" s="12"/>
      <c r="T107" s="12"/>
      <c r="U107" s="23"/>
      <c r="X107"/>
      <c r="AF107" s="9">
        <v>2028</v>
      </c>
      <c r="AN107" s="3">
        <f t="shared" si="33"/>
        <v>166.00588962291073</v>
      </c>
      <c r="AP107"/>
      <c r="AQ107"/>
      <c r="AR107"/>
      <c r="AS107" s="9"/>
      <c r="BJ107" s="3"/>
      <c r="BK107" s="3"/>
      <c r="BL107" s="3"/>
    </row>
    <row r="108" spans="1:64">
      <c r="J108"/>
      <c r="L108" s="12"/>
      <c r="M108" s="12"/>
      <c r="O108"/>
      <c r="P108"/>
      <c r="Q108"/>
      <c r="S108" s="12"/>
      <c r="T108" s="12"/>
      <c r="U108" s="23"/>
      <c r="X108"/>
      <c r="AF108" s="9">
        <v>2029</v>
      </c>
      <c r="AN108" s="3">
        <f t="shared" si="33"/>
        <v>166.00588962291073</v>
      </c>
      <c r="AP108"/>
      <c r="AQ108"/>
      <c r="AR108"/>
      <c r="AS108" s="9"/>
      <c r="BJ108" s="3"/>
      <c r="BK108" s="3"/>
      <c r="BL108" s="3"/>
    </row>
    <row r="109" spans="1:64">
      <c r="J109"/>
      <c r="L109" s="12"/>
      <c r="M109" s="12"/>
      <c r="O109"/>
      <c r="P109"/>
      <c r="Q109"/>
      <c r="S109" s="12"/>
      <c r="T109" s="12"/>
      <c r="U109" s="23"/>
      <c r="X109"/>
      <c r="AF109" s="9">
        <v>2030</v>
      </c>
      <c r="AN109" s="3">
        <f t="shared" si="33"/>
        <v>166.00588962291073</v>
      </c>
      <c r="AP109"/>
      <c r="AQ109"/>
      <c r="AR109"/>
      <c r="AS109" s="9"/>
      <c r="BJ109" s="3"/>
      <c r="BK109" s="3"/>
      <c r="BL109" s="3"/>
    </row>
    <row r="110" spans="1:64">
      <c r="J110"/>
      <c r="L110" s="12"/>
      <c r="M110" s="12"/>
      <c r="O110"/>
      <c r="P110"/>
      <c r="Q110"/>
      <c r="S110" s="12"/>
      <c r="T110" s="12"/>
      <c r="U110" s="23"/>
      <c r="X110"/>
      <c r="AP110"/>
      <c r="AQ110"/>
      <c r="AR110"/>
      <c r="AS110" s="9"/>
      <c r="BJ110" s="3"/>
      <c r="BK110" s="3"/>
      <c r="BL110" s="3"/>
    </row>
    <row r="111" spans="1:64">
      <c r="J111"/>
      <c r="L111" s="12"/>
      <c r="M111" s="12"/>
      <c r="O111"/>
      <c r="P111"/>
      <c r="Q111"/>
      <c r="S111" s="13"/>
      <c r="T111" s="13"/>
      <c r="U111" s="13" t="str">
        <f>AP100</f>
        <v>Intercept</v>
      </c>
      <c r="V111" s="82">
        <f>AQ100</f>
        <v>5.1372194790365535</v>
      </c>
      <c r="X111"/>
      <c r="AP111"/>
      <c r="AQ111"/>
      <c r="AR111"/>
      <c r="AS111" s="9"/>
      <c r="BJ111" s="3"/>
      <c r="BK111" s="3"/>
      <c r="BL111" s="3"/>
    </row>
    <row r="112" spans="1:64">
      <c r="J112"/>
      <c r="L112" s="12"/>
      <c r="M112" s="12"/>
      <c r="O112"/>
      <c r="P112"/>
      <c r="Q112"/>
      <c r="S112" s="13"/>
      <c r="T112" s="13"/>
      <c r="U112" s="13" t="str">
        <f t="shared" ref="U112:U116" si="34">AP101</f>
        <v>landed oil price</v>
      </c>
      <c r="V112" s="82">
        <f t="shared" ref="V112:V116" si="35">AQ101</f>
        <v>6.1208153124140989E-3</v>
      </c>
      <c r="X112"/>
      <c r="AP112"/>
      <c r="AQ112"/>
      <c r="AR112"/>
      <c r="AS112" s="9"/>
      <c r="BJ112" s="3"/>
      <c r="BK112" s="3"/>
      <c r="BL112" s="3"/>
    </row>
    <row r="113" spans="1:72">
      <c r="J113"/>
      <c r="L113" s="12"/>
      <c r="M113" s="12"/>
      <c r="O113"/>
      <c r="P113"/>
      <c r="Q113"/>
      <c r="S113" s="13"/>
      <c r="T113" s="13"/>
      <c r="U113" s="13" t="str">
        <f t="shared" si="34"/>
        <v>dum9906</v>
      </c>
      <c r="V113" s="82">
        <f t="shared" si="35"/>
        <v>7.2492265844976522</v>
      </c>
      <c r="X113"/>
      <c r="AP113"/>
      <c r="AQ113"/>
      <c r="AR113"/>
      <c r="AS113" s="9"/>
      <c r="BJ113" s="3"/>
      <c r="BK113" s="3"/>
      <c r="BL113" s="3"/>
    </row>
    <row r="114" spans="1:72" ht="15.75" thickBot="1">
      <c r="J114"/>
      <c r="L114" s="12"/>
      <c r="M114" s="12"/>
      <c r="O114"/>
      <c r="P114"/>
      <c r="Q114"/>
      <c r="S114" s="14"/>
      <c r="T114" s="14"/>
      <c r="U114" s="13" t="str">
        <f t="shared" si="34"/>
        <v>dum0809</v>
      </c>
      <c r="V114" s="82">
        <f t="shared" si="35"/>
        <v>-6.2571418927436389</v>
      </c>
      <c r="X114"/>
      <c r="AP114"/>
      <c r="AQ114"/>
      <c r="AR114"/>
      <c r="AS114" s="9"/>
      <c r="BJ114" s="3"/>
      <c r="BK114" s="3"/>
      <c r="BL114" s="3"/>
    </row>
    <row r="115" spans="1:72">
      <c r="J115"/>
      <c r="L115" s="12"/>
      <c r="M115" s="12"/>
      <c r="O115"/>
      <c r="P115"/>
      <c r="Q115"/>
      <c r="S115" s="12"/>
      <c r="T115" s="12"/>
      <c r="U115" s="13" t="str">
        <f t="shared" si="34"/>
        <v>dum00</v>
      </c>
      <c r="V115" s="13">
        <f t="shared" si="35"/>
        <v>-3.440347366100573</v>
      </c>
      <c r="X115"/>
      <c r="AP115"/>
      <c r="AQ115"/>
      <c r="AR115"/>
      <c r="AS115" s="9"/>
      <c r="BJ115" s="3"/>
      <c r="BK115" s="3"/>
      <c r="BL115" s="3"/>
    </row>
    <row r="116" spans="1:72">
      <c r="J116"/>
      <c r="L116" s="12"/>
      <c r="M116" s="12"/>
      <c r="O116"/>
      <c r="P116"/>
      <c r="Q116"/>
      <c r="S116" s="12"/>
      <c r="T116" s="12"/>
      <c r="U116" s="13" t="str">
        <f t="shared" si="34"/>
        <v>dum9916</v>
      </c>
      <c r="V116" s="82">
        <f t="shared" si="35"/>
        <v>0.97265645410247681</v>
      </c>
      <c r="X116"/>
      <c r="AP116"/>
      <c r="AQ116"/>
      <c r="AR116"/>
      <c r="AS116" s="9"/>
      <c r="BJ116" s="3"/>
      <c r="BK116" s="3"/>
      <c r="BL116" s="3"/>
    </row>
    <row r="117" spans="1:72">
      <c r="J117"/>
      <c r="L117" s="12"/>
      <c r="M117" s="12"/>
      <c r="O117"/>
      <c r="P117"/>
      <c r="Q117"/>
      <c r="S117" s="12"/>
      <c r="T117" s="12"/>
      <c r="U117" s="23"/>
      <c r="X117"/>
      <c r="AP117"/>
      <c r="AQ117"/>
      <c r="AR117"/>
      <c r="AS117" s="9"/>
      <c r="BJ117" s="3"/>
      <c r="BK117" s="3"/>
      <c r="BL117" s="3"/>
    </row>
    <row r="118" spans="1:72">
      <c r="J118"/>
      <c r="L118" s="12"/>
      <c r="M118" s="12"/>
      <c r="O118"/>
      <c r="P118"/>
      <c r="Q118"/>
      <c r="R118"/>
      <c r="S118" s="23"/>
      <c r="T118" s="12"/>
      <c r="U118" s="12"/>
      <c r="V118" s="23"/>
      <c r="X118"/>
      <c r="AP118"/>
      <c r="AQ118"/>
      <c r="AR118"/>
      <c r="AS118"/>
      <c r="AT118"/>
      <c r="AU118"/>
      <c r="AV118"/>
      <c r="AW118"/>
      <c r="AX118"/>
      <c r="AY118" s="9"/>
      <c r="BJ118" s="3"/>
      <c r="BK118" s="3"/>
      <c r="BL118" s="3"/>
      <c r="BM118" s="3"/>
      <c r="BN118" s="3"/>
      <c r="BO118" s="3"/>
      <c r="BP118" s="3"/>
      <c r="BQ118" s="3"/>
      <c r="BR118" s="3"/>
    </row>
    <row r="119" spans="1:72">
      <c r="K119" s="12"/>
      <c r="O119"/>
      <c r="P119"/>
      <c r="Q119" s="23"/>
      <c r="R119" s="12"/>
      <c r="S119" s="12"/>
      <c r="T119" s="23"/>
      <c r="X119"/>
      <c r="AJ119" t="s">
        <v>1960</v>
      </c>
      <c r="AK119" t="s">
        <v>1960</v>
      </c>
      <c r="AL119" t="s">
        <v>1960</v>
      </c>
      <c r="AP119"/>
      <c r="AQ119"/>
      <c r="AR119"/>
      <c r="AS119"/>
      <c r="AT119"/>
      <c r="AU119"/>
      <c r="AV119"/>
      <c r="AW119"/>
      <c r="AX119"/>
      <c r="AY119"/>
      <c r="AZ119"/>
      <c r="BA119" s="9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</row>
    <row r="120" spans="1:72">
      <c r="B120" s="76" t="s">
        <v>2551</v>
      </c>
      <c r="C120" s="76"/>
      <c r="D120" s="76"/>
      <c r="E120" s="76"/>
      <c r="F120" s="26" t="s">
        <v>269</v>
      </c>
      <c r="G120" s="76" t="s">
        <v>2604</v>
      </c>
      <c r="H120" s="76"/>
      <c r="I120" s="76"/>
      <c r="J120" s="76"/>
      <c r="K120" s="26" t="s">
        <v>2605</v>
      </c>
      <c r="L120" s="26"/>
      <c r="M120" s="26"/>
      <c r="N120" s="26"/>
      <c r="O120"/>
      <c r="P120" s="77" t="s">
        <v>111</v>
      </c>
      <c r="Q120" s="26" t="s">
        <v>2606</v>
      </c>
      <c r="R120" s="26"/>
      <c r="S120" s="26"/>
      <c r="T120" s="79">
        <v>0.27</v>
      </c>
      <c r="U120" s="76" t="s">
        <v>2607</v>
      </c>
      <c r="V120" s="76"/>
      <c r="W120" s="76"/>
      <c r="X120" s="76"/>
      <c r="Y120" s="26" t="s">
        <v>2494</v>
      </c>
      <c r="Z120" s="26"/>
      <c r="AA120" s="26"/>
      <c r="AB120" s="79"/>
      <c r="AC120" s="26" t="s">
        <v>2495</v>
      </c>
      <c r="AD120" s="26"/>
      <c r="AE120" s="26"/>
      <c r="AF120" s="79"/>
      <c r="AJ120" s="3" t="s">
        <v>1957</v>
      </c>
      <c r="AK120" s="3" t="s">
        <v>1957</v>
      </c>
      <c r="AL120" s="3" t="s">
        <v>1957</v>
      </c>
      <c r="AP120"/>
      <c r="AQ120"/>
      <c r="AR120"/>
      <c r="AS120"/>
      <c r="AT120"/>
      <c r="AU120"/>
      <c r="AV120"/>
      <c r="AW120" s="9"/>
      <c r="BJ120" s="3"/>
      <c r="BK120" s="3"/>
      <c r="BL120" s="3"/>
      <c r="BM120" s="3"/>
      <c r="BN120" s="3"/>
      <c r="BO120" s="3"/>
      <c r="BP120" s="3"/>
    </row>
    <row r="121" spans="1:72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/>
      <c r="P121" s="77" t="s">
        <v>2572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J121" s="3" t="s">
        <v>268</v>
      </c>
      <c r="AK121" s="3" t="s">
        <v>267</v>
      </c>
      <c r="AL121" s="3" t="s">
        <v>266</v>
      </c>
      <c r="AP121"/>
      <c r="AQ121"/>
      <c r="AR121"/>
      <c r="AS121"/>
      <c r="AT121"/>
      <c r="AU121"/>
      <c r="AV121"/>
      <c r="AW121" s="9"/>
      <c r="BJ121" s="3"/>
      <c r="BK121" s="3"/>
      <c r="BL121" s="3"/>
      <c r="BM121" s="3"/>
      <c r="BN121" s="3"/>
      <c r="BO121" s="3"/>
      <c r="BP121" s="3"/>
    </row>
    <row r="122" spans="1:72">
      <c r="A122">
        <v>2010</v>
      </c>
      <c r="B122" s="3">
        <f>USA!Z97/USA!AU97*100</f>
        <v>77.45</v>
      </c>
      <c r="C122" s="3">
        <f t="shared" ref="C122:C142" si="36">AJ122</f>
        <v>77.45</v>
      </c>
      <c r="D122" s="3">
        <f t="shared" ref="D122:D142" si="37">AK122</f>
        <v>77.45</v>
      </c>
      <c r="E122" s="3">
        <f t="shared" ref="E122:E142" si="38">AL122</f>
        <v>77.45</v>
      </c>
      <c r="F122" s="5">
        <f>'Exchange Rates'!O49</f>
        <v>45.650700000000001</v>
      </c>
      <c r="G122" s="3">
        <f>(B122*USA!$AU97/100)/$AN89*100*$F122</f>
        <v>3535.6467150000003</v>
      </c>
      <c r="H122" s="3">
        <f>(C122*USA!$AU97/100)/$AN89*100*$F122</f>
        <v>3535.6467150000003</v>
      </c>
      <c r="I122" s="3">
        <f>(D122*USA!$AU97/100)/$AN89*100*$F122</f>
        <v>3535.6467150000003</v>
      </c>
      <c r="J122" s="3">
        <f>(E122*USA!$AU97/100)/$AN89*100*$F122</f>
        <v>3535.6467150000003</v>
      </c>
      <c r="K122" s="6">
        <f>V$111+V$112*G122+V$116*1</f>
        <v>27.750916485597639</v>
      </c>
      <c r="L122" s="6">
        <f>V$111+V$112*H122+V$116*1</f>
        <v>27.750916485597639</v>
      </c>
      <c r="M122" s="6">
        <f>V$111+V$112*I122+V$116*1</f>
        <v>27.750916485597639</v>
      </c>
      <c r="N122" s="6">
        <f>V$111+V$112*J122+V$116*1</f>
        <v>27.750916485597639</v>
      </c>
      <c r="O122">
        <v>2010</v>
      </c>
      <c r="P122" s="7">
        <f t="shared" ref="P122:P130" si="39">(R89+S89)/AN89*100</f>
        <v>15.475</v>
      </c>
      <c r="Q122" s="3">
        <f t="shared" ref="Q122:T129" si="40">(K122+$P122)*$T89</f>
        <v>7.2187280530948055</v>
      </c>
      <c r="R122" s="3">
        <f t="shared" si="40"/>
        <v>7.2187280530948055</v>
      </c>
      <c r="S122" s="3">
        <f t="shared" si="40"/>
        <v>7.2187280530948055</v>
      </c>
      <c r="T122" s="3">
        <f t="shared" si="40"/>
        <v>7.2187280530948055</v>
      </c>
      <c r="U122" s="3">
        <f t="shared" ref="U122:U130" si="41">AP89</f>
        <v>49.356666666666662</v>
      </c>
      <c r="V122" s="3">
        <f t="shared" ref="V122:V142" si="42">L122+$P122+R122</f>
        <v>50.444644538692444</v>
      </c>
      <c r="W122" s="3">
        <f t="shared" ref="W122:W142" si="43">M122+$P122+S122</f>
        <v>50.444644538692444</v>
      </c>
      <c r="X122" s="3">
        <f t="shared" ref="X122:X142" si="44">N122+$P122+T122</f>
        <v>50.444644538692444</v>
      </c>
      <c r="Y122" s="3">
        <f t="shared" ref="Y122:Y130" si="45">AP89*$AN$97/100</f>
        <v>81.934973588214632</v>
      </c>
      <c r="Z122" s="3">
        <f t="shared" ref="Z122:Z142" si="46">V122*$AN$97/100</f>
        <v>83.741080933571453</v>
      </c>
      <c r="AA122" s="3">
        <f t="shared" ref="AA122:AA142" si="47">W122*$AN$97/100</f>
        <v>83.741080933571453</v>
      </c>
      <c r="AB122" s="3">
        <f t="shared" ref="AB122:AB142" si="48">X122*$AN$97/100</f>
        <v>83.741080933571453</v>
      </c>
      <c r="AC122" s="9">
        <f t="shared" ref="AC122:AC130" si="49">U122*$AN$96/100</f>
        <v>78.384170657432904</v>
      </c>
      <c r="AD122" s="9">
        <f>AC122</f>
        <v>78.384170657432904</v>
      </c>
      <c r="AE122" s="9">
        <f t="shared" ref="AE122:AF122" si="50">AD122</f>
        <v>78.384170657432904</v>
      </c>
      <c r="AF122" s="9">
        <f t="shared" si="50"/>
        <v>78.384170657432904</v>
      </c>
      <c r="AJ122" s="3">
        <f>USA!AJ135</f>
        <v>77.45</v>
      </c>
      <c r="AK122" s="3">
        <f>USA!AK135</f>
        <v>77.45</v>
      </c>
      <c r="AL122" s="3">
        <f>USA!AL135</f>
        <v>77.45</v>
      </c>
      <c r="AO122" s="3"/>
      <c r="AP122" s="3"/>
      <c r="AQ122"/>
      <c r="AR122"/>
      <c r="AS122"/>
      <c r="AT122"/>
      <c r="AU122"/>
      <c r="AV122"/>
      <c r="AW122" s="9"/>
      <c r="BJ122" s="3"/>
      <c r="BK122" s="3"/>
      <c r="BL122" s="3"/>
      <c r="BM122" s="3"/>
      <c r="BN122" s="3"/>
      <c r="BO122" s="3"/>
      <c r="BP122" s="3"/>
    </row>
    <row r="123" spans="1:72">
      <c r="A123">
        <v>2011</v>
      </c>
      <c r="B123" s="3">
        <f>USA!Z98/USA!AU98*100</f>
        <v>104.18614906980585</v>
      </c>
      <c r="C123" s="3">
        <f t="shared" si="36"/>
        <v>104.18614906980586</v>
      </c>
      <c r="D123" s="3">
        <f t="shared" si="37"/>
        <v>104.18614906980586</v>
      </c>
      <c r="E123" s="3">
        <f t="shared" si="38"/>
        <v>104.18614906980586</v>
      </c>
      <c r="F123" s="5">
        <f>'Exchange Rates'!O50</f>
        <v>46.578200000000002</v>
      </c>
      <c r="G123" s="3">
        <f>(B123*USA!$AU98/100)/$AN90*100*$F123</f>
        <v>4597.5809794371589</v>
      </c>
      <c r="H123" s="3">
        <f>(C123*USA!$AU98/100)/$AN90*100*$F123</f>
        <v>4597.5809794371598</v>
      </c>
      <c r="I123" s="3">
        <f>(D123*USA!$AU98/100)/$AN90*100*$F123</f>
        <v>4597.5809794371598</v>
      </c>
      <c r="J123" s="3">
        <f>(E123*USA!$AU98/100)/$AN90*100*$F123</f>
        <v>4597.5809794371598</v>
      </c>
      <c r="K123" s="6">
        <f t="shared" ref="K123:K128" si="51">V$111+V$112*G123+V$116*1</f>
        <v>34.250819992141807</v>
      </c>
      <c r="L123" s="6">
        <f t="shared" ref="L123:L128" si="52">V$111+V$112*H123+V$116*1</f>
        <v>34.250819992141807</v>
      </c>
      <c r="M123" s="6">
        <f t="shared" ref="M123:M128" si="53">V$111+V$112*I123+V$116*1</f>
        <v>34.250819992141807</v>
      </c>
      <c r="N123" s="6">
        <f t="shared" ref="N123:N128" si="54">V$111+V$112*J123+V$116*1</f>
        <v>34.250819992141807</v>
      </c>
      <c r="O123">
        <v>2011</v>
      </c>
      <c r="P123" s="7">
        <f t="shared" si="39"/>
        <v>14.301220052193184</v>
      </c>
      <c r="Q123" s="3">
        <f t="shared" si="40"/>
        <v>8.108190687403944</v>
      </c>
      <c r="R123" s="3">
        <f t="shared" si="40"/>
        <v>8.108190687403944</v>
      </c>
      <c r="S123" s="3">
        <f t="shared" si="40"/>
        <v>8.108190687403944</v>
      </c>
      <c r="T123" s="3">
        <f t="shared" si="40"/>
        <v>8.108190687403944</v>
      </c>
      <c r="U123" s="3">
        <f t="shared" si="41"/>
        <v>56.889177958990899</v>
      </c>
      <c r="V123" s="3">
        <f t="shared" si="42"/>
        <v>56.660230731738935</v>
      </c>
      <c r="W123" s="3">
        <f t="shared" si="43"/>
        <v>56.660230731738935</v>
      </c>
      <c r="X123" s="3">
        <f t="shared" si="44"/>
        <v>56.660230731738935</v>
      </c>
      <c r="Y123" s="3">
        <f t="shared" si="45"/>
        <v>94.43938596998369</v>
      </c>
      <c r="Z123" s="3">
        <f t="shared" si="46"/>
        <v>94.059320088617085</v>
      </c>
      <c r="AA123" s="3">
        <f t="shared" si="47"/>
        <v>94.059320088617085</v>
      </c>
      <c r="AB123" s="3">
        <f t="shared" si="48"/>
        <v>94.059320088617085</v>
      </c>
      <c r="AC123" s="9">
        <f t="shared" si="49"/>
        <v>90.346681306786266</v>
      </c>
      <c r="AD123" s="9">
        <f t="shared" ref="AD123:AF123" si="55">AC123</f>
        <v>90.346681306786266</v>
      </c>
      <c r="AE123" s="9">
        <f t="shared" si="55"/>
        <v>90.346681306786266</v>
      </c>
      <c r="AF123" s="9">
        <f t="shared" si="55"/>
        <v>90.346681306786266</v>
      </c>
      <c r="AJ123" s="3">
        <f>USA!AJ136</f>
        <v>104.18614906980586</v>
      </c>
      <c r="AK123" s="3">
        <f>USA!AK136</f>
        <v>104.18614906980586</v>
      </c>
      <c r="AL123" s="3">
        <f>USA!AL136</f>
        <v>104.18614906980586</v>
      </c>
      <c r="AO123" s="3"/>
      <c r="AP123" s="3"/>
      <c r="AQ123"/>
      <c r="AR123"/>
      <c r="AS123"/>
      <c r="AT123"/>
      <c r="AU123"/>
      <c r="AV123"/>
      <c r="AW123" s="9"/>
      <c r="BJ123" s="3"/>
      <c r="BK123" s="3"/>
      <c r="BL123" s="3"/>
      <c r="BM123" s="3"/>
      <c r="BN123" s="3"/>
      <c r="BO123" s="3"/>
      <c r="BP123" s="3"/>
    </row>
    <row r="124" spans="1:72">
      <c r="A124">
        <v>2012</v>
      </c>
      <c r="B124" s="3">
        <f>USA!Z99/USA!AU99*100</f>
        <v>104.07290773565181</v>
      </c>
      <c r="C124" s="3">
        <f t="shared" si="36"/>
        <v>104.07290773565181</v>
      </c>
      <c r="D124" s="3">
        <f t="shared" si="37"/>
        <v>104.07290773565181</v>
      </c>
      <c r="E124" s="3">
        <f t="shared" si="38"/>
        <v>104.07290773565181</v>
      </c>
      <c r="F124" s="5">
        <f>'Exchange Rates'!O51</f>
        <v>53.374299999999998</v>
      </c>
      <c r="G124" s="3">
        <f>(B124*USA!$AU99/100)/$AN91*100*$F124</f>
        <v>4911.3461056300666</v>
      </c>
      <c r="H124" s="3">
        <f>(C124*USA!$AU99/100)/$AN91*100*$F124</f>
        <v>4911.3461056300666</v>
      </c>
      <c r="I124" s="3">
        <f>(D124*USA!$AU99/100)/$AN91*100*$F124</f>
        <v>4911.3461056300666</v>
      </c>
      <c r="J124" s="3">
        <f>(E124*USA!$AU99/100)/$AN91*100*$F124</f>
        <v>4911.3461056300666</v>
      </c>
      <c r="K124" s="6">
        <f t="shared" si="51"/>
        <v>36.171318381044898</v>
      </c>
      <c r="L124" s="6">
        <f t="shared" si="52"/>
        <v>36.171318381044898</v>
      </c>
      <c r="M124" s="6">
        <f t="shared" si="53"/>
        <v>36.171318381044898</v>
      </c>
      <c r="N124" s="6">
        <f t="shared" si="54"/>
        <v>36.171318381044898</v>
      </c>
      <c r="O124">
        <v>2012</v>
      </c>
      <c r="P124" s="7">
        <f t="shared" si="39"/>
        <v>13.403064685469587</v>
      </c>
      <c r="Q124" s="3">
        <f t="shared" si="40"/>
        <v>8.2789219721079199</v>
      </c>
      <c r="R124" s="3">
        <f t="shared" si="40"/>
        <v>8.2789219721079199</v>
      </c>
      <c r="S124" s="3">
        <f t="shared" si="40"/>
        <v>8.2789219721079199</v>
      </c>
      <c r="T124" s="3">
        <f t="shared" si="40"/>
        <v>8.2789219721079199</v>
      </c>
      <c r="U124" s="3">
        <f t="shared" si="41"/>
        <v>56.498090087411143</v>
      </c>
      <c r="V124" s="3">
        <f t="shared" si="42"/>
        <v>57.853305038622409</v>
      </c>
      <c r="W124" s="3">
        <f t="shared" si="43"/>
        <v>57.853305038622409</v>
      </c>
      <c r="X124" s="3">
        <f t="shared" si="44"/>
        <v>57.853305038622409</v>
      </c>
      <c r="Y124" s="3">
        <f t="shared" si="45"/>
        <v>93.790157069560408</v>
      </c>
      <c r="Z124" s="3">
        <f t="shared" si="46"/>
        <v>96.039893705621367</v>
      </c>
      <c r="AA124" s="3">
        <f t="shared" si="47"/>
        <v>96.039893705621367</v>
      </c>
      <c r="AB124" s="3">
        <f t="shared" si="48"/>
        <v>96.039893705621367</v>
      </c>
      <c r="AC124" s="9">
        <f t="shared" si="49"/>
        <v>89.725587936057025</v>
      </c>
      <c r="AD124" s="9">
        <f t="shared" ref="AD124:AF124" si="56">AC124</f>
        <v>89.725587936057025</v>
      </c>
      <c r="AE124" s="9">
        <f t="shared" si="56"/>
        <v>89.725587936057025</v>
      </c>
      <c r="AF124" s="9">
        <f t="shared" si="56"/>
        <v>89.725587936057025</v>
      </c>
      <c r="AJ124" s="3">
        <f>USA!AJ137</f>
        <v>104.07290773565181</v>
      </c>
      <c r="AK124" s="3">
        <f>USA!AK137</f>
        <v>104.07290773565181</v>
      </c>
      <c r="AL124" s="3">
        <f>USA!AL137</f>
        <v>104.07290773565181</v>
      </c>
      <c r="AO124" s="3"/>
      <c r="AP124" s="3"/>
      <c r="AQ124"/>
      <c r="AR124"/>
      <c r="AS124"/>
      <c r="AT124"/>
      <c r="AU124"/>
      <c r="AV124"/>
      <c r="AW124" s="9"/>
      <c r="BJ124" s="3"/>
      <c r="BK124" s="3"/>
      <c r="BL124" s="3"/>
      <c r="BM124" s="3"/>
      <c r="BN124" s="3"/>
      <c r="BO124" s="3"/>
      <c r="BP124" s="3"/>
    </row>
    <row r="125" spans="1:72">
      <c r="A125">
        <v>2013</v>
      </c>
      <c r="B125" s="3">
        <f>USA!Z100/USA!AU100*100</f>
        <v>99.286371359470479</v>
      </c>
      <c r="C125" s="3">
        <f t="shared" si="36"/>
        <v>99.286371359470493</v>
      </c>
      <c r="D125" s="3">
        <f t="shared" si="37"/>
        <v>99.286371359470493</v>
      </c>
      <c r="E125" s="3">
        <f t="shared" si="38"/>
        <v>99.286371359470493</v>
      </c>
      <c r="F125" s="5">
        <f>'Exchange Rates'!O52</f>
        <v>58.514899999999997</v>
      </c>
      <c r="G125" s="3">
        <f>(B125*USA!$AU100/100)/$AN92*100*$F125</f>
        <v>4696.9965492780339</v>
      </c>
      <c r="H125" s="3">
        <f>(C125*USA!$AU100/100)/$AN92*100*$F125</f>
        <v>4696.9965492780348</v>
      </c>
      <c r="I125" s="3">
        <f>(D125*USA!$AU100/100)/$AN92*100*$F125</f>
        <v>4696.9965492780348</v>
      </c>
      <c r="J125" s="3">
        <f>(E125*USA!$AU100/100)/$AN92*100*$F125</f>
        <v>4696.9965492780348</v>
      </c>
      <c r="K125" s="6">
        <f t="shared" si="51"/>
        <v>34.859324334316206</v>
      </c>
      <c r="L125" s="6">
        <f t="shared" si="52"/>
        <v>34.859324334316213</v>
      </c>
      <c r="M125" s="6">
        <f t="shared" si="53"/>
        <v>34.859324334316213</v>
      </c>
      <c r="N125" s="6">
        <f t="shared" si="54"/>
        <v>34.859324334316213</v>
      </c>
      <c r="O125">
        <v>2013</v>
      </c>
      <c r="P125" s="7">
        <f t="shared" si="39"/>
        <v>8.3909995478726955</v>
      </c>
      <c r="Q125" s="3">
        <f t="shared" si="40"/>
        <v>8.6500647764377803</v>
      </c>
      <c r="R125" s="3">
        <f t="shared" si="40"/>
        <v>8.650064776437782</v>
      </c>
      <c r="S125" s="3">
        <f t="shared" si="40"/>
        <v>8.650064776437782</v>
      </c>
      <c r="T125" s="3">
        <f t="shared" si="40"/>
        <v>8.650064776437782</v>
      </c>
      <c r="U125" s="3">
        <f t="shared" si="41"/>
        <v>52.371763703277139</v>
      </c>
      <c r="V125" s="3">
        <f t="shared" si="42"/>
        <v>51.900388658626689</v>
      </c>
      <c r="W125" s="3">
        <f t="shared" si="43"/>
        <v>51.900388658626689</v>
      </c>
      <c r="X125" s="3">
        <f t="shared" si="44"/>
        <v>51.900388658626689</v>
      </c>
      <c r="Y125" s="3">
        <f t="shared" si="45"/>
        <v>86.940212246833866</v>
      </c>
      <c r="Z125" s="3">
        <f t="shared" si="46"/>
        <v>86.157701910501487</v>
      </c>
      <c r="AA125" s="3">
        <f t="shared" si="47"/>
        <v>86.157701910501487</v>
      </c>
      <c r="AB125" s="3">
        <f t="shared" si="48"/>
        <v>86.157701910501487</v>
      </c>
      <c r="AC125" s="9">
        <f t="shared" si="49"/>
        <v>83.172498083644754</v>
      </c>
      <c r="AD125" s="9">
        <f t="shared" ref="AD125:AF125" si="57">AC125</f>
        <v>83.172498083644754</v>
      </c>
      <c r="AE125" s="9">
        <f t="shared" si="57"/>
        <v>83.172498083644754</v>
      </c>
      <c r="AF125" s="9">
        <f t="shared" si="57"/>
        <v>83.172498083644754</v>
      </c>
      <c r="AJ125" s="3">
        <f>USA!AJ138</f>
        <v>99.286371359470493</v>
      </c>
      <c r="AK125" s="3">
        <f>USA!AK138</f>
        <v>99.286371359470493</v>
      </c>
      <c r="AL125" s="3">
        <f>USA!AL138</f>
        <v>99.286371359470493</v>
      </c>
      <c r="AO125" s="3"/>
      <c r="AP125" s="3"/>
      <c r="AQ125"/>
      <c r="AR125"/>
      <c r="AS125"/>
      <c r="AT125"/>
      <c r="AU125"/>
      <c r="AV125"/>
      <c r="AW125" s="9"/>
      <c r="BJ125" s="3"/>
      <c r="BK125" s="3"/>
      <c r="BL125" s="3"/>
      <c r="BM125" s="3"/>
      <c r="BN125" s="3"/>
      <c r="BO125" s="3"/>
      <c r="BP125" s="3"/>
    </row>
    <row r="126" spans="1:72">
      <c r="A126">
        <v>2014</v>
      </c>
      <c r="B126" s="3">
        <f>USA!Z101/USA!AU101*100</f>
        <v>88.687750298592292</v>
      </c>
      <c r="C126" s="3">
        <f t="shared" si="36"/>
        <v>88.687750298592292</v>
      </c>
      <c r="D126" s="3">
        <f t="shared" si="37"/>
        <v>88.687750298592292</v>
      </c>
      <c r="E126" s="3">
        <f t="shared" si="38"/>
        <v>88.687750298592292</v>
      </c>
      <c r="F126" s="5">
        <f>'Exchange Rates'!O53</f>
        <v>60.9953</v>
      </c>
      <c r="G126" s="3">
        <f>(B126*USA!$AU101/100)/$AN93*100*$F126</f>
        <v>4168.4289074273565</v>
      </c>
      <c r="H126" s="3">
        <f>(C126*USA!$AU101/100)/$AN93*100*$F126</f>
        <v>4168.4289074273565</v>
      </c>
      <c r="I126" s="3">
        <f>(D126*USA!$AU101/100)/$AN93*100*$F126</f>
        <v>4168.4289074273565</v>
      </c>
      <c r="J126" s="3">
        <f>(E126*USA!$AU101/100)/$AN93*100*$F126</f>
        <v>4168.4289074273565</v>
      </c>
      <c r="K126" s="6">
        <f t="shared" si="51"/>
        <v>31.624059418429965</v>
      </c>
      <c r="L126" s="6">
        <f t="shared" si="52"/>
        <v>31.624059418429965</v>
      </c>
      <c r="M126" s="6">
        <f t="shared" si="53"/>
        <v>31.624059418429965</v>
      </c>
      <c r="N126" s="6">
        <f t="shared" si="54"/>
        <v>31.624059418429965</v>
      </c>
      <c r="O126">
        <v>2014</v>
      </c>
      <c r="P126" s="7">
        <f t="shared" si="39"/>
        <v>8.1477564449255269</v>
      </c>
      <c r="Q126" s="3">
        <f t="shared" si="40"/>
        <v>7.9543631726710986</v>
      </c>
      <c r="R126" s="3">
        <f t="shared" si="40"/>
        <v>7.9543631726710986</v>
      </c>
      <c r="S126" s="3">
        <f t="shared" si="40"/>
        <v>7.9543631726710986</v>
      </c>
      <c r="T126" s="3">
        <f t="shared" si="40"/>
        <v>7.9543631726710986</v>
      </c>
      <c r="U126" s="3">
        <f t="shared" si="41"/>
        <v>49.619751492291485</v>
      </c>
      <c r="V126" s="3">
        <f t="shared" si="42"/>
        <v>47.726179036026593</v>
      </c>
      <c r="W126" s="3">
        <f t="shared" si="43"/>
        <v>47.726179036026593</v>
      </c>
      <c r="X126" s="3">
        <f t="shared" si="44"/>
        <v>47.726179036026593</v>
      </c>
      <c r="Y126" s="3">
        <f t="shared" si="45"/>
        <v>82.371709893456014</v>
      </c>
      <c r="Z126" s="3">
        <f t="shared" si="46"/>
        <v>79.228268091779057</v>
      </c>
      <c r="AA126" s="3">
        <f t="shared" si="47"/>
        <v>79.228268091779057</v>
      </c>
      <c r="AB126" s="3">
        <f t="shared" si="48"/>
        <v>79.228268091779057</v>
      </c>
      <c r="AC126" s="9">
        <f t="shared" si="49"/>
        <v>78.801980190812202</v>
      </c>
      <c r="AD126" s="9">
        <f t="shared" ref="AD126:AF126" si="58">AC126</f>
        <v>78.801980190812202</v>
      </c>
      <c r="AE126" s="9">
        <f t="shared" si="58"/>
        <v>78.801980190812202</v>
      </c>
      <c r="AF126" s="9">
        <f t="shared" si="58"/>
        <v>78.801980190812202</v>
      </c>
      <c r="AJ126" s="3">
        <f>USA!AJ139</f>
        <v>88.687750298592292</v>
      </c>
      <c r="AK126" s="3">
        <f>USA!AK139</f>
        <v>88.687750298592292</v>
      </c>
      <c r="AL126" s="3">
        <f>USA!AL139</f>
        <v>88.687750298592292</v>
      </c>
      <c r="AO126" s="3"/>
      <c r="AP126" s="3"/>
      <c r="AQ126"/>
      <c r="AR126"/>
      <c r="AS126"/>
      <c r="AT126"/>
      <c r="AU126"/>
      <c r="AV126"/>
      <c r="AW126" s="9"/>
      <c r="BJ126" s="3"/>
      <c r="BK126" s="3"/>
      <c r="BL126" s="3"/>
      <c r="BM126" s="3"/>
      <c r="BN126" s="3"/>
      <c r="BO126" s="3"/>
      <c r="BP126" s="3"/>
    </row>
    <row r="127" spans="1:72">
      <c r="A127">
        <v>2015</v>
      </c>
      <c r="B127" s="3">
        <f>USA!Z102/USA!AU102*100</f>
        <v>45.556296925601828</v>
      </c>
      <c r="C127" s="3">
        <f t="shared" si="36"/>
        <v>45.556296925601814</v>
      </c>
      <c r="D127" s="3">
        <f t="shared" si="37"/>
        <v>45.556296925601814</v>
      </c>
      <c r="E127" s="3">
        <f t="shared" si="38"/>
        <v>45.556296925601814</v>
      </c>
      <c r="F127" s="5">
        <f>'Exchange Rates'!O54</f>
        <v>64.107299999999995</v>
      </c>
      <c r="G127" s="3">
        <f>(B127*USA!$AU102/100)/$AN94*100*$F127</f>
        <v>2149.8341482445544</v>
      </c>
      <c r="H127" s="3">
        <f>(C127*USA!$AU102/100)/$AN94*100*$F127</f>
        <v>2149.8341482445535</v>
      </c>
      <c r="I127" s="3">
        <f>(D127*USA!$AU102/100)/$AN94*100*$F127</f>
        <v>2149.8341482445535</v>
      </c>
      <c r="J127" s="3">
        <f>(E127*USA!$AU102/100)/$AN94*100*$F127</f>
        <v>2149.8341482445535</v>
      </c>
      <c r="K127" s="6">
        <f t="shared" si="51"/>
        <v>19.268613706865022</v>
      </c>
      <c r="L127" s="6">
        <f t="shared" si="52"/>
        <v>19.268613706865015</v>
      </c>
      <c r="M127" s="6">
        <f t="shared" si="53"/>
        <v>19.268613706865015</v>
      </c>
      <c r="N127" s="6">
        <f t="shared" si="54"/>
        <v>19.268613706865015</v>
      </c>
      <c r="O127">
        <v>2015</v>
      </c>
      <c r="P127" s="7">
        <f t="shared" si="39"/>
        <v>12.976019845936179</v>
      </c>
      <c r="Q127" s="3">
        <f t="shared" si="40"/>
        <v>8.0611583882003011</v>
      </c>
      <c r="R127" s="3">
        <f t="shared" si="40"/>
        <v>8.0611583882002975</v>
      </c>
      <c r="S127" s="3">
        <f t="shared" si="40"/>
        <v>8.0611583882002975</v>
      </c>
      <c r="T127" s="3">
        <f t="shared" si="40"/>
        <v>8.0611583882002975</v>
      </c>
      <c r="U127" s="3">
        <f t="shared" si="41"/>
        <v>41.904552607896726</v>
      </c>
      <c r="V127" s="3">
        <f t="shared" si="42"/>
        <v>40.305791941001488</v>
      </c>
      <c r="W127" s="3">
        <f t="shared" si="43"/>
        <v>40.305791941001488</v>
      </c>
      <c r="X127" s="3">
        <f t="shared" si="44"/>
        <v>40.305791941001488</v>
      </c>
      <c r="Y127" s="3">
        <f t="shared" si="45"/>
        <v>69.5640253492396</v>
      </c>
      <c r="Z127" s="3">
        <f t="shared" si="46"/>
        <v>66.909988481218974</v>
      </c>
      <c r="AA127" s="3">
        <f t="shared" si="47"/>
        <v>66.909988481218974</v>
      </c>
      <c r="AB127" s="3">
        <f t="shared" si="48"/>
        <v>66.909988481218974</v>
      </c>
      <c r="AC127" s="9">
        <f t="shared" si="49"/>
        <v>66.549340236524998</v>
      </c>
      <c r="AD127" s="9">
        <f t="shared" ref="AD127:AF127" si="59">AC127</f>
        <v>66.549340236524998</v>
      </c>
      <c r="AE127" s="9">
        <f t="shared" si="59"/>
        <v>66.549340236524998</v>
      </c>
      <c r="AF127" s="9">
        <f t="shared" si="59"/>
        <v>66.549340236524998</v>
      </c>
      <c r="AJ127" s="3">
        <f>USA!AJ140</f>
        <v>45.556296925601814</v>
      </c>
      <c r="AK127" s="3">
        <f>USA!AK140</f>
        <v>45.556296925601814</v>
      </c>
      <c r="AL127" s="3">
        <f>USA!AL140</f>
        <v>45.556296925601814</v>
      </c>
      <c r="AO127" s="3"/>
      <c r="AP127" s="3"/>
      <c r="AQ127"/>
      <c r="AR127"/>
      <c r="AS127"/>
      <c r="AT127"/>
      <c r="AU127"/>
      <c r="AV127"/>
      <c r="AW127" s="9"/>
      <c r="BJ127" s="3"/>
      <c r="BK127" s="3"/>
      <c r="BL127" s="3"/>
      <c r="BM127" s="3"/>
      <c r="BN127" s="3"/>
      <c r="BO127" s="3"/>
      <c r="BP127" s="3"/>
    </row>
    <row r="128" spans="1:72">
      <c r="A128">
        <v>2016</v>
      </c>
      <c r="B128" s="3">
        <f>USA!Z103/USA!AU103*100</f>
        <v>36.957692605914716</v>
      </c>
      <c r="C128" s="3">
        <f t="shared" si="36"/>
        <v>36.957692605914716</v>
      </c>
      <c r="D128" s="3">
        <f t="shared" si="37"/>
        <v>36.957692605914716</v>
      </c>
      <c r="E128" s="3">
        <f t="shared" si="38"/>
        <v>36.957692605914716</v>
      </c>
      <c r="F128" s="5">
        <f>'Exchange Rates'!O55</f>
        <v>67.157200000000003</v>
      </c>
      <c r="G128" s="3">
        <f>(B128*USA!$AU103/100)/$AN95*100*$F128</f>
        <v>1763.253756124584</v>
      </c>
      <c r="H128" s="3">
        <f>(C128*USA!$AU103/100)/$AN95*100*$F128</f>
        <v>1763.253756124584</v>
      </c>
      <c r="I128" s="3">
        <f>(D128*USA!$AU103/100)/$AN95*100*$F128</f>
        <v>1763.253756124584</v>
      </c>
      <c r="J128" s="3">
        <f>(E128*USA!$AU103/100)/$AN95*100*$F128</f>
        <v>1763.253756124584</v>
      </c>
      <c r="K128" s="6">
        <f t="shared" si="51"/>
        <v>16.902426523298061</v>
      </c>
      <c r="L128" s="6">
        <f t="shared" si="52"/>
        <v>16.902426523298061</v>
      </c>
      <c r="M128" s="6">
        <f t="shared" si="53"/>
        <v>16.902426523298061</v>
      </c>
      <c r="N128" s="6">
        <f t="shared" si="54"/>
        <v>16.902426523298061</v>
      </c>
      <c r="O128">
        <v>2016</v>
      </c>
      <c r="P128" s="7">
        <f t="shared" si="39"/>
        <v>15.372365584960596</v>
      </c>
      <c r="Q128" s="3">
        <f t="shared" si="40"/>
        <v>8.7141938692298382</v>
      </c>
      <c r="R128" s="3">
        <f t="shared" si="40"/>
        <v>8.7141938692298382</v>
      </c>
      <c r="S128" s="3">
        <f t="shared" si="40"/>
        <v>8.7141938692298382</v>
      </c>
      <c r="T128" s="3">
        <f t="shared" si="40"/>
        <v>8.7141938692298382</v>
      </c>
      <c r="U128" s="3">
        <f t="shared" si="41"/>
        <v>40.616517577615589</v>
      </c>
      <c r="V128" s="3">
        <f t="shared" si="42"/>
        <v>40.988985977488497</v>
      </c>
      <c r="W128" s="3">
        <f t="shared" si="43"/>
        <v>40.988985977488497</v>
      </c>
      <c r="X128" s="3">
        <f t="shared" si="44"/>
        <v>40.988985977488497</v>
      </c>
      <c r="Y128" s="3">
        <f t="shared" si="45"/>
        <v>67.425811338566675</v>
      </c>
      <c r="Z128" s="3">
        <f t="shared" si="46"/>
        <v>68.044130819339912</v>
      </c>
      <c r="AA128" s="3">
        <f t="shared" si="47"/>
        <v>68.044130819339912</v>
      </c>
      <c r="AB128" s="3">
        <f t="shared" si="48"/>
        <v>68.044130819339912</v>
      </c>
      <c r="AC128" s="9">
        <f t="shared" si="49"/>
        <v>64.503789666666663</v>
      </c>
      <c r="AD128" s="9">
        <f t="shared" ref="AD128:AF128" si="60">AC128</f>
        <v>64.503789666666663</v>
      </c>
      <c r="AE128" s="9">
        <f t="shared" si="60"/>
        <v>64.503789666666663</v>
      </c>
      <c r="AF128" s="9">
        <f t="shared" si="60"/>
        <v>64.503789666666663</v>
      </c>
      <c r="AJ128" s="3">
        <f>USA!AJ141</f>
        <v>36.957692605914716</v>
      </c>
      <c r="AK128" s="3">
        <f>USA!AK141</f>
        <v>36.957692605914716</v>
      </c>
      <c r="AL128" s="3">
        <f>USA!AL141</f>
        <v>36.957692605914716</v>
      </c>
      <c r="AP128"/>
      <c r="AQ128"/>
      <c r="AR128"/>
      <c r="AS128"/>
      <c r="AT128"/>
      <c r="AU128"/>
      <c r="AV128"/>
      <c r="AW128" s="9"/>
      <c r="BJ128" s="3"/>
      <c r="BK128" s="3"/>
      <c r="BL128" s="3"/>
      <c r="BM128" s="3"/>
      <c r="BN128" s="3"/>
      <c r="BO128" s="3"/>
      <c r="BP128" s="3"/>
    </row>
    <row r="129" spans="1:68">
      <c r="A129">
        <v>2017</v>
      </c>
      <c r="B129" s="3">
        <f>USA!Z104/USA!AU104*100</f>
        <v>46.705738720797434</v>
      </c>
      <c r="C129" s="3">
        <f t="shared" si="36"/>
        <v>46.705738720797434</v>
      </c>
      <c r="D129" s="3">
        <f t="shared" si="37"/>
        <v>46.705738720797434</v>
      </c>
      <c r="E129" s="3">
        <f t="shared" si="38"/>
        <v>46.705738720797434</v>
      </c>
      <c r="F129" s="5">
        <f>'Exchange Rates'!O56</f>
        <v>65.11</v>
      </c>
      <c r="G129" s="3">
        <f>(B129*USA!$AU104/100)/$AN96*100*$F129</f>
        <v>2152.817264765752</v>
      </c>
      <c r="H129" s="3">
        <f>(C129*USA!$AU104/100)/$AN96*100*$F129</f>
        <v>2152.817264765752</v>
      </c>
      <c r="I129" s="3">
        <f>(D129*USA!$AU104/100)/$AN96*100*$F129</f>
        <v>2152.817264765752</v>
      </c>
      <c r="J129" s="3">
        <f>(E129*USA!$AU104/100)/$AN96*100*$F129</f>
        <v>2152.817264765752</v>
      </c>
      <c r="K129" s="6">
        <f t="shared" ref="K129" si="61">V$111+V$112*G129</f>
        <v>18.314216358044206</v>
      </c>
      <c r="L129" s="6">
        <f t="shared" ref="L129:L142" si="62">V$111+V$112*H129</f>
        <v>18.314216358044206</v>
      </c>
      <c r="M129" s="6">
        <f t="shared" ref="M129:M142" si="63">V$111+V$112*I129</f>
        <v>18.314216358044206</v>
      </c>
      <c r="N129" s="6">
        <f t="shared" ref="N129:N142" si="64">V$111+V$112*J129</f>
        <v>18.314216358044206</v>
      </c>
      <c r="O129">
        <v>2017</v>
      </c>
      <c r="P129" s="7">
        <f t="shared" si="39"/>
        <v>15.559305190118542</v>
      </c>
      <c r="Q129" s="3">
        <f t="shared" si="40"/>
        <v>9.1458508180039431</v>
      </c>
      <c r="R129" s="3">
        <f t="shared" si="40"/>
        <v>9.1458508180039431</v>
      </c>
      <c r="S129" s="3">
        <f t="shared" si="40"/>
        <v>9.1458508180039431</v>
      </c>
      <c r="T129" s="3">
        <f t="shared" si="40"/>
        <v>9.1458508180039431</v>
      </c>
      <c r="U129" s="3">
        <f t="shared" si="41"/>
        <v>43.082987745672554</v>
      </c>
      <c r="V129" s="3">
        <f t="shared" si="42"/>
        <v>43.019372366166692</v>
      </c>
      <c r="W129" s="3">
        <f t="shared" si="43"/>
        <v>43.019372366166692</v>
      </c>
      <c r="X129" s="3">
        <f t="shared" si="44"/>
        <v>43.019372366166692</v>
      </c>
      <c r="Y129" s="3">
        <f t="shared" si="45"/>
        <v>71.520297083333332</v>
      </c>
      <c r="Z129" s="3">
        <f t="shared" si="46"/>
        <v>71.414691806647639</v>
      </c>
      <c r="AA129" s="3">
        <f t="shared" si="47"/>
        <v>71.414691806647639</v>
      </c>
      <c r="AB129" s="3">
        <f t="shared" si="48"/>
        <v>71.414691806647639</v>
      </c>
      <c r="AC129" s="9">
        <f t="shared" si="49"/>
        <v>68.420833333333334</v>
      </c>
      <c r="AD129" s="9">
        <f t="shared" ref="AD129:AF129" si="65">AC129</f>
        <v>68.420833333333334</v>
      </c>
      <c r="AE129" s="9">
        <f t="shared" si="65"/>
        <v>68.420833333333334</v>
      </c>
      <c r="AF129" s="9">
        <f t="shared" si="65"/>
        <v>68.420833333333334</v>
      </c>
      <c r="AJ129" s="3">
        <f>USA!AJ142</f>
        <v>46.705738720797434</v>
      </c>
      <c r="AK129" s="3">
        <f>USA!AK142</f>
        <v>46.705738720797434</v>
      </c>
      <c r="AL129" s="3">
        <f>USA!AL142</f>
        <v>46.705738720797434</v>
      </c>
      <c r="AP129"/>
      <c r="AQ129"/>
      <c r="AR129"/>
      <c r="AS129"/>
      <c r="AT129"/>
      <c r="AU129"/>
      <c r="AV129"/>
      <c r="AW129" s="9"/>
      <c r="BJ129" s="3"/>
      <c r="BK129" s="3"/>
      <c r="BL129" s="3"/>
      <c r="BM129" s="3"/>
      <c r="BN129" s="3"/>
      <c r="BO129" s="3"/>
      <c r="BP129" s="3"/>
    </row>
    <row r="130" spans="1:68">
      <c r="A130">
        <v>2018</v>
      </c>
      <c r="B130" s="3">
        <f>USA!Z105/USA!AU105*100</f>
        <v>60.818458312139953</v>
      </c>
      <c r="C130" s="3">
        <f t="shared" si="36"/>
        <v>60.818458312139953</v>
      </c>
      <c r="D130" s="3">
        <f t="shared" si="37"/>
        <v>60.818458312139953</v>
      </c>
      <c r="E130" s="3">
        <f t="shared" si="38"/>
        <v>60.818458312139953</v>
      </c>
      <c r="F130" s="5">
        <f>'Exchange Rates'!O57</f>
        <v>68.816999999999993</v>
      </c>
      <c r="G130" s="3">
        <f>(B130*USA!$AU105/100)/$AN97*100*$F130</f>
        <v>2910.2747422624402</v>
      </c>
      <c r="H130" s="3">
        <f>(C130*USA!$AU105/100)/$AN97*100*$F130</f>
        <v>2910.2747422624402</v>
      </c>
      <c r="I130" s="3">
        <f>(D130*USA!$AU105/100)/$AN97*100*$F130</f>
        <v>2910.2747422624402</v>
      </c>
      <c r="J130" s="3">
        <f>(E130*USA!$AU105/100)/$AN97*100*$F130</f>
        <v>2910.2747422624402</v>
      </c>
      <c r="K130" s="6">
        <f>V$111+V$112*G130</f>
        <v>22.950473684808493</v>
      </c>
      <c r="L130" s="6">
        <f>V$111+V$112*H130</f>
        <v>22.950473684808493</v>
      </c>
      <c r="M130" s="6">
        <f t="shared" si="63"/>
        <v>22.950473684808493</v>
      </c>
      <c r="N130" s="6">
        <f t="shared" si="64"/>
        <v>22.950473684808493</v>
      </c>
      <c r="O130">
        <v>2018</v>
      </c>
      <c r="P130" s="7">
        <f t="shared" si="39"/>
        <v>13.921192827854073</v>
      </c>
      <c r="Q130" s="3">
        <f>(K130+P130)*$T$120</f>
        <v>9.9553499584188927</v>
      </c>
      <c r="R130" s="3">
        <f t="shared" ref="R130:R142" si="66">(L130+P130)*$T$120</f>
        <v>9.9553499584188927</v>
      </c>
      <c r="S130" s="3">
        <f t="shared" ref="S130:S142" si="67">(M130+P130)*$T$120</f>
        <v>9.9553499584188927</v>
      </c>
      <c r="T130" s="3">
        <f t="shared" ref="T130:T142" si="68">(N130+P130)*$T$120</f>
        <v>9.9553499584188927</v>
      </c>
      <c r="U130" s="3">
        <f t="shared" si="41"/>
        <v>46.763401091575588</v>
      </c>
      <c r="V130" s="3">
        <f t="shared" si="42"/>
        <v>46.827016471081457</v>
      </c>
      <c r="W130" s="3">
        <f t="shared" si="43"/>
        <v>46.827016471081457</v>
      </c>
      <c r="X130" s="3">
        <f t="shared" si="44"/>
        <v>46.827016471081457</v>
      </c>
      <c r="Y130" s="3">
        <f t="shared" si="45"/>
        <v>77.63</v>
      </c>
      <c r="Z130" s="3">
        <f t="shared" si="46"/>
        <v>77.735605276685703</v>
      </c>
      <c r="AA130" s="3">
        <f t="shared" si="47"/>
        <v>77.735605276685703</v>
      </c>
      <c r="AB130" s="3">
        <f t="shared" si="48"/>
        <v>77.735605276685703</v>
      </c>
      <c r="AC130" s="9">
        <f t="shared" si="49"/>
        <v>74.265761025542901</v>
      </c>
      <c r="AD130" s="9">
        <f t="shared" ref="AD130:AD142" si="69">V130*$AN$96/100</f>
        <v>74.366789703133747</v>
      </c>
      <c r="AE130" s="9">
        <f t="shared" ref="AE130:AE142" si="70">W130*$AN$96/100</f>
        <v>74.366789703133747</v>
      </c>
      <c r="AF130" s="9">
        <f t="shared" ref="AF130:AF142" si="71">X130*$AN$96/100</f>
        <v>74.366789703133747</v>
      </c>
      <c r="AJ130" s="3">
        <f>USA!AJ143</f>
        <v>60.818458312139953</v>
      </c>
      <c r="AK130" s="3">
        <f>USA!AK143</f>
        <v>60.818458312139953</v>
      </c>
      <c r="AL130" s="3">
        <f>USA!AL143</f>
        <v>60.818458312139953</v>
      </c>
      <c r="AP130"/>
      <c r="AQ130"/>
      <c r="AR130"/>
      <c r="AS130"/>
      <c r="AT130"/>
      <c r="AU130"/>
      <c r="AV130"/>
      <c r="AW130" s="9"/>
      <c r="BJ130" s="3"/>
      <c r="BK130" s="3"/>
      <c r="BL130" s="3"/>
      <c r="BM130" s="3"/>
      <c r="BN130" s="3"/>
      <c r="BO130" s="3"/>
      <c r="BP130" s="3"/>
    </row>
    <row r="131" spans="1:68">
      <c r="A131">
        <v>2019</v>
      </c>
      <c r="B131" s="3"/>
      <c r="C131" s="3">
        <f>AJ131</f>
        <v>90.611761513694489</v>
      </c>
      <c r="D131" s="3">
        <f t="shared" si="37"/>
        <v>56.019786702864394</v>
      </c>
      <c r="E131" s="3">
        <f t="shared" si="38"/>
        <v>25.889074718198426</v>
      </c>
      <c r="F131" s="5">
        <f>'Exchange Rates'!O58</f>
        <v>72.037999999999997</v>
      </c>
      <c r="G131" s="3"/>
      <c r="H131" s="3">
        <f>(C131*USA!$AU106/100)/$AN98*100*$F131</f>
        <v>4538.8838286245136</v>
      </c>
      <c r="I131" s="3">
        <f>(D131*USA!$AU106/100)/$AN98*100*$F131</f>
        <v>2806.118098809914</v>
      </c>
      <c r="J131" s="3">
        <f>(E131*USA!$AU106/100)/$AN98*100*$F131</f>
        <v>1296.8239510355754</v>
      </c>
      <c r="K131" s="6"/>
      <c r="L131" s="6">
        <f t="shared" si="62"/>
        <v>32.918889118550211</v>
      </c>
      <c r="M131" s="6">
        <f t="shared" si="63"/>
        <v>22.312950106674613</v>
      </c>
      <c r="N131" s="6">
        <f t="shared" si="64"/>
        <v>13.074839376040455</v>
      </c>
      <c r="O131">
        <v>2019</v>
      </c>
      <c r="P131" s="3">
        <f t="shared" ref="P131:P142" si="72">P130</f>
        <v>13.921192827854073</v>
      </c>
      <c r="Q131" s="3"/>
      <c r="R131" s="3">
        <f t="shared" si="66"/>
        <v>12.646822125529157</v>
      </c>
      <c r="S131" s="3">
        <f t="shared" si="67"/>
        <v>9.7832185923227453</v>
      </c>
      <c r="T131" s="3">
        <f t="shared" si="68"/>
        <v>7.2889286950515233</v>
      </c>
      <c r="U131" s="3"/>
      <c r="V131" s="3">
        <f t="shared" si="42"/>
        <v>59.486904071933438</v>
      </c>
      <c r="W131" s="3">
        <f t="shared" si="43"/>
        <v>46.017361526851431</v>
      </c>
      <c r="X131" s="3">
        <f t="shared" si="44"/>
        <v>34.284960898946053</v>
      </c>
      <c r="Y131" s="3"/>
      <c r="Z131" s="3">
        <f t="shared" si="46"/>
        <v>98.751764313740608</v>
      </c>
      <c r="AA131" s="3">
        <f t="shared" si="47"/>
        <v>76.39153038364077</v>
      </c>
      <c r="AB131" s="3">
        <f t="shared" si="48"/>
        <v>56.915054347162489</v>
      </c>
      <c r="AC131" s="9"/>
      <c r="AD131" s="9">
        <f t="shared" si="69"/>
        <v>94.472174795504259</v>
      </c>
      <c r="AE131" s="9">
        <f t="shared" si="70"/>
        <v>73.080962770152837</v>
      </c>
      <c r="AF131" s="9">
        <f t="shared" si="71"/>
        <v>54.44853568082128</v>
      </c>
      <c r="AJ131" s="3">
        <f>USA!AJ144</f>
        <v>90.611761513694489</v>
      </c>
      <c r="AK131" s="3">
        <f>USA!AK144</f>
        <v>56.019786702864394</v>
      </c>
      <c r="AL131" s="3">
        <f>USA!AL144</f>
        <v>25.889074718198426</v>
      </c>
      <c r="AP131"/>
      <c r="AQ131"/>
      <c r="AR131"/>
      <c r="AS131"/>
      <c r="AT131"/>
      <c r="AU131"/>
      <c r="AV131"/>
      <c r="AW131" s="9"/>
      <c r="BJ131" s="3"/>
      <c r="BK131" s="3"/>
      <c r="BL131" s="3"/>
      <c r="BM131" s="3"/>
      <c r="BN131" s="3"/>
      <c r="BO131" s="3"/>
      <c r="BP131" s="3"/>
    </row>
    <row r="132" spans="1:68">
      <c r="A132">
        <v>2020</v>
      </c>
      <c r="B132" s="3"/>
      <c r="C132" s="3">
        <f t="shared" si="36"/>
        <v>105.28223718734027</v>
      </c>
      <c r="D132" s="3">
        <f t="shared" si="37"/>
        <v>56.251630823658907</v>
      </c>
      <c r="E132" s="3">
        <f t="shared" si="38"/>
        <v>26.752043875471706</v>
      </c>
      <c r="F132" s="5">
        <f>'Exchange Rates'!O59</f>
        <v>72.037999999999997</v>
      </c>
      <c r="G132" s="3"/>
      <c r="H132" s="3">
        <f>(C132*USA!$AU107/100)/$AN99*100*$F132</f>
        <v>5273.7507342113404</v>
      </c>
      <c r="I132" s="3">
        <f>(D132*USA!$AU107/100)/$AN99*100*$F132</f>
        <v>2817.7315308087714</v>
      </c>
      <c r="J132" s="3">
        <f>(E132*USA!$AU107/100)/$AN99*100*$F132</f>
        <v>1340.0514160700943</v>
      </c>
      <c r="K132" s="6"/>
      <c r="L132" s="6">
        <f t="shared" si="62"/>
        <v>37.416873726852423</v>
      </c>
      <c r="M132" s="6">
        <f t="shared" si="63"/>
        <v>22.384033779082898</v>
      </c>
      <c r="N132" s="6">
        <f t="shared" si="64"/>
        <v>13.339426705940582</v>
      </c>
      <c r="O132">
        <v>2020</v>
      </c>
      <c r="P132" s="3">
        <f t="shared" si="72"/>
        <v>13.921192827854073</v>
      </c>
      <c r="Q132" s="3"/>
      <c r="R132" s="3">
        <f t="shared" si="66"/>
        <v>13.861277969770754</v>
      </c>
      <c r="S132" s="3">
        <f t="shared" si="67"/>
        <v>9.8024111838729819</v>
      </c>
      <c r="T132" s="3">
        <f t="shared" si="68"/>
        <v>7.3603672741245569</v>
      </c>
      <c r="U132" s="3"/>
      <c r="V132" s="3">
        <f t="shared" si="42"/>
        <v>65.199344524477254</v>
      </c>
      <c r="W132" s="3">
        <f t="shared" si="43"/>
        <v>46.107637790809953</v>
      </c>
      <c r="X132" s="3">
        <f t="shared" si="44"/>
        <v>34.620986807919209</v>
      </c>
      <c r="Y132" s="3"/>
      <c r="Z132" s="3">
        <f t="shared" si="46"/>
        <v>108.234751906165</v>
      </c>
      <c r="AA132" s="3">
        <f t="shared" si="47"/>
        <v>76.541394298743441</v>
      </c>
      <c r="AB132" s="3">
        <f t="shared" si="48"/>
        <v>57.472877146716847</v>
      </c>
      <c r="AC132" s="9"/>
      <c r="AD132" s="9">
        <f t="shared" si="69"/>
        <v>103.54419966149908</v>
      </c>
      <c r="AE132" s="9">
        <f t="shared" si="70"/>
        <v>73.224332056580337</v>
      </c>
      <c r="AF132" s="9">
        <f t="shared" si="71"/>
        <v>54.982184202350361</v>
      </c>
      <c r="AJ132" s="3">
        <f>USA!AJ145</f>
        <v>105.28223718734027</v>
      </c>
      <c r="AK132" s="3">
        <f>USA!AK145</f>
        <v>56.251630823658907</v>
      </c>
      <c r="AL132" s="3">
        <f>USA!AL145</f>
        <v>26.752043875471706</v>
      </c>
      <c r="AP132"/>
      <c r="AQ132"/>
      <c r="AR132"/>
      <c r="AS132"/>
      <c r="AT132"/>
      <c r="AU132"/>
      <c r="AV132"/>
      <c r="AW132" s="9"/>
      <c r="BJ132" s="3"/>
      <c r="BK132" s="3"/>
      <c r="BL132" s="3"/>
      <c r="BM132" s="3"/>
      <c r="BN132" s="3"/>
      <c r="BO132" s="3"/>
      <c r="BP132" s="3"/>
    </row>
    <row r="133" spans="1:68">
      <c r="A133">
        <v>2021</v>
      </c>
      <c r="B133" s="3"/>
      <c r="C133" s="3">
        <f t="shared" si="36"/>
        <v>120.81568201825931</v>
      </c>
      <c r="D133" s="3">
        <f t="shared" si="37"/>
        <v>63.082289986431647</v>
      </c>
      <c r="E133" s="3">
        <f t="shared" si="38"/>
        <v>28.477982190018274</v>
      </c>
      <c r="F133" s="5">
        <f>'Exchange Rates'!O60</f>
        <v>72.037999999999997</v>
      </c>
      <c r="G133" s="3"/>
      <c r="H133" s="3">
        <f>(C133*USA!$AU108/100)/$AN100*100*$F133</f>
        <v>6051.8451048326842</v>
      </c>
      <c r="I133" s="3">
        <f>(D133*USA!$AU108/100)/$AN100*100*$F133</f>
        <v>3159.8898543512323</v>
      </c>
      <c r="J133" s="3">
        <f>(E133*USA!$AU108/100)/$AN100*100*$F133</f>
        <v>1426.506346139133</v>
      </c>
      <c r="K133" s="6"/>
      <c r="L133" s="6">
        <f t="shared" si="62"/>
        <v>42.17944566505475</v>
      </c>
      <c r="M133" s="6">
        <f t="shared" si="63"/>
        <v>24.478321685091533</v>
      </c>
      <c r="N133" s="6">
        <f t="shared" si="64"/>
        <v>13.868601365740847</v>
      </c>
      <c r="O133">
        <v>2021</v>
      </c>
      <c r="P133" s="3">
        <f t="shared" si="72"/>
        <v>13.921192827854073</v>
      </c>
      <c r="Q133" s="3"/>
      <c r="R133" s="3">
        <f t="shared" si="66"/>
        <v>15.147172393085382</v>
      </c>
      <c r="S133" s="3">
        <f t="shared" si="67"/>
        <v>10.367868918495315</v>
      </c>
      <c r="T133" s="3">
        <f t="shared" si="68"/>
        <v>7.5032444322706295</v>
      </c>
      <c r="U133" s="3"/>
      <c r="V133" s="3">
        <f t="shared" si="42"/>
        <v>71.247810885994198</v>
      </c>
      <c r="W133" s="3">
        <f t="shared" si="43"/>
        <v>48.767383431440919</v>
      </c>
      <c r="X133" s="3">
        <f t="shared" si="44"/>
        <v>35.293038625865549</v>
      </c>
      <c r="Y133" s="3"/>
      <c r="Z133" s="3">
        <f t="shared" si="46"/>
        <v>118.27556229814371</v>
      </c>
      <c r="AA133" s="3">
        <f t="shared" si="47"/>
        <v>80.956728711179466</v>
      </c>
      <c r="AB133" s="3">
        <f t="shared" si="48"/>
        <v>58.588522745825614</v>
      </c>
      <c r="AC133" s="9"/>
      <c r="AD133" s="9">
        <f t="shared" si="69"/>
        <v>113.14987304902296</v>
      </c>
      <c r="AE133" s="9">
        <f t="shared" si="70"/>
        <v>77.448319823188996</v>
      </c>
      <c r="AF133" s="9">
        <f t="shared" si="71"/>
        <v>56.0494812454086</v>
      </c>
      <c r="AJ133" s="3">
        <f>USA!AJ146</f>
        <v>120.81568201825931</v>
      </c>
      <c r="AK133" s="3">
        <f>USA!AK146</f>
        <v>63.082289986431647</v>
      </c>
      <c r="AL133" s="3">
        <f>USA!AL146</f>
        <v>28.477982190018274</v>
      </c>
      <c r="AP133"/>
      <c r="AQ133"/>
      <c r="AR133"/>
      <c r="AS133"/>
      <c r="AT133"/>
      <c r="AU133"/>
      <c r="AV133"/>
      <c r="AW133" s="9"/>
      <c r="BJ133" s="3"/>
      <c r="BK133" s="3"/>
      <c r="BL133" s="3"/>
      <c r="BM133" s="3"/>
      <c r="BN133" s="3"/>
      <c r="BO133" s="3"/>
      <c r="BP133" s="3"/>
    </row>
    <row r="134" spans="1:68">
      <c r="A134">
        <v>2022</v>
      </c>
      <c r="B134" s="3"/>
      <c r="C134" s="3">
        <f t="shared" si="36"/>
        <v>127.71943527644558</v>
      </c>
      <c r="D134" s="3">
        <f t="shared" si="37"/>
        <v>68.168185410991157</v>
      </c>
      <c r="E134" s="3">
        <f t="shared" si="38"/>
        <v>29.340951347291547</v>
      </c>
      <c r="F134" s="5">
        <f>'Exchange Rates'!O61</f>
        <v>72.037999999999997</v>
      </c>
      <c r="G134" s="3"/>
      <c r="H134" s="3">
        <f>(C134*USA!$AU109/100)/$AN101*100*$F134</f>
        <v>6397.66482510884</v>
      </c>
      <c r="I134" s="3">
        <f>(D134*USA!$AU109/100)/$AN101*100*$F134</f>
        <v>3414.6502531226411</v>
      </c>
      <c r="J134" s="3">
        <f>(E134*USA!$AU109/100)/$AN101*100*$F134</f>
        <v>1469.7338111736519</v>
      </c>
      <c r="K134" s="6"/>
      <c r="L134" s="6">
        <f t="shared" si="62"/>
        <v>44.296144304255812</v>
      </c>
      <c r="M134" s="6">
        <f t="shared" si="63"/>
        <v>26.037663034888293</v>
      </c>
      <c r="N134" s="6">
        <f t="shared" si="64"/>
        <v>14.133188695640975</v>
      </c>
      <c r="O134">
        <v>2022</v>
      </c>
      <c r="P134" s="3">
        <f t="shared" si="72"/>
        <v>13.921192827854073</v>
      </c>
      <c r="Q134" s="3"/>
      <c r="R134" s="3">
        <f t="shared" si="66"/>
        <v>15.718681025669669</v>
      </c>
      <c r="S134" s="3">
        <f t="shared" si="67"/>
        <v>10.78889108294044</v>
      </c>
      <c r="T134" s="3">
        <f t="shared" si="68"/>
        <v>7.5746830113436632</v>
      </c>
      <c r="U134" s="3"/>
      <c r="V134" s="3">
        <f t="shared" si="42"/>
        <v>73.936018157779557</v>
      </c>
      <c r="W134" s="3">
        <f t="shared" si="43"/>
        <v>50.747746945682806</v>
      </c>
      <c r="X134" s="3">
        <f t="shared" si="44"/>
        <v>35.629064534838712</v>
      </c>
      <c r="Y134" s="3"/>
      <c r="Z134" s="3">
        <f t="shared" si="46"/>
        <v>122.73814469457876</v>
      </c>
      <c r="AA134" s="3">
        <f t="shared" si="47"/>
        <v>84.244248780764252</v>
      </c>
      <c r="AB134" s="3">
        <f t="shared" si="48"/>
        <v>59.14634554537998</v>
      </c>
      <c r="AC134" s="9"/>
      <c r="AD134" s="9">
        <f t="shared" si="69"/>
        <v>117.41906122125584</v>
      </c>
      <c r="AE134" s="9">
        <f t="shared" si="70"/>
        <v>80.593369157910871</v>
      </c>
      <c r="AF134" s="9">
        <f t="shared" si="71"/>
        <v>56.583129766937702</v>
      </c>
      <c r="AJ134" s="3">
        <f>USA!AJ147</f>
        <v>127.71943527644558</v>
      </c>
      <c r="AK134" s="3">
        <f>USA!AK147</f>
        <v>68.168185410991157</v>
      </c>
      <c r="AL134" s="3">
        <f>USA!AL147</f>
        <v>29.340951347291547</v>
      </c>
      <c r="AP134"/>
      <c r="AQ134"/>
      <c r="AR134"/>
      <c r="AS134"/>
      <c r="AT134"/>
      <c r="AU134"/>
      <c r="AV134"/>
      <c r="AW134" s="9"/>
      <c r="BJ134" s="3"/>
      <c r="BK134" s="3"/>
      <c r="BL134" s="3"/>
      <c r="BM134" s="3"/>
      <c r="BN134" s="3"/>
      <c r="BO134" s="3"/>
      <c r="BP134" s="3"/>
    </row>
    <row r="135" spans="1:68">
      <c r="A135">
        <v>2023</v>
      </c>
      <c r="B135" s="3"/>
      <c r="C135" s="3">
        <f t="shared" si="36"/>
        <v>132.89725022008525</v>
      </c>
      <c r="D135" s="3">
        <f t="shared" si="37"/>
        <v>70.508542947524788</v>
      </c>
      <c r="E135" s="3">
        <f t="shared" si="38"/>
        <v>29.340951347291547</v>
      </c>
      <c r="F135" s="5">
        <f>'Exchange Rates'!O62</f>
        <v>72.037999999999997</v>
      </c>
      <c r="G135" s="3"/>
      <c r="H135" s="3">
        <f>(C135*USA!$AU110/100)/$AN102*100*$F135</f>
        <v>6657.0296153159534</v>
      </c>
      <c r="I135" s="3">
        <f>(D135*USA!$AU110/100)/$AN102*100*$F135</f>
        <v>3531.8823960400537</v>
      </c>
      <c r="J135" s="3">
        <f>(E135*USA!$AU110/100)/$AN102*100*$F135</f>
        <v>1469.7338111736519</v>
      </c>
      <c r="K135" s="6"/>
      <c r="L135" s="6">
        <f t="shared" si="62"/>
        <v>45.883668283656576</v>
      </c>
      <c r="M135" s="6">
        <f t="shared" si="63"/>
        <v>26.755219330364309</v>
      </c>
      <c r="N135" s="6">
        <f t="shared" si="64"/>
        <v>14.133188695640975</v>
      </c>
      <c r="O135">
        <v>2023</v>
      </c>
      <c r="P135" s="3">
        <f t="shared" si="72"/>
        <v>13.921192827854073</v>
      </c>
      <c r="Q135" s="3"/>
      <c r="R135" s="3">
        <f t="shared" si="66"/>
        <v>16.147312500107876</v>
      </c>
      <c r="S135" s="3">
        <f t="shared" si="67"/>
        <v>10.982631282718964</v>
      </c>
      <c r="T135" s="3">
        <f t="shared" si="68"/>
        <v>7.5746830113436632</v>
      </c>
      <c r="U135" s="3"/>
      <c r="V135" s="3">
        <f t="shared" si="42"/>
        <v>75.95217361161852</v>
      </c>
      <c r="W135" s="3">
        <f t="shared" si="43"/>
        <v>51.659043440937346</v>
      </c>
      <c r="X135" s="3">
        <f t="shared" si="44"/>
        <v>35.629064534838712</v>
      </c>
      <c r="Y135" s="3"/>
      <c r="Z135" s="3">
        <f t="shared" si="46"/>
        <v>126.08508149190497</v>
      </c>
      <c r="AA135" s="3">
        <f t="shared" si="47"/>
        <v>85.757054634813954</v>
      </c>
      <c r="AB135" s="3">
        <f t="shared" si="48"/>
        <v>59.14634554537998</v>
      </c>
      <c r="AC135" s="9"/>
      <c r="AD135" s="9">
        <f t="shared" si="69"/>
        <v>120.62095235043046</v>
      </c>
      <c r="AE135" s="9">
        <f t="shared" si="70"/>
        <v>82.040614785051133</v>
      </c>
      <c r="AF135" s="9">
        <f t="shared" si="71"/>
        <v>56.583129766937702</v>
      </c>
      <c r="AJ135" s="3">
        <f>USA!AJ148</f>
        <v>132.89725022008525</v>
      </c>
      <c r="AK135" s="3">
        <f>USA!AK148</f>
        <v>70.508542947524788</v>
      </c>
      <c r="AL135" s="3">
        <f>USA!AL148</f>
        <v>29.340951347291547</v>
      </c>
      <c r="AP135"/>
      <c r="AQ135"/>
      <c r="AR135"/>
      <c r="AS135"/>
      <c r="AT135"/>
      <c r="AU135"/>
      <c r="AV135"/>
      <c r="AW135" s="9"/>
      <c r="BJ135" s="3"/>
      <c r="BK135" s="3"/>
      <c r="BL135" s="3"/>
      <c r="BM135" s="3"/>
      <c r="BN135" s="3"/>
      <c r="BO135" s="3"/>
      <c r="BP135" s="3"/>
    </row>
    <row r="136" spans="1:68">
      <c r="A136">
        <v>2024</v>
      </c>
      <c r="B136" s="3"/>
      <c r="C136" s="3">
        <f t="shared" si="36"/>
        <v>137.21209600645167</v>
      </c>
      <c r="D136" s="3">
        <f t="shared" si="37"/>
        <v>71.127304204880986</v>
      </c>
      <c r="E136" s="3">
        <f t="shared" si="38"/>
        <v>29.340951347291547</v>
      </c>
      <c r="F136" s="5">
        <f>'Exchange Rates'!O63</f>
        <v>72.037999999999997</v>
      </c>
      <c r="G136" s="3"/>
      <c r="H136" s="3">
        <f>(C136*USA!$AU111/100)/$AN103*100*$F136</f>
        <v>6873.1669404885506</v>
      </c>
      <c r="I136" s="3">
        <f>(D136*USA!$AU111/100)/$AN103*100*$F136</f>
        <v>3562.8771081820196</v>
      </c>
      <c r="J136" s="3">
        <f>(E136*USA!$AU111/100)/$AN103*100*$F136</f>
        <v>1469.7338111736519</v>
      </c>
      <c r="K136" s="6"/>
      <c r="L136" s="6">
        <f t="shared" si="62"/>
        <v>47.206604933157237</v>
      </c>
      <c r="M136" s="6">
        <f t="shared" si="63"/>
        <v>26.944932239046722</v>
      </c>
      <c r="N136" s="6">
        <f t="shared" si="64"/>
        <v>14.133188695640975</v>
      </c>
      <c r="O136">
        <v>2024</v>
      </c>
      <c r="P136" s="3">
        <f t="shared" si="72"/>
        <v>13.921192827854073</v>
      </c>
      <c r="Q136" s="3"/>
      <c r="R136" s="3">
        <f t="shared" si="66"/>
        <v>16.504505395473053</v>
      </c>
      <c r="S136" s="3">
        <f t="shared" si="67"/>
        <v>11.033853768063215</v>
      </c>
      <c r="T136" s="3">
        <f t="shared" si="68"/>
        <v>7.5746830113436632</v>
      </c>
      <c r="U136" s="3"/>
      <c r="V136" s="3">
        <f t="shared" si="42"/>
        <v>77.632303156484369</v>
      </c>
      <c r="W136" s="3">
        <f t="shared" si="43"/>
        <v>51.89997883496401</v>
      </c>
      <c r="X136" s="3">
        <f t="shared" si="44"/>
        <v>35.629064534838712</v>
      </c>
      <c r="Y136" s="3"/>
      <c r="Z136" s="3">
        <f t="shared" si="46"/>
        <v>128.87419548967688</v>
      </c>
      <c r="AA136" s="3">
        <f t="shared" si="47"/>
        <v>86.157021579084372</v>
      </c>
      <c r="AB136" s="3">
        <f t="shared" si="48"/>
        <v>59.14634554537998</v>
      </c>
      <c r="AC136" s="9"/>
      <c r="AD136" s="9">
        <f t="shared" si="69"/>
        <v>123.28919495807602</v>
      </c>
      <c r="AE136" s="9">
        <f t="shared" si="70"/>
        <v>82.423248425413149</v>
      </c>
      <c r="AF136" s="9">
        <f t="shared" si="71"/>
        <v>56.583129766937702</v>
      </c>
      <c r="AJ136" s="3">
        <f>USA!AJ149</f>
        <v>137.21209600645167</v>
      </c>
      <c r="AK136" s="3">
        <f>USA!AK149</f>
        <v>71.127304204880986</v>
      </c>
      <c r="AL136" s="3">
        <f>USA!AL149</f>
        <v>29.340951347291547</v>
      </c>
      <c r="AP136"/>
      <c r="AQ136"/>
      <c r="AR136"/>
      <c r="AS136"/>
      <c r="AT136"/>
      <c r="AU136"/>
      <c r="AV136"/>
      <c r="AW136" s="9"/>
      <c r="BJ136" s="3"/>
      <c r="BK136" s="3"/>
      <c r="BL136" s="3"/>
      <c r="BM136" s="3"/>
      <c r="BN136" s="3"/>
      <c r="BO136" s="3"/>
      <c r="BP136" s="3"/>
    </row>
    <row r="137" spans="1:68">
      <c r="A137">
        <v>2025</v>
      </c>
      <c r="B137" s="3"/>
      <c r="C137" s="3">
        <f t="shared" si="36"/>
        <v>141.52694179281806</v>
      </c>
      <c r="D137" s="3">
        <f t="shared" si="37"/>
        <v>74.364924740814473</v>
      </c>
      <c r="E137" s="3">
        <f t="shared" si="38"/>
        <v>30.203920504564827</v>
      </c>
      <c r="F137" s="5">
        <f>'Exchange Rates'!O64</f>
        <v>72.037999999999997</v>
      </c>
      <c r="G137" s="3"/>
      <c r="H137" s="3">
        <f>(C137*USA!$AU112/100)/$AN104*100*$F137</f>
        <v>7089.3042656611451</v>
      </c>
      <c r="I137" s="3">
        <f>(D137*USA!$AU112/100)/$AN104*100*$F137</f>
        <v>3725.0545479346974</v>
      </c>
      <c r="J137" s="3">
        <f>(E137*USA!$AU112/100)/$AN104*100*$F137</f>
        <v>1512.9612762081711</v>
      </c>
      <c r="K137" s="6"/>
      <c r="L137" s="6">
        <f t="shared" si="62"/>
        <v>48.529541582657878</v>
      </c>
      <c r="M137" s="6">
        <f t="shared" si="63"/>
        <v>27.937590395613029</v>
      </c>
      <c r="N137" s="6">
        <f t="shared" si="64"/>
        <v>14.397776025541102</v>
      </c>
      <c r="O137">
        <v>2025</v>
      </c>
      <c r="P137" s="3">
        <f t="shared" si="72"/>
        <v>13.921192827854073</v>
      </c>
      <c r="Q137" s="3"/>
      <c r="R137" s="3">
        <f t="shared" si="66"/>
        <v>16.861698290838227</v>
      </c>
      <c r="S137" s="3">
        <f t="shared" si="67"/>
        <v>11.301871470336117</v>
      </c>
      <c r="T137" s="3">
        <f t="shared" si="68"/>
        <v>7.6461215904166986</v>
      </c>
      <c r="U137" s="3"/>
      <c r="V137" s="3">
        <f t="shared" si="42"/>
        <v>79.312432701350176</v>
      </c>
      <c r="W137" s="3">
        <f t="shared" si="43"/>
        <v>53.160654693803217</v>
      </c>
      <c r="X137" s="3">
        <f t="shared" si="44"/>
        <v>35.965090443811874</v>
      </c>
      <c r="Y137" s="3"/>
      <c r="Z137" s="3">
        <f t="shared" si="46"/>
        <v>131.66330948744874</v>
      </c>
      <c r="AA137" s="3">
        <f t="shared" si="47"/>
        <v>88.249817753811669</v>
      </c>
      <c r="AB137" s="3">
        <f t="shared" si="48"/>
        <v>59.704168344934352</v>
      </c>
      <c r="AC137" s="9"/>
      <c r="AD137" s="9">
        <f t="shared" si="69"/>
        <v>125.95743756572152</v>
      </c>
      <c r="AE137" s="9">
        <f t="shared" si="70"/>
        <v>84.425349424865274</v>
      </c>
      <c r="AF137" s="9">
        <f t="shared" si="71"/>
        <v>57.116778288466804</v>
      </c>
      <c r="AJ137" s="3">
        <f>USA!AJ150</f>
        <v>141.52694179281806</v>
      </c>
      <c r="AK137" s="3">
        <f>USA!AK150</f>
        <v>74.364924740814473</v>
      </c>
      <c r="AL137" s="3">
        <f>USA!AL150</f>
        <v>30.203920504564827</v>
      </c>
      <c r="AP137"/>
      <c r="AQ137"/>
      <c r="AR137"/>
      <c r="AS137"/>
      <c r="AT137"/>
      <c r="AU137"/>
      <c r="AV137"/>
      <c r="AW137" s="9"/>
      <c r="BJ137" s="3"/>
      <c r="BK137" s="3"/>
      <c r="BL137" s="3"/>
      <c r="BM137" s="3"/>
      <c r="BN137" s="3"/>
      <c r="BO137" s="3"/>
      <c r="BP137" s="3"/>
    </row>
    <row r="138" spans="1:68">
      <c r="A138">
        <v>2026</v>
      </c>
      <c r="B138" s="3"/>
      <c r="C138" s="3">
        <f t="shared" si="36"/>
        <v>145.84178757918448</v>
      </c>
      <c r="D138" s="3">
        <f t="shared" si="37"/>
        <v>80.055420065999314</v>
      </c>
      <c r="E138" s="3">
        <f t="shared" si="38"/>
        <v>31.066889661838108</v>
      </c>
      <c r="F138" s="5">
        <f>'Exchange Rates'!O65</f>
        <v>72.037999999999997</v>
      </c>
      <c r="G138" s="3"/>
      <c r="H138" s="3">
        <f>(C138*USA!$AU113/100)/$AN105*100*$F138</f>
        <v>7305.4415908337423</v>
      </c>
      <c r="I138" s="3">
        <f>(D138*USA!$AU113/100)/$AN105*100*$F138</f>
        <v>4010.1002945008463</v>
      </c>
      <c r="J138" s="3">
        <f>(E138*USA!$AU113/100)/$AN105*100*$F138</f>
        <v>1556.1887412426902</v>
      </c>
      <c r="K138" s="6"/>
      <c r="L138" s="6">
        <f t="shared" si="62"/>
        <v>49.852478232158539</v>
      </c>
      <c r="M138" s="6">
        <f t="shared" si="63"/>
        <v>29.68230276593362</v>
      </c>
      <c r="N138" s="6">
        <f t="shared" si="64"/>
        <v>14.662363355441233</v>
      </c>
      <c r="O138">
        <v>2026</v>
      </c>
      <c r="P138" s="3">
        <f t="shared" si="72"/>
        <v>13.921192827854073</v>
      </c>
      <c r="Q138" s="3"/>
      <c r="R138" s="3">
        <f t="shared" si="66"/>
        <v>17.218891186203408</v>
      </c>
      <c r="S138" s="3">
        <f t="shared" si="67"/>
        <v>11.772943810322678</v>
      </c>
      <c r="T138" s="3">
        <f t="shared" si="68"/>
        <v>7.7175601694897331</v>
      </c>
      <c r="U138" s="3"/>
      <c r="V138" s="3">
        <f t="shared" si="42"/>
        <v>80.992562246216011</v>
      </c>
      <c r="W138" s="3">
        <f t="shared" si="43"/>
        <v>55.376439404110371</v>
      </c>
      <c r="X138" s="3">
        <f t="shared" si="44"/>
        <v>36.301116352785044</v>
      </c>
      <c r="Y138" s="3"/>
      <c r="Z138" s="3">
        <f t="shared" si="46"/>
        <v>134.45242348522063</v>
      </c>
      <c r="AA138" s="3">
        <f t="shared" si="47"/>
        <v>91.928150874285507</v>
      </c>
      <c r="AB138" s="3">
        <f t="shared" si="48"/>
        <v>60.261991144488739</v>
      </c>
      <c r="AC138" s="9"/>
      <c r="AD138" s="9">
        <f t="shared" si="69"/>
        <v>128.62568017336707</v>
      </c>
      <c r="AE138" s="9">
        <f t="shared" si="70"/>
        <v>87.944275207390689</v>
      </c>
      <c r="AF138" s="9">
        <f t="shared" si="71"/>
        <v>57.650426809995913</v>
      </c>
      <c r="AJ138" s="3">
        <f>USA!AJ151</f>
        <v>145.84178757918448</v>
      </c>
      <c r="AK138" s="3">
        <f>USA!AK151</f>
        <v>80.055420065999314</v>
      </c>
      <c r="AL138" s="3">
        <f>USA!AL151</f>
        <v>31.066889661838108</v>
      </c>
      <c r="AP138"/>
      <c r="AQ138"/>
      <c r="AR138"/>
      <c r="AS138"/>
      <c r="AT138"/>
      <c r="AU138"/>
      <c r="AV138"/>
      <c r="AW138" s="9"/>
      <c r="BJ138" s="3"/>
      <c r="BK138" s="3"/>
      <c r="BL138" s="3"/>
      <c r="BM138" s="3"/>
      <c r="BN138" s="3"/>
      <c r="BO138" s="3"/>
      <c r="BP138" s="3"/>
    </row>
    <row r="139" spans="1:68">
      <c r="A139">
        <v>2027</v>
      </c>
      <c r="B139" s="3"/>
      <c r="C139" s="3">
        <f t="shared" si="36"/>
        <v>150.15663336555087</v>
      </c>
      <c r="D139" s="3">
        <f t="shared" si="37"/>
        <v>82.98815737026753</v>
      </c>
      <c r="E139" s="3">
        <f t="shared" si="38"/>
        <v>31.929858819111395</v>
      </c>
      <c r="F139" s="5">
        <f>'Exchange Rates'!O66</f>
        <v>72.037999999999997</v>
      </c>
      <c r="G139" s="3"/>
      <c r="H139" s="3">
        <f>(C139*USA!$AU114/100)/$AN106*100*$F139</f>
        <v>7521.5789160063377</v>
      </c>
      <c r="I139" s="3">
        <f>(D139*USA!$AU114/100)/$AN106*100*$F139</f>
        <v>4157.0056597820958</v>
      </c>
      <c r="J139" s="3">
        <f>(E139*USA!$AU114/100)/$AN106*100*$F139</f>
        <v>1599.41620627721</v>
      </c>
      <c r="K139" s="6"/>
      <c r="L139" s="6">
        <f t="shared" si="62"/>
        <v>51.175414881659187</v>
      </c>
      <c r="M139" s="6">
        <f t="shared" si="63"/>
        <v>30.581483375222877</v>
      </c>
      <c r="N139" s="6">
        <f t="shared" si="64"/>
        <v>14.926950685341367</v>
      </c>
      <c r="O139">
        <v>2027</v>
      </c>
      <c r="P139" s="3">
        <f t="shared" si="72"/>
        <v>13.921192827854073</v>
      </c>
      <c r="Q139" s="3"/>
      <c r="R139" s="3">
        <f t="shared" si="66"/>
        <v>17.576084081568581</v>
      </c>
      <c r="S139" s="3">
        <f t="shared" si="67"/>
        <v>12.015722574830777</v>
      </c>
      <c r="T139" s="3">
        <f t="shared" si="68"/>
        <v>7.7889987485627685</v>
      </c>
      <c r="U139" s="3"/>
      <c r="V139" s="3">
        <f t="shared" si="42"/>
        <v>82.672691791081846</v>
      </c>
      <c r="W139" s="3">
        <f t="shared" si="43"/>
        <v>56.518398777907727</v>
      </c>
      <c r="X139" s="3">
        <f t="shared" si="44"/>
        <v>36.637142261758207</v>
      </c>
      <c r="Y139" s="3"/>
      <c r="Z139" s="3">
        <f t="shared" si="46"/>
        <v>137.24153748299253</v>
      </c>
      <c r="AA139" s="3">
        <f t="shared" si="47"/>
        <v>93.823870691890022</v>
      </c>
      <c r="AB139" s="3">
        <f t="shared" si="48"/>
        <v>60.819813944043105</v>
      </c>
      <c r="AC139" s="9"/>
      <c r="AD139" s="9">
        <f t="shared" si="69"/>
        <v>131.29392278101261</v>
      </c>
      <c r="AE139" s="9">
        <f t="shared" si="70"/>
        <v>89.757840516492891</v>
      </c>
      <c r="AF139" s="9">
        <f t="shared" si="71"/>
        <v>58.184075331525015</v>
      </c>
      <c r="AJ139" s="3">
        <f>USA!AJ152</f>
        <v>150.15663336555087</v>
      </c>
      <c r="AK139" s="3">
        <f>USA!AK152</f>
        <v>82.98815737026753</v>
      </c>
      <c r="AL139" s="3">
        <f>USA!AL152</f>
        <v>31.929858819111395</v>
      </c>
      <c r="AP139"/>
      <c r="AQ139"/>
      <c r="AR139"/>
      <c r="AS139"/>
      <c r="AT139"/>
      <c r="AU139"/>
      <c r="AV139"/>
      <c r="AW139" s="9"/>
      <c r="BJ139" s="3"/>
      <c r="BK139" s="3"/>
      <c r="BL139" s="3"/>
      <c r="BM139" s="3"/>
      <c r="BN139" s="3"/>
      <c r="BO139" s="3"/>
      <c r="BP139" s="3"/>
    </row>
    <row r="140" spans="1:68">
      <c r="A140">
        <v>2028</v>
      </c>
      <c r="B140" s="3"/>
      <c r="C140" s="3">
        <f t="shared" si="36"/>
        <v>153.60850999464401</v>
      </c>
      <c r="D140" s="3">
        <f t="shared" si="37"/>
        <v>84.844653255379882</v>
      </c>
      <c r="E140" s="3">
        <f t="shared" si="38"/>
        <v>31.929858819111395</v>
      </c>
      <c r="F140" s="5">
        <f>'Exchange Rates'!O67</f>
        <v>72.037999999999997</v>
      </c>
      <c r="G140" s="3"/>
      <c r="H140" s="3">
        <f>(C140*USA!$AU115/100)/$AN107*100*$F140</f>
        <v>7694.4887761444143</v>
      </c>
      <c r="I140" s="3">
        <f>(D140*USA!$AU115/100)/$AN107*100*$F140</f>
        <v>4250.0004212797076</v>
      </c>
      <c r="J140" s="3">
        <f>(E140*USA!$AU115/100)/$AN107*100*$F140</f>
        <v>1599.41620627721</v>
      </c>
      <c r="K140" s="6"/>
      <c r="L140" s="6">
        <f t="shared" si="62"/>
        <v>52.233764201259703</v>
      </c>
      <c r="M140" s="6">
        <f t="shared" si="63"/>
        <v>31.150687135371758</v>
      </c>
      <c r="N140" s="6">
        <f t="shared" si="64"/>
        <v>14.926950685341367</v>
      </c>
      <c r="O140">
        <v>2028</v>
      </c>
      <c r="P140" s="3">
        <f t="shared" si="72"/>
        <v>13.921192827854073</v>
      </c>
      <c r="Q140" s="3"/>
      <c r="R140" s="3">
        <f t="shared" si="66"/>
        <v>17.861838397860719</v>
      </c>
      <c r="S140" s="3">
        <f t="shared" si="67"/>
        <v>12.169407590070975</v>
      </c>
      <c r="T140" s="3">
        <f t="shared" si="68"/>
        <v>7.7889987485627685</v>
      </c>
      <c r="U140" s="3"/>
      <c r="V140" s="3">
        <f t="shared" si="42"/>
        <v>84.016795426974497</v>
      </c>
      <c r="W140" s="3">
        <f t="shared" si="43"/>
        <v>57.241287553296807</v>
      </c>
      <c r="X140" s="3">
        <f t="shared" si="44"/>
        <v>36.637142261758207</v>
      </c>
      <c r="Y140" s="3"/>
      <c r="Z140" s="3">
        <f t="shared" si="46"/>
        <v>139.47282868120999</v>
      </c>
      <c r="AA140" s="3">
        <f t="shared" si="47"/>
        <v>95.023908634458834</v>
      </c>
      <c r="AB140" s="3">
        <f t="shared" si="48"/>
        <v>60.819813944043105</v>
      </c>
      <c r="AC140" s="9"/>
      <c r="AD140" s="9">
        <f t="shared" si="69"/>
        <v>133.42851686712905</v>
      </c>
      <c r="AE140" s="9">
        <f t="shared" si="70"/>
        <v>90.90587260543272</v>
      </c>
      <c r="AF140" s="9">
        <f t="shared" si="71"/>
        <v>58.184075331525015</v>
      </c>
      <c r="AJ140" s="3">
        <f>USA!AJ153</f>
        <v>153.60850999464401</v>
      </c>
      <c r="AK140" s="3">
        <f>USA!AK153</f>
        <v>84.844653255379882</v>
      </c>
      <c r="AL140" s="3">
        <f>USA!AL153</f>
        <v>31.929858819111395</v>
      </c>
      <c r="AP140"/>
      <c r="AQ140"/>
      <c r="AR140"/>
      <c r="AS140"/>
      <c r="AT140"/>
      <c r="AU140"/>
      <c r="AV140"/>
      <c r="AW140" s="9"/>
      <c r="BJ140" s="3"/>
      <c r="BK140" s="3"/>
      <c r="BL140" s="3"/>
      <c r="BM140" s="3"/>
      <c r="BN140" s="3"/>
      <c r="BO140" s="3"/>
      <c r="BP140" s="3"/>
    </row>
    <row r="141" spans="1:68">
      <c r="A141">
        <v>2029</v>
      </c>
      <c r="B141" s="3"/>
      <c r="C141" s="3">
        <f t="shared" si="36"/>
        <v>157.9233557810104</v>
      </c>
      <c r="D141" s="3">
        <f t="shared" si="37"/>
        <v>87.361009569245411</v>
      </c>
      <c r="E141" s="3">
        <f t="shared" si="38"/>
        <v>31.929858819111395</v>
      </c>
      <c r="F141" s="5">
        <f>'Exchange Rates'!O68</f>
        <v>72.037999999999997</v>
      </c>
      <c r="G141" s="3"/>
      <c r="H141" s="3">
        <f>(C141*USA!$AU116/100)/$AN108*100*$F141</f>
        <v>7910.6261013170088</v>
      </c>
      <c r="I141" s="3">
        <f>(D141*USA!$AU116/100)/$AN108*100*$F141</f>
        <v>4376.0486162299312</v>
      </c>
      <c r="J141" s="3">
        <f>(E141*USA!$AU116/100)/$AN108*100*$F141</f>
        <v>1599.41620627721</v>
      </c>
      <c r="K141" s="6"/>
      <c r="L141" s="6">
        <f t="shared" si="62"/>
        <v>53.556700850760343</v>
      </c>
      <c r="M141" s="6">
        <f t="shared" si="63"/>
        <v>31.922204857125244</v>
      </c>
      <c r="N141" s="6">
        <f t="shared" si="64"/>
        <v>14.926950685341367</v>
      </c>
      <c r="O141">
        <v>2029</v>
      </c>
      <c r="P141" s="3">
        <f t="shared" si="72"/>
        <v>13.921192827854073</v>
      </c>
      <c r="Q141" s="3"/>
      <c r="R141" s="3">
        <f t="shared" si="66"/>
        <v>18.219031293225896</v>
      </c>
      <c r="S141" s="3">
        <f t="shared" si="67"/>
        <v>12.377717374944416</v>
      </c>
      <c r="T141" s="3">
        <f t="shared" si="68"/>
        <v>7.7889987485627685</v>
      </c>
      <c r="U141" s="3"/>
      <c r="V141" s="3">
        <f t="shared" si="42"/>
        <v>85.696924971840318</v>
      </c>
      <c r="W141" s="3">
        <f t="shared" si="43"/>
        <v>58.221115059923733</v>
      </c>
      <c r="X141" s="3">
        <f t="shared" si="44"/>
        <v>36.637142261758207</v>
      </c>
      <c r="Y141" s="3"/>
      <c r="Z141" s="3">
        <f t="shared" si="46"/>
        <v>142.26194267898188</v>
      </c>
      <c r="AA141" s="3">
        <f t="shared" si="47"/>
        <v>96.650480003604841</v>
      </c>
      <c r="AB141" s="3">
        <f t="shared" si="48"/>
        <v>60.819813944043105</v>
      </c>
      <c r="AC141" s="9"/>
      <c r="AD141" s="9">
        <f t="shared" si="69"/>
        <v>136.09675947477456</v>
      </c>
      <c r="AE141" s="9">
        <f t="shared" si="70"/>
        <v>92.461953509619093</v>
      </c>
      <c r="AF141" s="9">
        <f t="shared" si="71"/>
        <v>58.184075331525015</v>
      </c>
      <c r="AJ141" s="3">
        <f>USA!AJ154</f>
        <v>157.9233557810104</v>
      </c>
      <c r="AK141" s="3">
        <f>USA!AK154</f>
        <v>87.361009569245411</v>
      </c>
      <c r="AL141" s="3">
        <f>USA!AL154</f>
        <v>31.929858819111395</v>
      </c>
      <c r="AP141"/>
      <c r="AQ141"/>
      <c r="AR141"/>
      <c r="AS141"/>
      <c r="AT141"/>
      <c r="AU141"/>
      <c r="AV141"/>
      <c r="AW141" s="9"/>
      <c r="BJ141" s="3"/>
      <c r="BK141" s="3"/>
      <c r="BL141" s="3"/>
      <c r="BM141" s="3"/>
      <c r="BN141" s="3"/>
      <c r="BO141" s="3"/>
      <c r="BP141" s="3"/>
    </row>
    <row r="142" spans="1:68">
      <c r="A142">
        <v>2030</v>
      </c>
      <c r="B142" s="3"/>
      <c r="C142" s="3">
        <f t="shared" si="36"/>
        <v>160.51226325283022</v>
      </c>
      <c r="D142" s="3">
        <f t="shared" si="37"/>
        <v>89.285088706337618</v>
      </c>
      <c r="E142" s="3">
        <f t="shared" si="38"/>
        <v>32.792827976384679</v>
      </c>
      <c r="F142" s="5">
        <f>'Exchange Rates'!O69</f>
        <v>72.037999999999997</v>
      </c>
      <c r="G142" s="3"/>
      <c r="H142" s="3">
        <f>(C142*USA!$AU117/100)/$AN109*100*$F142</f>
        <v>8040.3084964205655</v>
      </c>
      <c r="I142" s="3">
        <f>(D142*USA!$AU117/100)/$AN109*100*$F142</f>
        <v>4472.4287277568637</v>
      </c>
      <c r="J142" s="3">
        <f>(E142*USA!$AU117/100)/$AN109*100*$F142</f>
        <v>1642.6436713117289</v>
      </c>
      <c r="K142" s="6"/>
      <c r="L142" s="6">
        <f t="shared" si="62"/>
        <v>54.350462840460729</v>
      </c>
      <c r="M142" s="6">
        <f t="shared" si="63"/>
        <v>32.512129719571476</v>
      </c>
      <c r="N142" s="6">
        <f t="shared" si="64"/>
        <v>15.191538015241495</v>
      </c>
      <c r="O142">
        <v>2030</v>
      </c>
      <c r="P142" s="3">
        <f t="shared" si="72"/>
        <v>13.921192827854073</v>
      </c>
      <c r="Q142" s="3"/>
      <c r="R142" s="3">
        <f t="shared" si="66"/>
        <v>18.433347030444999</v>
      </c>
      <c r="S142" s="3">
        <f t="shared" si="67"/>
        <v>12.536997087804899</v>
      </c>
      <c r="T142" s="3">
        <f t="shared" si="68"/>
        <v>7.8604373276358039</v>
      </c>
      <c r="U142" s="3"/>
      <c r="V142" s="3">
        <f t="shared" si="42"/>
        <v>86.705002698759813</v>
      </c>
      <c r="W142" s="3">
        <f t="shared" si="43"/>
        <v>58.970319635230446</v>
      </c>
      <c r="X142" s="3">
        <f t="shared" si="44"/>
        <v>36.97316817073137</v>
      </c>
      <c r="Y142" s="3"/>
      <c r="Z142" s="3">
        <f t="shared" si="46"/>
        <v>143.93541107764497</v>
      </c>
      <c r="AA142" s="3">
        <f t="shared" si="47"/>
        <v>97.894203723938304</v>
      </c>
      <c r="AB142" s="3">
        <f t="shared" si="48"/>
        <v>61.377636743597478</v>
      </c>
      <c r="AC142" s="9"/>
      <c r="AD142" s="9">
        <f t="shared" si="69"/>
        <v>137.69770503936189</v>
      </c>
      <c r="AE142" s="9">
        <f t="shared" si="70"/>
        <v>93.65177817271433</v>
      </c>
      <c r="AF142" s="9">
        <f t="shared" si="71"/>
        <v>58.717723853054125</v>
      </c>
      <c r="AJ142" s="3">
        <f>USA!AJ155</f>
        <v>160.51226325283022</v>
      </c>
      <c r="AK142" s="3">
        <f>USA!AK155</f>
        <v>89.285088706337618</v>
      </c>
      <c r="AL142" s="3">
        <f>USA!AL155</f>
        <v>32.792827976384679</v>
      </c>
      <c r="AP142"/>
      <c r="AQ142"/>
      <c r="AR142"/>
      <c r="AS142"/>
      <c r="AT142"/>
      <c r="AU142"/>
      <c r="AV142"/>
      <c r="AW142" s="9"/>
      <c r="BJ142" s="3"/>
      <c r="BK142" s="3"/>
      <c r="BL142" s="3"/>
      <c r="BM142" s="3"/>
      <c r="BN142" s="3"/>
      <c r="BO142" s="3"/>
      <c r="BP142" s="3"/>
    </row>
    <row r="143" spans="1:68">
      <c r="F143" s="7"/>
      <c r="G143" s="12"/>
      <c r="J143"/>
      <c r="L143" s="23"/>
      <c r="M143" s="7"/>
      <c r="N143" s="12"/>
      <c r="O143"/>
      <c r="P143" s="23"/>
      <c r="Q143"/>
      <c r="R143"/>
      <c r="U143" s="23"/>
      <c r="X143"/>
      <c r="AJ143" s="3">
        <f>USA!AJ156</f>
        <v>162.23820156737682</v>
      </c>
      <c r="AK143" s="3">
        <f>USA!AK156</f>
        <v>90.882363255178021</v>
      </c>
      <c r="AL143" s="3">
        <f>USA!AL156</f>
        <v>33.224312555021314</v>
      </c>
      <c r="AP143"/>
      <c r="AQ143"/>
      <c r="AR143"/>
      <c r="AS143"/>
      <c r="AT143"/>
      <c r="AU143"/>
      <c r="AV143"/>
      <c r="AW143" s="9"/>
      <c r="BJ143" s="3"/>
      <c r="BK143" s="3"/>
      <c r="BL143" s="3"/>
      <c r="BM143" s="3"/>
      <c r="BN143" s="3"/>
      <c r="BO143" s="3"/>
      <c r="BP143" s="3"/>
    </row>
    <row r="144" spans="1:68">
      <c r="G144" s="12"/>
      <c r="J144"/>
      <c r="L144" s="23"/>
      <c r="M144" s="7"/>
      <c r="N144" s="12"/>
      <c r="O144"/>
      <c r="P144" s="23"/>
      <c r="Q144"/>
      <c r="U144" s="23"/>
      <c r="X144"/>
      <c r="AJ144" s="3">
        <f>USA!AJ157</f>
        <v>164.82710903919664</v>
      </c>
      <c r="AK144" s="3">
        <f>USA!AK157</f>
        <v>91.529643316939641</v>
      </c>
      <c r="AL144" s="3">
        <f>USA!AL157</f>
        <v>33.655797133657956</v>
      </c>
      <c r="AP144"/>
      <c r="AQ144"/>
      <c r="AR144"/>
      <c r="AS144"/>
      <c r="AT144"/>
      <c r="AU144"/>
      <c r="AV144"/>
      <c r="AW144" s="9"/>
      <c r="BJ144" s="3"/>
      <c r="BK144" s="3"/>
      <c r="BL144" s="3"/>
      <c r="BM144" s="3"/>
      <c r="BN144" s="3"/>
      <c r="BO144" s="3"/>
      <c r="BP144" s="3"/>
    </row>
    <row r="145" spans="7:71">
      <c r="G145" s="12"/>
      <c r="J145"/>
      <c r="L145" s="23"/>
      <c r="M145" s="12"/>
      <c r="N145" s="12"/>
      <c r="O145"/>
      <c r="P145" s="23"/>
      <c r="Q145"/>
      <c r="V145" s="23"/>
      <c r="X145"/>
      <c r="AJ145" s="3">
        <f>USA!AJ158</f>
        <v>166.55304735374321</v>
      </c>
      <c r="AK145" s="3">
        <f>USA!AK158</f>
        <v>91.468448273790386</v>
      </c>
      <c r="AL145" s="3">
        <f>USA!AL158</f>
        <v>34.08728171229459</v>
      </c>
      <c r="AP145"/>
      <c r="AQ145"/>
      <c r="AR145"/>
      <c r="AS145"/>
      <c r="AT145"/>
      <c r="AU145"/>
      <c r="AV145"/>
      <c r="AW145" s="9"/>
      <c r="BJ145" s="3"/>
      <c r="BK145" s="3"/>
      <c r="BL145" s="3"/>
      <c r="BM145" s="3"/>
      <c r="BN145" s="3"/>
      <c r="BO145" s="3"/>
      <c r="BP145" s="3"/>
    </row>
    <row r="146" spans="7:71">
      <c r="G146" s="12"/>
      <c r="J146"/>
      <c r="L146" s="23"/>
      <c r="M146" s="12"/>
      <c r="N146" s="12"/>
      <c r="O146" s="12"/>
      <c r="P146" s="23"/>
      <c r="Q146"/>
      <c r="R146"/>
      <c r="V146" s="23"/>
      <c r="X146"/>
      <c r="AJ146" s="3">
        <f>USA!AJ159</f>
        <v>169.14195482556306</v>
      </c>
      <c r="AK146" s="3">
        <f>USA!AK159</f>
        <v>90.153207715955162</v>
      </c>
      <c r="AL146" s="3">
        <f>USA!AL159</f>
        <v>34.518766290931239</v>
      </c>
      <c r="AP146"/>
      <c r="AQ146"/>
      <c r="AR146"/>
      <c r="AS146"/>
      <c r="AT146"/>
      <c r="AU146"/>
      <c r="AV146"/>
      <c r="AW146" s="9"/>
      <c r="BJ146" s="3"/>
      <c r="BK146" s="3"/>
      <c r="BL146" s="3"/>
      <c r="BM146" s="3"/>
      <c r="BN146" s="3"/>
      <c r="BO146" s="3"/>
      <c r="BP146" s="3"/>
    </row>
    <row r="147" spans="7:71">
      <c r="G147" s="12"/>
      <c r="J147"/>
      <c r="L147" s="23"/>
      <c r="M147" s="12"/>
      <c r="N147" s="12"/>
      <c r="O147" s="12"/>
      <c r="P147" s="23"/>
      <c r="Q147"/>
      <c r="R147">
        <v>67.830539423951763</v>
      </c>
      <c r="V147" s="23"/>
      <c r="X147"/>
      <c r="AJ147" s="3">
        <f>USA!AJ160</f>
        <v>171.73086229738288</v>
      </c>
      <c r="AK147" s="3">
        <f>USA!AK160</f>
        <v>90.054464673113912</v>
      </c>
      <c r="AL147" s="3">
        <f>USA!AL160</f>
        <v>34.950250869567881</v>
      </c>
      <c r="AP147"/>
      <c r="AQ147"/>
      <c r="AR147"/>
      <c r="AS147"/>
      <c r="AT147"/>
      <c r="AU147"/>
      <c r="AV147"/>
      <c r="AW147" s="9"/>
      <c r="BJ147" s="3"/>
      <c r="BK147" s="3"/>
      <c r="BL147" s="3"/>
      <c r="BM147" s="3"/>
      <c r="BN147" s="3"/>
      <c r="BO147" s="3"/>
      <c r="BP147" s="3"/>
    </row>
    <row r="148" spans="7:71">
      <c r="G148" s="12"/>
      <c r="J148"/>
      <c r="L148" s="23"/>
      <c r="M148" s="12"/>
      <c r="N148" s="12"/>
      <c r="O148" s="12"/>
      <c r="P148" s="23"/>
      <c r="Q148"/>
      <c r="R148">
        <v>46.017361526851431</v>
      </c>
      <c r="V148" s="23"/>
      <c r="X148"/>
      <c r="AJ148" s="3">
        <f>USA!AJ161</f>
        <v>173.45680061192945</v>
      </c>
      <c r="AK148" s="3">
        <f>USA!AK161</f>
        <v>91.250057240640103</v>
      </c>
      <c r="AL148" s="3">
        <f>USA!AL161</f>
        <v>35.381735448204516</v>
      </c>
      <c r="AP148"/>
      <c r="AQ148"/>
      <c r="AR148"/>
      <c r="AS148"/>
      <c r="AT148"/>
      <c r="AU148"/>
      <c r="AV148"/>
      <c r="AW148" s="9"/>
      <c r="BJ148" s="3"/>
      <c r="BK148" s="3"/>
      <c r="BL148" s="3"/>
      <c r="BM148" s="3"/>
      <c r="BN148" s="3"/>
      <c r="BO148" s="3"/>
      <c r="BP148" s="3"/>
    </row>
    <row r="149" spans="7:71">
      <c r="G149" s="12"/>
      <c r="J149"/>
      <c r="L149" s="23"/>
      <c r="M149" s="12"/>
      <c r="N149" s="12"/>
      <c r="O149" s="12"/>
      <c r="P149" s="23"/>
      <c r="Q149"/>
      <c r="R149">
        <f>R147/R148-1</f>
        <v>0.47402061251104533</v>
      </c>
      <c r="V149" s="23"/>
      <c r="X149"/>
      <c r="AJ149" s="3">
        <f>USA!AJ162</f>
        <v>175.18273892647602</v>
      </c>
      <c r="AK149" s="3">
        <f>USA!AK162</f>
        <v>91.751958188656559</v>
      </c>
      <c r="AL149" s="3">
        <f>USA!AL162</f>
        <v>36.2447046054778</v>
      </c>
      <c r="AP149"/>
      <c r="AQ149"/>
      <c r="AR149"/>
      <c r="AS149"/>
      <c r="AT149"/>
      <c r="AU149"/>
      <c r="AV149"/>
      <c r="AW149" s="9"/>
      <c r="BJ149" s="3"/>
      <c r="BK149" s="3"/>
      <c r="BL149" s="3"/>
      <c r="BM149" s="3"/>
      <c r="BN149" s="3"/>
      <c r="BO149" s="3"/>
      <c r="BP149" s="3"/>
    </row>
    <row r="150" spans="7:71">
      <c r="G150" s="12"/>
      <c r="J150"/>
      <c r="L150" s="23"/>
      <c r="M150" s="12"/>
      <c r="N150" s="12"/>
      <c r="O150" s="12"/>
      <c r="P150" s="23"/>
      <c r="Q150"/>
      <c r="R150"/>
      <c r="V150" s="23"/>
      <c r="X150"/>
      <c r="AJ150" s="3">
        <f>USA!AJ163</f>
        <v>177.77164639829587</v>
      </c>
      <c r="AK150" s="3">
        <f>USA!AK163</f>
        <v>91.990526082750478</v>
      </c>
      <c r="AL150" s="3">
        <f>USA!AL163</f>
        <v>37.107673762751077</v>
      </c>
      <c r="AP150"/>
      <c r="AQ150"/>
      <c r="AR150"/>
      <c r="AS150"/>
      <c r="AT150"/>
      <c r="AU150"/>
      <c r="AV150"/>
      <c r="AW150" s="9"/>
      <c r="BJ150" s="3"/>
      <c r="BK150" s="3"/>
      <c r="BL150" s="3"/>
      <c r="BM150" s="3"/>
      <c r="BN150" s="3"/>
      <c r="BO150" s="3"/>
      <c r="BP150" s="3"/>
    </row>
    <row r="151" spans="7:71">
      <c r="O151"/>
      <c r="P151" s="23"/>
      <c r="R151" s="12"/>
      <c r="S151" s="23"/>
      <c r="X151"/>
      <c r="AG151" s="23"/>
      <c r="AJ151" s="3">
        <f>USA!AJ164</f>
        <v>180.36055387011569</v>
      </c>
      <c r="AK151" s="3">
        <f>USA!AK164</f>
        <v>92.727792343203248</v>
      </c>
      <c r="AL151" s="3">
        <f>USA!AL164</f>
        <v>37.970642920024368</v>
      </c>
      <c r="AP151"/>
      <c r="AQ151"/>
      <c r="AR151"/>
      <c r="AS151"/>
      <c r="AT151"/>
      <c r="AU151"/>
      <c r="AV151"/>
      <c r="AW151"/>
      <c r="AX151"/>
      <c r="AY151"/>
      <c r="AZ151" s="9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7:71">
      <c r="O152"/>
      <c r="P152" s="23"/>
      <c r="R152" s="12"/>
      <c r="S152" s="23"/>
      <c r="X152"/>
      <c r="AG152" s="23"/>
      <c r="AJ152" s="3">
        <f>USA!AJ165</f>
        <v>181.22352302738898</v>
      </c>
      <c r="AK152" s="3">
        <f>USA!AK165</f>
        <v>93.367803080926592</v>
      </c>
      <c r="AL152" s="3">
        <f>USA!AL165</f>
        <v>38.833612077297637</v>
      </c>
      <c r="AP152"/>
      <c r="AQ152"/>
      <c r="AR152"/>
      <c r="AS152"/>
      <c r="AT152"/>
      <c r="AU152"/>
      <c r="AV152"/>
      <c r="AW152"/>
      <c r="AX152"/>
      <c r="AY152"/>
      <c r="AZ152" s="9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7:71">
      <c r="O153"/>
      <c r="P153" s="23"/>
      <c r="R153" s="12"/>
      <c r="S153" s="23"/>
      <c r="X153"/>
      <c r="AG153" s="23"/>
      <c r="AP153"/>
      <c r="AQ153"/>
      <c r="AR153"/>
      <c r="AS153"/>
      <c r="AT153"/>
      <c r="AU153"/>
      <c r="AV153"/>
      <c r="AW153"/>
      <c r="AX153"/>
      <c r="AY153"/>
      <c r="AZ153" s="9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7:71">
      <c r="O154"/>
      <c r="P154" s="23"/>
      <c r="R154" s="12"/>
      <c r="S154" s="23"/>
      <c r="X154"/>
      <c r="Y154" s="23"/>
      <c r="AP154"/>
      <c r="AQ154"/>
      <c r="AR154"/>
      <c r="AS154"/>
      <c r="AT154"/>
      <c r="AU154" s="9"/>
      <c r="BJ154" s="3"/>
      <c r="BK154" s="3"/>
      <c r="BL154" s="3"/>
      <c r="BM154" s="3"/>
      <c r="BN154" s="3"/>
    </row>
    <row r="155" spans="7:71">
      <c r="AP155"/>
      <c r="AQ155" t="s">
        <v>2417</v>
      </c>
      <c r="AR155"/>
      <c r="AS155"/>
      <c r="AT155" s="9"/>
      <c r="BJ155" s="3"/>
      <c r="BK155" s="3"/>
      <c r="BL155" s="3"/>
      <c r="BM155" s="3"/>
    </row>
    <row r="156" spans="7:71">
      <c r="AP156"/>
      <c r="AQ156"/>
      <c r="AR156"/>
      <c r="AS156"/>
      <c r="AT156" s="9"/>
      <c r="BJ156" s="3"/>
      <c r="BK156" s="3"/>
      <c r="BL156" s="3"/>
      <c r="BM156" s="3"/>
    </row>
    <row r="157" spans="7:71">
      <c r="AP157"/>
      <c r="AQ157" t="s">
        <v>2416</v>
      </c>
      <c r="AR157"/>
      <c r="AS157"/>
      <c r="AT157" s="9"/>
      <c r="BJ157" s="3"/>
      <c r="BK157" s="3"/>
      <c r="BL157" s="3"/>
      <c r="BM157" s="3"/>
    </row>
    <row r="158" spans="7:71">
      <c r="AP158" s="78">
        <v>43101</v>
      </c>
      <c r="AQ158">
        <v>1.1499999999999999</v>
      </c>
      <c r="AR158"/>
      <c r="AS158"/>
      <c r="AT158" s="9"/>
      <c r="BJ158" s="3"/>
      <c r="BK158" s="3"/>
      <c r="BL158" s="3"/>
      <c r="BM158" s="3"/>
    </row>
    <row r="159" spans="7:71">
      <c r="AP159" s="78">
        <v>43132</v>
      </c>
      <c r="AQ159">
        <v>1.1000000000000001</v>
      </c>
    </row>
    <row r="160" spans="7:71">
      <c r="AP160" s="78">
        <v>43160</v>
      </c>
      <c r="AQ160">
        <v>1.1299999999999999</v>
      </c>
    </row>
    <row r="161" spans="42:43">
      <c r="AP161" s="78">
        <v>43191</v>
      </c>
      <c r="AQ161">
        <v>1.1200000000000001</v>
      </c>
    </row>
    <row r="162" spans="42:43">
      <c r="AP162" s="78">
        <v>43221</v>
      </c>
      <c r="AQ162">
        <v>1.1599999999999999</v>
      </c>
    </row>
    <row r="163" spans="42:43">
      <c r="AP163" s="78">
        <v>43252</v>
      </c>
      <c r="AQ163">
        <v>1.1000000000000001</v>
      </c>
    </row>
    <row r="164" spans="42:43">
      <c r="AP164" s="78">
        <v>43282</v>
      </c>
      <c r="AQ164">
        <v>1.1100000000000001</v>
      </c>
    </row>
    <row r="165" spans="42:43">
      <c r="AP165" s="78">
        <v>43313</v>
      </c>
      <c r="AQ165">
        <v>1.1100000000000001</v>
      </c>
    </row>
    <row r="166" spans="42:43">
      <c r="AP166" s="78">
        <v>43344</v>
      </c>
      <c r="AQ166">
        <v>1.1399999999999999</v>
      </c>
    </row>
    <row r="167" spans="42:43">
      <c r="AP167" s="78">
        <v>43374</v>
      </c>
      <c r="AQ167">
        <v>1.08</v>
      </c>
    </row>
    <row r="168" spans="42:43">
      <c r="AP168" s="78">
        <v>43405</v>
      </c>
      <c r="AQ168">
        <v>1.05</v>
      </c>
    </row>
    <row r="169" spans="42:43">
      <c r="AP169" s="78">
        <v>43435</v>
      </c>
      <c r="AQ169">
        <v>0.99</v>
      </c>
    </row>
    <row r="170" spans="42:43">
      <c r="AP170"/>
      <c r="AQ170"/>
    </row>
    <row r="171" spans="42:43">
      <c r="AP171">
        <v>2018</v>
      </c>
      <c r="AQ171" s="3">
        <f>AVERAGE(AQ158:AQ169)</f>
        <v>1.1033333333333335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04"/>
  <sheetViews>
    <sheetView topLeftCell="F25" workbookViewId="0">
      <selection activeCell="L60" sqref="L60"/>
    </sheetView>
  </sheetViews>
  <sheetFormatPr defaultRowHeight="15"/>
  <cols>
    <col min="1" max="1" width="23" customWidth="1"/>
    <col min="2" max="5" width="18.42578125" customWidth="1"/>
    <col min="6" max="6" width="13.28515625" customWidth="1"/>
    <col min="9" max="9" width="10" customWidth="1"/>
    <col min="10" max="10" width="13.140625" customWidth="1"/>
    <col min="14" max="14" width="11.42578125" customWidth="1"/>
    <col min="16" max="16" width="11.85546875" customWidth="1"/>
    <col min="18" max="18" width="11.5703125" customWidth="1"/>
    <col min="34" max="34" width="9.7109375" bestFit="1" customWidth="1"/>
  </cols>
  <sheetData>
    <row r="1" spans="1:37">
      <c r="A1" s="102" t="s">
        <v>1843</v>
      </c>
      <c r="D1" t="s">
        <v>1844</v>
      </c>
      <c r="AH1" t="s">
        <v>1936</v>
      </c>
      <c r="AI1" t="s">
        <v>1937</v>
      </c>
    </row>
    <row r="2" spans="1:37">
      <c r="AH2" t="s">
        <v>1940</v>
      </c>
    </row>
    <row r="3" spans="1:37">
      <c r="N3" t="s">
        <v>1930</v>
      </c>
      <c r="AH3" t="s">
        <v>1938</v>
      </c>
      <c r="AK3" t="s">
        <v>1942</v>
      </c>
    </row>
    <row r="4" spans="1:37" ht="18">
      <c r="A4" s="97" t="s">
        <v>1710</v>
      </c>
      <c r="B4" s="98" t="s">
        <v>1711</v>
      </c>
      <c r="C4" s="98" t="s">
        <v>1712</v>
      </c>
      <c r="D4" s="98" t="s">
        <v>1713</v>
      </c>
      <c r="E4" s="98" t="s">
        <v>1714</v>
      </c>
      <c r="N4" t="s">
        <v>1920</v>
      </c>
      <c r="AH4" t="s">
        <v>1939</v>
      </c>
      <c r="AI4" t="s">
        <v>1936</v>
      </c>
      <c r="AJ4" t="s">
        <v>1941</v>
      </c>
    </row>
    <row r="5" spans="1:37">
      <c r="A5" s="177"/>
      <c r="B5" s="177"/>
      <c r="C5" s="177"/>
      <c r="D5" s="177"/>
      <c r="E5" s="177"/>
      <c r="G5" t="s">
        <v>1943</v>
      </c>
      <c r="I5" s="71" t="s">
        <v>1931</v>
      </c>
      <c r="J5" s="71" t="s">
        <v>1892</v>
      </c>
      <c r="K5" s="71" t="s">
        <v>1932</v>
      </c>
      <c r="L5" s="71" t="s">
        <v>112</v>
      </c>
      <c r="M5" s="71" t="s">
        <v>1933</v>
      </c>
      <c r="N5" s="71" t="s">
        <v>310</v>
      </c>
      <c r="P5" s="71" t="s">
        <v>1934</v>
      </c>
      <c r="AH5" s="91">
        <v>21916</v>
      </c>
      <c r="AI5">
        <v>1.783264746</v>
      </c>
      <c r="AJ5" s="3">
        <f t="shared" ref="AJ5:AJ53" si="0">AJ6/(1+AI6/100)</f>
        <v>2.5879271659322769</v>
      </c>
    </row>
    <row r="6" spans="1:37">
      <c r="A6" s="99" t="s">
        <v>1715</v>
      </c>
      <c r="B6" s="100">
        <v>63.2</v>
      </c>
      <c r="C6" s="100">
        <v>68.099999999999994</v>
      </c>
      <c r="D6" s="100">
        <v>68.239999999999995</v>
      </c>
      <c r="E6" s="100">
        <v>63.49</v>
      </c>
      <c r="H6" s="9">
        <v>1985</v>
      </c>
      <c r="I6" s="3"/>
      <c r="J6" s="3"/>
      <c r="K6" s="3"/>
      <c r="L6" s="3"/>
      <c r="M6" s="3"/>
      <c r="P6" s="12">
        <f>Q6*P$31/Q$31</f>
        <v>0.14696000000000001</v>
      </c>
      <c r="Q6" s="50">
        <v>0.11</v>
      </c>
      <c r="AH6" s="91">
        <v>22282</v>
      </c>
      <c r="AI6">
        <v>1.752021563</v>
      </c>
      <c r="AJ6" s="3">
        <f t="shared" si="0"/>
        <v>2.6332682079141452</v>
      </c>
    </row>
    <row r="7" spans="1:37">
      <c r="A7" s="101" t="s">
        <v>1716</v>
      </c>
      <c r="B7" s="100">
        <v>64.47</v>
      </c>
      <c r="C7" s="100">
        <v>69.150000000000006</v>
      </c>
      <c r="D7" s="100">
        <v>69.510000000000005</v>
      </c>
      <c r="E7" s="100">
        <v>64.77</v>
      </c>
      <c r="H7" s="9">
        <v>1986</v>
      </c>
      <c r="I7" s="3"/>
      <c r="J7" s="3"/>
      <c r="K7" s="3"/>
      <c r="L7" s="3"/>
      <c r="M7" s="3"/>
      <c r="P7" s="12">
        <f t="shared" ref="P7:P24" si="1">Q7*P$31/Q$31</f>
        <v>0.14696000000000001</v>
      </c>
      <c r="Q7" s="50">
        <v>0.11</v>
      </c>
      <c r="AH7" s="91">
        <v>22647</v>
      </c>
      <c r="AI7">
        <v>3.57615894</v>
      </c>
      <c r="AJ7" s="3">
        <f t="shared" si="0"/>
        <v>2.7274380643456451</v>
      </c>
    </row>
    <row r="8" spans="1:37">
      <c r="A8" s="99" t="s">
        <v>1717</v>
      </c>
      <c r="B8" s="100">
        <v>66.900000000000006</v>
      </c>
      <c r="C8" s="100">
        <v>71.569999999999993</v>
      </c>
      <c r="D8" s="100">
        <v>71.97</v>
      </c>
      <c r="E8" s="100">
        <v>67.290000000000006</v>
      </c>
      <c r="H8" s="9">
        <v>1987</v>
      </c>
      <c r="I8" s="3"/>
      <c r="J8" s="3"/>
      <c r="K8" s="3"/>
      <c r="L8" s="3"/>
      <c r="M8" s="3"/>
      <c r="P8" s="12">
        <f t="shared" si="1"/>
        <v>0.14696000000000001</v>
      </c>
      <c r="Q8" s="50">
        <v>0.11</v>
      </c>
      <c r="AH8" s="91">
        <v>23012</v>
      </c>
      <c r="AI8">
        <v>2.9411764709999999</v>
      </c>
      <c r="AJ8" s="3">
        <f t="shared" si="0"/>
        <v>2.8076568309552772</v>
      </c>
    </row>
    <row r="9" spans="1:37">
      <c r="A9" s="101" t="s">
        <v>1718</v>
      </c>
      <c r="B9" s="100">
        <v>66.62</v>
      </c>
      <c r="C9" s="100">
        <v>74.09</v>
      </c>
      <c r="D9" s="100">
        <v>74.52</v>
      </c>
      <c r="E9" s="100">
        <v>69.84</v>
      </c>
      <c r="H9" s="9">
        <v>1988</v>
      </c>
      <c r="I9" s="3"/>
      <c r="J9" s="3"/>
      <c r="K9" s="3"/>
      <c r="L9" s="3"/>
      <c r="M9" s="3"/>
      <c r="P9" s="12">
        <f t="shared" si="1"/>
        <v>0.14696000000000001</v>
      </c>
      <c r="Q9" s="50">
        <v>0.11</v>
      </c>
      <c r="AH9" s="91">
        <v>23377</v>
      </c>
      <c r="AI9">
        <v>13.354037269999999</v>
      </c>
      <c r="AJ9" s="3">
        <f t="shared" si="0"/>
        <v>3.1825923705747456</v>
      </c>
    </row>
    <row r="10" spans="1:37">
      <c r="A10" s="99" t="s">
        <v>1719</v>
      </c>
      <c r="B10" s="100">
        <v>66.930000000000007</v>
      </c>
      <c r="C10" s="100">
        <v>74.42</v>
      </c>
      <c r="D10" s="100">
        <v>74.78</v>
      </c>
      <c r="E10" s="100">
        <v>70.12</v>
      </c>
      <c r="H10" s="9">
        <v>1989</v>
      </c>
      <c r="I10" s="3"/>
      <c r="J10" s="3"/>
      <c r="K10" s="6">
        <f t="shared" ref="K10:K22" si="2">L10*K$25/L$25</f>
        <v>0.15786435322846051</v>
      </c>
      <c r="L10" s="3">
        <f t="shared" ref="L10:L22" si="3">P10*(N10*(1/(1+P10)))</f>
        <v>1.0891051126456024</v>
      </c>
      <c r="M10" s="3"/>
      <c r="N10" s="3">
        <v>8.5</v>
      </c>
      <c r="P10" s="12">
        <f t="shared" si="1"/>
        <v>0.14696000000000001</v>
      </c>
      <c r="Q10" s="50">
        <v>0.11</v>
      </c>
      <c r="AH10" s="91">
        <v>23743</v>
      </c>
      <c r="AI10">
        <v>9.4794520549999994</v>
      </c>
      <c r="AJ10" s="3">
        <f t="shared" si="0"/>
        <v>3.4842846884494669</v>
      </c>
    </row>
    <row r="11" spans="1:37">
      <c r="A11" s="101" t="s">
        <v>1720</v>
      </c>
      <c r="B11" s="100">
        <v>66.290000000000006</v>
      </c>
      <c r="C11" s="100">
        <v>73.760000000000005</v>
      </c>
      <c r="D11" s="100">
        <v>74.12</v>
      </c>
      <c r="E11" s="100">
        <v>69.45</v>
      </c>
      <c r="H11" s="9">
        <v>1990</v>
      </c>
      <c r="I11" s="3"/>
      <c r="J11" s="3"/>
      <c r="K11" s="6">
        <f t="shared" si="2"/>
        <v>0.18970033112953341</v>
      </c>
      <c r="L11" s="3">
        <f t="shared" si="3"/>
        <v>1.3087413103624657</v>
      </c>
      <c r="M11" s="3"/>
      <c r="N11" s="3">
        <v>10.214166666666669</v>
      </c>
      <c r="P11" s="12">
        <f t="shared" si="1"/>
        <v>0.14696000000000001</v>
      </c>
      <c r="Q11" s="50">
        <v>0.11</v>
      </c>
      <c r="AH11" s="91">
        <v>24108</v>
      </c>
      <c r="AI11">
        <v>10.81081081</v>
      </c>
      <c r="AJ11" s="3">
        <f t="shared" si="0"/>
        <v>3.8609641141995366</v>
      </c>
    </row>
    <row r="12" spans="1:37">
      <c r="A12" s="99" t="s">
        <v>1721</v>
      </c>
      <c r="B12" s="100">
        <v>63.16</v>
      </c>
      <c r="C12" s="100">
        <v>70.44</v>
      </c>
      <c r="D12" s="100">
        <v>70.84</v>
      </c>
      <c r="E12" s="100">
        <v>66.08</v>
      </c>
      <c r="H12" s="9">
        <v>1991</v>
      </c>
      <c r="I12" s="3"/>
      <c r="J12" s="3"/>
      <c r="K12" s="6">
        <f t="shared" si="2"/>
        <v>0.24933281671671559</v>
      </c>
      <c r="L12" s="3">
        <f t="shared" si="3"/>
        <v>1.7201454279137898</v>
      </c>
      <c r="M12" s="3"/>
      <c r="N12" s="3">
        <v>13.425000000000002</v>
      </c>
      <c r="P12" s="12">
        <f t="shared" si="1"/>
        <v>0.14696000000000001</v>
      </c>
      <c r="Q12" s="50">
        <v>0.11</v>
      </c>
      <c r="AH12" s="91">
        <v>24473</v>
      </c>
      <c r="AI12">
        <v>13.053297199999999</v>
      </c>
      <c r="AJ12" s="3">
        <f t="shared" si="0"/>
        <v>4.3649472348113489</v>
      </c>
    </row>
    <row r="13" spans="1:37">
      <c r="A13" s="101" t="s">
        <v>1722</v>
      </c>
      <c r="B13" s="100">
        <v>59.2</v>
      </c>
      <c r="C13" s="100">
        <v>66.81</v>
      </c>
      <c r="D13" s="100">
        <v>66.69</v>
      </c>
      <c r="E13" s="100">
        <v>61.9</v>
      </c>
      <c r="H13" s="9">
        <v>1992</v>
      </c>
      <c r="I13" s="3"/>
      <c r="J13" s="3"/>
      <c r="K13" s="6">
        <f t="shared" si="2"/>
        <v>0.27827461480860011</v>
      </c>
      <c r="L13" s="3">
        <f t="shared" si="3"/>
        <v>1.9198146985654838</v>
      </c>
      <c r="M13" s="3"/>
      <c r="N13" s="3">
        <v>14.983333333333336</v>
      </c>
      <c r="P13" s="12">
        <f t="shared" si="1"/>
        <v>0.14696000000000001</v>
      </c>
      <c r="Q13" s="50">
        <v>0.11</v>
      </c>
      <c r="AH13" s="91">
        <v>24838</v>
      </c>
      <c r="AI13">
        <v>2.9964043149999999</v>
      </c>
      <c r="AJ13" s="3">
        <f t="shared" si="0"/>
        <v>4.4957387021027087</v>
      </c>
    </row>
    <row r="14" spans="1:37">
      <c r="A14" s="99" t="s">
        <v>1723</v>
      </c>
      <c r="B14" s="100">
        <v>60</v>
      </c>
      <c r="C14" s="100">
        <v>67.48</v>
      </c>
      <c r="D14" s="100">
        <v>67.53</v>
      </c>
      <c r="E14" s="100">
        <v>62.75</v>
      </c>
      <c r="F14" t="s">
        <v>174</v>
      </c>
      <c r="H14" s="9">
        <v>1993</v>
      </c>
      <c r="I14" s="3"/>
      <c r="J14" s="3"/>
      <c r="K14" s="6">
        <f t="shared" si="2"/>
        <v>0.29177046931989603</v>
      </c>
      <c r="L14" s="3">
        <f t="shared" si="3"/>
        <v>2.0129225081955791</v>
      </c>
      <c r="M14" s="3"/>
      <c r="N14" s="3">
        <v>15.710000000000006</v>
      </c>
      <c r="P14" s="12">
        <f t="shared" si="1"/>
        <v>0.14696000000000001</v>
      </c>
      <c r="Q14" s="50">
        <v>0.11</v>
      </c>
      <c r="AH14" s="91">
        <v>25204</v>
      </c>
      <c r="AI14">
        <v>0.57471264399999999</v>
      </c>
      <c r="AJ14" s="3">
        <f t="shared" si="0"/>
        <v>4.5215762808648945</v>
      </c>
    </row>
    <row r="15" spans="1:37">
      <c r="A15" s="101" t="s">
        <v>1724</v>
      </c>
      <c r="B15" s="100">
        <v>60.49</v>
      </c>
      <c r="C15" s="100">
        <v>67.92</v>
      </c>
      <c r="D15" s="100">
        <v>68.14</v>
      </c>
      <c r="E15" s="100">
        <v>63.31</v>
      </c>
      <c r="H15" s="9">
        <v>1994</v>
      </c>
      <c r="I15" s="3"/>
      <c r="J15" s="3"/>
      <c r="K15" s="6">
        <f t="shared" si="2"/>
        <v>0.30998677753067022</v>
      </c>
      <c r="L15" s="3">
        <f t="shared" si="3"/>
        <v>2.1385966961939973</v>
      </c>
      <c r="M15" s="3"/>
      <c r="N15" s="3">
        <v>16.690833333333334</v>
      </c>
      <c r="P15" s="12">
        <f t="shared" si="1"/>
        <v>0.14696000000000001</v>
      </c>
      <c r="Q15" s="50">
        <v>0.11</v>
      </c>
      <c r="AH15" s="91">
        <v>25569</v>
      </c>
      <c r="AI15">
        <v>5.095238095</v>
      </c>
      <c r="AJ15" s="3">
        <f t="shared" si="0"/>
        <v>4.7519613580220073</v>
      </c>
    </row>
    <row r="16" spans="1:37">
      <c r="A16" s="99" t="s">
        <v>1725</v>
      </c>
      <c r="B16" s="100">
        <v>57.31</v>
      </c>
      <c r="C16" s="100">
        <v>65.290000000000006</v>
      </c>
      <c r="D16" s="100">
        <v>64.81</v>
      </c>
      <c r="E16" s="100">
        <v>59.85</v>
      </c>
      <c r="H16" s="9">
        <v>1995</v>
      </c>
      <c r="I16" s="3"/>
      <c r="J16" s="3"/>
      <c r="K16" s="6">
        <f t="shared" si="2"/>
        <v>0.31164280554983154</v>
      </c>
      <c r="L16" s="3">
        <f t="shared" si="3"/>
        <v>2.1500216223756716</v>
      </c>
      <c r="M16" s="3"/>
      <c r="N16" s="3">
        <v>16.78</v>
      </c>
      <c r="P16" s="12">
        <f t="shared" si="1"/>
        <v>0.14696000000000001</v>
      </c>
      <c r="Q16" s="50">
        <v>0.11</v>
      </c>
      <c r="AH16" s="91">
        <v>25934</v>
      </c>
      <c r="AI16">
        <v>3.0811055729999999</v>
      </c>
      <c r="AJ16" s="3">
        <f t="shared" si="0"/>
        <v>4.8983743042508303</v>
      </c>
    </row>
    <row r="17" spans="1:36">
      <c r="A17" s="101" t="s">
        <v>1726</v>
      </c>
      <c r="B17" s="100">
        <v>56.49</v>
      </c>
      <c r="C17" s="100">
        <v>64.599999999999994</v>
      </c>
      <c r="D17" s="100">
        <v>63.9</v>
      </c>
      <c r="E17" s="100">
        <v>58.88</v>
      </c>
      <c r="H17" s="9">
        <v>1996</v>
      </c>
      <c r="I17" s="3"/>
      <c r="J17" s="3"/>
      <c r="K17" s="6">
        <f t="shared" si="2"/>
        <v>0.35203750769946696</v>
      </c>
      <c r="L17" s="3">
        <f t="shared" si="3"/>
        <v>2.4287044011996932</v>
      </c>
      <c r="M17" s="3"/>
      <c r="N17" s="3">
        <v>18.954999999999998</v>
      </c>
      <c r="P17" s="12">
        <f t="shared" si="1"/>
        <v>0.14696000000000001</v>
      </c>
      <c r="Q17" s="50">
        <v>0.11</v>
      </c>
      <c r="AH17" s="91">
        <v>26299</v>
      </c>
      <c r="AI17">
        <v>6.461538462</v>
      </c>
      <c r="AJ17" s="3">
        <f t="shared" si="0"/>
        <v>5.2148846439327228</v>
      </c>
    </row>
    <row r="18" spans="1:36">
      <c r="A18" s="99" t="s">
        <v>1727</v>
      </c>
      <c r="B18" s="100">
        <v>58.91</v>
      </c>
      <c r="C18" s="100">
        <v>66.64</v>
      </c>
      <c r="D18" s="100">
        <v>66.36</v>
      </c>
      <c r="E18" s="100">
        <v>61.38</v>
      </c>
      <c r="H18" s="9">
        <v>1997</v>
      </c>
      <c r="I18" s="3"/>
      <c r="J18" s="3"/>
      <c r="K18" s="6">
        <f t="shared" si="2"/>
        <v>0.40301840765383445</v>
      </c>
      <c r="L18" s="3">
        <f t="shared" si="3"/>
        <v>2.7804212875775964</v>
      </c>
      <c r="M18" s="3"/>
      <c r="N18" s="3">
        <v>21.7</v>
      </c>
      <c r="P18" s="12">
        <f t="shared" si="1"/>
        <v>0.14696000000000001</v>
      </c>
      <c r="Q18" s="50">
        <v>0.11</v>
      </c>
      <c r="AH18" s="91">
        <v>26665</v>
      </c>
      <c r="AI18">
        <v>16.928158549999999</v>
      </c>
      <c r="AJ18" s="3">
        <f t="shared" si="0"/>
        <v>6.0976685846572574</v>
      </c>
    </row>
    <row r="19" spans="1:36">
      <c r="A19" s="101" t="s">
        <v>1728</v>
      </c>
      <c r="B19" s="100">
        <v>61.33</v>
      </c>
      <c r="C19" s="100">
        <v>68.66</v>
      </c>
      <c r="D19" s="100">
        <v>68.86</v>
      </c>
      <c r="E19" s="100">
        <v>63.94</v>
      </c>
      <c r="H19" s="9">
        <v>1998</v>
      </c>
      <c r="I19" s="3"/>
      <c r="J19" s="3"/>
      <c r="K19" s="6">
        <f t="shared" si="2"/>
        <v>0.43610801424230988</v>
      </c>
      <c r="L19" s="3">
        <f t="shared" si="3"/>
        <v>3.0087062611889985</v>
      </c>
      <c r="M19" s="3"/>
      <c r="N19" s="3">
        <v>23.481666666666669</v>
      </c>
      <c r="P19" s="12">
        <f t="shared" si="1"/>
        <v>0.14696000000000001</v>
      </c>
      <c r="Q19" s="50">
        <v>0.11</v>
      </c>
      <c r="AH19" s="91">
        <v>27030</v>
      </c>
      <c r="AI19">
        <v>28.60169492</v>
      </c>
      <c r="AJ19" s="3">
        <f t="shared" si="0"/>
        <v>7.8417051504736079</v>
      </c>
    </row>
    <row r="20" spans="1:36">
      <c r="A20" s="99" t="s">
        <v>1729</v>
      </c>
      <c r="B20" s="100">
        <v>61.33</v>
      </c>
      <c r="C20" s="100">
        <v>68.650000000000006</v>
      </c>
      <c r="D20" s="100">
        <v>68.86</v>
      </c>
      <c r="E20" s="100">
        <v>63.94</v>
      </c>
      <c r="H20" s="9">
        <v>1999</v>
      </c>
      <c r="I20" s="6">
        <f t="shared" ref="I20:I22" si="4">N20-L20-K20-J20</f>
        <v>11.838440635501428</v>
      </c>
      <c r="J20" s="3">
        <v>8.48</v>
      </c>
      <c r="K20" s="6">
        <f t="shared" si="2"/>
        <v>0.44223686560294428</v>
      </c>
      <c r="L20" s="3">
        <f t="shared" si="3"/>
        <v>3.0509891655622985</v>
      </c>
      <c r="M20" s="3"/>
      <c r="N20" s="3">
        <v>23.811666666666671</v>
      </c>
      <c r="P20" s="12">
        <f t="shared" si="1"/>
        <v>0.14696000000000001</v>
      </c>
      <c r="Q20" s="50">
        <v>0.11</v>
      </c>
      <c r="AH20" s="91">
        <v>27395</v>
      </c>
      <c r="AI20">
        <v>5.7386051619999998</v>
      </c>
      <c r="AJ20" s="3">
        <f t="shared" si="0"/>
        <v>8.2917096470275062</v>
      </c>
    </row>
    <row r="21" spans="1:36">
      <c r="A21" s="101" t="s">
        <v>1730</v>
      </c>
      <c r="B21" s="100">
        <v>63.33</v>
      </c>
      <c r="C21" s="100">
        <v>70.73</v>
      </c>
      <c r="D21" s="100">
        <v>70.95</v>
      </c>
      <c r="E21" s="100">
        <v>66.05</v>
      </c>
      <c r="H21" s="9">
        <v>2000</v>
      </c>
      <c r="I21" s="6">
        <f t="shared" si="4"/>
        <v>12.973714317362639</v>
      </c>
      <c r="J21" s="3">
        <v>9.48</v>
      </c>
      <c r="K21" s="6">
        <f t="shared" si="2"/>
        <v>0.53419706340588258</v>
      </c>
      <c r="L21" s="3">
        <f t="shared" si="3"/>
        <v>3.6854219525648095</v>
      </c>
      <c r="M21" s="3"/>
      <c r="N21" s="3">
        <v>26.673333333333332</v>
      </c>
      <c r="P21" s="12">
        <f t="shared" si="1"/>
        <v>0.16031999999999999</v>
      </c>
      <c r="Q21" s="50">
        <v>0.12</v>
      </c>
      <c r="AH21" s="91">
        <v>27760</v>
      </c>
      <c r="AI21">
        <v>-7.6343806799999996</v>
      </c>
      <c r="AJ21" s="3">
        <f t="shared" si="0"/>
        <v>7.6586889676931422</v>
      </c>
    </row>
    <row r="22" spans="1:36">
      <c r="A22" s="99" t="s">
        <v>1731</v>
      </c>
      <c r="B22" s="100">
        <v>64.239999999999995</v>
      </c>
      <c r="C22" s="100">
        <v>71.680000000000007</v>
      </c>
      <c r="D22" s="100">
        <v>71.91</v>
      </c>
      <c r="E22" s="100">
        <v>67.010000000000005</v>
      </c>
      <c r="H22" s="9">
        <v>2001</v>
      </c>
      <c r="I22" s="6">
        <f t="shared" si="4"/>
        <v>14.154770091538651</v>
      </c>
      <c r="J22" s="6">
        <f>(J21+J23)/2</f>
        <v>10.004999999999999</v>
      </c>
      <c r="K22" s="6">
        <f t="shared" si="2"/>
        <v>0.57478589301732674</v>
      </c>
      <c r="L22" s="3">
        <f t="shared" si="3"/>
        <v>3.9654440154440143</v>
      </c>
      <c r="M22" s="3"/>
      <c r="N22" s="3">
        <v>28.699999999999992</v>
      </c>
      <c r="P22" s="12">
        <f t="shared" si="1"/>
        <v>0.16031999999999999</v>
      </c>
      <c r="Q22" s="50">
        <v>0.12</v>
      </c>
      <c r="AH22" s="91">
        <v>28126</v>
      </c>
      <c r="AI22">
        <v>8.321619342</v>
      </c>
      <c r="AJ22" s="3">
        <f t="shared" si="0"/>
        <v>8.296015910172315</v>
      </c>
    </row>
    <row r="23" spans="1:36">
      <c r="A23" s="101" t="s">
        <v>1732</v>
      </c>
      <c r="B23" s="100">
        <v>66.650000000000006</v>
      </c>
      <c r="C23" s="100">
        <v>74.209999999999994</v>
      </c>
      <c r="D23" s="100">
        <v>74.459999999999994</v>
      </c>
      <c r="E23" s="100">
        <v>69.59</v>
      </c>
      <c r="H23" s="9">
        <v>2002</v>
      </c>
      <c r="I23" s="6">
        <f t="shared" ref="I23:I36" si="5">N23-L23-K23-J23</f>
        <v>13.354079335267619</v>
      </c>
      <c r="J23" s="3">
        <v>10.53</v>
      </c>
      <c r="K23" s="6">
        <f>L23*K$25/L$25</f>
        <v>0.56822692507435912</v>
      </c>
      <c r="L23" s="3">
        <f t="shared" ref="L23:L34" si="6">P23*(N23*(1/(1+P23)))</f>
        <v>3.9201937396580258</v>
      </c>
      <c r="M23" s="3"/>
      <c r="N23" s="3">
        <v>28.372500000000002</v>
      </c>
      <c r="P23" s="12">
        <f t="shared" si="1"/>
        <v>0.16031999999999999</v>
      </c>
      <c r="Q23" s="50">
        <v>0.12</v>
      </c>
      <c r="AH23" s="91">
        <v>28491</v>
      </c>
      <c r="AI23">
        <v>2.517518817</v>
      </c>
      <c r="AJ23" s="3">
        <f t="shared" si="0"/>
        <v>8.5048696717722159</v>
      </c>
    </row>
    <row r="24" spans="1:36">
      <c r="A24" s="99" t="s">
        <v>1733</v>
      </c>
      <c r="B24" s="100">
        <v>67.86</v>
      </c>
      <c r="C24" s="100">
        <v>75.459999999999994</v>
      </c>
      <c r="D24" s="100">
        <v>75.73</v>
      </c>
      <c r="E24" s="100">
        <v>70.87</v>
      </c>
      <c r="H24" s="9">
        <v>2003</v>
      </c>
      <c r="I24" s="6">
        <f t="shared" si="5"/>
        <v>14.542993586479469</v>
      </c>
      <c r="J24" s="6">
        <f>J23+(J26-J23)/3</f>
        <v>11.883333333333333</v>
      </c>
      <c r="K24" s="6">
        <f>L24*K$25/L$25</f>
        <v>0.6287096218308863</v>
      </c>
      <c r="L24" s="3">
        <f t="shared" si="6"/>
        <v>4.3374634583563161</v>
      </c>
      <c r="M24" s="3"/>
      <c r="N24" s="3">
        <v>31.392500000000002</v>
      </c>
      <c r="P24" s="12">
        <f t="shared" si="1"/>
        <v>0.16031999999999999</v>
      </c>
      <c r="Q24" s="50">
        <v>0.12</v>
      </c>
      <c r="AH24" s="91">
        <v>28856</v>
      </c>
      <c r="AI24">
        <v>6.2531645569999998</v>
      </c>
      <c r="AJ24" s="3">
        <f t="shared" si="0"/>
        <v>9.0366931677065185</v>
      </c>
    </row>
    <row r="25" spans="1:36">
      <c r="A25" s="101" t="s">
        <v>1734</v>
      </c>
      <c r="B25" s="100">
        <v>68.510000000000005</v>
      </c>
      <c r="C25" s="100">
        <v>76.14</v>
      </c>
      <c r="D25" s="100">
        <v>76.41</v>
      </c>
      <c r="E25" s="100">
        <v>71.55</v>
      </c>
      <c r="H25" s="9">
        <v>2004</v>
      </c>
      <c r="I25" s="6">
        <f t="shared" si="5"/>
        <v>16.480411748483178</v>
      </c>
      <c r="J25" s="6">
        <f>J24+(J26-J23)/3</f>
        <v>13.236666666666666</v>
      </c>
      <c r="K25" s="3">
        <v>0.70699999999999996</v>
      </c>
      <c r="L25" s="3">
        <f t="shared" si="6"/>
        <v>4.8775882515168227</v>
      </c>
      <c r="M25" s="3"/>
      <c r="N25" s="3">
        <v>35.301666666666669</v>
      </c>
      <c r="P25" s="12">
        <f>Q25*P$31/Q$31</f>
        <v>0.16031999999999999</v>
      </c>
      <c r="Q25" s="50">
        <v>0.12</v>
      </c>
      <c r="AH25" s="91">
        <v>29221</v>
      </c>
      <c r="AI25">
        <v>11.365260900000001</v>
      </c>
      <c r="AJ25" s="3">
        <f t="shared" si="0"/>
        <v>10.06373692294884</v>
      </c>
    </row>
    <row r="26" spans="1:36">
      <c r="A26" s="99" t="s">
        <v>1735</v>
      </c>
      <c r="B26" s="100">
        <v>70.33</v>
      </c>
      <c r="C26" s="100">
        <v>78.03</v>
      </c>
      <c r="D26" s="100">
        <v>78.319999999999993</v>
      </c>
      <c r="E26" s="100">
        <v>73.47</v>
      </c>
      <c r="H26" s="9">
        <v>2005</v>
      </c>
      <c r="I26" s="6">
        <f t="shared" si="5"/>
        <v>19.060734647243645</v>
      </c>
      <c r="J26" s="3">
        <v>14.59</v>
      </c>
      <c r="K26" s="3">
        <v>0.77800000000000002</v>
      </c>
      <c r="L26" s="3">
        <f t="shared" si="6"/>
        <v>5.7495986860896888</v>
      </c>
      <c r="M26" s="3"/>
      <c r="N26" s="3">
        <v>40.178333333333335</v>
      </c>
      <c r="P26">
        <v>0.16700000000000001</v>
      </c>
      <c r="Q26" s="50">
        <v>0.125</v>
      </c>
      <c r="AH26" s="91">
        <v>29587</v>
      </c>
      <c r="AI26">
        <v>13.115104840000001</v>
      </c>
      <c r="AJ26" s="3">
        <f t="shared" si="0"/>
        <v>11.38360657121537</v>
      </c>
    </row>
    <row r="27" spans="1:36">
      <c r="A27" s="101" t="s">
        <v>1736</v>
      </c>
      <c r="B27" s="100">
        <v>72.510000000000005</v>
      </c>
      <c r="C27" s="100">
        <v>80.3</v>
      </c>
      <c r="D27" s="100">
        <v>80.599999999999994</v>
      </c>
      <c r="E27" s="100">
        <v>75.78</v>
      </c>
      <c r="H27" s="9">
        <v>2006</v>
      </c>
      <c r="I27" s="6">
        <f t="shared" si="5"/>
        <v>23.650831762353615</v>
      </c>
      <c r="J27" s="3">
        <v>14.59</v>
      </c>
      <c r="K27" s="3">
        <v>0.84799999999999998</v>
      </c>
      <c r="L27" s="3">
        <f t="shared" si="6"/>
        <v>6.5278349043130541</v>
      </c>
      <c r="M27" s="3"/>
      <c r="N27" s="3">
        <v>45.616666666666667</v>
      </c>
      <c r="P27">
        <v>0.16700000000000001</v>
      </c>
      <c r="Q27" s="50">
        <v>0.125</v>
      </c>
      <c r="AH27" s="91">
        <v>29952</v>
      </c>
      <c r="AI27">
        <v>7.8872706639999999</v>
      </c>
      <c r="AJ27" s="3">
        <f t="shared" si="0"/>
        <v>12.281462432812015</v>
      </c>
    </row>
    <row r="28" spans="1:36">
      <c r="A28" s="99" t="s">
        <v>1737</v>
      </c>
      <c r="B28" s="100">
        <v>73.599999999999994</v>
      </c>
      <c r="C28" s="100">
        <v>81.430000000000007</v>
      </c>
      <c r="D28" s="100">
        <v>81.75</v>
      </c>
      <c r="E28" s="100">
        <v>76.930000000000007</v>
      </c>
      <c r="H28" s="9">
        <v>2007</v>
      </c>
      <c r="I28" s="6">
        <f t="shared" si="5"/>
        <v>21.593209368751772</v>
      </c>
      <c r="J28" s="3">
        <v>14.78</v>
      </c>
      <c r="K28" s="3">
        <v>0.89400000000000002</v>
      </c>
      <c r="L28" s="3">
        <f t="shared" si="6"/>
        <v>6.2236239645815461</v>
      </c>
      <c r="M28" s="3"/>
      <c r="N28" s="3">
        <v>43.49083333333332</v>
      </c>
      <c r="P28">
        <v>0.16700000000000001</v>
      </c>
      <c r="Q28" s="50">
        <v>0.125</v>
      </c>
      <c r="AH28" s="91">
        <v>30317</v>
      </c>
      <c r="AI28">
        <v>11.868863960000001</v>
      </c>
      <c r="AJ28" s="3">
        <f t="shared" si="0"/>
        <v>13.739132501260979</v>
      </c>
    </row>
    <row r="29" spans="1:36">
      <c r="A29" s="101" t="s">
        <v>1738</v>
      </c>
      <c r="B29" s="100">
        <v>71.56</v>
      </c>
      <c r="C29" s="100">
        <v>79.42</v>
      </c>
      <c r="D29" s="100">
        <v>80.16</v>
      </c>
      <c r="E29" s="100">
        <v>74.760000000000005</v>
      </c>
      <c r="H29" s="9">
        <v>2008</v>
      </c>
      <c r="I29" s="6">
        <f t="shared" si="5"/>
        <v>25.174291916595259</v>
      </c>
      <c r="J29" s="3">
        <v>14.78</v>
      </c>
      <c r="K29" s="3">
        <v>1.024</v>
      </c>
      <c r="L29" s="3">
        <f t="shared" si="6"/>
        <v>6.8433747500714075</v>
      </c>
      <c r="M29" s="3"/>
      <c r="N29" s="3">
        <v>47.821666666666665</v>
      </c>
      <c r="P29">
        <v>0.16700000000000001</v>
      </c>
      <c r="Q29" s="50">
        <v>0.125</v>
      </c>
      <c r="R29">
        <f>L29/(N29-L29)</f>
        <v>0.16699999999999998</v>
      </c>
      <c r="AH29" s="91">
        <v>30682</v>
      </c>
      <c r="AI29">
        <v>8.3215796900000001</v>
      </c>
      <c r="AJ29" s="3">
        <f t="shared" si="0"/>
        <v>14.882445361068102</v>
      </c>
    </row>
    <row r="30" spans="1:36">
      <c r="A30" s="99" t="s">
        <v>1739</v>
      </c>
      <c r="B30" s="100">
        <v>71.510000000000005</v>
      </c>
      <c r="C30" s="100">
        <v>79.36</v>
      </c>
      <c r="D30" s="100">
        <v>80.11</v>
      </c>
      <c r="E30" s="100">
        <v>74.709999999999994</v>
      </c>
      <c r="H30" s="9">
        <v>2009</v>
      </c>
      <c r="I30" s="6">
        <f t="shared" si="5"/>
        <v>21.063172807769213</v>
      </c>
      <c r="J30" s="3">
        <v>14.78</v>
      </c>
      <c r="K30" s="3">
        <v>1.052</v>
      </c>
      <c r="L30" s="3">
        <f t="shared" si="6"/>
        <v>6.161493858897459</v>
      </c>
      <c r="M30" s="3"/>
      <c r="N30" s="3">
        <v>43.056666666666672</v>
      </c>
      <c r="P30">
        <v>0.16700000000000001</v>
      </c>
      <c r="Q30" s="50">
        <v>0.125</v>
      </c>
      <c r="R30">
        <f t="shared" ref="R30:R39" si="7">L30/(N30-L30)</f>
        <v>0.16700000000000001</v>
      </c>
      <c r="AH30" s="91">
        <v>31048</v>
      </c>
      <c r="AI30">
        <v>5.5555555559999998</v>
      </c>
      <c r="AJ30" s="3">
        <f t="shared" si="0"/>
        <v>15.709247881193585</v>
      </c>
    </row>
    <row r="31" spans="1:36">
      <c r="A31" s="101" t="s">
        <v>1740</v>
      </c>
      <c r="B31" s="100">
        <v>71.41</v>
      </c>
      <c r="C31" s="100">
        <v>79.260000000000005</v>
      </c>
      <c r="D31" s="100">
        <v>80</v>
      </c>
      <c r="E31" s="100">
        <v>74.599999999999994</v>
      </c>
      <c r="H31" s="9">
        <v>2010</v>
      </c>
      <c r="I31" s="6">
        <f t="shared" si="5"/>
        <v>26.818630391316759</v>
      </c>
      <c r="J31" s="3">
        <v>14.35</v>
      </c>
      <c r="K31" s="3">
        <v>1.125</v>
      </c>
      <c r="L31" s="3">
        <f t="shared" si="6"/>
        <v>7.0630362753498996</v>
      </c>
      <c r="M31" s="3"/>
      <c r="N31" s="3">
        <v>49.356666666666662</v>
      </c>
      <c r="P31">
        <v>0.16700000000000001</v>
      </c>
      <c r="Q31" s="50">
        <v>0.125</v>
      </c>
      <c r="R31">
        <f t="shared" si="7"/>
        <v>0.16700000000000001</v>
      </c>
      <c r="AH31" s="91">
        <v>31413</v>
      </c>
      <c r="AI31">
        <v>8.7308114040000007</v>
      </c>
      <c r="AJ31" s="3">
        <f t="shared" si="0"/>
        <v>17.080792686687463</v>
      </c>
    </row>
    <row r="32" spans="1:36">
      <c r="A32" s="99" t="s">
        <v>1741</v>
      </c>
      <c r="B32" s="100">
        <v>72.260000000000005</v>
      </c>
      <c r="C32" s="100">
        <v>80.13</v>
      </c>
      <c r="D32" s="100">
        <v>80.89</v>
      </c>
      <c r="E32" s="100">
        <v>75.489999999999995</v>
      </c>
      <c r="H32" s="9">
        <v>2011</v>
      </c>
      <c r="I32" s="6">
        <f t="shared" si="5"/>
        <v>37.498266780919742</v>
      </c>
      <c r="J32" s="3">
        <v>14.35</v>
      </c>
      <c r="K32" s="3">
        <v>1.218</v>
      </c>
      <c r="L32" s="3">
        <f t="shared" si="6"/>
        <v>8.8620665524135962</v>
      </c>
      <c r="M32" s="3"/>
      <c r="N32" s="3">
        <v>61.928333333333335</v>
      </c>
      <c r="P32">
        <v>0.16700000000000001</v>
      </c>
      <c r="Q32" s="50">
        <v>0.125</v>
      </c>
      <c r="R32">
        <f t="shared" si="7"/>
        <v>0.16699999999999998</v>
      </c>
      <c r="AH32" s="91">
        <v>31778</v>
      </c>
      <c r="AI32">
        <v>8.7986890209999995</v>
      </c>
      <c r="AJ32" s="3">
        <f t="shared" si="0"/>
        <v>18.583678517510805</v>
      </c>
    </row>
    <row r="33" spans="1:36">
      <c r="A33" s="101" t="s">
        <v>1742</v>
      </c>
      <c r="B33" s="100">
        <v>73.16</v>
      </c>
      <c r="C33" s="100">
        <v>80.959999999999994</v>
      </c>
      <c r="D33" s="100">
        <v>82.07</v>
      </c>
      <c r="E33" s="100">
        <v>76.48</v>
      </c>
      <c r="H33" s="9">
        <v>2012</v>
      </c>
      <c r="I33" s="6">
        <f t="shared" si="5"/>
        <v>41.66025449871465</v>
      </c>
      <c r="J33" s="3">
        <v>14.45</v>
      </c>
      <c r="K33" s="3">
        <v>1.4990000000000001</v>
      </c>
      <c r="L33" s="3">
        <f t="shared" si="6"/>
        <v>9.6207455012853487</v>
      </c>
      <c r="M33" s="3"/>
      <c r="N33" s="3">
        <v>67.23</v>
      </c>
      <c r="O33">
        <v>0.16700000000000001</v>
      </c>
      <c r="P33">
        <v>0.16700000000000001</v>
      </c>
      <c r="Q33" s="50">
        <v>0.1236</v>
      </c>
      <c r="R33">
        <f t="shared" si="7"/>
        <v>0.16700000000000001</v>
      </c>
      <c r="AH33" s="91">
        <v>32143</v>
      </c>
      <c r="AI33">
        <v>9.3847758080000006</v>
      </c>
      <c r="AJ33" s="3">
        <f t="shared" si="0"/>
        <v>20.327715083258649</v>
      </c>
    </row>
    <row r="34" spans="1:36">
      <c r="A34" s="99" t="s">
        <v>1743</v>
      </c>
      <c r="B34" s="100">
        <v>72.430000000000007</v>
      </c>
      <c r="C34" s="100">
        <v>80.2</v>
      </c>
      <c r="D34" s="100">
        <v>81.31</v>
      </c>
      <c r="E34" s="100">
        <v>75.709999999999994</v>
      </c>
      <c r="H34" s="9">
        <v>2013</v>
      </c>
      <c r="I34" s="6">
        <f t="shared" si="5"/>
        <v>46.523916666666665</v>
      </c>
      <c r="J34" s="3">
        <v>9.2799999999999994</v>
      </c>
      <c r="K34" s="3">
        <v>1.794</v>
      </c>
      <c r="L34" s="3">
        <f t="shared" si="6"/>
        <v>11.519583333333333</v>
      </c>
      <c r="M34" s="3"/>
      <c r="N34" s="3">
        <v>69.117499999999993</v>
      </c>
      <c r="P34">
        <v>0.2</v>
      </c>
      <c r="Q34" s="50">
        <v>0.1236</v>
      </c>
      <c r="R34">
        <f t="shared" si="7"/>
        <v>0.2</v>
      </c>
      <c r="AH34" s="91">
        <v>32509</v>
      </c>
      <c r="AI34">
        <v>3.2625601099999999</v>
      </c>
      <c r="AJ34" s="3">
        <f t="shared" si="0"/>
        <v>20.990919006839498</v>
      </c>
    </row>
    <row r="35" spans="1:36">
      <c r="A35" s="101" t="s">
        <v>1744</v>
      </c>
      <c r="B35" s="100">
        <v>72.430000000000007</v>
      </c>
      <c r="C35" s="100">
        <v>79.55</v>
      </c>
      <c r="D35" s="100">
        <v>79.52</v>
      </c>
      <c r="E35" s="100">
        <v>75.680000000000007</v>
      </c>
      <c r="H35" s="9">
        <v>2014</v>
      </c>
      <c r="I35" s="6">
        <f t="shared" si="5"/>
        <v>46.732000000000006</v>
      </c>
      <c r="J35" s="3">
        <v>9.4179999999999993</v>
      </c>
      <c r="K35" s="7">
        <v>2.0499999999999998</v>
      </c>
      <c r="L35" s="3">
        <f>P35*(N35*(1/(1+P35)))</f>
        <v>11.64</v>
      </c>
      <c r="M35" s="3"/>
      <c r="N35" s="3">
        <v>69.84</v>
      </c>
      <c r="P35">
        <v>0.2</v>
      </c>
      <c r="Q35" s="50">
        <v>0.1236</v>
      </c>
      <c r="R35">
        <f t="shared" si="7"/>
        <v>0.2</v>
      </c>
      <c r="AH35" s="91">
        <v>32874</v>
      </c>
      <c r="AI35">
        <v>8.9712335450000005</v>
      </c>
      <c r="AJ35" s="3">
        <f t="shared" si="0"/>
        <v>22.874063374184864</v>
      </c>
    </row>
    <row r="36" spans="1:36">
      <c r="A36" s="99" t="s">
        <v>1745</v>
      </c>
      <c r="B36" s="100">
        <v>71.52</v>
      </c>
      <c r="C36" s="100">
        <v>78.599999999999994</v>
      </c>
      <c r="D36" s="100">
        <v>78.56</v>
      </c>
      <c r="E36" s="100">
        <v>74.709999999999994</v>
      </c>
      <c r="H36" s="9">
        <v>2015</v>
      </c>
      <c r="I36" s="6">
        <f t="shared" si="5"/>
        <v>30.340000000000007</v>
      </c>
      <c r="J36" s="3">
        <v>16.95</v>
      </c>
      <c r="K36" s="7">
        <v>2.21</v>
      </c>
      <c r="L36" s="3">
        <f>P36*(N36*(1/(1+P36)))</f>
        <v>12.375000000000002</v>
      </c>
      <c r="M36" s="3"/>
      <c r="N36" s="3">
        <v>61.875000000000007</v>
      </c>
      <c r="P36">
        <v>0.25</v>
      </c>
      <c r="Q36" s="50">
        <v>0.14499999999999999</v>
      </c>
      <c r="R36">
        <f t="shared" si="7"/>
        <v>0.25</v>
      </c>
      <c r="AH36" s="91">
        <v>33239</v>
      </c>
      <c r="AI36">
        <v>13.87024609</v>
      </c>
      <c r="AJ36" s="3">
        <f t="shared" si="0"/>
        <v>26.046752254966862</v>
      </c>
    </row>
    <row r="37" spans="1:36">
      <c r="A37" s="101" t="s">
        <v>1746</v>
      </c>
      <c r="B37" s="100">
        <v>71.02</v>
      </c>
      <c r="C37" s="100">
        <v>78.069999999999993</v>
      </c>
      <c r="D37" s="100">
        <v>78.040000000000006</v>
      </c>
      <c r="E37" s="100">
        <v>74.22</v>
      </c>
      <c r="H37" s="9">
        <v>2016</v>
      </c>
      <c r="I37" s="6">
        <f>N37-L37-K37-J37</f>
        <v>25.736430446194223</v>
      </c>
      <c r="J37" s="3">
        <v>21.48</v>
      </c>
      <c r="K37" s="3">
        <v>2.34</v>
      </c>
      <c r="L37" s="3">
        <f>P37*(N37*(1/(1+P37)))</f>
        <v>13.38023622047244</v>
      </c>
      <c r="M37" s="3"/>
      <c r="N37" s="3">
        <v>62.936666666666667</v>
      </c>
      <c r="P37">
        <v>0.27</v>
      </c>
      <c r="Q37" s="50">
        <v>0.15</v>
      </c>
      <c r="R37">
        <f t="shared" si="7"/>
        <v>0.26999999999999996</v>
      </c>
      <c r="AH37" s="91">
        <v>33604</v>
      </c>
      <c r="AI37">
        <v>11.78781925</v>
      </c>
      <c r="AJ37" s="3">
        <f t="shared" si="0"/>
        <v>29.117096331277658</v>
      </c>
    </row>
    <row r="38" spans="1:36">
      <c r="A38" s="99" t="s">
        <v>1747</v>
      </c>
      <c r="B38" s="100">
        <v>72.400000000000006</v>
      </c>
      <c r="C38" s="100">
        <v>79.510000000000005</v>
      </c>
      <c r="D38" s="100">
        <v>79.489999999999995</v>
      </c>
      <c r="E38" s="100">
        <v>75.680000000000007</v>
      </c>
      <c r="H38" s="9">
        <v>2017</v>
      </c>
      <c r="I38" s="3">
        <v>29.53</v>
      </c>
      <c r="J38" s="3">
        <v>21.48</v>
      </c>
      <c r="K38" s="7">
        <v>3.23</v>
      </c>
      <c r="L38" s="3">
        <f>P38*(I38+J38+K38)</f>
        <v>14.644800000000002</v>
      </c>
      <c r="M38" s="3">
        <f>SUM(I38:L38)</f>
        <v>68.884799999999998</v>
      </c>
      <c r="N38" s="3">
        <v>68.420833333333334</v>
      </c>
      <c r="P38" s="1">
        <v>0.27</v>
      </c>
      <c r="Q38" s="50">
        <v>0.18</v>
      </c>
      <c r="R38">
        <f t="shared" si="7"/>
        <v>0.27232949498568448</v>
      </c>
      <c r="AH38" s="91">
        <v>33970</v>
      </c>
      <c r="AI38">
        <v>6.362038664</v>
      </c>
      <c r="AJ38" s="3">
        <f t="shared" si="0"/>
        <v>30.969537257707668</v>
      </c>
    </row>
    <row r="39" spans="1:36">
      <c r="A39" s="101" t="s">
        <v>1748</v>
      </c>
      <c r="B39" s="100">
        <v>76.06</v>
      </c>
      <c r="C39" s="100">
        <v>83.63</v>
      </c>
      <c r="D39" s="100">
        <v>83.62</v>
      </c>
      <c r="E39" s="100">
        <v>79.55</v>
      </c>
      <c r="H39" s="9">
        <v>2018</v>
      </c>
      <c r="I39">
        <v>38.17</v>
      </c>
      <c r="J39">
        <v>19.48</v>
      </c>
      <c r="K39">
        <v>3.63</v>
      </c>
      <c r="L39" s="3">
        <f>P39*(I39+J39+K39)</f>
        <v>16.545600000000004</v>
      </c>
      <c r="M39" s="3">
        <f>SUM(I39:L39)</f>
        <v>77.825600000000009</v>
      </c>
      <c r="N39" s="3">
        <v>77.63</v>
      </c>
      <c r="P39" s="1">
        <v>0.27</v>
      </c>
      <c r="R39">
        <f t="shared" si="7"/>
        <v>0.27086457426118626</v>
      </c>
      <c r="AH39" s="91">
        <v>34335</v>
      </c>
      <c r="AI39">
        <v>10.21150033</v>
      </c>
      <c r="AJ39" s="3">
        <f t="shared" si="0"/>
        <v>34.131991656977959</v>
      </c>
    </row>
    <row r="40" spans="1:36">
      <c r="A40" s="99" t="s">
        <v>1749</v>
      </c>
      <c r="B40" s="100">
        <v>74.099999999999994</v>
      </c>
      <c r="C40" s="100">
        <v>81.569999999999993</v>
      </c>
      <c r="D40" s="100">
        <v>81.569999999999993</v>
      </c>
      <c r="E40" s="100">
        <v>77.48</v>
      </c>
      <c r="AH40" s="91">
        <v>34700</v>
      </c>
      <c r="AI40">
        <v>10.224887560000001</v>
      </c>
      <c r="AJ40" s="3">
        <f t="shared" si="0"/>
        <v>37.621949425892538</v>
      </c>
    </row>
    <row r="41" spans="1:36">
      <c r="A41" s="101" t="s">
        <v>1750</v>
      </c>
      <c r="B41" s="100">
        <v>71.28</v>
      </c>
      <c r="C41" s="100">
        <v>78.64</v>
      </c>
      <c r="D41" s="100">
        <v>78.61</v>
      </c>
      <c r="E41" s="100">
        <v>74.489999999999995</v>
      </c>
      <c r="I41" t="s">
        <v>1919</v>
      </c>
      <c r="S41" t="s">
        <v>1926</v>
      </c>
      <c r="AH41" s="91">
        <v>35065</v>
      </c>
      <c r="AI41">
        <v>8.9771490749999998</v>
      </c>
      <c r="AJ41" s="3">
        <f t="shared" si="0"/>
        <v>40.999327910776017</v>
      </c>
    </row>
    <row r="42" spans="1:36">
      <c r="A42" s="99" t="s">
        <v>1751</v>
      </c>
      <c r="B42" s="100">
        <v>70.44</v>
      </c>
      <c r="C42" s="100">
        <v>77.760000000000005</v>
      </c>
      <c r="D42" s="100">
        <v>77.73</v>
      </c>
      <c r="E42" s="100">
        <v>73.599999999999994</v>
      </c>
      <c r="S42" t="s">
        <v>1927</v>
      </c>
      <c r="AH42" s="91">
        <v>35431</v>
      </c>
      <c r="AI42">
        <v>7.1642536200000002</v>
      </c>
      <c r="AJ42" s="3">
        <f t="shared" si="0"/>
        <v>43.936623744799455</v>
      </c>
    </row>
    <row r="43" spans="1:36">
      <c r="A43" s="101" t="s">
        <v>1752</v>
      </c>
      <c r="B43" s="100">
        <v>68.58</v>
      </c>
      <c r="C43" s="100">
        <v>75.84</v>
      </c>
      <c r="D43" s="100">
        <v>75.790000000000006</v>
      </c>
      <c r="E43" s="100">
        <v>71.650000000000006</v>
      </c>
      <c r="R43" t="s">
        <v>1922</v>
      </c>
      <c r="S43" t="s">
        <v>1929</v>
      </c>
      <c r="AH43" s="91">
        <v>35796</v>
      </c>
      <c r="AI43">
        <v>13.2308409</v>
      </c>
      <c r="AJ43" s="3">
        <f t="shared" si="0"/>
        <v>49.74980852930549</v>
      </c>
    </row>
    <row r="44" spans="1:36">
      <c r="A44" s="99" t="s">
        <v>1753</v>
      </c>
      <c r="B44" s="100">
        <v>68.58</v>
      </c>
      <c r="C44" s="100">
        <v>76.099999999999994</v>
      </c>
      <c r="D44" s="100">
        <v>76.900000000000006</v>
      </c>
      <c r="E44" s="100">
        <v>71.709999999999994</v>
      </c>
      <c r="I44" t="s">
        <v>1920</v>
      </c>
      <c r="J44" t="s">
        <v>1925</v>
      </c>
      <c r="K44" t="s">
        <v>1924</v>
      </c>
      <c r="L44" t="s">
        <v>1928</v>
      </c>
      <c r="R44" t="s">
        <v>1921</v>
      </c>
      <c r="S44" t="s">
        <v>1924</v>
      </c>
      <c r="AH44" s="91">
        <v>36161</v>
      </c>
      <c r="AI44">
        <v>4.669821024</v>
      </c>
      <c r="AJ44" s="3">
        <f t="shared" si="0"/>
        <v>52.073035547406739</v>
      </c>
    </row>
    <row r="45" spans="1:36">
      <c r="A45" s="101" t="s">
        <v>1754</v>
      </c>
      <c r="B45" s="100">
        <v>66.39</v>
      </c>
      <c r="C45" s="100">
        <v>73.790000000000006</v>
      </c>
      <c r="D45" s="100">
        <v>74.599999999999994</v>
      </c>
      <c r="E45" s="100">
        <v>69.39</v>
      </c>
      <c r="I45" t="s">
        <v>329</v>
      </c>
      <c r="O45" t="s">
        <v>1923</v>
      </c>
      <c r="Q45" s="78">
        <v>32509</v>
      </c>
      <c r="R45">
        <v>8.5</v>
      </c>
      <c r="AH45" s="91">
        <v>36526</v>
      </c>
      <c r="AI45">
        <v>4.0094339620000001</v>
      </c>
      <c r="AJ45" s="3">
        <f t="shared" si="0"/>
        <v>54.160869519688795</v>
      </c>
    </row>
    <row r="46" spans="1:36">
      <c r="A46" s="99" t="s">
        <v>1755</v>
      </c>
      <c r="B46" s="100">
        <v>63.99</v>
      </c>
      <c r="C46" s="100">
        <v>71.290000000000006</v>
      </c>
      <c r="D46" s="100">
        <v>72.08</v>
      </c>
      <c r="E46" s="100">
        <v>66.849999999999994</v>
      </c>
      <c r="H46" s="9">
        <v>1985</v>
      </c>
      <c r="N46">
        <v>1985</v>
      </c>
      <c r="O46">
        <v>11</v>
      </c>
      <c r="Q46" s="78">
        <v>32540</v>
      </c>
      <c r="R46">
        <v>8.5</v>
      </c>
      <c r="AH46" s="91">
        <v>36892</v>
      </c>
      <c r="AI46">
        <v>3.684807256</v>
      </c>
      <c r="AJ46" s="3">
        <f t="shared" si="0"/>
        <v>56.156593169662983</v>
      </c>
    </row>
    <row r="47" spans="1:36">
      <c r="A47" s="101" t="s">
        <v>1756</v>
      </c>
      <c r="B47" s="100">
        <v>63.09</v>
      </c>
      <c r="C47" s="100">
        <v>70.349999999999994</v>
      </c>
      <c r="D47" s="100">
        <v>71.13</v>
      </c>
      <c r="E47" s="100">
        <v>65.900000000000006</v>
      </c>
      <c r="H47" s="9">
        <v>1986</v>
      </c>
      <c r="N47">
        <v>1986</v>
      </c>
      <c r="O47">
        <v>11</v>
      </c>
      <c r="Q47" s="78">
        <v>32568</v>
      </c>
      <c r="R47">
        <v>8.5</v>
      </c>
      <c r="AH47" s="91">
        <v>37257</v>
      </c>
      <c r="AI47">
        <v>4.3921997450000001</v>
      </c>
      <c r="AJ47" s="3">
        <f t="shared" si="0"/>
        <v>58.623102911661611</v>
      </c>
    </row>
    <row r="48" spans="1:36">
      <c r="A48" s="99" t="s">
        <v>1757</v>
      </c>
      <c r="B48" s="100">
        <v>63.09</v>
      </c>
      <c r="C48" s="100">
        <v>70.349999999999994</v>
      </c>
      <c r="D48" s="100">
        <v>69.73</v>
      </c>
      <c r="E48" s="100">
        <v>65.900000000000006</v>
      </c>
      <c r="H48" s="9">
        <v>1987</v>
      </c>
      <c r="N48">
        <v>1987</v>
      </c>
      <c r="O48">
        <v>11</v>
      </c>
      <c r="Q48" s="78">
        <v>32599</v>
      </c>
      <c r="R48">
        <v>8.5</v>
      </c>
      <c r="AH48" s="91">
        <v>37622</v>
      </c>
      <c r="AI48">
        <v>3.8058659220000002</v>
      </c>
      <c r="AJ48" s="3">
        <f t="shared" si="0"/>
        <v>60.854219607795535</v>
      </c>
    </row>
    <row r="49" spans="1:36">
      <c r="A49" s="101" t="s">
        <v>1758</v>
      </c>
      <c r="B49" s="100">
        <v>66.09</v>
      </c>
      <c r="C49" s="100">
        <v>73.48</v>
      </c>
      <c r="D49" s="100">
        <v>72.88</v>
      </c>
      <c r="E49" s="100">
        <v>69.08</v>
      </c>
      <c r="H49" s="9">
        <v>1988</v>
      </c>
      <c r="N49">
        <v>1988</v>
      </c>
      <c r="O49">
        <v>11</v>
      </c>
      <c r="Q49" s="78">
        <v>32629</v>
      </c>
      <c r="R49">
        <v>8.5</v>
      </c>
      <c r="AH49" s="91">
        <v>37987</v>
      </c>
      <c r="AI49">
        <v>3.7672384800000001</v>
      </c>
      <c r="AJ49" s="3">
        <f t="shared" si="0"/>
        <v>63.146743185564112</v>
      </c>
    </row>
    <row r="50" spans="1:36">
      <c r="A50" s="99" t="s">
        <v>1759</v>
      </c>
      <c r="B50" s="100">
        <v>67.290000000000006</v>
      </c>
      <c r="C50" s="100">
        <v>74.72</v>
      </c>
      <c r="D50" s="100">
        <v>74.14</v>
      </c>
      <c r="E50" s="100">
        <v>70.34</v>
      </c>
      <c r="H50" s="9">
        <v>1989</v>
      </c>
      <c r="I50" s="3">
        <f>J50</f>
        <v>8.5</v>
      </c>
      <c r="J50" s="3">
        <v>8.5</v>
      </c>
      <c r="K50" s="3"/>
      <c r="L50" s="3"/>
      <c r="M50" s="3"/>
      <c r="N50">
        <v>1989</v>
      </c>
      <c r="O50">
        <v>11</v>
      </c>
      <c r="Q50" s="78">
        <v>32660</v>
      </c>
      <c r="R50">
        <v>8.5</v>
      </c>
      <c r="AH50" s="91">
        <v>38353</v>
      </c>
      <c r="AI50">
        <v>4.2463533230000001</v>
      </c>
      <c r="AJ50" s="3">
        <f t="shared" si="0"/>
        <v>65.828177013190597</v>
      </c>
    </row>
    <row r="51" spans="1:36">
      <c r="A51" s="101" t="s">
        <v>1760</v>
      </c>
      <c r="B51" s="100">
        <v>68.31</v>
      </c>
      <c r="C51" s="100">
        <v>75.790000000000006</v>
      </c>
      <c r="D51" s="100">
        <v>75.209999999999994</v>
      </c>
      <c r="E51" s="100">
        <v>71.42</v>
      </c>
      <c r="H51" s="9">
        <v>1990</v>
      </c>
      <c r="I51" s="3">
        <f t="shared" ref="I51:I70" si="8">J51</f>
        <v>10.214166666666669</v>
      </c>
      <c r="J51" s="3">
        <v>10.214166666666669</v>
      </c>
      <c r="K51" s="3"/>
      <c r="L51" s="3"/>
      <c r="M51" s="3"/>
      <c r="N51">
        <v>1990</v>
      </c>
      <c r="O51">
        <v>11</v>
      </c>
      <c r="Q51" s="78">
        <v>32690</v>
      </c>
      <c r="R51">
        <v>8.5</v>
      </c>
      <c r="AH51" s="91">
        <v>38718</v>
      </c>
      <c r="AI51">
        <v>6.1455223879999998</v>
      </c>
      <c r="AJ51" s="3">
        <f t="shared" si="0"/>
        <v>69.873662369148491</v>
      </c>
    </row>
    <row r="52" spans="1:36">
      <c r="A52" s="99" t="s">
        <v>1761</v>
      </c>
      <c r="B52" s="100">
        <v>68.34</v>
      </c>
      <c r="C52" s="100">
        <v>75.84</v>
      </c>
      <c r="D52" s="100">
        <v>75.14</v>
      </c>
      <c r="E52" s="100">
        <v>71.41</v>
      </c>
      <c r="H52" s="9">
        <v>1991</v>
      </c>
      <c r="I52" s="3">
        <f t="shared" si="8"/>
        <v>13.425000000000002</v>
      </c>
      <c r="J52" s="3">
        <v>13.425000000000002</v>
      </c>
      <c r="K52" s="3"/>
      <c r="L52" s="3"/>
      <c r="M52" s="3"/>
      <c r="N52">
        <v>1991</v>
      </c>
      <c r="O52">
        <v>11</v>
      </c>
      <c r="Q52" s="78">
        <v>32721</v>
      </c>
      <c r="R52">
        <v>8.5</v>
      </c>
      <c r="AH52" s="91">
        <v>39083</v>
      </c>
      <c r="AI52">
        <v>6.369996746</v>
      </c>
      <c r="AJ52" s="3">
        <f t="shared" si="0"/>
        <v>74.324612388374277</v>
      </c>
    </row>
    <row r="53" spans="1:36">
      <c r="A53" s="101" t="s">
        <v>1762</v>
      </c>
      <c r="B53" s="100">
        <v>70.739999999999995</v>
      </c>
      <c r="C53" s="100">
        <v>78.34</v>
      </c>
      <c r="D53" s="100">
        <v>77.66</v>
      </c>
      <c r="E53" s="100">
        <v>73.95</v>
      </c>
      <c r="H53" s="9">
        <v>1992</v>
      </c>
      <c r="I53" s="3">
        <f t="shared" si="8"/>
        <v>14.983333333333336</v>
      </c>
      <c r="J53" s="3">
        <v>14.983333333333336</v>
      </c>
      <c r="K53" s="3"/>
      <c r="L53" s="3"/>
      <c r="M53" s="3"/>
      <c r="N53">
        <v>1992</v>
      </c>
      <c r="O53">
        <v>11</v>
      </c>
      <c r="Q53" s="78">
        <v>32752</v>
      </c>
      <c r="R53">
        <v>8.5</v>
      </c>
      <c r="AH53" s="91">
        <v>39448</v>
      </c>
      <c r="AI53">
        <v>8.3518164440000007</v>
      </c>
      <c r="AJ53" s="3">
        <f t="shared" si="0"/>
        <v>80.532067587765781</v>
      </c>
    </row>
    <row r="54" spans="1:36">
      <c r="A54" s="99" t="s">
        <v>1763</v>
      </c>
      <c r="B54" s="100">
        <v>69.06</v>
      </c>
      <c r="C54" s="100">
        <v>76.59</v>
      </c>
      <c r="D54" s="100">
        <v>75.89</v>
      </c>
      <c r="E54" s="100">
        <v>72.17</v>
      </c>
      <c r="H54" s="9">
        <v>1993</v>
      </c>
      <c r="I54" s="3">
        <f t="shared" si="8"/>
        <v>15.710000000000006</v>
      </c>
      <c r="J54" s="3">
        <v>15.710000000000006</v>
      </c>
      <c r="K54" s="3"/>
      <c r="L54" s="3"/>
      <c r="M54" s="3"/>
      <c r="N54">
        <v>1993</v>
      </c>
      <c r="O54">
        <v>11</v>
      </c>
      <c r="Q54" s="78">
        <v>32782</v>
      </c>
      <c r="R54">
        <v>8.5</v>
      </c>
      <c r="AH54" s="91">
        <v>39814</v>
      </c>
      <c r="AI54">
        <v>10.87739112</v>
      </c>
      <c r="AJ54" s="3">
        <f>AJ55/(1+AI55/100)</f>
        <v>89.291855556309812</v>
      </c>
    </row>
    <row r="55" spans="1:36">
      <c r="A55" s="101" t="s">
        <v>1764</v>
      </c>
      <c r="B55" s="100">
        <v>67.260000000000005</v>
      </c>
      <c r="C55" s="100">
        <v>74.72</v>
      </c>
      <c r="D55" s="100">
        <v>74</v>
      </c>
      <c r="E55" s="100">
        <v>70.260000000000005</v>
      </c>
      <c r="H55" s="9">
        <v>1994</v>
      </c>
      <c r="I55" s="3">
        <f t="shared" si="8"/>
        <v>16.690833333333334</v>
      </c>
      <c r="J55" s="3">
        <v>16.690833333333334</v>
      </c>
      <c r="K55" s="3"/>
      <c r="L55" s="3"/>
      <c r="M55" s="3"/>
      <c r="N55">
        <v>1994</v>
      </c>
      <c r="O55">
        <v>11</v>
      </c>
      <c r="Q55" s="78">
        <v>32813</v>
      </c>
      <c r="R55">
        <v>8.5</v>
      </c>
      <c r="AH55" s="91">
        <v>40179</v>
      </c>
      <c r="AI55">
        <v>11.992296919999999</v>
      </c>
      <c r="AJ55">
        <v>100</v>
      </c>
    </row>
    <row r="56" spans="1:36">
      <c r="A56" s="99" t="s">
        <v>1765</v>
      </c>
      <c r="B56" s="100">
        <v>67.56</v>
      </c>
      <c r="C56" s="100">
        <v>75.03</v>
      </c>
      <c r="D56" s="100">
        <v>74.319999999999993</v>
      </c>
      <c r="E56" s="100">
        <v>70.58</v>
      </c>
      <c r="H56" s="9">
        <v>1995</v>
      </c>
      <c r="I56" s="3">
        <f t="shared" si="8"/>
        <v>16.78</v>
      </c>
      <c r="J56" s="3">
        <v>16.78</v>
      </c>
      <c r="K56" s="3"/>
      <c r="L56" s="3"/>
      <c r="M56" s="3"/>
      <c r="N56">
        <v>1995</v>
      </c>
      <c r="O56">
        <v>11</v>
      </c>
      <c r="Q56" s="78">
        <v>32843</v>
      </c>
      <c r="R56">
        <v>8.5</v>
      </c>
      <c r="AH56" s="91">
        <v>40544</v>
      </c>
      <c r="AI56">
        <v>8.8578452970000008</v>
      </c>
      <c r="AJ56" s="3">
        <f>AJ55*(1+AI56/100)</f>
        <v>108.857845297</v>
      </c>
    </row>
    <row r="57" spans="1:36">
      <c r="A57" s="101" t="s">
        <v>1766</v>
      </c>
      <c r="B57" s="100">
        <v>67.239999999999995</v>
      </c>
      <c r="C57" s="100">
        <v>75.03</v>
      </c>
      <c r="D57" s="100">
        <v>74.319999999999993</v>
      </c>
      <c r="E57" s="100">
        <v>70.58</v>
      </c>
      <c r="H57" s="9">
        <v>1996</v>
      </c>
      <c r="I57" s="3">
        <f t="shared" si="8"/>
        <v>18.954999999999998</v>
      </c>
      <c r="J57" s="3">
        <v>18.954999999999998</v>
      </c>
      <c r="K57" s="3"/>
      <c r="L57" s="3"/>
      <c r="M57" s="3"/>
      <c r="N57">
        <v>1996</v>
      </c>
      <c r="O57">
        <v>11</v>
      </c>
      <c r="Q57" s="78">
        <v>32874</v>
      </c>
      <c r="R57">
        <v>8.5</v>
      </c>
      <c r="AH57" s="91">
        <v>40909</v>
      </c>
      <c r="AI57">
        <v>9.3124456050000006</v>
      </c>
      <c r="AJ57" s="3">
        <f t="shared" ref="AJ57:AJ62" si="9">AJ56*(1+AI57/100)</f>
        <v>118.99517292705816</v>
      </c>
    </row>
    <row r="58" spans="1:36">
      <c r="A58" s="99" t="s">
        <v>1767</v>
      </c>
      <c r="B58" s="100">
        <v>67.239999999999995</v>
      </c>
      <c r="C58" s="100">
        <v>74.55</v>
      </c>
      <c r="D58" s="100">
        <v>73.53</v>
      </c>
      <c r="E58" s="100">
        <v>70.569999999999993</v>
      </c>
      <c r="H58" s="9">
        <v>1997</v>
      </c>
      <c r="I58" s="3">
        <f t="shared" si="8"/>
        <v>21.7</v>
      </c>
      <c r="J58" s="3">
        <v>21.7</v>
      </c>
      <c r="K58" s="3"/>
      <c r="L58" s="3"/>
      <c r="M58" s="3"/>
      <c r="N58">
        <v>1997</v>
      </c>
      <c r="O58">
        <v>11</v>
      </c>
      <c r="Q58" s="78">
        <v>32905</v>
      </c>
      <c r="R58">
        <v>8.5</v>
      </c>
      <c r="AH58" s="91">
        <v>41275</v>
      </c>
      <c r="AI58">
        <v>10.907643309999999</v>
      </c>
      <c r="AJ58" s="3">
        <f t="shared" si="9"/>
        <v>131.97474194605937</v>
      </c>
    </row>
    <row r="59" spans="1:36">
      <c r="A59" s="101" t="s">
        <v>1768</v>
      </c>
      <c r="B59" s="100">
        <v>68.19</v>
      </c>
      <c r="C59" s="100">
        <v>75.739999999999995</v>
      </c>
      <c r="D59" s="100">
        <v>74.73</v>
      </c>
      <c r="E59" s="100">
        <v>71.77</v>
      </c>
      <c r="H59" s="9">
        <v>1998</v>
      </c>
      <c r="I59" s="3">
        <f t="shared" si="8"/>
        <v>23.481666666666669</v>
      </c>
      <c r="J59" s="3">
        <v>23.481666666666669</v>
      </c>
      <c r="K59" s="3"/>
      <c r="L59" s="3"/>
      <c r="M59" s="3"/>
      <c r="N59">
        <v>1998</v>
      </c>
      <c r="O59">
        <v>11</v>
      </c>
      <c r="Q59" s="78">
        <v>32933</v>
      </c>
      <c r="R59">
        <v>9.84</v>
      </c>
      <c r="AH59" s="91">
        <v>41640</v>
      </c>
      <c r="AI59">
        <v>6.6495001509999998</v>
      </c>
      <c r="AJ59" s="3">
        <f t="shared" si="9"/>
        <v>140.75040261104445</v>
      </c>
    </row>
    <row r="60" spans="1:36">
      <c r="A60" s="99" t="s">
        <v>1769</v>
      </c>
      <c r="B60" s="100">
        <v>67.900000000000006</v>
      </c>
      <c r="C60" s="100">
        <v>75.44</v>
      </c>
      <c r="D60" s="100">
        <v>74.430000000000007</v>
      </c>
      <c r="E60" s="100">
        <v>71.48</v>
      </c>
      <c r="H60" s="9">
        <v>1999</v>
      </c>
      <c r="I60" s="3">
        <f t="shared" si="8"/>
        <v>23.811666666666671</v>
      </c>
      <c r="J60" s="3">
        <v>23.811666666666671</v>
      </c>
      <c r="K60" s="3"/>
      <c r="L60" s="3"/>
      <c r="M60" s="3"/>
      <c r="N60">
        <v>1999</v>
      </c>
      <c r="O60">
        <v>11</v>
      </c>
      <c r="Q60" s="78">
        <v>32964</v>
      </c>
      <c r="R60">
        <v>9.84</v>
      </c>
      <c r="AH60" s="91">
        <v>42005</v>
      </c>
      <c r="AI60">
        <v>4.9069734409999999</v>
      </c>
      <c r="AJ60" s="3">
        <f t="shared" si="9"/>
        <v>147.65698748526896</v>
      </c>
    </row>
    <row r="61" spans="1:36">
      <c r="A61" s="101" t="s">
        <v>1770</v>
      </c>
      <c r="B61" s="100">
        <v>68.459999999999994</v>
      </c>
      <c r="C61" s="100">
        <v>76.14</v>
      </c>
      <c r="D61" s="100">
        <v>75.14</v>
      </c>
      <c r="E61" s="100">
        <v>72.19</v>
      </c>
      <c r="H61" s="9">
        <v>2000</v>
      </c>
      <c r="I61" s="3">
        <f t="shared" si="8"/>
        <v>26.673333333333332</v>
      </c>
      <c r="J61" s="3">
        <v>26.673333333333332</v>
      </c>
      <c r="K61" s="3"/>
      <c r="L61" s="3"/>
      <c r="M61" s="3"/>
      <c r="N61">
        <v>2000</v>
      </c>
      <c r="O61">
        <v>12</v>
      </c>
      <c r="Q61" s="78">
        <v>32994</v>
      </c>
      <c r="R61">
        <v>9.84</v>
      </c>
      <c r="AH61" s="91">
        <v>42370</v>
      </c>
      <c r="AI61">
        <v>4.941447235</v>
      </c>
      <c r="AJ61" s="3">
        <f t="shared" si="9"/>
        <v>154.95337961064408</v>
      </c>
    </row>
    <row r="62" spans="1:36">
      <c r="A62" s="99" t="s">
        <v>1771</v>
      </c>
      <c r="B62" s="100">
        <v>68.48</v>
      </c>
      <c r="C62" s="100">
        <v>76.13</v>
      </c>
      <c r="D62" s="100">
        <v>75.14</v>
      </c>
      <c r="E62" s="100">
        <v>72.19</v>
      </c>
      <c r="H62" s="9">
        <v>2001</v>
      </c>
      <c r="I62" s="3">
        <f t="shared" si="8"/>
        <v>28.699999999999992</v>
      </c>
      <c r="J62" s="3">
        <v>28.699999999999992</v>
      </c>
      <c r="K62" s="3"/>
      <c r="L62" s="3"/>
      <c r="M62" s="3"/>
      <c r="N62">
        <v>2001</v>
      </c>
      <c r="Q62" s="78">
        <v>33025</v>
      </c>
      <c r="R62">
        <v>9.84</v>
      </c>
      <c r="AI62">
        <v>2.4900000000000002</v>
      </c>
      <c r="AJ62" s="3">
        <f t="shared" si="9"/>
        <v>158.81171876294911</v>
      </c>
    </row>
    <row r="63" spans="1:36">
      <c r="A63" s="101" t="s">
        <v>1772</v>
      </c>
      <c r="B63" s="100">
        <v>68.48</v>
      </c>
      <c r="C63" s="100">
        <v>73.61</v>
      </c>
      <c r="D63" s="100">
        <v>74.23</v>
      </c>
      <c r="E63" s="100">
        <v>73.16</v>
      </c>
      <c r="H63" s="9">
        <v>2002</v>
      </c>
      <c r="I63" s="3">
        <f t="shared" si="8"/>
        <v>28.372500000000002</v>
      </c>
      <c r="J63" s="3">
        <v>28.372500000000002</v>
      </c>
      <c r="K63" s="3"/>
      <c r="L63" s="3"/>
      <c r="M63" s="3"/>
      <c r="N63">
        <v>2002</v>
      </c>
      <c r="Q63" s="78">
        <v>33055</v>
      </c>
      <c r="R63">
        <v>9.84</v>
      </c>
    </row>
    <row r="64" spans="1:36">
      <c r="A64" s="99" t="s">
        <v>1773</v>
      </c>
      <c r="B64" s="100">
        <v>67.78</v>
      </c>
      <c r="C64" s="100">
        <v>72.739999999999995</v>
      </c>
      <c r="D64" s="100">
        <v>73.349999999999994</v>
      </c>
      <c r="E64" s="100">
        <v>72.27</v>
      </c>
      <c r="H64" s="9">
        <v>2003</v>
      </c>
      <c r="I64" s="3">
        <f t="shared" si="8"/>
        <v>31.392500000000002</v>
      </c>
      <c r="J64" s="3">
        <v>31.392500000000002</v>
      </c>
      <c r="K64" s="3"/>
      <c r="L64" s="3"/>
      <c r="M64" s="3"/>
      <c r="N64">
        <v>2003</v>
      </c>
      <c r="Q64" s="78">
        <v>33086</v>
      </c>
      <c r="R64">
        <v>9.84</v>
      </c>
    </row>
    <row r="65" spans="1:18">
      <c r="A65" s="101" t="s">
        <v>1774</v>
      </c>
      <c r="B65" s="100">
        <v>70.239999999999995</v>
      </c>
      <c r="C65" s="100">
        <v>75.81</v>
      </c>
      <c r="D65" s="100">
        <v>76.45</v>
      </c>
      <c r="E65" s="100">
        <v>75.400000000000006</v>
      </c>
      <c r="H65" s="9">
        <v>2004</v>
      </c>
      <c r="I65" s="3">
        <f t="shared" si="8"/>
        <v>35.301666666666669</v>
      </c>
      <c r="J65" s="3">
        <v>35.301666666666669</v>
      </c>
      <c r="K65" s="3">
        <v>33.71</v>
      </c>
      <c r="L65" s="3"/>
      <c r="M65" s="3"/>
      <c r="N65">
        <v>2004</v>
      </c>
      <c r="Q65" s="78">
        <v>33117</v>
      </c>
      <c r="R65">
        <v>9.84</v>
      </c>
    </row>
    <row r="66" spans="1:18">
      <c r="A66" s="99" t="s">
        <v>1775</v>
      </c>
      <c r="B66" s="100">
        <v>71.16</v>
      </c>
      <c r="C66" s="100">
        <v>75.81</v>
      </c>
      <c r="D66" s="100">
        <v>76.45</v>
      </c>
      <c r="E66" s="100">
        <v>75.400000000000006</v>
      </c>
      <c r="H66" s="9">
        <v>2005</v>
      </c>
      <c r="I66" s="3">
        <f t="shared" si="8"/>
        <v>40.178333333333335</v>
      </c>
      <c r="J66" s="3">
        <v>40.178333333333335</v>
      </c>
      <c r="K66" s="3">
        <v>37.99</v>
      </c>
      <c r="L66" s="3"/>
      <c r="M66" s="3"/>
      <c r="N66">
        <v>2005</v>
      </c>
      <c r="Q66" s="78">
        <v>33147</v>
      </c>
      <c r="R66">
        <v>12.23</v>
      </c>
    </row>
    <row r="67" spans="1:18">
      <c r="A67" s="101" t="s">
        <v>1776</v>
      </c>
      <c r="B67" s="100">
        <v>73.180000000000007</v>
      </c>
      <c r="C67" s="100">
        <v>77.88</v>
      </c>
      <c r="D67" s="100">
        <v>78.569999999999993</v>
      </c>
      <c r="E67" s="100">
        <v>77.53</v>
      </c>
      <c r="H67" s="9">
        <v>2006</v>
      </c>
      <c r="I67" s="3">
        <f t="shared" si="8"/>
        <v>45.616666666666667</v>
      </c>
      <c r="J67" s="3">
        <v>45.616666666666667</v>
      </c>
      <c r="K67" s="3">
        <v>43.49</v>
      </c>
      <c r="L67" s="3"/>
      <c r="M67" s="3"/>
      <c r="N67">
        <v>2006</v>
      </c>
      <c r="Q67" s="78">
        <v>33178</v>
      </c>
      <c r="R67">
        <v>12.23</v>
      </c>
    </row>
    <row r="68" spans="1:18">
      <c r="A68" s="99" t="s">
        <v>1777</v>
      </c>
      <c r="B68" s="100">
        <v>65.64</v>
      </c>
      <c r="C68" s="100">
        <v>70.03</v>
      </c>
      <c r="D68" s="100">
        <v>70.66</v>
      </c>
      <c r="E68" s="100">
        <v>69.55</v>
      </c>
      <c r="H68" s="9">
        <v>2007</v>
      </c>
      <c r="I68" s="3">
        <f t="shared" si="8"/>
        <v>43.49083333333332</v>
      </c>
      <c r="J68" s="3">
        <v>43.49083333333332</v>
      </c>
      <c r="K68" s="3">
        <v>42.85</v>
      </c>
      <c r="L68" s="3"/>
      <c r="M68" s="3"/>
      <c r="N68">
        <v>2007</v>
      </c>
      <c r="Q68" s="78">
        <v>33208</v>
      </c>
      <c r="R68">
        <v>12.23</v>
      </c>
    </row>
    <row r="69" spans="1:18">
      <c r="A69" s="101" t="s">
        <v>1778</v>
      </c>
      <c r="B69" s="100">
        <v>66.42</v>
      </c>
      <c r="C69" s="100">
        <v>70.84</v>
      </c>
      <c r="D69" s="100">
        <v>71.47</v>
      </c>
      <c r="E69" s="100">
        <v>70.38</v>
      </c>
      <c r="H69" s="9">
        <v>2008</v>
      </c>
      <c r="I69" s="3">
        <f t="shared" si="8"/>
        <v>47.821666666666665</v>
      </c>
      <c r="J69" s="3">
        <v>47.821666666666665</v>
      </c>
      <c r="K69" s="3">
        <v>45.52</v>
      </c>
      <c r="L69" s="3"/>
      <c r="M69" s="3"/>
      <c r="N69">
        <v>2008</v>
      </c>
      <c r="Q69" s="78">
        <v>33239</v>
      </c>
      <c r="R69">
        <v>12.23</v>
      </c>
    </row>
    <row r="70" spans="1:18">
      <c r="A70" s="99" t="s">
        <v>1779</v>
      </c>
      <c r="B70" s="100">
        <v>68.64</v>
      </c>
      <c r="C70" s="100">
        <v>73.150000000000006</v>
      </c>
      <c r="D70" s="100">
        <v>73.81</v>
      </c>
      <c r="E70" s="100">
        <v>72.73</v>
      </c>
      <c r="H70" s="9">
        <v>2009</v>
      </c>
      <c r="I70" s="3">
        <f t="shared" si="8"/>
        <v>43.056666666666672</v>
      </c>
      <c r="J70" s="3">
        <v>43.056666666666672</v>
      </c>
      <c r="K70" s="3">
        <v>40.619999999999997</v>
      </c>
      <c r="L70" s="3"/>
      <c r="M70" s="3"/>
      <c r="N70">
        <v>2009</v>
      </c>
      <c r="Q70" s="78">
        <v>33270</v>
      </c>
      <c r="R70">
        <v>12.23</v>
      </c>
    </row>
    <row r="71" spans="1:18">
      <c r="A71" s="101" t="s">
        <v>1780</v>
      </c>
      <c r="B71" s="100">
        <v>66.84</v>
      </c>
      <c r="C71" s="100">
        <v>71.28</v>
      </c>
      <c r="D71" s="100">
        <v>71.91</v>
      </c>
      <c r="E71" s="100">
        <v>70.819999999999993</v>
      </c>
      <c r="H71" s="9">
        <v>2010</v>
      </c>
      <c r="I71" s="3">
        <v>49.356666666666662</v>
      </c>
      <c r="K71">
        <v>47.93</v>
      </c>
      <c r="L71" s="3"/>
      <c r="N71">
        <v>2010</v>
      </c>
      <c r="Q71" s="78">
        <v>33298</v>
      </c>
      <c r="R71">
        <v>12.23</v>
      </c>
    </row>
    <row r="72" spans="1:18">
      <c r="A72" s="99" t="s">
        <v>1781</v>
      </c>
      <c r="B72" s="100">
        <v>63.7</v>
      </c>
      <c r="C72" s="100">
        <v>68.010000000000005</v>
      </c>
      <c r="D72" s="100">
        <v>68.62</v>
      </c>
      <c r="E72" s="100">
        <v>67.5</v>
      </c>
      <c r="H72" s="9">
        <v>2011</v>
      </c>
      <c r="I72" s="3">
        <v>61.928333333333335</v>
      </c>
      <c r="K72">
        <v>58.37</v>
      </c>
      <c r="L72" s="3"/>
      <c r="N72">
        <v>2011</v>
      </c>
      <c r="Q72" s="78">
        <v>33329</v>
      </c>
      <c r="R72">
        <v>12.23</v>
      </c>
    </row>
    <row r="73" spans="1:18">
      <c r="A73" s="101" t="s">
        <v>1782</v>
      </c>
      <c r="B73" s="100">
        <v>63.37</v>
      </c>
      <c r="C73" s="100">
        <v>67.709999999999994</v>
      </c>
      <c r="D73" s="100">
        <v>68.33</v>
      </c>
      <c r="E73" s="100">
        <v>67.22</v>
      </c>
      <c r="H73" s="9">
        <v>2012</v>
      </c>
      <c r="I73" s="3">
        <f>L73</f>
        <v>67.23</v>
      </c>
      <c r="K73" s="3">
        <v>65.64</v>
      </c>
      <c r="L73" s="3">
        <v>67.23</v>
      </c>
      <c r="N73">
        <v>2012</v>
      </c>
      <c r="Q73" s="78">
        <v>33359</v>
      </c>
      <c r="R73">
        <v>12.23</v>
      </c>
    </row>
    <row r="74" spans="1:18">
      <c r="A74" s="99" t="s">
        <v>1783</v>
      </c>
      <c r="B74" s="100">
        <v>58.37</v>
      </c>
      <c r="C74" s="100">
        <v>62.5</v>
      </c>
      <c r="D74" s="100">
        <v>63.08</v>
      </c>
      <c r="E74" s="100">
        <v>61.93</v>
      </c>
      <c r="H74" s="9">
        <v>2013</v>
      </c>
      <c r="I74" s="3">
        <f t="shared" ref="I74:I78" si="10">L74</f>
        <v>69.117499999999993</v>
      </c>
      <c r="K74" s="3">
        <v>68.3</v>
      </c>
      <c r="L74" s="3">
        <v>69.117499999999993</v>
      </c>
      <c r="N74">
        <v>2013</v>
      </c>
      <c r="Q74" s="78">
        <v>33390</v>
      </c>
      <c r="R74">
        <v>12.23</v>
      </c>
    </row>
    <row r="75" spans="1:18">
      <c r="A75" s="101" t="s">
        <v>1784</v>
      </c>
      <c r="B75" s="100">
        <v>58.37</v>
      </c>
      <c r="C75" s="100">
        <v>62.5</v>
      </c>
      <c r="D75" s="100">
        <v>63.08</v>
      </c>
      <c r="E75" s="100">
        <v>63.36</v>
      </c>
      <c r="H75" s="9">
        <v>2014</v>
      </c>
      <c r="I75" s="3">
        <f t="shared" si="10"/>
        <v>69.84</v>
      </c>
      <c r="K75" s="3">
        <v>72.260000000000005</v>
      </c>
      <c r="L75" s="3">
        <v>69.84</v>
      </c>
      <c r="N75">
        <v>2014</v>
      </c>
      <c r="Q75" s="78">
        <v>33420</v>
      </c>
      <c r="R75">
        <v>14.62</v>
      </c>
    </row>
    <row r="76" spans="1:18">
      <c r="A76" s="99" t="s">
        <v>1785</v>
      </c>
      <c r="B76" s="100">
        <v>55.87</v>
      </c>
      <c r="C76" s="100">
        <v>59.9</v>
      </c>
      <c r="D76" s="100">
        <v>60.46</v>
      </c>
      <c r="E76" s="100">
        <v>60.65</v>
      </c>
      <c r="H76" s="9">
        <v>2015</v>
      </c>
      <c r="I76" s="3">
        <f t="shared" si="10"/>
        <v>61.875000000000007</v>
      </c>
      <c r="K76" s="3">
        <v>60.49</v>
      </c>
      <c r="L76" s="3">
        <v>61.875000000000007</v>
      </c>
      <c r="N76">
        <v>2015</v>
      </c>
      <c r="Q76" s="78">
        <v>33451</v>
      </c>
      <c r="R76">
        <v>14.62</v>
      </c>
    </row>
    <row r="77" spans="1:18">
      <c r="A77" s="101" t="s">
        <v>1786</v>
      </c>
      <c r="B77" s="100">
        <v>52.91</v>
      </c>
      <c r="C77" s="100">
        <v>56.81</v>
      </c>
      <c r="D77" s="100">
        <v>57.35</v>
      </c>
      <c r="E77" s="100">
        <v>57.44</v>
      </c>
      <c r="H77" s="9">
        <v>2016</v>
      </c>
      <c r="I77" s="3">
        <f t="shared" si="10"/>
        <v>62.936666666666667</v>
      </c>
      <c r="K77" s="3">
        <v>59.68</v>
      </c>
      <c r="L77" s="3">
        <v>62.936666666666667</v>
      </c>
      <c r="N77">
        <v>2016</v>
      </c>
      <c r="Q77" s="78">
        <v>33482</v>
      </c>
      <c r="R77">
        <v>14.62</v>
      </c>
    </row>
    <row r="78" spans="1:18">
      <c r="A78" s="99" t="s">
        <v>1787</v>
      </c>
      <c r="B78" s="100">
        <v>52.59</v>
      </c>
      <c r="C78" s="100">
        <v>56.47</v>
      </c>
      <c r="D78" s="100">
        <v>57.01</v>
      </c>
      <c r="E78" s="100">
        <v>57.09</v>
      </c>
      <c r="H78" s="9">
        <v>2017</v>
      </c>
      <c r="I78" s="3">
        <f t="shared" si="10"/>
        <v>68.420833333333334</v>
      </c>
      <c r="L78" s="3">
        <v>68.420833333333334</v>
      </c>
      <c r="N78">
        <v>2017</v>
      </c>
      <c r="Q78" s="78">
        <v>33512</v>
      </c>
      <c r="R78">
        <v>14.62</v>
      </c>
    </row>
    <row r="79" spans="1:18">
      <c r="A79" s="101" t="s">
        <v>1788</v>
      </c>
      <c r="B79" s="100">
        <v>52.59</v>
      </c>
      <c r="C79" s="100">
        <v>56.44</v>
      </c>
      <c r="D79" s="100">
        <v>57.01</v>
      </c>
      <c r="E79" s="100">
        <v>57.09</v>
      </c>
      <c r="H79" s="9"/>
      <c r="N79">
        <v>2018</v>
      </c>
      <c r="O79">
        <v>27</v>
      </c>
      <c r="Q79" s="78">
        <v>33543</v>
      </c>
      <c r="R79">
        <v>14.62</v>
      </c>
    </row>
    <row r="80" spans="1:18">
      <c r="A80" s="99" t="s">
        <v>1789</v>
      </c>
      <c r="B80" s="100">
        <v>51.83</v>
      </c>
      <c r="C80" s="100">
        <v>55.69</v>
      </c>
      <c r="D80" s="100">
        <v>56.25</v>
      </c>
      <c r="E80" s="100">
        <v>56.31</v>
      </c>
      <c r="Q80" s="78">
        <v>33573</v>
      </c>
      <c r="R80">
        <v>14.62</v>
      </c>
    </row>
    <row r="81" spans="1:18">
      <c r="A81" s="101" t="s">
        <v>1790</v>
      </c>
      <c r="B81" s="100">
        <v>51.56</v>
      </c>
      <c r="C81" s="100">
        <v>55.4</v>
      </c>
      <c r="D81" s="100">
        <v>55.97</v>
      </c>
      <c r="E81" s="100">
        <v>56.02</v>
      </c>
      <c r="Q81" s="78">
        <v>33604</v>
      </c>
      <c r="R81">
        <v>14.62</v>
      </c>
    </row>
    <row r="82" spans="1:18">
      <c r="A82" s="99" t="s">
        <v>1791</v>
      </c>
      <c r="B82" s="100">
        <v>51.43</v>
      </c>
      <c r="C82" s="100">
        <v>55.32</v>
      </c>
      <c r="D82" s="100">
        <v>55.88</v>
      </c>
      <c r="E82" s="100">
        <v>55.92</v>
      </c>
      <c r="Q82" s="78">
        <v>33635</v>
      </c>
      <c r="R82">
        <v>14.62</v>
      </c>
    </row>
    <row r="83" spans="1:18">
      <c r="A83" s="101" t="s">
        <v>1792</v>
      </c>
      <c r="B83" s="100">
        <v>47.93</v>
      </c>
      <c r="C83" s="100">
        <v>51.67</v>
      </c>
      <c r="D83" s="100">
        <v>52.2</v>
      </c>
      <c r="E83" s="100">
        <v>52.13</v>
      </c>
      <c r="Q83" s="78">
        <v>33664</v>
      </c>
      <c r="R83">
        <v>14.62</v>
      </c>
    </row>
    <row r="84" spans="1:18">
      <c r="A84" s="99" t="s">
        <v>1793</v>
      </c>
      <c r="B84" s="100">
        <v>47.43</v>
      </c>
      <c r="C84" s="100">
        <v>51.15</v>
      </c>
      <c r="D84" s="100">
        <v>51.68</v>
      </c>
      <c r="E84" s="100">
        <v>51.59</v>
      </c>
      <c r="Q84" s="78">
        <v>33695</v>
      </c>
      <c r="R84">
        <v>14.62</v>
      </c>
    </row>
    <row r="85" spans="1:18">
      <c r="A85" s="101" t="s">
        <v>1794</v>
      </c>
      <c r="B85" s="100">
        <v>44.72</v>
      </c>
      <c r="C85" s="100">
        <v>48.25</v>
      </c>
      <c r="D85" s="100">
        <v>48.76</v>
      </c>
      <c r="E85" s="100">
        <v>48.58</v>
      </c>
      <c r="Q85" s="78">
        <v>33725</v>
      </c>
      <c r="R85">
        <v>14.62</v>
      </c>
    </row>
    <row r="86" spans="1:18">
      <c r="A86" s="99" t="s">
        <v>1795</v>
      </c>
      <c r="B86" s="100">
        <v>40.619999999999997</v>
      </c>
      <c r="C86" s="100">
        <v>44.05</v>
      </c>
      <c r="D86" s="100">
        <v>44.55</v>
      </c>
      <c r="E86" s="100">
        <v>44.24</v>
      </c>
      <c r="Q86" s="78">
        <v>33756</v>
      </c>
      <c r="R86">
        <v>14.62</v>
      </c>
    </row>
    <row r="87" spans="1:18">
      <c r="A87" s="101" t="s">
        <v>1796</v>
      </c>
      <c r="B87" s="100">
        <v>45.62</v>
      </c>
      <c r="C87" s="100">
        <v>47.16</v>
      </c>
      <c r="D87" s="100">
        <v>49.8</v>
      </c>
      <c r="E87" s="100">
        <v>49.66</v>
      </c>
      <c r="Q87" s="78">
        <v>33786</v>
      </c>
      <c r="R87">
        <v>14.62</v>
      </c>
    </row>
    <row r="88" spans="1:18">
      <c r="A88" s="99" t="s">
        <v>1797</v>
      </c>
      <c r="B88" s="100">
        <v>50.62</v>
      </c>
      <c r="C88" s="100">
        <v>52.2</v>
      </c>
      <c r="D88" s="100">
        <v>55.04</v>
      </c>
      <c r="E88" s="100">
        <v>55.07</v>
      </c>
      <c r="Q88" s="78">
        <v>33817</v>
      </c>
      <c r="R88">
        <v>14.62</v>
      </c>
    </row>
    <row r="89" spans="1:18">
      <c r="A89" s="101" t="s">
        <v>1798</v>
      </c>
      <c r="B89" s="100">
        <v>50.62</v>
      </c>
      <c r="C89" s="100">
        <v>52.2</v>
      </c>
      <c r="D89" s="100">
        <v>55.04</v>
      </c>
      <c r="E89" s="100">
        <v>55.07</v>
      </c>
      <c r="Q89" s="78">
        <v>33848</v>
      </c>
      <c r="R89">
        <v>15.71</v>
      </c>
    </row>
    <row r="90" spans="1:18">
      <c r="A90" s="99" t="s">
        <v>1799</v>
      </c>
      <c r="B90" s="100">
        <v>50.56</v>
      </c>
      <c r="C90" s="100">
        <v>52.2</v>
      </c>
      <c r="D90" s="100">
        <v>55.88</v>
      </c>
      <c r="E90" s="100">
        <v>55.07</v>
      </c>
      <c r="Q90" s="78">
        <v>33878</v>
      </c>
      <c r="R90">
        <v>15.71</v>
      </c>
    </row>
    <row r="91" spans="1:18">
      <c r="A91" s="101" t="s">
        <v>1800</v>
      </c>
      <c r="B91" s="100">
        <v>45.56</v>
      </c>
      <c r="C91" s="100">
        <v>48.98</v>
      </c>
      <c r="D91" s="100">
        <v>50.54</v>
      </c>
      <c r="E91" s="100">
        <v>49.64</v>
      </c>
      <c r="Q91" s="78">
        <v>33909</v>
      </c>
      <c r="R91">
        <v>15.71</v>
      </c>
    </row>
    <row r="92" spans="1:18">
      <c r="A92" s="99" t="s">
        <v>1801</v>
      </c>
      <c r="B92" s="100">
        <v>45.52</v>
      </c>
      <c r="C92" s="100">
        <v>48.95</v>
      </c>
      <c r="D92" s="100">
        <v>50.51</v>
      </c>
      <c r="E92" s="100">
        <v>49.61</v>
      </c>
      <c r="Q92" s="78">
        <v>33939</v>
      </c>
      <c r="R92">
        <v>15.71</v>
      </c>
    </row>
    <row r="93" spans="1:18">
      <c r="A93" s="101" t="s">
        <v>1802</v>
      </c>
      <c r="B93" s="100">
        <v>43.52</v>
      </c>
      <c r="C93" s="100">
        <v>46.86</v>
      </c>
      <c r="D93" s="100">
        <v>48.38</v>
      </c>
      <c r="E93" s="100">
        <v>47.44</v>
      </c>
      <c r="Q93" s="78">
        <v>33970</v>
      </c>
      <c r="R93">
        <v>15.71</v>
      </c>
    </row>
    <row r="94" spans="1:18">
      <c r="A94" s="99" t="s">
        <v>1803</v>
      </c>
      <c r="B94" s="100">
        <v>42.85</v>
      </c>
      <c r="C94" s="100">
        <v>46.86</v>
      </c>
      <c r="D94" s="100">
        <v>48.38</v>
      </c>
      <c r="E94" s="100">
        <v>47.44</v>
      </c>
      <c r="Q94" s="78">
        <v>34001</v>
      </c>
      <c r="R94">
        <v>15.71</v>
      </c>
    </row>
    <row r="95" spans="1:18">
      <c r="A95" s="101" t="s">
        <v>1804</v>
      </c>
      <c r="B95" s="100">
        <v>42.85</v>
      </c>
      <c r="C95" s="100">
        <v>46.9</v>
      </c>
      <c r="D95" s="100">
        <v>48.41</v>
      </c>
      <c r="E95" s="100">
        <v>47.48</v>
      </c>
      <c r="Q95" s="78">
        <v>34029</v>
      </c>
      <c r="R95">
        <v>15.71</v>
      </c>
    </row>
    <row r="96" spans="1:18">
      <c r="A96" s="99" t="s">
        <v>1805</v>
      </c>
      <c r="B96" s="100">
        <v>42.85</v>
      </c>
      <c r="C96" s="100">
        <v>46.92</v>
      </c>
      <c r="D96" s="100">
        <v>48.45</v>
      </c>
      <c r="E96" s="100">
        <v>47.51</v>
      </c>
      <c r="Q96" s="78">
        <v>34060</v>
      </c>
      <c r="R96">
        <v>15.71</v>
      </c>
    </row>
    <row r="97" spans="1:18">
      <c r="A97" s="101" t="s">
        <v>1806</v>
      </c>
      <c r="B97" s="100">
        <v>44.85</v>
      </c>
      <c r="C97" s="100">
        <v>48.99</v>
      </c>
      <c r="D97" s="100">
        <v>50.58</v>
      </c>
      <c r="E97" s="100">
        <v>49.67</v>
      </c>
      <c r="Q97" s="78">
        <v>34090</v>
      </c>
      <c r="R97">
        <v>15.71</v>
      </c>
    </row>
    <row r="98" spans="1:18">
      <c r="A98" s="99" t="s">
        <v>1807</v>
      </c>
      <c r="B98" s="100">
        <v>46.85</v>
      </c>
      <c r="C98" s="100">
        <v>51.07</v>
      </c>
      <c r="D98" s="100">
        <v>52.71</v>
      </c>
      <c r="E98" s="100">
        <v>51.83</v>
      </c>
      <c r="Q98" s="78">
        <v>34121</v>
      </c>
      <c r="R98">
        <v>15.71</v>
      </c>
    </row>
    <row r="99" spans="1:18">
      <c r="A99" s="101" t="s">
        <v>1808</v>
      </c>
      <c r="B99" s="100">
        <v>47.51</v>
      </c>
      <c r="C99" s="100">
        <v>51.07</v>
      </c>
      <c r="D99" s="100">
        <v>53.5</v>
      </c>
      <c r="E99" s="100">
        <v>51.83</v>
      </c>
      <c r="Q99" s="78">
        <v>34151</v>
      </c>
      <c r="R99">
        <v>15.71</v>
      </c>
    </row>
    <row r="100" spans="1:18">
      <c r="A100" s="99" t="s">
        <v>1809</v>
      </c>
      <c r="B100" s="100">
        <v>43.49</v>
      </c>
      <c r="C100" s="100">
        <v>46.9</v>
      </c>
      <c r="D100" s="100">
        <v>49.16</v>
      </c>
      <c r="E100" s="100">
        <v>47.49</v>
      </c>
      <c r="Q100" s="78">
        <v>34182</v>
      </c>
      <c r="R100">
        <v>15.71</v>
      </c>
    </row>
    <row r="101" spans="1:18">
      <c r="A101" s="101" t="s">
        <v>1810</v>
      </c>
      <c r="B101" s="100">
        <v>40.49</v>
      </c>
      <c r="C101" s="100">
        <v>43.79</v>
      </c>
      <c r="D101" s="100">
        <v>45.93</v>
      </c>
      <c r="E101" s="100">
        <v>44.26</v>
      </c>
      <c r="Q101" s="78">
        <v>34213</v>
      </c>
      <c r="R101">
        <v>15.71</v>
      </c>
    </row>
    <row r="102" spans="1:18">
      <c r="A102" s="99" t="s">
        <v>1811</v>
      </c>
      <c r="B102" s="100">
        <v>37.99</v>
      </c>
      <c r="C102" s="100">
        <v>40.89</v>
      </c>
      <c r="D102" s="100">
        <v>43.23</v>
      </c>
      <c r="E102" s="100">
        <v>41.25</v>
      </c>
      <c r="Q102" s="78">
        <v>34243</v>
      </c>
      <c r="R102">
        <v>15.71</v>
      </c>
    </row>
    <row r="103" spans="1:18">
      <c r="A103" s="101" t="s">
        <v>1812</v>
      </c>
      <c r="B103" s="100">
        <v>37.99</v>
      </c>
      <c r="C103" s="100">
        <v>40.89</v>
      </c>
      <c r="D103" s="100">
        <v>43.23</v>
      </c>
      <c r="E103" s="100">
        <v>41.25</v>
      </c>
      <c r="Q103" s="78">
        <v>34274</v>
      </c>
      <c r="R103">
        <v>15.71</v>
      </c>
    </row>
    <row r="104" spans="1:18">
      <c r="A104" s="99" t="s">
        <v>1813</v>
      </c>
      <c r="B104" s="100">
        <v>37.840000000000003</v>
      </c>
      <c r="C104" s="100">
        <v>40.89</v>
      </c>
      <c r="D104" s="100">
        <v>43.23</v>
      </c>
      <c r="E104" s="100">
        <v>41.25</v>
      </c>
      <c r="Q104" s="78">
        <v>34304</v>
      </c>
      <c r="R104">
        <v>15.71</v>
      </c>
    </row>
    <row r="105" spans="1:18">
      <c r="A105" s="101" t="s">
        <v>1814</v>
      </c>
      <c r="B105" s="100">
        <v>39</v>
      </c>
      <c r="C105" s="100">
        <v>42.1</v>
      </c>
      <c r="D105" s="100">
        <v>44.49</v>
      </c>
      <c r="E105" s="100">
        <v>42.51</v>
      </c>
      <c r="Q105" s="78">
        <v>34335</v>
      </c>
      <c r="R105">
        <v>15.71</v>
      </c>
    </row>
    <row r="106" spans="1:18">
      <c r="A106" s="99" t="s">
        <v>1815</v>
      </c>
      <c r="B106" s="100">
        <v>36.81</v>
      </c>
      <c r="C106" s="100">
        <v>39.83</v>
      </c>
      <c r="D106" s="100">
        <v>42.15</v>
      </c>
      <c r="E106" s="100">
        <v>40.15</v>
      </c>
      <c r="Q106" s="78">
        <v>34366</v>
      </c>
      <c r="R106">
        <v>16.78</v>
      </c>
    </row>
    <row r="107" spans="1:18">
      <c r="A107" s="101" t="s">
        <v>1816</v>
      </c>
      <c r="B107" s="100">
        <v>35.71</v>
      </c>
      <c r="C107" s="100">
        <v>38.69</v>
      </c>
      <c r="D107" s="100">
        <v>40.96</v>
      </c>
      <c r="E107" s="100">
        <v>38.96</v>
      </c>
      <c r="Q107" s="78">
        <v>34394</v>
      </c>
      <c r="R107">
        <v>16.78</v>
      </c>
    </row>
    <row r="108" spans="1:18">
      <c r="A108" s="99" t="s">
        <v>1817</v>
      </c>
      <c r="B108" s="100">
        <v>33.700000000000003</v>
      </c>
      <c r="C108" s="100">
        <v>36.61</v>
      </c>
      <c r="D108" s="100">
        <v>38.83</v>
      </c>
      <c r="E108" s="100">
        <v>36.79</v>
      </c>
      <c r="Q108" s="78">
        <v>34425</v>
      </c>
      <c r="R108">
        <v>16.78</v>
      </c>
    </row>
    <row r="109" spans="1:18">
      <c r="A109" s="101" t="s">
        <v>1818</v>
      </c>
      <c r="B109" s="100">
        <v>32.700000000000003</v>
      </c>
      <c r="C109" s="100">
        <v>35.57</v>
      </c>
      <c r="D109" s="100">
        <v>37.74</v>
      </c>
      <c r="E109" s="100">
        <v>35.71</v>
      </c>
      <c r="Q109" s="78">
        <v>34455</v>
      </c>
      <c r="R109">
        <v>16.78</v>
      </c>
    </row>
    <row r="110" spans="1:18">
      <c r="A110" s="99" t="s">
        <v>1819</v>
      </c>
      <c r="B110" s="100">
        <v>31.7</v>
      </c>
      <c r="C110" s="100">
        <v>34.5</v>
      </c>
      <c r="D110" s="100">
        <v>36.659999999999997</v>
      </c>
      <c r="E110" s="100">
        <v>34.36</v>
      </c>
      <c r="Q110" s="78">
        <v>34486</v>
      </c>
      <c r="R110">
        <v>16.78</v>
      </c>
    </row>
    <row r="111" spans="1:18">
      <c r="A111" s="101" t="s">
        <v>1820</v>
      </c>
      <c r="B111" s="100">
        <v>32.4</v>
      </c>
      <c r="C111" s="100">
        <v>35.26</v>
      </c>
      <c r="D111" s="100">
        <v>37.42</v>
      </c>
      <c r="E111" s="100">
        <v>35.39</v>
      </c>
      <c r="Q111" s="78">
        <v>34516</v>
      </c>
      <c r="R111">
        <v>16.78</v>
      </c>
    </row>
    <row r="112" spans="1:18">
      <c r="A112" s="99" t="s">
        <v>1821</v>
      </c>
      <c r="B112" s="100">
        <v>30.3</v>
      </c>
      <c r="C112" s="100">
        <v>31.81</v>
      </c>
      <c r="D112" s="100">
        <v>35.14</v>
      </c>
      <c r="E112" s="100">
        <v>33.11</v>
      </c>
      <c r="Q112" s="78">
        <v>34547</v>
      </c>
      <c r="R112">
        <v>16.78</v>
      </c>
    </row>
    <row r="113" spans="1:18">
      <c r="A113" s="101" t="s">
        <v>1822</v>
      </c>
      <c r="B113" s="100">
        <v>30.4</v>
      </c>
      <c r="C113" s="100">
        <v>31.91</v>
      </c>
      <c r="D113" s="100">
        <v>35.25</v>
      </c>
      <c r="E113" s="100">
        <v>33.22</v>
      </c>
      <c r="Q113" s="78">
        <v>34578</v>
      </c>
      <c r="R113">
        <v>16.78</v>
      </c>
    </row>
    <row r="114" spans="1:18">
      <c r="A114" s="99" t="s">
        <v>1823</v>
      </c>
      <c r="B114" s="100">
        <v>31.49</v>
      </c>
      <c r="C114" s="100">
        <v>33</v>
      </c>
      <c r="D114" s="100">
        <v>36.43</v>
      </c>
      <c r="E114" s="100">
        <v>34.4</v>
      </c>
      <c r="Q114" s="78">
        <v>34608</v>
      </c>
      <c r="R114">
        <v>16.78</v>
      </c>
    </row>
    <row r="115" spans="1:18">
      <c r="A115" s="101" t="s">
        <v>1824</v>
      </c>
      <c r="B115" s="100">
        <v>32.49</v>
      </c>
      <c r="C115" s="100">
        <v>34</v>
      </c>
      <c r="D115" s="100">
        <v>37.25</v>
      </c>
      <c r="E115" s="100">
        <v>35.479999999999997</v>
      </c>
      <c r="Q115" s="78">
        <v>34639</v>
      </c>
      <c r="R115">
        <v>16.78</v>
      </c>
    </row>
    <row r="116" spans="1:18">
      <c r="A116" s="99" t="s">
        <v>1825</v>
      </c>
      <c r="B116" s="100">
        <v>33.49</v>
      </c>
      <c r="C116" s="100">
        <v>35</v>
      </c>
      <c r="D116" s="100">
        <v>35.25</v>
      </c>
      <c r="E116" s="100">
        <v>36.39</v>
      </c>
      <c r="Q116" s="78">
        <v>34669</v>
      </c>
      <c r="R116">
        <v>16.78</v>
      </c>
    </row>
    <row r="117" spans="1:18">
      <c r="A117" s="101" t="s">
        <v>1826</v>
      </c>
      <c r="B117" s="100">
        <v>33.49</v>
      </c>
      <c r="C117" s="100">
        <v>35</v>
      </c>
      <c r="D117" s="100">
        <v>38.590000000000003</v>
      </c>
      <c r="E117" s="100">
        <v>36.39</v>
      </c>
      <c r="Q117" s="78">
        <v>34700</v>
      </c>
      <c r="R117">
        <v>16.78</v>
      </c>
    </row>
    <row r="118" spans="1:18">
      <c r="A118" s="99" t="s">
        <v>1827</v>
      </c>
      <c r="B118" s="100">
        <v>23.1</v>
      </c>
      <c r="C118" s="100">
        <v>33.61</v>
      </c>
      <c r="D118" s="100">
        <v>37.08</v>
      </c>
      <c r="E118" s="100">
        <v>34.89</v>
      </c>
      <c r="Q118" s="78">
        <v>34731</v>
      </c>
      <c r="R118">
        <v>16.78</v>
      </c>
    </row>
    <row r="119" spans="1:18">
      <c r="A119" s="101" t="s">
        <v>1828</v>
      </c>
      <c r="B119" s="100">
        <v>30.71</v>
      </c>
      <c r="C119" s="100">
        <v>32.21</v>
      </c>
      <c r="D119" s="100">
        <v>35.58</v>
      </c>
      <c r="E119" s="100">
        <v>33.99</v>
      </c>
      <c r="Q119" s="78">
        <v>34759</v>
      </c>
      <c r="R119">
        <v>16.78</v>
      </c>
    </row>
    <row r="120" spans="1:18">
      <c r="A120" s="99" t="s">
        <v>1829</v>
      </c>
      <c r="B120" s="100">
        <v>30.33</v>
      </c>
      <c r="C120" s="100">
        <v>31.84</v>
      </c>
      <c r="D120" s="100">
        <v>35.18</v>
      </c>
      <c r="E120" s="100">
        <v>32.99</v>
      </c>
      <c r="Q120" s="78">
        <v>34790</v>
      </c>
      <c r="R120">
        <v>16.78</v>
      </c>
    </row>
    <row r="121" spans="1:18">
      <c r="A121" s="101" t="s">
        <v>1830</v>
      </c>
      <c r="B121" s="100">
        <v>29.93</v>
      </c>
      <c r="C121" s="100">
        <v>31.44</v>
      </c>
      <c r="D121" s="100">
        <v>34.729999999999997</v>
      </c>
      <c r="E121" s="100">
        <v>32.549999999999997</v>
      </c>
      <c r="Q121" s="78">
        <v>34820</v>
      </c>
      <c r="R121">
        <v>16.78</v>
      </c>
    </row>
    <row r="122" spans="1:18">
      <c r="A122" s="99" t="s">
        <v>1831</v>
      </c>
      <c r="B122" s="100">
        <v>28.91</v>
      </c>
      <c r="C122" s="100">
        <v>30.42</v>
      </c>
      <c r="D122" s="100">
        <v>33.630000000000003</v>
      </c>
      <c r="E122" s="100">
        <v>31.45</v>
      </c>
      <c r="Q122" s="78">
        <v>34851</v>
      </c>
      <c r="R122">
        <v>16.78</v>
      </c>
    </row>
    <row r="123" spans="1:18">
      <c r="A123" s="101" t="s">
        <v>1832</v>
      </c>
      <c r="B123" s="100">
        <v>29.57</v>
      </c>
      <c r="C123" s="100">
        <v>31.01</v>
      </c>
      <c r="D123" s="100">
        <v>34.229999999999997</v>
      </c>
      <c r="E123" s="100">
        <v>32.049999999999997</v>
      </c>
      <c r="Q123" s="78">
        <v>34881</v>
      </c>
      <c r="R123">
        <v>16.78</v>
      </c>
    </row>
    <row r="124" spans="1:18">
      <c r="A124" s="99" t="s">
        <v>1833</v>
      </c>
      <c r="B124" s="100">
        <v>30.26</v>
      </c>
      <c r="C124" s="100">
        <v>31.7</v>
      </c>
      <c r="D124" s="100">
        <v>34.979999999999997</v>
      </c>
      <c r="E124" s="100">
        <v>32.799999999999997</v>
      </c>
      <c r="Q124" s="78">
        <v>34912</v>
      </c>
      <c r="R124">
        <v>16.78</v>
      </c>
    </row>
    <row r="125" spans="1:18">
      <c r="A125" s="101" t="s">
        <v>1834</v>
      </c>
      <c r="B125" s="100">
        <v>30.24</v>
      </c>
      <c r="C125" s="100">
        <v>31.68</v>
      </c>
      <c r="D125" s="100">
        <v>34.950000000000003</v>
      </c>
      <c r="E125" s="100">
        <v>32.07</v>
      </c>
      <c r="Q125" s="78">
        <v>34943</v>
      </c>
      <c r="R125">
        <v>16.78</v>
      </c>
    </row>
    <row r="126" spans="1:18">
      <c r="A126" s="99" t="s">
        <v>1835</v>
      </c>
      <c r="B126" s="100">
        <v>29.91</v>
      </c>
      <c r="C126" s="100">
        <v>31.35</v>
      </c>
      <c r="D126" s="100">
        <v>34.42</v>
      </c>
      <c r="E126" s="100">
        <v>32.42</v>
      </c>
      <c r="Q126" s="78">
        <v>34973</v>
      </c>
      <c r="R126">
        <v>16.78</v>
      </c>
    </row>
    <row r="127" spans="1:18">
      <c r="A127" s="101" t="s">
        <v>1836</v>
      </c>
      <c r="B127" s="100">
        <v>29.66</v>
      </c>
      <c r="C127" s="100">
        <v>31.1</v>
      </c>
      <c r="D127" s="100">
        <v>34.15</v>
      </c>
      <c r="E127" s="100">
        <v>32.159999999999997</v>
      </c>
      <c r="Q127" s="78">
        <v>35004</v>
      </c>
      <c r="R127">
        <v>16.78</v>
      </c>
    </row>
    <row r="128" spans="1:18">
      <c r="A128" s="99" t="s">
        <v>1837</v>
      </c>
      <c r="B128" s="100">
        <v>29.2</v>
      </c>
      <c r="C128" s="100">
        <v>30.64</v>
      </c>
      <c r="D128" s="100">
        <v>33.65</v>
      </c>
      <c r="E128" s="100">
        <v>31.66</v>
      </c>
      <c r="Q128" s="78">
        <v>35034</v>
      </c>
      <c r="R128">
        <v>16.78</v>
      </c>
    </row>
    <row r="129" spans="1:18">
      <c r="A129" s="101" t="s">
        <v>1838</v>
      </c>
      <c r="B129" s="100">
        <v>29</v>
      </c>
      <c r="C129" s="100">
        <v>29.44</v>
      </c>
      <c r="D129" s="100">
        <v>33.44</v>
      </c>
      <c r="E129" s="100">
        <v>31.44</v>
      </c>
      <c r="Q129" s="78">
        <v>35065</v>
      </c>
      <c r="R129">
        <v>16.78</v>
      </c>
    </row>
    <row r="130" spans="1:18">
      <c r="A130" s="99" t="s">
        <v>1839</v>
      </c>
      <c r="B130" s="100">
        <v>29.18</v>
      </c>
      <c r="C130" s="100">
        <v>29.63</v>
      </c>
      <c r="D130" s="100">
        <v>33.64</v>
      </c>
      <c r="E130" s="100">
        <v>31.64</v>
      </c>
      <c r="Q130" s="78">
        <v>35096</v>
      </c>
      <c r="R130">
        <v>16.78</v>
      </c>
    </row>
    <row r="131" spans="1:18">
      <c r="A131" s="101" t="s">
        <v>1840</v>
      </c>
      <c r="B131" s="100">
        <v>29.18</v>
      </c>
      <c r="C131" s="100">
        <v>29.63</v>
      </c>
      <c r="D131" s="100">
        <v>33.64</v>
      </c>
      <c r="E131" s="100">
        <v>31.64</v>
      </c>
      <c r="Q131" s="78">
        <v>35125</v>
      </c>
      <c r="R131">
        <v>16.78</v>
      </c>
    </row>
    <row r="132" spans="1:18">
      <c r="A132" s="99" t="s">
        <v>1841</v>
      </c>
      <c r="B132" s="100">
        <v>29.18</v>
      </c>
      <c r="C132" s="100">
        <v>29.63</v>
      </c>
      <c r="D132" s="100">
        <v>33.72</v>
      </c>
      <c r="E132" s="100">
        <v>31.3</v>
      </c>
      <c r="Q132" s="78">
        <v>35156</v>
      </c>
      <c r="R132">
        <v>16.78</v>
      </c>
    </row>
    <row r="133" spans="1:18">
      <c r="A133" s="101" t="s">
        <v>1842</v>
      </c>
      <c r="B133" s="100">
        <v>29.94</v>
      </c>
      <c r="C133" s="100">
        <v>29.39</v>
      </c>
      <c r="D133" s="100">
        <v>33.450000000000003</v>
      </c>
      <c r="E133" s="100">
        <v>31.05</v>
      </c>
      <c r="Q133" s="78">
        <v>35186</v>
      </c>
      <c r="R133">
        <v>16.78</v>
      </c>
    </row>
    <row r="134" spans="1:18">
      <c r="Q134" s="78">
        <v>35217</v>
      </c>
      <c r="R134">
        <v>16.78</v>
      </c>
    </row>
    <row r="135" spans="1:18">
      <c r="Q135" s="78">
        <v>35247</v>
      </c>
      <c r="R135">
        <v>21.13</v>
      </c>
    </row>
    <row r="136" spans="1:18">
      <c r="Q136" s="78">
        <v>35278</v>
      </c>
      <c r="R136">
        <v>21.13</v>
      </c>
    </row>
    <row r="137" spans="1:18">
      <c r="Q137" s="78">
        <v>35309</v>
      </c>
      <c r="R137">
        <v>21.13</v>
      </c>
    </row>
    <row r="138" spans="1:18">
      <c r="Q138" s="78">
        <v>35339</v>
      </c>
      <c r="R138">
        <v>21.13</v>
      </c>
    </row>
    <row r="139" spans="1:18">
      <c r="Q139" s="78">
        <v>35370</v>
      </c>
      <c r="R139">
        <v>21.13</v>
      </c>
    </row>
    <row r="140" spans="1:18">
      <c r="Q140" s="78">
        <v>35400</v>
      </c>
      <c r="R140">
        <v>21.13</v>
      </c>
    </row>
    <row r="141" spans="1:18">
      <c r="Q141" s="78">
        <v>35431</v>
      </c>
      <c r="R141">
        <v>21.13</v>
      </c>
    </row>
    <row r="142" spans="1:18">
      <c r="Q142" s="78">
        <v>35462</v>
      </c>
      <c r="R142">
        <v>21.13</v>
      </c>
    </row>
    <row r="143" spans="1:18">
      <c r="Q143" s="78">
        <v>35490</v>
      </c>
      <c r="R143">
        <v>21.13</v>
      </c>
    </row>
    <row r="144" spans="1:18">
      <c r="Q144" s="78">
        <v>35521</v>
      </c>
      <c r="R144">
        <v>21.13</v>
      </c>
    </row>
    <row r="145" spans="17:18">
      <c r="Q145" s="78">
        <v>35551</v>
      </c>
      <c r="R145">
        <v>21.13</v>
      </c>
    </row>
    <row r="146" spans="17:18">
      <c r="Q146" s="78">
        <v>35582</v>
      </c>
      <c r="R146">
        <v>21.13</v>
      </c>
    </row>
    <row r="147" spans="17:18">
      <c r="Q147" s="78">
        <v>35612</v>
      </c>
      <c r="R147">
        <v>21.13</v>
      </c>
    </row>
    <row r="148" spans="17:18">
      <c r="Q148" s="78">
        <v>35643</v>
      </c>
      <c r="R148">
        <v>21.13</v>
      </c>
    </row>
    <row r="149" spans="17:18">
      <c r="Q149" s="78">
        <v>35674</v>
      </c>
      <c r="R149">
        <v>22.84</v>
      </c>
    </row>
    <row r="150" spans="17:18">
      <c r="Q150" s="78">
        <v>35704</v>
      </c>
      <c r="R150">
        <v>22.84</v>
      </c>
    </row>
    <row r="151" spans="17:18">
      <c r="Q151" s="78">
        <v>35735</v>
      </c>
      <c r="R151">
        <v>22.84</v>
      </c>
    </row>
    <row r="152" spans="17:18">
      <c r="Q152" s="78">
        <v>35765</v>
      </c>
      <c r="R152">
        <v>22.84</v>
      </c>
    </row>
    <row r="153" spans="17:18">
      <c r="Q153" s="78">
        <v>35796</v>
      </c>
      <c r="R153">
        <v>22.84</v>
      </c>
    </row>
    <row r="154" spans="17:18">
      <c r="Q154" s="78">
        <v>35827</v>
      </c>
      <c r="R154">
        <v>22.84</v>
      </c>
    </row>
    <row r="155" spans="17:18">
      <c r="Q155" s="78">
        <v>35855</v>
      </c>
      <c r="R155">
        <v>22.84</v>
      </c>
    </row>
    <row r="156" spans="17:18">
      <c r="Q156" s="78">
        <v>35886</v>
      </c>
      <c r="R156">
        <v>22.84</v>
      </c>
    </row>
    <row r="157" spans="17:18">
      <c r="Q157" s="78">
        <v>35916</v>
      </c>
      <c r="R157">
        <v>22.84</v>
      </c>
    </row>
    <row r="158" spans="17:18">
      <c r="Q158" s="78">
        <v>35947</v>
      </c>
      <c r="R158">
        <v>23.94</v>
      </c>
    </row>
    <row r="159" spans="17:18">
      <c r="Q159" s="78">
        <v>35977</v>
      </c>
      <c r="R159">
        <v>23.94</v>
      </c>
    </row>
    <row r="160" spans="17:18">
      <c r="Q160" s="78">
        <v>36008</v>
      </c>
      <c r="R160">
        <v>23.94</v>
      </c>
    </row>
    <row r="161" spans="17:18">
      <c r="Q161" s="78">
        <v>36039</v>
      </c>
      <c r="R161">
        <v>23.94</v>
      </c>
    </row>
    <row r="162" spans="17:18">
      <c r="Q162" s="78">
        <v>36069</v>
      </c>
      <c r="R162">
        <v>23.94</v>
      </c>
    </row>
    <row r="163" spans="17:18">
      <c r="Q163" s="78">
        <v>36100</v>
      </c>
      <c r="R163">
        <v>23.94</v>
      </c>
    </row>
    <row r="164" spans="17:18">
      <c r="Q164" s="78">
        <v>36130</v>
      </c>
      <c r="R164">
        <v>23.94</v>
      </c>
    </row>
    <row r="165" spans="17:18">
      <c r="Q165" s="78">
        <v>36161</v>
      </c>
      <c r="R165">
        <v>23.94</v>
      </c>
    </row>
    <row r="166" spans="17:18">
      <c r="Q166" s="78">
        <v>36192</v>
      </c>
      <c r="R166">
        <v>23.8</v>
      </c>
    </row>
    <row r="167" spans="17:18">
      <c r="Q167" s="78">
        <v>36220</v>
      </c>
      <c r="R167">
        <v>23.8</v>
      </c>
    </row>
    <row r="168" spans="17:18">
      <c r="Q168" s="78">
        <v>36251</v>
      </c>
      <c r="R168">
        <v>23.8</v>
      </c>
    </row>
    <row r="169" spans="17:18">
      <c r="Q169" s="78">
        <v>36281</v>
      </c>
      <c r="R169">
        <v>23.8</v>
      </c>
    </row>
    <row r="170" spans="17:18">
      <c r="Q170" s="78">
        <v>36312</v>
      </c>
      <c r="R170">
        <v>23.8</v>
      </c>
    </row>
    <row r="171" spans="17:18">
      <c r="Q171" s="78">
        <v>36342</v>
      </c>
      <c r="R171">
        <v>23.8</v>
      </c>
    </row>
    <row r="172" spans="17:18">
      <c r="Q172" s="78">
        <v>36373</v>
      </c>
      <c r="R172">
        <v>23.8</v>
      </c>
    </row>
    <row r="173" spans="17:18">
      <c r="Q173" s="78">
        <v>36404</v>
      </c>
      <c r="R173">
        <v>23.8</v>
      </c>
    </row>
    <row r="174" spans="17:18">
      <c r="Q174" s="78">
        <v>36434</v>
      </c>
      <c r="R174">
        <v>23.8</v>
      </c>
    </row>
    <row r="175" spans="17:18">
      <c r="Q175" s="78">
        <v>36465</v>
      </c>
      <c r="R175">
        <v>23.8</v>
      </c>
    </row>
    <row r="176" spans="17:18">
      <c r="Q176" s="78">
        <v>36495</v>
      </c>
      <c r="R176">
        <v>23.8</v>
      </c>
    </row>
    <row r="177" spans="17:18">
      <c r="Q177" s="78">
        <v>36526</v>
      </c>
      <c r="R177">
        <v>25.94</v>
      </c>
    </row>
    <row r="178" spans="17:18">
      <c r="Q178" s="78">
        <v>36557</v>
      </c>
      <c r="R178">
        <v>25.94</v>
      </c>
    </row>
    <row r="179" spans="17:18">
      <c r="Q179" s="78">
        <v>36586</v>
      </c>
      <c r="R179">
        <v>25.94</v>
      </c>
    </row>
    <row r="180" spans="17:18">
      <c r="Q180" s="78">
        <v>36617</v>
      </c>
      <c r="R180">
        <v>26.07</v>
      </c>
    </row>
    <row r="181" spans="17:18">
      <c r="Q181" s="78">
        <v>36647</v>
      </c>
      <c r="R181">
        <v>26.07</v>
      </c>
    </row>
    <row r="182" spans="17:18">
      <c r="Q182" s="78">
        <v>36678</v>
      </c>
      <c r="R182">
        <v>26.07</v>
      </c>
    </row>
    <row r="183" spans="17:18">
      <c r="Q183" s="78">
        <v>36708</v>
      </c>
      <c r="R183">
        <v>26.07</v>
      </c>
    </row>
    <row r="184" spans="17:18">
      <c r="Q184" s="78">
        <v>36739</v>
      </c>
      <c r="R184">
        <v>26.07</v>
      </c>
    </row>
    <row r="185" spans="17:18">
      <c r="Q185" s="78">
        <v>36770</v>
      </c>
      <c r="R185">
        <v>26.07</v>
      </c>
    </row>
    <row r="186" spans="17:18">
      <c r="Q186" s="78">
        <v>36800</v>
      </c>
      <c r="R186">
        <v>28.44</v>
      </c>
    </row>
    <row r="187" spans="17:18">
      <c r="Q187" s="78">
        <v>36831</v>
      </c>
      <c r="R187">
        <v>28.7</v>
      </c>
    </row>
    <row r="188" spans="17:18">
      <c r="Q188" s="78">
        <v>36861</v>
      </c>
      <c r="R188">
        <v>28.7</v>
      </c>
    </row>
    <row r="189" spans="17:18">
      <c r="Q189" s="78">
        <v>36892</v>
      </c>
      <c r="R189">
        <v>28.7</v>
      </c>
    </row>
    <row r="190" spans="17:18">
      <c r="Q190" s="78">
        <v>36923</v>
      </c>
      <c r="R190">
        <v>28.7</v>
      </c>
    </row>
    <row r="191" spans="17:18">
      <c r="Q191" s="78">
        <v>36951</v>
      </c>
      <c r="R191">
        <v>28.7</v>
      </c>
    </row>
    <row r="192" spans="17:18">
      <c r="Q192" s="78">
        <v>36982</v>
      </c>
      <c r="R192">
        <v>28.7</v>
      </c>
    </row>
    <row r="193" spans="17:18">
      <c r="Q193" s="78">
        <v>37012</v>
      </c>
      <c r="R193">
        <v>28.7</v>
      </c>
    </row>
    <row r="194" spans="17:18">
      <c r="Q194" s="78">
        <v>37043</v>
      </c>
      <c r="R194">
        <v>28.7</v>
      </c>
    </row>
    <row r="195" spans="17:18">
      <c r="Q195" s="78">
        <v>37073</v>
      </c>
      <c r="R195">
        <v>28.7</v>
      </c>
    </row>
    <row r="196" spans="17:18">
      <c r="Q196" s="78">
        <v>37104</v>
      </c>
      <c r="R196">
        <v>28.7</v>
      </c>
    </row>
    <row r="197" spans="17:18">
      <c r="Q197" s="78">
        <v>37135</v>
      </c>
      <c r="R197">
        <v>28.7</v>
      </c>
    </row>
    <row r="198" spans="17:18">
      <c r="Q198" s="78">
        <v>37165</v>
      </c>
      <c r="R198">
        <v>28.7</v>
      </c>
    </row>
    <row r="199" spans="17:18">
      <c r="Q199" s="78">
        <v>37196</v>
      </c>
      <c r="R199">
        <v>28.7</v>
      </c>
    </row>
    <row r="200" spans="17:18">
      <c r="Q200" s="78">
        <v>37226</v>
      </c>
      <c r="R200">
        <v>28.7</v>
      </c>
    </row>
    <row r="201" spans="17:18">
      <c r="Q201" s="78">
        <v>37257</v>
      </c>
      <c r="R201">
        <v>27.54</v>
      </c>
    </row>
    <row r="202" spans="17:18">
      <c r="Q202" s="78">
        <v>37288</v>
      </c>
      <c r="R202">
        <v>27.54</v>
      </c>
    </row>
    <row r="203" spans="17:18">
      <c r="Q203" s="78">
        <v>37316</v>
      </c>
      <c r="R203">
        <v>26.54</v>
      </c>
    </row>
    <row r="204" spans="17:18">
      <c r="Q204" s="78">
        <v>37347</v>
      </c>
      <c r="R204">
        <v>26.54</v>
      </c>
    </row>
    <row r="205" spans="17:18">
      <c r="Q205" s="78">
        <v>37377</v>
      </c>
      <c r="R205">
        <v>26.54</v>
      </c>
    </row>
    <row r="206" spans="17:18">
      <c r="Q206" s="78">
        <v>37408</v>
      </c>
      <c r="R206">
        <v>29.18</v>
      </c>
    </row>
    <row r="207" spans="17:18">
      <c r="Q207" s="78">
        <v>37438</v>
      </c>
      <c r="R207">
        <v>29.18</v>
      </c>
    </row>
    <row r="208" spans="17:18">
      <c r="Q208" s="78">
        <v>37469</v>
      </c>
      <c r="R208">
        <v>29</v>
      </c>
    </row>
    <row r="209" spans="17:18">
      <c r="Q209" s="78">
        <v>37500</v>
      </c>
      <c r="R209">
        <v>29.4</v>
      </c>
    </row>
    <row r="210" spans="17:18">
      <c r="Q210" s="78">
        <v>37530</v>
      </c>
      <c r="R210">
        <v>30.1</v>
      </c>
    </row>
    <row r="211" spans="17:18">
      <c r="Q211" s="78">
        <v>37561</v>
      </c>
      <c r="R211">
        <v>30</v>
      </c>
    </row>
    <row r="212" spans="17:18">
      <c r="Q212" s="78">
        <v>37591</v>
      </c>
      <c r="R212">
        <v>28.91</v>
      </c>
    </row>
    <row r="213" spans="17:18">
      <c r="Q213" s="78">
        <v>37622</v>
      </c>
      <c r="R213">
        <v>30.1</v>
      </c>
    </row>
    <row r="214" spans="17:18">
      <c r="Q214" s="78">
        <v>37653</v>
      </c>
      <c r="R214">
        <v>30.71</v>
      </c>
    </row>
    <row r="215" spans="17:18">
      <c r="Q215" s="78">
        <v>37681</v>
      </c>
      <c r="R215">
        <v>32.799999999999997</v>
      </c>
    </row>
    <row r="216" spans="17:18">
      <c r="Q216" s="78">
        <v>37712</v>
      </c>
      <c r="R216">
        <v>33</v>
      </c>
    </row>
    <row r="217" spans="17:18">
      <c r="Q217" s="78">
        <v>37742</v>
      </c>
      <c r="R217">
        <v>30.85</v>
      </c>
    </row>
    <row r="218" spans="17:18">
      <c r="Q218" s="78">
        <v>37773</v>
      </c>
      <c r="R218">
        <v>30.3</v>
      </c>
    </row>
    <row r="219" spans="17:18">
      <c r="Q219" s="78">
        <v>37803</v>
      </c>
      <c r="R219">
        <v>30.3</v>
      </c>
    </row>
    <row r="220" spans="17:18">
      <c r="Q220" s="78">
        <v>37834</v>
      </c>
      <c r="R220">
        <v>30.3</v>
      </c>
    </row>
    <row r="221" spans="17:18">
      <c r="Q221" s="78">
        <v>37865</v>
      </c>
      <c r="R221">
        <v>32.4</v>
      </c>
    </row>
    <row r="222" spans="17:18">
      <c r="Q222" s="78">
        <v>37895</v>
      </c>
      <c r="R222">
        <v>32.049999999999997</v>
      </c>
    </row>
    <row r="223" spans="17:18">
      <c r="Q223" s="78">
        <v>37926</v>
      </c>
      <c r="R223">
        <v>31.7</v>
      </c>
    </row>
    <row r="224" spans="17:18">
      <c r="Q224" s="78">
        <v>37956</v>
      </c>
      <c r="R224">
        <v>32.200000000000003</v>
      </c>
    </row>
    <row r="225" spans="17:19">
      <c r="Q225" s="78">
        <v>37987</v>
      </c>
      <c r="R225">
        <v>33.700000000000003</v>
      </c>
    </row>
    <row r="226" spans="17:19">
      <c r="Q226" s="78">
        <v>38018</v>
      </c>
      <c r="R226">
        <v>33.700000000000003</v>
      </c>
    </row>
    <row r="227" spans="17:19">
      <c r="Q227" s="78">
        <v>38047</v>
      </c>
      <c r="R227">
        <v>33.71</v>
      </c>
    </row>
    <row r="228" spans="17:19">
      <c r="Q228" s="78">
        <v>38078</v>
      </c>
      <c r="R228">
        <v>33.71</v>
      </c>
    </row>
    <row r="229" spans="17:19">
      <c r="Q229" s="78">
        <v>38108</v>
      </c>
      <c r="R229">
        <v>33.71</v>
      </c>
    </row>
    <row r="230" spans="17:19">
      <c r="Q230" s="78">
        <v>38139</v>
      </c>
      <c r="R230">
        <v>34.71</v>
      </c>
    </row>
    <row r="231" spans="17:19">
      <c r="Q231" s="78">
        <v>38169</v>
      </c>
      <c r="R231">
        <v>34.71</v>
      </c>
    </row>
    <row r="232" spans="17:19">
      <c r="Q232" s="78">
        <v>38200</v>
      </c>
      <c r="R232">
        <v>36.81</v>
      </c>
    </row>
    <row r="233" spans="17:19">
      <c r="Q233" s="78">
        <v>38231</v>
      </c>
      <c r="R233">
        <v>36.81</v>
      </c>
    </row>
    <row r="234" spans="17:19">
      <c r="Q234" s="78">
        <v>38261</v>
      </c>
      <c r="R234">
        <v>36.81</v>
      </c>
    </row>
    <row r="235" spans="17:19">
      <c r="Q235" s="78">
        <v>38292</v>
      </c>
      <c r="R235">
        <v>37.4</v>
      </c>
    </row>
    <row r="236" spans="17:19">
      <c r="Q236" s="78">
        <v>38322</v>
      </c>
      <c r="R236">
        <v>37.840000000000003</v>
      </c>
    </row>
    <row r="237" spans="17:19">
      <c r="Q237" s="78">
        <v>38353</v>
      </c>
      <c r="R237">
        <v>37.840000000000003</v>
      </c>
      <c r="S237">
        <v>37.840000000000003</v>
      </c>
    </row>
    <row r="238" spans="17:19">
      <c r="Q238" s="78">
        <v>38384</v>
      </c>
      <c r="R238">
        <v>37.840000000000003</v>
      </c>
    </row>
    <row r="239" spans="17:19">
      <c r="Q239" s="78">
        <v>38412</v>
      </c>
      <c r="R239">
        <v>37.840000000000003</v>
      </c>
    </row>
    <row r="240" spans="17:19">
      <c r="Q240" s="78">
        <v>38443</v>
      </c>
      <c r="R240">
        <v>37.840000000000003</v>
      </c>
      <c r="S240">
        <v>37.99</v>
      </c>
    </row>
    <row r="241" spans="17:19">
      <c r="Q241" s="78">
        <v>38473</v>
      </c>
      <c r="R241">
        <v>37.840000000000003</v>
      </c>
    </row>
    <row r="242" spans="17:19">
      <c r="Q242" s="78">
        <v>38504</v>
      </c>
      <c r="R242">
        <v>38</v>
      </c>
      <c r="S242">
        <v>38</v>
      </c>
    </row>
    <row r="243" spans="17:19">
      <c r="Q243" s="78">
        <v>38534</v>
      </c>
      <c r="R243">
        <v>40.49</v>
      </c>
      <c r="S243">
        <v>40.49</v>
      </c>
    </row>
    <row r="244" spans="17:19">
      <c r="Q244" s="78">
        <v>38565</v>
      </c>
      <c r="R244">
        <v>40.49</v>
      </c>
    </row>
    <row r="245" spans="17:19">
      <c r="Q245" s="78">
        <v>38596</v>
      </c>
      <c r="R245">
        <v>43.49</v>
      </c>
      <c r="S245">
        <v>43.49</v>
      </c>
    </row>
    <row r="246" spans="17:19">
      <c r="Q246" s="78">
        <v>38626</v>
      </c>
      <c r="R246">
        <v>43.49</v>
      </c>
    </row>
    <row r="247" spans="17:19">
      <c r="Q247" s="78">
        <v>38657</v>
      </c>
      <c r="R247">
        <v>43.49</v>
      </c>
    </row>
    <row r="248" spans="17:19">
      <c r="Q248" s="78">
        <v>38687</v>
      </c>
      <c r="R248">
        <v>43.49</v>
      </c>
    </row>
    <row r="249" spans="17:19">
      <c r="Q249" s="78">
        <v>38718</v>
      </c>
      <c r="R249">
        <v>43.49</v>
      </c>
    </row>
    <row r="250" spans="17:19">
      <c r="Q250" s="78">
        <v>38749</v>
      </c>
      <c r="R250">
        <v>43.49</v>
      </c>
    </row>
    <row r="251" spans="17:19">
      <c r="Q251" s="78">
        <v>38777</v>
      </c>
      <c r="R251">
        <v>43.49</v>
      </c>
    </row>
    <row r="252" spans="17:19">
      <c r="Q252" s="78">
        <v>38808</v>
      </c>
      <c r="R252">
        <v>43.51</v>
      </c>
    </row>
    <row r="253" spans="17:19">
      <c r="Q253" s="78">
        <v>38838</v>
      </c>
      <c r="R253">
        <v>43.51</v>
      </c>
    </row>
    <row r="254" spans="17:19">
      <c r="Q254" s="78">
        <v>38869</v>
      </c>
      <c r="R254">
        <v>47.51</v>
      </c>
      <c r="S254">
        <v>47.51</v>
      </c>
    </row>
    <row r="255" spans="17:19">
      <c r="Q255" s="78">
        <v>38899</v>
      </c>
      <c r="R255">
        <v>47.51</v>
      </c>
      <c r="S255">
        <v>46.85</v>
      </c>
    </row>
    <row r="256" spans="17:19">
      <c r="Q256" s="78">
        <v>38930</v>
      </c>
      <c r="R256">
        <v>47.51</v>
      </c>
    </row>
    <row r="257" spans="17:19">
      <c r="Q257" s="78">
        <v>38961</v>
      </c>
      <c r="R257">
        <v>47.51</v>
      </c>
    </row>
    <row r="258" spans="17:19">
      <c r="Q258" s="78">
        <v>38991</v>
      </c>
      <c r="R258">
        <v>47.51</v>
      </c>
    </row>
    <row r="259" spans="17:19">
      <c r="Q259" s="78">
        <v>39022</v>
      </c>
      <c r="R259">
        <v>47.51</v>
      </c>
    </row>
    <row r="260" spans="17:19">
      <c r="Q260" s="78">
        <v>39052</v>
      </c>
      <c r="R260">
        <v>44.85</v>
      </c>
      <c r="S260">
        <v>44.85</v>
      </c>
    </row>
    <row r="261" spans="17:19">
      <c r="Q261" s="78">
        <v>39083</v>
      </c>
      <c r="R261">
        <v>44.85</v>
      </c>
    </row>
    <row r="262" spans="17:19">
      <c r="Q262" s="78">
        <v>39114</v>
      </c>
      <c r="R262">
        <v>43.85</v>
      </c>
      <c r="S262">
        <v>43.85</v>
      </c>
    </row>
    <row r="263" spans="17:19">
      <c r="Q263" s="78">
        <v>39142</v>
      </c>
      <c r="R263">
        <v>42.85</v>
      </c>
      <c r="S263">
        <v>42.85</v>
      </c>
    </row>
    <row r="264" spans="17:19">
      <c r="Q264" s="78">
        <v>39173</v>
      </c>
      <c r="R264">
        <v>42.85</v>
      </c>
    </row>
    <row r="265" spans="17:19">
      <c r="Q265" s="78">
        <v>39203</v>
      </c>
      <c r="R265">
        <v>42.85</v>
      </c>
    </row>
    <row r="266" spans="17:19">
      <c r="Q266" s="78">
        <v>39234</v>
      </c>
      <c r="R266">
        <v>43.52</v>
      </c>
      <c r="S266">
        <v>43.52</v>
      </c>
    </row>
    <row r="267" spans="17:19">
      <c r="Q267" s="78">
        <v>39264</v>
      </c>
      <c r="R267">
        <v>43.52</v>
      </c>
    </row>
    <row r="268" spans="17:19">
      <c r="Q268" s="78">
        <v>39295</v>
      </c>
      <c r="R268">
        <v>43.52</v>
      </c>
    </row>
    <row r="269" spans="17:19">
      <c r="Q269" s="78">
        <v>39326</v>
      </c>
      <c r="R269">
        <v>43.52</v>
      </c>
    </row>
    <row r="270" spans="17:19">
      <c r="Q270" s="78">
        <v>39356</v>
      </c>
      <c r="R270">
        <v>43.52</v>
      </c>
    </row>
    <row r="271" spans="17:19">
      <c r="Q271" s="78">
        <v>39387</v>
      </c>
      <c r="R271">
        <v>43.52</v>
      </c>
    </row>
    <row r="272" spans="17:19">
      <c r="Q272" s="78">
        <v>39417</v>
      </c>
      <c r="R272">
        <v>43.52</v>
      </c>
    </row>
    <row r="273" spans="17:19">
      <c r="Q273" s="78">
        <v>39448</v>
      </c>
      <c r="R273">
        <v>43.52</v>
      </c>
    </row>
    <row r="274" spans="17:19">
      <c r="Q274" s="78">
        <v>39479</v>
      </c>
      <c r="R274">
        <v>44.52</v>
      </c>
      <c r="S274">
        <v>44.52</v>
      </c>
    </row>
    <row r="275" spans="17:19">
      <c r="Q275" s="78">
        <v>39508</v>
      </c>
      <c r="R275">
        <v>45.52</v>
      </c>
      <c r="S275">
        <v>45.52</v>
      </c>
    </row>
    <row r="276" spans="17:19">
      <c r="Q276" s="78">
        <v>39539</v>
      </c>
      <c r="R276">
        <v>45.52</v>
      </c>
    </row>
    <row r="277" spans="17:19">
      <c r="Q277" s="78">
        <v>39569</v>
      </c>
      <c r="R277">
        <v>45.52</v>
      </c>
    </row>
    <row r="278" spans="17:19">
      <c r="Q278" s="78">
        <v>39600</v>
      </c>
      <c r="R278">
        <v>50.56</v>
      </c>
      <c r="S278">
        <v>50.56</v>
      </c>
    </row>
    <row r="279" spans="17:19">
      <c r="Q279" s="78">
        <v>39630</v>
      </c>
      <c r="R279">
        <v>50.6</v>
      </c>
    </row>
    <row r="280" spans="17:19">
      <c r="Q280" s="78">
        <v>39661</v>
      </c>
      <c r="R280">
        <v>50.62</v>
      </c>
    </row>
    <row r="281" spans="17:19">
      <c r="Q281" s="78">
        <v>39692</v>
      </c>
      <c r="R281">
        <v>50.62</v>
      </c>
    </row>
    <row r="282" spans="17:19">
      <c r="Q282" s="78">
        <v>39722</v>
      </c>
      <c r="R282">
        <v>50.62</v>
      </c>
    </row>
    <row r="283" spans="17:19">
      <c r="Q283" s="78">
        <v>39753</v>
      </c>
      <c r="R283">
        <v>50.62</v>
      </c>
    </row>
    <row r="284" spans="17:19">
      <c r="Q284" s="78">
        <v>39783</v>
      </c>
      <c r="R284">
        <v>45.62</v>
      </c>
    </row>
    <row r="285" spans="17:19">
      <c r="Q285" s="78">
        <v>39814</v>
      </c>
      <c r="R285">
        <v>45.62</v>
      </c>
    </row>
    <row r="286" spans="17:19">
      <c r="Q286" s="78">
        <v>39845</v>
      </c>
      <c r="R286">
        <v>40.619999999999997</v>
      </c>
    </row>
    <row r="287" spans="17:19">
      <c r="Q287" s="78">
        <v>39873</v>
      </c>
      <c r="R287">
        <v>40.619999999999997</v>
      </c>
    </row>
    <row r="288" spans="17:19">
      <c r="Q288" s="78">
        <v>39904</v>
      </c>
      <c r="R288">
        <v>40.619999999999997</v>
      </c>
    </row>
    <row r="289" spans="17:18">
      <c r="Q289" s="78">
        <v>39934</v>
      </c>
      <c r="R289">
        <v>40.619999999999997</v>
      </c>
    </row>
    <row r="290" spans="17:18">
      <c r="Q290" s="78">
        <v>39965</v>
      </c>
      <c r="R290">
        <v>40.619999999999997</v>
      </c>
    </row>
    <row r="291" spans="17:18">
      <c r="Q291" s="78">
        <v>39995</v>
      </c>
      <c r="R291">
        <v>44.63</v>
      </c>
    </row>
    <row r="292" spans="17:18">
      <c r="Q292" s="78">
        <v>40026</v>
      </c>
      <c r="R292">
        <v>44.63</v>
      </c>
    </row>
    <row r="293" spans="17:18">
      <c r="Q293" s="78">
        <v>40057</v>
      </c>
      <c r="R293">
        <v>44.63</v>
      </c>
    </row>
    <row r="294" spans="17:18">
      <c r="Q294" s="78">
        <v>40087</v>
      </c>
      <c r="R294">
        <v>44.63</v>
      </c>
    </row>
    <row r="295" spans="17:18">
      <c r="Q295" s="78">
        <v>40118</v>
      </c>
      <c r="R295">
        <v>44.72</v>
      </c>
    </row>
    <row r="296" spans="17:18">
      <c r="Q296" s="78">
        <v>40148</v>
      </c>
      <c r="R296">
        <v>44.72</v>
      </c>
    </row>
    <row r="297" spans="17:18">
      <c r="Q297" s="78">
        <v>40179</v>
      </c>
      <c r="R297">
        <v>44.72</v>
      </c>
    </row>
    <row r="298" spans="17:18">
      <c r="Q298" s="78">
        <v>40210</v>
      </c>
      <c r="R298">
        <v>44.72</v>
      </c>
    </row>
    <row r="299" spans="17:18">
      <c r="Q299" s="78">
        <v>40238</v>
      </c>
      <c r="R299">
        <v>47.43</v>
      </c>
    </row>
    <row r="300" spans="17:18">
      <c r="Q300" s="78">
        <v>40269</v>
      </c>
      <c r="R300">
        <v>47.93</v>
      </c>
    </row>
    <row r="301" spans="17:18">
      <c r="Q301" s="78">
        <v>40299</v>
      </c>
      <c r="R301">
        <v>47.93</v>
      </c>
    </row>
    <row r="302" spans="17:18">
      <c r="Q302" s="78">
        <v>40330</v>
      </c>
      <c r="R302">
        <v>51.43</v>
      </c>
    </row>
    <row r="303" spans="17:18">
      <c r="Q303" s="78">
        <v>40360</v>
      </c>
      <c r="R303">
        <v>51.43</v>
      </c>
    </row>
    <row r="304" spans="17:18">
      <c r="Q304" s="78">
        <v>40391</v>
      </c>
      <c r="R304">
        <v>51.43</v>
      </c>
    </row>
    <row r="305" spans="17:18">
      <c r="Q305" s="78">
        <v>40422</v>
      </c>
      <c r="R305">
        <v>51.56</v>
      </c>
    </row>
    <row r="306" spans="17:18">
      <c r="Q306" s="78">
        <v>40452</v>
      </c>
      <c r="R306">
        <v>52.2</v>
      </c>
    </row>
    <row r="307" spans="17:18">
      <c r="Q307" s="78">
        <v>40483</v>
      </c>
      <c r="R307">
        <v>52.8</v>
      </c>
    </row>
    <row r="308" spans="17:18">
      <c r="Q308" s="78">
        <v>40513</v>
      </c>
      <c r="R308">
        <v>54.4</v>
      </c>
    </row>
    <row r="309" spans="17:18">
      <c r="Q309" s="78">
        <v>40544</v>
      </c>
      <c r="R309">
        <v>57.1</v>
      </c>
    </row>
    <row r="310" spans="17:18">
      <c r="Q310" s="78">
        <v>40575</v>
      </c>
      <c r="R310">
        <v>58.37</v>
      </c>
    </row>
    <row r="311" spans="17:18">
      <c r="Q311" s="78">
        <v>40603</v>
      </c>
      <c r="R311">
        <v>58.37</v>
      </c>
    </row>
    <row r="312" spans="17:18">
      <c r="Q312" s="78">
        <v>40634</v>
      </c>
      <c r="R312">
        <v>58.37</v>
      </c>
    </row>
    <row r="313" spans="17:18">
      <c r="Q313" s="78">
        <v>40664</v>
      </c>
      <c r="R313">
        <v>60.9</v>
      </c>
    </row>
    <row r="314" spans="17:18">
      <c r="Q314" s="78">
        <v>40695</v>
      </c>
      <c r="R314">
        <v>63.37</v>
      </c>
    </row>
    <row r="315" spans="17:18">
      <c r="Q315" s="78">
        <v>40725</v>
      </c>
      <c r="R315">
        <v>63.7</v>
      </c>
    </row>
    <row r="316" spans="17:18">
      <c r="Q316" s="78">
        <v>40756</v>
      </c>
      <c r="R316">
        <v>63.7</v>
      </c>
    </row>
    <row r="317" spans="17:18">
      <c r="Q317" s="78">
        <v>40787</v>
      </c>
      <c r="R317">
        <v>65.900000000000006</v>
      </c>
    </row>
    <row r="318" spans="17:18">
      <c r="Q318" s="78">
        <v>40817</v>
      </c>
      <c r="R318">
        <v>66.84</v>
      </c>
    </row>
    <row r="319" spans="17:18">
      <c r="Q319" s="78">
        <v>40848</v>
      </c>
      <c r="R319">
        <v>67.5</v>
      </c>
    </row>
    <row r="320" spans="17:18">
      <c r="Q320" s="78">
        <v>40878</v>
      </c>
      <c r="R320">
        <v>65.64</v>
      </c>
    </row>
    <row r="321" spans="17:18">
      <c r="Q321" s="78">
        <v>40909</v>
      </c>
      <c r="R321">
        <v>65.64</v>
      </c>
    </row>
    <row r="322" spans="17:18">
      <c r="Q322" s="78">
        <v>40940</v>
      </c>
      <c r="R322">
        <v>65.64</v>
      </c>
    </row>
    <row r="323" spans="17:18">
      <c r="Q323" s="78">
        <v>40969</v>
      </c>
      <c r="R323">
        <v>65.64</v>
      </c>
    </row>
    <row r="324" spans="17:18">
      <c r="Q324" s="78">
        <v>41000</v>
      </c>
      <c r="R324">
        <v>65.64</v>
      </c>
    </row>
    <row r="325" spans="17:18">
      <c r="Q325" s="78">
        <v>41030</v>
      </c>
      <c r="R325">
        <v>65.64</v>
      </c>
    </row>
    <row r="326" spans="17:18">
      <c r="Q326" s="78">
        <v>41061</v>
      </c>
      <c r="R326">
        <v>70.7</v>
      </c>
    </row>
    <row r="327" spans="17:18">
      <c r="Q327" s="78">
        <v>41091</v>
      </c>
      <c r="R327">
        <v>68</v>
      </c>
    </row>
    <row r="328" spans="17:18">
      <c r="Q328" s="78">
        <v>41122</v>
      </c>
      <c r="R328">
        <v>68.459999999999994</v>
      </c>
    </row>
    <row r="329" spans="17:18">
      <c r="Q329" s="78">
        <v>41153</v>
      </c>
      <c r="R329">
        <v>68.459999999999994</v>
      </c>
    </row>
    <row r="330" spans="17:18">
      <c r="Q330" s="78">
        <v>41183</v>
      </c>
      <c r="R330">
        <v>68</v>
      </c>
    </row>
    <row r="331" spans="17:18">
      <c r="Q331" s="78">
        <v>41214</v>
      </c>
      <c r="R331">
        <v>67.7</v>
      </c>
    </row>
    <row r="332" spans="17:18">
      <c r="Q332" s="78">
        <v>41244</v>
      </c>
      <c r="R332">
        <v>67.239999999999995</v>
      </c>
    </row>
    <row r="333" spans="17:18">
      <c r="Q333" s="78">
        <v>41275</v>
      </c>
      <c r="R333">
        <v>67.400000000000006</v>
      </c>
    </row>
    <row r="334" spans="17:18">
      <c r="Q334" s="78">
        <v>41306</v>
      </c>
      <c r="R334">
        <v>68.16</v>
      </c>
    </row>
    <row r="335" spans="17:18">
      <c r="Q335" s="78">
        <v>41334</v>
      </c>
      <c r="R335">
        <v>68.040000000000006</v>
      </c>
    </row>
    <row r="336" spans="17:18">
      <c r="Q336" s="78">
        <v>41365</v>
      </c>
      <c r="R336">
        <v>66.7</v>
      </c>
    </row>
    <row r="337" spans="17:18">
      <c r="Q337" s="78">
        <v>41395</v>
      </c>
      <c r="R337">
        <v>63.09</v>
      </c>
    </row>
    <row r="338" spans="17:18">
      <c r="Q338" s="78">
        <v>41426</v>
      </c>
      <c r="R338">
        <v>65.2</v>
      </c>
    </row>
    <row r="339" spans="17:18">
      <c r="Q339" s="78">
        <v>41456</v>
      </c>
      <c r="R339">
        <v>69.5</v>
      </c>
    </row>
    <row r="340" spans="17:18">
      <c r="Q340" s="78">
        <v>41487</v>
      </c>
      <c r="R340">
        <v>71.28</v>
      </c>
    </row>
    <row r="341" spans="17:18">
      <c r="Q341" s="78">
        <v>41518</v>
      </c>
      <c r="R341">
        <v>75.099999999999994</v>
      </c>
    </row>
    <row r="342" spans="17:18">
      <c r="Q342" s="78">
        <v>41548</v>
      </c>
      <c r="R342">
        <v>72.400000000000006</v>
      </c>
    </row>
    <row r="343" spans="17:18">
      <c r="Q343" s="78">
        <v>41579</v>
      </c>
      <c r="R343">
        <v>71.02</v>
      </c>
    </row>
    <row r="344" spans="17:18">
      <c r="Q344" s="78">
        <v>41609</v>
      </c>
      <c r="R344">
        <v>71.52</v>
      </c>
    </row>
    <row r="345" spans="17:18">
      <c r="Q345" s="78">
        <v>41640</v>
      </c>
      <c r="R345">
        <v>72.430000000000007</v>
      </c>
    </row>
    <row r="346" spans="17:18">
      <c r="Q346" s="78">
        <v>41671</v>
      </c>
      <c r="R346">
        <v>72.430000000000007</v>
      </c>
    </row>
    <row r="347" spans="17:18">
      <c r="Q347" s="78">
        <v>41699</v>
      </c>
      <c r="R347">
        <v>73.16</v>
      </c>
    </row>
    <row r="348" spans="17:18">
      <c r="Q348" s="78">
        <v>41730</v>
      </c>
      <c r="R348">
        <v>71.8</v>
      </c>
    </row>
    <row r="349" spans="17:18">
      <c r="Q349" s="78">
        <v>41760</v>
      </c>
      <c r="R349">
        <v>71.41</v>
      </c>
    </row>
    <row r="350" spans="17:18">
      <c r="Q350" s="78">
        <v>41791</v>
      </c>
      <c r="R350">
        <v>71.510000000000005</v>
      </c>
    </row>
    <row r="351" spans="17:18">
      <c r="Q351" s="78">
        <v>41821</v>
      </c>
      <c r="R351">
        <v>71.56</v>
      </c>
    </row>
    <row r="352" spans="17:18">
      <c r="Q352" s="78">
        <v>41852</v>
      </c>
      <c r="R352">
        <v>71.400000000000006</v>
      </c>
    </row>
    <row r="353" spans="17:18">
      <c r="Q353" s="78">
        <v>41883</v>
      </c>
      <c r="R353">
        <v>68.510000000000005</v>
      </c>
    </row>
    <row r="354" spans="17:18">
      <c r="Q354" s="78">
        <v>41913</v>
      </c>
      <c r="R354">
        <v>67.3</v>
      </c>
    </row>
    <row r="355" spans="17:18">
      <c r="Q355" s="78">
        <v>41944</v>
      </c>
      <c r="R355">
        <v>64.239999999999995</v>
      </c>
    </row>
    <row r="356" spans="17:18">
      <c r="Q356" s="78">
        <v>41974</v>
      </c>
      <c r="R356">
        <v>62.33</v>
      </c>
    </row>
    <row r="357" spans="17:18">
      <c r="Q357" s="78">
        <v>42005</v>
      </c>
      <c r="R357">
        <v>60.1</v>
      </c>
    </row>
    <row r="358" spans="17:18">
      <c r="Q358" s="78">
        <v>42036</v>
      </c>
      <c r="R358">
        <v>56.9</v>
      </c>
    </row>
    <row r="359" spans="17:18">
      <c r="Q359" s="78">
        <v>42064</v>
      </c>
      <c r="R359">
        <v>60.49</v>
      </c>
    </row>
    <row r="360" spans="17:18">
      <c r="Q360" s="78">
        <v>42095</v>
      </c>
      <c r="R360">
        <v>59.6</v>
      </c>
    </row>
    <row r="361" spans="17:18">
      <c r="Q361" s="78">
        <v>42125</v>
      </c>
      <c r="R361">
        <v>64.7</v>
      </c>
    </row>
    <row r="362" spans="17:18">
      <c r="Q362" s="78">
        <v>42156</v>
      </c>
      <c r="R362">
        <v>66.599999999999994</v>
      </c>
    </row>
    <row r="363" spans="17:18">
      <c r="Q363" s="78">
        <v>42186</v>
      </c>
      <c r="R363">
        <v>66.760000000000005</v>
      </c>
    </row>
    <row r="364" spans="17:18">
      <c r="Q364" s="78">
        <v>42217</v>
      </c>
      <c r="R364">
        <v>63.84</v>
      </c>
    </row>
    <row r="365" spans="17:18">
      <c r="Q365" s="78">
        <v>42248</v>
      </c>
      <c r="R365">
        <v>61.2</v>
      </c>
    </row>
    <row r="366" spans="17:18">
      <c r="Q366" s="78">
        <v>42278</v>
      </c>
      <c r="R366">
        <v>61.2</v>
      </c>
    </row>
    <row r="367" spans="17:18">
      <c r="Q367" s="78">
        <v>42309</v>
      </c>
      <c r="R367">
        <v>60.88</v>
      </c>
    </row>
    <row r="368" spans="17:18">
      <c r="Q368" s="78">
        <v>42339</v>
      </c>
      <c r="R368">
        <v>60.23</v>
      </c>
    </row>
    <row r="369" spans="17:18">
      <c r="Q369" s="78">
        <v>42370</v>
      </c>
      <c r="R369">
        <v>59.67</v>
      </c>
    </row>
    <row r="370" spans="17:18">
      <c r="Q370" s="78">
        <v>42401</v>
      </c>
      <c r="R370">
        <v>59.79</v>
      </c>
    </row>
    <row r="371" spans="17:18">
      <c r="Q371" s="78">
        <v>42430</v>
      </c>
      <c r="R371">
        <v>58.15</v>
      </c>
    </row>
    <row r="372" spans="17:18">
      <c r="Q372" s="78">
        <v>42461</v>
      </c>
      <c r="R372">
        <v>61.5</v>
      </c>
    </row>
    <row r="373" spans="17:18">
      <c r="Q373" s="78">
        <v>42491</v>
      </c>
      <c r="R373">
        <v>62.61</v>
      </c>
    </row>
    <row r="374" spans="17:18">
      <c r="Q374" s="78">
        <v>42522</v>
      </c>
      <c r="R374">
        <v>65.63</v>
      </c>
    </row>
    <row r="375" spans="17:18">
      <c r="Q375" s="78">
        <v>42552</v>
      </c>
      <c r="R375">
        <v>63.64</v>
      </c>
    </row>
    <row r="376" spans="17:18">
      <c r="Q376" s="78">
        <v>42583</v>
      </c>
      <c r="R376">
        <v>60.59</v>
      </c>
    </row>
    <row r="377" spans="17:18">
      <c r="Q377" s="78">
        <v>42614</v>
      </c>
      <c r="R377">
        <v>63.84</v>
      </c>
    </row>
    <row r="378" spans="17:18">
      <c r="Q378" s="78">
        <v>42644</v>
      </c>
      <c r="R378">
        <v>65.52</v>
      </c>
    </row>
    <row r="379" spans="17:18">
      <c r="Q379" s="78">
        <v>42675</v>
      </c>
      <c r="R379">
        <v>66.78</v>
      </c>
    </row>
    <row r="380" spans="17:18">
      <c r="Q380" s="78">
        <v>42705</v>
      </c>
      <c r="R380">
        <v>67.52</v>
      </c>
    </row>
    <row r="381" spans="17:18">
      <c r="Q381" s="78">
        <v>42736</v>
      </c>
      <c r="R381">
        <v>70.87</v>
      </c>
    </row>
    <row r="382" spans="17:18">
      <c r="Q382" s="78">
        <v>42767</v>
      </c>
      <c r="R382">
        <v>71.14</v>
      </c>
    </row>
    <row r="383" spans="17:18">
      <c r="Q383" s="78">
        <v>42795</v>
      </c>
      <c r="R383">
        <v>71.14</v>
      </c>
    </row>
    <row r="384" spans="17:18">
      <c r="Q384" s="78">
        <v>42826</v>
      </c>
      <c r="R384">
        <v>67.180000000000007</v>
      </c>
    </row>
    <row r="385" spans="17:18">
      <c r="Q385" s="78">
        <v>42856</v>
      </c>
      <c r="R385">
        <v>66.709999999999994</v>
      </c>
    </row>
    <row r="386" spans="17:18">
      <c r="Q386" s="78">
        <v>42887</v>
      </c>
      <c r="R386">
        <v>64.37</v>
      </c>
    </row>
    <row r="387" spans="17:18">
      <c r="Q387" s="78">
        <v>42917</v>
      </c>
      <c r="R387">
        <v>64.02</v>
      </c>
    </row>
    <row r="388" spans="17:18">
      <c r="Q388" s="78">
        <v>42948</v>
      </c>
      <c r="R388">
        <v>67.77</v>
      </c>
    </row>
    <row r="389" spans="17:18">
      <c r="Q389" s="78">
        <v>42979</v>
      </c>
      <c r="R389">
        <v>70.209999999999994</v>
      </c>
    </row>
    <row r="390" spans="17:18">
      <c r="Q390" s="78">
        <v>43009</v>
      </c>
      <c r="R390">
        <v>68.739999999999995</v>
      </c>
    </row>
    <row r="391" spans="17:18">
      <c r="Q391" s="78">
        <v>43040</v>
      </c>
      <c r="R391">
        <v>69.53</v>
      </c>
    </row>
    <row r="392" spans="17:18">
      <c r="Q392" s="78">
        <v>43070</v>
      </c>
      <c r="R392">
        <v>69.37</v>
      </c>
    </row>
    <row r="393" spans="17:18">
      <c r="Q393" s="78">
        <v>43101</v>
      </c>
      <c r="R393">
        <v>71.38</v>
      </c>
    </row>
    <row r="394" spans="17:18">
      <c r="Q394" s="78">
        <v>43132</v>
      </c>
      <c r="R394">
        <v>72.52</v>
      </c>
    </row>
    <row r="395" spans="17:18">
      <c r="Q395" s="78">
        <v>43160</v>
      </c>
      <c r="R395">
        <v>72.44</v>
      </c>
    </row>
    <row r="396" spans="17:18">
      <c r="Q396" s="78">
        <v>43191</v>
      </c>
      <c r="R396">
        <v>74</v>
      </c>
    </row>
    <row r="397" spans="17:18">
      <c r="Q397" s="78">
        <v>43221</v>
      </c>
    </row>
    <row r="398" spans="17:18">
      <c r="Q398" s="78">
        <v>43252</v>
      </c>
    </row>
    <row r="399" spans="17:18">
      <c r="Q399" s="78">
        <v>43282</v>
      </c>
    </row>
    <row r="400" spans="17:18">
      <c r="Q400" s="78">
        <v>43313</v>
      </c>
    </row>
    <row r="401" spans="17:17">
      <c r="Q401" s="78">
        <v>43344</v>
      </c>
    </row>
    <row r="402" spans="17:17">
      <c r="Q402" s="78">
        <v>43374</v>
      </c>
    </row>
    <row r="403" spans="17:17">
      <c r="Q403" s="78">
        <v>43405</v>
      </c>
    </row>
    <row r="404" spans="17:17">
      <c r="Q404" s="78">
        <v>43435</v>
      </c>
    </row>
  </sheetData>
  <mergeCells count="1">
    <mergeCell ref="A5:E5"/>
  </mergeCells>
  <hyperlinks>
    <hyperlink ref="A1" r:id="rId1" display="http://www.iocl.com/Products/PetrolDomesticPrices.aspx"/>
  </hyperlinks>
  <printOptions gridLines="1"/>
  <pageMargins left="0.7" right="0.7" top="0.75" bottom="0.75" header="0.3" footer="0.3"/>
  <pageSetup paperSize="9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showGridLines="0" workbookViewId="0">
      <selection activeCell="A3" sqref="A3:G24"/>
    </sheetView>
  </sheetViews>
  <sheetFormatPr defaultRowHeight="15"/>
  <cols>
    <col min="1" max="1" width="18.2851562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0.99266641521383991</v>
      </c>
    </row>
    <row r="5" spans="1:7">
      <c r="A5" s="13" t="s">
        <v>80</v>
      </c>
      <c r="B5" s="13">
        <v>0.98538661189349552</v>
      </c>
    </row>
    <row r="6" spans="1:7">
      <c r="A6" s="13" t="s">
        <v>81</v>
      </c>
      <c r="B6" s="13">
        <v>0.98316283544250571</v>
      </c>
    </row>
    <row r="7" spans="1:7">
      <c r="A7" s="13" t="s">
        <v>82</v>
      </c>
      <c r="B7" s="13">
        <v>1.8717304902512444E-2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7</v>
      </c>
      <c r="C12" s="13">
        <v>1.086676312873776</v>
      </c>
      <c r="D12" s="13">
        <v>0.15523947326768228</v>
      </c>
      <c r="E12" s="13">
        <v>443.11406007329884</v>
      </c>
      <c r="F12" s="13">
        <v>5.4441820402115149E-40</v>
      </c>
    </row>
    <row r="13" spans="1:7">
      <c r="A13" s="13" t="s">
        <v>86</v>
      </c>
      <c r="B13" s="13">
        <v>46</v>
      </c>
      <c r="C13" s="13">
        <v>1.611552512942635E-2</v>
      </c>
      <c r="D13" s="13">
        <v>3.5033750281361631E-4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1.1027918380032022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0.24032342152996813</v>
      </c>
      <c r="C17" s="13">
        <v>7.3298839111087507E-3</v>
      </c>
      <c r="D17" s="13">
        <v>32.78679777803135</v>
      </c>
      <c r="E17" s="13">
        <v>1.5123253123390907E-33</v>
      </c>
      <c r="F17" s="13">
        <v>0.225569130464707</v>
      </c>
      <c r="G17" s="13">
        <v>0.25507771259522927</v>
      </c>
    </row>
    <row r="18" spans="1:7">
      <c r="A18" s="13" t="s">
        <v>229</v>
      </c>
      <c r="B18" s="13">
        <v>5.4780936457447076E-3</v>
      </c>
      <c r="C18" s="13">
        <v>1.4751861053415353E-4</v>
      </c>
      <c r="D18" s="13">
        <v>37.134932507220292</v>
      </c>
      <c r="E18" s="13">
        <v>6.0351870642618203E-36</v>
      </c>
      <c r="F18" s="13">
        <v>5.1811540838418001E-3</v>
      </c>
      <c r="G18" s="13">
        <v>5.775033207647615E-3</v>
      </c>
    </row>
    <row r="19" spans="1:7">
      <c r="A19" s="13" t="s">
        <v>1993</v>
      </c>
      <c r="B19" s="13">
        <v>0.1603718442204746</v>
      </c>
      <c r="C19" s="13">
        <v>1.9432049496258975E-2</v>
      </c>
      <c r="D19" s="13">
        <v>8.2529557292116369</v>
      </c>
      <c r="E19" s="13">
        <v>1.2566400900322509E-10</v>
      </c>
      <c r="F19" s="13">
        <v>0.12125715731147038</v>
      </c>
      <c r="G19" s="13">
        <v>0.19948653112947881</v>
      </c>
    </row>
    <row r="20" spans="1:7">
      <c r="A20" s="13" t="s">
        <v>2088</v>
      </c>
      <c r="B20" s="13">
        <v>0.15704514647796569</v>
      </c>
      <c r="C20" s="13">
        <v>1.4452576084390847E-2</v>
      </c>
      <c r="D20" s="13">
        <v>10.866239040082167</v>
      </c>
      <c r="E20" s="13">
        <v>2.7141227354303135E-14</v>
      </c>
      <c r="F20" s="13">
        <v>0.12795361968464714</v>
      </c>
      <c r="G20" s="13">
        <v>0.18613667327128425</v>
      </c>
    </row>
    <row r="21" spans="1:7">
      <c r="A21" s="13" t="s">
        <v>1995</v>
      </c>
      <c r="B21" s="13">
        <v>0.17275876262175863</v>
      </c>
      <c r="C21" s="13">
        <v>9.0451451639195733E-3</v>
      </c>
      <c r="D21" s="13">
        <v>19.099611945519765</v>
      </c>
      <c r="E21" s="13">
        <v>1.6707163039549933E-23</v>
      </c>
      <c r="F21" s="13">
        <v>0.15455182972971754</v>
      </c>
      <c r="G21" s="13">
        <v>0.19096569551379972</v>
      </c>
    </row>
    <row r="22" spans="1:7">
      <c r="A22" s="13" t="s">
        <v>2089</v>
      </c>
      <c r="B22" s="13">
        <v>-8.2766443832308981E-2</v>
      </c>
      <c r="C22" s="13">
        <v>8.8372200259463161E-3</v>
      </c>
      <c r="D22" s="13">
        <v>-9.3656651740371366</v>
      </c>
      <c r="E22" s="13">
        <v>3.1359018566254342E-12</v>
      </c>
      <c r="F22" s="13">
        <v>-0.10055484512921897</v>
      </c>
      <c r="G22" s="13">
        <v>-6.4978042535398989E-2</v>
      </c>
    </row>
    <row r="23" spans="1:7">
      <c r="A23" s="13" t="s">
        <v>2195</v>
      </c>
      <c r="B23" s="13">
        <v>-7.6903749764393486E-2</v>
      </c>
      <c r="C23" s="13">
        <v>1.519918928974792E-2</v>
      </c>
      <c r="D23" s="13">
        <v>-5.0597270879616065</v>
      </c>
      <c r="E23" s="13">
        <v>7.1918088273749818E-6</v>
      </c>
      <c r="F23" s="13">
        <v>-0.10749813099287041</v>
      </c>
      <c r="G23" s="13">
        <v>-4.6309368535916565E-2</v>
      </c>
    </row>
    <row r="24" spans="1:7" ht="15.75" thickBot="1">
      <c r="A24" s="14" t="s">
        <v>2058</v>
      </c>
      <c r="B24" s="14">
        <v>-8.5327328001289435E-2</v>
      </c>
      <c r="C24" s="14">
        <v>1.7457682630152307E-2</v>
      </c>
      <c r="D24" s="14">
        <v>-4.8876663534892666</v>
      </c>
      <c r="E24" s="14">
        <v>1.2802365491061089E-5</v>
      </c>
      <c r="F24" s="14">
        <v>-0.12046782053485519</v>
      </c>
      <c r="G24" s="14">
        <v>-5.0186835467723678E-2</v>
      </c>
    </row>
    <row r="42" spans="9:9">
      <c r="I42" t="s">
        <v>1903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177"/>
  <sheetViews>
    <sheetView zoomScale="75" zoomScaleNormal="75" workbookViewId="0">
      <pane xSplit="1" ySplit="4" topLeftCell="AL52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H97"/>
    </sheetView>
  </sheetViews>
  <sheetFormatPr defaultRowHeight="15"/>
  <cols>
    <col min="1" max="1" width="6.7109375" customWidth="1"/>
    <col min="2" max="2" width="9" customWidth="1"/>
    <col min="3" max="3" width="10" customWidth="1"/>
    <col min="4" max="4" width="11.140625" style="2" customWidth="1"/>
    <col min="5" max="5" width="9.85546875" style="2" customWidth="1"/>
    <col min="6" max="6" width="10.140625" style="2" customWidth="1"/>
    <col min="7" max="7" width="9.42578125" style="2" customWidth="1"/>
    <col min="8" max="9" width="9.28515625" style="2" bestFit="1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9.5703125" style="37" customWidth="1"/>
    <col min="16" max="17" width="11.5703125" style="32" customWidth="1"/>
    <col min="18" max="18" width="9.5703125" style="37" customWidth="1"/>
    <col min="19" max="22" width="9.28515625" style="2" bestFit="1" customWidth="1"/>
    <col min="23" max="23" width="10.42578125" style="37" customWidth="1"/>
    <col min="24" max="26" width="9.28515625" style="2" bestFit="1" customWidth="1"/>
    <col min="27" max="27" width="10.140625" style="2" customWidth="1"/>
    <col min="28" max="29" width="9.28515625" style="2" bestFit="1" customWidth="1"/>
    <col min="30" max="36" width="9.140625" style="2"/>
    <col min="40" max="40" width="6.7109375" style="2" customWidth="1"/>
    <col min="41" max="41" width="7.5703125" style="2" customWidth="1"/>
    <col min="42" max="42" width="7.42578125" style="2" customWidth="1"/>
    <col min="43" max="43" width="8" style="2" customWidth="1"/>
    <col min="44" max="44" width="7.42578125" style="2" customWidth="1"/>
    <col min="45" max="45" width="7.28515625" style="23" customWidth="1"/>
    <col min="46" max="46" width="2.28515625" style="12" customWidth="1"/>
    <col min="47" max="47" width="9.7109375" style="12" customWidth="1"/>
    <col min="48" max="48" width="2.42578125" style="7" customWidth="1"/>
    <col min="49" max="49" width="8" style="3" customWidth="1"/>
    <col min="50" max="50" width="9.28515625" style="3" customWidth="1"/>
    <col min="51" max="51" width="7.5703125" customWidth="1"/>
    <col min="52" max="52" width="7.85546875" customWidth="1"/>
    <col min="53" max="53" width="9.140625" style="9"/>
    <col min="54" max="54" width="9.7109375" customWidth="1"/>
    <col min="55" max="55" width="4.7109375" customWidth="1"/>
    <col min="56" max="56" width="5.85546875" customWidth="1"/>
    <col min="57" max="57" width="6.140625" customWidth="1"/>
    <col min="58" max="58" width="5.5703125" customWidth="1"/>
    <col min="59" max="60" width="5.85546875" customWidth="1"/>
    <col min="61" max="61" width="8.7109375" customWidth="1"/>
    <col min="62" max="62" width="9.85546875" customWidth="1"/>
    <col min="63" max="63" width="10.140625" customWidth="1"/>
  </cols>
  <sheetData>
    <row r="1" spans="1:63">
      <c r="A1" s="23" t="s">
        <v>173</v>
      </c>
      <c r="B1" s="23"/>
      <c r="C1" s="23"/>
      <c r="G1" s="39" t="s">
        <v>117</v>
      </c>
      <c r="H1" s="3" t="s">
        <v>3</v>
      </c>
      <c r="I1" s="3" t="s">
        <v>3</v>
      </c>
      <c r="J1" s="3" t="s">
        <v>3</v>
      </c>
      <c r="K1" s="3" t="s">
        <v>3</v>
      </c>
      <c r="L1" s="3" t="s">
        <v>3</v>
      </c>
      <c r="M1" s="3" t="s">
        <v>3</v>
      </c>
      <c r="N1" s="3" t="s">
        <v>3</v>
      </c>
      <c r="O1" s="2"/>
      <c r="P1" s="37"/>
      <c r="R1" s="32"/>
      <c r="S1" s="37"/>
      <c r="W1" s="2"/>
      <c r="X1" s="37"/>
      <c r="AK1" s="2"/>
      <c r="AN1"/>
      <c r="AO1" s="2" t="s">
        <v>1703</v>
      </c>
      <c r="AS1" s="2"/>
      <c r="AV1" s="12"/>
      <c r="AW1" s="2" t="s">
        <v>2039</v>
      </c>
      <c r="AY1" s="3"/>
      <c r="BA1"/>
      <c r="BB1" s="9"/>
      <c r="BF1" s="3"/>
      <c r="BJ1" s="2"/>
      <c r="BK1" s="3"/>
    </row>
    <row r="2" spans="1:63">
      <c r="D2" s="2" t="s">
        <v>45</v>
      </c>
      <c r="F2" s="2" t="s">
        <v>46</v>
      </c>
      <c r="H2" s="3" t="s">
        <v>1703</v>
      </c>
      <c r="I2" s="3" t="s">
        <v>1703</v>
      </c>
      <c r="J2" s="3" t="s">
        <v>1703</v>
      </c>
      <c r="K2" s="3" t="s">
        <v>1703</v>
      </c>
      <c r="L2" s="3" t="s">
        <v>1703</v>
      </c>
      <c r="M2" s="3"/>
      <c r="N2"/>
      <c r="O2" s="37" t="s">
        <v>173</v>
      </c>
      <c r="P2" s="37"/>
      <c r="Q2" s="37" t="s">
        <v>173</v>
      </c>
      <c r="R2" s="38" t="s">
        <v>142</v>
      </c>
      <c r="S2" s="37"/>
      <c r="T2" s="37" t="s">
        <v>173</v>
      </c>
      <c r="W2" s="2"/>
      <c r="X2" s="37"/>
      <c r="Y2" s="37" t="s">
        <v>173</v>
      </c>
      <c r="Z2" s="37" t="s">
        <v>173</v>
      </c>
      <c r="AA2" s="37" t="s">
        <v>173</v>
      </c>
      <c r="AB2" s="37" t="s">
        <v>173</v>
      </c>
      <c r="AC2" s="37" t="s">
        <v>173</v>
      </c>
      <c r="AD2" s="2" t="s">
        <v>113</v>
      </c>
      <c r="AK2" s="2"/>
      <c r="AN2"/>
      <c r="AS2" s="2"/>
      <c r="AV2" s="12"/>
      <c r="AY2" s="3"/>
      <c r="BA2"/>
      <c r="BB2" s="9"/>
      <c r="BF2" s="3"/>
      <c r="BJ2" s="3"/>
      <c r="BK2" s="3"/>
    </row>
    <row r="3" spans="1:63">
      <c r="B3" t="s">
        <v>182</v>
      </c>
      <c r="C3" t="s">
        <v>218</v>
      </c>
      <c r="D3" s="37" t="s">
        <v>173</v>
      </c>
      <c r="F3" s="37" t="s">
        <v>173</v>
      </c>
      <c r="H3" s="37" t="s">
        <v>173</v>
      </c>
      <c r="I3" s="37" t="s">
        <v>173</v>
      </c>
      <c r="J3" s="37" t="s">
        <v>173</v>
      </c>
      <c r="L3" s="37" t="s">
        <v>173</v>
      </c>
      <c r="M3" s="2" t="s">
        <v>25</v>
      </c>
      <c r="N3" s="3" t="s">
        <v>1703</v>
      </c>
      <c r="O3" s="2" t="s">
        <v>5</v>
      </c>
      <c r="P3" s="37"/>
      <c r="Q3" s="38" t="s">
        <v>133</v>
      </c>
      <c r="R3" s="38" t="s">
        <v>133</v>
      </c>
      <c r="S3" s="37"/>
      <c r="T3" s="2" t="s">
        <v>128</v>
      </c>
      <c r="W3" s="2"/>
      <c r="X3" s="37"/>
      <c r="Y3" s="2" t="s">
        <v>61</v>
      </c>
      <c r="Z3" s="2" t="s">
        <v>61</v>
      </c>
      <c r="AA3" s="2" t="s">
        <v>2192</v>
      </c>
      <c r="AB3" s="2" t="s">
        <v>61</v>
      </c>
      <c r="AC3" s="38" t="s">
        <v>61</v>
      </c>
      <c r="AD3" s="2" t="s">
        <v>61</v>
      </c>
      <c r="AK3" s="2"/>
      <c r="AN3" s="46" t="s">
        <v>2103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46" t="s">
        <v>1703</v>
      </c>
      <c r="AT3" s="3"/>
      <c r="AU3" s="46"/>
      <c r="AV3" s="3"/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2115</v>
      </c>
      <c r="BB3" s="46" t="s">
        <v>2102</v>
      </c>
      <c r="BC3" s="46" t="s">
        <v>2098</v>
      </c>
      <c r="BD3" s="46" t="s">
        <v>2098</v>
      </c>
      <c r="BE3" s="46" t="s">
        <v>2098</v>
      </c>
      <c r="BF3" s="46" t="s">
        <v>2098</v>
      </c>
      <c r="BG3" s="46" t="s">
        <v>2098</v>
      </c>
      <c r="BH3" s="46" t="s">
        <v>2098</v>
      </c>
      <c r="BJ3" s="46" t="s">
        <v>2444</v>
      </c>
      <c r="BK3" s="46" t="s">
        <v>2444</v>
      </c>
    </row>
    <row r="4" spans="1:63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L4" s="41" t="s">
        <v>8</v>
      </c>
      <c r="M4" s="2" t="s">
        <v>9</v>
      </c>
      <c r="N4" s="41" t="s">
        <v>145</v>
      </c>
      <c r="O4" s="2" t="s">
        <v>10</v>
      </c>
      <c r="P4" s="37"/>
      <c r="Q4" s="38" t="s">
        <v>101</v>
      </c>
      <c r="R4" s="38" t="s">
        <v>103</v>
      </c>
      <c r="S4" s="37"/>
      <c r="T4" s="13" t="s">
        <v>229</v>
      </c>
      <c r="U4" s="2" t="s">
        <v>126</v>
      </c>
      <c r="V4" s="2" t="s">
        <v>126</v>
      </c>
      <c r="W4" s="2" t="s">
        <v>126</v>
      </c>
      <c r="X4" s="37"/>
      <c r="Y4" s="2" t="s">
        <v>109</v>
      </c>
      <c r="Z4" s="2" t="s">
        <v>111</v>
      </c>
      <c r="AA4" s="2" t="s">
        <v>152</v>
      </c>
      <c r="AB4" s="2" t="s">
        <v>112</v>
      </c>
      <c r="AC4" s="38" t="s">
        <v>87</v>
      </c>
      <c r="AD4" s="2" t="s">
        <v>87</v>
      </c>
      <c r="AG4" s="2" t="s">
        <v>2191</v>
      </c>
      <c r="AK4" s="2"/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T4" s="3"/>
      <c r="AU4" s="139" t="s">
        <v>237</v>
      </c>
      <c r="AV4" s="3"/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>
        <v>73</v>
      </c>
      <c r="BD4" s="46">
        <v>7880</v>
      </c>
      <c r="BE4" s="46">
        <v>8389</v>
      </c>
      <c r="BF4" s="46">
        <v>9199</v>
      </c>
      <c r="BG4" s="138" t="s">
        <v>2194</v>
      </c>
      <c r="BH4" s="138" t="s">
        <v>2193</v>
      </c>
      <c r="BJ4" s="46" t="s">
        <v>131</v>
      </c>
      <c r="BK4" s="46" t="s">
        <v>2097</v>
      </c>
    </row>
    <row r="5" spans="1:63">
      <c r="A5">
        <v>1926</v>
      </c>
      <c r="K5" s="32"/>
      <c r="O5" s="2"/>
      <c r="P5" s="37"/>
      <c r="R5" s="32"/>
      <c r="S5" s="37"/>
      <c r="W5" s="2"/>
      <c r="X5" s="37"/>
      <c r="AK5" s="2"/>
      <c r="AN5">
        <v>1926</v>
      </c>
      <c r="AS5" s="2"/>
      <c r="AV5" s="12"/>
      <c r="AY5" s="3"/>
      <c r="BA5"/>
      <c r="BB5" s="9"/>
      <c r="BF5" s="3"/>
      <c r="BJ5" s="3"/>
      <c r="BK5" s="3"/>
    </row>
    <row r="6" spans="1:63">
      <c r="A6">
        <v>1927</v>
      </c>
      <c r="K6" s="32"/>
      <c r="O6" s="2"/>
      <c r="P6" s="37"/>
      <c r="R6" s="32"/>
      <c r="S6" s="37"/>
      <c r="W6" s="2"/>
      <c r="X6" s="37"/>
      <c r="AK6" s="2"/>
      <c r="AN6">
        <v>1927</v>
      </c>
      <c r="AS6" s="2"/>
      <c r="AV6" s="12"/>
      <c r="AY6" s="3"/>
      <c r="BA6"/>
      <c r="BB6" s="9"/>
      <c r="BF6" s="3"/>
      <c r="BJ6" s="3"/>
      <c r="BK6" s="3"/>
    </row>
    <row r="7" spans="1:63">
      <c r="A7">
        <v>1928</v>
      </c>
      <c r="K7" s="32"/>
      <c r="O7" s="2"/>
      <c r="P7" s="37"/>
      <c r="R7" s="32"/>
      <c r="S7" s="37"/>
      <c r="W7" s="2"/>
      <c r="X7" s="37"/>
      <c r="AK7" s="2"/>
      <c r="AN7">
        <v>1928</v>
      </c>
      <c r="AS7" s="2"/>
      <c r="AV7" s="12"/>
      <c r="AY7" s="3"/>
      <c r="BA7"/>
      <c r="BB7" s="9"/>
      <c r="BF7" s="3"/>
      <c r="BJ7" s="3"/>
      <c r="BK7" s="3"/>
    </row>
    <row r="8" spans="1:63">
      <c r="A8">
        <v>1929</v>
      </c>
      <c r="K8" s="32"/>
      <c r="O8" s="2"/>
      <c r="P8" s="37"/>
      <c r="R8" s="32"/>
      <c r="S8" s="37"/>
      <c r="W8" s="2"/>
      <c r="X8" s="37"/>
      <c r="AK8" s="2"/>
      <c r="AN8">
        <v>1929</v>
      </c>
      <c r="AS8" s="2"/>
      <c r="AV8" s="12"/>
      <c r="AY8" s="3"/>
      <c r="BA8"/>
      <c r="BB8" s="9"/>
      <c r="BF8" s="3"/>
      <c r="BJ8" s="3"/>
      <c r="BK8" s="3"/>
    </row>
    <row r="9" spans="1:63">
      <c r="A9">
        <v>1930</v>
      </c>
      <c r="K9" s="32"/>
      <c r="O9" s="2"/>
      <c r="P9" s="37"/>
      <c r="R9" s="32"/>
      <c r="S9" s="37"/>
      <c r="W9" s="2"/>
      <c r="X9" s="37"/>
      <c r="AK9" s="2"/>
      <c r="AN9">
        <v>1930</v>
      </c>
      <c r="AS9" s="2"/>
      <c r="AV9" s="12"/>
      <c r="AY9" s="3"/>
      <c r="BA9"/>
      <c r="BB9" s="9"/>
      <c r="BF9" s="3"/>
      <c r="BJ9" s="3"/>
      <c r="BK9" s="3"/>
    </row>
    <row r="10" spans="1:63">
      <c r="A10">
        <v>1931</v>
      </c>
      <c r="K10" s="32"/>
      <c r="O10" s="2"/>
      <c r="P10" s="37"/>
      <c r="R10" s="32"/>
      <c r="S10" s="37"/>
      <c r="W10" s="2"/>
      <c r="X10" s="37"/>
      <c r="AK10" s="2"/>
      <c r="AN10">
        <v>1931</v>
      </c>
      <c r="AS10" s="2"/>
      <c r="AV10" s="12"/>
      <c r="AY10" s="3"/>
      <c r="BA10"/>
      <c r="BB10" s="9"/>
      <c r="BF10" s="3"/>
      <c r="BJ10" s="3"/>
      <c r="BK10" s="3"/>
    </row>
    <row r="11" spans="1:63">
      <c r="A11">
        <v>1932</v>
      </c>
      <c r="K11" s="32"/>
      <c r="O11" s="2"/>
      <c r="P11" s="37"/>
      <c r="R11" s="32"/>
      <c r="S11" s="37"/>
      <c r="W11" s="2"/>
      <c r="X11" s="37"/>
      <c r="AK11" s="2"/>
      <c r="AN11">
        <v>1932</v>
      </c>
      <c r="AS11" s="2"/>
      <c r="AV11" s="12"/>
      <c r="AY11" s="3"/>
      <c r="BA11"/>
      <c r="BB11" s="9"/>
      <c r="BF11" s="3"/>
      <c r="BJ11" s="3"/>
      <c r="BK11" s="3"/>
    </row>
    <row r="12" spans="1:63">
      <c r="A12">
        <v>1933</v>
      </c>
      <c r="K12" s="32"/>
      <c r="O12" s="2"/>
      <c r="P12" s="37"/>
      <c r="R12" s="32"/>
      <c r="S12" s="37"/>
      <c r="W12" s="2"/>
      <c r="X12" s="37"/>
      <c r="AK12" s="2"/>
      <c r="AN12">
        <v>1933</v>
      </c>
      <c r="AS12" s="2"/>
      <c r="AV12" s="12"/>
      <c r="AY12" s="3"/>
      <c r="BA12"/>
      <c r="BB12" s="9"/>
      <c r="BF12" s="3"/>
      <c r="BJ12" s="3"/>
      <c r="BK12" s="3"/>
    </row>
    <row r="13" spans="1:63">
      <c r="A13">
        <v>1934</v>
      </c>
      <c r="K13" s="32"/>
      <c r="O13" s="2"/>
      <c r="P13" s="37"/>
      <c r="R13" s="32"/>
      <c r="S13" s="37"/>
      <c r="W13" s="2"/>
      <c r="X13" s="37"/>
      <c r="AK13" s="2"/>
      <c r="AN13">
        <v>1934</v>
      </c>
      <c r="AS13" s="2"/>
      <c r="AV13" s="12"/>
      <c r="AY13" s="3"/>
      <c r="BA13"/>
      <c r="BB13" s="9"/>
      <c r="BF13" s="3"/>
      <c r="BJ13" s="3"/>
      <c r="BK13" s="3"/>
    </row>
    <row r="14" spans="1:63">
      <c r="A14">
        <v>1935</v>
      </c>
      <c r="K14" s="32"/>
      <c r="O14" s="2"/>
      <c r="P14" s="37"/>
      <c r="R14" s="32"/>
      <c r="S14" s="37"/>
      <c r="W14" s="2"/>
      <c r="X14" s="37"/>
      <c r="AK14" s="2"/>
      <c r="AN14">
        <v>1935</v>
      </c>
      <c r="AS14" s="2"/>
      <c r="AV14" s="12"/>
      <c r="AY14" s="3"/>
      <c r="BA14"/>
      <c r="BB14" s="9"/>
      <c r="BF14" s="3"/>
      <c r="BJ14" s="3"/>
      <c r="BK14" s="3"/>
    </row>
    <row r="15" spans="1:63">
      <c r="A15">
        <v>1936</v>
      </c>
      <c r="K15" s="32"/>
      <c r="O15" s="2"/>
      <c r="P15" s="37"/>
      <c r="R15" s="32"/>
      <c r="S15" s="37"/>
      <c r="W15" s="2"/>
      <c r="X15" s="37"/>
      <c r="AK15" s="2"/>
      <c r="AN15">
        <v>1936</v>
      </c>
      <c r="AS15" s="2"/>
      <c r="AV15" s="12"/>
      <c r="AY15" s="3"/>
      <c r="BA15"/>
      <c r="BB15" s="9"/>
      <c r="BF15" s="3"/>
      <c r="BJ15" s="3"/>
      <c r="BK15" s="3"/>
    </row>
    <row r="16" spans="1:63">
      <c r="A16">
        <v>1937</v>
      </c>
      <c r="K16" s="32"/>
      <c r="O16" s="2"/>
      <c r="P16" s="37"/>
      <c r="R16" s="32"/>
      <c r="S16" s="37"/>
      <c r="W16" s="2"/>
      <c r="X16" s="37"/>
      <c r="AK16" s="2"/>
      <c r="AN16">
        <v>1937</v>
      </c>
      <c r="AS16" s="2"/>
      <c r="AV16" s="12"/>
      <c r="AY16" s="3"/>
      <c r="BA16"/>
      <c r="BB16" s="9"/>
      <c r="BF16" s="3"/>
      <c r="BJ16" s="3"/>
      <c r="BK16" s="3"/>
    </row>
    <row r="17" spans="1:63">
      <c r="A17">
        <v>1938</v>
      </c>
      <c r="K17" s="32"/>
      <c r="O17" s="2"/>
      <c r="P17" s="37"/>
      <c r="R17" s="32"/>
      <c r="S17" s="37"/>
      <c r="W17" s="2"/>
      <c r="X17" s="37"/>
      <c r="AK17" s="2"/>
      <c r="AN17">
        <v>1938</v>
      </c>
      <c r="AS17" s="2"/>
      <c r="AV17" s="12"/>
      <c r="AY17" s="3"/>
      <c r="BA17"/>
      <c r="BB17" s="9"/>
      <c r="BF17" s="3"/>
      <c r="BJ17" s="3"/>
      <c r="BK17" s="3"/>
    </row>
    <row r="18" spans="1:63">
      <c r="A18">
        <v>1939</v>
      </c>
      <c r="K18" s="32"/>
      <c r="O18" s="2"/>
      <c r="P18" s="37"/>
      <c r="R18" s="32"/>
      <c r="S18" s="37"/>
      <c r="W18" s="2"/>
      <c r="X18" s="37"/>
      <c r="AK18" s="2"/>
      <c r="AN18">
        <v>1939</v>
      </c>
      <c r="AS18" s="2"/>
      <c r="AV18" s="12"/>
      <c r="AY18" s="3"/>
      <c r="BA18"/>
      <c r="BB18" s="9"/>
      <c r="BF18" s="3"/>
      <c r="BJ18" s="3"/>
      <c r="BK18" s="3"/>
    </row>
    <row r="19" spans="1:63">
      <c r="A19">
        <v>1940</v>
      </c>
      <c r="K19" s="32"/>
      <c r="O19" s="2"/>
      <c r="P19" s="37"/>
      <c r="R19" s="32"/>
      <c r="S19" s="37"/>
      <c r="W19" s="2"/>
      <c r="X19" s="37"/>
      <c r="AK19" s="2"/>
      <c r="AN19">
        <v>1940</v>
      </c>
      <c r="AS19" s="2"/>
      <c r="AV19" s="12"/>
      <c r="AY19" s="3"/>
      <c r="BA19"/>
      <c r="BB19" s="9"/>
      <c r="BF19" s="3"/>
      <c r="BJ19" s="3"/>
      <c r="BK19" s="3"/>
    </row>
    <row r="20" spans="1:63">
      <c r="A20">
        <v>1941</v>
      </c>
      <c r="K20" s="32"/>
      <c r="O20" s="2"/>
      <c r="P20" s="37"/>
      <c r="R20" s="32"/>
      <c r="S20" s="37"/>
      <c r="W20" s="2"/>
      <c r="X20" s="37"/>
      <c r="AK20" s="2"/>
      <c r="AN20">
        <v>1941</v>
      </c>
      <c r="AS20" s="2"/>
      <c r="AV20" s="12"/>
      <c r="AY20" s="3"/>
      <c r="BA20"/>
      <c r="BB20" s="9"/>
      <c r="BF20" s="3"/>
      <c r="BJ20" s="3"/>
      <c r="BK20" s="3"/>
    </row>
    <row r="21" spans="1:63">
      <c r="A21">
        <v>1942</v>
      </c>
      <c r="K21" s="32"/>
      <c r="O21" s="2"/>
      <c r="P21" s="37"/>
      <c r="R21" s="32"/>
      <c r="S21" s="37"/>
      <c r="W21" s="2"/>
      <c r="X21" s="37"/>
      <c r="AK21" s="2"/>
      <c r="AN21">
        <v>1942</v>
      </c>
      <c r="AS21" s="2"/>
      <c r="AV21" s="12"/>
      <c r="AY21" s="3"/>
      <c r="BA21"/>
      <c r="BB21" s="9"/>
      <c r="BF21" s="3"/>
      <c r="BJ21" s="3"/>
      <c r="BK21" s="3"/>
    </row>
    <row r="22" spans="1:63">
      <c r="A22">
        <v>1943</v>
      </c>
      <c r="K22" s="32"/>
      <c r="O22" s="2"/>
      <c r="P22" s="37"/>
      <c r="R22" s="32"/>
      <c r="S22" s="37"/>
      <c r="W22" s="2"/>
      <c r="X22" s="37"/>
      <c r="AK22" s="2"/>
      <c r="AN22">
        <v>1943</v>
      </c>
      <c r="AS22" s="2"/>
      <c r="AV22" s="12"/>
      <c r="AY22" s="3"/>
      <c r="BA22"/>
      <c r="BB22" s="9"/>
      <c r="BF22" s="3"/>
      <c r="BJ22" s="3"/>
      <c r="BK22" s="3"/>
    </row>
    <row r="23" spans="1:63">
      <c r="A23">
        <v>1944</v>
      </c>
      <c r="K23" s="32"/>
      <c r="O23" s="2"/>
      <c r="P23" s="37"/>
      <c r="R23" s="32"/>
      <c r="S23" s="37"/>
      <c r="W23" s="2"/>
      <c r="X23" s="37"/>
      <c r="AK23" s="2"/>
      <c r="AN23">
        <v>1944</v>
      </c>
      <c r="AS23" s="2"/>
      <c r="AV23" s="12"/>
      <c r="AY23" s="3"/>
      <c r="BA23"/>
      <c r="BB23" s="9"/>
      <c r="BF23" s="3"/>
      <c r="BJ23" s="3"/>
      <c r="BK23" s="3"/>
    </row>
    <row r="24" spans="1:63">
      <c r="A24">
        <v>1945</v>
      </c>
      <c r="K24" s="32"/>
      <c r="O24" s="2"/>
      <c r="P24" s="37"/>
      <c r="R24" s="32"/>
      <c r="S24" s="37"/>
      <c r="W24" s="2"/>
      <c r="X24" s="37"/>
      <c r="AK24" s="2"/>
      <c r="AN24">
        <v>1945</v>
      </c>
      <c r="AS24" s="2"/>
      <c r="AV24" s="12"/>
      <c r="AY24" s="3"/>
      <c r="BA24"/>
      <c r="BB24" s="9"/>
      <c r="BF24" s="3"/>
      <c r="BJ24" s="3"/>
      <c r="BK24" s="3"/>
    </row>
    <row r="25" spans="1:63">
      <c r="A25">
        <v>1946</v>
      </c>
      <c r="K25" s="32"/>
      <c r="O25" s="2"/>
      <c r="P25" s="37"/>
      <c r="R25" s="32"/>
      <c r="S25" s="37"/>
      <c r="W25" s="2"/>
      <c r="X25" s="37"/>
      <c r="AK25" s="2"/>
      <c r="AN25">
        <v>1946</v>
      </c>
      <c r="AS25" s="2"/>
      <c r="AV25" s="12"/>
      <c r="AY25" s="3"/>
      <c r="BA25"/>
      <c r="BB25" s="9"/>
      <c r="BF25" s="3"/>
      <c r="BJ25" s="3"/>
      <c r="BK25" s="3"/>
    </row>
    <row r="26" spans="1:63">
      <c r="A26">
        <v>1947</v>
      </c>
      <c r="K26" s="32"/>
      <c r="O26" s="2"/>
      <c r="P26" s="37"/>
      <c r="R26" s="32"/>
      <c r="S26" s="37"/>
      <c r="W26" s="2"/>
      <c r="X26" s="37"/>
      <c r="AK26" s="2"/>
      <c r="AN26">
        <v>1947</v>
      </c>
      <c r="AS26" s="2"/>
      <c r="AV26" s="12"/>
      <c r="AY26" s="3"/>
      <c r="BA26"/>
      <c r="BB26" s="9"/>
      <c r="BF26" s="3"/>
      <c r="BJ26" s="3"/>
      <c r="BK26" s="3"/>
    </row>
    <row r="27" spans="1:63">
      <c r="A27">
        <v>1948</v>
      </c>
      <c r="K27" s="32"/>
      <c r="O27" s="2"/>
      <c r="P27" s="37"/>
      <c r="R27" s="32"/>
      <c r="S27" s="37"/>
      <c r="W27" s="2"/>
      <c r="X27" s="37"/>
      <c r="AK27" s="2"/>
      <c r="AN27">
        <v>1948</v>
      </c>
      <c r="AS27" s="2"/>
      <c r="AV27" s="12"/>
      <c r="AY27" s="3"/>
      <c r="BA27"/>
      <c r="BB27" s="9"/>
      <c r="BF27" s="3"/>
      <c r="BJ27" s="3"/>
      <c r="BK27" s="3"/>
    </row>
    <row r="28" spans="1:63">
      <c r="A28">
        <v>1949</v>
      </c>
      <c r="K28" s="32"/>
      <c r="O28" s="2"/>
      <c r="P28" s="37"/>
      <c r="R28" s="32"/>
      <c r="S28" s="37"/>
      <c r="W28" s="2"/>
      <c r="X28" s="37"/>
      <c r="AK28" s="2"/>
      <c r="AN28">
        <v>1949</v>
      </c>
      <c r="AS28" s="2"/>
      <c r="AV28" s="12"/>
      <c r="AY28" s="3"/>
      <c r="BA28"/>
      <c r="BB28" s="9"/>
      <c r="BF28" s="3"/>
      <c r="BJ28" s="3"/>
      <c r="BK28" s="3"/>
    </row>
    <row r="29" spans="1:63">
      <c r="A29">
        <v>1950</v>
      </c>
      <c r="K29" s="32"/>
      <c r="O29" s="2"/>
      <c r="P29" s="37"/>
      <c r="R29" s="32"/>
      <c r="S29" s="37"/>
      <c r="W29" s="2"/>
      <c r="X29" s="37"/>
      <c r="AK29" s="2"/>
      <c r="AN29">
        <v>1950</v>
      </c>
      <c r="AS29" s="2"/>
      <c r="AV29" s="12"/>
      <c r="AY29" s="3"/>
      <c r="BA29"/>
      <c r="BB29" s="9"/>
      <c r="BF29" s="3"/>
      <c r="BJ29" s="3"/>
      <c r="BK29" s="3"/>
    </row>
    <row r="30" spans="1:63">
      <c r="A30">
        <v>1951</v>
      </c>
      <c r="K30" s="32"/>
      <c r="O30" s="2"/>
      <c r="P30" s="37"/>
      <c r="R30" s="32"/>
      <c r="S30" s="37"/>
      <c r="W30" s="2"/>
      <c r="X30" s="37"/>
      <c r="AK30" s="2"/>
      <c r="AN30">
        <v>1951</v>
      </c>
      <c r="AS30" s="2"/>
      <c r="AV30" s="12"/>
      <c r="AY30" s="3"/>
      <c r="BA30"/>
      <c r="BB30" s="9"/>
      <c r="BF30" s="3"/>
      <c r="BJ30" s="3"/>
      <c r="BK30" s="3"/>
    </row>
    <row r="31" spans="1:63">
      <c r="A31">
        <v>1952</v>
      </c>
      <c r="K31" s="32"/>
      <c r="O31" s="2"/>
      <c r="P31" s="37"/>
      <c r="R31" s="32"/>
      <c r="S31" s="37"/>
      <c r="W31" s="2"/>
      <c r="X31" s="37"/>
      <c r="AK31" s="2"/>
      <c r="AN31">
        <v>1952</v>
      </c>
      <c r="AS31" s="2"/>
      <c r="AV31" s="12"/>
      <c r="AY31" s="3"/>
      <c r="BA31"/>
      <c r="BB31" s="9"/>
      <c r="BF31" s="3"/>
      <c r="BJ31" s="3"/>
      <c r="BK31" s="3"/>
    </row>
    <row r="32" spans="1:63">
      <c r="A32">
        <v>1953</v>
      </c>
      <c r="K32" s="32"/>
      <c r="O32" s="2"/>
      <c r="P32" s="37"/>
      <c r="R32" s="32"/>
      <c r="S32" s="37"/>
      <c r="W32" s="2"/>
      <c r="X32" s="37"/>
      <c r="AK32" s="2"/>
      <c r="AN32">
        <v>1953</v>
      </c>
      <c r="AS32" s="2"/>
      <c r="AV32" s="12"/>
      <c r="AY32" s="3"/>
      <c r="BA32"/>
      <c r="BB32" s="9"/>
      <c r="BF32" s="3"/>
      <c r="BJ32" s="3"/>
      <c r="BK32" s="3"/>
    </row>
    <row r="33" spans="1:63">
      <c r="A33">
        <v>1954</v>
      </c>
      <c r="K33" s="32"/>
      <c r="O33" s="2"/>
      <c r="P33" s="37"/>
      <c r="R33" s="32"/>
      <c r="S33" s="37"/>
      <c r="W33" s="2"/>
      <c r="X33" s="37"/>
      <c r="AK33" s="2"/>
      <c r="AN33">
        <v>1954</v>
      </c>
      <c r="AS33" s="2"/>
      <c r="AV33" s="12"/>
      <c r="AY33" s="3"/>
      <c r="BA33"/>
      <c r="BB33" s="9"/>
      <c r="BF33" s="3"/>
      <c r="BJ33" s="3"/>
      <c r="BK33" s="3"/>
    </row>
    <row r="34" spans="1:63">
      <c r="A34">
        <v>1955</v>
      </c>
      <c r="K34" s="32"/>
      <c r="O34" s="2"/>
      <c r="P34" s="37"/>
      <c r="R34" s="32"/>
      <c r="S34" s="37"/>
      <c r="W34" s="2"/>
      <c r="X34" s="37"/>
      <c r="AK34" s="2"/>
      <c r="AN34">
        <v>1955</v>
      </c>
      <c r="AS34" s="2"/>
      <c r="AV34" s="12"/>
      <c r="AY34" s="3"/>
      <c r="BA34"/>
      <c r="BB34" s="9"/>
      <c r="BF34" s="3"/>
      <c r="BJ34" s="3"/>
      <c r="BK34" s="3"/>
    </row>
    <row r="35" spans="1:63">
      <c r="A35">
        <v>1956</v>
      </c>
      <c r="K35" s="32"/>
      <c r="O35" s="2"/>
      <c r="P35" s="37"/>
      <c r="R35" s="32"/>
      <c r="S35" s="37"/>
      <c r="W35" s="2"/>
      <c r="X35" s="37"/>
      <c r="AK35" s="2"/>
      <c r="AN35">
        <v>1956</v>
      </c>
      <c r="AS35" s="2"/>
      <c r="AV35" s="12"/>
      <c r="AY35" s="3"/>
      <c r="BA35"/>
      <c r="BB35" s="9"/>
      <c r="BF35" s="3"/>
      <c r="BJ35" s="3"/>
      <c r="BK35" s="3"/>
    </row>
    <row r="36" spans="1:63">
      <c r="A36">
        <v>1957</v>
      </c>
      <c r="K36" s="32"/>
      <c r="O36" s="2"/>
      <c r="P36" s="37"/>
      <c r="R36" s="32"/>
      <c r="S36" s="37"/>
      <c r="W36" s="2"/>
      <c r="X36" s="37"/>
      <c r="AK36" s="2"/>
      <c r="AN36">
        <v>1957</v>
      </c>
      <c r="AS36" s="2"/>
      <c r="AV36" s="12"/>
      <c r="AY36" s="3"/>
      <c r="BA36"/>
      <c r="BB36" s="9"/>
      <c r="BF36" s="3"/>
      <c r="BJ36" s="3"/>
      <c r="BK36" s="3"/>
    </row>
    <row r="37" spans="1:63">
      <c r="A37">
        <v>1958</v>
      </c>
      <c r="K37" s="32"/>
      <c r="O37" s="2"/>
      <c r="P37" s="37"/>
      <c r="R37" s="32"/>
      <c r="S37" s="37"/>
      <c r="W37" s="2"/>
      <c r="X37" s="37"/>
      <c r="AK37" s="2"/>
      <c r="AN37">
        <v>1958</v>
      </c>
      <c r="AS37" s="2"/>
      <c r="AV37" s="12"/>
      <c r="AY37" s="3"/>
      <c r="BA37"/>
      <c r="BB37" s="9"/>
      <c r="BF37" s="3"/>
      <c r="BJ37" s="3"/>
      <c r="BK37" s="3"/>
    </row>
    <row r="38" spans="1:63">
      <c r="A38">
        <v>1959</v>
      </c>
      <c r="K38" s="32"/>
      <c r="O38" s="2"/>
      <c r="P38" s="37"/>
      <c r="R38" s="32"/>
      <c r="S38" s="37"/>
      <c r="W38" s="2"/>
      <c r="X38" s="37"/>
      <c r="AK38" s="2"/>
      <c r="AN38">
        <v>1959</v>
      </c>
      <c r="AS38" s="2"/>
      <c r="AV38" s="12"/>
      <c r="AY38" s="3"/>
      <c r="BA38"/>
      <c r="BB38" s="9"/>
      <c r="BF38" s="3"/>
      <c r="BJ38" s="3"/>
      <c r="BK38" s="3"/>
    </row>
    <row r="39" spans="1:63">
      <c r="A39">
        <v>1960</v>
      </c>
      <c r="K39" s="32"/>
      <c r="O39" s="2"/>
      <c r="P39" s="37"/>
      <c r="R39" s="32"/>
      <c r="S39" s="37"/>
      <c r="W39" s="2"/>
      <c r="X39" s="37"/>
      <c r="AK39" s="2"/>
      <c r="AN39">
        <v>1960</v>
      </c>
      <c r="AS39" s="2"/>
      <c r="AV39" s="12"/>
      <c r="AY39" s="3"/>
      <c r="BA39"/>
      <c r="BB39" s="9"/>
      <c r="BF39" s="3"/>
      <c r="BJ39" s="3"/>
      <c r="BK39" s="3"/>
    </row>
    <row r="40" spans="1:63">
      <c r="A40">
        <v>1961</v>
      </c>
      <c r="K40" s="32"/>
      <c r="O40" s="2"/>
      <c r="P40" s="37"/>
      <c r="R40" s="32"/>
      <c r="S40" s="37"/>
      <c r="W40" s="2"/>
      <c r="X40" s="37"/>
      <c r="AK40" s="2"/>
      <c r="AN40">
        <v>1961</v>
      </c>
      <c r="AS40" s="2"/>
      <c r="AV40" s="12"/>
      <c r="AY40" s="3"/>
      <c r="BA40"/>
      <c r="BB40" s="9"/>
      <c r="BF40" s="3"/>
      <c r="BJ40" s="3"/>
      <c r="BK40" s="3"/>
    </row>
    <row r="41" spans="1:63">
      <c r="A41">
        <v>1962</v>
      </c>
      <c r="K41" s="32"/>
      <c r="O41" s="2"/>
      <c r="P41" s="37"/>
      <c r="R41" s="32"/>
      <c r="S41" s="37"/>
      <c r="W41" s="2"/>
      <c r="X41" s="37"/>
      <c r="AK41" s="2"/>
      <c r="AN41">
        <v>1962</v>
      </c>
      <c r="AS41" s="2"/>
      <c r="AV41" s="12"/>
      <c r="AY41" s="3"/>
      <c r="BA41"/>
      <c r="BB41" s="9"/>
      <c r="BF41" s="3"/>
      <c r="BJ41" s="3"/>
      <c r="BK41" s="3"/>
    </row>
    <row r="42" spans="1:63">
      <c r="A42">
        <v>1963</v>
      </c>
      <c r="K42" s="32"/>
      <c r="O42" s="2"/>
      <c r="P42" s="37"/>
      <c r="R42" s="32"/>
      <c r="S42" s="37"/>
      <c r="W42" s="2"/>
      <c r="X42" s="37"/>
      <c r="AK42" s="2"/>
      <c r="AN42" s="46" t="s">
        <v>2103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46" t="s">
        <v>1703</v>
      </c>
      <c r="AT42" s="3"/>
      <c r="AU42" s="46"/>
      <c r="AV42" s="3"/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2115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F42" s="46" t="s">
        <v>2098</v>
      </c>
      <c r="BG42" s="46" t="s">
        <v>2098</v>
      </c>
      <c r="BH42" s="46" t="s">
        <v>2098</v>
      </c>
      <c r="BJ42" s="46" t="s">
        <v>2444</v>
      </c>
      <c r="BK42" s="46" t="s">
        <v>2444</v>
      </c>
    </row>
    <row r="43" spans="1:63">
      <c r="A43">
        <v>1964</v>
      </c>
      <c r="K43" s="32"/>
      <c r="O43" s="2"/>
      <c r="P43" s="37"/>
      <c r="R43" s="32"/>
      <c r="S43" s="37"/>
      <c r="W43" s="2"/>
      <c r="X43" s="37"/>
      <c r="AK43" s="2"/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T43" s="3"/>
      <c r="AU43" s="139" t="s">
        <v>237</v>
      </c>
      <c r="AV43" s="3"/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73</v>
      </c>
      <c r="BD43" s="46">
        <v>7880</v>
      </c>
      <c r="BE43" s="46">
        <v>8389</v>
      </c>
      <c r="BF43" s="46">
        <v>9199</v>
      </c>
      <c r="BG43" s="138" t="s">
        <v>2194</v>
      </c>
      <c r="BH43" s="138" t="s">
        <v>2193</v>
      </c>
      <c r="BJ43" s="46" t="s">
        <v>131</v>
      </c>
      <c r="BK43" s="46" t="s">
        <v>2097</v>
      </c>
    </row>
    <row r="44" spans="1:63">
      <c r="A44">
        <v>1965</v>
      </c>
      <c r="B44" s="3">
        <f t="shared" ref="B44:B88" si="0">I44/G44*100/C44*100</f>
        <v>110.65759734025444</v>
      </c>
      <c r="C44" s="3">
        <f t="shared" ref="C44:C87" si="1">E44/E$89*100</f>
        <v>14.459024846529534</v>
      </c>
      <c r="D44" s="2">
        <v>77.322000000000003</v>
      </c>
      <c r="E44" s="2">
        <v>20.692699999999999</v>
      </c>
      <c r="F44" s="2">
        <f>D44*E44/100</f>
        <v>16.000009493999997</v>
      </c>
      <c r="G44" s="2">
        <v>0.45347425733019792</v>
      </c>
      <c r="H44" s="2">
        <f>F44*G44/100</f>
        <v>7.2555924225677637E-2</v>
      </c>
      <c r="I44" s="32">
        <f t="shared" ref="I44:I67" si="2">H44</f>
        <v>7.2555924225677637E-2</v>
      </c>
      <c r="J44" s="32">
        <f t="shared" ref="J44:J89" si="3">R44+AC44</f>
        <v>8.5539151221690077E-2</v>
      </c>
      <c r="K44" s="32"/>
      <c r="O44" s="2"/>
      <c r="P44" s="37"/>
      <c r="Q44" s="32">
        <f t="shared" ref="Q44:Q89" si="4">I44-AC44</f>
        <v>2.553951054989817E-2</v>
      </c>
      <c r="R44" s="32">
        <f t="shared" ref="R44:R88" si="5">R$92+R$93*T44+R$94*U44+R$95*V44+R$96*W44</f>
        <v>3.852273754591061E-2</v>
      </c>
      <c r="S44" s="37"/>
      <c r="T44" s="2">
        <f>USA!Z52*G44</f>
        <v>1.496465049189653</v>
      </c>
      <c r="U44" s="2">
        <v>1</v>
      </c>
      <c r="V44" s="2">
        <v>0</v>
      </c>
      <c r="W44" s="2">
        <v>0</v>
      </c>
      <c r="X44" s="37"/>
      <c r="Y44" s="2">
        <v>0.64800240886657046</v>
      </c>
      <c r="Z44" s="2">
        <f t="shared" ref="Z44:Z61" si="6">AC44-AB44</f>
        <v>3.7279471463675537E-2</v>
      </c>
      <c r="AA44" s="2">
        <v>0.15500000000000003</v>
      </c>
      <c r="AB44" s="2">
        <f t="shared" ref="AB44:AB89" si="7">AA44*(I44*(1/(1+AA44)))</f>
        <v>9.7369422121039266E-3</v>
      </c>
      <c r="AC44" s="2">
        <f t="shared" ref="AC44:AC61" si="8">I44*Y44</f>
        <v>4.7016413675779467E-2</v>
      </c>
      <c r="AG44" s="2">
        <v>0.15500000000000003</v>
      </c>
      <c r="AK44" s="2"/>
      <c r="AN44">
        <v>1965</v>
      </c>
      <c r="AO44" s="1">
        <f t="shared" ref="AO44:AO89" si="9">I44</f>
        <v>7.2555924225677637E-2</v>
      </c>
      <c r="AP44" s="1">
        <f>Z44</f>
        <v>3.7279471463675537E-2</v>
      </c>
      <c r="AQ44" s="1">
        <f>AB44</f>
        <v>9.7369422121039266E-3</v>
      </c>
      <c r="AR44" s="1">
        <f>AC44</f>
        <v>4.7016413675779467E-2</v>
      </c>
      <c r="AS44" s="1">
        <f t="shared" ref="AS44:AS75" si="10">AO44-AR44</f>
        <v>2.553951054989817E-2</v>
      </c>
      <c r="AU44" s="7">
        <v>7.2005867340468352</v>
      </c>
      <c r="AV44" s="12"/>
      <c r="AW44" s="1">
        <f t="shared" ref="AW44:AW75" si="11">AO44/$AU44*100</f>
        <v>1.0076390564481146</v>
      </c>
      <c r="AX44" s="1">
        <f>BA44+AY44</f>
        <v>1.0072993539374662</v>
      </c>
      <c r="AY44" s="1">
        <f t="shared" ref="AY44:AY89" si="12">AR44/$AU44*100</f>
        <v>0.65295253584641644</v>
      </c>
      <c r="AZ44" s="1">
        <f t="shared" ref="AZ44:AZ51" si="13">AW44-AY44</f>
        <v>0.35468652060169814</v>
      </c>
      <c r="BA44" s="1">
        <f t="shared" ref="BA44:BA75" si="14">AX$100+AX$101*BB44+AX$102*BC44+AX$103*BD44+AX$104*BE44+AX$105*BF44+AX$106*BG44+AX$107*BH44</f>
        <v>0.35434681809104973</v>
      </c>
      <c r="BB44" s="3">
        <f t="shared" ref="BB44:BB75" si="15">T44/AU44*100</f>
        <v>20.782543207400789</v>
      </c>
      <c r="BC44">
        <v>0</v>
      </c>
      <c r="BD44">
        <v>0</v>
      </c>
      <c r="BE44">
        <v>0</v>
      </c>
      <c r="BF44" s="44">
        <v>0</v>
      </c>
      <c r="BG44">
        <v>0</v>
      </c>
      <c r="BH44">
        <v>0</v>
      </c>
      <c r="BJ44" s="1">
        <f t="shared" ref="BJ44:BJ96" si="16">AW44*$AU$97/$AU$89</f>
        <v>1.0626607325462225</v>
      </c>
      <c r="BK44" s="1">
        <f t="shared" ref="BK44:BK96" si="17">AX44*$AU$97/$AU$89</f>
        <v>1.0623024807332311</v>
      </c>
    </row>
    <row r="45" spans="1:63">
      <c r="A45">
        <v>1966</v>
      </c>
      <c r="B45" s="3">
        <f t="shared" si="0"/>
        <v>112.14453823206436</v>
      </c>
      <c r="C45" s="3">
        <f t="shared" si="1"/>
        <v>14.891495218110531</v>
      </c>
      <c r="D45" s="2">
        <v>78.361000000000004</v>
      </c>
      <c r="E45" s="2">
        <v>21.311620000000001</v>
      </c>
      <c r="F45" s="2">
        <f t="shared" ref="F45:F78" si="18">D45*E45/100</f>
        <v>16.6999985482</v>
      </c>
      <c r="G45" s="2">
        <v>0.45347425733019792</v>
      </c>
      <c r="H45" s="2">
        <f t="shared" ref="H45:H78" si="19">F45*G45/100</f>
        <v>7.5730194390603786E-2</v>
      </c>
      <c r="I45" s="32">
        <f t="shared" si="2"/>
        <v>7.5730194390603786E-2</v>
      </c>
      <c r="J45" s="32">
        <f t="shared" si="3"/>
        <v>8.7575724854179499E-2</v>
      </c>
      <c r="K45" s="32"/>
      <c r="O45" s="2"/>
      <c r="P45" s="37"/>
      <c r="Q45" s="32">
        <f t="shared" si="4"/>
        <v>2.6677207082334897E-2</v>
      </c>
      <c r="R45" s="32">
        <f t="shared" si="5"/>
        <v>3.852273754591061E-2</v>
      </c>
      <c r="S45" s="37"/>
      <c r="T45" s="2">
        <f>USA!Z53*G45</f>
        <v>1.496465049189653</v>
      </c>
      <c r="U45" s="2">
        <v>1</v>
      </c>
      <c r="V45" s="2">
        <v>0</v>
      </c>
      <c r="W45" s="2">
        <v>0</v>
      </c>
      <c r="X45" s="37"/>
      <c r="Y45" s="2">
        <v>0.64773354542392581</v>
      </c>
      <c r="Z45" s="2">
        <f t="shared" si="6"/>
        <v>3.8890060788317728E-2</v>
      </c>
      <c r="AA45" s="2">
        <v>0.15500000000000003</v>
      </c>
      <c r="AB45" s="2">
        <f t="shared" si="7"/>
        <v>1.0162926519951159E-2</v>
      </c>
      <c r="AC45" s="2">
        <f t="shared" si="8"/>
        <v>4.9052987308268889E-2</v>
      </c>
      <c r="AG45" s="2">
        <v>0.15500000000000003</v>
      </c>
      <c r="AK45" s="2"/>
      <c r="AN45">
        <v>1966</v>
      </c>
      <c r="AO45" s="1">
        <f t="shared" si="9"/>
        <v>7.5730194390603786E-2</v>
      </c>
      <c r="AP45" s="1">
        <f t="shared" ref="AP45:AP96" si="20">Z45</f>
        <v>3.8890060788317728E-2</v>
      </c>
      <c r="AQ45" s="1">
        <f t="shared" ref="AQ45:AQ96" si="21">AB45</f>
        <v>1.0162926519951159E-2</v>
      </c>
      <c r="AR45" s="1">
        <f t="shared" ref="AR45:AR76" si="22">AC45</f>
        <v>4.9052987308268889E-2</v>
      </c>
      <c r="AS45" s="1">
        <f t="shared" si="10"/>
        <v>2.6677207082334897E-2</v>
      </c>
      <c r="AU45" s="7">
        <v>7.5597608941774439</v>
      </c>
      <c r="AV45" s="12"/>
      <c r="AW45" s="1">
        <f t="shared" si="11"/>
        <v>1.0017538312479097</v>
      </c>
      <c r="AX45" s="1">
        <f t="shared" ref="AX45:AX89" si="23">BA45+AY45</f>
        <v>0.99779913573707479</v>
      </c>
      <c r="AY45" s="1">
        <f t="shared" si="12"/>
        <v>0.64886956075620972</v>
      </c>
      <c r="AZ45" s="1">
        <f t="shared" si="13"/>
        <v>0.35288427049170001</v>
      </c>
      <c r="BA45" s="1">
        <f t="shared" si="14"/>
        <v>0.34892957498086508</v>
      </c>
      <c r="BB45" s="3">
        <f t="shared" si="15"/>
        <v>19.79513730840662</v>
      </c>
      <c r="BC45">
        <v>0</v>
      </c>
      <c r="BD45">
        <v>0</v>
      </c>
      <c r="BE45">
        <v>0</v>
      </c>
      <c r="BF45" s="44">
        <v>0</v>
      </c>
      <c r="BG45">
        <v>0</v>
      </c>
      <c r="BH45">
        <v>0</v>
      </c>
      <c r="BJ45" s="1">
        <f t="shared" si="16"/>
        <v>1.0564541472789799</v>
      </c>
      <c r="BK45" s="1">
        <f t="shared" si="17"/>
        <v>1.0522835074038694</v>
      </c>
    </row>
    <row r="46" spans="1:63">
      <c r="A46">
        <v>1967</v>
      </c>
      <c r="B46" s="3">
        <f t="shared" si="0"/>
        <v>93.434557054811435</v>
      </c>
      <c r="C46" s="3">
        <f t="shared" si="1"/>
        <v>15.30482682623647</v>
      </c>
      <c r="D46" s="2">
        <v>65.287400000000005</v>
      </c>
      <c r="E46" s="2">
        <v>21.90315</v>
      </c>
      <c r="F46" s="2">
        <f t="shared" si="18"/>
        <v>14.299997153100001</v>
      </c>
      <c r="G46" s="2">
        <v>0.45977215819920653</v>
      </c>
      <c r="H46" s="2">
        <f t="shared" si="19"/>
        <v>6.5747405533232967E-2</v>
      </c>
      <c r="I46" s="32">
        <f t="shared" si="2"/>
        <v>6.5747405533232967E-2</v>
      </c>
      <c r="J46" s="32">
        <f t="shared" si="3"/>
        <v>7.6574904304097705E-2</v>
      </c>
      <c r="K46" s="32"/>
      <c r="O46" s="2"/>
      <c r="P46" s="37"/>
      <c r="Q46" s="32">
        <f t="shared" si="4"/>
        <v>2.7823660201837547E-2</v>
      </c>
      <c r="R46" s="32">
        <f t="shared" si="5"/>
        <v>3.8651158972702285E-2</v>
      </c>
      <c r="S46" s="37"/>
      <c r="T46" s="2">
        <f>USA!Z54*G46</f>
        <v>1.5172481220573815</v>
      </c>
      <c r="U46" s="2">
        <v>1</v>
      </c>
      <c r="V46" s="2">
        <v>0</v>
      </c>
      <c r="W46" s="2">
        <v>0</v>
      </c>
      <c r="X46" s="37"/>
      <c r="Y46" s="2">
        <v>0.57680976190347644</v>
      </c>
      <c r="Z46" s="2">
        <f t="shared" si="6"/>
        <v>2.9100500432996189E-2</v>
      </c>
      <c r="AA46" s="2">
        <v>0.15500000000000003</v>
      </c>
      <c r="AB46" s="2">
        <f t="shared" si="7"/>
        <v>8.8232448983992309E-3</v>
      </c>
      <c r="AC46" s="2">
        <f t="shared" si="8"/>
        <v>3.792374533139542E-2</v>
      </c>
      <c r="AG46" s="2">
        <v>0.15500000000000003</v>
      </c>
      <c r="AK46" s="2"/>
      <c r="AN46">
        <v>1967</v>
      </c>
      <c r="AO46" s="1">
        <f t="shared" si="9"/>
        <v>6.5747405533232967E-2</v>
      </c>
      <c r="AP46" s="1">
        <f t="shared" si="20"/>
        <v>2.9100500432996189E-2</v>
      </c>
      <c r="AQ46" s="1">
        <f t="shared" si="21"/>
        <v>8.8232448983992309E-3</v>
      </c>
      <c r="AR46" s="1">
        <f t="shared" si="22"/>
        <v>3.792374533139542E-2</v>
      </c>
      <c r="AS46" s="1">
        <f t="shared" si="10"/>
        <v>2.7823660201837547E-2</v>
      </c>
      <c r="AU46" s="7">
        <v>7.790658568461601</v>
      </c>
      <c r="AV46" s="12"/>
      <c r="AW46" s="1">
        <f t="shared" si="11"/>
        <v>0.84392615791678716</v>
      </c>
      <c r="AX46" s="1">
        <f t="shared" si="23"/>
        <v>0.83395926245452845</v>
      </c>
      <c r="AY46" s="1">
        <f t="shared" si="12"/>
        <v>0.48678484621209772</v>
      </c>
      <c r="AZ46" s="1">
        <f t="shared" si="13"/>
        <v>0.35714131170468943</v>
      </c>
      <c r="BA46" s="1">
        <f t="shared" si="14"/>
        <v>0.34717441624243067</v>
      </c>
      <c r="BB46" s="3">
        <f t="shared" si="15"/>
        <v>19.475222906052579</v>
      </c>
      <c r="BC46">
        <v>0</v>
      </c>
      <c r="BD46">
        <v>0</v>
      </c>
      <c r="BE46">
        <v>0</v>
      </c>
      <c r="BF46" s="44">
        <v>0</v>
      </c>
      <c r="BG46">
        <v>0</v>
      </c>
      <c r="BH46">
        <v>0</v>
      </c>
      <c r="BJ46" s="1">
        <f t="shared" si="16"/>
        <v>0.89000836504688474</v>
      </c>
      <c r="BK46" s="1">
        <f t="shared" si="17"/>
        <v>0.87949723175430494</v>
      </c>
    </row>
    <row r="47" spans="1:63">
      <c r="A47">
        <v>1968</v>
      </c>
      <c r="B47" s="3">
        <f t="shared" si="0"/>
        <v>102.75634549840427</v>
      </c>
      <c r="C47" s="3">
        <f t="shared" si="1"/>
        <v>15.950346083448959</v>
      </c>
      <c r="D47" s="2">
        <v>71.801000000000002</v>
      </c>
      <c r="E47" s="2">
        <v>22.826969999999999</v>
      </c>
      <c r="F47" s="2">
        <f t="shared" si="18"/>
        <v>16.389992729700001</v>
      </c>
      <c r="G47" s="2">
        <v>0.52906176513908698</v>
      </c>
      <c r="H47" s="2">
        <f t="shared" si="19"/>
        <v>8.6713184841918867E-2</v>
      </c>
      <c r="I47" s="32">
        <f t="shared" si="2"/>
        <v>8.6713184841918867E-2</v>
      </c>
      <c r="J47" s="32">
        <f t="shared" si="3"/>
        <v>9.9623936497131027E-2</v>
      </c>
      <c r="K47" s="32"/>
      <c r="O47" s="2"/>
      <c r="P47" s="37"/>
      <c r="Q47" s="32">
        <f t="shared" si="4"/>
        <v>2.715330192636535E-2</v>
      </c>
      <c r="R47" s="32">
        <f t="shared" si="5"/>
        <v>4.0064053581577511E-2</v>
      </c>
      <c r="S47" s="37"/>
      <c r="T47" s="2">
        <f>USA!Z55*G47</f>
        <v>1.7459038249589869</v>
      </c>
      <c r="U47" s="2">
        <v>1</v>
      </c>
      <c r="V47" s="2">
        <v>0</v>
      </c>
      <c r="W47" s="2">
        <v>0</v>
      </c>
      <c r="X47" s="37"/>
      <c r="Y47" s="2">
        <v>0.68686074700327571</v>
      </c>
      <c r="Z47" s="2">
        <f t="shared" si="6"/>
        <v>4.7923048586118518E-2</v>
      </c>
      <c r="AA47" s="2">
        <v>0.15500000000000003</v>
      </c>
      <c r="AB47" s="2">
        <f t="shared" si="7"/>
        <v>1.1636834329435001E-2</v>
      </c>
      <c r="AC47" s="2">
        <f t="shared" si="8"/>
        <v>5.9559882915553516E-2</v>
      </c>
      <c r="AG47" s="2">
        <v>0.15500000000000003</v>
      </c>
      <c r="AK47" s="2"/>
      <c r="AN47">
        <v>1968</v>
      </c>
      <c r="AO47" s="1">
        <f t="shared" si="9"/>
        <v>8.6713184841918867E-2</v>
      </c>
      <c r="AP47" s="1">
        <f t="shared" si="20"/>
        <v>4.7923048586118518E-2</v>
      </c>
      <c r="AQ47" s="1">
        <f t="shared" si="21"/>
        <v>1.1636834329435001E-2</v>
      </c>
      <c r="AR47" s="1">
        <f t="shared" si="22"/>
        <v>5.9559882915553516E-2</v>
      </c>
      <c r="AS47" s="1">
        <f t="shared" si="10"/>
        <v>2.715330192636535E-2</v>
      </c>
      <c r="AU47" s="7">
        <v>8.038659774351574</v>
      </c>
      <c r="AV47" s="12"/>
      <c r="AW47" s="1">
        <f t="shared" si="11"/>
        <v>1.0787020134698193</v>
      </c>
      <c r="AX47" s="1">
        <f t="shared" si="23"/>
        <v>1.1004017417344554</v>
      </c>
      <c r="AY47" s="1">
        <f t="shared" si="12"/>
        <v>0.74091807076581773</v>
      </c>
      <c r="AZ47" s="1">
        <f t="shared" si="13"/>
        <v>0.33778394270400158</v>
      </c>
      <c r="BA47" s="1">
        <f t="shared" si="14"/>
        <v>0.35948367096863765</v>
      </c>
      <c r="BB47" s="3">
        <f t="shared" si="15"/>
        <v>21.718842120045036</v>
      </c>
      <c r="BC47">
        <v>0</v>
      </c>
      <c r="BD47">
        <v>0</v>
      </c>
      <c r="BE47">
        <v>0</v>
      </c>
      <c r="BF47" s="44">
        <v>0</v>
      </c>
      <c r="BG47">
        <v>0</v>
      </c>
      <c r="BH47">
        <v>0</v>
      </c>
      <c r="BJ47" s="1">
        <f t="shared" si="16"/>
        <v>1.1376040502772515</v>
      </c>
      <c r="BK47" s="1">
        <f t="shared" si="17"/>
        <v>1.1604886824143144</v>
      </c>
    </row>
    <row r="48" spans="1:63">
      <c r="A48">
        <v>1969</v>
      </c>
      <c r="B48" s="3">
        <f t="shared" si="0"/>
        <v>101.22518278411414</v>
      </c>
      <c r="C48" s="3">
        <f t="shared" si="1"/>
        <v>16.814008114047141</v>
      </c>
      <c r="D48" s="2">
        <v>70.731099999999998</v>
      </c>
      <c r="E48" s="2">
        <v>24.06298</v>
      </c>
      <c r="F48" s="2">
        <f t="shared" si="18"/>
        <v>17.020010446779999</v>
      </c>
      <c r="G48" s="2">
        <v>0.52906176513908698</v>
      </c>
      <c r="H48" s="2">
        <f t="shared" si="19"/>
        <v>9.0046367696591273E-2</v>
      </c>
      <c r="I48" s="32">
        <f t="shared" si="2"/>
        <v>9.0046367696591273E-2</v>
      </c>
      <c r="J48" s="32">
        <f t="shared" si="3"/>
        <v>9.606352285318237E-2</v>
      </c>
      <c r="K48" s="32"/>
      <c r="O48" s="2"/>
      <c r="P48" s="37"/>
      <c r="Q48" s="32">
        <f t="shared" si="4"/>
        <v>3.4046898424986406E-2</v>
      </c>
      <c r="R48" s="32">
        <f t="shared" si="5"/>
        <v>4.0064053581577511E-2</v>
      </c>
      <c r="S48" s="37"/>
      <c r="T48" s="2">
        <f>USA!Z56*G48</f>
        <v>1.7459038249589869</v>
      </c>
      <c r="U48" s="2">
        <v>1</v>
      </c>
      <c r="V48" s="2">
        <v>0</v>
      </c>
      <c r="W48" s="2">
        <v>0</v>
      </c>
      <c r="X48" s="37"/>
      <c r="Y48" s="2">
        <v>0.6218959265552334</v>
      </c>
      <c r="Z48" s="2">
        <f t="shared" si="6"/>
        <v>4.3915324688945434E-2</v>
      </c>
      <c r="AA48" s="2">
        <v>0.15500000000000003</v>
      </c>
      <c r="AB48" s="2">
        <f t="shared" si="7"/>
        <v>1.2084144582659436E-2</v>
      </c>
      <c r="AC48" s="2">
        <f t="shared" si="8"/>
        <v>5.5999469271604867E-2</v>
      </c>
      <c r="AG48" s="2">
        <v>0.15500000000000003</v>
      </c>
      <c r="AK48" s="2"/>
      <c r="AN48">
        <v>1969</v>
      </c>
      <c r="AO48" s="1">
        <f t="shared" si="9"/>
        <v>9.0046367696591273E-2</v>
      </c>
      <c r="AP48" s="1">
        <f t="shared" si="20"/>
        <v>4.3915324688945434E-2</v>
      </c>
      <c r="AQ48" s="1">
        <f t="shared" si="21"/>
        <v>1.2084144582659436E-2</v>
      </c>
      <c r="AR48" s="1">
        <f t="shared" si="22"/>
        <v>5.5999469271604867E-2</v>
      </c>
      <c r="AS48" s="1">
        <f t="shared" si="10"/>
        <v>3.4046898424986406E-2</v>
      </c>
      <c r="AU48" s="7">
        <v>8.4149374659169727</v>
      </c>
      <c r="AV48" s="12"/>
      <c r="AW48" s="1">
        <f t="shared" si="11"/>
        <v>1.0700776810440498</v>
      </c>
      <c r="AX48" s="1">
        <f t="shared" si="23"/>
        <v>1.0196324668521553</v>
      </c>
      <c r="AY48" s="1">
        <f t="shared" si="12"/>
        <v>0.66547695093896486</v>
      </c>
      <c r="AZ48" s="1">
        <f t="shared" si="13"/>
        <v>0.4046007301050849</v>
      </c>
      <c r="BA48" s="1">
        <f t="shared" si="14"/>
        <v>0.35415551591319033</v>
      </c>
      <c r="BB48" s="3">
        <f t="shared" si="15"/>
        <v>20.747674382969837</v>
      </c>
      <c r="BC48">
        <v>0</v>
      </c>
      <c r="BD48">
        <v>0</v>
      </c>
      <c r="BE48">
        <v>0</v>
      </c>
      <c r="BF48" s="44">
        <v>0</v>
      </c>
      <c r="BG48">
        <v>0</v>
      </c>
      <c r="BH48">
        <v>0</v>
      </c>
      <c r="BJ48" s="1">
        <f t="shared" si="16"/>
        <v>1.1285087900700939</v>
      </c>
      <c r="BK48" s="1">
        <f t="shared" si="17"/>
        <v>1.0753090377147523</v>
      </c>
    </row>
    <row r="49" spans="1:63">
      <c r="A49">
        <v>1970</v>
      </c>
      <c r="B49" s="3">
        <f t="shared" si="0"/>
        <v>100.86911840116679</v>
      </c>
      <c r="C49" s="3">
        <f t="shared" si="1"/>
        <v>17.805240938511318</v>
      </c>
      <c r="D49" s="2">
        <v>70.482299999999995</v>
      </c>
      <c r="E49" s="2">
        <v>25.481560000000002</v>
      </c>
      <c r="F49" s="2">
        <f t="shared" si="18"/>
        <v>17.959989563880001</v>
      </c>
      <c r="G49" s="2">
        <v>0.52906176513908698</v>
      </c>
      <c r="H49" s="2">
        <f t="shared" si="19"/>
        <v>9.501943780545935E-2</v>
      </c>
      <c r="I49" s="32">
        <f t="shared" si="2"/>
        <v>9.501943780545935E-2</v>
      </c>
      <c r="J49" s="32">
        <f t="shared" si="3"/>
        <v>0.10013794006666565</v>
      </c>
      <c r="K49" s="32"/>
      <c r="O49" s="2"/>
      <c r="P49" s="37"/>
      <c r="Q49" s="32">
        <f t="shared" si="4"/>
        <v>3.5109008541477263E-2</v>
      </c>
      <c r="R49" s="32">
        <f t="shared" si="5"/>
        <v>4.0227510802683566E-2</v>
      </c>
      <c r="S49" s="37"/>
      <c r="T49" s="2">
        <f>USA!Z57*G49</f>
        <v>1.7723569132159414</v>
      </c>
      <c r="U49" s="2">
        <v>1</v>
      </c>
      <c r="V49" s="2">
        <v>0</v>
      </c>
      <c r="W49" s="2">
        <v>0</v>
      </c>
      <c r="X49" s="37"/>
      <c r="Y49" s="2">
        <v>0.63050709041913455</v>
      </c>
      <c r="Z49" s="2">
        <f t="shared" si="6"/>
        <v>4.715890297840096E-2</v>
      </c>
      <c r="AA49" s="2">
        <v>0.15500000000000003</v>
      </c>
      <c r="AB49" s="2">
        <f t="shared" si="7"/>
        <v>1.2751526285581127E-2</v>
      </c>
      <c r="AC49" s="2">
        <f t="shared" si="8"/>
        <v>5.9910429263982087E-2</v>
      </c>
      <c r="AG49" s="2">
        <v>0.15500000000000003</v>
      </c>
      <c r="AK49" s="2"/>
      <c r="AN49">
        <v>1970</v>
      </c>
      <c r="AO49" s="1">
        <f t="shared" si="9"/>
        <v>9.501943780545935E-2</v>
      </c>
      <c r="AP49" s="1">
        <f t="shared" si="20"/>
        <v>4.715890297840096E-2</v>
      </c>
      <c r="AQ49" s="1">
        <f t="shared" si="21"/>
        <v>1.2751526285581127E-2</v>
      </c>
      <c r="AR49" s="1">
        <f t="shared" si="22"/>
        <v>5.9910429263982087E-2</v>
      </c>
      <c r="AS49" s="1">
        <f t="shared" si="10"/>
        <v>3.5109008541477263E-2</v>
      </c>
      <c r="AU49" s="7">
        <v>9.0392163632013087</v>
      </c>
      <c r="AV49" s="12"/>
      <c r="AW49" s="1">
        <f t="shared" si="11"/>
        <v>1.0511910987359914</v>
      </c>
      <c r="AX49" s="1">
        <f t="shared" si="23"/>
        <v>1.0106831230308133</v>
      </c>
      <c r="AY49" s="1">
        <f t="shared" si="12"/>
        <v>0.66278344113852306</v>
      </c>
      <c r="AZ49" s="1">
        <f t="shared" si="13"/>
        <v>0.38840765759746831</v>
      </c>
      <c r="BA49" s="1">
        <f t="shared" si="14"/>
        <v>0.34789968189229026</v>
      </c>
      <c r="BB49" s="3">
        <f t="shared" si="15"/>
        <v>19.607417745095855</v>
      </c>
      <c r="BC49">
        <v>0</v>
      </c>
      <c r="BD49">
        <v>0</v>
      </c>
      <c r="BE49">
        <v>0</v>
      </c>
      <c r="BF49" s="44">
        <v>0</v>
      </c>
      <c r="BG49">
        <v>0</v>
      </c>
      <c r="BH49">
        <v>0</v>
      </c>
      <c r="BJ49" s="1">
        <f t="shared" si="16"/>
        <v>1.1085909144554649</v>
      </c>
      <c r="BK49" s="1">
        <f t="shared" si="17"/>
        <v>1.0658710190113905</v>
      </c>
    </row>
    <row r="50" spans="1:63">
      <c r="A50">
        <v>1971</v>
      </c>
      <c r="B50" s="3">
        <f t="shared" si="0"/>
        <v>105.7478301433996</v>
      </c>
      <c r="C50" s="3">
        <f t="shared" si="1"/>
        <v>18.563021376325832</v>
      </c>
      <c r="D50" s="2">
        <v>73.891300000000001</v>
      </c>
      <c r="E50" s="2">
        <v>26.566040000000001</v>
      </c>
      <c r="F50" s="2">
        <f t="shared" si="18"/>
        <v>19.629992314519999</v>
      </c>
      <c r="G50" s="2">
        <v>0.52176077118811925</v>
      </c>
      <c r="H50" s="2">
        <f t="shared" si="19"/>
        <v>0.1024215992844081</v>
      </c>
      <c r="I50" s="32">
        <f t="shared" si="2"/>
        <v>0.1024215992844081</v>
      </c>
      <c r="J50" s="32">
        <f t="shared" si="3"/>
        <v>0.10873611447605878</v>
      </c>
      <c r="K50" s="32"/>
      <c r="O50" s="2"/>
      <c r="P50" s="37"/>
      <c r="Q50" s="32">
        <f t="shared" si="4"/>
        <v>3.443891069735032E-2</v>
      </c>
      <c r="R50" s="32">
        <f t="shared" si="5"/>
        <v>4.0753425889001008E-2</v>
      </c>
      <c r="S50" s="37"/>
      <c r="T50" s="2">
        <f>USA!Z58*G50</f>
        <v>1.8574683454297045</v>
      </c>
      <c r="U50" s="2">
        <v>1</v>
      </c>
      <c r="V50" s="2">
        <v>0</v>
      </c>
      <c r="W50" s="2">
        <v>0</v>
      </c>
      <c r="X50" s="37"/>
      <c r="Y50" s="2">
        <v>0.66375343738073189</v>
      </c>
      <c r="Z50" s="2">
        <f t="shared" si="6"/>
        <v>5.4237798639799543E-2</v>
      </c>
      <c r="AA50" s="2">
        <v>0.15500000000000003</v>
      </c>
      <c r="AB50" s="2">
        <f t="shared" si="7"/>
        <v>1.3744889947258232E-2</v>
      </c>
      <c r="AC50" s="2">
        <f t="shared" si="8"/>
        <v>6.7982688587057777E-2</v>
      </c>
      <c r="AG50" s="2">
        <v>0.15500000000000003</v>
      </c>
      <c r="AK50" s="2"/>
      <c r="AN50">
        <v>1971</v>
      </c>
      <c r="AO50" s="1">
        <f t="shared" si="9"/>
        <v>0.1024215992844081</v>
      </c>
      <c r="AP50" s="1">
        <f t="shared" si="20"/>
        <v>5.4237798639799543E-2</v>
      </c>
      <c r="AQ50" s="1">
        <f t="shared" si="21"/>
        <v>1.3744889947258232E-2</v>
      </c>
      <c r="AR50" s="1">
        <f t="shared" si="22"/>
        <v>6.7982688587057777E-2</v>
      </c>
      <c r="AS50" s="1">
        <f t="shared" si="10"/>
        <v>3.443891069735032E-2</v>
      </c>
      <c r="AU50" s="7">
        <v>9.7810820391853461</v>
      </c>
      <c r="AV50" s="12"/>
      <c r="AW50" s="1">
        <f t="shared" si="11"/>
        <v>1.0471397630045711</v>
      </c>
      <c r="AX50" s="1">
        <f t="shared" si="23"/>
        <v>1.0395572284281516</v>
      </c>
      <c r="AY50" s="1">
        <f t="shared" si="12"/>
        <v>0.69504261711232895</v>
      </c>
      <c r="AZ50" s="1">
        <f t="shared" si="13"/>
        <v>0.35209714589224217</v>
      </c>
      <c r="BA50" s="1">
        <f t="shared" si="14"/>
        <v>0.34451461131582267</v>
      </c>
      <c r="BB50" s="3">
        <f t="shared" si="15"/>
        <v>18.990417808461718</v>
      </c>
      <c r="BC50">
        <v>0</v>
      </c>
      <c r="BD50">
        <v>0</v>
      </c>
      <c r="BE50">
        <v>0</v>
      </c>
      <c r="BF50" s="44">
        <v>0</v>
      </c>
      <c r="BG50">
        <v>0</v>
      </c>
      <c r="BH50">
        <v>0</v>
      </c>
      <c r="BJ50" s="1">
        <f t="shared" si="16"/>
        <v>1.1043183573641218</v>
      </c>
      <c r="BK50" s="1">
        <f t="shared" si="17"/>
        <v>1.0963217819078883</v>
      </c>
    </row>
    <row r="51" spans="1:63">
      <c r="A51">
        <v>1972</v>
      </c>
      <c r="B51" s="3">
        <f t="shared" si="0"/>
        <v>96.471551536534022</v>
      </c>
      <c r="C51" s="3">
        <f t="shared" si="1"/>
        <v>19.17664269444656</v>
      </c>
      <c r="D51" s="2">
        <v>67.409499999999994</v>
      </c>
      <c r="E51" s="2">
        <v>27.444210000000002</v>
      </c>
      <c r="F51" s="2">
        <f t="shared" si="18"/>
        <v>18.50000473995</v>
      </c>
      <c r="G51" s="2">
        <v>0.50839042922225997</v>
      </c>
      <c r="H51" s="2">
        <f t="shared" si="19"/>
        <v>9.4052253503570243E-2</v>
      </c>
      <c r="I51" s="32">
        <f t="shared" si="2"/>
        <v>9.4052253503570243E-2</v>
      </c>
      <c r="J51" s="32">
        <f t="shared" si="3"/>
        <v>9.8549653453901861E-2</v>
      </c>
      <c r="K51" s="32"/>
      <c r="O51" s="2"/>
      <c r="P51" s="37"/>
      <c r="Q51" s="32">
        <f t="shared" si="4"/>
        <v>3.5961908860110414E-2</v>
      </c>
      <c r="R51" s="32">
        <f t="shared" si="5"/>
        <v>4.0459308810442032E-2</v>
      </c>
      <c r="S51" s="37"/>
      <c r="T51" s="2">
        <f>USA!Z59*G51</f>
        <v>1.8098699280312456</v>
      </c>
      <c r="U51" s="2">
        <v>1</v>
      </c>
      <c r="V51" s="2">
        <v>0</v>
      </c>
      <c r="W51" s="2">
        <v>0</v>
      </c>
      <c r="X51" s="37"/>
      <c r="Y51" s="2">
        <v>0.61763905147955556</v>
      </c>
      <c r="Z51" s="2">
        <f t="shared" si="6"/>
        <v>4.5468613653803211E-2</v>
      </c>
      <c r="AA51" s="2">
        <v>0.15500000000000003</v>
      </c>
      <c r="AB51" s="2">
        <f t="shared" si="7"/>
        <v>1.2621730989656615E-2</v>
      </c>
      <c r="AC51" s="2">
        <f t="shared" si="8"/>
        <v>5.8090344643459829E-2</v>
      </c>
      <c r="AG51" s="2">
        <v>0.15500000000000003</v>
      </c>
      <c r="AK51" s="2"/>
      <c r="AN51">
        <v>1972</v>
      </c>
      <c r="AO51" s="1">
        <f t="shared" si="9"/>
        <v>9.4052253503570243E-2</v>
      </c>
      <c r="AP51" s="1">
        <f t="shared" si="20"/>
        <v>4.5468613653803211E-2</v>
      </c>
      <c r="AQ51" s="1">
        <f t="shared" si="21"/>
        <v>1.2621730989656615E-2</v>
      </c>
      <c r="AR51" s="1">
        <f t="shared" si="22"/>
        <v>5.8090344643459829E-2</v>
      </c>
      <c r="AS51" s="1">
        <f t="shared" si="10"/>
        <v>3.5961908860110414E-2</v>
      </c>
      <c r="AU51" s="7">
        <v>10.657638025239748</v>
      </c>
      <c r="AV51" s="12"/>
      <c r="AW51" s="1">
        <f t="shared" si="11"/>
        <v>0.88248684446622028</v>
      </c>
      <c r="AX51" s="1">
        <f t="shared" si="23"/>
        <v>0.87855356561258036</v>
      </c>
      <c r="AY51" s="1">
        <f t="shared" si="12"/>
        <v>0.54505833755930233</v>
      </c>
      <c r="AZ51" s="1">
        <f t="shared" si="13"/>
        <v>0.33742850690691795</v>
      </c>
      <c r="BA51" s="1">
        <f t="shared" si="14"/>
        <v>0.33349522805327803</v>
      </c>
      <c r="BB51" s="3">
        <f t="shared" si="15"/>
        <v>16.981904656032189</v>
      </c>
      <c r="BC51">
        <v>0</v>
      </c>
      <c r="BD51">
        <v>0</v>
      </c>
      <c r="BE51">
        <v>0</v>
      </c>
      <c r="BF51" s="44">
        <v>0</v>
      </c>
      <c r="BG51">
        <v>0</v>
      </c>
      <c r="BH51">
        <v>0</v>
      </c>
      <c r="BJ51" s="1">
        <f t="shared" si="16"/>
        <v>0.93067464048935111</v>
      </c>
      <c r="BK51" s="1">
        <f t="shared" si="17"/>
        <v>0.92652658671834009</v>
      </c>
    </row>
    <row r="52" spans="1:63">
      <c r="A52">
        <v>1973</v>
      </c>
      <c r="B52" s="3">
        <f t="shared" si="0"/>
        <v>98.431766107767899</v>
      </c>
      <c r="C52" s="3">
        <f t="shared" si="1"/>
        <v>20.369443941469338</v>
      </c>
      <c r="D52" s="2">
        <v>68.779200000000003</v>
      </c>
      <c r="E52" s="2">
        <v>29.151260000000001</v>
      </c>
      <c r="F52" s="2">
        <f t="shared" si="18"/>
        <v>20.050003417920003</v>
      </c>
      <c r="G52" s="2">
        <v>0.51826899147243899</v>
      </c>
      <c r="H52" s="2">
        <f t="shared" si="19"/>
        <v>0.10391295050424354</v>
      </c>
      <c r="I52" s="32">
        <f t="shared" si="2"/>
        <v>0.10391295050424354</v>
      </c>
      <c r="J52" s="32">
        <f t="shared" si="3"/>
        <v>8.8215172852750406E-2</v>
      </c>
      <c r="K52" s="32"/>
      <c r="O52" s="2"/>
      <c r="P52" s="37"/>
      <c r="Q52" s="32">
        <f t="shared" si="4"/>
        <v>5.7367153204564966E-2</v>
      </c>
      <c r="R52" s="32">
        <f t="shared" si="5"/>
        <v>4.1669375553071833E-2</v>
      </c>
      <c r="S52" s="37"/>
      <c r="T52" s="2">
        <f>USA!Z60*G52</f>
        <v>2.005700996998339</v>
      </c>
      <c r="U52" s="2">
        <v>1</v>
      </c>
      <c r="V52" s="2">
        <v>0</v>
      </c>
      <c r="W52" s="2">
        <v>0</v>
      </c>
      <c r="X52" s="37"/>
      <c r="Y52" s="2">
        <v>0.44793066767724743</v>
      </c>
      <c r="Z52" s="2">
        <f t="shared" si="6"/>
        <v>3.2600769309931603E-2</v>
      </c>
      <c r="AA52" s="2">
        <v>0.15500000000000003</v>
      </c>
      <c r="AB52" s="2">
        <f t="shared" si="7"/>
        <v>1.3945027989746972E-2</v>
      </c>
      <c r="AC52" s="2">
        <f t="shared" si="8"/>
        <v>4.6545797299678573E-2</v>
      </c>
      <c r="AG52" s="2">
        <v>0.15500000000000003</v>
      </c>
      <c r="AK52" s="2"/>
      <c r="AN52">
        <v>1973</v>
      </c>
      <c r="AO52" s="1">
        <f t="shared" si="9"/>
        <v>0.10391295050424354</v>
      </c>
      <c r="AP52" s="1">
        <f t="shared" si="20"/>
        <v>3.2600769309931603E-2</v>
      </c>
      <c r="AQ52" s="1">
        <f t="shared" si="21"/>
        <v>1.3945027989746972E-2</v>
      </c>
      <c r="AR52" s="1">
        <f t="shared" si="22"/>
        <v>4.6545797299678573E-2</v>
      </c>
      <c r="AS52" s="1">
        <f t="shared" si="10"/>
        <v>5.7367153204564966E-2</v>
      </c>
      <c r="AU52" s="7">
        <v>11.574814898494543</v>
      </c>
      <c r="AV52" s="12"/>
      <c r="AW52" s="1">
        <f t="shared" si="11"/>
        <v>0.89775042983848319</v>
      </c>
      <c r="AX52" s="1">
        <f t="shared" si="23"/>
        <v>0.89775042983848319</v>
      </c>
      <c r="AY52" s="1">
        <f t="shared" si="12"/>
        <v>0.40212994944508762</v>
      </c>
      <c r="AZ52" s="1">
        <f>AW52-AY52</f>
        <v>0.49562048039339557</v>
      </c>
      <c r="BA52" s="1">
        <f t="shared" si="14"/>
        <v>0.49562048039339557</v>
      </c>
      <c r="BB52" s="3">
        <f t="shared" si="15"/>
        <v>17.328147487345191</v>
      </c>
      <c r="BC52" s="23">
        <v>1</v>
      </c>
      <c r="BD52">
        <v>0</v>
      </c>
      <c r="BE52">
        <v>0</v>
      </c>
      <c r="BF52" s="44">
        <v>0</v>
      </c>
      <c r="BG52">
        <v>0</v>
      </c>
      <c r="BH52">
        <v>0</v>
      </c>
      <c r="BJ52" s="1">
        <f t="shared" si="16"/>
        <v>0.94677168705495918</v>
      </c>
      <c r="BK52" s="1">
        <f t="shared" si="17"/>
        <v>0.94677168705495918</v>
      </c>
    </row>
    <row r="53" spans="1:63">
      <c r="A53">
        <v>1974</v>
      </c>
      <c r="B53" s="3">
        <f t="shared" si="0"/>
        <v>168.98603807894139</v>
      </c>
      <c r="C53" s="3">
        <f t="shared" si="1"/>
        <v>22.617266903639468</v>
      </c>
      <c r="D53" s="2">
        <v>118.07899999999999</v>
      </c>
      <c r="E53" s="2">
        <v>32.368180000000002</v>
      </c>
      <c r="F53" s="2">
        <f t="shared" si="18"/>
        <v>38.220023262200002</v>
      </c>
      <c r="G53" s="2">
        <v>0.54313046304808232</v>
      </c>
      <c r="H53" s="2">
        <f t="shared" si="19"/>
        <v>0.20758458932107163</v>
      </c>
      <c r="I53" s="32">
        <f t="shared" si="2"/>
        <v>0.20758458932107163</v>
      </c>
      <c r="J53" s="32">
        <f t="shared" si="3"/>
        <v>0.21243651179757889</v>
      </c>
      <c r="K53" s="32"/>
      <c r="O53" s="2"/>
      <c r="P53" s="37"/>
      <c r="Q53" s="32">
        <f t="shared" si="4"/>
        <v>6.5636577801931023E-2</v>
      </c>
      <c r="R53" s="32">
        <f t="shared" si="5"/>
        <v>7.0488500278438296E-2</v>
      </c>
      <c r="S53" s="37"/>
      <c r="T53" s="2">
        <f>USA!Z61*G53</f>
        <v>6.6696420862304509</v>
      </c>
      <c r="U53" s="2">
        <v>1</v>
      </c>
      <c r="V53" s="2">
        <v>0</v>
      </c>
      <c r="W53" s="2">
        <v>0</v>
      </c>
      <c r="X53" s="37"/>
      <c r="Y53" s="2">
        <v>0.68380804174046483</v>
      </c>
      <c r="Z53" s="2">
        <f t="shared" si="6"/>
        <v>0.11409033935916994</v>
      </c>
      <c r="AA53" s="2">
        <v>0.15500000000000003</v>
      </c>
      <c r="AB53" s="2">
        <f t="shared" si="7"/>
        <v>2.7857672159970658E-2</v>
      </c>
      <c r="AC53" s="2">
        <f t="shared" si="8"/>
        <v>0.1419480115191406</v>
      </c>
      <c r="AG53" s="2">
        <v>0.15500000000000003</v>
      </c>
      <c r="AK53" s="2"/>
      <c r="AN53">
        <v>1974</v>
      </c>
      <c r="AO53" s="1">
        <f t="shared" si="9"/>
        <v>0.20758458932107163</v>
      </c>
      <c r="AP53" s="1">
        <f t="shared" si="20"/>
        <v>0.11409033935916994</v>
      </c>
      <c r="AQ53" s="1">
        <f t="shared" si="21"/>
        <v>2.7857672159970658E-2</v>
      </c>
      <c r="AR53" s="1">
        <f t="shared" si="22"/>
        <v>0.1419480115191406</v>
      </c>
      <c r="AS53" s="1">
        <f t="shared" si="10"/>
        <v>6.5636577801931023E-2</v>
      </c>
      <c r="AU53" s="7">
        <v>12.896062701767931</v>
      </c>
      <c r="AV53" s="12"/>
      <c r="AW53" s="1">
        <f t="shared" si="11"/>
        <v>1.6096741627397149</v>
      </c>
      <c r="AX53" s="1">
        <f t="shared" si="23"/>
        <v>1.624779744741202</v>
      </c>
      <c r="AY53" s="1">
        <f t="shared" si="12"/>
        <v>1.100708137063267</v>
      </c>
      <c r="AZ53" s="1">
        <f t="shared" ref="AZ53:AZ89" si="24">AW53-AY53</f>
        <v>0.50896602567644789</v>
      </c>
      <c r="BA53" s="1">
        <f t="shared" si="14"/>
        <v>0.52407160767793504</v>
      </c>
      <c r="BB53" s="3">
        <f t="shared" si="15"/>
        <v>51.718437173200968</v>
      </c>
      <c r="BC53">
        <v>0</v>
      </c>
      <c r="BD53">
        <v>0</v>
      </c>
      <c r="BE53">
        <v>0</v>
      </c>
      <c r="BF53" s="44">
        <v>0</v>
      </c>
      <c r="BG53">
        <v>0</v>
      </c>
      <c r="BH53">
        <v>0</v>
      </c>
      <c r="BJ53" s="1">
        <f t="shared" si="16"/>
        <v>1.6975696942189655</v>
      </c>
      <c r="BK53" s="1">
        <f t="shared" si="17"/>
        <v>1.7135001097110172</v>
      </c>
    </row>
    <row r="54" spans="1:63">
      <c r="A54">
        <v>1975</v>
      </c>
      <c r="B54" s="3">
        <f t="shared" si="0"/>
        <v>138.59934907650455</v>
      </c>
      <c r="C54" s="3">
        <f t="shared" si="1"/>
        <v>24.682660206706046</v>
      </c>
      <c r="D54" s="2">
        <v>96.846299999999999</v>
      </c>
      <c r="E54" s="2">
        <v>35.324019999999997</v>
      </c>
      <c r="F54" s="2">
        <f t="shared" si="18"/>
        <v>34.210006381259994</v>
      </c>
      <c r="G54" s="2">
        <v>0.57397240097312718</v>
      </c>
      <c r="H54" s="2">
        <f t="shared" si="19"/>
        <v>0.19635599499957801</v>
      </c>
      <c r="I54" s="32">
        <f t="shared" si="2"/>
        <v>0.19635599499957801</v>
      </c>
      <c r="J54" s="32">
        <f t="shared" si="3"/>
        <v>0.19847666882227105</v>
      </c>
      <c r="K54" s="32"/>
      <c r="O54" s="2"/>
      <c r="P54" s="37"/>
      <c r="Q54" s="32">
        <f t="shared" si="4"/>
        <v>7.2091300904561395E-2</v>
      </c>
      <c r="R54" s="32">
        <f t="shared" si="5"/>
        <v>7.4211974727254451E-2</v>
      </c>
      <c r="S54" s="37"/>
      <c r="T54" s="2">
        <f>USA!Z62*G54</f>
        <v>7.2722303203295215</v>
      </c>
      <c r="U54" s="2">
        <v>1</v>
      </c>
      <c r="V54" s="2">
        <v>0</v>
      </c>
      <c r="W54" s="2">
        <v>0</v>
      </c>
      <c r="X54" s="37"/>
      <c r="Y54" s="2">
        <v>0.63285408777706875</v>
      </c>
      <c r="Z54" s="2">
        <f t="shared" si="6"/>
        <v>9.7913889571263721E-2</v>
      </c>
      <c r="AA54" s="2">
        <v>0.15500000000000003</v>
      </c>
      <c r="AB54" s="2">
        <f t="shared" si="7"/>
        <v>2.6350804523752894E-2</v>
      </c>
      <c r="AC54" s="2">
        <f t="shared" si="8"/>
        <v>0.12426469409501661</v>
      </c>
      <c r="AG54" s="2">
        <v>0.15500000000000003</v>
      </c>
      <c r="AK54" s="2"/>
      <c r="AN54">
        <v>1975</v>
      </c>
      <c r="AO54" s="1">
        <f t="shared" si="9"/>
        <v>0.19635599499957801</v>
      </c>
      <c r="AP54" s="1">
        <f t="shared" si="20"/>
        <v>9.7913889571263721E-2</v>
      </c>
      <c r="AQ54" s="1">
        <f t="shared" si="21"/>
        <v>2.6350804523752894E-2</v>
      </c>
      <c r="AR54" s="1">
        <f t="shared" si="22"/>
        <v>0.12426469409501661</v>
      </c>
      <c r="AS54" s="1">
        <f t="shared" si="10"/>
        <v>7.2091300904561395E-2</v>
      </c>
      <c r="AU54" s="7">
        <v>15.085314725442556</v>
      </c>
      <c r="AV54" s="12"/>
      <c r="AW54" s="1">
        <f t="shared" si="11"/>
        <v>1.3016367147342862</v>
      </c>
      <c r="AX54" s="1">
        <f t="shared" si="23"/>
        <v>1.3285547048855686</v>
      </c>
      <c r="AY54" s="1">
        <f t="shared" si="12"/>
        <v>0.82374611572030754</v>
      </c>
      <c r="AZ54" s="1">
        <f t="shared" si="24"/>
        <v>0.47789059901397868</v>
      </c>
      <c r="BA54" s="1">
        <f t="shared" si="14"/>
        <v>0.50480858916526095</v>
      </c>
      <c r="BB54" s="3">
        <f t="shared" si="15"/>
        <v>48.207349019138064</v>
      </c>
      <c r="BC54">
        <v>0</v>
      </c>
      <c r="BD54">
        <v>0</v>
      </c>
      <c r="BE54">
        <v>0</v>
      </c>
      <c r="BF54" s="44">
        <v>0</v>
      </c>
      <c r="BG54">
        <v>0</v>
      </c>
      <c r="BH54">
        <v>0</v>
      </c>
      <c r="BJ54" s="1">
        <f t="shared" si="16"/>
        <v>1.3727120003310618</v>
      </c>
      <c r="BK54" s="1">
        <f t="shared" si="17"/>
        <v>1.4010998351909609</v>
      </c>
    </row>
    <row r="55" spans="1:63">
      <c r="A55">
        <v>1976</v>
      </c>
      <c r="B55" s="3">
        <f t="shared" si="0"/>
        <v>133.33995756793732</v>
      </c>
      <c r="C55" s="3">
        <f t="shared" si="1"/>
        <v>26.098712089869402</v>
      </c>
      <c r="D55" s="2">
        <v>93.171300000000002</v>
      </c>
      <c r="E55" s="2">
        <v>37.350569999999998</v>
      </c>
      <c r="F55" s="2">
        <f t="shared" si="18"/>
        <v>34.800011626409997</v>
      </c>
      <c r="G55" s="2">
        <v>0.70662193802662376</v>
      </c>
      <c r="H55" s="2">
        <f t="shared" si="19"/>
        <v>0.2459045165880287</v>
      </c>
      <c r="I55" s="32">
        <f t="shared" si="2"/>
        <v>0.2459045165880287</v>
      </c>
      <c r="J55" s="32">
        <f t="shared" si="3"/>
        <v>0.23849857969838678</v>
      </c>
      <c r="K55" s="32"/>
      <c r="O55" s="2"/>
      <c r="P55" s="37"/>
      <c r="Q55" s="32">
        <f t="shared" si="4"/>
        <v>9.4841100629282193E-2</v>
      </c>
      <c r="R55" s="32">
        <f t="shared" si="5"/>
        <v>8.7435163739640262E-2</v>
      </c>
      <c r="S55" s="37"/>
      <c r="T55" s="2">
        <f>USA!Z63*G55</f>
        <v>9.4122042145146292</v>
      </c>
      <c r="U55" s="2">
        <v>1</v>
      </c>
      <c r="V55" s="2">
        <v>0</v>
      </c>
      <c r="W55" s="2">
        <v>0</v>
      </c>
      <c r="X55" s="37"/>
      <c r="Y55" s="2">
        <v>0.61431737023288446</v>
      </c>
      <c r="Z55" s="2">
        <f t="shared" si="6"/>
        <v>0.11806324273697641</v>
      </c>
      <c r="AA55" s="2">
        <v>0.15500000000000003</v>
      </c>
      <c r="AB55" s="2">
        <f t="shared" si="7"/>
        <v>3.3000173221770089E-2</v>
      </c>
      <c r="AC55" s="2">
        <f t="shared" si="8"/>
        <v>0.15106341595874651</v>
      </c>
      <c r="AG55" s="2">
        <v>0.15500000000000003</v>
      </c>
      <c r="AK55" s="2"/>
      <c r="AN55">
        <v>1976</v>
      </c>
      <c r="AO55" s="1">
        <f t="shared" si="9"/>
        <v>0.2459045165880287</v>
      </c>
      <c r="AP55" s="1">
        <f t="shared" si="20"/>
        <v>0.11806324273697641</v>
      </c>
      <c r="AQ55" s="1">
        <f t="shared" si="21"/>
        <v>3.3000173221770089E-2</v>
      </c>
      <c r="AR55" s="1">
        <f t="shared" si="22"/>
        <v>0.15106341595874651</v>
      </c>
      <c r="AS55" s="1">
        <f t="shared" si="10"/>
        <v>9.4841100629282193E-2</v>
      </c>
      <c r="AU55" s="7">
        <v>17.786563589690982</v>
      </c>
      <c r="AV55" s="12"/>
      <c r="AW55" s="1">
        <f t="shared" si="11"/>
        <v>1.3825296569965542</v>
      </c>
      <c r="AX55" s="1">
        <f t="shared" si="23"/>
        <v>1.3799620378426285</v>
      </c>
      <c r="AY55" s="1">
        <f t="shared" si="12"/>
        <v>0.84931198315509482</v>
      </c>
      <c r="AZ55" s="1">
        <f t="shared" si="24"/>
        <v>0.53321767384145935</v>
      </c>
      <c r="BA55" s="1">
        <f t="shared" si="14"/>
        <v>0.53065005468753368</v>
      </c>
      <c r="BB55" s="3">
        <f t="shared" si="15"/>
        <v>52.917496778129212</v>
      </c>
      <c r="BC55">
        <v>0</v>
      </c>
      <c r="BD55">
        <v>0</v>
      </c>
      <c r="BE55">
        <v>0</v>
      </c>
      <c r="BF55" s="44">
        <v>0</v>
      </c>
      <c r="BG55">
        <v>0</v>
      </c>
      <c r="BH55">
        <v>0</v>
      </c>
      <c r="BJ55" s="1">
        <f t="shared" si="16"/>
        <v>1.4580220652120843</v>
      </c>
      <c r="BK55" s="1">
        <f t="shared" si="17"/>
        <v>1.4553142423725962</v>
      </c>
    </row>
    <row r="56" spans="1:63">
      <c r="A56">
        <v>1977</v>
      </c>
      <c r="B56" s="3">
        <f t="shared" si="0"/>
        <v>139.3226406325399</v>
      </c>
      <c r="C56" s="3">
        <f t="shared" si="1"/>
        <v>27.791594761847083</v>
      </c>
      <c r="D56" s="2">
        <v>97.351699999999994</v>
      </c>
      <c r="E56" s="2">
        <v>39.773299999999999</v>
      </c>
      <c r="F56" s="2">
        <f t="shared" si="18"/>
        <v>38.719983696100002</v>
      </c>
      <c r="G56" s="2">
        <v>0.72790274822109668</v>
      </c>
      <c r="H56" s="2">
        <f t="shared" si="19"/>
        <v>0.28184382543467246</v>
      </c>
      <c r="I56" s="32">
        <f t="shared" si="2"/>
        <v>0.28184382543467246</v>
      </c>
      <c r="J56" s="32">
        <f t="shared" si="3"/>
        <v>0.27764577569848353</v>
      </c>
      <c r="K56" s="32"/>
      <c r="O56" s="2"/>
      <c r="P56" s="37"/>
      <c r="Q56" s="32">
        <f t="shared" si="4"/>
        <v>9.8062475918147596E-2</v>
      </c>
      <c r="R56" s="32">
        <f t="shared" si="5"/>
        <v>9.3864426181958685E-2</v>
      </c>
      <c r="S56" s="37"/>
      <c r="T56" s="2">
        <f>USA!Z64*G56</f>
        <v>10.452683464454948</v>
      </c>
      <c r="U56" s="2">
        <v>1</v>
      </c>
      <c r="V56" s="2">
        <v>0</v>
      </c>
      <c r="W56" s="2">
        <v>0</v>
      </c>
      <c r="X56" s="37"/>
      <c r="Y56" s="2">
        <v>0.65206803531384394</v>
      </c>
      <c r="Z56" s="2">
        <f t="shared" si="6"/>
        <v>0.14595815216381988</v>
      </c>
      <c r="AA56" s="2">
        <v>0.15500000000000003</v>
      </c>
      <c r="AB56" s="2">
        <f t="shared" si="7"/>
        <v>3.7823197352704972E-2</v>
      </c>
      <c r="AC56" s="2">
        <f t="shared" si="8"/>
        <v>0.18378134951652486</v>
      </c>
      <c r="AG56" s="2">
        <v>0.15500000000000003</v>
      </c>
      <c r="AK56" s="2"/>
      <c r="AN56">
        <v>1977</v>
      </c>
      <c r="AO56" s="1">
        <f t="shared" si="9"/>
        <v>0.28184382543467246</v>
      </c>
      <c r="AP56" s="1">
        <f t="shared" si="20"/>
        <v>0.14595815216381988</v>
      </c>
      <c r="AQ56" s="1">
        <f t="shared" si="21"/>
        <v>3.7823197352704972E-2</v>
      </c>
      <c r="AR56" s="1">
        <f t="shared" si="22"/>
        <v>0.18378134951652486</v>
      </c>
      <c r="AS56" s="1">
        <f t="shared" si="10"/>
        <v>9.8062475918147596E-2</v>
      </c>
      <c r="AU56" s="7">
        <v>20.18280856693405</v>
      </c>
      <c r="AV56" s="12"/>
      <c r="AW56" s="1">
        <f t="shared" si="11"/>
        <v>1.3964549309377268</v>
      </c>
      <c r="AX56" s="1">
        <f t="shared" si="23"/>
        <v>1.4350480365706775</v>
      </c>
      <c r="AY56" s="1">
        <f t="shared" si="12"/>
        <v>0.91058362322089303</v>
      </c>
      <c r="AZ56" s="1">
        <f t="shared" si="24"/>
        <v>0.48587130771683373</v>
      </c>
      <c r="BA56" s="1">
        <f t="shared" si="14"/>
        <v>0.52446441334978444</v>
      </c>
      <c r="BB56" s="3">
        <f t="shared" si="15"/>
        <v>51.790034225364522</v>
      </c>
      <c r="BC56">
        <v>0</v>
      </c>
      <c r="BD56">
        <v>0</v>
      </c>
      <c r="BE56">
        <v>0</v>
      </c>
      <c r="BF56" s="44">
        <v>0</v>
      </c>
      <c r="BG56">
        <v>0</v>
      </c>
      <c r="BH56">
        <v>0</v>
      </c>
      <c r="BJ56" s="1">
        <f t="shared" si="16"/>
        <v>1.4727077224546639</v>
      </c>
      <c r="BK56" s="1">
        <f t="shared" si="17"/>
        <v>1.513408187210078</v>
      </c>
    </row>
    <row r="57" spans="1:63">
      <c r="A57">
        <v>1978</v>
      </c>
      <c r="B57" s="3">
        <f t="shared" si="0"/>
        <v>128.35534243206263</v>
      </c>
      <c r="C57" s="3">
        <f t="shared" si="1"/>
        <v>29.916940817905406</v>
      </c>
      <c r="D57" s="2">
        <v>89.688299999999998</v>
      </c>
      <c r="E57" s="2">
        <v>42.81494</v>
      </c>
      <c r="F57" s="2">
        <f t="shared" si="18"/>
        <v>38.39999183202</v>
      </c>
      <c r="G57" s="2">
        <v>0.66216840790081799</v>
      </c>
      <c r="H57" s="2">
        <f t="shared" si="19"/>
        <v>0.25427261454813099</v>
      </c>
      <c r="I57" s="32">
        <f t="shared" si="2"/>
        <v>0.25427261454813099</v>
      </c>
      <c r="J57" s="32">
        <f t="shared" si="3"/>
        <v>0.26038243654676652</v>
      </c>
      <c r="K57" s="32"/>
      <c r="O57" s="2"/>
      <c r="P57" s="37"/>
      <c r="Q57" s="32">
        <f t="shared" si="4"/>
        <v>0.12177435941713941</v>
      </c>
      <c r="R57" s="32">
        <f t="shared" si="5"/>
        <v>0.12788418141577493</v>
      </c>
      <c r="S57" s="37"/>
      <c r="T57" s="2">
        <f>USA!Z65*G57</f>
        <v>9.4954949692977291</v>
      </c>
      <c r="U57" s="2">
        <v>0.67</v>
      </c>
      <c r="V57" s="2">
        <v>0</v>
      </c>
      <c r="W57" s="2">
        <v>0</v>
      </c>
      <c r="X57" s="37"/>
      <c r="Y57" s="2">
        <v>0.52108739813154803</v>
      </c>
      <c r="Z57" s="2">
        <f t="shared" si="6"/>
        <v>9.8375090408082233E-2</v>
      </c>
      <c r="AA57" s="2">
        <v>0.15500000000000003</v>
      </c>
      <c r="AB57" s="2">
        <f t="shared" si="7"/>
        <v>3.4123164722909362E-2</v>
      </c>
      <c r="AC57" s="2">
        <f t="shared" si="8"/>
        <v>0.13249825513099159</v>
      </c>
      <c r="AG57" s="2">
        <v>0.15500000000000003</v>
      </c>
      <c r="AK57" s="2"/>
      <c r="AN57">
        <v>1978</v>
      </c>
      <c r="AO57" s="1">
        <f t="shared" si="9"/>
        <v>0.25427261454813099</v>
      </c>
      <c r="AP57" s="1">
        <f t="shared" si="20"/>
        <v>9.8375090408082233E-2</v>
      </c>
      <c r="AQ57" s="1">
        <f t="shared" si="21"/>
        <v>3.4123164722909362E-2</v>
      </c>
      <c r="AR57" s="1">
        <f t="shared" si="22"/>
        <v>0.13249825513099159</v>
      </c>
      <c r="AS57" s="1">
        <f t="shared" si="10"/>
        <v>0.12177435941713941</v>
      </c>
      <c r="AU57" s="7">
        <v>21.73913278780616</v>
      </c>
      <c r="AV57" s="12"/>
      <c r="AW57" s="1">
        <f t="shared" si="11"/>
        <v>1.1696539003191366</v>
      </c>
      <c r="AX57" s="1">
        <f t="shared" si="23"/>
        <v>1.2068680027566625</v>
      </c>
      <c r="AY57" s="1">
        <f t="shared" si="12"/>
        <v>0.6094919076317159</v>
      </c>
      <c r="AZ57" s="1">
        <f t="shared" si="24"/>
        <v>0.56016199268742073</v>
      </c>
      <c r="BA57" s="1">
        <f t="shared" si="14"/>
        <v>0.59737609512494672</v>
      </c>
      <c r="BB57" s="3">
        <f t="shared" si="15"/>
        <v>43.679272130965181</v>
      </c>
      <c r="BC57">
        <v>0</v>
      </c>
      <c r="BD57" s="23">
        <v>0.75</v>
      </c>
      <c r="BE57">
        <v>0</v>
      </c>
      <c r="BF57" s="44">
        <v>0</v>
      </c>
      <c r="BG57">
        <v>0</v>
      </c>
      <c r="BH57">
        <v>0</v>
      </c>
      <c r="BJ57" s="1">
        <f t="shared" si="16"/>
        <v>1.2335223238765773</v>
      </c>
      <c r="BK57" s="1">
        <f t="shared" si="17"/>
        <v>1.2727684855891943</v>
      </c>
    </row>
    <row r="58" spans="1:63">
      <c r="A58">
        <v>1979</v>
      </c>
      <c r="B58" s="3">
        <f t="shared" si="0"/>
        <v>139.69244383412189</v>
      </c>
      <c r="C58" s="3">
        <f t="shared" si="1"/>
        <v>33.287054161079702</v>
      </c>
      <c r="D58" s="2">
        <v>97.610100000000003</v>
      </c>
      <c r="E58" s="2">
        <v>47.637999999999998</v>
      </c>
      <c r="F58" s="2">
        <f t="shared" si="18"/>
        <v>46.499499438000001</v>
      </c>
      <c r="G58" s="2">
        <v>0.62038132773971388</v>
      </c>
      <c r="H58" s="2">
        <f t="shared" si="19"/>
        <v>0.28847421200578521</v>
      </c>
      <c r="I58" s="32">
        <f t="shared" si="2"/>
        <v>0.28847421200578521</v>
      </c>
      <c r="J58" s="32">
        <f t="shared" si="3"/>
        <v>0.26029009277863424</v>
      </c>
      <c r="K58" s="32"/>
      <c r="O58" s="2"/>
      <c r="P58" s="37"/>
      <c r="Q58" s="32">
        <f t="shared" si="4"/>
        <v>0.17954454794024349</v>
      </c>
      <c r="R58" s="32">
        <f t="shared" si="5"/>
        <v>0.15136042871309252</v>
      </c>
      <c r="S58" s="37"/>
      <c r="T58" s="2">
        <f>USA!Z66*G58</f>
        <v>13.294771853462068</v>
      </c>
      <c r="U58" s="2">
        <v>0.67</v>
      </c>
      <c r="V58" s="2">
        <v>0</v>
      </c>
      <c r="W58" s="2">
        <v>0</v>
      </c>
      <c r="X58" s="37"/>
      <c r="Y58" s="2">
        <v>0.37760624531442405</v>
      </c>
      <c r="Z58" s="2">
        <f t="shared" si="6"/>
        <v>7.0216674575587834E-2</v>
      </c>
      <c r="AA58" s="2">
        <v>0.15500000000000003</v>
      </c>
      <c r="AB58" s="2">
        <f t="shared" si="7"/>
        <v>3.8712989489953865E-2</v>
      </c>
      <c r="AC58" s="2">
        <f t="shared" si="8"/>
        <v>0.10892966406554171</v>
      </c>
      <c r="AG58" s="2">
        <v>0.15500000000000003</v>
      </c>
      <c r="AK58" s="2"/>
      <c r="AN58">
        <v>1979</v>
      </c>
      <c r="AO58" s="1">
        <f t="shared" si="9"/>
        <v>0.28847421200578521</v>
      </c>
      <c r="AP58" s="1">
        <f t="shared" si="20"/>
        <v>7.0216674575587834E-2</v>
      </c>
      <c r="AQ58" s="1">
        <f t="shared" si="21"/>
        <v>3.8712989489953865E-2</v>
      </c>
      <c r="AR58" s="1">
        <f t="shared" si="22"/>
        <v>0.10892966406554171</v>
      </c>
      <c r="AS58" s="1">
        <f t="shared" si="10"/>
        <v>0.17954454794024349</v>
      </c>
      <c r="AU58" s="7">
        <v>24.629448318042535</v>
      </c>
      <c r="AV58" s="12"/>
      <c r="AW58" s="1">
        <f t="shared" si="11"/>
        <v>1.171257302561912</v>
      </c>
      <c r="AX58" s="1">
        <f t="shared" si="23"/>
        <v>1.150950262066865</v>
      </c>
      <c r="AY58" s="1">
        <f t="shared" si="12"/>
        <v>0.44227407231750393</v>
      </c>
      <c r="AZ58" s="1">
        <f t="shared" si="24"/>
        <v>0.72898323024440803</v>
      </c>
      <c r="BA58" s="1">
        <f t="shared" si="14"/>
        <v>0.7086761897493612</v>
      </c>
      <c r="BB58" s="3">
        <f t="shared" si="15"/>
        <v>53.979170307776883</v>
      </c>
      <c r="BC58">
        <v>0</v>
      </c>
      <c r="BD58" s="23">
        <v>1.1000000000000001</v>
      </c>
      <c r="BE58">
        <v>0</v>
      </c>
      <c r="BF58" s="44">
        <v>0</v>
      </c>
      <c r="BG58">
        <v>0</v>
      </c>
      <c r="BH58">
        <v>0</v>
      </c>
      <c r="BJ58" s="1">
        <f t="shared" si="16"/>
        <v>1.2352132791754717</v>
      </c>
      <c r="BK58" s="1">
        <f t="shared" si="17"/>
        <v>1.2137973818953691</v>
      </c>
    </row>
    <row r="59" spans="1:63">
      <c r="A59">
        <v>1980</v>
      </c>
      <c r="B59" s="3">
        <f t="shared" si="0"/>
        <v>174.14668182857227</v>
      </c>
      <c r="C59" s="3">
        <f t="shared" si="1"/>
        <v>37.784321185500851</v>
      </c>
      <c r="D59" s="2">
        <v>121.685</v>
      </c>
      <c r="E59" s="2">
        <v>54.074159999999999</v>
      </c>
      <c r="F59" s="2">
        <f t="shared" si="18"/>
        <v>65.800141596000003</v>
      </c>
      <c r="G59" s="2">
        <v>0.61791803586756111</v>
      </c>
      <c r="H59" s="2">
        <f t="shared" si="19"/>
        <v>0.40659094254807726</v>
      </c>
      <c r="I59" s="32">
        <f t="shared" si="2"/>
        <v>0.40659094254807726</v>
      </c>
      <c r="J59" s="32">
        <f t="shared" si="3"/>
        <v>0.40245336779989382</v>
      </c>
      <c r="K59" s="32"/>
      <c r="O59" s="2"/>
      <c r="P59" s="37"/>
      <c r="Q59" s="32">
        <f t="shared" si="4"/>
        <v>0.20236476137559528</v>
      </c>
      <c r="R59" s="32">
        <f t="shared" si="5"/>
        <v>0.19822718662741182</v>
      </c>
      <c r="S59" s="37"/>
      <c r="T59" s="2">
        <f>USA!Z67*G59</f>
        <v>20.879450431964891</v>
      </c>
      <c r="U59" s="2">
        <v>0.67</v>
      </c>
      <c r="V59" s="2">
        <v>0</v>
      </c>
      <c r="W59" s="2">
        <v>0</v>
      </c>
      <c r="X59" s="37"/>
      <c r="Y59" s="2">
        <v>0.50228905713592797</v>
      </c>
      <c r="Z59" s="2">
        <f t="shared" si="6"/>
        <v>0.14966202870932008</v>
      </c>
      <c r="AA59" s="2">
        <v>0.15500000000000003</v>
      </c>
      <c r="AB59" s="2">
        <f t="shared" si="7"/>
        <v>5.4564152463161895E-2</v>
      </c>
      <c r="AC59" s="2">
        <f t="shared" si="8"/>
        <v>0.20422618117248198</v>
      </c>
      <c r="AG59" s="2">
        <v>0.15500000000000003</v>
      </c>
      <c r="AK59" s="2"/>
      <c r="AN59">
        <v>1980</v>
      </c>
      <c r="AO59" s="1">
        <f t="shared" si="9"/>
        <v>0.40659094254807726</v>
      </c>
      <c r="AP59" s="1">
        <f t="shared" si="20"/>
        <v>0.14966202870932008</v>
      </c>
      <c r="AQ59" s="1">
        <f t="shared" si="21"/>
        <v>5.4564152463161895E-2</v>
      </c>
      <c r="AR59" s="1">
        <f t="shared" si="22"/>
        <v>0.20422618117248198</v>
      </c>
      <c r="AS59" s="1">
        <f t="shared" si="10"/>
        <v>0.20236476137559528</v>
      </c>
      <c r="AU59" s="7">
        <v>29.100791661162241</v>
      </c>
      <c r="AV59" s="12"/>
      <c r="AW59" s="1">
        <f t="shared" si="11"/>
        <v>1.3971817237216653</v>
      </c>
      <c r="AX59" s="1">
        <f t="shared" si="23"/>
        <v>1.3748903945872932</v>
      </c>
      <c r="AY59" s="1">
        <f t="shared" si="12"/>
        <v>0.70178909065570594</v>
      </c>
      <c r="AZ59" s="1">
        <f t="shared" si="24"/>
        <v>0.69539263306595933</v>
      </c>
      <c r="BA59" s="1">
        <f t="shared" si="14"/>
        <v>0.67310130393158718</v>
      </c>
      <c r="BB59" s="3">
        <f t="shared" si="15"/>
        <v>71.748736855947783</v>
      </c>
      <c r="BC59">
        <v>0</v>
      </c>
      <c r="BD59" s="23">
        <v>0.25</v>
      </c>
      <c r="BE59">
        <v>0</v>
      </c>
      <c r="BF59" s="44">
        <v>0</v>
      </c>
      <c r="BG59">
        <v>0</v>
      </c>
      <c r="BH59">
        <v>0</v>
      </c>
      <c r="BJ59" s="1">
        <f t="shared" si="16"/>
        <v>1.4734742014306892</v>
      </c>
      <c r="BK59" s="1">
        <f t="shared" si="17"/>
        <v>1.4499656643252892</v>
      </c>
    </row>
    <row r="60" spans="1:63">
      <c r="A60">
        <v>1981</v>
      </c>
      <c r="B60" s="3">
        <f t="shared" si="0"/>
        <v>163.38031385062638</v>
      </c>
      <c r="C60" s="3">
        <f t="shared" si="1"/>
        <v>41.681969842500045</v>
      </c>
      <c r="D60" s="2">
        <v>114.16200000000001</v>
      </c>
      <c r="E60" s="2">
        <v>59.652189999999997</v>
      </c>
      <c r="F60" s="2">
        <f t="shared" si="18"/>
        <v>68.100133147799994</v>
      </c>
      <c r="G60" s="2">
        <v>0.78888826812805046</v>
      </c>
      <c r="H60" s="2">
        <f t="shared" si="19"/>
        <v>0.53723396098257581</v>
      </c>
      <c r="I60" s="32">
        <f t="shared" si="2"/>
        <v>0.53723396098257581</v>
      </c>
      <c r="J60" s="32">
        <f t="shared" si="3"/>
        <v>0.54558638438866247</v>
      </c>
      <c r="K60" s="32"/>
      <c r="O60" s="2"/>
      <c r="P60" s="37"/>
      <c r="Q60" s="32">
        <f t="shared" si="4"/>
        <v>0.23834372672207516</v>
      </c>
      <c r="R60" s="32">
        <f t="shared" si="5"/>
        <v>0.24669615012816185</v>
      </c>
      <c r="S60" s="37"/>
      <c r="T60" s="2">
        <f>USA!Z68*G60</f>
        <v>28.723421842542315</v>
      </c>
      <c r="U60" s="2">
        <v>0.67</v>
      </c>
      <c r="V60" s="2">
        <v>0</v>
      </c>
      <c r="W60" s="2">
        <v>0</v>
      </c>
      <c r="X60" s="37"/>
      <c r="Y60" s="2">
        <v>0.55635022349265562</v>
      </c>
      <c r="Z60" s="2">
        <f t="shared" si="6"/>
        <v>0.22679390183426751</v>
      </c>
      <c r="AA60" s="2">
        <v>0.15500000000000003</v>
      </c>
      <c r="AB60" s="2">
        <f t="shared" si="7"/>
        <v>7.2096332426233131E-2</v>
      </c>
      <c r="AC60" s="2">
        <f t="shared" si="8"/>
        <v>0.29889023426050065</v>
      </c>
      <c r="AG60" s="2">
        <v>0.15500000000000003</v>
      </c>
      <c r="AK60" s="2"/>
      <c r="AN60">
        <v>1981</v>
      </c>
      <c r="AO60" s="1">
        <f t="shared" si="9"/>
        <v>0.53723396098257581</v>
      </c>
      <c r="AP60" s="1">
        <f t="shared" si="20"/>
        <v>0.22679390183426751</v>
      </c>
      <c r="AQ60" s="1">
        <f t="shared" si="21"/>
        <v>7.2096332426233131E-2</v>
      </c>
      <c r="AR60" s="1">
        <f t="shared" si="22"/>
        <v>0.29889023426050065</v>
      </c>
      <c r="AS60" s="1">
        <f t="shared" si="10"/>
        <v>0.23834372672207516</v>
      </c>
      <c r="AU60" s="7">
        <v>35.029644360328298</v>
      </c>
      <c r="AV60" s="12"/>
      <c r="AW60" s="1">
        <f t="shared" si="11"/>
        <v>1.533655196314248</v>
      </c>
      <c r="AX60" s="1">
        <f t="shared" si="23"/>
        <v>1.5434420414335961</v>
      </c>
      <c r="AY60" s="1">
        <f t="shared" si="12"/>
        <v>0.85324941123010434</v>
      </c>
      <c r="AZ60" s="1">
        <f t="shared" si="24"/>
        <v>0.68040578508414362</v>
      </c>
      <c r="BA60" s="1">
        <f t="shared" si="14"/>
        <v>0.69019263020349175</v>
      </c>
      <c r="BB60" s="3">
        <f t="shared" si="15"/>
        <v>81.997469192328168</v>
      </c>
      <c r="BC60">
        <v>0</v>
      </c>
      <c r="BD60">
        <v>0</v>
      </c>
      <c r="BE60">
        <v>0</v>
      </c>
      <c r="BF60" s="44">
        <v>0</v>
      </c>
      <c r="BG60">
        <v>0</v>
      </c>
      <c r="BH60">
        <v>0</v>
      </c>
      <c r="BJ60" s="1">
        <f t="shared" si="16"/>
        <v>1.6173997464265011</v>
      </c>
      <c r="BK60" s="1">
        <f t="shared" si="17"/>
        <v>1.6277209978084224</v>
      </c>
    </row>
    <row r="61" spans="1:63">
      <c r="A61">
        <v>1982</v>
      </c>
      <c r="B61" s="3">
        <f t="shared" si="0"/>
        <v>164.74704007938323</v>
      </c>
      <c r="C61" s="3">
        <f t="shared" si="1"/>
        <v>44.24984128314113</v>
      </c>
      <c r="D61" s="2">
        <v>115.117</v>
      </c>
      <c r="E61" s="2">
        <v>63.32714</v>
      </c>
      <c r="F61" s="2">
        <f t="shared" si="18"/>
        <v>72.900303753800003</v>
      </c>
      <c r="G61" s="2">
        <v>0.89460666053806392</v>
      </c>
      <c r="H61" s="2">
        <f t="shared" si="19"/>
        <v>0.65217097293397497</v>
      </c>
      <c r="I61" s="32">
        <f t="shared" si="2"/>
        <v>0.65217097293397497</v>
      </c>
      <c r="J61" s="32">
        <f t="shared" si="3"/>
        <v>0.64869102918975141</v>
      </c>
      <c r="K61" s="32"/>
      <c r="O61" s="2"/>
      <c r="P61" s="37"/>
      <c r="Q61" s="32">
        <f t="shared" si="4"/>
        <v>0.25621631816419893</v>
      </c>
      <c r="R61" s="32">
        <f t="shared" si="5"/>
        <v>0.25273637441997543</v>
      </c>
      <c r="S61" s="37"/>
      <c r="T61" s="2">
        <f>USA!Z69*G61</f>
        <v>29.700941129863725</v>
      </c>
      <c r="U61" s="2">
        <v>0.67</v>
      </c>
      <c r="V61" s="2">
        <v>0</v>
      </c>
      <c r="W61" s="2">
        <v>0</v>
      </c>
      <c r="X61" s="37"/>
      <c r="Y61" s="2">
        <v>0.607133207705431</v>
      </c>
      <c r="Z61" s="2">
        <f t="shared" si="6"/>
        <v>0.30843387485222962</v>
      </c>
      <c r="AA61" s="2">
        <v>0.15500000000000003</v>
      </c>
      <c r="AB61" s="2">
        <f t="shared" si="7"/>
        <v>8.7520779917546435E-2</v>
      </c>
      <c r="AC61" s="2">
        <f t="shared" si="8"/>
        <v>0.39595465476977604</v>
      </c>
      <c r="AG61" s="2">
        <v>0.15500000000000003</v>
      </c>
      <c r="AK61" s="2"/>
      <c r="AN61">
        <v>1982</v>
      </c>
      <c r="AO61" s="1">
        <f t="shared" si="9"/>
        <v>0.65217097293397497</v>
      </c>
      <c r="AP61" s="1">
        <f t="shared" si="20"/>
        <v>0.30843387485222962</v>
      </c>
      <c r="AQ61" s="1">
        <f t="shared" si="21"/>
        <v>8.7520779917546435E-2</v>
      </c>
      <c r="AR61" s="1">
        <f t="shared" si="22"/>
        <v>0.39595465476977604</v>
      </c>
      <c r="AS61" s="1">
        <f t="shared" si="10"/>
        <v>0.25621631816419893</v>
      </c>
      <c r="AU61" s="7">
        <v>41.032607958033473</v>
      </c>
      <c r="AV61" s="12"/>
      <c r="AW61" s="1">
        <f t="shared" si="11"/>
        <v>1.58939683678159</v>
      </c>
      <c r="AX61" s="1">
        <f t="shared" si="23"/>
        <v>1.6024241214736747</v>
      </c>
      <c r="AY61" s="1">
        <f t="shared" si="12"/>
        <v>0.96497559983207204</v>
      </c>
      <c r="AZ61" s="1">
        <f t="shared" si="24"/>
        <v>0.62442123694951801</v>
      </c>
      <c r="BA61" s="1">
        <f t="shared" si="14"/>
        <v>0.63744852164160282</v>
      </c>
      <c r="BB61" s="3">
        <f t="shared" si="15"/>
        <v>72.383751869344181</v>
      </c>
      <c r="BC61">
        <v>0</v>
      </c>
      <c r="BD61">
        <v>0</v>
      </c>
      <c r="BE61">
        <v>0</v>
      </c>
      <c r="BF61" s="44">
        <v>0</v>
      </c>
      <c r="BG61">
        <v>0</v>
      </c>
      <c r="BH61">
        <v>0</v>
      </c>
      <c r="BJ61" s="1">
        <f t="shared" si="16"/>
        <v>1.6761851340246681</v>
      </c>
      <c r="BK61" s="1">
        <f t="shared" si="17"/>
        <v>1.689923767720326</v>
      </c>
    </row>
    <row r="62" spans="1:63">
      <c r="A62">
        <v>1983</v>
      </c>
      <c r="B62" s="3">
        <f t="shared" si="0"/>
        <v>160.71412435934451</v>
      </c>
      <c r="C62" s="3">
        <f t="shared" si="1"/>
        <v>45.671336429076113</v>
      </c>
      <c r="D62" s="2">
        <v>112.29900000000001</v>
      </c>
      <c r="E62" s="2">
        <v>65.36148</v>
      </c>
      <c r="F62" s="2">
        <f t="shared" si="18"/>
        <v>73.400288425200003</v>
      </c>
      <c r="G62" s="2">
        <v>1.021732836950394</v>
      </c>
      <c r="H62" s="2">
        <f t="shared" si="19"/>
        <v>0.74995484925656763</v>
      </c>
      <c r="I62" s="32">
        <f t="shared" si="2"/>
        <v>0.74995484925656763</v>
      </c>
      <c r="J62" s="32">
        <f t="shared" si="3"/>
        <v>0.73570603605095175</v>
      </c>
      <c r="K62" s="32"/>
      <c r="O62" s="2"/>
      <c r="P62" s="37"/>
      <c r="Q62" s="32">
        <f t="shared" si="4"/>
        <v>0.34731155779789402</v>
      </c>
      <c r="R62" s="32">
        <f t="shared" si="5"/>
        <v>0.33306274459227814</v>
      </c>
      <c r="S62" s="37"/>
      <c r="T62" s="2">
        <f>USA!Z70*G62</f>
        <v>29.579165629713906</v>
      </c>
      <c r="U62" s="2">
        <v>0</v>
      </c>
      <c r="V62" s="2">
        <v>0</v>
      </c>
      <c r="W62" s="2">
        <v>0</v>
      </c>
      <c r="X62" s="37"/>
      <c r="Y62" s="2">
        <v>0.6417855165313</v>
      </c>
      <c r="Z62" s="32">
        <v>0.30199999999999999</v>
      </c>
      <c r="AA62" s="2">
        <v>0.15500000000000003</v>
      </c>
      <c r="AB62" s="2">
        <f t="shared" si="7"/>
        <v>0.10064329145867359</v>
      </c>
      <c r="AC62" s="2">
        <f t="shared" ref="AC62:AC68" si="25">Z62+AB62</f>
        <v>0.40264329145867361</v>
      </c>
      <c r="AG62" s="2">
        <v>0.15500000000000003</v>
      </c>
      <c r="AK62" s="2"/>
      <c r="AN62">
        <v>1983</v>
      </c>
      <c r="AO62" s="1">
        <f t="shared" si="9"/>
        <v>0.74995484925656763</v>
      </c>
      <c r="AP62" s="1">
        <f t="shared" si="20"/>
        <v>0.30199999999999999</v>
      </c>
      <c r="AQ62" s="1">
        <f t="shared" si="21"/>
        <v>0.10064329145867359</v>
      </c>
      <c r="AR62" s="1">
        <f t="shared" si="22"/>
        <v>0.40264329145867361</v>
      </c>
      <c r="AS62" s="1">
        <f t="shared" si="10"/>
        <v>0.34731155779789402</v>
      </c>
      <c r="AU62" s="7">
        <v>45.331028043806818</v>
      </c>
      <c r="AV62" s="12"/>
      <c r="AW62" s="1">
        <f t="shared" si="11"/>
        <v>1.6543962967965988</v>
      </c>
      <c r="AX62" s="1">
        <f t="shared" si="23"/>
        <v>1.6588728259728942</v>
      </c>
      <c r="AY62" s="1">
        <f t="shared" si="12"/>
        <v>0.8882288993524895</v>
      </c>
      <c r="AZ62" s="1">
        <f t="shared" si="24"/>
        <v>0.76616739744410933</v>
      </c>
      <c r="BA62" s="1">
        <f t="shared" si="14"/>
        <v>0.77064392662040471</v>
      </c>
      <c r="BB62" s="3">
        <f t="shared" si="15"/>
        <v>65.251477643810134</v>
      </c>
      <c r="BC62">
        <v>0</v>
      </c>
      <c r="BD62">
        <v>0</v>
      </c>
      <c r="BE62" s="23">
        <v>1</v>
      </c>
      <c r="BF62" s="44">
        <v>0</v>
      </c>
      <c r="BG62">
        <v>0</v>
      </c>
      <c r="BH62">
        <v>0</v>
      </c>
      <c r="BJ62" s="1">
        <f t="shared" si="16"/>
        <v>1.7447338602303946</v>
      </c>
      <c r="BK62" s="1">
        <f t="shared" si="17"/>
        <v>1.7494548282628515</v>
      </c>
    </row>
    <row r="63" spans="1:63">
      <c r="A63">
        <v>1984</v>
      </c>
      <c r="B63" s="3">
        <f t="shared" si="0"/>
        <v>141.67970670454272</v>
      </c>
      <c r="C63" s="3">
        <f t="shared" si="1"/>
        <v>47.643090239969929</v>
      </c>
      <c r="D63" s="2">
        <v>98.998699999999999</v>
      </c>
      <c r="E63" s="2">
        <v>68.183310000000006</v>
      </c>
      <c r="F63" s="2">
        <f t="shared" si="18"/>
        <v>67.500590516970007</v>
      </c>
      <c r="G63" s="2">
        <v>1.1713968642548409</v>
      </c>
      <c r="H63" s="2">
        <f t="shared" si="19"/>
        <v>0.79069980066928724</v>
      </c>
      <c r="I63" s="32">
        <f t="shared" si="2"/>
        <v>0.79069980066928724</v>
      </c>
      <c r="J63" s="32">
        <f t="shared" si="3"/>
        <v>0.8050137779602653</v>
      </c>
      <c r="K63" s="32"/>
      <c r="O63" s="2"/>
      <c r="P63" s="37"/>
      <c r="Q63" s="32">
        <f t="shared" si="4"/>
        <v>0.38258857200804086</v>
      </c>
      <c r="R63" s="32">
        <f t="shared" si="5"/>
        <v>0.39690254929901891</v>
      </c>
      <c r="S63" s="37"/>
      <c r="T63" s="2">
        <f>USA!Z71*G63</f>
        <v>33.408238568548065</v>
      </c>
      <c r="U63" s="2">
        <v>0</v>
      </c>
      <c r="V63" s="2">
        <v>1</v>
      </c>
      <c r="W63" s="2">
        <v>0</v>
      </c>
      <c r="X63" s="37"/>
      <c r="Y63" s="2">
        <v>0.61950234470084486</v>
      </c>
      <c r="Z63" s="32">
        <v>0.30199999999999999</v>
      </c>
      <c r="AA63" s="2">
        <v>0.15500000000000003</v>
      </c>
      <c r="AB63" s="2">
        <f t="shared" si="7"/>
        <v>0.10611122866124637</v>
      </c>
      <c r="AC63" s="2">
        <f t="shared" si="25"/>
        <v>0.40811122866124638</v>
      </c>
      <c r="AG63" s="2">
        <v>0.15500000000000003</v>
      </c>
      <c r="AK63" s="2"/>
      <c r="AN63">
        <v>1984</v>
      </c>
      <c r="AO63" s="1">
        <f t="shared" si="9"/>
        <v>0.79069980066928724</v>
      </c>
      <c r="AP63" s="1">
        <f t="shared" si="20"/>
        <v>0.30199999999999999</v>
      </c>
      <c r="AQ63" s="1">
        <f t="shared" si="21"/>
        <v>0.10611122866124637</v>
      </c>
      <c r="AR63" s="1">
        <f t="shared" si="22"/>
        <v>0.40811122866124638</v>
      </c>
      <c r="AS63" s="1">
        <f t="shared" si="10"/>
        <v>0.38258857200804086</v>
      </c>
      <c r="AU63" s="7">
        <v>49.234190030217867</v>
      </c>
      <c r="AV63" s="12"/>
      <c r="AW63" s="1">
        <f t="shared" si="11"/>
        <v>1.6059973773997076</v>
      </c>
      <c r="AX63" s="1">
        <f t="shared" si="23"/>
        <v>1.6138502901674561</v>
      </c>
      <c r="AY63" s="1">
        <f t="shared" si="12"/>
        <v>0.82891833583687469</v>
      </c>
      <c r="AZ63" s="1">
        <f t="shared" si="24"/>
        <v>0.77707904156283292</v>
      </c>
      <c r="BA63" s="1">
        <f t="shared" si="14"/>
        <v>0.78493195433058138</v>
      </c>
      <c r="BB63" s="3">
        <f t="shared" si="15"/>
        <v>67.85576963497013</v>
      </c>
      <c r="BC63">
        <v>0</v>
      </c>
      <c r="BD63">
        <v>0</v>
      </c>
      <c r="BE63" s="23">
        <v>1</v>
      </c>
      <c r="BF63" s="44">
        <v>0</v>
      </c>
      <c r="BG63">
        <v>0</v>
      </c>
      <c r="BH63">
        <v>0</v>
      </c>
      <c r="BJ63" s="1">
        <f t="shared" si="16"/>
        <v>1.6936921396741864</v>
      </c>
      <c r="BK63" s="1">
        <f t="shared" si="17"/>
        <v>1.7019738572009095</v>
      </c>
    </row>
    <row r="64" spans="1:63">
      <c r="A64">
        <v>1985</v>
      </c>
      <c r="B64" s="3">
        <f t="shared" si="0"/>
        <v>142.2789195547841</v>
      </c>
      <c r="C64" s="3">
        <f t="shared" si="1"/>
        <v>49.339718212134507</v>
      </c>
      <c r="D64" s="2">
        <v>99.417400000000001</v>
      </c>
      <c r="E64" s="2">
        <v>70.611400000000003</v>
      </c>
      <c r="F64" s="2">
        <f t="shared" si="18"/>
        <v>70.200017983600006</v>
      </c>
      <c r="G64" s="2">
        <v>1.2006770243434179</v>
      </c>
      <c r="H64" s="2">
        <f t="shared" si="19"/>
        <v>0.84287548701403281</v>
      </c>
      <c r="I64" s="32">
        <f t="shared" si="2"/>
        <v>0.84287548701403281</v>
      </c>
      <c r="J64" s="32">
        <f t="shared" si="3"/>
        <v>0.82645030122432295</v>
      </c>
      <c r="K64" s="32"/>
      <c r="O64" s="2"/>
      <c r="P64" s="37"/>
      <c r="Q64" s="32">
        <f t="shared" si="4"/>
        <v>0.404762326419076</v>
      </c>
      <c r="R64" s="32">
        <f t="shared" si="5"/>
        <v>0.3883371406293662</v>
      </c>
      <c r="S64" s="37"/>
      <c r="T64" s="2">
        <f>USA!Z72*G64</f>
        <v>32.022056239238957</v>
      </c>
      <c r="U64" s="2">
        <v>0</v>
      </c>
      <c r="V64" s="2">
        <v>1</v>
      </c>
      <c r="W64" s="2">
        <v>0</v>
      </c>
      <c r="X64" s="37"/>
      <c r="Y64" s="2">
        <v>0.72281372530672616</v>
      </c>
      <c r="Z64" s="32">
        <v>0.32500000000000001</v>
      </c>
      <c r="AA64" s="2">
        <v>0.15500000000000003</v>
      </c>
      <c r="AB64" s="2">
        <f t="shared" si="7"/>
        <v>0.1131131605949568</v>
      </c>
      <c r="AC64" s="2">
        <f t="shared" si="25"/>
        <v>0.43811316059495681</v>
      </c>
      <c r="AG64" s="2">
        <v>0.15500000000000003</v>
      </c>
      <c r="AK64" s="2"/>
      <c r="AN64">
        <v>1985</v>
      </c>
      <c r="AO64" s="1">
        <f t="shared" si="9"/>
        <v>0.84287548701403281</v>
      </c>
      <c r="AP64" s="1">
        <f t="shared" si="20"/>
        <v>0.32500000000000001</v>
      </c>
      <c r="AQ64" s="1">
        <f t="shared" si="21"/>
        <v>0.1131131605949568</v>
      </c>
      <c r="AR64" s="1">
        <f t="shared" si="22"/>
        <v>0.43811316059495681</v>
      </c>
      <c r="AS64" s="1">
        <f t="shared" si="10"/>
        <v>0.404762326419076</v>
      </c>
      <c r="AU64" s="7">
        <v>51.926877795520319</v>
      </c>
      <c r="AV64" s="12"/>
      <c r="AW64" s="1">
        <f t="shared" si="11"/>
        <v>1.6231969315257906</v>
      </c>
      <c r="AX64" s="1">
        <f t="shared" si="23"/>
        <v>1.5946932611747533</v>
      </c>
      <c r="AY64" s="1">
        <f t="shared" si="12"/>
        <v>0.84371173310318381</v>
      </c>
      <c r="AZ64" s="1">
        <f t="shared" si="24"/>
        <v>0.77948519842260677</v>
      </c>
      <c r="BA64" s="1">
        <f t="shared" si="14"/>
        <v>0.75098152807156948</v>
      </c>
      <c r="BB64" s="3">
        <f t="shared" si="15"/>
        <v>61.66759412213586</v>
      </c>
      <c r="BC64">
        <v>0</v>
      </c>
      <c r="BD64">
        <v>0</v>
      </c>
      <c r="BE64" s="23">
        <v>1</v>
      </c>
      <c r="BF64" s="44">
        <v>0</v>
      </c>
      <c r="BG64">
        <v>0</v>
      </c>
      <c r="BH64">
        <v>0</v>
      </c>
      <c r="BJ64" s="1">
        <f t="shared" si="16"/>
        <v>1.7118308676940373</v>
      </c>
      <c r="BK64" s="1">
        <f t="shared" si="17"/>
        <v>1.6817707672824285</v>
      </c>
    </row>
    <row r="65" spans="1:63">
      <c r="A65">
        <v>1986</v>
      </c>
      <c r="B65" s="3">
        <f t="shared" si="0"/>
        <v>158.18818530829114</v>
      </c>
      <c r="C65" s="3">
        <f t="shared" si="1"/>
        <v>50.256813657899102</v>
      </c>
      <c r="D65" s="2">
        <v>110.53400000000001</v>
      </c>
      <c r="E65" s="2">
        <v>71.923879999999997</v>
      </c>
      <c r="F65" s="2">
        <f t="shared" si="18"/>
        <v>79.500341519200006</v>
      </c>
      <c r="G65" s="2">
        <v>0.94358045822307746</v>
      </c>
      <c r="H65" s="2">
        <f t="shared" si="19"/>
        <v>0.75014968679577887</v>
      </c>
      <c r="I65" s="32">
        <f t="shared" si="2"/>
        <v>0.75014968679577887</v>
      </c>
      <c r="J65" s="32">
        <f t="shared" si="3"/>
        <v>0.72688714985327629</v>
      </c>
      <c r="K65" s="32"/>
      <c r="O65" s="2"/>
      <c r="P65" s="37"/>
      <c r="Q65" s="32">
        <f t="shared" si="4"/>
        <v>0.30148024830803366</v>
      </c>
      <c r="R65" s="32">
        <f t="shared" si="5"/>
        <v>0.27821771136553103</v>
      </c>
      <c r="S65" s="37"/>
      <c r="T65" s="2">
        <f>USA!Z73*G65</f>
        <v>14.200885896257317</v>
      </c>
      <c r="U65" s="2">
        <v>0</v>
      </c>
      <c r="V65" s="2">
        <v>1</v>
      </c>
      <c r="W65" s="2">
        <v>0</v>
      </c>
      <c r="X65" s="37"/>
      <c r="Y65" s="2">
        <v>0.7599625354974141</v>
      </c>
      <c r="Z65" s="32">
        <v>0.34799999999999998</v>
      </c>
      <c r="AA65" s="2">
        <v>0.15500000000000003</v>
      </c>
      <c r="AB65" s="2">
        <f t="shared" si="7"/>
        <v>0.10066943848774523</v>
      </c>
      <c r="AC65" s="2">
        <f t="shared" si="25"/>
        <v>0.44866943848774521</v>
      </c>
      <c r="AG65" s="2">
        <v>0.15500000000000003</v>
      </c>
      <c r="AK65" s="2"/>
      <c r="AN65">
        <v>1986</v>
      </c>
      <c r="AO65" s="1">
        <f t="shared" si="9"/>
        <v>0.75014968679577887</v>
      </c>
      <c r="AP65" s="1">
        <f t="shared" si="20"/>
        <v>0.34799999999999998</v>
      </c>
      <c r="AQ65" s="1">
        <f t="shared" si="21"/>
        <v>0.10066943848774523</v>
      </c>
      <c r="AR65" s="1">
        <f t="shared" si="22"/>
        <v>0.44866943848774521</v>
      </c>
      <c r="AS65" s="1">
        <f t="shared" si="10"/>
        <v>0.30148024830803366</v>
      </c>
      <c r="AU65" s="7">
        <v>53.878458625428806</v>
      </c>
      <c r="AV65" s="12"/>
      <c r="AW65" s="1">
        <f t="shared" si="11"/>
        <v>1.3922998280461825</v>
      </c>
      <c r="AX65" s="1">
        <f t="shared" si="23"/>
        <v>1.3900007251269333</v>
      </c>
      <c r="AY65" s="1">
        <f t="shared" si="12"/>
        <v>0.83274364177149729</v>
      </c>
      <c r="AZ65" s="1">
        <f t="shared" si="24"/>
        <v>0.55955618627468517</v>
      </c>
      <c r="BA65" s="1">
        <f t="shared" si="14"/>
        <v>0.55725708335543589</v>
      </c>
      <c r="BB65" s="3">
        <f t="shared" si="15"/>
        <v>26.357260876715173</v>
      </c>
      <c r="BC65">
        <v>0</v>
      </c>
      <c r="BD65">
        <v>0</v>
      </c>
      <c r="BE65" s="23">
        <v>1</v>
      </c>
      <c r="BF65" s="44">
        <v>0</v>
      </c>
      <c r="BG65">
        <v>0</v>
      </c>
      <c r="BH65">
        <v>0</v>
      </c>
      <c r="BJ65" s="1">
        <f t="shared" si="16"/>
        <v>1.4683257320442309</v>
      </c>
      <c r="BK65" s="1">
        <f t="shared" si="17"/>
        <v>1.4659010876472771</v>
      </c>
    </row>
    <row r="66" spans="1:63">
      <c r="A66">
        <v>1987</v>
      </c>
      <c r="B66" s="3">
        <f t="shared" si="0"/>
        <v>168.02002739369436</v>
      </c>
      <c r="C66" s="3">
        <f t="shared" si="1"/>
        <v>52.136856526716379</v>
      </c>
      <c r="D66" s="2">
        <v>117.404</v>
      </c>
      <c r="E66" s="2">
        <v>74.614459999999994</v>
      </c>
      <c r="F66" s="2">
        <f t="shared" si="18"/>
        <v>87.600360618399989</v>
      </c>
      <c r="G66" s="2">
        <v>0.85443214773656484</v>
      </c>
      <c r="H66" s="2">
        <f t="shared" si="19"/>
        <v>0.74848564265677098</v>
      </c>
      <c r="I66" s="32">
        <f t="shared" si="2"/>
        <v>0.74848564265677098</v>
      </c>
      <c r="J66" s="32">
        <f t="shared" si="3"/>
        <v>0.74928395747718057</v>
      </c>
      <c r="K66" s="32"/>
      <c r="O66" s="2"/>
      <c r="P66" s="37"/>
      <c r="Q66" s="32">
        <f t="shared" si="4"/>
        <v>0.29103951745174977</v>
      </c>
      <c r="R66" s="32">
        <f t="shared" si="5"/>
        <v>0.29183783227215931</v>
      </c>
      <c r="S66" s="37"/>
      <c r="T66" s="2">
        <f>USA!Z74*G66</f>
        <v>16.405097236542044</v>
      </c>
      <c r="U66" s="2">
        <v>0</v>
      </c>
      <c r="V66" s="2">
        <v>1</v>
      </c>
      <c r="W66" s="2">
        <v>0</v>
      </c>
      <c r="X66" s="37"/>
      <c r="Y66" s="2">
        <v>0.78585817702750793</v>
      </c>
      <c r="Z66" s="32">
        <v>0.35699999999999998</v>
      </c>
      <c r="AA66" s="2">
        <v>0.15500000000000003</v>
      </c>
      <c r="AB66" s="2">
        <f t="shared" si="7"/>
        <v>0.10044612520502123</v>
      </c>
      <c r="AC66" s="2">
        <f t="shared" si="25"/>
        <v>0.4574461252050212</v>
      </c>
      <c r="AG66" s="2">
        <v>0.15500000000000003</v>
      </c>
      <c r="AK66" s="2"/>
      <c r="AN66">
        <v>1987</v>
      </c>
      <c r="AO66" s="1">
        <f t="shared" si="9"/>
        <v>0.74848564265677098</v>
      </c>
      <c r="AP66" s="1">
        <f t="shared" si="20"/>
        <v>0.35699999999999998</v>
      </c>
      <c r="AQ66" s="1">
        <f t="shared" si="21"/>
        <v>0.10044612520502123</v>
      </c>
      <c r="AR66" s="1">
        <f t="shared" si="22"/>
        <v>0.4574461252050212</v>
      </c>
      <c r="AS66" s="1">
        <f t="shared" si="10"/>
        <v>0.29103951745174977</v>
      </c>
      <c r="AU66" s="7">
        <v>55.583003877977298</v>
      </c>
      <c r="AV66" s="12"/>
      <c r="AW66" s="1">
        <f t="shared" si="11"/>
        <v>1.3466088380180739</v>
      </c>
      <c r="AX66" s="1">
        <f t="shared" si="23"/>
        <v>1.3544943137428933</v>
      </c>
      <c r="AY66" s="1">
        <f t="shared" si="12"/>
        <v>0.82299640769553162</v>
      </c>
      <c r="AZ66" s="1">
        <f t="shared" si="24"/>
        <v>0.52361243032254223</v>
      </c>
      <c r="BA66" s="1">
        <f t="shared" si="14"/>
        <v>0.53149790604736169</v>
      </c>
      <c r="BB66" s="3">
        <f t="shared" si="15"/>
        <v>29.514592756729286</v>
      </c>
      <c r="BC66">
        <v>0</v>
      </c>
      <c r="BD66">
        <v>0</v>
      </c>
      <c r="BE66" s="23">
        <v>0.75</v>
      </c>
      <c r="BF66" s="44">
        <v>0</v>
      </c>
      <c r="BG66">
        <v>0</v>
      </c>
      <c r="BH66">
        <v>0</v>
      </c>
      <c r="BJ66" s="1">
        <f t="shared" si="16"/>
        <v>1.420139806118351</v>
      </c>
      <c r="BK66" s="1">
        <f t="shared" si="17"/>
        <v>1.4284558646877261</v>
      </c>
    </row>
    <row r="67" spans="1:63">
      <c r="A67">
        <v>1988</v>
      </c>
      <c r="B67" s="3">
        <f t="shared" si="0"/>
        <v>163.01823873452634</v>
      </c>
      <c r="C67" s="3">
        <f t="shared" si="1"/>
        <v>54.227069431021505</v>
      </c>
      <c r="D67" s="2">
        <v>113.90900000000001</v>
      </c>
      <c r="E67" s="2">
        <v>77.605819999999994</v>
      </c>
      <c r="F67" s="2">
        <f t="shared" si="18"/>
        <v>88.400013503799997</v>
      </c>
      <c r="G67" s="2">
        <v>0.8335449563464048</v>
      </c>
      <c r="H67" s="2">
        <f t="shared" si="19"/>
        <v>0.73685385397046554</v>
      </c>
      <c r="I67" s="32">
        <f t="shared" si="2"/>
        <v>0.73685385397046554</v>
      </c>
      <c r="J67" s="32">
        <f t="shared" si="3"/>
        <v>0.74660854035244129</v>
      </c>
      <c r="K67" s="32"/>
      <c r="O67" s="2"/>
      <c r="P67" s="37"/>
      <c r="Q67" s="32">
        <f t="shared" si="4"/>
        <v>0.26296870473633377</v>
      </c>
      <c r="R67" s="32">
        <f t="shared" si="5"/>
        <v>0.27272339111830951</v>
      </c>
      <c r="S67" s="37"/>
      <c r="T67" s="2">
        <f>USA!Z75*G67</f>
        <v>13.311712952852085</v>
      </c>
      <c r="U67" s="2">
        <v>0</v>
      </c>
      <c r="V67" s="2">
        <v>1</v>
      </c>
      <c r="W67" s="2">
        <v>0</v>
      </c>
      <c r="X67" s="37"/>
      <c r="Y67" s="2">
        <v>0.7716501126172649</v>
      </c>
      <c r="Z67" s="32">
        <v>0.375</v>
      </c>
      <c r="AA67" s="2">
        <v>0.15500000000000003</v>
      </c>
      <c r="AB67" s="2">
        <f t="shared" si="7"/>
        <v>9.8885149234131761E-2</v>
      </c>
      <c r="AC67" s="2">
        <f t="shared" si="25"/>
        <v>0.47388514923413178</v>
      </c>
      <c r="AG67" s="2">
        <v>0.15500000000000003</v>
      </c>
      <c r="AK67" s="2"/>
      <c r="AN67">
        <v>1988</v>
      </c>
      <c r="AO67" s="1">
        <f t="shared" si="9"/>
        <v>0.73685385397046554</v>
      </c>
      <c r="AP67" s="1">
        <f t="shared" si="20"/>
        <v>0.375</v>
      </c>
      <c r="AQ67" s="1">
        <f t="shared" si="21"/>
        <v>9.8885149234131761E-2</v>
      </c>
      <c r="AR67" s="1">
        <f t="shared" si="22"/>
        <v>0.47388514923413178</v>
      </c>
      <c r="AS67" s="1">
        <f t="shared" si="10"/>
        <v>0.26296870473633377</v>
      </c>
      <c r="AU67" s="7">
        <v>56.768774442097467</v>
      </c>
      <c r="AV67" s="12"/>
      <c r="AW67" s="1">
        <f t="shared" si="11"/>
        <v>1.2979914772020233</v>
      </c>
      <c r="AX67" s="1">
        <f t="shared" si="23"/>
        <v>1.3071349661618421</v>
      </c>
      <c r="AY67" s="1">
        <f t="shared" si="12"/>
        <v>0.83476374801341025</v>
      </c>
      <c r="AZ67" s="1">
        <f t="shared" si="24"/>
        <v>0.4632277291886131</v>
      </c>
      <c r="BA67" s="1">
        <f t="shared" si="14"/>
        <v>0.4723712181484318</v>
      </c>
      <c r="BB67" s="3">
        <f t="shared" si="15"/>
        <v>23.449005344354674</v>
      </c>
      <c r="BC67">
        <v>0</v>
      </c>
      <c r="BD67">
        <v>0</v>
      </c>
      <c r="BE67" s="23">
        <v>0.6</v>
      </c>
      <c r="BF67" s="44">
        <v>0</v>
      </c>
      <c r="BG67">
        <v>0</v>
      </c>
      <c r="BH67">
        <v>0</v>
      </c>
      <c r="BJ67" s="1">
        <f t="shared" si="16"/>
        <v>1.3688677162478364</v>
      </c>
      <c r="BK67" s="1">
        <f t="shared" si="17"/>
        <v>1.3785104812973765</v>
      </c>
    </row>
    <row r="68" spans="1:63">
      <c r="A68">
        <v>1989</v>
      </c>
      <c r="B68" s="3">
        <f t="shared" si="0"/>
        <v>153.92772040461642</v>
      </c>
      <c r="C68" s="3">
        <f t="shared" si="1"/>
        <v>56.844608024141067</v>
      </c>
      <c r="D68" s="2">
        <v>107.557</v>
      </c>
      <c r="E68" s="2">
        <v>81.351849999999999</v>
      </c>
      <c r="F68" s="2">
        <f t="shared" si="18"/>
        <v>87.499609304500012</v>
      </c>
      <c r="G68" s="2">
        <v>0.89585100385492467</v>
      </c>
      <c r="H68" s="2">
        <f t="shared" si="19"/>
        <v>0.78386612832350044</v>
      </c>
      <c r="I68" s="32">
        <f>H68</f>
        <v>0.78386612832350044</v>
      </c>
      <c r="J68" s="32">
        <f t="shared" si="3"/>
        <v>0.7502021102632086</v>
      </c>
      <c r="K68" s="32"/>
      <c r="O68" s="2"/>
      <c r="P68" s="37"/>
      <c r="Q68" s="32">
        <f t="shared" si="4"/>
        <v>0.2926719725744592</v>
      </c>
      <c r="R68" s="32">
        <f t="shared" si="5"/>
        <v>0.2590079545141673</v>
      </c>
      <c r="S68" s="37"/>
      <c r="T68" s="2">
        <f>USA!Z76*G68</f>
        <v>17.594513715710722</v>
      </c>
      <c r="U68" s="2">
        <v>0</v>
      </c>
      <c r="V68" s="2">
        <v>0</v>
      </c>
      <c r="W68" s="2">
        <v>0</v>
      </c>
      <c r="X68" s="37"/>
      <c r="Y68" s="2">
        <v>0.73924087375427416</v>
      </c>
      <c r="Z68" s="32">
        <v>0.38600000000000001</v>
      </c>
      <c r="AA68" s="2">
        <v>0.15500000000000003</v>
      </c>
      <c r="AB68" s="2">
        <f t="shared" si="7"/>
        <v>0.1051941557490412</v>
      </c>
      <c r="AC68" s="2">
        <f t="shared" si="25"/>
        <v>0.49119415574904124</v>
      </c>
      <c r="AG68" s="2">
        <v>0.15500000000000003</v>
      </c>
      <c r="AK68" s="2"/>
      <c r="AN68">
        <v>1989</v>
      </c>
      <c r="AO68" s="1">
        <f t="shared" si="9"/>
        <v>0.78386612832350044</v>
      </c>
      <c r="AP68" s="1">
        <f t="shared" si="20"/>
        <v>0.38600000000000001</v>
      </c>
      <c r="AQ68" s="1">
        <f t="shared" si="21"/>
        <v>0.1051941557490412</v>
      </c>
      <c r="AR68" s="1">
        <f t="shared" si="22"/>
        <v>0.49119415574904124</v>
      </c>
      <c r="AS68" s="1">
        <f t="shared" si="10"/>
        <v>0.2926719725744592</v>
      </c>
      <c r="AU68" s="7">
        <v>59.090909108279888</v>
      </c>
      <c r="AV68" s="12"/>
      <c r="AW68" s="1">
        <f t="shared" si="11"/>
        <v>1.3265426783113483</v>
      </c>
      <c r="AX68" s="1">
        <f t="shared" si="23"/>
        <v>1.3383312302392438</v>
      </c>
      <c r="AY68" s="1">
        <f t="shared" si="12"/>
        <v>0.83125164794632445</v>
      </c>
      <c r="AZ68" s="1">
        <f t="shared" si="24"/>
        <v>0.49529103036502387</v>
      </c>
      <c r="BA68" s="1">
        <f t="shared" si="14"/>
        <v>0.5070795822929195</v>
      </c>
      <c r="BB68" s="3">
        <f t="shared" si="15"/>
        <v>29.775330894757481</v>
      </c>
      <c r="BC68">
        <v>0</v>
      </c>
      <c r="BD68">
        <v>0</v>
      </c>
      <c r="BE68" s="23">
        <v>0.6</v>
      </c>
      <c r="BF68" s="44">
        <v>0</v>
      </c>
      <c r="BG68">
        <v>0</v>
      </c>
      <c r="BH68">
        <v>0</v>
      </c>
      <c r="BJ68" s="1">
        <f t="shared" si="16"/>
        <v>1.3989779428133469</v>
      </c>
      <c r="BK68" s="1">
        <f t="shared" si="17"/>
        <v>1.4114102033010603</v>
      </c>
    </row>
    <row r="69" spans="1:63">
      <c r="A69">
        <v>1990</v>
      </c>
      <c r="B69" s="3">
        <f t="shared" si="0"/>
        <v>146.27134559084899</v>
      </c>
      <c r="C69" s="3">
        <f t="shared" si="1"/>
        <v>59.913057002261802</v>
      </c>
      <c r="D69" s="2">
        <v>102.101</v>
      </c>
      <c r="E69" s="2">
        <v>85.743189999999998</v>
      </c>
      <c r="F69" s="2">
        <f t="shared" si="18"/>
        <v>87.544654421899992</v>
      </c>
      <c r="G69" s="2">
        <v>0.76766840536134207</v>
      </c>
      <c r="H69" s="2">
        <f t="shared" si="19"/>
        <v>0.67205265257969726</v>
      </c>
      <c r="I69" s="32">
        <f t="shared" ref="I69:I83" si="26">L69</f>
        <v>0.67275107913669063</v>
      </c>
      <c r="J69" s="32">
        <f t="shared" si="3"/>
        <v>0.66443371801763429</v>
      </c>
      <c r="K69" s="32"/>
      <c r="L69" s="2">
        <f t="shared" ref="L69:L77" si="27">L$79*M69/M$79</f>
        <v>0.67275107913669063</v>
      </c>
      <c r="M69" s="2">
        <v>104.6</v>
      </c>
      <c r="O69" s="2"/>
      <c r="P69" s="37"/>
      <c r="Q69" s="32">
        <f t="shared" si="4"/>
        <v>0.22946846678501354</v>
      </c>
      <c r="R69" s="32">
        <f t="shared" si="5"/>
        <v>0.22115110566595722</v>
      </c>
      <c r="S69" s="37"/>
      <c r="T69" s="2">
        <f>USA!Z77*G69</f>
        <v>18.830905983513723</v>
      </c>
      <c r="U69" s="2">
        <v>0</v>
      </c>
      <c r="V69" s="2">
        <v>0</v>
      </c>
      <c r="W69" s="2">
        <v>1</v>
      </c>
      <c r="X69" s="37"/>
      <c r="Y69" s="2">
        <v>0.76565238012322889</v>
      </c>
      <c r="Z69" s="32">
        <v>0.35299999999999998</v>
      </c>
      <c r="AA69" s="2">
        <v>0.15500000000000003</v>
      </c>
      <c r="AB69" s="2">
        <f t="shared" si="7"/>
        <v>9.0282612351677116E-2</v>
      </c>
      <c r="AC69" s="2">
        <f t="shared" ref="AC69:AC96" si="28">Z69+AB69</f>
        <v>0.4432826123516771</v>
      </c>
      <c r="AG69" s="2">
        <v>0.15500000000000003</v>
      </c>
      <c r="AK69" s="2"/>
      <c r="AN69">
        <v>1990</v>
      </c>
      <c r="AO69" s="1">
        <f t="shared" si="9"/>
        <v>0.67275107913669063</v>
      </c>
      <c r="AP69" s="1">
        <f t="shared" si="20"/>
        <v>0.35299999999999998</v>
      </c>
      <c r="AQ69" s="1">
        <f t="shared" si="21"/>
        <v>9.0282612351677116E-2</v>
      </c>
      <c r="AR69" s="1">
        <f t="shared" si="22"/>
        <v>0.4432826123516771</v>
      </c>
      <c r="AS69" s="1">
        <f t="shared" si="10"/>
        <v>0.22946846678501354</v>
      </c>
      <c r="AU69" s="7">
        <v>61.067193927042666</v>
      </c>
      <c r="AV69" s="12"/>
      <c r="AW69" s="1">
        <f t="shared" si="11"/>
        <v>1.1016571024049842</v>
      </c>
      <c r="AX69" s="1">
        <f t="shared" si="23"/>
        <v>1.1353987241530779</v>
      </c>
      <c r="AY69" s="1">
        <f t="shared" si="12"/>
        <v>0.72589320688497572</v>
      </c>
      <c r="AZ69" s="1">
        <f t="shared" si="24"/>
        <v>0.37576389552000844</v>
      </c>
      <c r="BA69" s="1">
        <f t="shared" si="14"/>
        <v>0.40950551726810214</v>
      </c>
      <c r="BB69" s="3">
        <f t="shared" si="15"/>
        <v>30.836370189223228</v>
      </c>
      <c r="BC69">
        <v>0</v>
      </c>
      <c r="BD69">
        <v>0</v>
      </c>
      <c r="BE69">
        <v>0</v>
      </c>
      <c r="BF69" s="44">
        <v>0</v>
      </c>
      <c r="BG69">
        <v>0</v>
      </c>
      <c r="BH69">
        <v>0</v>
      </c>
      <c r="BJ69" s="1">
        <f t="shared" si="16"/>
        <v>1.1618125914879227</v>
      </c>
      <c r="BK69" s="1">
        <f t="shared" si="17"/>
        <v>1.1973966592696117</v>
      </c>
    </row>
    <row r="70" spans="1:63">
      <c r="A70">
        <v>1991</v>
      </c>
      <c r="B70" s="3">
        <f t="shared" si="0"/>
        <v>135.77123632943608</v>
      </c>
      <c r="C70" s="3">
        <f t="shared" si="1"/>
        <v>62.450351141377027</v>
      </c>
      <c r="D70" s="2">
        <v>98.003500000000003</v>
      </c>
      <c r="E70" s="2">
        <v>89.374380000000002</v>
      </c>
      <c r="F70" s="2">
        <f t="shared" si="18"/>
        <v>87.590020503299996</v>
      </c>
      <c r="G70" s="2">
        <v>0.7888844589138152</v>
      </c>
      <c r="H70" s="2">
        <f t="shared" si="19"/>
        <v>0.69098405930995799</v>
      </c>
      <c r="I70" s="32">
        <f t="shared" si="26"/>
        <v>0.66889208633093522</v>
      </c>
      <c r="J70" s="32">
        <f t="shared" si="3"/>
        <v>0.67888049511638671</v>
      </c>
      <c r="K70" s="32"/>
      <c r="L70" s="2">
        <f t="shared" si="27"/>
        <v>0.66889208633093522</v>
      </c>
      <c r="M70" s="2">
        <v>104</v>
      </c>
      <c r="O70" s="2"/>
      <c r="P70" s="37"/>
      <c r="Q70" s="32">
        <f t="shared" si="4"/>
        <v>0.19980337713300433</v>
      </c>
      <c r="R70" s="32">
        <f t="shared" si="5"/>
        <v>0.20979178591845579</v>
      </c>
      <c r="S70" s="37"/>
      <c r="T70" s="2">
        <f>USA!Z78*G70</f>
        <v>16.992571245003578</v>
      </c>
      <c r="U70" s="2">
        <v>0</v>
      </c>
      <c r="V70" s="2">
        <v>0</v>
      </c>
      <c r="W70" s="2">
        <v>1</v>
      </c>
      <c r="X70" s="37"/>
      <c r="Y70" s="2">
        <v>0.76458487618262139</v>
      </c>
      <c r="Z70" s="32">
        <v>0.35299999999999998</v>
      </c>
      <c r="AA70" s="2">
        <v>0.21</v>
      </c>
      <c r="AB70" s="2">
        <f t="shared" si="7"/>
        <v>0.11608870919793091</v>
      </c>
      <c r="AC70" s="2">
        <f t="shared" si="28"/>
        <v>0.46908870919793089</v>
      </c>
      <c r="AG70" s="2">
        <v>0.19375000000000001</v>
      </c>
      <c r="AK70" s="2"/>
      <c r="AN70">
        <v>1991</v>
      </c>
      <c r="AO70" s="1">
        <f t="shared" si="9"/>
        <v>0.66889208633093522</v>
      </c>
      <c r="AP70" s="1">
        <f t="shared" si="20"/>
        <v>0.35299999999999998</v>
      </c>
      <c r="AQ70" s="1">
        <f t="shared" si="21"/>
        <v>0.11608870919793091</v>
      </c>
      <c r="AR70" s="1">
        <f t="shared" si="22"/>
        <v>0.46908870919793089</v>
      </c>
      <c r="AS70" s="1">
        <f t="shared" si="10"/>
        <v>0.19980337713300433</v>
      </c>
      <c r="AU70" s="7">
        <v>62.99407152390021</v>
      </c>
      <c r="AV70" s="12"/>
      <c r="AW70" s="1">
        <f t="shared" si="11"/>
        <v>1.061833391856811</v>
      </c>
      <c r="AX70" s="1">
        <f t="shared" si="23"/>
        <v>1.049992200894061</v>
      </c>
      <c r="AY70" s="1">
        <f t="shared" si="12"/>
        <v>0.74465532684287083</v>
      </c>
      <c r="AZ70" s="1">
        <f t="shared" si="24"/>
        <v>0.31717806501394019</v>
      </c>
      <c r="BA70" s="1">
        <f t="shared" si="14"/>
        <v>0.30533687405119025</v>
      </c>
      <c r="BB70" s="3">
        <f t="shared" si="15"/>
        <v>26.974873720547698</v>
      </c>
      <c r="BC70">
        <v>0</v>
      </c>
      <c r="BD70">
        <v>0</v>
      </c>
      <c r="BE70">
        <v>0</v>
      </c>
      <c r="BF70" s="23">
        <v>1</v>
      </c>
      <c r="BG70">
        <v>0</v>
      </c>
      <c r="BH70">
        <v>0</v>
      </c>
      <c r="BJ70" s="1">
        <f t="shared" si="16"/>
        <v>1.1198143251910571</v>
      </c>
      <c r="BK70" s="1">
        <f t="shared" si="17"/>
        <v>1.1073265513377382</v>
      </c>
    </row>
    <row r="71" spans="1:63">
      <c r="A71">
        <v>1992</v>
      </c>
      <c r="B71" s="3">
        <f t="shared" si="0"/>
        <v>132.07501416883349</v>
      </c>
      <c r="C71" s="3">
        <f t="shared" si="1"/>
        <v>64.341860498266513</v>
      </c>
      <c r="D71" s="2">
        <v>95.171300000000002</v>
      </c>
      <c r="E71" s="2">
        <v>92.081370000000007</v>
      </c>
      <c r="F71" s="2">
        <f t="shared" si="18"/>
        <v>87.635036886810013</v>
      </c>
      <c r="G71" s="2">
        <v>0.74625173319247706</v>
      </c>
      <c r="H71" s="2">
        <f t="shared" si="19"/>
        <v>0.65397798165168641</v>
      </c>
      <c r="I71" s="32">
        <f t="shared" si="26"/>
        <v>0.63416115107913662</v>
      </c>
      <c r="J71" s="32">
        <f t="shared" si="3"/>
        <v>0.64975171371678819</v>
      </c>
      <c r="K71" s="32"/>
      <c r="L71" s="2">
        <f t="shared" si="27"/>
        <v>0.63416115107913662</v>
      </c>
      <c r="M71" s="2">
        <v>98.6</v>
      </c>
      <c r="O71" s="2"/>
      <c r="P71" s="37"/>
      <c r="Q71" s="32">
        <f t="shared" si="4"/>
        <v>0.18410012485879057</v>
      </c>
      <c r="R71" s="32">
        <f t="shared" si="5"/>
        <v>0.19969068749644217</v>
      </c>
      <c r="S71" s="37"/>
      <c r="T71" s="2">
        <f>USA!Z79*G71</f>
        <v>15.357860669101177</v>
      </c>
      <c r="U71" s="2">
        <v>0</v>
      </c>
      <c r="V71" s="2">
        <v>0</v>
      </c>
      <c r="W71" s="2">
        <v>1</v>
      </c>
      <c r="X71" s="37"/>
      <c r="Y71" s="2">
        <v>0.78942450224548755</v>
      </c>
      <c r="Z71" s="32">
        <v>0.34</v>
      </c>
      <c r="AA71" s="2">
        <v>0.21</v>
      </c>
      <c r="AB71" s="2">
        <f t="shared" si="7"/>
        <v>0.11006102622034604</v>
      </c>
      <c r="AC71" s="2">
        <f t="shared" si="28"/>
        <v>0.45006102622034605</v>
      </c>
      <c r="AG71" s="2">
        <v>0.19375000000000001</v>
      </c>
      <c r="AK71" s="2"/>
      <c r="AN71">
        <v>1992</v>
      </c>
      <c r="AO71" s="1">
        <f t="shared" si="9"/>
        <v>0.63416115107913662</v>
      </c>
      <c r="AP71" s="1">
        <f t="shared" si="20"/>
        <v>0.34</v>
      </c>
      <c r="AQ71" s="1">
        <f t="shared" si="21"/>
        <v>0.11006102622034604</v>
      </c>
      <c r="AR71" s="1">
        <f t="shared" si="22"/>
        <v>0.45006102622034605</v>
      </c>
      <c r="AS71" s="1">
        <f t="shared" si="10"/>
        <v>0.18410012485879057</v>
      </c>
      <c r="AU71" s="7">
        <v>64.920949302250435</v>
      </c>
      <c r="AV71" s="12"/>
      <c r="AW71" s="1">
        <f t="shared" si="11"/>
        <v>0.97682051463340802</v>
      </c>
      <c r="AX71" s="1">
        <f t="shared" si="23"/>
        <v>0.98037444718302735</v>
      </c>
      <c r="AY71" s="1">
        <f t="shared" si="12"/>
        <v>0.6932446784242341</v>
      </c>
      <c r="AZ71" s="1">
        <f t="shared" si="24"/>
        <v>0.28357583620917393</v>
      </c>
      <c r="BA71" s="1">
        <f t="shared" si="14"/>
        <v>0.28712976875879326</v>
      </c>
      <c r="BB71" s="3">
        <f t="shared" si="15"/>
        <v>23.656247843203996</v>
      </c>
      <c r="BC71">
        <v>0</v>
      </c>
      <c r="BD71">
        <v>0</v>
      </c>
      <c r="BE71">
        <v>0</v>
      </c>
      <c r="BF71" s="23">
        <v>1</v>
      </c>
      <c r="BG71">
        <v>0</v>
      </c>
      <c r="BH71">
        <v>0</v>
      </c>
      <c r="BJ71" s="1">
        <f t="shared" si="16"/>
        <v>1.0301593581589854</v>
      </c>
      <c r="BK71" s="1">
        <f t="shared" si="17"/>
        <v>1.0339073515921804</v>
      </c>
    </row>
    <row r="72" spans="1:63">
      <c r="A72">
        <v>1993</v>
      </c>
      <c r="B72" s="3">
        <f t="shared" si="0"/>
        <v>111.78111149084297</v>
      </c>
      <c r="C72" s="3">
        <f t="shared" si="1"/>
        <v>66.241014180537462</v>
      </c>
      <c r="D72" s="2">
        <v>92.490099999999998</v>
      </c>
      <c r="E72" s="2">
        <v>94.799300000000002</v>
      </c>
      <c r="F72" s="2">
        <f t="shared" si="18"/>
        <v>87.679967369299987</v>
      </c>
      <c r="G72" s="2">
        <v>0.85992884387808477</v>
      </c>
      <c r="H72" s="2">
        <f t="shared" si="19"/>
        <v>0.75398532971150334</v>
      </c>
      <c r="I72" s="32">
        <f t="shared" si="26"/>
        <v>0.63673381294964027</v>
      </c>
      <c r="J72" s="32">
        <f t="shared" si="3"/>
        <v>0.64522986525310377</v>
      </c>
      <c r="K72" s="32"/>
      <c r="L72" s="2">
        <f t="shared" si="27"/>
        <v>0.63673381294964027</v>
      </c>
      <c r="M72" s="2">
        <v>99</v>
      </c>
      <c r="O72" s="2"/>
      <c r="P72" s="37"/>
      <c r="Q72" s="32">
        <f t="shared" si="4"/>
        <v>0.19422629169391759</v>
      </c>
      <c r="R72" s="32">
        <f t="shared" si="5"/>
        <v>0.20272234399738112</v>
      </c>
      <c r="S72" s="37"/>
      <c r="T72" s="2">
        <f>USA!Z80*G72</f>
        <v>15.848488592673101</v>
      </c>
      <c r="U72" s="2">
        <v>0</v>
      </c>
      <c r="V72" s="2">
        <v>0</v>
      </c>
      <c r="W72" s="2">
        <v>1</v>
      </c>
      <c r="X72" s="37"/>
      <c r="Y72" s="2">
        <v>0.79135541347341176</v>
      </c>
      <c r="Z72" s="32">
        <v>0.33200000000000002</v>
      </c>
      <c r="AA72" s="2">
        <v>0.21</v>
      </c>
      <c r="AB72" s="2">
        <f t="shared" si="7"/>
        <v>0.11050752125572268</v>
      </c>
      <c r="AC72" s="2">
        <f t="shared" si="28"/>
        <v>0.44250752125572268</v>
      </c>
      <c r="AG72" s="2">
        <v>0.19375000000000001</v>
      </c>
      <c r="AK72" s="2"/>
      <c r="AN72">
        <v>1993</v>
      </c>
      <c r="AO72" s="1">
        <f t="shared" si="9"/>
        <v>0.63673381294964027</v>
      </c>
      <c r="AP72" s="1">
        <f t="shared" si="20"/>
        <v>0.33200000000000002</v>
      </c>
      <c r="AQ72" s="1">
        <f t="shared" si="21"/>
        <v>0.11050752125572268</v>
      </c>
      <c r="AR72" s="1">
        <f t="shared" si="22"/>
        <v>0.44250752125572268</v>
      </c>
      <c r="AS72" s="1">
        <f t="shared" si="10"/>
        <v>0.19422629169391759</v>
      </c>
      <c r="AU72" s="7">
        <v>65.859684156038213</v>
      </c>
      <c r="AV72" s="12"/>
      <c r="AW72" s="1">
        <f t="shared" si="11"/>
        <v>0.96680362365701178</v>
      </c>
      <c r="AX72" s="1">
        <f t="shared" si="23"/>
        <v>0.96126134060520196</v>
      </c>
      <c r="AY72" s="1">
        <f t="shared" si="12"/>
        <v>0.67189438717518091</v>
      </c>
      <c r="AZ72" s="1">
        <f t="shared" si="24"/>
        <v>0.29490923648183087</v>
      </c>
      <c r="BA72" s="1">
        <f t="shared" si="14"/>
        <v>0.28936695343002106</v>
      </c>
      <c r="BB72" s="3">
        <f t="shared" si="15"/>
        <v>24.064021556987779</v>
      </c>
      <c r="BC72">
        <v>0</v>
      </c>
      <c r="BD72">
        <v>0</v>
      </c>
      <c r="BE72">
        <v>0</v>
      </c>
      <c r="BF72" s="23">
        <v>1</v>
      </c>
      <c r="BG72">
        <v>0</v>
      </c>
      <c r="BH72">
        <v>0</v>
      </c>
      <c r="BJ72" s="1">
        <f t="shared" si="16"/>
        <v>1.0195954993697733</v>
      </c>
      <c r="BK72" s="1">
        <f t="shared" si="17"/>
        <v>1.0137505824522262</v>
      </c>
    </row>
    <row r="73" spans="1:63">
      <c r="A73">
        <v>1994</v>
      </c>
      <c r="B73" s="3">
        <f t="shared" si="0"/>
        <v>110.56809801273921</v>
      </c>
      <c r="C73" s="3">
        <f t="shared" si="1"/>
        <v>67.968212466727536</v>
      </c>
      <c r="D73" s="2">
        <v>79.550799999999995</v>
      </c>
      <c r="E73" s="2">
        <v>97.271140000000003</v>
      </c>
      <c r="F73" s="2">
        <f t="shared" si="18"/>
        <v>77.379970039119996</v>
      </c>
      <c r="G73" s="2">
        <v>0.84898243190394684</v>
      </c>
      <c r="H73" s="2">
        <f t="shared" si="19"/>
        <v>0.65694235144466651</v>
      </c>
      <c r="I73" s="32">
        <f t="shared" si="26"/>
        <v>0.63802014388489214</v>
      </c>
      <c r="J73" s="32">
        <f t="shared" si="3"/>
        <v>0.63775396680277829</v>
      </c>
      <c r="K73" s="32"/>
      <c r="L73" s="2">
        <f t="shared" si="27"/>
        <v>0.63802014388489214</v>
      </c>
      <c r="M73" s="2">
        <v>99.2</v>
      </c>
      <c r="O73" s="2"/>
      <c r="P73" s="37"/>
      <c r="Q73" s="32">
        <f t="shared" si="4"/>
        <v>0.19528937511148109</v>
      </c>
      <c r="R73" s="32">
        <f t="shared" si="5"/>
        <v>0.19502319802936727</v>
      </c>
      <c r="S73" s="37"/>
      <c r="T73" s="2">
        <f>USA!Z81*G73</f>
        <v>14.602497828747886</v>
      </c>
      <c r="U73" s="2">
        <v>0</v>
      </c>
      <c r="V73" s="2">
        <v>0</v>
      </c>
      <c r="W73" s="2">
        <v>1</v>
      </c>
      <c r="X73" s="37"/>
      <c r="Y73" s="2">
        <v>0.74951795033359303</v>
      </c>
      <c r="Z73" s="32">
        <v>0.33200000000000002</v>
      </c>
      <c r="AA73" s="2">
        <v>0.21</v>
      </c>
      <c r="AB73" s="2">
        <f t="shared" si="7"/>
        <v>0.11073076877341102</v>
      </c>
      <c r="AC73" s="2">
        <f t="shared" si="28"/>
        <v>0.44273076877341105</v>
      </c>
      <c r="AG73" s="2">
        <v>0.19375000000000001</v>
      </c>
      <c r="AK73" s="2"/>
      <c r="AN73">
        <v>1994</v>
      </c>
      <c r="AO73" s="1">
        <f t="shared" si="9"/>
        <v>0.63802014388489214</v>
      </c>
      <c r="AP73" s="1">
        <f t="shared" si="20"/>
        <v>0.33200000000000002</v>
      </c>
      <c r="AQ73" s="1">
        <f t="shared" si="21"/>
        <v>0.11073076877341102</v>
      </c>
      <c r="AR73" s="1">
        <f t="shared" si="22"/>
        <v>0.44273076877341105</v>
      </c>
      <c r="AS73" s="1">
        <f t="shared" si="10"/>
        <v>0.19528937511148109</v>
      </c>
      <c r="AU73" s="7">
        <v>67.41600842495798</v>
      </c>
      <c r="AV73" s="12"/>
      <c r="AW73" s="1">
        <f t="shared" si="11"/>
        <v>0.94639264292113101</v>
      </c>
      <c r="AX73" s="1">
        <f t="shared" si="23"/>
        <v>0.93289382473527993</v>
      </c>
      <c r="AY73" s="1">
        <f t="shared" si="12"/>
        <v>0.6567145980857394</v>
      </c>
      <c r="AZ73" s="1">
        <f t="shared" si="24"/>
        <v>0.28967804483539161</v>
      </c>
      <c r="BA73" s="1">
        <f t="shared" si="14"/>
        <v>0.27617922664954053</v>
      </c>
      <c r="BB73" s="3">
        <f t="shared" si="15"/>
        <v>21.660282431289595</v>
      </c>
      <c r="BC73">
        <v>0</v>
      </c>
      <c r="BD73">
        <v>0</v>
      </c>
      <c r="BE73">
        <v>0</v>
      </c>
      <c r="BF73" s="23">
        <v>1</v>
      </c>
      <c r="BG73">
        <v>0</v>
      </c>
      <c r="BH73">
        <v>0</v>
      </c>
      <c r="BJ73" s="1">
        <f t="shared" si="16"/>
        <v>0.99806998623887688</v>
      </c>
      <c r="BK73" s="1">
        <f t="shared" si="17"/>
        <v>0.98383407117574995</v>
      </c>
    </row>
    <row r="74" spans="1:63">
      <c r="A74">
        <v>1995</v>
      </c>
      <c r="B74" s="3">
        <f t="shared" si="0"/>
        <v>116.22191044640829</v>
      </c>
      <c r="C74" s="3">
        <f t="shared" si="1"/>
        <v>69.875003486879606</v>
      </c>
      <c r="D74" s="2">
        <v>87.21</v>
      </c>
      <c r="E74" s="2">
        <v>100</v>
      </c>
      <c r="F74" s="2">
        <f t="shared" si="18"/>
        <v>87.21</v>
      </c>
      <c r="G74" s="2">
        <v>0.79197754087286865</v>
      </c>
      <c r="H74" s="2">
        <f t="shared" si="19"/>
        <v>0.69068361339522866</v>
      </c>
      <c r="I74" s="32">
        <f t="shared" si="26"/>
        <v>0.64316546762589932</v>
      </c>
      <c r="J74" s="32">
        <f t="shared" si="3"/>
        <v>0.65660770854572148</v>
      </c>
      <c r="K74" s="32"/>
      <c r="L74" s="2">
        <f t="shared" si="27"/>
        <v>0.64316546762589932</v>
      </c>
      <c r="M74" s="2">
        <v>100</v>
      </c>
      <c r="N74" s="2">
        <f t="shared" ref="N74:N87" si="29">G74*O74</f>
        <v>76.029843923795397</v>
      </c>
      <c r="O74" s="39">
        <v>96</v>
      </c>
      <c r="P74" s="37"/>
      <c r="Q74" s="32">
        <f t="shared" si="4"/>
        <v>0.18154170878173498</v>
      </c>
      <c r="R74" s="32">
        <f t="shared" si="5"/>
        <v>0.19498394970155711</v>
      </c>
      <c r="S74" s="37"/>
      <c r="T74" s="2">
        <f>USA!Z82*G74</f>
        <v>14.596146078286969</v>
      </c>
      <c r="U74" s="2">
        <v>0</v>
      </c>
      <c r="V74" s="2">
        <v>0</v>
      </c>
      <c r="W74" s="2">
        <v>1</v>
      </c>
      <c r="X74" s="37"/>
      <c r="Y74" s="2">
        <v>0.72517903985667831</v>
      </c>
      <c r="Z74" s="32">
        <v>0.35</v>
      </c>
      <c r="AA74" s="2">
        <v>0.21</v>
      </c>
      <c r="AB74" s="2">
        <f t="shared" si="7"/>
        <v>0.11162375884416435</v>
      </c>
      <c r="AC74" s="2">
        <f t="shared" si="28"/>
        <v>0.46162375884416434</v>
      </c>
      <c r="AG74" s="2">
        <v>0.19375000000000001</v>
      </c>
      <c r="AK74" s="2"/>
      <c r="AN74">
        <v>1995</v>
      </c>
      <c r="AO74" s="1">
        <f t="shared" si="9"/>
        <v>0.64316546762589932</v>
      </c>
      <c r="AP74" s="1">
        <f t="shared" si="20"/>
        <v>0.35</v>
      </c>
      <c r="AQ74" s="1">
        <f t="shared" si="21"/>
        <v>0.11162375884416435</v>
      </c>
      <c r="AR74" s="1">
        <f t="shared" si="22"/>
        <v>0.46162375884416434</v>
      </c>
      <c r="AS74" s="1">
        <f t="shared" si="10"/>
        <v>0.18154170878173498</v>
      </c>
      <c r="AU74" s="7">
        <v>69.120554107814527</v>
      </c>
      <c r="AV74" s="12"/>
      <c r="AW74" s="1">
        <f t="shared" si="11"/>
        <v>0.93049813608653531</v>
      </c>
      <c r="AX74" s="1">
        <f t="shared" si="23"/>
        <v>0.9410513606840627</v>
      </c>
      <c r="AY74" s="1">
        <f t="shared" si="12"/>
        <v>0.66785309348666633</v>
      </c>
      <c r="AZ74" s="1">
        <f t="shared" si="24"/>
        <v>0.26264504259986898</v>
      </c>
      <c r="BA74" s="1">
        <f t="shared" si="14"/>
        <v>0.27319826719739637</v>
      </c>
      <c r="BB74" s="3">
        <f t="shared" si="15"/>
        <v>21.116940202070484</v>
      </c>
      <c r="BC74">
        <v>0</v>
      </c>
      <c r="BD74">
        <v>0</v>
      </c>
      <c r="BE74">
        <v>0</v>
      </c>
      <c r="BF74" s="23">
        <v>1</v>
      </c>
      <c r="BG74">
        <v>0</v>
      </c>
      <c r="BH74">
        <v>0</v>
      </c>
      <c r="BJ74" s="1">
        <f t="shared" si="16"/>
        <v>0.98130756702911481</v>
      </c>
      <c r="BK74" s="1">
        <f t="shared" si="17"/>
        <v>0.99243704569488211</v>
      </c>
    </row>
    <row r="75" spans="1:63">
      <c r="A75">
        <v>1996</v>
      </c>
      <c r="B75" s="3">
        <f t="shared" si="0"/>
        <v>121.0164765727995</v>
      </c>
      <c r="C75" s="3">
        <f t="shared" si="1"/>
        <v>71.923179589087013</v>
      </c>
      <c r="D75" s="2">
        <v>84.211600000000004</v>
      </c>
      <c r="E75" s="2">
        <v>102.9312</v>
      </c>
      <c r="F75" s="2">
        <f t="shared" si="18"/>
        <v>86.680010419200002</v>
      </c>
      <c r="G75" s="2">
        <v>0.79362185168443455</v>
      </c>
      <c r="H75" s="2">
        <f t="shared" si="19"/>
        <v>0.68791150372911591</v>
      </c>
      <c r="I75" s="32">
        <f t="shared" si="26"/>
        <v>0.69075971223021593</v>
      </c>
      <c r="J75" s="32">
        <f t="shared" si="3"/>
        <v>0.6961505034896639</v>
      </c>
      <c r="K75" s="32"/>
      <c r="L75" s="2">
        <f t="shared" si="27"/>
        <v>0.69075971223021593</v>
      </c>
      <c r="M75" s="2">
        <v>107.4</v>
      </c>
      <c r="N75" s="2">
        <f t="shared" si="29"/>
        <v>77.77494146507459</v>
      </c>
      <c r="O75" s="2">
        <f>O74+(O$77-O$74)/3</f>
        <v>98</v>
      </c>
      <c r="P75" s="37"/>
      <c r="Q75" s="32">
        <f t="shared" si="4"/>
        <v>0.20787579523158345</v>
      </c>
      <c r="R75" s="32">
        <f t="shared" si="5"/>
        <v>0.21326658649103139</v>
      </c>
      <c r="S75" s="37"/>
      <c r="T75" s="2">
        <f>USA!Z83*G75</f>
        <v>17.554915359259692</v>
      </c>
      <c r="U75" s="2">
        <v>0</v>
      </c>
      <c r="V75" s="2">
        <v>0</v>
      </c>
      <c r="W75" s="2">
        <v>1</v>
      </c>
      <c r="X75" s="37"/>
      <c r="Y75" s="2">
        <v>0.74438903229311248</v>
      </c>
      <c r="Z75" s="32">
        <v>0.36299999999999999</v>
      </c>
      <c r="AA75" s="2">
        <v>0.21</v>
      </c>
      <c r="AB75" s="2">
        <f t="shared" si="7"/>
        <v>0.1198839169986325</v>
      </c>
      <c r="AC75" s="2">
        <f t="shared" si="28"/>
        <v>0.48288391699863248</v>
      </c>
      <c r="AG75" s="2">
        <v>0.19375000000000001</v>
      </c>
      <c r="AK75" s="2"/>
      <c r="AN75">
        <v>1996</v>
      </c>
      <c r="AO75" s="1">
        <f t="shared" si="9"/>
        <v>0.69075971223021593</v>
      </c>
      <c r="AP75" s="1">
        <f t="shared" si="20"/>
        <v>0.36299999999999999</v>
      </c>
      <c r="AQ75" s="1">
        <f t="shared" si="21"/>
        <v>0.1198839169986325</v>
      </c>
      <c r="AR75" s="1">
        <f t="shared" si="22"/>
        <v>0.48288391699863248</v>
      </c>
      <c r="AS75" s="1">
        <f t="shared" si="10"/>
        <v>0.20787579523158345</v>
      </c>
      <c r="AU75" s="7">
        <v>70.306324816795041</v>
      </c>
      <c r="AV75" s="12"/>
      <c r="AW75" s="1">
        <f t="shared" si="11"/>
        <v>0.98250010085181494</v>
      </c>
      <c r="AX75" s="1">
        <f t="shared" si="23"/>
        <v>0.98116153726665889</v>
      </c>
      <c r="AY75" s="1">
        <f t="shared" si="12"/>
        <v>0.68682855810901289</v>
      </c>
      <c r="AZ75" s="1">
        <f t="shared" si="24"/>
        <v>0.29567154274280205</v>
      </c>
      <c r="BA75" s="1">
        <f t="shared" si="14"/>
        <v>0.294332979157646</v>
      </c>
      <c r="BB75" s="3">
        <f t="shared" si="15"/>
        <v>24.969183647423577</v>
      </c>
      <c r="BC75">
        <v>0</v>
      </c>
      <c r="BD75">
        <v>0</v>
      </c>
      <c r="BE75">
        <v>0</v>
      </c>
      <c r="BF75" s="23">
        <v>1</v>
      </c>
      <c r="BG75">
        <v>0</v>
      </c>
      <c r="BH75">
        <v>0</v>
      </c>
      <c r="BJ75" s="1">
        <f t="shared" si="16"/>
        <v>1.0361490756205995</v>
      </c>
      <c r="BK75" s="1">
        <f t="shared" si="17"/>
        <v>1.0347374203747464</v>
      </c>
    </row>
    <row r="76" spans="1:63">
      <c r="A76">
        <v>1997</v>
      </c>
      <c r="B76" s="3">
        <f t="shared" si="0"/>
        <v>117.99341863788248</v>
      </c>
      <c r="C76" s="3">
        <f t="shared" si="1"/>
        <v>73.604511922988308</v>
      </c>
      <c r="D76" s="2">
        <v>73.838899999999995</v>
      </c>
      <c r="E76" s="2">
        <v>105.3374</v>
      </c>
      <c r="F76" s="2">
        <f t="shared" si="18"/>
        <v>77.779977448599993</v>
      </c>
      <c r="G76" s="2">
        <v>0.83757383526926055</v>
      </c>
      <c r="H76" s="2">
        <f t="shared" si="19"/>
        <v>0.65146474018780498</v>
      </c>
      <c r="I76" s="32">
        <f t="shared" si="26"/>
        <v>0.72742014388489207</v>
      </c>
      <c r="J76" s="32">
        <f t="shared" si="3"/>
        <v>0.75720222994752351</v>
      </c>
      <c r="K76" s="32"/>
      <c r="L76" s="2">
        <f t="shared" si="27"/>
        <v>0.72742014388489207</v>
      </c>
      <c r="M76" s="2">
        <v>113.1</v>
      </c>
      <c r="N76" s="2">
        <f t="shared" si="29"/>
        <v>83.757383526926048</v>
      </c>
      <c r="O76" s="2">
        <f>O75+(O$77-O$74)/3</f>
        <v>100</v>
      </c>
      <c r="P76" s="37"/>
      <c r="Q76" s="32">
        <f t="shared" si="4"/>
        <v>0.22717367263214217</v>
      </c>
      <c r="R76" s="32">
        <f t="shared" si="5"/>
        <v>0.25695575869477361</v>
      </c>
      <c r="S76" s="37"/>
      <c r="T76" s="2">
        <f>USA!Z84*G76</f>
        <v>17.262396744899458</v>
      </c>
      <c r="U76" s="2">
        <v>0</v>
      </c>
      <c r="V76" s="2">
        <v>0</v>
      </c>
      <c r="W76" s="2">
        <v>0</v>
      </c>
      <c r="X76" s="37"/>
      <c r="Y76" s="2">
        <v>0.76238937057267175</v>
      </c>
      <c r="Z76" s="32">
        <v>0.374</v>
      </c>
      <c r="AA76" s="2">
        <v>0.21</v>
      </c>
      <c r="AB76" s="2">
        <f t="shared" si="7"/>
        <v>0.12624647125274988</v>
      </c>
      <c r="AC76" s="2">
        <f t="shared" si="28"/>
        <v>0.5002464712527499</v>
      </c>
      <c r="AG76" s="2">
        <v>0.19375000000000001</v>
      </c>
      <c r="AK76" s="2"/>
      <c r="AN76">
        <v>1997</v>
      </c>
      <c r="AO76" s="1">
        <f t="shared" si="9"/>
        <v>0.72742014388489207</v>
      </c>
      <c r="AP76" s="1">
        <f t="shared" si="20"/>
        <v>0.374</v>
      </c>
      <c r="AQ76" s="1">
        <f t="shared" si="21"/>
        <v>0.12624647125274988</v>
      </c>
      <c r="AR76" s="1">
        <f t="shared" si="22"/>
        <v>0.5002464712527499</v>
      </c>
      <c r="AS76" s="1">
        <f t="shared" ref="AS76:AS96" si="30">AO76-AR76</f>
        <v>0.22717367263214217</v>
      </c>
      <c r="AU76" s="7">
        <v>71.302701833719169</v>
      </c>
      <c r="AV76" s="12"/>
      <c r="AW76" s="1">
        <f t="shared" ref="AW76:AW96" si="31">AO76/$AU76*100</f>
        <v>1.0201859469242354</v>
      </c>
      <c r="AX76" s="1">
        <f t="shared" si="23"/>
        <v>1.0332408892356184</v>
      </c>
      <c r="AY76" s="1">
        <f t="shared" si="12"/>
        <v>0.70158136843025276</v>
      </c>
      <c r="AZ76" s="1">
        <f t="shared" si="24"/>
        <v>0.3186045784939826</v>
      </c>
      <c r="BA76" s="1">
        <f t="shared" ref="BA76:BA97" si="32">AX$100+AX$101*BB76+AX$102*BC76+AX$103*BD76+AX$104*BE76+AX$105*BF76+AX$106*BG76+AX$107*BH76</f>
        <v>0.3316595208053657</v>
      </c>
      <c r="BB76" s="3">
        <f t="shared" ref="BB76:BB96" si="33">T76/AU76*100</f>
        <v>24.210017714554599</v>
      </c>
      <c r="BC76">
        <v>0</v>
      </c>
      <c r="BD76">
        <v>0</v>
      </c>
      <c r="BE76">
        <v>0</v>
      </c>
      <c r="BF76" s="23">
        <v>0.5</v>
      </c>
      <c r="BG76">
        <v>0</v>
      </c>
      <c r="BH76">
        <v>0</v>
      </c>
      <c r="BJ76" s="1">
        <f t="shared" si="16"/>
        <v>1.0758927403164753</v>
      </c>
      <c r="BK76" s="1">
        <f t="shared" si="17"/>
        <v>1.0896605418632561</v>
      </c>
    </row>
    <row r="77" spans="1:63">
      <c r="A77">
        <v>1998</v>
      </c>
      <c r="B77" s="3">
        <f t="shared" si="0"/>
        <v>106.14573211581136</v>
      </c>
      <c r="C77" s="3">
        <f t="shared" si="1"/>
        <v>74.747038105002289</v>
      </c>
      <c r="D77" s="2">
        <v>68.578400000000002</v>
      </c>
      <c r="E77" s="2">
        <v>106.9725</v>
      </c>
      <c r="F77" s="2">
        <f t="shared" si="18"/>
        <v>73.360028940000007</v>
      </c>
      <c r="G77" s="2">
        <v>0.89170023007653976</v>
      </c>
      <c r="H77" s="2">
        <f t="shared" si="19"/>
        <v>0.65415154684219612</v>
      </c>
      <c r="I77" s="32">
        <f t="shared" si="26"/>
        <v>0.70748201438848923</v>
      </c>
      <c r="J77" s="32">
        <f t="shared" si="3"/>
        <v>0.72652848916192281</v>
      </c>
      <c r="K77" s="32"/>
      <c r="L77" s="2">
        <f t="shared" si="27"/>
        <v>0.70748201438848923</v>
      </c>
      <c r="M77" s="2">
        <v>110</v>
      </c>
      <c r="N77" s="2">
        <f t="shared" si="29"/>
        <v>90.953423467807056</v>
      </c>
      <c r="O77" s="39">
        <v>102</v>
      </c>
      <c r="P77" s="37"/>
      <c r="Q77" s="32">
        <f t="shared" si="4"/>
        <v>0.21069587965990844</v>
      </c>
      <c r="R77" s="32">
        <f t="shared" si="5"/>
        <v>0.22974235443334201</v>
      </c>
      <c r="S77" s="37"/>
      <c r="T77" s="2">
        <f>USA!Z85*G77</f>
        <v>12.858317317703703</v>
      </c>
      <c r="U77" s="2">
        <v>0</v>
      </c>
      <c r="V77" s="2">
        <v>0</v>
      </c>
      <c r="W77" s="2">
        <v>0</v>
      </c>
      <c r="X77" s="37"/>
      <c r="Y77" s="2">
        <v>0.71374057094258281</v>
      </c>
      <c r="Z77" s="32">
        <v>0.374</v>
      </c>
      <c r="AA77" s="2">
        <v>0.21</v>
      </c>
      <c r="AB77" s="2">
        <f t="shared" si="7"/>
        <v>0.12278613472858077</v>
      </c>
      <c r="AC77" s="2">
        <f t="shared" si="28"/>
        <v>0.4967861347285808</v>
      </c>
      <c r="AG77" s="2">
        <v>0.19375000000000001</v>
      </c>
      <c r="AK77" s="2"/>
      <c r="AN77">
        <v>1998</v>
      </c>
      <c r="AO77" s="1">
        <f t="shared" si="9"/>
        <v>0.70748201438848923</v>
      </c>
      <c r="AP77" s="1">
        <f t="shared" si="20"/>
        <v>0.374</v>
      </c>
      <c r="AQ77" s="1">
        <f t="shared" si="21"/>
        <v>0.12278613472858077</v>
      </c>
      <c r="AR77" s="1">
        <f t="shared" ref="AR77:AR96" si="34">AC77</f>
        <v>0.4967861347285808</v>
      </c>
      <c r="AS77" s="1">
        <f t="shared" si="30"/>
        <v>0.21069587965990844</v>
      </c>
      <c r="AU77" s="7">
        <v>73.040185394219705</v>
      </c>
      <c r="AV77" s="12"/>
      <c r="AW77" s="1">
        <f t="shared" si="31"/>
        <v>0.96862023360154059</v>
      </c>
      <c r="AX77" s="1">
        <f t="shared" si="23"/>
        <v>0.97557363444324707</v>
      </c>
      <c r="AY77" s="1">
        <f t="shared" si="12"/>
        <v>0.68015453691317673</v>
      </c>
      <c r="AZ77" s="1">
        <f t="shared" si="24"/>
        <v>0.28846569668836386</v>
      </c>
      <c r="BA77" s="1">
        <f t="shared" si="32"/>
        <v>0.29541909753007034</v>
      </c>
      <c r="BB77" s="3">
        <f t="shared" si="33"/>
        <v>17.604442333084894</v>
      </c>
      <c r="BC77">
        <v>0</v>
      </c>
      <c r="BD77">
        <v>0</v>
      </c>
      <c r="BE77">
        <v>0</v>
      </c>
      <c r="BF77" s="23">
        <v>0.5</v>
      </c>
      <c r="BG77">
        <v>0</v>
      </c>
      <c r="BH77">
        <v>0</v>
      </c>
      <c r="BJ77" s="1">
        <f t="shared" si="16"/>
        <v>1.0215113044807902</v>
      </c>
      <c r="BK77" s="1">
        <f t="shared" si="17"/>
        <v>1.0288443926385495</v>
      </c>
    </row>
    <row r="78" spans="1:63">
      <c r="A78">
        <v>1999</v>
      </c>
      <c r="B78" s="3">
        <f t="shared" si="0"/>
        <v>101.84898753374681</v>
      </c>
      <c r="C78" s="3">
        <f t="shared" si="1"/>
        <v>75.889564287016256</v>
      </c>
      <c r="D78" s="38">
        <v>80.730999999999995</v>
      </c>
      <c r="E78" s="2">
        <v>108.60760000000001</v>
      </c>
      <c r="F78" s="2">
        <f t="shared" si="18"/>
        <v>87.680001556000008</v>
      </c>
      <c r="G78" s="2">
        <v>0.93862699999999999</v>
      </c>
      <c r="H78" s="2">
        <f t="shared" si="19"/>
        <v>0.82298816820503617</v>
      </c>
      <c r="I78" s="32">
        <f t="shared" si="26"/>
        <v>0.72549064748201431</v>
      </c>
      <c r="J78" s="32">
        <f t="shared" si="3"/>
        <v>0.75158298171656257</v>
      </c>
      <c r="K78" s="32"/>
      <c r="L78" s="2">
        <f>L$79*M78/M$79</f>
        <v>0.72549064748201431</v>
      </c>
      <c r="M78" s="2">
        <v>112.8</v>
      </c>
      <c r="N78" s="2">
        <f t="shared" si="29"/>
        <v>81.660549000000003</v>
      </c>
      <c r="O78" s="2">
        <f>(O77+O79)/2</f>
        <v>87</v>
      </c>
      <c r="P78" s="37"/>
      <c r="Q78" s="32">
        <f t="shared" si="4"/>
        <v>0.22557904750579694</v>
      </c>
      <c r="R78" s="32">
        <f t="shared" si="5"/>
        <v>0.2516713817403452</v>
      </c>
      <c r="S78" s="37"/>
      <c r="T78" s="2">
        <f>USA!Z86*G78</f>
        <v>16.40719996</v>
      </c>
      <c r="U78" s="2">
        <v>0</v>
      </c>
      <c r="V78" s="2">
        <v>0</v>
      </c>
      <c r="W78" s="2">
        <v>0</v>
      </c>
      <c r="X78" s="37"/>
      <c r="Y78" s="2">
        <v>0.66775007081070359</v>
      </c>
      <c r="Z78" s="32">
        <v>0.374</v>
      </c>
      <c r="AA78" s="2">
        <v>0.21</v>
      </c>
      <c r="AB78" s="2">
        <f t="shared" si="7"/>
        <v>0.12591159997621734</v>
      </c>
      <c r="AC78" s="2">
        <f t="shared" si="28"/>
        <v>0.49991159997621737</v>
      </c>
      <c r="AG78" s="2">
        <v>0.19375000000000001</v>
      </c>
      <c r="AK78" s="2"/>
      <c r="AN78">
        <v>1999</v>
      </c>
      <c r="AO78" s="1">
        <f t="shared" si="9"/>
        <v>0.72549064748201431</v>
      </c>
      <c r="AP78" s="1">
        <f t="shared" si="20"/>
        <v>0.374</v>
      </c>
      <c r="AQ78" s="1">
        <f t="shared" si="21"/>
        <v>0.12591159997621734</v>
      </c>
      <c r="AR78" s="1">
        <f t="shared" si="34"/>
        <v>0.49991159997621737</v>
      </c>
      <c r="AS78" s="1">
        <f t="shared" si="30"/>
        <v>0.22557904750579694</v>
      </c>
      <c r="AU78" s="7">
        <v>74.234190834503508</v>
      </c>
      <c r="AV78" s="12"/>
      <c r="AW78" s="1">
        <f t="shared" si="31"/>
        <v>0.97729986590600992</v>
      </c>
      <c r="AX78" s="1">
        <f t="shared" si="23"/>
        <v>0.99351892002976105</v>
      </c>
      <c r="AY78" s="1">
        <f t="shared" si="12"/>
        <v>0.67342500047008269</v>
      </c>
      <c r="AZ78" s="1">
        <f t="shared" si="24"/>
        <v>0.30387486543592723</v>
      </c>
      <c r="BA78" s="1">
        <f t="shared" si="32"/>
        <v>0.32009391955967836</v>
      </c>
      <c r="BB78" s="3">
        <f t="shared" si="33"/>
        <v>22.101944906462233</v>
      </c>
      <c r="BC78">
        <v>0</v>
      </c>
      <c r="BD78">
        <v>0</v>
      </c>
      <c r="BE78">
        <v>0</v>
      </c>
      <c r="BF78" s="23">
        <v>0.5</v>
      </c>
      <c r="BG78">
        <v>0</v>
      </c>
      <c r="BH78">
        <v>0</v>
      </c>
      <c r="BJ78" s="1">
        <f t="shared" si="16"/>
        <v>1.0306648841915764</v>
      </c>
      <c r="BK78" s="1">
        <f t="shared" si="17"/>
        <v>1.0477695724488043</v>
      </c>
    </row>
    <row r="79" spans="1:63">
      <c r="A79">
        <v>2000</v>
      </c>
      <c r="B79" s="3">
        <f t="shared" si="0"/>
        <v>104.31583739767451</v>
      </c>
      <c r="C79" s="3">
        <f t="shared" si="1"/>
        <v>78.958238837304293</v>
      </c>
      <c r="D79" s="2">
        <f>F79/E79*100</f>
        <v>72.890695018992716</v>
      </c>
      <c r="E79" s="2">
        <v>112.9992628224058</v>
      </c>
      <c r="F79" s="2">
        <f>I79/G79*100</f>
        <v>82.365948037589831</v>
      </c>
      <c r="G79" s="2">
        <v>1.0853999999999999</v>
      </c>
      <c r="H79" s="32">
        <f t="shared" ref="H79:H89" si="35">(R79+Z79)+AA79*(R79+Z79)</f>
        <v>0.85837119472476942</v>
      </c>
      <c r="I79" s="32">
        <f t="shared" si="26"/>
        <v>0.89400000000000002</v>
      </c>
      <c r="J79" s="32">
        <f t="shared" si="3"/>
        <v>0.86455470638410692</v>
      </c>
      <c r="K79" s="32"/>
      <c r="L79" s="32">
        <v>0.89400000000000002</v>
      </c>
      <c r="M79" s="2">
        <v>139</v>
      </c>
      <c r="N79" s="2">
        <f t="shared" si="29"/>
        <v>78.148799999999994</v>
      </c>
      <c r="O79" s="39">
        <v>72</v>
      </c>
      <c r="P79" s="37"/>
      <c r="Q79" s="32">
        <f t="shared" si="4"/>
        <v>0.36484297520661157</v>
      </c>
      <c r="R79" s="32">
        <f t="shared" si="5"/>
        <v>0.33539768159071848</v>
      </c>
      <c r="S79" s="37"/>
      <c r="T79" s="2">
        <f>USA!Z87*G79</f>
        <v>29.957039999999999</v>
      </c>
      <c r="U79" s="2">
        <v>0</v>
      </c>
      <c r="V79" s="2">
        <v>0</v>
      </c>
      <c r="W79" s="2">
        <v>0</v>
      </c>
      <c r="X79" s="37"/>
      <c r="Z79" s="32">
        <v>0.374</v>
      </c>
      <c r="AA79" s="2">
        <v>0.21</v>
      </c>
      <c r="AB79" s="2">
        <f t="shared" si="7"/>
        <v>0.15515702479338842</v>
      </c>
      <c r="AC79" s="2">
        <f t="shared" si="28"/>
        <v>0.52915702479338844</v>
      </c>
      <c r="AD79" s="37">
        <v>0.52700000000000002</v>
      </c>
      <c r="AG79" s="2">
        <v>0.19375000000000001</v>
      </c>
      <c r="AK79" s="2"/>
      <c r="AN79">
        <v>2000</v>
      </c>
      <c r="AO79" s="1">
        <f t="shared" si="9"/>
        <v>0.89400000000000002</v>
      </c>
      <c r="AP79" s="1">
        <f t="shared" si="20"/>
        <v>0.374</v>
      </c>
      <c r="AQ79" s="1">
        <f t="shared" si="21"/>
        <v>0.15515702479338842</v>
      </c>
      <c r="AR79" s="1">
        <f t="shared" si="34"/>
        <v>0.52915702479338844</v>
      </c>
      <c r="AS79" s="1">
        <f t="shared" si="30"/>
        <v>0.36484297520661157</v>
      </c>
      <c r="AU79" s="7">
        <v>78.35968546764974</v>
      </c>
      <c r="AV79" s="12"/>
      <c r="AW79" s="1">
        <f t="shared" si="31"/>
        <v>1.1408927877448944</v>
      </c>
      <c r="AX79" s="1">
        <f t="shared" si="23"/>
        <v>1.1253628307442196</v>
      </c>
      <c r="AY79" s="1">
        <f t="shared" si="12"/>
        <v>0.67529243084040624</v>
      </c>
      <c r="AZ79" s="1">
        <f t="shared" si="24"/>
        <v>0.4656003569044882</v>
      </c>
      <c r="BA79" s="1">
        <f t="shared" si="32"/>
        <v>0.45007039990381337</v>
      </c>
      <c r="BB79" s="3">
        <f t="shared" si="33"/>
        <v>38.230168767545095</v>
      </c>
      <c r="BC79">
        <v>0</v>
      </c>
      <c r="BD79">
        <v>0</v>
      </c>
      <c r="BE79">
        <v>0</v>
      </c>
      <c r="BF79" s="44">
        <v>0</v>
      </c>
      <c r="BG79">
        <v>0</v>
      </c>
      <c r="BH79">
        <v>0</v>
      </c>
      <c r="BJ79" s="1">
        <f t="shared" si="16"/>
        <v>1.2031907237253059</v>
      </c>
      <c r="BK79" s="1">
        <f t="shared" si="17"/>
        <v>1.1868127604286856</v>
      </c>
    </row>
    <row r="80" spans="1:63">
      <c r="A80">
        <v>2001</v>
      </c>
      <c r="B80" s="3">
        <f t="shared" si="0"/>
        <v>97.991753760275842</v>
      </c>
      <c r="C80" s="3">
        <f t="shared" si="1"/>
        <v>81.182199298191421</v>
      </c>
      <c r="D80" s="2">
        <f t="shared" ref="D80:D89" si="36">F80/E80*100</f>
        <v>68.471741356847204</v>
      </c>
      <c r="E80" s="2">
        <v>116.1820325539375</v>
      </c>
      <c r="F80" s="2">
        <f t="shared" ref="F80:F89" si="37">I80/G80*100</f>
        <v>79.551860833460111</v>
      </c>
      <c r="G80" s="2">
        <v>1.11751</v>
      </c>
      <c r="H80" s="32">
        <f t="shared" si="35"/>
        <v>0.85312602293535056</v>
      </c>
      <c r="I80" s="32">
        <f t="shared" si="26"/>
        <v>0.88900000000000001</v>
      </c>
      <c r="J80" s="32">
        <f t="shared" si="3"/>
        <v>0.85910501911279213</v>
      </c>
      <c r="K80" s="32"/>
      <c r="L80" s="32">
        <v>0.88900000000000001</v>
      </c>
      <c r="M80" s="2">
        <v>128.1</v>
      </c>
      <c r="N80" s="2">
        <f t="shared" si="29"/>
        <v>90.51831</v>
      </c>
      <c r="O80" s="2">
        <f>(O79+O81)/2</f>
        <v>81</v>
      </c>
      <c r="P80" s="37"/>
      <c r="Q80" s="32">
        <f t="shared" si="4"/>
        <v>0.33983333333333332</v>
      </c>
      <c r="R80" s="32">
        <f t="shared" si="5"/>
        <v>0.30993835244612544</v>
      </c>
      <c r="S80" s="37"/>
      <c r="T80" s="2">
        <f>USA!Z88*G80</f>
        <v>25.836831200000002</v>
      </c>
      <c r="U80" s="2">
        <v>0</v>
      </c>
      <c r="V80" s="2">
        <v>0</v>
      </c>
      <c r="W80" s="2">
        <v>0</v>
      </c>
      <c r="X80" s="37"/>
      <c r="Z80" s="32">
        <v>0.40100000000000002</v>
      </c>
      <c r="AA80" s="2">
        <v>0.2</v>
      </c>
      <c r="AB80" s="2">
        <f t="shared" si="7"/>
        <v>0.14816666666666667</v>
      </c>
      <c r="AC80" s="2">
        <f t="shared" si="28"/>
        <v>0.54916666666666669</v>
      </c>
      <c r="AD80" s="37">
        <v>0.496</v>
      </c>
      <c r="AG80" s="2">
        <v>0.19375000000000001</v>
      </c>
      <c r="AK80" s="2"/>
      <c r="AN80">
        <v>2001</v>
      </c>
      <c r="AO80" s="1">
        <f t="shared" si="9"/>
        <v>0.88900000000000001</v>
      </c>
      <c r="AP80" s="1">
        <f t="shared" si="20"/>
        <v>0.40100000000000002</v>
      </c>
      <c r="AQ80" s="1">
        <f t="shared" si="21"/>
        <v>0.14816666666666667</v>
      </c>
      <c r="AR80" s="1">
        <f t="shared" si="34"/>
        <v>0.54916666666666669</v>
      </c>
      <c r="AS80" s="1">
        <f t="shared" si="30"/>
        <v>0.33983333333333332</v>
      </c>
      <c r="AU80" s="7">
        <v>82.180502163858634</v>
      </c>
      <c r="AV80" s="12"/>
      <c r="AW80" s="1">
        <f t="shared" si="31"/>
        <v>1.0817651104485033</v>
      </c>
      <c r="AX80" s="1">
        <f t="shared" si="23"/>
        <v>1.0810569136641286</v>
      </c>
      <c r="AY80" s="1">
        <f t="shared" si="12"/>
        <v>0.66824447673937359</v>
      </c>
      <c r="AZ80" s="1">
        <f t="shared" si="24"/>
        <v>0.41352063370912973</v>
      </c>
      <c r="BA80" s="1">
        <f t="shared" si="32"/>
        <v>0.41281243692475511</v>
      </c>
      <c r="BB80" s="3">
        <f t="shared" si="33"/>
        <v>31.439125485610052</v>
      </c>
      <c r="BC80">
        <v>0</v>
      </c>
      <c r="BD80">
        <v>0</v>
      </c>
      <c r="BE80">
        <v>0</v>
      </c>
      <c r="BF80" s="44">
        <v>0</v>
      </c>
      <c r="BG80">
        <v>0</v>
      </c>
      <c r="BH80">
        <v>0</v>
      </c>
      <c r="BJ80" s="1">
        <f t="shared" si="16"/>
        <v>1.1408344062845925</v>
      </c>
      <c r="BK80" s="1">
        <f t="shared" si="17"/>
        <v>1.1400875387342979</v>
      </c>
    </row>
    <row r="81" spans="1:63">
      <c r="A81">
        <v>2002</v>
      </c>
      <c r="B81" s="3">
        <f t="shared" si="0"/>
        <v>97.562007852488762</v>
      </c>
      <c r="C81" s="3">
        <f t="shared" si="1"/>
        <v>82.47759894808965</v>
      </c>
      <c r="D81" s="2">
        <f t="shared" si="36"/>
        <v>68.171456388796273</v>
      </c>
      <c r="E81" s="2">
        <v>118.03591389240708</v>
      </c>
      <c r="F81" s="2">
        <f t="shared" si="37"/>
        <v>80.466801562279414</v>
      </c>
      <c r="G81" s="2">
        <v>1.0625500000000001</v>
      </c>
      <c r="H81" s="32">
        <f t="shared" si="35"/>
        <v>0.86005254648226925</v>
      </c>
      <c r="I81" s="32">
        <f t="shared" si="26"/>
        <v>0.85499999999999998</v>
      </c>
      <c r="J81" s="32">
        <f t="shared" si="3"/>
        <v>0.85917824807299514</v>
      </c>
      <c r="K81" s="32"/>
      <c r="L81" s="32">
        <v>0.85499999999999998</v>
      </c>
      <c r="M81" s="2">
        <v>131.19999999999999</v>
      </c>
      <c r="N81" s="2">
        <f t="shared" si="29"/>
        <v>95.629500000000007</v>
      </c>
      <c r="O81" s="39">
        <v>90</v>
      </c>
      <c r="P81" s="37"/>
      <c r="Q81" s="32">
        <f t="shared" si="4"/>
        <v>0.30604982427124239</v>
      </c>
      <c r="R81" s="32">
        <f t="shared" si="5"/>
        <v>0.31022807234423755</v>
      </c>
      <c r="S81" s="37"/>
      <c r="T81" s="2">
        <f>USA!Z89*G81</f>
        <v>25.883718000000002</v>
      </c>
      <c r="U81" s="2">
        <v>0</v>
      </c>
      <c r="V81" s="2">
        <v>0</v>
      </c>
      <c r="W81" s="2">
        <v>0</v>
      </c>
      <c r="X81" s="37"/>
      <c r="Z81" s="32">
        <v>0.40100000000000002</v>
      </c>
      <c r="AA81" s="2">
        <v>0.20925000000000002</v>
      </c>
      <c r="AB81" s="2">
        <f t="shared" si="7"/>
        <v>0.14795017572875752</v>
      </c>
      <c r="AC81" s="2">
        <f t="shared" si="28"/>
        <v>0.54895017572875759</v>
      </c>
      <c r="AD81" s="37">
        <v>0.54900000000000004</v>
      </c>
      <c r="AG81" s="2">
        <v>0.19375000000000001</v>
      </c>
      <c r="AK81" s="2"/>
      <c r="AN81">
        <v>2002</v>
      </c>
      <c r="AO81" s="1">
        <f t="shared" si="9"/>
        <v>0.85499999999999998</v>
      </c>
      <c r="AP81" s="1">
        <f t="shared" si="20"/>
        <v>0.40100000000000002</v>
      </c>
      <c r="AQ81" s="1">
        <f t="shared" si="21"/>
        <v>0.14795017572875752</v>
      </c>
      <c r="AR81" s="1">
        <f t="shared" si="34"/>
        <v>0.54895017572875759</v>
      </c>
      <c r="AS81" s="1">
        <f t="shared" si="30"/>
        <v>0.30604982427124239</v>
      </c>
      <c r="AU81" s="7">
        <v>85.993084121036048</v>
      </c>
      <c r="AV81" s="12"/>
      <c r="AW81" s="1">
        <f t="shared" si="31"/>
        <v>0.9942660025968828</v>
      </c>
      <c r="AX81" s="1">
        <f t="shared" si="23"/>
        <v>1.0010221913599464</v>
      </c>
      <c r="AY81" s="1">
        <f t="shared" si="12"/>
        <v>0.63836549338793946</v>
      </c>
      <c r="AZ81" s="1">
        <f t="shared" si="24"/>
        <v>0.35590050920894334</v>
      </c>
      <c r="BA81" s="1">
        <f t="shared" si="32"/>
        <v>0.36265669797200684</v>
      </c>
      <c r="BB81" s="3">
        <f t="shared" si="33"/>
        <v>30.099767050532151</v>
      </c>
      <c r="BC81">
        <v>0</v>
      </c>
      <c r="BD81">
        <v>0</v>
      </c>
      <c r="BE81">
        <v>0</v>
      </c>
      <c r="BF81" s="44">
        <v>0</v>
      </c>
      <c r="BG81">
        <v>0</v>
      </c>
      <c r="BH81" s="23">
        <v>0.5</v>
      </c>
      <c r="BJ81" s="1">
        <f t="shared" si="16"/>
        <v>1.0485574491224703</v>
      </c>
      <c r="BK81" s="1">
        <f t="shared" si="17"/>
        <v>1.0556825565250012</v>
      </c>
    </row>
    <row r="82" spans="1:63">
      <c r="A82">
        <v>2003</v>
      </c>
      <c r="B82" s="3">
        <f t="shared" si="0"/>
        <v>116.51038069686072</v>
      </c>
      <c r="C82" s="3">
        <f t="shared" si="1"/>
        <v>84.37293294912061</v>
      </c>
      <c r="D82" s="2">
        <f t="shared" si="36"/>
        <v>81.411632574508147</v>
      </c>
      <c r="E82" s="2">
        <v>120.74837744367809</v>
      </c>
      <c r="F82" s="2">
        <f t="shared" si="37"/>
        <v>98.303225384127472</v>
      </c>
      <c r="G82" s="2">
        <v>0.88603399999999999</v>
      </c>
      <c r="H82" s="32">
        <f t="shared" si="35"/>
        <v>0.90347232138956213</v>
      </c>
      <c r="I82" s="32">
        <f t="shared" si="26"/>
        <v>0.871</v>
      </c>
      <c r="J82" s="32">
        <f t="shared" si="3"/>
        <v>0.89785327383879432</v>
      </c>
      <c r="K82" s="32"/>
      <c r="L82" s="32">
        <v>0.871</v>
      </c>
      <c r="M82" s="2">
        <v>133.30000000000001</v>
      </c>
      <c r="N82" s="2">
        <f t="shared" si="29"/>
        <v>97.020723000000004</v>
      </c>
      <c r="O82" s="2">
        <f>(O81+O83)/2</f>
        <v>109.5</v>
      </c>
      <c r="P82" s="37"/>
      <c r="Q82" s="32">
        <f t="shared" si="4"/>
        <v>0.27728116601199093</v>
      </c>
      <c r="R82" s="32">
        <f t="shared" si="5"/>
        <v>0.30413443985078531</v>
      </c>
      <c r="S82" s="37"/>
      <c r="T82" s="2">
        <f>USA!Z90*G82</f>
        <v>24.897555400000002</v>
      </c>
      <c r="U82" s="2">
        <v>0</v>
      </c>
      <c r="V82" s="2">
        <v>0</v>
      </c>
      <c r="W82" s="2">
        <v>0</v>
      </c>
      <c r="X82" s="37"/>
      <c r="Z82" s="32">
        <v>0.443</v>
      </c>
      <c r="AA82" s="2">
        <v>0.20925000000000002</v>
      </c>
      <c r="AB82" s="2">
        <f t="shared" si="7"/>
        <v>0.15071883398800912</v>
      </c>
      <c r="AC82" s="2">
        <f t="shared" si="28"/>
        <v>0.59371883398800906</v>
      </c>
      <c r="AD82" s="37">
        <v>0.55600000000000005</v>
      </c>
      <c r="AG82" s="2">
        <v>0.20925000000000002</v>
      </c>
      <c r="AK82" s="2"/>
      <c r="AN82">
        <v>2003</v>
      </c>
      <c r="AO82" s="1">
        <f t="shared" si="9"/>
        <v>0.871</v>
      </c>
      <c r="AP82" s="1">
        <f t="shared" si="20"/>
        <v>0.443</v>
      </c>
      <c r="AQ82" s="1">
        <f t="shared" si="21"/>
        <v>0.15071883398800912</v>
      </c>
      <c r="AR82" s="1">
        <f t="shared" si="34"/>
        <v>0.59371883398800906</v>
      </c>
      <c r="AS82" s="1">
        <f t="shared" si="30"/>
        <v>0.27728116601199093</v>
      </c>
      <c r="AU82" s="7">
        <v>88.990449601919622</v>
      </c>
      <c r="AV82" s="12"/>
      <c r="AW82" s="1">
        <f t="shared" si="31"/>
        <v>0.97875671366561068</v>
      </c>
      <c r="AX82" s="1">
        <f t="shared" si="23"/>
        <v>0.97537861928407898</v>
      </c>
      <c r="AY82" s="1">
        <f t="shared" si="12"/>
        <v>0.66717140619458326</v>
      </c>
      <c r="AZ82" s="1">
        <f t="shared" si="24"/>
        <v>0.31158530747102742</v>
      </c>
      <c r="BA82" s="1">
        <f t="shared" si="32"/>
        <v>0.30820721308949567</v>
      </c>
      <c r="BB82" s="3">
        <f t="shared" si="33"/>
        <v>27.977783583939704</v>
      </c>
      <c r="BC82">
        <v>0</v>
      </c>
      <c r="BD82">
        <v>0</v>
      </c>
      <c r="BE82">
        <v>0</v>
      </c>
      <c r="BF82" s="44">
        <v>0</v>
      </c>
      <c r="BG82">
        <v>0</v>
      </c>
      <c r="BH82" s="23">
        <v>1</v>
      </c>
      <c r="BJ82" s="1">
        <f t="shared" si="16"/>
        <v>1.0322012824658582</v>
      </c>
      <c r="BK82" s="1">
        <f t="shared" si="17"/>
        <v>1.0286387287645928</v>
      </c>
    </row>
    <row r="83" spans="1:63">
      <c r="A83">
        <v>2004</v>
      </c>
      <c r="B83" s="3">
        <f t="shared" si="0"/>
        <v>136.60409207804724</v>
      </c>
      <c r="C83" s="3">
        <f t="shared" si="1"/>
        <v>86.62364207534489</v>
      </c>
      <c r="D83" s="2">
        <f t="shared" si="36"/>
        <v>95.452114102755743</v>
      </c>
      <c r="E83" s="2">
        <v>123.96942791081244</v>
      </c>
      <c r="F83" s="2">
        <f t="shared" si="37"/>
        <v>118.33143978196222</v>
      </c>
      <c r="G83" s="2">
        <v>0.805365</v>
      </c>
      <c r="H83" s="32">
        <f t="shared" si="35"/>
        <v>0.93437590937346982</v>
      </c>
      <c r="I83" s="32">
        <f t="shared" si="26"/>
        <v>0.95299999999999996</v>
      </c>
      <c r="J83" s="32">
        <f t="shared" si="3"/>
        <v>0.93759864326935682</v>
      </c>
      <c r="K83" s="32"/>
      <c r="L83" s="32">
        <v>0.95299999999999996</v>
      </c>
      <c r="M83" s="2">
        <v>147</v>
      </c>
      <c r="N83" s="2">
        <f t="shared" si="29"/>
        <v>103.89208499999999</v>
      </c>
      <c r="O83" s="39">
        <v>129</v>
      </c>
      <c r="P83" s="37"/>
      <c r="Q83" s="32">
        <f t="shared" si="4"/>
        <v>0.34509179243332644</v>
      </c>
      <c r="R83" s="32">
        <f t="shared" si="5"/>
        <v>0.3296904357026833</v>
      </c>
      <c r="S83" s="37"/>
      <c r="T83" s="2">
        <f>USA!Z91*G83</f>
        <v>29.033408249999997</v>
      </c>
      <c r="U83" s="2">
        <v>0</v>
      </c>
      <c r="V83" s="2">
        <v>0</v>
      </c>
      <c r="W83" s="2">
        <v>0</v>
      </c>
      <c r="X83" s="37"/>
      <c r="Z83" s="32">
        <v>0.443</v>
      </c>
      <c r="AA83" s="2">
        <v>0.20925000000000002</v>
      </c>
      <c r="AB83" s="2">
        <f t="shared" si="7"/>
        <v>0.16490820756667357</v>
      </c>
      <c r="AC83" s="2">
        <f t="shared" si="28"/>
        <v>0.60790820756667352</v>
      </c>
      <c r="AD83" s="37">
        <v>0.60799999999999998</v>
      </c>
      <c r="AG83" s="2">
        <v>0.20925000000000002</v>
      </c>
      <c r="AK83" s="2"/>
      <c r="AN83">
        <v>2004</v>
      </c>
      <c r="AO83" s="1">
        <f t="shared" si="9"/>
        <v>0.95299999999999996</v>
      </c>
      <c r="AP83" s="1">
        <f t="shared" si="20"/>
        <v>0.443</v>
      </c>
      <c r="AQ83" s="1">
        <f t="shared" si="21"/>
        <v>0.16490820756667357</v>
      </c>
      <c r="AR83" s="1">
        <f t="shared" si="34"/>
        <v>0.60790820756667352</v>
      </c>
      <c r="AS83" s="1">
        <f t="shared" si="30"/>
        <v>0.34509179243332644</v>
      </c>
      <c r="AU83" s="7">
        <v>90.95026491579479</v>
      </c>
      <c r="AV83" s="12"/>
      <c r="AW83" s="1">
        <f t="shared" si="31"/>
        <v>1.0478254251181385</v>
      </c>
      <c r="AX83" s="1">
        <f t="shared" si="23"/>
        <v>1.0605958028030384</v>
      </c>
      <c r="AY83" s="1">
        <f t="shared" si="12"/>
        <v>0.66839630223122282</v>
      </c>
      <c r="AZ83" s="1">
        <f t="shared" si="24"/>
        <v>0.37942912288691566</v>
      </c>
      <c r="BA83" s="1">
        <f t="shared" si="32"/>
        <v>0.39219950057181557</v>
      </c>
      <c r="BB83" s="3">
        <f t="shared" si="33"/>
        <v>31.922291020130871</v>
      </c>
      <c r="BC83">
        <v>0</v>
      </c>
      <c r="BD83">
        <v>0</v>
      </c>
      <c r="BE83">
        <v>0</v>
      </c>
      <c r="BF83" s="44">
        <v>0</v>
      </c>
      <c r="BG83" s="23">
        <v>0.3</v>
      </c>
      <c r="BH83">
        <v>0</v>
      </c>
      <c r="BJ83" s="1">
        <f t="shared" si="16"/>
        <v>1.1050414597480755</v>
      </c>
      <c r="BK83" s="1">
        <f t="shared" si="17"/>
        <v>1.1185091581453206</v>
      </c>
    </row>
    <row r="84" spans="1:63">
      <c r="A84">
        <v>2005</v>
      </c>
      <c r="B84" s="3">
        <f t="shared" si="0"/>
        <v>145.65699154406332</v>
      </c>
      <c r="C84" s="3">
        <f t="shared" si="1"/>
        <v>89.539246597092159</v>
      </c>
      <c r="D84" s="2">
        <f t="shared" si="36"/>
        <v>101.77782792029815</v>
      </c>
      <c r="E84" s="2">
        <v>128.14202809149756</v>
      </c>
      <c r="F84" s="2">
        <f t="shared" si="37"/>
        <v>130.42017284454451</v>
      </c>
      <c r="G84" s="2">
        <v>0.80411999999999995</v>
      </c>
      <c r="H84" s="32">
        <f t="shared" si="35"/>
        <v>1.0217042812673012</v>
      </c>
      <c r="I84" s="32">
        <f>K84</f>
        <v>1.0487346938775512</v>
      </c>
      <c r="J84" s="32">
        <f t="shared" si="3"/>
        <v>1.0263816547125728</v>
      </c>
      <c r="K84" s="3">
        <f>'EU petrol prices nominal'!AG3</f>
        <v>1.0487346938775512</v>
      </c>
      <c r="L84" s="32">
        <v>1.04</v>
      </c>
      <c r="M84" s="2">
        <v>163.80000000000001</v>
      </c>
      <c r="N84" s="2">
        <f t="shared" si="29"/>
        <v>105.74177999999999</v>
      </c>
      <c r="O84" s="2">
        <f>(O83+O85)/2</f>
        <v>131.5</v>
      </c>
      <c r="P84" s="37"/>
      <c r="Q84" s="32">
        <f t="shared" si="4"/>
        <v>0.42426044562956478</v>
      </c>
      <c r="R84" s="32">
        <f t="shared" si="5"/>
        <v>0.40190740646458639</v>
      </c>
      <c r="S84" s="37"/>
      <c r="T84" s="2">
        <f>USA!Z92*G84</f>
        <v>40.720636800000001</v>
      </c>
      <c r="U84" s="2">
        <v>0</v>
      </c>
      <c r="V84" s="2">
        <v>0</v>
      </c>
      <c r="W84" s="2">
        <v>0</v>
      </c>
      <c r="X84" s="37"/>
      <c r="Z84" s="32">
        <v>0.443</v>
      </c>
      <c r="AA84" s="2">
        <v>0.20925000000000002</v>
      </c>
      <c r="AB84" s="2">
        <f t="shared" si="7"/>
        <v>0.18147424824798647</v>
      </c>
      <c r="AC84" s="2">
        <f t="shared" si="28"/>
        <v>0.62447424824798647</v>
      </c>
      <c r="AD84" s="37">
        <v>0.62</v>
      </c>
      <c r="AG84" s="2">
        <v>0.20925000000000002</v>
      </c>
      <c r="AK84" s="2"/>
      <c r="AN84">
        <v>2005</v>
      </c>
      <c r="AO84" s="1">
        <f t="shared" si="9"/>
        <v>1.0487346938775512</v>
      </c>
      <c r="AP84" s="1">
        <f t="shared" si="20"/>
        <v>0.443</v>
      </c>
      <c r="AQ84" s="1">
        <f t="shared" si="21"/>
        <v>0.18147424824798647</v>
      </c>
      <c r="AR84" s="1">
        <f t="shared" si="34"/>
        <v>0.62447424824798647</v>
      </c>
      <c r="AS84" s="1">
        <f t="shared" si="30"/>
        <v>0.42426044562956478</v>
      </c>
      <c r="AU84" s="7">
        <v>93.140646521338709</v>
      </c>
      <c r="AV84" s="12"/>
      <c r="AW84" s="1">
        <f t="shared" si="31"/>
        <v>1.125968879373501</v>
      </c>
      <c r="AX84" s="1">
        <f t="shared" si="23"/>
        <v>1.1273867785866423</v>
      </c>
      <c r="AY84" s="1">
        <f t="shared" si="12"/>
        <v>0.67046372509870666</v>
      </c>
      <c r="AZ84" s="1">
        <f t="shared" si="24"/>
        <v>0.45550515427479432</v>
      </c>
      <c r="BA84" s="1">
        <f t="shared" si="32"/>
        <v>0.45692305348793566</v>
      </c>
      <c r="BB84" s="3">
        <f t="shared" si="33"/>
        <v>43.71951271636366</v>
      </c>
      <c r="BC84">
        <v>0</v>
      </c>
      <c r="BD84">
        <v>0</v>
      </c>
      <c r="BE84">
        <v>0</v>
      </c>
      <c r="BF84" s="44">
        <v>0</v>
      </c>
      <c r="BG84" s="23">
        <v>0.3</v>
      </c>
      <c r="BH84">
        <v>0</v>
      </c>
      <c r="BJ84" s="1">
        <f t="shared" si="16"/>
        <v>1.1874519020699603</v>
      </c>
      <c r="BK84" s="1">
        <f t="shared" si="17"/>
        <v>1.188947225029974</v>
      </c>
    </row>
    <row r="85" spans="1:63">
      <c r="A85">
        <v>2006</v>
      </c>
      <c r="B85" s="3">
        <f t="shared" si="0"/>
        <v>151.84965167679434</v>
      </c>
      <c r="C85" s="3">
        <f t="shared" si="1"/>
        <v>92.424281215596963</v>
      </c>
      <c r="D85" s="2">
        <f t="shared" si="36"/>
        <v>106.10494940397457</v>
      </c>
      <c r="E85" s="2">
        <v>132.27087886006535</v>
      </c>
      <c r="F85" s="2">
        <f t="shared" si="37"/>
        <v>140.34594909066485</v>
      </c>
      <c r="G85" s="2">
        <v>0.79714099999999999</v>
      </c>
      <c r="H85" s="32">
        <f t="shared" si="35"/>
        <v>1.0812476274544522</v>
      </c>
      <c r="I85" s="32">
        <f t="shared" ref="I85:I95" si="38">K85</f>
        <v>1.1187551020408166</v>
      </c>
      <c r="J85" s="32">
        <f t="shared" si="3"/>
        <v>1.087737963660528</v>
      </c>
      <c r="K85" s="3">
        <f>'EU petrol prices nominal'!AG4</f>
        <v>1.1187551020408166</v>
      </c>
      <c r="L85" s="32">
        <v>1.117</v>
      </c>
      <c r="M85" s="2">
        <v>177.9</v>
      </c>
      <c r="N85" s="2">
        <f t="shared" si="29"/>
        <v>106.816894</v>
      </c>
      <c r="O85" s="39">
        <v>134</v>
      </c>
      <c r="P85" s="37"/>
      <c r="Q85" s="32">
        <f t="shared" si="4"/>
        <v>0.48216444245674306</v>
      </c>
      <c r="R85" s="32">
        <f t="shared" si="5"/>
        <v>0.45114730407645431</v>
      </c>
      <c r="S85" s="37"/>
      <c r="T85" s="2">
        <f>USA!Z93*G85</f>
        <v>48.689372280000001</v>
      </c>
      <c r="U85" s="2">
        <v>0</v>
      </c>
      <c r="V85" s="2">
        <v>0</v>
      </c>
      <c r="W85" s="2">
        <v>0</v>
      </c>
      <c r="X85" s="37"/>
      <c r="Z85" s="32">
        <v>0.443</v>
      </c>
      <c r="AA85" s="2">
        <v>0.20925000000000002</v>
      </c>
      <c r="AB85" s="2">
        <f t="shared" si="7"/>
        <v>0.19359065958407351</v>
      </c>
      <c r="AC85" s="2">
        <f t="shared" si="28"/>
        <v>0.63659065958407357</v>
      </c>
      <c r="AD85" s="37">
        <v>0.63700000000000001</v>
      </c>
      <c r="AG85" s="2">
        <v>0.20925000000000002</v>
      </c>
      <c r="AK85" s="2"/>
      <c r="AN85">
        <v>2006</v>
      </c>
      <c r="AO85" s="1">
        <f t="shared" si="9"/>
        <v>1.1187551020408166</v>
      </c>
      <c r="AP85" s="1">
        <f t="shared" si="20"/>
        <v>0.443</v>
      </c>
      <c r="AQ85" s="1">
        <f t="shared" si="21"/>
        <v>0.19359065958407351</v>
      </c>
      <c r="AR85" s="1">
        <f t="shared" si="34"/>
        <v>0.63659065958407357</v>
      </c>
      <c r="AS85" s="1">
        <f t="shared" si="30"/>
        <v>0.48216444245674306</v>
      </c>
      <c r="AU85" s="7">
        <v>96.81324182368887</v>
      </c>
      <c r="AV85" s="12"/>
      <c r="AW85" s="1">
        <f t="shared" si="31"/>
        <v>1.1555806633128078</v>
      </c>
      <c r="AX85" s="1">
        <f t="shared" si="23"/>
        <v>1.1505272951579457</v>
      </c>
      <c r="AY85" s="1">
        <f t="shared" si="12"/>
        <v>0.65754502957704763</v>
      </c>
      <c r="AZ85" s="1">
        <f t="shared" si="24"/>
        <v>0.49803563373576021</v>
      </c>
      <c r="BA85" s="1">
        <f t="shared" si="32"/>
        <v>0.49298226558089808</v>
      </c>
      <c r="BB85" s="3">
        <f t="shared" si="33"/>
        <v>50.292058568465769</v>
      </c>
      <c r="BC85">
        <v>0</v>
      </c>
      <c r="BD85">
        <v>0</v>
      </c>
      <c r="BE85">
        <v>0</v>
      </c>
      <c r="BF85" s="44">
        <v>0</v>
      </c>
      <c r="BG85" s="23">
        <v>0.3</v>
      </c>
      <c r="BH85">
        <v>0</v>
      </c>
      <c r="BJ85" s="1">
        <f t="shared" si="16"/>
        <v>1.2186806241124197</v>
      </c>
      <c r="BK85" s="1">
        <f t="shared" si="17"/>
        <v>1.2133513190692025</v>
      </c>
    </row>
    <row r="86" spans="1:63">
      <c r="A86">
        <v>2007</v>
      </c>
      <c r="B86" s="3">
        <f t="shared" si="0"/>
        <v>161.31527941322341</v>
      </c>
      <c r="C86" s="3">
        <f t="shared" si="1"/>
        <v>95.074004003893037</v>
      </c>
      <c r="D86" s="2">
        <f t="shared" si="36"/>
        <v>112.71905711485944</v>
      </c>
      <c r="E86" s="2">
        <v>136.06296852886032</v>
      </c>
      <c r="F86" s="2">
        <f t="shared" si="37"/>
        <v>153.36889520821927</v>
      </c>
      <c r="G86" s="2">
        <v>0.73063800000000001</v>
      </c>
      <c r="H86" s="32">
        <f t="shared" si="35"/>
        <v>1.0945711699544793</v>
      </c>
      <c r="I86" s="32">
        <f t="shared" si="38"/>
        <v>1.120571428571429</v>
      </c>
      <c r="J86" s="32">
        <f t="shared" si="3"/>
        <v>1.0990702843771354</v>
      </c>
      <c r="K86" s="3">
        <f>'EU petrol prices nominal'!AG5</f>
        <v>1.120571428571429</v>
      </c>
      <c r="L86" s="32">
        <v>1.1160000000000001</v>
      </c>
      <c r="M86" s="2">
        <v>178.9</v>
      </c>
      <c r="N86" s="2">
        <f t="shared" si="29"/>
        <v>114.710166</v>
      </c>
      <c r="O86" s="2">
        <f>(O85+O87)/2</f>
        <v>157</v>
      </c>
      <c r="P86" s="37"/>
      <c r="Q86" s="32">
        <f t="shared" si="4"/>
        <v>0.48366646977170058</v>
      </c>
      <c r="R86" s="32">
        <f t="shared" si="5"/>
        <v>0.46216532557740692</v>
      </c>
      <c r="S86" s="37"/>
      <c r="T86" s="2">
        <f>USA!Z94*G86</f>
        <v>50.472473039999997</v>
      </c>
      <c r="U86" s="2">
        <v>0</v>
      </c>
      <c r="V86" s="2">
        <v>0</v>
      </c>
      <c r="W86" s="2">
        <v>0</v>
      </c>
      <c r="X86" s="37"/>
      <c r="Z86" s="32">
        <v>0.443</v>
      </c>
      <c r="AA86" s="2">
        <v>0.20925000000000002</v>
      </c>
      <c r="AB86" s="2">
        <f t="shared" si="7"/>
        <v>0.19390495879972838</v>
      </c>
      <c r="AC86" s="2">
        <f t="shared" si="28"/>
        <v>0.63690495879972842</v>
      </c>
      <c r="AD86" s="37">
        <v>0.63700000000000001</v>
      </c>
      <c r="AG86" s="2">
        <v>0.20925000000000002</v>
      </c>
      <c r="AK86" s="2"/>
      <c r="AN86">
        <v>2007</v>
      </c>
      <c r="AO86" s="1">
        <f t="shared" si="9"/>
        <v>1.120571428571429</v>
      </c>
      <c r="AP86" s="1">
        <f t="shared" si="20"/>
        <v>0.443</v>
      </c>
      <c r="AQ86" s="1">
        <f t="shared" si="21"/>
        <v>0.19390495879972838</v>
      </c>
      <c r="AR86" s="1">
        <f t="shared" si="34"/>
        <v>0.63690495879972842</v>
      </c>
      <c r="AS86" s="1">
        <f t="shared" si="30"/>
        <v>0.48366646977170058</v>
      </c>
      <c r="AU86" s="7">
        <v>101.57279378087343</v>
      </c>
      <c r="AV86" s="12"/>
      <c r="AW86" s="1">
        <f t="shared" si="31"/>
        <v>1.103220052201062</v>
      </c>
      <c r="AX86" s="1">
        <f t="shared" si="23"/>
        <v>1.1012180130250881</v>
      </c>
      <c r="AY86" s="1">
        <f t="shared" si="12"/>
        <v>0.62704286757509686</v>
      </c>
      <c r="AZ86" s="1">
        <f t="shared" si="24"/>
        <v>0.47617718462596514</v>
      </c>
      <c r="BA86" s="1">
        <f t="shared" si="32"/>
        <v>0.47417514544999123</v>
      </c>
      <c r="BB86" s="3">
        <f t="shared" si="33"/>
        <v>49.690937072072714</v>
      </c>
      <c r="BC86">
        <v>0</v>
      </c>
      <c r="BD86">
        <v>0</v>
      </c>
      <c r="BE86">
        <v>0</v>
      </c>
      <c r="BF86" s="44">
        <v>0</v>
      </c>
      <c r="BG86" s="23">
        <v>0.5</v>
      </c>
      <c r="BH86">
        <v>0</v>
      </c>
      <c r="BJ86" s="1">
        <f t="shared" si="16"/>
        <v>1.1634608854525172</v>
      </c>
      <c r="BK86" s="1">
        <f t="shared" si="17"/>
        <v>1.1613495258305253</v>
      </c>
    </row>
    <row r="87" spans="1:63">
      <c r="A87">
        <v>2008</v>
      </c>
      <c r="B87" s="3">
        <f t="shared" si="0"/>
        <v>183.53774096184358</v>
      </c>
      <c r="C87" s="3">
        <f t="shared" si="1"/>
        <v>98.70291900542351</v>
      </c>
      <c r="D87" s="2">
        <f t="shared" si="36"/>
        <v>128.24700289682823</v>
      </c>
      <c r="E87" s="2">
        <v>141.25640655453694</v>
      </c>
      <c r="F87" s="2">
        <f t="shared" si="37"/>
        <v>181.15710780595248</v>
      </c>
      <c r="G87" s="2">
        <v>0.68267500000000003</v>
      </c>
      <c r="H87" s="32">
        <f t="shared" si="35"/>
        <v>1.1992270302058892</v>
      </c>
      <c r="I87" s="32">
        <f t="shared" si="38"/>
        <v>1.2367142857142861</v>
      </c>
      <c r="J87" s="32">
        <f t="shared" si="3"/>
        <v>1.2057138676796391</v>
      </c>
      <c r="K87" s="3">
        <f>'EU petrol prices nominal'!AG6</f>
        <v>1.2367142857142861</v>
      </c>
      <c r="L87" s="32">
        <v>1.2250000000000001</v>
      </c>
      <c r="M87" s="2">
        <v>200.9</v>
      </c>
      <c r="N87" s="2">
        <f t="shared" si="29"/>
        <v>122.8815</v>
      </c>
      <c r="O87" s="39">
        <v>180</v>
      </c>
      <c r="P87" s="37"/>
      <c r="Q87" s="32">
        <f t="shared" si="4"/>
        <v>0.57971183437195462</v>
      </c>
      <c r="R87" s="32">
        <f t="shared" si="5"/>
        <v>0.54871141633730747</v>
      </c>
      <c r="S87" s="37"/>
      <c r="T87" s="2">
        <f>USA!Z95*G87</f>
        <v>64.478653750000007</v>
      </c>
      <c r="U87" s="2">
        <v>0</v>
      </c>
      <c r="V87" s="2">
        <v>0</v>
      </c>
      <c r="W87" s="2">
        <v>0</v>
      </c>
      <c r="X87" s="37"/>
      <c r="Z87" s="32">
        <v>0.443</v>
      </c>
      <c r="AA87" s="2">
        <v>0.20925000000000002</v>
      </c>
      <c r="AB87" s="2">
        <f t="shared" si="7"/>
        <v>0.21400245134233151</v>
      </c>
      <c r="AC87" s="2">
        <f t="shared" si="28"/>
        <v>0.65700245134233148</v>
      </c>
      <c r="AD87" s="37">
        <v>0.67200000000000004</v>
      </c>
      <c r="AG87" s="2">
        <v>0.20925000000000002</v>
      </c>
      <c r="AK87" s="2"/>
      <c r="AN87">
        <v>2008</v>
      </c>
      <c r="AO87" s="1">
        <f t="shared" si="9"/>
        <v>1.2367142857142861</v>
      </c>
      <c r="AP87" s="1">
        <f t="shared" si="20"/>
        <v>0.443</v>
      </c>
      <c r="AQ87" s="1">
        <f t="shared" si="21"/>
        <v>0.21400245134233151</v>
      </c>
      <c r="AR87" s="1">
        <f t="shared" si="34"/>
        <v>0.65700245134233148</v>
      </c>
      <c r="AS87" s="1">
        <f t="shared" si="30"/>
        <v>0.57971183437195462</v>
      </c>
      <c r="AU87" s="7">
        <v>105.69005307114877</v>
      </c>
      <c r="AV87" s="12"/>
      <c r="AW87" s="1">
        <f t="shared" si="31"/>
        <v>1.1701330917884494</v>
      </c>
      <c r="AX87" s="1">
        <f t="shared" si="23"/>
        <v>1.1578918759386045</v>
      </c>
      <c r="AY87" s="1">
        <f t="shared" si="12"/>
        <v>0.62163130044040038</v>
      </c>
      <c r="AZ87" s="1">
        <f t="shared" si="24"/>
        <v>0.54850179134804899</v>
      </c>
      <c r="BA87" s="1">
        <f t="shared" si="32"/>
        <v>0.53626057549820427</v>
      </c>
      <c r="BB87" s="3">
        <f t="shared" si="33"/>
        <v>61.007305679555344</v>
      </c>
      <c r="BC87">
        <v>0</v>
      </c>
      <c r="BD87">
        <v>0</v>
      </c>
      <c r="BE87">
        <v>0</v>
      </c>
      <c r="BF87" s="44">
        <v>0</v>
      </c>
      <c r="BG87" s="23">
        <v>0.5</v>
      </c>
      <c r="BH87">
        <v>0</v>
      </c>
      <c r="BJ87" s="1">
        <f t="shared" si="16"/>
        <v>1.2340276813798929</v>
      </c>
      <c r="BK87" s="1">
        <f t="shared" si="17"/>
        <v>1.2211180394609837</v>
      </c>
    </row>
    <row r="88" spans="1:63">
      <c r="A88">
        <v>2009</v>
      </c>
      <c r="B88" s="3">
        <f t="shared" si="0"/>
        <v>156.13390405819649</v>
      </c>
      <c r="C88" s="3">
        <f>E88/E$89*100</f>
        <v>98.380597588111073</v>
      </c>
      <c r="D88" s="2">
        <f t="shared" si="36"/>
        <v>109.09857090486605</v>
      </c>
      <c r="E88" s="2">
        <v>140.7951236905254</v>
      </c>
      <c r="F88" s="2">
        <f t="shared" si="37"/>
        <v>153.60546785010172</v>
      </c>
      <c r="G88" s="2">
        <f>'Exchange Rates'!P48</f>
        <v>0.71984416666666673</v>
      </c>
      <c r="H88" s="32">
        <f t="shared" si="35"/>
        <v>1.1310250912580073</v>
      </c>
      <c r="I88" s="32">
        <f t="shared" si="38"/>
        <v>1.1057199999999994</v>
      </c>
      <c r="J88" s="32">
        <f t="shared" si="3"/>
        <v>1.1265472356032982</v>
      </c>
      <c r="K88" s="3">
        <f>'EU petrol prices nominal'!AG7</f>
        <v>1.1057199999999994</v>
      </c>
      <c r="L88" s="32">
        <v>1.1000000000000001</v>
      </c>
      <c r="M88" s="2">
        <v>171.5</v>
      </c>
      <c r="O88" s="2"/>
      <c r="P88" s="37"/>
      <c r="Q88" s="32">
        <f t="shared" si="4"/>
        <v>0.40105761316872379</v>
      </c>
      <c r="R88" s="32">
        <f t="shared" si="5"/>
        <v>0.42188484877202254</v>
      </c>
      <c r="S88" s="37"/>
      <c r="T88" s="2">
        <f>USA!Z96*G88</f>
        <v>43.953684816666673</v>
      </c>
      <c r="U88" s="2">
        <v>0</v>
      </c>
      <c r="V88" s="2">
        <v>0</v>
      </c>
      <c r="W88" s="2">
        <v>0</v>
      </c>
      <c r="X88" s="37"/>
      <c r="Z88" s="32">
        <v>0.50900000000000001</v>
      </c>
      <c r="AA88" s="2">
        <v>0.215</v>
      </c>
      <c r="AB88" s="2">
        <f t="shared" si="7"/>
        <v>0.1956623868312756</v>
      </c>
      <c r="AC88" s="2">
        <f t="shared" si="28"/>
        <v>0.70466238683127558</v>
      </c>
      <c r="AD88" s="37">
        <v>0.7</v>
      </c>
      <c r="AG88" s="2">
        <v>0.20925000000000002</v>
      </c>
      <c r="AK88" s="2"/>
      <c r="AN88">
        <v>2009</v>
      </c>
      <c r="AO88" s="1">
        <f t="shared" si="9"/>
        <v>1.1057199999999994</v>
      </c>
      <c r="AP88" s="1">
        <f t="shared" si="20"/>
        <v>0.50900000000000001</v>
      </c>
      <c r="AQ88" s="1">
        <f t="shared" si="21"/>
        <v>0.1956623868312756</v>
      </c>
      <c r="AR88" s="1">
        <f t="shared" si="34"/>
        <v>0.70466238683127558</v>
      </c>
      <c r="AS88" s="1">
        <f t="shared" si="30"/>
        <v>0.40105761316872379</v>
      </c>
      <c r="AU88" s="7">
        <v>100.95520422139421</v>
      </c>
      <c r="AV88" s="12"/>
      <c r="AW88" s="1">
        <f t="shared" si="31"/>
        <v>1.0952580488819192</v>
      </c>
      <c r="AX88" s="1">
        <f t="shared" si="23"/>
        <v>1.099639203771875</v>
      </c>
      <c r="AY88" s="1">
        <f t="shared" si="12"/>
        <v>0.69799510809364007</v>
      </c>
      <c r="AZ88" s="1">
        <f t="shared" si="24"/>
        <v>0.39726294078827917</v>
      </c>
      <c r="BA88" s="1">
        <f t="shared" si="32"/>
        <v>0.40164409567823484</v>
      </c>
      <c r="BB88" s="3">
        <f t="shared" si="33"/>
        <v>43.537809819369471</v>
      </c>
      <c r="BC88">
        <v>0</v>
      </c>
      <c r="BD88">
        <v>0</v>
      </c>
      <c r="BE88">
        <v>0</v>
      </c>
      <c r="BF88" s="44">
        <v>0</v>
      </c>
      <c r="BG88" s="23">
        <v>1</v>
      </c>
      <c r="BH88">
        <v>0</v>
      </c>
      <c r="BJ88" s="1">
        <f t="shared" si="16"/>
        <v>1.155064120534055</v>
      </c>
      <c r="BK88" s="1">
        <f t="shared" si="17"/>
        <v>1.1596845064102934</v>
      </c>
    </row>
    <row r="89" spans="1:63">
      <c r="A89">
        <v>2010</v>
      </c>
      <c r="B89" s="3">
        <f>I89/G89*100/C89*100</f>
        <v>171.41676876982174</v>
      </c>
      <c r="C89" s="3">
        <f>CPIs!AB49</f>
        <v>99.999998509883881</v>
      </c>
      <c r="D89" s="2">
        <f t="shared" si="36"/>
        <v>119.77747137018584</v>
      </c>
      <c r="E89" s="2">
        <v>143.11269411067286</v>
      </c>
      <c r="F89" s="2">
        <f t="shared" si="37"/>
        <v>171.41676621551284</v>
      </c>
      <c r="G89" s="2">
        <f>'Exchange Rates'!P49</f>
        <v>0.75867129256384003</v>
      </c>
      <c r="H89" s="32">
        <f t="shared" si="35"/>
        <v>1.2774147766665918</v>
      </c>
      <c r="I89" s="32">
        <f t="shared" si="38"/>
        <v>1.3004897959183672</v>
      </c>
      <c r="J89" s="32">
        <f t="shared" si="3"/>
        <v>1.2814077043312055</v>
      </c>
      <c r="K89" s="3">
        <f>'EU petrol prices nominal'!AG8</f>
        <v>1.3004897959183672</v>
      </c>
      <c r="L89" s="32">
        <v>1.3009999999999999</v>
      </c>
      <c r="M89" s="2">
        <v>206.3</v>
      </c>
      <c r="O89" s="2"/>
      <c r="P89" s="37"/>
      <c r="Q89" s="32">
        <f t="shared" si="4"/>
        <v>0.53245155750950357</v>
      </c>
      <c r="R89" s="32">
        <f>R$92+R$93*T89+R$94*U89+R$95*V89+R$96*W89</f>
        <v>0.51336946592234178</v>
      </c>
      <c r="S89" s="37"/>
      <c r="T89" s="2">
        <f>USA!Z97*G89</f>
        <v>58.759091609069415</v>
      </c>
      <c r="U89" s="2">
        <v>0</v>
      </c>
      <c r="V89" s="2">
        <v>0</v>
      </c>
      <c r="W89" s="2">
        <v>0</v>
      </c>
      <c r="X89" s="37"/>
      <c r="Z89" s="32">
        <v>0.54300000000000004</v>
      </c>
      <c r="AA89" s="2">
        <v>0.20925000000000002</v>
      </c>
      <c r="AB89" s="2">
        <f t="shared" si="7"/>
        <v>0.22503823840886364</v>
      </c>
      <c r="AC89" s="2">
        <f t="shared" si="28"/>
        <v>0.76803823840886365</v>
      </c>
      <c r="AD89" s="37">
        <v>0.76800000000000002</v>
      </c>
      <c r="AG89" s="2">
        <v>0.20925000000000002</v>
      </c>
      <c r="AK89" s="2"/>
      <c r="AN89">
        <v>2010</v>
      </c>
      <c r="AO89" s="1">
        <f t="shared" si="9"/>
        <v>1.3004897959183672</v>
      </c>
      <c r="AP89" s="1">
        <f t="shared" si="20"/>
        <v>0.54300000000000004</v>
      </c>
      <c r="AQ89" s="1">
        <f t="shared" si="21"/>
        <v>0.22503823840886364</v>
      </c>
      <c r="AR89" s="1">
        <f t="shared" si="34"/>
        <v>0.76803823840886365</v>
      </c>
      <c r="AS89" s="1">
        <f t="shared" si="30"/>
        <v>0.53245155750950357</v>
      </c>
      <c r="AU89" s="7">
        <v>100</v>
      </c>
      <c r="AV89" s="12"/>
      <c r="AW89" s="1">
        <f t="shared" si="31"/>
        <v>1.3004897959183672</v>
      </c>
      <c r="AX89" s="1">
        <f t="shared" si="23"/>
        <v>1.330737260377874</v>
      </c>
      <c r="AY89" s="1">
        <f t="shared" si="12"/>
        <v>0.76803823840886365</v>
      </c>
      <c r="AZ89" s="1">
        <f t="shared" si="24"/>
        <v>0.53245155750950357</v>
      </c>
      <c r="BA89" s="1">
        <f t="shared" si="32"/>
        <v>0.56269902196901045</v>
      </c>
      <c r="BB89" s="3">
        <f t="shared" si="33"/>
        <v>58.759091609069415</v>
      </c>
      <c r="BC89">
        <v>0</v>
      </c>
      <c r="BD89">
        <v>0</v>
      </c>
      <c r="BE89">
        <v>0</v>
      </c>
      <c r="BF89" s="44">
        <v>0</v>
      </c>
      <c r="BG89">
        <v>0</v>
      </c>
      <c r="BH89">
        <v>0</v>
      </c>
      <c r="BJ89" s="1">
        <f t="shared" si="16"/>
        <v>1.3715024545306125</v>
      </c>
      <c r="BK89" s="1">
        <f t="shared" si="17"/>
        <v>1.403401568141301</v>
      </c>
    </row>
    <row r="90" spans="1:63">
      <c r="A90">
        <v>2011</v>
      </c>
      <c r="B90" s="3">
        <f t="shared" ref="B90:B95" si="39">I90/G90*100/C90*100</f>
        <v>200.783096956359</v>
      </c>
      <c r="C90" s="3">
        <f>CPIs!AB50</f>
        <v>103.13271097869961</v>
      </c>
      <c r="G90" s="2">
        <f>'Exchange Rates'!P50</f>
        <v>0.71544109992713056</v>
      </c>
      <c r="I90" s="32">
        <f t="shared" si="38"/>
        <v>1.4814857142857127</v>
      </c>
      <c r="K90" s="3">
        <f>'EU petrol prices nominal'!AG9</f>
        <v>1.4814857142857127</v>
      </c>
      <c r="O90" s="2"/>
      <c r="P90" s="37"/>
      <c r="R90" s="32"/>
      <c r="S90" s="37"/>
      <c r="T90" s="2">
        <f>USA!Z98*G90</f>
        <v>76.874146187170183</v>
      </c>
      <c r="W90" s="2"/>
      <c r="X90" s="37"/>
      <c r="Z90" s="32">
        <v>0.54300000000000004</v>
      </c>
      <c r="AA90" s="2">
        <v>0.20925000000000002</v>
      </c>
      <c r="AB90" s="2">
        <f t="shared" ref="AB90:AB95" si="40">AA90*(I90*(1/(1+AA90)))</f>
        <v>0.25635797867627491</v>
      </c>
      <c r="AC90" s="2">
        <f t="shared" si="28"/>
        <v>0.79935797867627501</v>
      </c>
      <c r="AG90" s="2">
        <v>0.20925000000000002</v>
      </c>
      <c r="AK90" s="2"/>
      <c r="AN90">
        <v>2011</v>
      </c>
      <c r="AO90" s="1">
        <f t="shared" ref="AO90:AO95" si="41">I90</f>
        <v>1.4814857142857127</v>
      </c>
      <c r="AP90" s="1">
        <f t="shared" si="20"/>
        <v>0.54300000000000004</v>
      </c>
      <c r="AQ90" s="1">
        <f t="shared" si="21"/>
        <v>0.25635797867627491</v>
      </c>
      <c r="AR90" s="1">
        <f t="shared" si="34"/>
        <v>0.79935797867627501</v>
      </c>
      <c r="AS90" s="1">
        <f t="shared" si="30"/>
        <v>0.68212773560943774</v>
      </c>
      <c r="AU90" s="7">
        <f>CPIs!P50</f>
        <v>102.57887268066406</v>
      </c>
      <c r="AV90" s="12"/>
      <c r="AW90" s="1">
        <f t="shared" si="31"/>
        <v>1.4442405883107059</v>
      </c>
      <c r="AX90" s="1">
        <f t="shared" ref="AX90:AX96" si="42">BA90+AY90</f>
        <v>1.4307430044479985</v>
      </c>
      <c r="AY90" s="1">
        <f t="shared" ref="AY90:AY96" si="43">AR90/$AU90*100</f>
        <v>0.77926180877882922</v>
      </c>
      <c r="AZ90" s="1">
        <f t="shared" ref="AZ90:AZ96" si="44">AW90-AY90</f>
        <v>0.66497877953187667</v>
      </c>
      <c r="BA90" s="1">
        <f t="shared" si="32"/>
        <v>0.65148119566916929</v>
      </c>
      <c r="BB90" s="3">
        <f t="shared" si="33"/>
        <v>74.941500309216039</v>
      </c>
      <c r="BC90">
        <v>0</v>
      </c>
      <c r="BD90">
        <v>0</v>
      </c>
      <c r="BE90">
        <v>0</v>
      </c>
      <c r="BF90" s="44">
        <v>0</v>
      </c>
      <c r="BG90">
        <v>0</v>
      </c>
      <c r="BH90">
        <v>0</v>
      </c>
      <c r="BJ90" s="1">
        <f t="shared" si="16"/>
        <v>1.5231026940908068</v>
      </c>
      <c r="BK90" s="1">
        <f t="shared" si="17"/>
        <v>1.5088680807504822</v>
      </c>
    </row>
    <row r="91" spans="1:63">
      <c r="A91">
        <v>2012</v>
      </c>
      <c r="B91" s="3">
        <f t="shared" si="39"/>
        <v>198.46134013469845</v>
      </c>
      <c r="C91" s="3">
        <f>CPIs!AB51</f>
        <v>105.21072267093371</v>
      </c>
      <c r="G91" s="2">
        <f>'Exchange Rates'!P51</f>
        <v>0.773899446716382</v>
      </c>
      <c r="I91" s="32">
        <f t="shared" si="38"/>
        <v>1.6159222448979589</v>
      </c>
      <c r="K91" s="3">
        <f>'EU petrol prices nominal'!AG10</f>
        <v>1.6159222448979589</v>
      </c>
      <c r="O91" s="2"/>
      <c r="P91" s="37"/>
      <c r="R91" s="32"/>
      <c r="S91" s="37"/>
      <c r="T91" s="2">
        <f>USA!Z99*G91</f>
        <v>84.738784181902005</v>
      </c>
      <c r="W91" s="2"/>
      <c r="X91" s="37"/>
      <c r="Z91" s="32">
        <v>0.58799999999999997</v>
      </c>
      <c r="AA91" s="32">
        <v>0.23</v>
      </c>
      <c r="AB91" s="2">
        <f t="shared" si="40"/>
        <v>0.30216432221669154</v>
      </c>
      <c r="AC91" s="2">
        <f t="shared" si="28"/>
        <v>0.89016432221669151</v>
      </c>
      <c r="AG91" s="2">
        <v>0.23</v>
      </c>
      <c r="AK91" s="2"/>
      <c r="AN91">
        <v>2012</v>
      </c>
      <c r="AO91" s="1">
        <f t="shared" si="41"/>
        <v>1.6159222448979589</v>
      </c>
      <c r="AP91" s="1">
        <f t="shared" si="20"/>
        <v>0.58799999999999997</v>
      </c>
      <c r="AQ91" s="1">
        <f t="shared" si="21"/>
        <v>0.30216432221669154</v>
      </c>
      <c r="AR91" s="1">
        <f t="shared" si="34"/>
        <v>0.89016432221669151</v>
      </c>
      <c r="AS91" s="1">
        <f t="shared" si="30"/>
        <v>0.72575792268126738</v>
      </c>
      <c r="AU91" s="7">
        <f>CPIs!P51</f>
        <v>104.31531524658203</v>
      </c>
      <c r="AV91" s="12"/>
      <c r="AW91" s="1">
        <f t="shared" si="31"/>
        <v>1.549074784539757</v>
      </c>
      <c r="AX91" s="1">
        <f t="shared" si="42"/>
        <v>1.5393402088035602</v>
      </c>
      <c r="AY91" s="1">
        <f t="shared" si="43"/>
        <v>0.85334001063267495</v>
      </c>
      <c r="AZ91" s="1">
        <f t="shared" si="44"/>
        <v>0.69573477390708205</v>
      </c>
      <c r="BA91" s="1">
        <f t="shared" si="32"/>
        <v>0.6860001981708852</v>
      </c>
      <c r="BB91" s="3">
        <f t="shared" si="33"/>
        <v>81.233310738308433</v>
      </c>
      <c r="BC91">
        <v>0</v>
      </c>
      <c r="BD91">
        <v>0</v>
      </c>
      <c r="BE91">
        <v>0</v>
      </c>
      <c r="BF91" s="44">
        <v>0</v>
      </c>
      <c r="BG91">
        <v>0</v>
      </c>
      <c r="BH91">
        <v>0</v>
      </c>
      <c r="BJ91" s="1">
        <f t="shared" si="16"/>
        <v>1.633661314310779</v>
      </c>
      <c r="BK91" s="1">
        <f t="shared" si="17"/>
        <v>1.6233951864580953</v>
      </c>
    </row>
    <row r="92" spans="1:63">
      <c r="A92">
        <v>2013</v>
      </c>
      <c r="B92" s="3">
        <f t="shared" si="39"/>
        <v>198.01109293244298</v>
      </c>
      <c r="C92" s="3">
        <f>CPIs!AB52</f>
        <v>106.69767516878358</v>
      </c>
      <c r="G92" s="2">
        <f>'Exchange Rates'!P52</f>
        <v>0.75166876437654617</v>
      </c>
      <c r="I92" s="32">
        <f t="shared" si="38"/>
        <v>1.5880748979591839</v>
      </c>
      <c r="K92" s="3">
        <f>'EU petrol prices nominal'!AG11</f>
        <v>1.5880748979591839</v>
      </c>
      <c r="M92" s="2" t="s">
        <v>174</v>
      </c>
      <c r="O92" s="2"/>
      <c r="P92" s="37"/>
      <c r="Q92" s="13" t="s">
        <v>88</v>
      </c>
      <c r="R92" s="13">
        <v>0.15028906729968017</v>
      </c>
      <c r="S92" s="42"/>
      <c r="T92" s="2">
        <f>USA!Z100*G92</f>
        <v>79.628970140184876</v>
      </c>
      <c r="W92" s="2"/>
      <c r="X92" s="37"/>
      <c r="Z92" s="32">
        <v>0.58799999999999997</v>
      </c>
      <c r="AA92" s="32">
        <v>0.23</v>
      </c>
      <c r="AB92" s="2">
        <f t="shared" si="40"/>
        <v>0.29695709474033521</v>
      </c>
      <c r="AC92" s="2">
        <f t="shared" si="28"/>
        <v>0.88495709474033513</v>
      </c>
      <c r="AG92" s="2">
        <v>0.23</v>
      </c>
      <c r="AK92" s="2"/>
      <c r="AN92">
        <v>2013</v>
      </c>
      <c r="AO92" s="1">
        <f t="shared" si="41"/>
        <v>1.5880748979591839</v>
      </c>
      <c r="AP92" s="1">
        <f t="shared" si="20"/>
        <v>0.58799999999999997</v>
      </c>
      <c r="AQ92" s="1">
        <f t="shared" si="21"/>
        <v>0.29695709474033521</v>
      </c>
      <c r="AR92" s="1">
        <f t="shared" si="34"/>
        <v>0.88495709474033513</v>
      </c>
      <c r="AS92" s="1">
        <f t="shared" si="30"/>
        <v>0.70311780321884876</v>
      </c>
      <c r="AU92" s="7">
        <f>CPIs!P52</f>
        <v>104.83968353271484</v>
      </c>
      <c r="AV92" s="12"/>
      <c r="AW92" s="1">
        <f t="shared" si="31"/>
        <v>1.5147650626622036</v>
      </c>
      <c r="AX92" s="1">
        <f t="shared" si="42"/>
        <v>1.5011361520715041</v>
      </c>
      <c r="AY92" s="1">
        <f t="shared" si="43"/>
        <v>0.84410508017623631</v>
      </c>
      <c r="AZ92" s="1">
        <f t="shared" si="44"/>
        <v>0.67065998248596725</v>
      </c>
      <c r="BA92" s="1">
        <f t="shared" si="32"/>
        <v>0.65703107189526777</v>
      </c>
      <c r="BB92" s="3">
        <f t="shared" si="33"/>
        <v>75.953081368599271</v>
      </c>
      <c r="BC92">
        <v>0</v>
      </c>
      <c r="BD92">
        <v>0</v>
      </c>
      <c r="BE92">
        <v>0</v>
      </c>
      <c r="BF92" s="44">
        <v>0</v>
      </c>
      <c r="BG92">
        <v>0</v>
      </c>
      <c r="BH92">
        <v>0</v>
      </c>
      <c r="BJ92" s="1">
        <f t="shared" si="16"/>
        <v>1.5974781255483499</v>
      </c>
      <c r="BK92" s="1">
        <f t="shared" si="17"/>
        <v>1.5831050144432965</v>
      </c>
    </row>
    <row r="93" spans="1:63">
      <c r="A93">
        <v>2014</v>
      </c>
      <c r="B93" s="3">
        <f t="shared" si="39"/>
        <v>186.23865283487797</v>
      </c>
      <c r="C93" s="3">
        <f>CPIs!AB53</f>
        <v>108.45811062912946</v>
      </c>
      <c r="G93" s="2">
        <f>'Exchange Rates'!P53</f>
        <v>0.757387838338895</v>
      </c>
      <c r="I93" s="32">
        <f t="shared" si="38"/>
        <v>1.5298546938775504</v>
      </c>
      <c r="K93" s="3">
        <f>'EU petrol prices nominal'!AG12</f>
        <v>1.5298546938775504</v>
      </c>
      <c r="O93" s="2"/>
      <c r="P93" s="37"/>
      <c r="Q93" s="13" t="s">
        <v>99</v>
      </c>
      <c r="R93" s="13">
        <v>6.1791356653073315E-3</v>
      </c>
      <c r="S93" s="42"/>
      <c r="T93" s="2">
        <f>USA!Z101*G93</f>
        <v>72.852422962937197</v>
      </c>
      <c r="W93" s="2"/>
      <c r="X93" s="37"/>
      <c r="Z93" s="32">
        <v>0.58799999999999997</v>
      </c>
      <c r="AA93" s="32">
        <v>0.23</v>
      </c>
      <c r="AB93" s="2">
        <f t="shared" si="40"/>
        <v>0.2860703899120623</v>
      </c>
      <c r="AC93" s="2">
        <f t="shared" si="28"/>
        <v>0.87407038991206232</v>
      </c>
      <c r="AG93" s="2">
        <v>0.23</v>
      </c>
      <c r="AK93" s="2"/>
      <c r="AN93">
        <v>2014</v>
      </c>
      <c r="AO93" s="1">
        <f t="shared" si="41"/>
        <v>1.5298546938775504</v>
      </c>
      <c r="AP93" s="1">
        <f t="shared" si="20"/>
        <v>0.58799999999999997</v>
      </c>
      <c r="AQ93" s="1">
        <f t="shared" si="21"/>
        <v>0.2860703899120623</v>
      </c>
      <c r="AR93" s="1">
        <f t="shared" si="34"/>
        <v>0.87407038991206232</v>
      </c>
      <c r="AS93" s="1">
        <f t="shared" si="30"/>
        <v>0.65578430396548804</v>
      </c>
      <c r="AU93" s="7">
        <f>CPIs!P53</f>
        <v>105.04598999023438</v>
      </c>
      <c r="AV93" s="12"/>
      <c r="AW93" s="1">
        <f t="shared" si="31"/>
        <v>1.4563665819321363</v>
      </c>
      <c r="AX93" s="1">
        <f t="shared" si="42"/>
        <v>1.4529036888531732</v>
      </c>
      <c r="AY93" s="1">
        <f t="shared" si="43"/>
        <v>0.83208353788023748</v>
      </c>
      <c r="AZ93" s="1">
        <f t="shared" si="44"/>
        <v>0.62428304405189883</v>
      </c>
      <c r="BA93" s="1">
        <f t="shared" si="32"/>
        <v>0.62082015097293564</v>
      </c>
      <c r="BB93" s="3">
        <f t="shared" si="33"/>
        <v>69.352883408219526</v>
      </c>
      <c r="BC93">
        <v>0</v>
      </c>
      <c r="BD93">
        <v>0</v>
      </c>
      <c r="BE93">
        <v>0</v>
      </c>
      <c r="BF93" s="44">
        <v>0</v>
      </c>
      <c r="BG93">
        <v>0</v>
      </c>
      <c r="BH93">
        <v>0</v>
      </c>
      <c r="BJ93" s="1">
        <f t="shared" si="16"/>
        <v>1.5358908221234995</v>
      </c>
      <c r="BK93" s="1">
        <f t="shared" si="17"/>
        <v>1.5322388393301849</v>
      </c>
    </row>
    <row r="94" spans="1:63">
      <c r="A94">
        <v>2015</v>
      </c>
      <c r="B94" s="3">
        <f t="shared" si="39"/>
        <v>139.02979245053842</v>
      </c>
      <c r="C94" s="3">
        <f>CPIs!AB54</f>
        <v>108.69337137051741</v>
      </c>
      <c r="G94" s="2">
        <f>'Exchange Rates'!P54</f>
        <v>0.90592556207997499</v>
      </c>
      <c r="I94" s="32">
        <f t="shared" si="38"/>
        <v>1.369</v>
      </c>
      <c r="K94" s="3">
        <f>'EU petrol prices nominal'!AG13</f>
        <v>1.369</v>
      </c>
      <c r="O94" s="2"/>
      <c r="P94" s="37"/>
      <c r="Q94" s="13" t="s">
        <v>127</v>
      </c>
      <c r="R94" s="13">
        <v>-0.12101319031110323</v>
      </c>
      <c r="S94" s="42"/>
      <c r="T94" s="2">
        <f>USA!Z102*G94</f>
        <v>44.858421631706442</v>
      </c>
      <c r="W94" s="2"/>
      <c r="X94" s="37"/>
      <c r="Z94" s="32">
        <v>0.58799999999999997</v>
      </c>
      <c r="AA94" s="32">
        <v>0.23</v>
      </c>
      <c r="AB94" s="2">
        <f t="shared" si="40"/>
        <v>0.25599186991869921</v>
      </c>
      <c r="AC94" s="2">
        <f t="shared" si="28"/>
        <v>0.84399186991869923</v>
      </c>
      <c r="AG94" s="2">
        <v>0.23</v>
      </c>
      <c r="AK94" s="2"/>
      <c r="AN94">
        <v>2015</v>
      </c>
      <c r="AO94" s="1">
        <f t="shared" si="41"/>
        <v>1.369</v>
      </c>
      <c r="AP94" s="1">
        <f t="shared" si="20"/>
        <v>0.58799999999999997</v>
      </c>
      <c r="AQ94" s="1">
        <f t="shared" si="21"/>
        <v>0.25599186991869921</v>
      </c>
      <c r="AR94" s="1">
        <f t="shared" si="34"/>
        <v>0.84399186991869923</v>
      </c>
      <c r="AS94" s="1">
        <f t="shared" si="30"/>
        <v>0.52500813008130076</v>
      </c>
      <c r="AU94" s="7">
        <f>CPIs!P54</f>
        <v>104.73652648925781</v>
      </c>
      <c r="AV94" s="12"/>
      <c r="AW94" s="1">
        <f t="shared" si="31"/>
        <v>1.3070893659437999</v>
      </c>
      <c r="AX94" s="1">
        <f t="shared" si="42"/>
        <v>1.2811292244859505</v>
      </c>
      <c r="AY94" s="1">
        <f t="shared" si="43"/>
        <v>0.80582381162436423</v>
      </c>
      <c r="AZ94" s="1">
        <f t="shared" si="44"/>
        <v>0.50126555431943565</v>
      </c>
      <c r="BA94" s="1">
        <f t="shared" si="32"/>
        <v>0.47530541286158623</v>
      </c>
      <c r="BB94" s="3">
        <f t="shared" si="33"/>
        <v>42.829777858164213</v>
      </c>
      <c r="BC94">
        <v>0</v>
      </c>
      <c r="BD94">
        <v>0</v>
      </c>
      <c r="BE94">
        <v>0</v>
      </c>
      <c r="BF94" s="44">
        <v>0</v>
      </c>
      <c r="BG94">
        <v>0</v>
      </c>
      <c r="BH94">
        <v>0</v>
      </c>
      <c r="BJ94" s="1">
        <f t="shared" si="16"/>
        <v>1.3784623911</v>
      </c>
      <c r="BK94" s="1">
        <f t="shared" si="17"/>
        <v>1.3510847078293213</v>
      </c>
    </row>
    <row r="95" spans="1:63">
      <c r="A95">
        <v>2016</v>
      </c>
      <c r="B95" s="3">
        <f t="shared" si="39"/>
        <v>128.53699546613794</v>
      </c>
      <c r="C95" s="3">
        <f>CPIs!AB55</f>
        <v>110.08253978538585</v>
      </c>
      <c r="G95" s="2">
        <f>'Exchange Rates'!P55</f>
        <v>0.90674707708863456</v>
      </c>
      <c r="I95" s="32">
        <f t="shared" si="38"/>
        <v>1.2830179999999998</v>
      </c>
      <c r="K95" s="3">
        <f>'EU petrol prices nominal'!AG14</f>
        <v>1.2830179999999998</v>
      </c>
      <c r="O95" s="2"/>
      <c r="P95" s="37"/>
      <c r="Q95" s="13" t="s">
        <v>136</v>
      </c>
      <c r="R95" s="13">
        <v>4.0179443545327417E-2</v>
      </c>
      <c r="S95" s="37"/>
      <c r="T95" s="2">
        <f>USA!Z103*G95</f>
        <v>36.890067859371442</v>
      </c>
      <c r="W95" s="2"/>
      <c r="X95" s="37"/>
      <c r="Z95" s="32">
        <v>0.58799999999999997</v>
      </c>
      <c r="AA95" s="32">
        <v>0.23</v>
      </c>
      <c r="AB95" s="2">
        <f t="shared" si="40"/>
        <v>0.23991393495934957</v>
      </c>
      <c r="AC95" s="2">
        <f t="shared" si="28"/>
        <v>0.82791393495934951</v>
      </c>
      <c r="AG95" s="2">
        <v>0.23</v>
      </c>
      <c r="AK95" s="2"/>
      <c r="AN95">
        <v>2016</v>
      </c>
      <c r="AO95" s="1">
        <f t="shared" si="41"/>
        <v>1.2830179999999998</v>
      </c>
      <c r="AP95" s="1">
        <f t="shared" si="20"/>
        <v>0.58799999999999997</v>
      </c>
      <c r="AQ95" s="1">
        <f t="shared" si="21"/>
        <v>0.23991393495934957</v>
      </c>
      <c r="AR95" s="1">
        <f t="shared" si="34"/>
        <v>0.82791393495934951</v>
      </c>
      <c r="AS95" s="1">
        <f t="shared" si="30"/>
        <v>0.45510406504065026</v>
      </c>
      <c r="AU95" s="7">
        <f>CPIs!P55</f>
        <v>104.73652648925781</v>
      </c>
      <c r="AV95" s="12"/>
      <c r="AW95" s="1">
        <f t="shared" si="31"/>
        <v>1.2249957517271599</v>
      </c>
      <c r="AX95" s="1">
        <f t="shared" si="42"/>
        <v>1.224038327980701</v>
      </c>
      <c r="AY95" s="1">
        <f t="shared" si="43"/>
        <v>0.79047297319361032</v>
      </c>
      <c r="AZ95" s="1">
        <f t="shared" si="44"/>
        <v>0.43452277853354959</v>
      </c>
      <c r="BA95" s="1">
        <f t="shared" si="32"/>
        <v>0.43356535478709068</v>
      </c>
      <c r="BB95" s="3">
        <f t="shared" si="33"/>
        <v>35.221778968538764</v>
      </c>
      <c r="BC95">
        <v>0</v>
      </c>
      <c r="BD95">
        <v>0</v>
      </c>
      <c r="BE95">
        <v>0</v>
      </c>
      <c r="BF95" s="44">
        <v>0</v>
      </c>
      <c r="BG95">
        <v>0</v>
      </c>
      <c r="BH95">
        <v>0</v>
      </c>
      <c r="BJ95" s="1">
        <f t="shared" si="16"/>
        <v>1.2918860921141997</v>
      </c>
      <c r="BK95" s="1">
        <f t="shared" si="17"/>
        <v>1.2908763886759909</v>
      </c>
    </row>
    <row r="96" spans="1:63" ht="15.75" thickBot="1">
      <c r="A96">
        <v>2017</v>
      </c>
      <c r="B96" s="3">
        <f>I96/G96*100/C96*100</f>
        <v>136.75880380421137</v>
      </c>
      <c r="C96" s="3">
        <f>CPIs!AB56</f>
        <v>112.42729788281457</v>
      </c>
      <c r="G96" s="2">
        <f>'Exchange Rates'!P56</f>
        <v>0.88700000000000001</v>
      </c>
      <c r="I96" s="32">
        <f>K96</f>
        <v>1.3638000000000006</v>
      </c>
      <c r="K96" s="3">
        <f>'EU petrol prices nominal'!AG15</f>
        <v>1.3638000000000006</v>
      </c>
      <c r="O96" s="2"/>
      <c r="P96" s="37"/>
      <c r="Q96" s="14" t="s">
        <v>141</v>
      </c>
      <c r="R96" s="14">
        <v>-4.5496684406501807E-2</v>
      </c>
      <c r="S96" s="37"/>
      <c r="T96" s="2">
        <f>USA!Z104*G96</f>
        <v>46.576369999999997</v>
      </c>
      <c r="W96" s="2"/>
      <c r="X96" s="37"/>
      <c r="Z96" s="32">
        <v>0.58799999999999997</v>
      </c>
      <c r="AA96" s="32">
        <v>0.23</v>
      </c>
      <c r="AB96" s="2">
        <f>AA96*(I96*(1/(1+AA96)))</f>
        <v>0.25501951219512209</v>
      </c>
      <c r="AC96" s="2">
        <f t="shared" si="28"/>
        <v>0.84301951219512206</v>
      </c>
      <c r="AG96" s="2">
        <v>0.23</v>
      </c>
      <c r="AK96" s="2"/>
      <c r="AN96">
        <v>2017</v>
      </c>
      <c r="AO96" s="1">
        <f>I96</f>
        <v>1.3638000000000006</v>
      </c>
      <c r="AP96" s="1">
        <f t="shared" si="20"/>
        <v>0.58799999999999997</v>
      </c>
      <c r="AQ96" s="1">
        <f t="shared" si="21"/>
        <v>0.25501951219512209</v>
      </c>
      <c r="AR96" s="1">
        <f t="shared" si="34"/>
        <v>0.84301951219512206</v>
      </c>
      <c r="AS96" s="1">
        <f t="shared" si="30"/>
        <v>0.52078048780487851</v>
      </c>
      <c r="AU96" s="7">
        <f>CPIs!P56</f>
        <v>105.0926306793213</v>
      </c>
      <c r="AV96" s="12"/>
      <c r="AW96" s="1">
        <f t="shared" si="31"/>
        <v>1.2977123050249713</v>
      </c>
      <c r="AX96" s="1">
        <f t="shared" si="42"/>
        <v>1.2856457614566403</v>
      </c>
      <c r="AY96" s="1">
        <f t="shared" si="43"/>
        <v>0.80216805569127314</v>
      </c>
      <c r="AZ96" s="1">
        <f t="shared" si="44"/>
        <v>0.49554424933369812</v>
      </c>
      <c r="BA96" s="1">
        <f t="shared" si="32"/>
        <v>0.48347770576536714</v>
      </c>
      <c r="BB96" s="3">
        <f t="shared" si="33"/>
        <v>44.319349224516714</v>
      </c>
      <c r="BC96">
        <v>0</v>
      </c>
      <c r="BD96">
        <v>0</v>
      </c>
      <c r="BE96">
        <v>0</v>
      </c>
      <c r="BF96" s="44">
        <v>0</v>
      </c>
      <c r="BG96">
        <v>0</v>
      </c>
      <c r="BH96">
        <v>0</v>
      </c>
      <c r="BJ96" s="1">
        <f t="shared" si="16"/>
        <v>1.3685733000000004</v>
      </c>
      <c r="BK96" s="1">
        <f t="shared" si="17"/>
        <v>1.3558478682637369</v>
      </c>
    </row>
    <row r="97" spans="1:63">
      <c r="A97">
        <v>2018</v>
      </c>
      <c r="G97" s="2">
        <f>'Exchange Rates'!P57</f>
        <v>0.84599999999999997</v>
      </c>
      <c r="I97" s="32">
        <f>K97</f>
        <v>1.4220769230769226</v>
      </c>
      <c r="K97" s="3">
        <f>'EU petrol prices nominal'!AG16</f>
        <v>1.4220769230769226</v>
      </c>
      <c r="O97" s="2"/>
      <c r="P97" s="37"/>
      <c r="Q97" s="2"/>
      <c r="R97" s="32"/>
      <c r="S97" s="37"/>
      <c r="T97" s="2">
        <f>USA!Z105*G97</f>
        <v>59.392569350649353</v>
      </c>
      <c r="W97" s="2"/>
      <c r="X97" s="37"/>
      <c r="Z97" s="32">
        <v>0.58799999999999997</v>
      </c>
      <c r="AA97" s="32">
        <v>0.23</v>
      </c>
      <c r="AB97" s="2">
        <f>AA97*(I97*(1/(1+AA97)))</f>
        <v>0.26591682301438385</v>
      </c>
      <c r="AC97" s="2">
        <f t="shared" ref="AC97" si="45">Z97+AB97</f>
        <v>0.85391682301438387</v>
      </c>
      <c r="AK97" s="2"/>
      <c r="AN97">
        <v>2018</v>
      </c>
      <c r="AO97" s="1">
        <f>I97</f>
        <v>1.4220769230769226</v>
      </c>
      <c r="AP97" s="1">
        <f t="shared" ref="AP97" si="46">Z97</f>
        <v>0.58799999999999997</v>
      </c>
      <c r="AQ97" s="1">
        <f t="shared" ref="AQ97" si="47">AB97</f>
        <v>0.26591682301438385</v>
      </c>
      <c r="AR97" s="1">
        <f t="shared" ref="AR97" si="48">AC97</f>
        <v>0.85391682301438387</v>
      </c>
      <c r="AS97" s="1">
        <f t="shared" ref="AS97" si="49">AO97-AR97</f>
        <v>0.5681601000625387</v>
      </c>
      <c r="AU97" s="7">
        <f>CPIs!P57</f>
        <v>105.46045488669891</v>
      </c>
      <c r="AV97" s="12"/>
      <c r="AW97" s="1">
        <f t="shared" ref="AW97" si="50">AO97/$AU97*100</f>
        <v>1.3484456563407832</v>
      </c>
      <c r="AX97" s="1">
        <f t="shared" ref="AX97" si="51">BA97+AY97</f>
        <v>1.3590063248040425</v>
      </c>
      <c r="AY97" s="1">
        <f t="shared" ref="AY97" si="52">AR97/$AU97*100</f>
        <v>0.80970333755129975</v>
      </c>
      <c r="AZ97" s="1">
        <f t="shared" ref="AZ97" si="53">AW97-AY97</f>
        <v>0.53874231878948342</v>
      </c>
      <c r="BA97" s="1">
        <f t="shared" si="32"/>
        <v>0.54930298725274274</v>
      </c>
      <c r="BB97" s="3">
        <f t="shared" ref="BB97" si="54">T97/AU97*100</f>
        <v>56.317384003755301</v>
      </c>
      <c r="BC97">
        <v>0</v>
      </c>
      <c r="BD97">
        <v>0</v>
      </c>
      <c r="BE97">
        <v>0</v>
      </c>
      <c r="BF97" s="44">
        <v>0</v>
      </c>
      <c r="BG97">
        <v>0</v>
      </c>
      <c r="BH97">
        <v>0</v>
      </c>
      <c r="BJ97" s="1">
        <f>AW97*$AU$97/$AU$89</f>
        <v>1.4220769230769228</v>
      </c>
      <c r="BK97" s="1">
        <f>AX97*$AU$97/$AU$89</f>
        <v>1.4332142520773521</v>
      </c>
    </row>
    <row r="98" spans="1:63">
      <c r="K98" s="32"/>
      <c r="O98" s="2"/>
      <c r="P98" s="37"/>
      <c r="Q98" s="40"/>
      <c r="R98" s="40"/>
      <c r="S98" s="37"/>
      <c r="W98" s="2"/>
      <c r="X98" s="37"/>
      <c r="AK98" s="2"/>
      <c r="AN98">
        <v>2019</v>
      </c>
      <c r="AS98" s="2"/>
      <c r="AU98" s="7">
        <f>AU97</f>
        <v>105.46045488669891</v>
      </c>
      <c r="AV98" s="12"/>
      <c r="AY98" s="3"/>
      <c r="BA98"/>
      <c r="BB98" s="9"/>
    </row>
    <row r="99" spans="1:63">
      <c r="K99" s="32"/>
      <c r="O99" s="2"/>
      <c r="P99" s="37"/>
      <c r="Q99" s="40"/>
      <c r="R99" s="40"/>
      <c r="S99" s="37"/>
      <c r="W99" s="2"/>
      <c r="X99" s="37"/>
      <c r="AK99" s="2"/>
      <c r="AN99">
        <v>2020</v>
      </c>
      <c r="AS99" s="2"/>
      <c r="AU99" s="7">
        <f t="shared" ref="AU99:AU109" si="55">AU98</f>
        <v>105.46045488669891</v>
      </c>
      <c r="AV99" s="12"/>
      <c r="AY99" s="3"/>
      <c r="BA99"/>
      <c r="BB99" s="9"/>
    </row>
    <row r="100" spans="1:63">
      <c r="K100" s="32"/>
      <c r="O100" s="2"/>
      <c r="P100" s="37"/>
      <c r="R100" s="32"/>
      <c r="S100" s="37"/>
      <c r="W100" s="2"/>
      <c r="X100" s="37"/>
      <c r="AK100" s="2"/>
      <c r="AN100">
        <v>2021</v>
      </c>
      <c r="AS100" s="2"/>
      <c r="AU100" s="7">
        <f t="shared" si="55"/>
        <v>105.46045488669891</v>
      </c>
      <c r="AV100" s="12"/>
      <c r="AW100" s="13" t="s">
        <v>88</v>
      </c>
      <c r="AX100" s="13">
        <v>0.24032674881954535</v>
      </c>
      <c r="AY100" s="3"/>
      <c r="BA100"/>
      <c r="BB100" s="9"/>
    </row>
    <row r="101" spans="1:63">
      <c r="K101" s="32"/>
      <c r="O101" s="2"/>
      <c r="P101" s="37"/>
      <c r="R101" s="32"/>
      <c r="S101" s="37"/>
      <c r="W101" s="2"/>
      <c r="X101" s="37"/>
      <c r="AK101" s="2"/>
      <c r="AN101">
        <v>2022</v>
      </c>
      <c r="AS101" s="2"/>
      <c r="AU101" s="7">
        <f t="shared" si="55"/>
        <v>105.46045488669891</v>
      </c>
      <c r="AV101" s="12"/>
      <c r="AW101" s="13" t="s">
        <v>229</v>
      </c>
      <c r="AX101" s="13">
        <v>5.4863386128268053E-3</v>
      </c>
      <c r="AY101" s="3"/>
      <c r="BA101"/>
      <c r="BB101" s="9"/>
    </row>
    <row r="102" spans="1:63">
      <c r="K102" s="32"/>
      <c r="O102" s="2"/>
      <c r="P102" s="37"/>
      <c r="R102" s="32"/>
      <c r="S102" s="37"/>
      <c r="W102" s="2"/>
      <c r="X102" s="37"/>
      <c r="AK102" s="2"/>
      <c r="AN102">
        <v>2023</v>
      </c>
      <c r="AS102" s="2"/>
      <c r="AU102" s="7">
        <f t="shared" si="55"/>
        <v>105.46045488669891</v>
      </c>
      <c r="AV102" s="12"/>
      <c r="AW102" s="3" t="s">
        <v>1993</v>
      </c>
      <c r="AX102" s="13">
        <v>0.1602256469252705</v>
      </c>
      <c r="AY102" s="3"/>
      <c r="BA102"/>
      <c r="BB102" s="9"/>
    </row>
    <row r="103" spans="1:63">
      <c r="K103" s="32"/>
      <c r="O103" s="2"/>
      <c r="P103" s="37"/>
      <c r="R103" s="32"/>
      <c r="S103" s="37"/>
      <c r="W103" s="2"/>
      <c r="X103" s="37"/>
      <c r="AK103" s="2"/>
      <c r="AN103">
        <v>2024</v>
      </c>
      <c r="AS103" s="2"/>
      <c r="AU103" s="7">
        <f t="shared" si="55"/>
        <v>105.46045488669891</v>
      </c>
      <c r="AV103" s="12"/>
      <c r="AW103" s="3" t="s">
        <v>2088</v>
      </c>
      <c r="AX103" s="13">
        <v>0.15654675871082313</v>
      </c>
      <c r="AY103" s="3"/>
      <c r="BA103"/>
      <c r="BB103" s="9"/>
    </row>
    <row r="104" spans="1:63">
      <c r="K104" s="32"/>
      <c r="O104" s="2"/>
      <c r="P104" s="37"/>
      <c r="R104" s="32"/>
      <c r="S104" s="37"/>
      <c r="W104" s="2"/>
      <c r="X104" s="37"/>
      <c r="AK104" s="2"/>
      <c r="AN104">
        <v>2025</v>
      </c>
      <c r="AS104" s="2"/>
      <c r="AU104" s="7">
        <f t="shared" si="55"/>
        <v>105.46045488669891</v>
      </c>
      <c r="AV104" s="12"/>
      <c r="AW104" s="3" t="s">
        <v>1995</v>
      </c>
      <c r="AX104" s="13">
        <v>0.17232547645961879</v>
      </c>
      <c r="AY104" s="3"/>
      <c r="BA104"/>
      <c r="BB104" s="9"/>
    </row>
    <row r="105" spans="1:63">
      <c r="K105" s="32"/>
      <c r="O105" s="2"/>
      <c r="P105" s="37"/>
      <c r="R105" s="32"/>
      <c r="S105" s="37"/>
      <c r="W105" s="2"/>
      <c r="X105" s="37"/>
      <c r="AK105" s="2"/>
      <c r="AN105">
        <v>2026</v>
      </c>
      <c r="AS105" s="2"/>
      <c r="AU105" s="7">
        <f t="shared" si="55"/>
        <v>105.46045488669891</v>
      </c>
      <c r="AV105" s="12"/>
      <c r="AW105" s="3" t="s">
        <v>2089</v>
      </c>
      <c r="AX105" s="13">
        <v>-8.298316603752301E-2</v>
      </c>
      <c r="AY105" s="3"/>
      <c r="BA105"/>
      <c r="BB105" s="9"/>
    </row>
    <row r="106" spans="1:63">
      <c r="K106" s="32"/>
      <c r="O106" s="2"/>
      <c r="P106" s="37"/>
      <c r="R106" s="32"/>
      <c r="S106" s="37"/>
      <c r="W106" s="2"/>
      <c r="X106" s="37"/>
      <c r="AK106" s="2"/>
      <c r="AN106">
        <v>2027</v>
      </c>
      <c r="AS106" s="2"/>
      <c r="AU106" s="7">
        <f t="shared" si="55"/>
        <v>105.46045488669891</v>
      </c>
      <c r="AV106" s="12"/>
      <c r="AW106" s="3" t="s">
        <v>2195</v>
      </c>
      <c r="AX106" s="13">
        <v>-7.7545820271227292E-2</v>
      </c>
      <c r="AY106" s="3"/>
      <c r="BA106"/>
      <c r="BB106" s="9"/>
    </row>
    <row r="107" spans="1:63" ht="15.75" thickBot="1">
      <c r="K107" s="32"/>
      <c r="O107" s="2"/>
      <c r="P107" s="37"/>
      <c r="R107" s="32"/>
      <c r="S107" s="37"/>
      <c r="W107" s="2"/>
      <c r="X107" s="37"/>
      <c r="AK107" s="2"/>
      <c r="AN107">
        <v>2028</v>
      </c>
      <c r="AS107" s="2"/>
      <c r="AU107" s="7">
        <f t="shared" si="55"/>
        <v>105.46045488669891</v>
      </c>
      <c r="AV107" s="12"/>
      <c r="AW107" s="3" t="s">
        <v>2058</v>
      </c>
      <c r="AX107" s="14">
        <v>-8.5615130107930038E-2</v>
      </c>
      <c r="AY107" s="3"/>
      <c r="BA107"/>
      <c r="BB107" s="9"/>
    </row>
    <row r="108" spans="1:63">
      <c r="K108" s="32"/>
      <c r="O108" s="2"/>
      <c r="P108" s="37"/>
      <c r="R108" s="32"/>
      <c r="S108" s="37"/>
      <c r="W108" s="2"/>
      <c r="X108" s="37"/>
      <c r="AK108" s="2"/>
      <c r="AN108">
        <v>2029</v>
      </c>
      <c r="AS108" s="2"/>
      <c r="AU108" s="7">
        <f t="shared" si="55"/>
        <v>105.46045488669891</v>
      </c>
      <c r="AV108" s="12"/>
      <c r="AY108" s="3"/>
      <c r="BA108"/>
      <c r="BB108" s="9"/>
    </row>
    <row r="109" spans="1:63">
      <c r="K109" s="32"/>
      <c r="O109" s="2"/>
      <c r="P109" s="37"/>
      <c r="R109" s="32"/>
      <c r="S109" s="37"/>
      <c r="W109" s="2"/>
      <c r="X109" s="37"/>
      <c r="AK109" s="2"/>
      <c r="AN109">
        <v>2030</v>
      </c>
      <c r="AS109" s="2"/>
      <c r="AU109" s="7">
        <f t="shared" si="55"/>
        <v>105.46045488669891</v>
      </c>
      <c r="AV109" s="12"/>
      <c r="AY109" s="3"/>
      <c r="BA109"/>
      <c r="BB109" s="9"/>
    </row>
    <row r="110" spans="1:63">
      <c r="K110" s="32"/>
      <c r="O110" s="2"/>
      <c r="P110" s="37"/>
      <c r="R110" s="32"/>
      <c r="S110" s="37"/>
      <c r="W110" s="2"/>
      <c r="X110" s="37"/>
      <c r="AK110" s="2"/>
      <c r="AN110"/>
      <c r="AS110" s="2"/>
      <c r="AV110" s="12"/>
      <c r="AY110" s="3"/>
      <c r="BA110"/>
      <c r="BB110" s="9"/>
    </row>
    <row r="111" spans="1:63">
      <c r="K111" s="32"/>
      <c r="O111" s="2"/>
      <c r="P111" s="37"/>
      <c r="R111" s="32"/>
      <c r="S111" s="13" t="str">
        <f>AW100</f>
        <v>Intercept</v>
      </c>
      <c r="T111" s="13">
        <f>AX100</f>
        <v>0.24032674881954535</v>
      </c>
      <c r="W111" s="2"/>
      <c r="X111" s="37"/>
      <c r="AK111" s="2"/>
      <c r="AN111"/>
      <c r="AS111" s="2"/>
      <c r="AV111" s="12"/>
      <c r="AY111" s="3"/>
      <c r="BA111"/>
      <c r="BB111" s="9"/>
    </row>
    <row r="112" spans="1:63">
      <c r="K112" s="32"/>
      <c r="O112" s="2"/>
      <c r="P112" s="37"/>
      <c r="R112" s="32"/>
      <c r="S112" s="13" t="str">
        <f>AW101</f>
        <v>landed oil price</v>
      </c>
      <c r="T112" s="13">
        <f>AX101</f>
        <v>5.4863386128268053E-3</v>
      </c>
      <c r="W112" s="2"/>
      <c r="X112" s="37"/>
      <c r="AK112" s="2"/>
      <c r="AN112"/>
      <c r="AS112" s="2"/>
      <c r="AV112" s="12"/>
      <c r="AY112" s="3"/>
      <c r="BA112"/>
      <c r="BB112" s="9"/>
    </row>
    <row r="113" spans="1:64">
      <c r="K113" s="32"/>
      <c r="O113" s="2"/>
      <c r="P113" s="37"/>
      <c r="R113" s="32"/>
      <c r="S113" s="37"/>
      <c r="W113" s="2"/>
      <c r="X113" s="37"/>
      <c r="AK113" s="2"/>
      <c r="AN113"/>
      <c r="AS113" s="2"/>
      <c r="AV113" s="12"/>
      <c r="AY113" s="3"/>
      <c r="BA113"/>
      <c r="BB113" s="9"/>
    </row>
    <row r="114" spans="1:64">
      <c r="K114" s="32"/>
      <c r="O114" s="2"/>
      <c r="P114" s="37"/>
      <c r="R114" s="32"/>
      <c r="S114" s="37"/>
      <c r="W114" s="2"/>
      <c r="X114" s="37"/>
      <c r="AK114" s="2"/>
      <c r="AN114"/>
      <c r="AS114" s="2"/>
      <c r="AV114" s="12"/>
      <c r="AY114" s="3"/>
      <c r="BA114"/>
      <c r="BB114" s="9"/>
    </row>
    <row r="115" spans="1:64">
      <c r="K115" s="32"/>
      <c r="O115" s="2"/>
      <c r="P115" s="37"/>
      <c r="R115" s="32"/>
      <c r="S115" s="37"/>
      <c r="W115" s="2"/>
      <c r="X115" s="37"/>
      <c r="AK115" s="2"/>
      <c r="AN115"/>
      <c r="AR115" s="32"/>
      <c r="AS115" s="32"/>
      <c r="AV115" s="12"/>
      <c r="AW115" s="7"/>
      <c r="AX115" s="7"/>
      <c r="AY115" s="7"/>
      <c r="AZ115" s="12"/>
      <c r="BA115" s="12"/>
      <c r="BB115" s="44"/>
      <c r="BC115" s="12"/>
      <c r="BD115" s="12"/>
    </row>
    <row r="116" spans="1:64">
      <c r="K116" s="32"/>
      <c r="O116" s="2"/>
      <c r="P116" s="37"/>
      <c r="R116" s="32"/>
      <c r="S116" s="37"/>
      <c r="W116" s="2"/>
      <c r="X116" s="37"/>
      <c r="AK116" s="2"/>
      <c r="AN116"/>
      <c r="AR116" s="32"/>
      <c r="AS116" s="32"/>
      <c r="AV116" s="12"/>
      <c r="AW116" s="7"/>
      <c r="AX116" s="7"/>
      <c r="AY116" s="7"/>
      <c r="AZ116" s="12"/>
      <c r="BA116" s="12"/>
      <c r="BB116" s="44"/>
      <c r="BC116" s="12"/>
      <c r="BD116" s="12"/>
    </row>
    <row r="117" spans="1:64">
      <c r="K117" s="32"/>
      <c r="O117" s="2"/>
      <c r="P117" s="37"/>
      <c r="R117" s="32"/>
      <c r="S117" s="37"/>
      <c r="W117" s="2"/>
      <c r="X117" s="37"/>
      <c r="AK117" s="2"/>
      <c r="AN117"/>
      <c r="AR117" s="32"/>
      <c r="AS117" s="32"/>
      <c r="AV117" s="12"/>
      <c r="AW117" s="7"/>
      <c r="AX117" s="7"/>
      <c r="AY117" s="7"/>
      <c r="AZ117" s="12"/>
      <c r="BA117" s="12"/>
      <c r="BB117" s="44"/>
      <c r="BC117" s="12"/>
      <c r="BD117" s="12"/>
    </row>
    <row r="118" spans="1:64">
      <c r="K118" s="32"/>
      <c r="O118" s="32"/>
      <c r="P118" s="2"/>
      <c r="Q118" s="37"/>
      <c r="R118" s="32"/>
      <c r="S118" s="32"/>
      <c r="T118" s="37"/>
      <c r="W118" s="2"/>
      <c r="Y118" s="37"/>
      <c r="AK118" s="2"/>
      <c r="AL118" s="2"/>
      <c r="AM118" s="2"/>
      <c r="AN118"/>
      <c r="AO118"/>
      <c r="AP118"/>
      <c r="AS118" s="2"/>
      <c r="AT118" s="32"/>
      <c r="AU118" s="32"/>
      <c r="AV118" s="12"/>
      <c r="AW118" s="12"/>
      <c r="AX118" s="12"/>
      <c r="AY118" s="7"/>
      <c r="AZ118" s="7"/>
      <c r="BA118" s="7"/>
      <c r="BB118" s="12"/>
      <c r="BC118" s="12"/>
      <c r="BD118" s="44"/>
      <c r="BE118" s="12"/>
      <c r="BF118" s="12"/>
    </row>
    <row r="119" spans="1:64">
      <c r="K119" s="32"/>
      <c r="O119" s="32"/>
      <c r="P119" s="2"/>
      <c r="Q119" s="37"/>
      <c r="R119" s="32"/>
      <c r="S119" s="32"/>
      <c r="T119" s="37"/>
      <c r="W119" s="2"/>
      <c r="AK119" t="s">
        <v>1960</v>
      </c>
      <c r="AL119" t="s">
        <v>1960</v>
      </c>
      <c r="AM119" t="s">
        <v>1960</v>
      </c>
      <c r="AS119" s="2"/>
      <c r="AT119" s="32"/>
      <c r="AU119" s="32"/>
      <c r="AV119" s="32"/>
      <c r="AW119" s="32"/>
      <c r="AX119" s="12"/>
      <c r="AY119" s="12"/>
      <c r="AZ119" s="12"/>
      <c r="BA119" s="32"/>
      <c r="BB119" s="32"/>
      <c r="BC119" s="32"/>
      <c r="BD119" s="12"/>
      <c r="BE119" s="12"/>
      <c r="BF119" s="12"/>
      <c r="BG119" s="3"/>
      <c r="BH119" s="3"/>
      <c r="BI119" s="3"/>
      <c r="BL119" s="9"/>
    </row>
    <row r="120" spans="1:64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2608</v>
      </c>
      <c r="R120" s="26"/>
      <c r="S120" s="26"/>
      <c r="T120" s="81">
        <v>0.23</v>
      </c>
      <c r="U120" s="76" t="s">
        <v>2548</v>
      </c>
      <c r="V120" s="76"/>
      <c r="W120" s="76"/>
      <c r="X120" s="76"/>
      <c r="Y120" s="26" t="s">
        <v>2574</v>
      </c>
      <c r="Z120" s="26"/>
      <c r="AA120" s="26"/>
      <c r="AB120" s="79"/>
      <c r="AC120" s="26" t="s">
        <v>2485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S120" s="2"/>
      <c r="AV120" s="12"/>
      <c r="AW120" s="32"/>
      <c r="AX120" s="32"/>
      <c r="AY120" s="32"/>
      <c r="AZ120" s="12"/>
      <c r="BA120" s="12"/>
      <c r="BB120" s="12"/>
      <c r="BC120" s="7"/>
      <c r="BD120" s="7"/>
      <c r="BE120" s="7"/>
      <c r="BF120" s="12"/>
      <c r="BH120" s="9"/>
    </row>
    <row r="121" spans="1:64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S121" s="2"/>
      <c r="AV121" s="12"/>
      <c r="AW121" s="32"/>
      <c r="AX121" s="32"/>
      <c r="AY121" s="32"/>
      <c r="AZ121" s="12"/>
      <c r="BA121" s="12"/>
      <c r="BB121" s="12"/>
      <c r="BC121" s="7"/>
      <c r="BD121" s="7"/>
      <c r="BE121" s="7"/>
      <c r="BF121" s="12"/>
      <c r="BH121" s="9"/>
    </row>
    <row r="122" spans="1:64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6">AL122</f>
        <v>77.45</v>
      </c>
      <c r="E122" s="3">
        <f t="shared" si="56"/>
        <v>77.45</v>
      </c>
      <c r="F122" s="39">
        <f>'Exchange Rates'!P49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>T$111+T$112*G122</f>
        <v>0.56269902196901045</v>
      </c>
      <c r="L122" s="6">
        <f>T$111+T$112*H122</f>
        <v>0.56269902196901045</v>
      </c>
      <c r="M122" s="6">
        <f>T$111+T$112*I122</f>
        <v>0.56269902196901045</v>
      </c>
      <c r="N122" s="6">
        <f>T$111+T$112*J122</f>
        <v>0.56269902196901045</v>
      </c>
      <c r="O122">
        <v>2010</v>
      </c>
      <c r="P122" s="24">
        <f t="shared" ref="P122:P130" si="57">Z89/AU89*100</f>
        <v>0.54300000000000004</v>
      </c>
      <c r="Q122" s="3">
        <f t="shared" ref="Q122:T129" si="58">(K122+$P122)*$AA89</f>
        <v>0.23136752034701549</v>
      </c>
      <c r="R122" s="3">
        <f t="shared" si="58"/>
        <v>0.23136752034701549</v>
      </c>
      <c r="S122" s="3">
        <f t="shared" si="58"/>
        <v>0.23136752034701549</v>
      </c>
      <c r="T122" s="3">
        <f t="shared" si="58"/>
        <v>0.23136752034701549</v>
      </c>
      <c r="U122" s="3">
        <f t="shared" ref="U122:U130" si="59">AW89</f>
        <v>1.3004897959183672</v>
      </c>
      <c r="V122" s="3">
        <f t="shared" ref="V122:V142" si="60">L122+$P122+R122</f>
        <v>1.3370665423160262</v>
      </c>
      <c r="W122" s="3">
        <f t="shared" ref="W122:W142" si="61">M122+$P122+S122</f>
        <v>1.3370665423160262</v>
      </c>
      <c r="X122" s="3">
        <f t="shared" ref="X122:X142" si="62">N122+$P122+T122</f>
        <v>1.3370665423160262</v>
      </c>
      <c r="Y122" s="3">
        <f t="shared" ref="Y122:Y130" si="63">AW89*$AU$97/100</f>
        <v>1.3715024545306125</v>
      </c>
      <c r="Z122" s="3">
        <f>V122*$AU$97/100</f>
        <v>1.4100764576643376</v>
      </c>
      <c r="AA122" s="3">
        <f t="shared" ref="AA122:AB122" si="64">W122*$AU$97/100</f>
        <v>1.4100764576643376</v>
      </c>
      <c r="AB122" s="3">
        <f t="shared" si="64"/>
        <v>1.4100764576643376</v>
      </c>
      <c r="AC122" s="3">
        <f>U122*$AU$96/100</f>
        <v>1.3667189382467491</v>
      </c>
      <c r="AD122" s="3">
        <f>AC122</f>
        <v>1.3667189382467491</v>
      </c>
      <c r="AE122" s="3">
        <f t="shared" ref="AE122:AF122" si="65">AD122</f>
        <v>1.3667189382467491</v>
      </c>
      <c r="AF122" s="3">
        <f t="shared" si="65"/>
        <v>1.3667189382467491</v>
      </c>
      <c r="AK122" s="3">
        <f>USA!AJ135</f>
        <v>77.45</v>
      </c>
      <c r="AL122" s="3">
        <f>USA!AK135</f>
        <v>77.45</v>
      </c>
      <c r="AM122" s="3">
        <f>USA!AL135</f>
        <v>77.45</v>
      </c>
      <c r="AS122" s="2"/>
      <c r="AV122" s="12"/>
      <c r="AW122" s="32"/>
      <c r="AX122" s="32"/>
      <c r="AY122" s="32"/>
      <c r="AZ122" s="12"/>
      <c r="BA122" s="12"/>
      <c r="BB122" s="12"/>
      <c r="BC122" s="7"/>
      <c r="BD122" s="7"/>
      <c r="BE122" s="7"/>
      <c r="BF122" s="12"/>
      <c r="BH122" s="9"/>
    </row>
    <row r="123" spans="1:64">
      <c r="A123">
        <v>2011</v>
      </c>
      <c r="B123" s="3">
        <f>USA!Z98/USA!AU98*100</f>
        <v>104.18614906980585</v>
      </c>
      <c r="C123" s="3">
        <f t="shared" ref="C123:C142" si="66">AK123</f>
        <v>104.18614906980586</v>
      </c>
      <c r="D123" s="3">
        <f t="shared" ref="D123:D142" si="67">AL123</f>
        <v>104.18614906980586</v>
      </c>
      <c r="E123" s="3">
        <f t="shared" ref="E123:E142" si="68">AM123</f>
        <v>104.18614906980586</v>
      </c>
      <c r="F123" s="39">
        <f>'Exchange Rates'!P50</f>
        <v>0.71544109992713056</v>
      </c>
      <c r="G123" s="3">
        <f>(B123*USA!$AU98/100)/$AU90*100*$F123</f>
        <v>74.941500309216039</v>
      </c>
      <c r="H123" s="3">
        <f>(C123*USA!$AU98/100)/$AU90*100*$F123</f>
        <v>74.941500309216053</v>
      </c>
      <c r="I123" s="3">
        <f>(D123*USA!$AU98/100)/$AU90*100*$F123</f>
        <v>74.941500309216053</v>
      </c>
      <c r="J123" s="3">
        <f>(E123*USA!$AU98/100)/$AU90*100*$F123</f>
        <v>74.941500309216053</v>
      </c>
      <c r="K123" s="6">
        <f t="shared" ref="K123:K130" si="69">T$111+T$112*G123</f>
        <v>0.65148119566916929</v>
      </c>
      <c r="L123" s="6">
        <f t="shared" ref="L123:L142" si="70">T$111+T$112*H123</f>
        <v>0.65148119566916929</v>
      </c>
      <c r="M123" s="6">
        <f t="shared" ref="M123:M142" si="71">T$111+T$112*I123</f>
        <v>0.65148119566916929</v>
      </c>
      <c r="N123" s="6">
        <f t="shared" ref="N123:N142" si="72">T$111+T$112*J123</f>
        <v>0.65148119566916929</v>
      </c>
      <c r="O123">
        <v>2011</v>
      </c>
      <c r="P123" s="24">
        <f t="shared" si="57"/>
        <v>0.5293487692055272</v>
      </c>
      <c r="Q123" s="3">
        <f t="shared" si="58"/>
        <v>0.24708867015003028</v>
      </c>
      <c r="R123" s="3">
        <f t="shared" si="58"/>
        <v>0.24708867015003028</v>
      </c>
      <c r="S123" s="3">
        <f t="shared" si="58"/>
        <v>0.24708867015003028</v>
      </c>
      <c r="T123" s="3">
        <f t="shared" si="58"/>
        <v>0.24708867015003028</v>
      </c>
      <c r="U123" s="3">
        <f t="shared" si="59"/>
        <v>1.4442405883107059</v>
      </c>
      <c r="V123" s="3">
        <f t="shared" si="60"/>
        <v>1.4279186350247268</v>
      </c>
      <c r="W123" s="3">
        <f t="shared" si="61"/>
        <v>1.4279186350247268</v>
      </c>
      <c r="X123" s="3">
        <f t="shared" si="62"/>
        <v>1.4279186350247268</v>
      </c>
      <c r="Y123" s="3">
        <f t="shared" si="63"/>
        <v>1.5231026940908068</v>
      </c>
      <c r="Z123" s="3">
        <f t="shared" ref="Z123:Z142" si="73">V123*$AU$97/100</f>
        <v>1.505889487909019</v>
      </c>
      <c r="AA123" s="3">
        <f t="shared" ref="AA123:AA142" si="74">W123*$AU$97/100</f>
        <v>1.505889487909019</v>
      </c>
      <c r="AB123" s="3">
        <f t="shared" ref="AB123:AB142" si="75">X123*$AU$97/100</f>
        <v>1.505889487909019</v>
      </c>
      <c r="AC123" s="3">
        <f t="shared" ref="AC123:AC130" si="76">U123*$AU$96/100</f>
        <v>1.5177904275942273</v>
      </c>
      <c r="AD123" s="3">
        <f t="shared" ref="AD123:AF123" si="77">AC123</f>
        <v>1.5177904275942273</v>
      </c>
      <c r="AE123" s="3">
        <f t="shared" si="77"/>
        <v>1.5177904275942273</v>
      </c>
      <c r="AF123" s="3">
        <f t="shared" si="77"/>
        <v>1.5177904275942273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S123" s="2"/>
      <c r="AV123" s="12"/>
      <c r="AW123" s="32"/>
      <c r="AX123" s="32"/>
      <c r="AY123" s="32"/>
      <c r="AZ123" s="12"/>
      <c r="BA123" s="12"/>
      <c r="BB123" s="12"/>
      <c r="BC123" s="7"/>
      <c r="BD123" s="7"/>
      <c r="BE123" s="7"/>
      <c r="BF123" s="12"/>
      <c r="BH123" s="9"/>
    </row>
    <row r="124" spans="1:64">
      <c r="A124">
        <v>2012</v>
      </c>
      <c r="B124" s="3">
        <f>USA!Z99/USA!AU99*100</f>
        <v>104.07290773565181</v>
      </c>
      <c r="C124" s="3">
        <f t="shared" si="66"/>
        <v>104.07290773565181</v>
      </c>
      <c r="D124" s="3">
        <f t="shared" si="67"/>
        <v>104.07290773565181</v>
      </c>
      <c r="E124" s="3">
        <f t="shared" si="68"/>
        <v>104.07290773565181</v>
      </c>
      <c r="F124" s="39">
        <f>'Exchange Rates'!P51</f>
        <v>0.773899446716382</v>
      </c>
      <c r="G124" s="3">
        <f>(B124*USA!$AU99/100)/$AU91*100*$F124</f>
        <v>81.233310738308433</v>
      </c>
      <c r="H124" s="3">
        <f>(C124*USA!$AU99/100)/$AU91*100*$F124</f>
        <v>81.233310738308433</v>
      </c>
      <c r="I124" s="3">
        <f>(D124*USA!$AU99/100)/$AU91*100*$F124</f>
        <v>81.233310738308433</v>
      </c>
      <c r="J124" s="3">
        <f>(E124*USA!$AU99/100)/$AU91*100*$F124</f>
        <v>81.233310738308433</v>
      </c>
      <c r="K124" s="6">
        <f t="shared" si="69"/>
        <v>0.6860001981708852</v>
      </c>
      <c r="L124" s="6">
        <f t="shared" si="70"/>
        <v>0.6860001981708852</v>
      </c>
      <c r="M124" s="6">
        <f t="shared" si="71"/>
        <v>0.6860001981708852</v>
      </c>
      <c r="N124" s="6">
        <f t="shared" si="72"/>
        <v>0.6860001981708852</v>
      </c>
      <c r="O124">
        <v>2012</v>
      </c>
      <c r="P124" s="24">
        <f t="shared" si="57"/>
        <v>0.56367562002767979</v>
      </c>
      <c r="Q124" s="3">
        <f t="shared" si="58"/>
        <v>0.28742543818566996</v>
      </c>
      <c r="R124" s="3">
        <f t="shared" si="58"/>
        <v>0.28742543818566996</v>
      </c>
      <c r="S124" s="3">
        <f t="shared" si="58"/>
        <v>0.28742543818566996</v>
      </c>
      <c r="T124" s="3">
        <f t="shared" si="58"/>
        <v>0.28742543818566996</v>
      </c>
      <c r="U124" s="3">
        <f t="shared" si="59"/>
        <v>1.549074784539757</v>
      </c>
      <c r="V124" s="3">
        <f t="shared" si="60"/>
        <v>1.537101256384235</v>
      </c>
      <c r="W124" s="3">
        <f t="shared" si="61"/>
        <v>1.537101256384235</v>
      </c>
      <c r="X124" s="3">
        <f t="shared" si="62"/>
        <v>1.537101256384235</v>
      </c>
      <c r="Y124" s="3">
        <f t="shared" si="63"/>
        <v>1.633661314310779</v>
      </c>
      <c r="Z124" s="3">
        <f t="shared" si="73"/>
        <v>1.6210339770519784</v>
      </c>
      <c r="AA124" s="3">
        <f t="shared" si="74"/>
        <v>1.6210339770519784</v>
      </c>
      <c r="AB124" s="3">
        <f t="shared" si="75"/>
        <v>1.6210339770519784</v>
      </c>
      <c r="AC124" s="3">
        <f t="shared" si="76"/>
        <v>1.6279634422628591</v>
      </c>
      <c r="AD124" s="3">
        <f t="shared" ref="AD124:AF124" si="78">AC124</f>
        <v>1.6279634422628591</v>
      </c>
      <c r="AE124" s="3">
        <f t="shared" si="78"/>
        <v>1.6279634422628591</v>
      </c>
      <c r="AF124" s="3">
        <f t="shared" si="78"/>
        <v>1.6279634422628591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S124" s="2"/>
      <c r="AV124" s="12"/>
      <c r="AW124" s="32"/>
      <c r="AX124" s="32"/>
      <c r="AY124" s="32"/>
      <c r="AZ124" s="12"/>
      <c r="BA124" s="12"/>
      <c r="BB124" s="12"/>
      <c r="BC124" s="7"/>
      <c r="BD124" s="7"/>
      <c r="BE124" s="7"/>
      <c r="BF124" s="12"/>
      <c r="BH124" s="9"/>
    </row>
    <row r="125" spans="1:64">
      <c r="A125">
        <v>2013</v>
      </c>
      <c r="B125" s="3">
        <f>USA!Z100/USA!AU100*100</f>
        <v>99.286371359470479</v>
      </c>
      <c r="C125" s="3">
        <f t="shared" si="66"/>
        <v>99.286371359470493</v>
      </c>
      <c r="D125" s="3">
        <f t="shared" si="67"/>
        <v>99.286371359470493</v>
      </c>
      <c r="E125" s="3">
        <f t="shared" si="68"/>
        <v>99.286371359470493</v>
      </c>
      <c r="F125" s="39">
        <f>'Exchange Rates'!P52</f>
        <v>0.75166876437654617</v>
      </c>
      <c r="G125" s="3">
        <f>(B125*USA!$AU100/100)/$AU92*100*$F125</f>
        <v>75.953081368599257</v>
      </c>
      <c r="H125" s="3">
        <f>(C125*USA!$AU100/100)/$AU92*100*$F125</f>
        <v>75.953081368599285</v>
      </c>
      <c r="I125" s="3">
        <f>(D125*USA!$AU100/100)/$AU92*100*$F125</f>
        <v>75.953081368599285</v>
      </c>
      <c r="J125" s="3">
        <f>(E125*USA!$AU100/100)/$AU92*100*$F125</f>
        <v>75.953081368599285</v>
      </c>
      <c r="K125" s="6">
        <f t="shared" si="69"/>
        <v>0.65703107189526766</v>
      </c>
      <c r="L125" s="6">
        <f t="shared" si="70"/>
        <v>0.65703107189526788</v>
      </c>
      <c r="M125" s="6">
        <f t="shared" si="71"/>
        <v>0.65703107189526788</v>
      </c>
      <c r="N125" s="6">
        <f t="shared" si="72"/>
        <v>0.65703107189526788</v>
      </c>
      <c r="O125">
        <v>2013</v>
      </c>
      <c r="P125" s="24">
        <f t="shared" si="57"/>
        <v>0.56085632862151547</v>
      </c>
      <c r="Q125" s="3">
        <f t="shared" si="58"/>
        <v>0.28011410211886012</v>
      </c>
      <c r="R125" s="3">
        <f t="shared" si="58"/>
        <v>0.28011410211886023</v>
      </c>
      <c r="S125" s="3">
        <f t="shared" si="58"/>
        <v>0.28011410211886023</v>
      </c>
      <c r="T125" s="3">
        <f t="shared" si="58"/>
        <v>0.28011410211886023</v>
      </c>
      <c r="U125" s="3">
        <f t="shared" si="59"/>
        <v>1.5147650626622036</v>
      </c>
      <c r="V125" s="3">
        <f t="shared" si="60"/>
        <v>1.4980015026356437</v>
      </c>
      <c r="W125" s="3">
        <f t="shared" si="61"/>
        <v>1.4980015026356437</v>
      </c>
      <c r="X125" s="3">
        <f t="shared" si="62"/>
        <v>1.4980015026356437</v>
      </c>
      <c r="Y125" s="3">
        <f t="shared" si="63"/>
        <v>1.5974781255483499</v>
      </c>
      <c r="Z125" s="3">
        <f t="shared" si="73"/>
        <v>1.5797991988891349</v>
      </c>
      <c r="AA125" s="3">
        <f t="shared" si="74"/>
        <v>1.5797991988891349</v>
      </c>
      <c r="AB125" s="3">
        <f t="shared" si="75"/>
        <v>1.5797991988891349</v>
      </c>
      <c r="AC125" s="3">
        <f t="shared" si="76"/>
        <v>1.5919064529629796</v>
      </c>
      <c r="AD125" s="3">
        <f t="shared" ref="AD125:AF125" si="79">AC125</f>
        <v>1.5919064529629796</v>
      </c>
      <c r="AE125" s="3">
        <f t="shared" si="79"/>
        <v>1.5919064529629796</v>
      </c>
      <c r="AF125" s="3">
        <f t="shared" si="79"/>
        <v>1.5919064529629796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S125" s="2"/>
      <c r="AV125" s="12"/>
      <c r="AW125" s="32"/>
      <c r="AX125" s="32"/>
      <c r="AY125" s="32"/>
      <c r="AZ125" s="12"/>
      <c r="BA125" s="12"/>
      <c r="BB125" s="12"/>
      <c r="BC125" s="7"/>
      <c r="BD125" s="7"/>
      <c r="BE125" s="7"/>
      <c r="BF125" s="12"/>
      <c r="BH125" s="9"/>
    </row>
    <row r="126" spans="1:64">
      <c r="A126">
        <v>2014</v>
      </c>
      <c r="B126" s="3">
        <f>USA!Z101/USA!AU101*100</f>
        <v>88.687750298592292</v>
      </c>
      <c r="C126" s="3">
        <f t="shared" si="66"/>
        <v>88.687750298592292</v>
      </c>
      <c r="D126" s="3">
        <f t="shared" si="67"/>
        <v>88.687750298592292</v>
      </c>
      <c r="E126" s="3">
        <f t="shared" si="68"/>
        <v>88.687750298592292</v>
      </c>
      <c r="F126" s="39">
        <f>'Exchange Rates'!P53</f>
        <v>0.757387838338895</v>
      </c>
      <c r="G126" s="3">
        <f>(B126*USA!$AU101/100)/$AU93*100*$F126</f>
        <v>69.352883408219526</v>
      </c>
      <c r="H126" s="3">
        <f>(C126*USA!$AU101/100)/$AU93*100*$F126</f>
        <v>69.352883408219526</v>
      </c>
      <c r="I126" s="3">
        <f>(D126*USA!$AU101/100)/$AU93*100*$F126</f>
        <v>69.352883408219526</v>
      </c>
      <c r="J126" s="3">
        <f>(E126*USA!$AU101/100)/$AU93*100*$F126</f>
        <v>69.352883408219526</v>
      </c>
      <c r="K126" s="6">
        <f t="shared" si="69"/>
        <v>0.62082015097293564</v>
      </c>
      <c r="L126" s="6">
        <f t="shared" si="70"/>
        <v>0.62082015097293564</v>
      </c>
      <c r="M126" s="6">
        <f t="shared" si="71"/>
        <v>0.62082015097293564</v>
      </c>
      <c r="N126" s="6">
        <f t="shared" si="72"/>
        <v>0.62082015097293564</v>
      </c>
      <c r="O126">
        <v>2014</v>
      </c>
      <c r="P126" s="24">
        <f t="shared" si="57"/>
        <v>0.55975482743764282</v>
      </c>
      <c r="Q126" s="3">
        <f t="shared" si="58"/>
        <v>0.27153224503443302</v>
      </c>
      <c r="R126" s="3">
        <f t="shared" si="58"/>
        <v>0.27153224503443302</v>
      </c>
      <c r="S126" s="3">
        <f t="shared" si="58"/>
        <v>0.27153224503443302</v>
      </c>
      <c r="T126" s="3">
        <f t="shared" si="58"/>
        <v>0.27153224503443302</v>
      </c>
      <c r="U126" s="3">
        <f t="shared" si="59"/>
        <v>1.4563665819321363</v>
      </c>
      <c r="V126" s="3">
        <f t="shared" si="60"/>
        <v>1.4521072234450114</v>
      </c>
      <c r="W126" s="3">
        <f t="shared" si="61"/>
        <v>1.4521072234450114</v>
      </c>
      <c r="X126" s="3">
        <f t="shared" si="62"/>
        <v>1.4521072234450114</v>
      </c>
      <c r="Y126" s="3">
        <f t="shared" si="63"/>
        <v>1.5358908221234995</v>
      </c>
      <c r="Z126" s="3">
        <f t="shared" si="73"/>
        <v>1.5313988832877223</v>
      </c>
      <c r="AA126" s="3">
        <f t="shared" si="74"/>
        <v>1.5313988832877223</v>
      </c>
      <c r="AB126" s="3">
        <f t="shared" si="75"/>
        <v>1.5313988832877223</v>
      </c>
      <c r="AC126" s="3">
        <f t="shared" si="76"/>
        <v>1.5305339532869953</v>
      </c>
      <c r="AD126" s="3">
        <f t="shared" ref="AD126:AF126" si="80">AC126</f>
        <v>1.5305339532869953</v>
      </c>
      <c r="AE126" s="3">
        <f t="shared" si="80"/>
        <v>1.5305339532869953</v>
      </c>
      <c r="AF126" s="3">
        <f t="shared" si="80"/>
        <v>1.5305339532869953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S126" s="2"/>
      <c r="AV126" s="12"/>
      <c r="AW126" s="32"/>
      <c r="AX126" s="32"/>
      <c r="AY126" s="32"/>
      <c r="AZ126" s="12"/>
      <c r="BA126" s="12"/>
      <c r="BB126" s="12"/>
      <c r="BC126" s="7"/>
      <c r="BD126" s="7"/>
      <c r="BE126" s="7"/>
      <c r="BF126" s="12"/>
      <c r="BH126" s="9"/>
    </row>
    <row r="127" spans="1:64">
      <c r="A127">
        <v>2015</v>
      </c>
      <c r="B127" s="3">
        <f>USA!Z102/USA!AU102*100</f>
        <v>45.556296925601828</v>
      </c>
      <c r="C127" s="3">
        <f t="shared" si="66"/>
        <v>45.556296925601814</v>
      </c>
      <c r="D127" s="3">
        <f t="shared" si="67"/>
        <v>45.556296925601814</v>
      </c>
      <c r="E127" s="3">
        <f t="shared" si="68"/>
        <v>45.556296925601814</v>
      </c>
      <c r="F127" s="39">
        <f>'Exchange Rates'!P54</f>
        <v>0.90592556207997499</v>
      </c>
      <c r="G127" s="3">
        <f>(B127*USA!$AU102/100)/$AU94*100*$F127</f>
        <v>42.829777858164228</v>
      </c>
      <c r="H127" s="3">
        <f>(C127*USA!$AU102/100)/$AU94*100*$F127</f>
        <v>42.829777858164206</v>
      </c>
      <c r="I127" s="3">
        <f>(D127*USA!$AU102/100)/$AU94*100*$F127</f>
        <v>42.829777858164206</v>
      </c>
      <c r="J127" s="3">
        <f>(E127*USA!$AU102/100)/$AU94*100*$F127</f>
        <v>42.829777858164206</v>
      </c>
      <c r="K127" s="6">
        <f t="shared" si="69"/>
        <v>0.47530541286158634</v>
      </c>
      <c r="L127" s="6">
        <f t="shared" si="70"/>
        <v>0.47530541286158617</v>
      </c>
      <c r="M127" s="6">
        <f t="shared" si="71"/>
        <v>0.47530541286158617</v>
      </c>
      <c r="N127" s="6">
        <f t="shared" si="72"/>
        <v>0.47530541286158617</v>
      </c>
      <c r="O127">
        <v>2015</v>
      </c>
      <c r="P127" s="24">
        <f t="shared" si="57"/>
        <v>0.56140872693568622</v>
      </c>
      <c r="Q127" s="3">
        <f t="shared" si="58"/>
        <v>0.2384442521533727</v>
      </c>
      <c r="R127" s="3">
        <f t="shared" si="58"/>
        <v>0.23844425215337264</v>
      </c>
      <c r="S127" s="3">
        <f t="shared" si="58"/>
        <v>0.23844425215337264</v>
      </c>
      <c r="T127" s="3">
        <f t="shared" si="58"/>
        <v>0.23844425215337264</v>
      </c>
      <c r="U127" s="3">
        <f t="shared" si="59"/>
        <v>1.3070893659437999</v>
      </c>
      <c r="V127" s="3">
        <f t="shared" si="60"/>
        <v>1.2751583919506451</v>
      </c>
      <c r="W127" s="3">
        <f t="shared" si="61"/>
        <v>1.2751583919506451</v>
      </c>
      <c r="X127" s="3">
        <f t="shared" si="62"/>
        <v>1.2751583919506451</v>
      </c>
      <c r="Y127" s="3">
        <f t="shared" si="63"/>
        <v>1.3784623911</v>
      </c>
      <c r="Z127" s="3">
        <f t="shared" si="73"/>
        <v>1.3447878406770652</v>
      </c>
      <c r="AA127" s="3">
        <f t="shared" si="74"/>
        <v>1.3447878406770652</v>
      </c>
      <c r="AB127" s="3">
        <f t="shared" si="75"/>
        <v>1.3447878406770652</v>
      </c>
      <c r="AC127" s="3">
        <f t="shared" si="76"/>
        <v>1.3736546000000001</v>
      </c>
      <c r="AD127" s="3">
        <f t="shared" ref="AD127:AF127" si="81">AC127</f>
        <v>1.3736546000000001</v>
      </c>
      <c r="AE127" s="3">
        <f t="shared" si="81"/>
        <v>1.3736546000000001</v>
      </c>
      <c r="AF127" s="3">
        <f t="shared" si="81"/>
        <v>1.3736546000000001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S127" s="2"/>
      <c r="AV127" s="12"/>
      <c r="AW127" s="32"/>
      <c r="AX127" s="32"/>
      <c r="AY127" s="32"/>
      <c r="AZ127" s="12"/>
      <c r="BA127" s="12"/>
      <c r="BB127" s="12"/>
      <c r="BC127" s="7"/>
      <c r="BD127" s="7"/>
      <c r="BE127" s="7"/>
      <c r="BF127" s="12"/>
      <c r="BH127" s="9"/>
    </row>
    <row r="128" spans="1:64">
      <c r="A128">
        <v>2016</v>
      </c>
      <c r="B128" s="3">
        <f>USA!Z103/USA!AU103*100</f>
        <v>36.957692605914716</v>
      </c>
      <c r="C128" s="3">
        <f t="shared" si="66"/>
        <v>36.957692605914716</v>
      </c>
      <c r="D128" s="3">
        <f t="shared" si="67"/>
        <v>36.957692605914716</v>
      </c>
      <c r="E128" s="3">
        <f t="shared" si="68"/>
        <v>36.957692605914716</v>
      </c>
      <c r="F128" s="39">
        <f>'Exchange Rates'!P55</f>
        <v>0.90674707708863456</v>
      </c>
      <c r="G128" s="3">
        <f>(B128*USA!$AU103/100)/$AU95*100*$F128</f>
        <v>35.221778968538764</v>
      </c>
      <c r="H128" s="3">
        <f>(C128*USA!$AU103/100)/$AU95*100*$F128</f>
        <v>35.221778968538764</v>
      </c>
      <c r="I128" s="3">
        <f>(D128*USA!$AU103/100)/$AU95*100*$F128</f>
        <v>35.221778968538764</v>
      </c>
      <c r="J128" s="3">
        <f>(E128*USA!$AU103/100)/$AU95*100*$F128</f>
        <v>35.221778968538764</v>
      </c>
      <c r="K128" s="6">
        <f t="shared" si="69"/>
        <v>0.43356535478709068</v>
      </c>
      <c r="L128" s="6">
        <f t="shared" si="70"/>
        <v>0.43356535478709068</v>
      </c>
      <c r="M128" s="6">
        <f t="shared" si="71"/>
        <v>0.43356535478709068</v>
      </c>
      <c r="N128" s="6">
        <f t="shared" si="72"/>
        <v>0.43356535478709068</v>
      </c>
      <c r="O128">
        <v>2016</v>
      </c>
      <c r="P128" s="24">
        <f t="shared" si="57"/>
        <v>0.56140872693568622</v>
      </c>
      <c r="Q128" s="3">
        <f t="shared" si="58"/>
        <v>0.22884403879623869</v>
      </c>
      <c r="R128" s="3">
        <f t="shared" si="58"/>
        <v>0.22884403879623869</v>
      </c>
      <c r="S128" s="3">
        <f t="shared" si="58"/>
        <v>0.22884403879623869</v>
      </c>
      <c r="T128" s="3">
        <f t="shared" si="58"/>
        <v>0.22884403879623869</v>
      </c>
      <c r="U128" s="3">
        <f t="shared" si="59"/>
        <v>1.2249957517271599</v>
      </c>
      <c r="V128" s="3">
        <f t="shared" si="60"/>
        <v>1.2238181205190155</v>
      </c>
      <c r="W128" s="3">
        <f t="shared" si="61"/>
        <v>1.2238181205190155</v>
      </c>
      <c r="X128" s="3">
        <f t="shared" si="62"/>
        <v>1.2238181205190155</v>
      </c>
      <c r="Y128" s="3">
        <f t="shared" si="63"/>
        <v>1.2918860921141997</v>
      </c>
      <c r="Z128" s="3">
        <f t="shared" si="73"/>
        <v>1.290644156885203</v>
      </c>
      <c r="AA128" s="3">
        <f t="shared" si="74"/>
        <v>1.290644156885203</v>
      </c>
      <c r="AB128" s="3">
        <f t="shared" si="75"/>
        <v>1.290644156885203</v>
      </c>
      <c r="AC128" s="3">
        <f t="shared" si="76"/>
        <v>1.2873802612</v>
      </c>
      <c r="AD128" s="3">
        <f t="shared" ref="AD128:AF128" si="82">AC128</f>
        <v>1.2873802612</v>
      </c>
      <c r="AE128" s="3">
        <f t="shared" si="82"/>
        <v>1.2873802612</v>
      </c>
      <c r="AF128" s="3">
        <f t="shared" si="82"/>
        <v>1.2873802612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S128" s="2"/>
      <c r="AV128" s="12"/>
      <c r="AW128" s="32"/>
      <c r="AX128" s="32"/>
      <c r="AY128" s="32"/>
      <c r="AZ128" s="12"/>
      <c r="BA128" s="12"/>
      <c r="BB128" s="12"/>
      <c r="BC128" s="7"/>
      <c r="BD128" s="7"/>
      <c r="BE128" s="7"/>
      <c r="BF128" s="12"/>
      <c r="BH128" s="9"/>
    </row>
    <row r="129" spans="1:60">
      <c r="A129">
        <v>2017</v>
      </c>
      <c r="B129" s="3">
        <f>USA!Z104/USA!AU104*100</f>
        <v>46.705738720797434</v>
      </c>
      <c r="C129" s="3">
        <f t="shared" si="66"/>
        <v>46.705738720797434</v>
      </c>
      <c r="D129" s="3">
        <f t="shared" si="67"/>
        <v>46.705738720797434</v>
      </c>
      <c r="E129" s="3">
        <f t="shared" si="68"/>
        <v>46.705738720797434</v>
      </c>
      <c r="F129" s="39">
        <f>'Exchange Rates'!P56</f>
        <v>0.88700000000000001</v>
      </c>
      <c r="G129" s="3">
        <f>(B129*USA!$AU104/100)/$AU96*100*$F129</f>
        <v>44.319349224516714</v>
      </c>
      <c r="H129" s="3">
        <f>(C129*USA!$AU104/100)/$AU96*100*$F129</f>
        <v>44.319349224516714</v>
      </c>
      <c r="I129" s="3">
        <f>(D129*USA!$AU104/100)/$AU96*100*$F129</f>
        <v>44.319349224516714</v>
      </c>
      <c r="J129" s="3">
        <f>(E129*USA!$AU104/100)/$AU96*100*$F129</f>
        <v>44.319349224516714</v>
      </c>
      <c r="K129" s="6">
        <f t="shared" si="69"/>
        <v>0.48347770576536714</v>
      </c>
      <c r="L129" s="6">
        <f t="shared" si="70"/>
        <v>0.48347770576536714</v>
      </c>
      <c r="M129" s="6">
        <f t="shared" si="71"/>
        <v>0.48347770576536714</v>
      </c>
      <c r="N129" s="6">
        <f t="shared" si="72"/>
        <v>0.48347770576536714</v>
      </c>
      <c r="O129">
        <v>2017</v>
      </c>
      <c r="P129" s="24">
        <f t="shared" si="57"/>
        <v>0.55950640515814831</v>
      </c>
      <c r="Q129" s="3">
        <f t="shared" si="58"/>
        <v>0.23988634551240856</v>
      </c>
      <c r="R129" s="3">
        <f t="shared" si="58"/>
        <v>0.23988634551240856</v>
      </c>
      <c r="S129" s="3">
        <f t="shared" si="58"/>
        <v>0.23988634551240856</v>
      </c>
      <c r="T129" s="3">
        <f t="shared" si="58"/>
        <v>0.23988634551240856</v>
      </c>
      <c r="U129" s="3">
        <f t="shared" si="59"/>
        <v>1.2977123050249713</v>
      </c>
      <c r="V129" s="3">
        <f t="shared" si="60"/>
        <v>1.2828704564359239</v>
      </c>
      <c r="W129" s="3">
        <f t="shared" si="61"/>
        <v>1.2828704564359239</v>
      </c>
      <c r="X129" s="3">
        <f t="shared" si="62"/>
        <v>1.2828704564359239</v>
      </c>
      <c r="Y129" s="3">
        <f t="shared" si="63"/>
        <v>1.3685733000000004</v>
      </c>
      <c r="Z129" s="3">
        <f t="shared" si="73"/>
        <v>1.3529210189643959</v>
      </c>
      <c r="AA129" s="3">
        <f t="shared" si="74"/>
        <v>1.3529210189643959</v>
      </c>
      <c r="AB129" s="3">
        <f t="shared" si="75"/>
        <v>1.3529210189643959</v>
      </c>
      <c r="AC129" s="3">
        <f t="shared" si="76"/>
        <v>1.3638000000000006</v>
      </c>
      <c r="AD129" s="3">
        <f t="shared" ref="AD129:AF129" si="83">AC129</f>
        <v>1.3638000000000006</v>
      </c>
      <c r="AE129" s="3">
        <f t="shared" si="83"/>
        <v>1.3638000000000006</v>
      </c>
      <c r="AF129" s="3">
        <f t="shared" si="83"/>
        <v>1.3638000000000006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S129" s="2"/>
      <c r="AV129" s="12"/>
      <c r="AW129" s="32"/>
      <c r="AX129" s="32"/>
      <c r="AY129" s="32"/>
      <c r="AZ129" s="12"/>
      <c r="BA129" s="12"/>
      <c r="BB129" s="12"/>
      <c r="BC129" s="7"/>
      <c r="BD129" s="7"/>
      <c r="BE129" s="7"/>
      <c r="BF129" s="12"/>
      <c r="BH129" s="9"/>
    </row>
    <row r="130" spans="1:60">
      <c r="A130">
        <v>2018</v>
      </c>
      <c r="B130" s="3">
        <f>USA!Z105/USA!AU105*100</f>
        <v>60.818458312139953</v>
      </c>
      <c r="C130" s="3">
        <f t="shared" si="66"/>
        <v>60.818458312139953</v>
      </c>
      <c r="D130" s="3">
        <f t="shared" si="67"/>
        <v>60.818458312139953</v>
      </c>
      <c r="E130" s="3">
        <f t="shared" si="68"/>
        <v>60.818458312139953</v>
      </c>
      <c r="F130" s="39">
        <f>'Exchange Rates'!P57</f>
        <v>0.84599999999999997</v>
      </c>
      <c r="G130" s="3">
        <f>(B130*USA!$AU105/100)/$AU97*100*$F130</f>
        <v>56.317384003755301</v>
      </c>
      <c r="H130" s="3">
        <f>(C130*USA!$AU105/100)/$AU97*100*$F130</f>
        <v>56.317384003755301</v>
      </c>
      <c r="I130" s="3">
        <f>(D130*USA!$AU105/100)/$AU97*100*$F130</f>
        <v>56.317384003755301</v>
      </c>
      <c r="J130" s="3">
        <f>(E130*USA!$AU105/100)/$AU97*100*$F130</f>
        <v>56.317384003755301</v>
      </c>
      <c r="K130" s="6">
        <f t="shared" si="69"/>
        <v>0.54930298725274274</v>
      </c>
      <c r="L130" s="6">
        <f t="shared" si="70"/>
        <v>0.54930298725274274</v>
      </c>
      <c r="M130" s="6">
        <f t="shared" si="71"/>
        <v>0.54930298725274274</v>
      </c>
      <c r="N130" s="6">
        <f t="shared" si="72"/>
        <v>0.54930298725274274</v>
      </c>
      <c r="O130">
        <v>2018</v>
      </c>
      <c r="P130" s="24">
        <f t="shared" si="57"/>
        <v>0.55755496278838912</v>
      </c>
      <c r="Q130" s="3">
        <f>(K130+P130)*$T$120</f>
        <v>0.2545773285094603</v>
      </c>
      <c r="R130" s="3">
        <f t="shared" ref="R130:R142" si="84">(L130+P130)*$T$120</f>
        <v>0.2545773285094603</v>
      </c>
      <c r="S130" s="3">
        <f t="shared" ref="S130:S142" si="85">(M130+P130)*$T$120</f>
        <v>0.2545773285094603</v>
      </c>
      <c r="T130" s="3">
        <f t="shared" ref="T130:T142" si="86">(N130+P130)*$T$120</f>
        <v>0.2545773285094603</v>
      </c>
      <c r="U130" s="3">
        <f t="shared" si="59"/>
        <v>1.3484456563407832</v>
      </c>
      <c r="V130" s="3">
        <f t="shared" si="60"/>
        <v>1.3614352785505921</v>
      </c>
      <c r="W130" s="3">
        <f t="shared" si="61"/>
        <v>1.3614352785505921</v>
      </c>
      <c r="X130" s="3">
        <f t="shared" si="62"/>
        <v>1.3614352785505921</v>
      </c>
      <c r="Y130" s="3">
        <f t="shared" si="63"/>
        <v>1.4220769230769228</v>
      </c>
      <c r="Z130" s="3">
        <f t="shared" si="73"/>
        <v>1.4357758377474508</v>
      </c>
      <c r="AA130" s="3">
        <f t="shared" si="74"/>
        <v>1.4357758377474508</v>
      </c>
      <c r="AB130" s="3">
        <f t="shared" si="75"/>
        <v>1.4357758377474508</v>
      </c>
      <c r="AC130" s="3">
        <f t="shared" si="76"/>
        <v>1.4171170135295694</v>
      </c>
      <c r="AD130" s="3">
        <f t="shared" ref="AD130:AD142" si="87">V130*$AU$96/100</f>
        <v>1.4307681492251629</v>
      </c>
      <c r="AE130" s="3">
        <f t="shared" ref="AE130:AE142" si="88">W130*$AU$96/100</f>
        <v>1.4307681492251629</v>
      </c>
      <c r="AF130" s="3">
        <f t="shared" ref="AF130:AF142" si="89">X130*$AU$96/100</f>
        <v>1.4307681492251629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S130" s="2"/>
      <c r="AV130" s="12"/>
      <c r="AW130" s="32"/>
      <c r="AX130" s="32"/>
      <c r="AY130" s="32"/>
      <c r="AZ130" s="12"/>
      <c r="BA130" s="12"/>
      <c r="BB130" s="12"/>
      <c r="BC130" s="44"/>
      <c r="BD130" s="12"/>
      <c r="BE130" s="7"/>
      <c r="BF130" s="12"/>
      <c r="BH130" s="9"/>
    </row>
    <row r="131" spans="1:60">
      <c r="A131">
        <v>2019</v>
      </c>
      <c r="B131" s="3"/>
      <c r="C131" s="3">
        <f>AK131</f>
        <v>90.611761513694489</v>
      </c>
      <c r="D131" s="3">
        <f t="shared" si="67"/>
        <v>56.019786702864394</v>
      </c>
      <c r="E131" s="3">
        <f t="shared" si="68"/>
        <v>25.889074718198426</v>
      </c>
      <c r="F131" s="39">
        <f>'Exchange Rates'!P58</f>
        <v>0.86199999999999999</v>
      </c>
      <c r="G131" s="3"/>
      <c r="H131" s="3">
        <f>(C131*USA!$AU106/100)/$AU98*100*$F131</f>
        <v>85.492603388866996</v>
      </c>
      <c r="I131" s="3">
        <f>(D131*USA!$AU106/100)/$AU98*100*$F131</f>
        <v>52.854920007190124</v>
      </c>
      <c r="J131" s="3">
        <f>(E131*USA!$AU106/100)/$AU98*100*$F131</f>
        <v>24.426458111104854</v>
      </c>
      <c r="K131" s="6"/>
      <c r="L131" s="6">
        <f t="shared" si="70"/>
        <v>0.70936811990297421</v>
      </c>
      <c r="M131" s="6">
        <f t="shared" si="71"/>
        <v>0.5303067373328646</v>
      </c>
      <c r="N131" s="6">
        <f t="shared" si="72"/>
        <v>0.37433856912909641</v>
      </c>
      <c r="O131">
        <v>2019</v>
      </c>
      <c r="P131" s="3">
        <f t="shared" ref="P131:P142" si="90">P130</f>
        <v>0.55755496278838912</v>
      </c>
      <c r="Q131" s="3"/>
      <c r="R131" s="3">
        <f t="shared" si="84"/>
        <v>0.29139230901901358</v>
      </c>
      <c r="S131" s="3">
        <f t="shared" si="85"/>
        <v>0.25020819102788833</v>
      </c>
      <c r="T131" s="3">
        <f t="shared" si="86"/>
        <v>0.21433551234102166</v>
      </c>
      <c r="U131" s="3"/>
      <c r="V131" s="3">
        <f t="shared" si="60"/>
        <v>1.5583153917103769</v>
      </c>
      <c r="W131" s="3">
        <f t="shared" si="61"/>
        <v>1.338069891149142</v>
      </c>
      <c r="X131" s="3">
        <f t="shared" si="62"/>
        <v>1.146229044258507</v>
      </c>
      <c r="Y131" s="9"/>
      <c r="Z131" s="3">
        <f t="shared" si="73"/>
        <v>1.6434065006672074</v>
      </c>
      <c r="AA131" s="3">
        <f t="shared" si="74"/>
        <v>1.4111345939078421</v>
      </c>
      <c r="AB131" s="3">
        <f t="shared" si="75"/>
        <v>1.2088183641184829</v>
      </c>
      <c r="AC131" s="3"/>
      <c r="AD131" s="3">
        <f t="shared" si="87"/>
        <v>1.6376746394292057</v>
      </c>
      <c r="AE131" s="3">
        <f t="shared" si="88"/>
        <v>1.4062128489365642</v>
      </c>
      <c r="AF131" s="3">
        <f t="shared" si="89"/>
        <v>1.2046022562217071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S131" s="2"/>
      <c r="AV131" s="12"/>
      <c r="AW131" s="32"/>
      <c r="AX131" s="32"/>
      <c r="AY131" s="32"/>
      <c r="AZ131" s="12"/>
      <c r="BA131" s="12"/>
      <c r="BB131" s="12"/>
      <c r="BC131" s="44"/>
      <c r="BD131" s="12"/>
      <c r="BE131" s="7"/>
      <c r="BF131" s="12"/>
      <c r="BH131" s="9"/>
    </row>
    <row r="132" spans="1:60">
      <c r="A132">
        <v>2020</v>
      </c>
      <c r="B132" s="3"/>
      <c r="C132" s="3">
        <f t="shared" si="66"/>
        <v>105.28223718734027</v>
      </c>
      <c r="D132" s="3">
        <f t="shared" si="67"/>
        <v>56.251630823658907</v>
      </c>
      <c r="E132" s="3">
        <f t="shared" si="68"/>
        <v>26.752043875471706</v>
      </c>
      <c r="F132" s="39">
        <f>'Exchange Rates'!P59</f>
        <v>0.86199999999999999</v>
      </c>
      <c r="G132" s="3"/>
      <c r="H132" s="3">
        <f>(C132*USA!$AU107/100)/$AU99*100*$F132</f>
        <v>99.334262985159754</v>
      </c>
      <c r="I132" s="3">
        <f>(D132*USA!$AU107/100)/$AU99*100*$F132</f>
        <v>53.073665974998406</v>
      </c>
      <c r="J132" s="3">
        <f>(E132*USA!$AU107/100)/$AU99*100*$F132</f>
        <v>25.240673381475013</v>
      </c>
      <c r="K132" s="6"/>
      <c r="L132" s="6">
        <f t="shared" si="70"/>
        <v>0.78530815141171972</v>
      </c>
      <c r="M132" s="6">
        <f t="shared" si="71"/>
        <v>0.53150685178245127</v>
      </c>
      <c r="N132" s="6">
        <f t="shared" si="72"/>
        <v>0.37880562980608146</v>
      </c>
      <c r="O132">
        <v>2020</v>
      </c>
      <c r="P132" s="3">
        <f t="shared" si="90"/>
        <v>0.55755496278838912</v>
      </c>
      <c r="Q132" s="3"/>
      <c r="R132" s="3">
        <f t="shared" si="84"/>
        <v>0.30885851626602506</v>
      </c>
      <c r="S132" s="3">
        <f t="shared" si="85"/>
        <v>0.25048421735129328</v>
      </c>
      <c r="T132" s="3">
        <f t="shared" si="86"/>
        <v>0.21536293629672823</v>
      </c>
      <c r="U132" s="3"/>
      <c r="V132" s="3">
        <f t="shared" si="60"/>
        <v>1.651721630466134</v>
      </c>
      <c r="W132" s="3">
        <f t="shared" si="61"/>
        <v>1.3395460319221337</v>
      </c>
      <c r="X132" s="3">
        <f t="shared" si="62"/>
        <v>1.1517235288911989</v>
      </c>
      <c r="Y132" s="9"/>
      <c r="Z132" s="3">
        <f t="shared" si="73"/>
        <v>1.7419131449515848</v>
      </c>
      <c r="AA132" s="3">
        <f t="shared" si="74"/>
        <v>1.4126913386818072</v>
      </c>
      <c r="AB132" s="3">
        <f t="shared" si="75"/>
        <v>1.2146128726057994</v>
      </c>
      <c r="AC132" s="3"/>
      <c r="AD132" s="3">
        <f t="shared" si="87"/>
        <v>1.7358377129562386</v>
      </c>
      <c r="AE132" s="3">
        <f t="shared" si="88"/>
        <v>1.4077641641074314</v>
      </c>
      <c r="AF132" s="3">
        <f t="shared" si="89"/>
        <v>1.210376554664474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S132" s="2"/>
      <c r="AV132" s="12"/>
      <c r="AW132" s="32"/>
      <c r="AX132" s="32"/>
      <c r="AY132" s="32"/>
      <c r="AZ132" s="12"/>
      <c r="BA132" s="12"/>
      <c r="BB132" s="12"/>
      <c r="BC132" s="44"/>
      <c r="BD132" s="12"/>
      <c r="BE132" s="7"/>
      <c r="BF132" s="12"/>
      <c r="BH132" s="9"/>
    </row>
    <row r="133" spans="1:60">
      <c r="A133">
        <v>2021</v>
      </c>
      <c r="B133" s="3"/>
      <c r="C133" s="3">
        <f t="shared" si="66"/>
        <v>120.81568201825931</v>
      </c>
      <c r="D133" s="3">
        <f t="shared" si="67"/>
        <v>63.082289986431647</v>
      </c>
      <c r="E133" s="3">
        <f t="shared" si="68"/>
        <v>28.477982190018274</v>
      </c>
      <c r="F133" s="39">
        <f>'Exchange Rates'!P60</f>
        <v>0.86199999999999999</v>
      </c>
      <c r="G133" s="3"/>
      <c r="H133" s="3">
        <f>(C133*USA!$AU108/100)/$AU100*100*$F133</f>
        <v>113.99013785182265</v>
      </c>
      <c r="I133" s="3">
        <f>(D133*USA!$AU108/100)/$AU100*100*$F133</f>
        <v>59.518423531104418</v>
      </c>
      <c r="J133" s="3">
        <f>(E133*USA!$AU108/100)/$AU100*100*$F133</f>
        <v>26.869103922215345</v>
      </c>
      <c r="K133" s="6"/>
      <c r="L133" s="6">
        <f t="shared" si="70"/>
        <v>0.86571524359745045</v>
      </c>
      <c r="M133" s="6">
        <f t="shared" si="71"/>
        <v>0.5668649740128231</v>
      </c>
      <c r="N133" s="6">
        <f t="shared" si="72"/>
        <v>0.38773975116005155</v>
      </c>
      <c r="O133">
        <v>2021</v>
      </c>
      <c r="P133" s="3">
        <f t="shared" si="90"/>
        <v>0.55755496278838912</v>
      </c>
      <c r="Q133" s="3"/>
      <c r="R133" s="3">
        <f t="shared" si="84"/>
        <v>0.32735214746874314</v>
      </c>
      <c r="S133" s="3">
        <f t="shared" si="85"/>
        <v>0.25861658546427885</v>
      </c>
      <c r="T133" s="3">
        <f t="shared" si="86"/>
        <v>0.21741778420814137</v>
      </c>
      <c r="U133" s="3"/>
      <c r="V133" s="3">
        <f t="shared" si="60"/>
        <v>1.7506223538545826</v>
      </c>
      <c r="W133" s="3">
        <f t="shared" si="61"/>
        <v>1.383036522265491</v>
      </c>
      <c r="X133" s="3">
        <f t="shared" si="62"/>
        <v>1.162712498156582</v>
      </c>
      <c r="Y133" s="9"/>
      <c r="Z133" s="3">
        <f t="shared" si="73"/>
        <v>1.8462142977232787</v>
      </c>
      <c r="AA133" s="3">
        <f t="shared" si="74"/>
        <v>1.4585566076303678</v>
      </c>
      <c r="AB133" s="3">
        <f t="shared" si="75"/>
        <v>1.2262018895804321</v>
      </c>
      <c r="AC133" s="3"/>
      <c r="AD133" s="3">
        <f t="shared" si="87"/>
        <v>1.8397750849260379</v>
      </c>
      <c r="AE133" s="3">
        <f t="shared" si="88"/>
        <v>1.453469464504602</v>
      </c>
      <c r="AF133" s="3">
        <f t="shared" si="89"/>
        <v>1.2219251515500071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S133" s="2"/>
      <c r="AV133" s="12"/>
      <c r="AW133" s="32"/>
      <c r="AX133" s="32"/>
      <c r="AY133" s="32"/>
      <c r="AZ133" s="12"/>
      <c r="BA133" s="12"/>
      <c r="BB133" s="12"/>
      <c r="BC133" s="44"/>
      <c r="BD133" s="12"/>
      <c r="BE133" s="7"/>
      <c r="BF133" s="12"/>
      <c r="BH133" s="9"/>
    </row>
    <row r="134" spans="1:60">
      <c r="A134">
        <v>2022</v>
      </c>
      <c r="B134" s="3"/>
      <c r="C134" s="3">
        <f t="shared" si="66"/>
        <v>127.71943527644558</v>
      </c>
      <c r="D134" s="3">
        <f t="shared" si="67"/>
        <v>68.168185410991157</v>
      </c>
      <c r="E134" s="3">
        <f t="shared" si="68"/>
        <v>29.340951347291547</v>
      </c>
      <c r="F134" s="39">
        <f>'Exchange Rates'!P61</f>
        <v>0.86199999999999999</v>
      </c>
      <c r="G134" s="3"/>
      <c r="H134" s="3">
        <f>(C134*USA!$AU109/100)/$AU101*100*$F134</f>
        <v>120.50386001478395</v>
      </c>
      <c r="I134" s="3">
        <f>(D134*USA!$AU109/100)/$AU101*100*$F134</f>
        <v>64.316988674807163</v>
      </c>
      <c r="J134" s="3">
        <f>(E134*USA!$AU109/100)/$AU101*100*$F134</f>
        <v>27.6833191925855</v>
      </c>
      <c r="K134" s="6"/>
      <c r="L134" s="6">
        <f t="shared" si="70"/>
        <v>0.90145172901333059</v>
      </c>
      <c r="M134" s="6">
        <f t="shared" si="71"/>
        <v>0.59319152724688418</v>
      </c>
      <c r="N134" s="6">
        <f t="shared" si="72"/>
        <v>0.39220681183703654</v>
      </c>
      <c r="O134">
        <v>2022</v>
      </c>
      <c r="P134" s="3">
        <f t="shared" si="90"/>
        <v>0.55755496278838912</v>
      </c>
      <c r="Q134" s="3"/>
      <c r="R134" s="3">
        <f t="shared" si="84"/>
        <v>0.33557153911439552</v>
      </c>
      <c r="S134" s="3">
        <f t="shared" si="85"/>
        <v>0.26467169270811286</v>
      </c>
      <c r="T134" s="3">
        <f t="shared" si="86"/>
        <v>0.21844520816384791</v>
      </c>
      <c r="U134" s="3"/>
      <c r="V134" s="3">
        <f t="shared" si="60"/>
        <v>1.7945782309161151</v>
      </c>
      <c r="W134" s="3">
        <f t="shared" si="61"/>
        <v>1.415418182743386</v>
      </c>
      <c r="X134" s="3">
        <f t="shared" si="62"/>
        <v>1.1682069827892736</v>
      </c>
      <c r="Y134" s="9"/>
      <c r="Z134" s="3">
        <f t="shared" si="73"/>
        <v>1.8925703656218089</v>
      </c>
      <c r="AA134" s="3">
        <f t="shared" si="74"/>
        <v>1.4927064540702222</v>
      </c>
      <c r="AB134" s="3">
        <f t="shared" si="75"/>
        <v>1.2319963980677484</v>
      </c>
      <c r="AC134" s="3"/>
      <c r="AD134" s="3">
        <f t="shared" si="87"/>
        <v>1.8859694724681708</v>
      </c>
      <c r="AE134" s="3">
        <f t="shared" si="88"/>
        <v>1.4875002033584679</v>
      </c>
      <c r="AF134" s="3">
        <f t="shared" si="89"/>
        <v>1.2276994499927738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S134" s="2"/>
      <c r="AV134" s="12"/>
      <c r="AW134" s="32"/>
      <c r="AX134" s="32"/>
      <c r="AY134" s="32"/>
      <c r="AZ134" s="12"/>
      <c r="BA134" s="12"/>
      <c r="BB134" s="12"/>
      <c r="BC134" s="44"/>
      <c r="BD134" s="12"/>
      <c r="BE134" s="7"/>
      <c r="BF134" s="12"/>
      <c r="BH134" s="9"/>
    </row>
    <row r="135" spans="1:60">
      <c r="A135">
        <v>2023</v>
      </c>
      <c r="B135" s="3"/>
      <c r="C135" s="3">
        <f t="shared" si="66"/>
        <v>132.89725022008525</v>
      </c>
      <c r="D135" s="3">
        <f t="shared" si="67"/>
        <v>70.508542947524788</v>
      </c>
      <c r="E135" s="3">
        <f t="shared" si="68"/>
        <v>29.340951347291547</v>
      </c>
      <c r="F135" s="39">
        <f>'Exchange Rates'!P62</f>
        <v>0.86199999999999999</v>
      </c>
      <c r="G135" s="3"/>
      <c r="H135" s="3">
        <f>(C135*USA!$AU110/100)/$AU102*100*$F135</f>
        <v>125.38915163700494</v>
      </c>
      <c r="I135" s="3">
        <f>(D135*USA!$AU110/100)/$AU102*100*$F135</f>
        <v>66.525126507209592</v>
      </c>
      <c r="J135" s="3">
        <f>(E135*USA!$AU110/100)/$AU102*100*$F135</f>
        <v>27.6833191925855</v>
      </c>
      <c r="K135" s="6"/>
      <c r="L135" s="6">
        <f t="shared" si="70"/>
        <v>0.92825409307524098</v>
      </c>
      <c r="M135" s="6">
        <f t="shared" si="71"/>
        <v>0.60530611909923737</v>
      </c>
      <c r="N135" s="6">
        <f t="shared" si="72"/>
        <v>0.39220681183703654</v>
      </c>
      <c r="O135">
        <v>2023</v>
      </c>
      <c r="P135" s="3">
        <f t="shared" si="90"/>
        <v>0.55755496278838912</v>
      </c>
      <c r="Q135" s="3"/>
      <c r="R135" s="3">
        <f t="shared" si="84"/>
        <v>0.34173608284863494</v>
      </c>
      <c r="S135" s="3">
        <f t="shared" si="85"/>
        <v>0.26745804883415408</v>
      </c>
      <c r="T135" s="3">
        <f t="shared" si="86"/>
        <v>0.21844520816384791</v>
      </c>
      <c r="U135" s="3"/>
      <c r="V135" s="3">
        <f t="shared" si="60"/>
        <v>1.827545138712265</v>
      </c>
      <c r="W135" s="3">
        <f t="shared" si="61"/>
        <v>1.4303191307217804</v>
      </c>
      <c r="X135" s="3">
        <f t="shared" si="62"/>
        <v>1.1682069827892736</v>
      </c>
      <c r="Y135" s="9"/>
      <c r="Z135" s="3">
        <f t="shared" si="73"/>
        <v>1.9273374165457073</v>
      </c>
      <c r="AA135" s="3">
        <f t="shared" si="74"/>
        <v>1.5084210615906672</v>
      </c>
      <c r="AB135" s="3">
        <f t="shared" si="75"/>
        <v>1.2319963980677484</v>
      </c>
      <c r="AC135" s="3"/>
      <c r="AD135" s="3">
        <f t="shared" si="87"/>
        <v>1.920615263124771</v>
      </c>
      <c r="AE135" s="3">
        <f t="shared" si="88"/>
        <v>1.5031600015851196</v>
      </c>
      <c r="AF135" s="3">
        <f t="shared" si="89"/>
        <v>1.2276994499927738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S135" s="2"/>
      <c r="AV135" s="12"/>
      <c r="AW135" s="32"/>
      <c r="AX135" s="32"/>
      <c r="AY135" s="32"/>
      <c r="AZ135" s="12"/>
      <c r="BA135" s="12"/>
      <c r="BB135" s="12"/>
      <c r="BC135" s="44"/>
      <c r="BD135" s="12"/>
      <c r="BE135" s="7"/>
      <c r="BF135" s="12"/>
      <c r="BH135" s="9"/>
    </row>
    <row r="136" spans="1:60">
      <c r="A136">
        <v>2024</v>
      </c>
      <c r="B136" s="3"/>
      <c r="C136" s="3">
        <f t="shared" si="66"/>
        <v>137.21209600645167</v>
      </c>
      <c r="D136" s="3">
        <f t="shared" si="67"/>
        <v>71.127304204880986</v>
      </c>
      <c r="E136" s="3">
        <f t="shared" si="68"/>
        <v>29.340951347291547</v>
      </c>
      <c r="F136" s="39">
        <f>'Exchange Rates'!P63</f>
        <v>0.86199999999999999</v>
      </c>
      <c r="G136" s="3"/>
      <c r="H136" s="3">
        <f>(C136*USA!$AU111/100)/$AU103*100*$F136</f>
        <v>129.46022798885573</v>
      </c>
      <c r="I136" s="3">
        <f>(D136*USA!$AU111/100)/$AU103*100*$F136</f>
        <v>67.108930528716826</v>
      </c>
      <c r="J136" s="3">
        <f>(E136*USA!$AU111/100)/$AU103*100*$F136</f>
        <v>27.6833191925855</v>
      </c>
      <c r="K136" s="6"/>
      <c r="L136" s="6">
        <f t="shared" si="70"/>
        <v>0.95058939646016616</v>
      </c>
      <c r="M136" s="6">
        <f t="shared" si="71"/>
        <v>0.60850906564475604</v>
      </c>
      <c r="N136" s="6">
        <f t="shared" si="72"/>
        <v>0.39220681183703654</v>
      </c>
      <c r="O136">
        <v>2024</v>
      </c>
      <c r="P136" s="3">
        <f t="shared" si="90"/>
        <v>0.55755496278838912</v>
      </c>
      <c r="Q136" s="3"/>
      <c r="R136" s="3">
        <f t="shared" si="84"/>
        <v>0.34687320262716775</v>
      </c>
      <c r="S136" s="3">
        <f t="shared" si="85"/>
        <v>0.2681947265396234</v>
      </c>
      <c r="T136" s="3">
        <f t="shared" si="86"/>
        <v>0.21844520816384791</v>
      </c>
      <c r="U136" s="3"/>
      <c r="V136" s="3">
        <f t="shared" si="60"/>
        <v>1.855017561875723</v>
      </c>
      <c r="W136" s="3">
        <f t="shared" si="61"/>
        <v>1.4342587549727686</v>
      </c>
      <c r="X136" s="3">
        <f t="shared" si="62"/>
        <v>1.1682069827892736</v>
      </c>
      <c r="Y136" s="9"/>
      <c r="Z136" s="3">
        <f t="shared" si="73"/>
        <v>1.956309958982289</v>
      </c>
      <c r="AA136" s="3">
        <f t="shared" si="74"/>
        <v>1.512575807246586</v>
      </c>
      <c r="AB136" s="3">
        <f t="shared" si="75"/>
        <v>1.2319963980677484</v>
      </c>
      <c r="AC136" s="3"/>
      <c r="AD136" s="3">
        <f t="shared" si="87"/>
        <v>1.9494867553386042</v>
      </c>
      <c r="AE136" s="3">
        <f t="shared" si="88"/>
        <v>1.5073002563493634</v>
      </c>
      <c r="AF136" s="3">
        <f t="shared" si="89"/>
        <v>1.2276994499927738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S136" s="2"/>
      <c r="AV136" s="12"/>
      <c r="AW136" s="32"/>
      <c r="AX136" s="32"/>
      <c r="AY136" s="32"/>
      <c r="AZ136" s="12"/>
      <c r="BA136" s="12"/>
      <c r="BB136" s="12"/>
      <c r="BC136" s="44"/>
      <c r="BD136" s="12"/>
      <c r="BE136" s="7"/>
      <c r="BF136" s="12"/>
      <c r="BH136" s="9"/>
    </row>
    <row r="137" spans="1:60">
      <c r="A137">
        <v>2025</v>
      </c>
      <c r="B137" s="3"/>
      <c r="C137" s="3">
        <f t="shared" si="66"/>
        <v>141.52694179281806</v>
      </c>
      <c r="D137" s="3">
        <f t="shared" si="67"/>
        <v>74.364924740814473</v>
      </c>
      <c r="E137" s="3">
        <f t="shared" si="68"/>
        <v>30.203920504564827</v>
      </c>
      <c r="F137" s="39">
        <f>'Exchange Rates'!P64</f>
        <v>0.86199999999999999</v>
      </c>
      <c r="G137" s="3"/>
      <c r="H137" s="3">
        <f>(C137*USA!$AU112/100)/$AU104*100*$F137</f>
        <v>133.53130434070653</v>
      </c>
      <c r="I137" s="3">
        <f>(D137*USA!$AU112/100)/$AU104*100*$F137</f>
        <v>70.163640025346368</v>
      </c>
      <c r="J137" s="3">
        <f>(E137*USA!$AU112/100)/$AU104*100*$F137</f>
        <v>28.497534462955663</v>
      </c>
      <c r="K137" s="6"/>
      <c r="L137" s="6">
        <f t="shared" si="70"/>
        <v>0.97292469984509111</v>
      </c>
      <c r="M137" s="6">
        <f t="shared" si="71"/>
        <v>0.62526823630708339</v>
      </c>
      <c r="N137" s="6">
        <f t="shared" si="72"/>
        <v>0.39667387251402164</v>
      </c>
      <c r="O137">
        <v>2025</v>
      </c>
      <c r="P137" s="3">
        <f t="shared" si="90"/>
        <v>0.55755496278838912</v>
      </c>
      <c r="Q137" s="3"/>
      <c r="R137" s="3">
        <f t="shared" si="84"/>
        <v>0.35201032240570046</v>
      </c>
      <c r="S137" s="3">
        <f t="shared" si="85"/>
        <v>0.27204933579195867</v>
      </c>
      <c r="T137" s="3">
        <f t="shared" si="86"/>
        <v>0.21947263211955448</v>
      </c>
      <c r="U137" s="3"/>
      <c r="V137" s="3">
        <f t="shared" si="60"/>
        <v>1.8824899850391807</v>
      </c>
      <c r="W137" s="3">
        <f t="shared" si="61"/>
        <v>1.4548725348874312</v>
      </c>
      <c r="X137" s="3">
        <f t="shared" si="62"/>
        <v>1.1737014674219652</v>
      </c>
      <c r="Y137" s="9"/>
      <c r="Z137" s="3">
        <f t="shared" si="73"/>
        <v>1.9852825014188704</v>
      </c>
      <c r="AA137" s="3">
        <f t="shared" si="74"/>
        <v>1.5343151933139323</v>
      </c>
      <c r="AB137" s="3">
        <f t="shared" si="75"/>
        <v>1.2377909065550647</v>
      </c>
      <c r="AC137" s="3"/>
      <c r="AD137" s="3">
        <f t="shared" si="87"/>
        <v>1.9783582475524373</v>
      </c>
      <c r="AE137" s="3">
        <f t="shared" si="88"/>
        <v>1.528963819944128</v>
      </c>
      <c r="AF137" s="3">
        <f t="shared" si="89"/>
        <v>1.2334737484355405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S137" s="2"/>
      <c r="AV137" s="12"/>
      <c r="AW137" s="32"/>
      <c r="AX137" s="32"/>
      <c r="AY137" s="32"/>
      <c r="AZ137" s="12"/>
      <c r="BA137" s="12"/>
      <c r="BB137" s="12"/>
      <c r="BC137" s="44"/>
      <c r="BD137" s="12"/>
      <c r="BE137" s="7"/>
      <c r="BF137" s="12"/>
      <c r="BH137" s="9"/>
    </row>
    <row r="138" spans="1:60">
      <c r="A138">
        <v>2026</v>
      </c>
      <c r="B138" s="3"/>
      <c r="C138" s="3">
        <f t="shared" si="66"/>
        <v>145.84178757918448</v>
      </c>
      <c r="D138" s="3">
        <f t="shared" si="67"/>
        <v>80.055420065999314</v>
      </c>
      <c r="E138" s="3">
        <f t="shared" si="68"/>
        <v>31.066889661838108</v>
      </c>
      <c r="F138" s="39">
        <f>'Exchange Rates'!P65</f>
        <v>0.86199999999999999</v>
      </c>
      <c r="G138" s="3"/>
      <c r="H138" s="3">
        <f>(C138*USA!$AU113/100)/$AU105*100*$F138</f>
        <v>137.60238069255738</v>
      </c>
      <c r="I138" s="3">
        <f>(D138*USA!$AU113/100)/$AU105*100*$F138</f>
        <v>75.532647886966004</v>
      </c>
      <c r="J138" s="3">
        <f>(E138*USA!$AU113/100)/$AU105*100*$F138</f>
        <v>29.311749733325819</v>
      </c>
      <c r="K138" s="6"/>
      <c r="L138" s="6">
        <f t="shared" si="70"/>
        <v>0.99526000323001651</v>
      </c>
      <c r="M138" s="6">
        <f t="shared" si="71"/>
        <v>0.65472443145085801</v>
      </c>
      <c r="N138" s="6">
        <f t="shared" si="72"/>
        <v>0.40114093319100663</v>
      </c>
      <c r="O138">
        <v>2026</v>
      </c>
      <c r="P138" s="3">
        <f t="shared" si="90"/>
        <v>0.55755496278838912</v>
      </c>
      <c r="Q138" s="3"/>
      <c r="R138" s="3">
        <f t="shared" si="84"/>
        <v>0.35714744218423333</v>
      </c>
      <c r="S138" s="3">
        <f t="shared" si="85"/>
        <v>0.27882426067502686</v>
      </c>
      <c r="T138" s="3">
        <f t="shared" si="86"/>
        <v>0.22050005607526102</v>
      </c>
      <c r="U138" s="3"/>
      <c r="V138" s="3">
        <f t="shared" si="60"/>
        <v>1.909962408202639</v>
      </c>
      <c r="W138" s="3">
        <f t="shared" si="61"/>
        <v>1.491103654914274</v>
      </c>
      <c r="X138" s="3">
        <f t="shared" si="62"/>
        <v>1.1791959520546569</v>
      </c>
      <c r="Y138" s="9"/>
      <c r="Z138" s="3">
        <f t="shared" si="73"/>
        <v>2.0142550438554521</v>
      </c>
      <c r="AA138" s="3">
        <f t="shared" si="74"/>
        <v>1.5725246973047866</v>
      </c>
      <c r="AB138" s="3">
        <f t="shared" si="75"/>
        <v>1.2435854150423813</v>
      </c>
      <c r="AC138" s="3"/>
      <c r="AD138" s="3">
        <f t="shared" si="87"/>
        <v>2.0072297397662706</v>
      </c>
      <c r="AE138" s="3">
        <f t="shared" si="88"/>
        <v>1.5670400571049197</v>
      </c>
      <c r="AF138" s="3">
        <f t="shared" si="89"/>
        <v>1.2392480468783074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S138" s="2"/>
      <c r="AV138" s="12"/>
      <c r="AW138" s="32"/>
      <c r="AX138" s="32"/>
      <c r="AY138" s="32"/>
      <c r="AZ138" s="12"/>
      <c r="BA138" s="12"/>
      <c r="BB138" s="12"/>
      <c r="BC138" s="44"/>
      <c r="BD138" s="12"/>
      <c r="BE138" s="7"/>
      <c r="BF138" s="12"/>
      <c r="BH138" s="9"/>
    </row>
    <row r="139" spans="1:60">
      <c r="A139">
        <v>2027</v>
      </c>
      <c r="B139" s="3"/>
      <c r="C139" s="3">
        <f t="shared" si="66"/>
        <v>150.15663336555087</v>
      </c>
      <c r="D139" s="3">
        <f t="shared" si="67"/>
        <v>82.98815737026753</v>
      </c>
      <c r="E139" s="3">
        <f t="shared" si="68"/>
        <v>31.929858819111395</v>
      </c>
      <c r="F139" s="39">
        <f>'Exchange Rates'!P66</f>
        <v>0.86199999999999999</v>
      </c>
      <c r="G139" s="3"/>
      <c r="H139" s="3">
        <f>(C139*USA!$AU114/100)/$AU106*100*$F139</f>
        <v>141.67345704440817</v>
      </c>
      <c r="I139" s="3">
        <f>(D139*USA!$AU114/100)/$AU106*100*$F139</f>
        <v>78.29969868709469</v>
      </c>
      <c r="J139" s="3">
        <f>(E139*USA!$AU114/100)/$AU106*100*$F139</f>
        <v>30.125965003695988</v>
      </c>
      <c r="K139" s="6"/>
      <c r="L139" s="6">
        <f t="shared" si="70"/>
        <v>1.0175953066149417</v>
      </c>
      <c r="M139" s="6">
        <f t="shared" si="71"/>
        <v>0.66990540909925733</v>
      </c>
      <c r="N139" s="6">
        <f t="shared" si="72"/>
        <v>0.40560799386799168</v>
      </c>
      <c r="O139">
        <v>2027</v>
      </c>
      <c r="P139" s="3">
        <f t="shared" si="90"/>
        <v>0.55755496278838912</v>
      </c>
      <c r="Q139" s="3"/>
      <c r="R139" s="3">
        <f t="shared" si="84"/>
        <v>0.36228456196276609</v>
      </c>
      <c r="S139" s="3">
        <f t="shared" si="85"/>
        <v>0.28231588553415871</v>
      </c>
      <c r="T139" s="3">
        <f t="shared" si="86"/>
        <v>0.22152748003096762</v>
      </c>
      <c r="U139" s="3"/>
      <c r="V139" s="3">
        <f t="shared" si="60"/>
        <v>1.937434831366097</v>
      </c>
      <c r="W139" s="3">
        <f t="shared" si="61"/>
        <v>1.5097762574218052</v>
      </c>
      <c r="X139" s="3">
        <f t="shared" si="62"/>
        <v>1.1846904366873485</v>
      </c>
      <c r="Y139" s="9"/>
      <c r="Z139" s="3">
        <f t="shared" si="73"/>
        <v>2.0432275862920339</v>
      </c>
      <c r="AA139" s="3">
        <f t="shared" si="74"/>
        <v>1.5922169088484142</v>
      </c>
      <c r="AB139" s="3">
        <f t="shared" si="75"/>
        <v>1.2493799235296976</v>
      </c>
      <c r="AC139" s="3"/>
      <c r="AD139" s="3">
        <f t="shared" si="87"/>
        <v>2.0361012319801035</v>
      </c>
      <c r="AE139" s="3">
        <f t="shared" si="88"/>
        <v>1.5866635862963769</v>
      </c>
      <c r="AF139" s="3">
        <f t="shared" si="89"/>
        <v>1.245022345321074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S139" s="2"/>
      <c r="AV139" s="12"/>
      <c r="AW139" s="32"/>
      <c r="AX139" s="32"/>
      <c r="AY139" s="32"/>
      <c r="AZ139" s="12"/>
      <c r="BA139" s="12"/>
      <c r="BB139" s="12"/>
      <c r="BC139" s="44"/>
      <c r="BD139" s="12"/>
      <c r="BE139" s="7"/>
      <c r="BF139" s="12"/>
      <c r="BH139" s="9"/>
    </row>
    <row r="140" spans="1:60">
      <c r="A140">
        <v>2028</v>
      </c>
      <c r="B140" s="3"/>
      <c r="C140" s="3">
        <f t="shared" si="66"/>
        <v>153.60850999464401</v>
      </c>
      <c r="D140" s="3">
        <f t="shared" si="67"/>
        <v>84.844653255379882</v>
      </c>
      <c r="E140" s="3">
        <f t="shared" si="68"/>
        <v>31.929858819111395</v>
      </c>
      <c r="F140" s="39">
        <f>'Exchange Rates'!P67</f>
        <v>0.86199999999999999</v>
      </c>
      <c r="G140" s="3"/>
      <c r="H140" s="3">
        <f>(C140*USA!$AU115/100)/$AU107*100*$F140</f>
        <v>144.93031812588882</v>
      </c>
      <c r="I140" s="3">
        <f>(D140*USA!$AU115/100)/$AU107*100*$F140</f>
        <v>80.051310881224524</v>
      </c>
      <c r="J140" s="3">
        <f>(E140*USA!$AU115/100)/$AU107*100*$F140</f>
        <v>30.125965003695988</v>
      </c>
      <c r="K140" s="6"/>
      <c r="L140" s="6">
        <f t="shared" si="70"/>
        <v>1.0354635493228819</v>
      </c>
      <c r="M140" s="6">
        <f t="shared" si="71"/>
        <v>0.67951534671461</v>
      </c>
      <c r="N140" s="6">
        <f t="shared" si="72"/>
        <v>0.40560799386799168</v>
      </c>
      <c r="O140">
        <v>2028</v>
      </c>
      <c r="P140" s="3">
        <f t="shared" si="90"/>
        <v>0.55755496278838912</v>
      </c>
      <c r="Q140" s="3"/>
      <c r="R140" s="3">
        <f t="shared" si="84"/>
        <v>0.36639425778559237</v>
      </c>
      <c r="S140" s="3">
        <f t="shared" si="85"/>
        <v>0.28452617118568979</v>
      </c>
      <c r="T140" s="3">
        <f t="shared" si="86"/>
        <v>0.22152748003096762</v>
      </c>
      <c r="U140" s="3"/>
      <c r="V140" s="3">
        <f t="shared" si="60"/>
        <v>1.9594127698968633</v>
      </c>
      <c r="W140" s="3">
        <f t="shared" si="61"/>
        <v>1.521596480688689</v>
      </c>
      <c r="X140" s="3">
        <f t="shared" si="62"/>
        <v>1.1846904366873485</v>
      </c>
      <c r="Y140" s="9"/>
      <c r="Z140" s="3">
        <f t="shared" si="73"/>
        <v>2.0664056202412993</v>
      </c>
      <c r="AA140" s="3">
        <f t="shared" si="74"/>
        <v>1.604682570074293</v>
      </c>
      <c r="AB140" s="3">
        <f t="shared" si="75"/>
        <v>1.2493799235296976</v>
      </c>
      <c r="AC140" s="3"/>
      <c r="AD140" s="3">
        <f t="shared" si="87"/>
        <v>2.0591984257511702</v>
      </c>
      <c r="AE140" s="3">
        <f t="shared" si="88"/>
        <v>1.5990857698797145</v>
      </c>
      <c r="AF140" s="3">
        <f t="shared" si="89"/>
        <v>1.245022345321074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S140" s="2"/>
      <c r="AV140" s="12"/>
      <c r="AW140" s="32"/>
      <c r="AX140" s="32"/>
      <c r="AY140" s="32"/>
      <c r="AZ140" s="12"/>
      <c r="BA140" s="12"/>
      <c r="BB140" s="12"/>
      <c r="BC140" s="44"/>
      <c r="BD140" s="12"/>
      <c r="BE140" s="7"/>
      <c r="BF140" s="12"/>
      <c r="BH140" s="9"/>
    </row>
    <row r="141" spans="1:60">
      <c r="A141">
        <v>2029</v>
      </c>
      <c r="B141" s="3"/>
      <c r="C141" s="3">
        <f t="shared" si="66"/>
        <v>157.9233557810104</v>
      </c>
      <c r="D141" s="3">
        <f t="shared" si="67"/>
        <v>87.361009569245411</v>
      </c>
      <c r="E141" s="3">
        <f t="shared" si="68"/>
        <v>31.929858819111395</v>
      </c>
      <c r="F141" s="39">
        <f>'Exchange Rates'!P68</f>
        <v>0.86199999999999999</v>
      </c>
      <c r="G141" s="3"/>
      <c r="H141" s="3">
        <f>(C141*USA!$AU116/100)/$AU108*100*$F141</f>
        <v>149.00139447773961</v>
      </c>
      <c r="I141" s="3">
        <f>(D141*USA!$AU116/100)/$AU108*100*$F141</f>
        <v>82.425504349407632</v>
      </c>
      <c r="J141" s="3">
        <f>(E141*USA!$AU116/100)/$AU108*100*$F141</f>
        <v>30.125965003695988</v>
      </c>
      <c r="K141" s="6"/>
      <c r="L141" s="6">
        <f t="shared" si="70"/>
        <v>1.0577988527078068</v>
      </c>
      <c r="M141" s="6">
        <f t="shared" si="71"/>
        <v>0.69254097601342424</v>
      </c>
      <c r="N141" s="6">
        <f t="shared" si="72"/>
        <v>0.40560799386799168</v>
      </c>
      <c r="O141">
        <v>2029</v>
      </c>
      <c r="P141" s="3">
        <f t="shared" si="90"/>
        <v>0.55755496278838912</v>
      </c>
      <c r="Q141" s="3"/>
      <c r="R141" s="3">
        <f t="shared" si="84"/>
        <v>0.37153137756412508</v>
      </c>
      <c r="S141" s="3">
        <f t="shared" si="85"/>
        <v>0.28752206592441709</v>
      </c>
      <c r="T141" s="3">
        <f t="shared" si="86"/>
        <v>0.22152748003096762</v>
      </c>
      <c r="U141" s="3"/>
      <c r="V141" s="3">
        <f t="shared" si="60"/>
        <v>1.9868851930603211</v>
      </c>
      <c r="W141" s="3">
        <f t="shared" si="61"/>
        <v>1.5376180047262304</v>
      </c>
      <c r="X141" s="3">
        <f t="shared" si="62"/>
        <v>1.1846904366873485</v>
      </c>
      <c r="Y141" s="9"/>
      <c r="Z141" s="3">
        <f t="shared" si="73"/>
        <v>2.0953781626778807</v>
      </c>
      <c r="AA141" s="3">
        <f t="shared" si="74"/>
        <v>1.6215789422040663</v>
      </c>
      <c r="AB141" s="3">
        <f t="shared" si="75"/>
        <v>1.2493799235296976</v>
      </c>
      <c r="AC141" s="3"/>
      <c r="AD141" s="3">
        <f t="shared" si="87"/>
        <v>2.0880699179650035</v>
      </c>
      <c r="AE141" s="3">
        <f t="shared" si="88"/>
        <v>1.6159232109656867</v>
      </c>
      <c r="AF141" s="3">
        <f t="shared" si="89"/>
        <v>1.245022345321074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S141" s="2"/>
      <c r="AV141" s="12"/>
      <c r="AW141" s="32"/>
      <c r="AX141" s="32"/>
      <c r="AY141" s="32"/>
      <c r="AZ141" s="12"/>
      <c r="BA141" s="12"/>
      <c r="BB141" s="12"/>
      <c r="BC141" s="44"/>
      <c r="BD141" s="12"/>
      <c r="BE141" s="7"/>
      <c r="BF141" s="12"/>
      <c r="BH141" s="9"/>
    </row>
    <row r="142" spans="1:60">
      <c r="A142">
        <v>2030</v>
      </c>
      <c r="B142" s="3"/>
      <c r="C142" s="3">
        <f t="shared" si="66"/>
        <v>160.51226325283022</v>
      </c>
      <c r="D142" s="3">
        <f t="shared" si="67"/>
        <v>89.285088706337618</v>
      </c>
      <c r="E142" s="3">
        <f t="shared" si="68"/>
        <v>32.792827976384679</v>
      </c>
      <c r="F142" s="39">
        <f>'Exchange Rates'!P69</f>
        <v>0.86199999999999999</v>
      </c>
      <c r="G142" s="3"/>
      <c r="H142" s="3">
        <f>(C142*USA!$AU117/100)/$AU109*100*$F142</f>
        <v>151.44404028885009</v>
      </c>
      <c r="I142" s="3">
        <f>(D142*USA!$AU117/100)/$AU109*100*$F142</f>
        <v>84.240881644896547</v>
      </c>
      <c r="J142" s="3">
        <f>(E142*USA!$AU117/100)/$AU109*100*$F142</f>
        <v>30.940180274066154</v>
      </c>
      <c r="K142" s="6"/>
      <c r="L142" s="6">
        <f t="shared" si="70"/>
        <v>1.071200034738762</v>
      </c>
      <c r="M142" s="6">
        <f t="shared" si="71"/>
        <v>0.70250075056651418</v>
      </c>
      <c r="N142" s="6">
        <f t="shared" si="72"/>
        <v>0.41007505454497672</v>
      </c>
      <c r="O142">
        <v>2030</v>
      </c>
      <c r="P142" s="3">
        <f t="shared" si="90"/>
        <v>0.55755496278838912</v>
      </c>
      <c r="Q142" s="3"/>
      <c r="R142" s="3">
        <f t="shared" si="84"/>
        <v>0.37461364943124476</v>
      </c>
      <c r="S142" s="3">
        <f t="shared" si="85"/>
        <v>0.28981281407162779</v>
      </c>
      <c r="T142" s="3">
        <f t="shared" si="86"/>
        <v>0.22255490398667416</v>
      </c>
      <c r="U142" s="3"/>
      <c r="V142" s="3">
        <f t="shared" si="60"/>
        <v>2.0033686469583958</v>
      </c>
      <c r="W142" s="3">
        <f t="shared" si="61"/>
        <v>1.5498685274265311</v>
      </c>
      <c r="X142" s="3">
        <f t="shared" si="62"/>
        <v>1.1901849213200399</v>
      </c>
      <c r="Y142" s="9"/>
      <c r="Z142" s="3">
        <f t="shared" si="73"/>
        <v>2.1127616881398295</v>
      </c>
      <c r="AA142" s="3">
        <f t="shared" si="74"/>
        <v>1.6344983991698014</v>
      </c>
      <c r="AB142" s="3">
        <f t="shared" si="75"/>
        <v>1.2551744320170137</v>
      </c>
      <c r="AC142" s="3"/>
      <c r="AD142" s="3">
        <f t="shared" si="87"/>
        <v>2.1053928132933031</v>
      </c>
      <c r="AE142" s="3">
        <f t="shared" si="88"/>
        <v>1.6287976075434001</v>
      </c>
      <c r="AF142" s="3">
        <f t="shared" si="89"/>
        <v>1.2507966437638405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S142" s="2"/>
      <c r="AV142" s="12"/>
      <c r="AW142" s="32"/>
      <c r="AX142" s="32"/>
      <c r="AY142" s="32"/>
      <c r="AZ142" s="12"/>
      <c r="BA142" s="12"/>
      <c r="BB142" s="12"/>
      <c r="BC142" s="44"/>
      <c r="BD142" s="12"/>
      <c r="BE142" s="7"/>
      <c r="BF142" s="12"/>
      <c r="BH142" s="9"/>
    </row>
    <row r="143" spans="1:60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 s="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S143" s="2"/>
      <c r="AV143" s="12"/>
      <c r="AW143" s="32"/>
      <c r="AX143" s="32"/>
      <c r="AY143" s="32"/>
      <c r="AZ143" s="12"/>
      <c r="BA143" s="12"/>
      <c r="BB143" s="12"/>
      <c r="BC143" s="44"/>
      <c r="BD143" s="12"/>
      <c r="BE143" s="7"/>
      <c r="BF143" s="12"/>
      <c r="BH143" s="9"/>
    </row>
    <row r="144" spans="1:60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S144" s="2"/>
      <c r="AV144" s="12"/>
      <c r="AW144" s="32"/>
      <c r="AX144" s="32"/>
      <c r="AY144" s="32"/>
      <c r="AZ144" s="12"/>
      <c r="BA144" s="12"/>
      <c r="BB144" s="12"/>
      <c r="BC144" s="44"/>
      <c r="BD144" s="12"/>
      <c r="BE144" s="7"/>
      <c r="BF144" s="12"/>
      <c r="BH144" s="9"/>
    </row>
    <row r="145" spans="2:63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S145" s="2"/>
      <c r="AV145" s="12"/>
      <c r="AW145" s="32"/>
      <c r="AX145" s="32"/>
      <c r="AY145" s="32"/>
      <c r="AZ145" s="12"/>
      <c r="BA145" s="12"/>
      <c r="BB145" s="12"/>
      <c r="BC145" s="44"/>
      <c r="BD145" s="12"/>
      <c r="BE145" s="7"/>
      <c r="BF145" s="12"/>
      <c r="BH145" s="9"/>
    </row>
    <row r="146" spans="2:63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/>
      <c r="U146" s="37"/>
      <c r="W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S146" s="2"/>
      <c r="AV146" s="12"/>
      <c r="AW146" s="32"/>
      <c r="AX146" s="32"/>
      <c r="AY146" s="32"/>
      <c r="AZ146" s="12"/>
      <c r="BA146" s="12"/>
      <c r="BB146" s="12"/>
      <c r="BC146" s="44"/>
      <c r="BD146" s="12"/>
      <c r="BE146" s="7"/>
      <c r="BF146" s="12"/>
      <c r="BH146" s="9"/>
    </row>
    <row r="147" spans="2:63">
      <c r="B147" s="2"/>
      <c r="C147" s="2"/>
      <c r="G147" s="32"/>
      <c r="J147" s="2"/>
      <c r="L147" s="37"/>
      <c r="M147" s="32"/>
      <c r="N147" s="32"/>
      <c r="O147" s="32"/>
      <c r="P147" s="37"/>
      <c r="Q147" s="2"/>
      <c r="R147" s="2">
        <v>1.6947452770205249</v>
      </c>
      <c r="U147" s="37"/>
      <c r="W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S147" s="2"/>
      <c r="AV147" s="12"/>
      <c r="AW147" s="32"/>
      <c r="AX147" s="32"/>
      <c r="AY147" s="32"/>
      <c r="AZ147" s="12"/>
      <c r="BA147" s="12"/>
      <c r="BB147" s="12"/>
      <c r="BC147" s="44"/>
      <c r="BD147" s="12"/>
      <c r="BE147" s="7"/>
      <c r="BF147" s="12"/>
      <c r="BH147" s="9"/>
    </row>
    <row r="148" spans="2:63">
      <c r="B148" s="2"/>
      <c r="C148" s="2"/>
      <c r="G148" s="32"/>
      <c r="J148" s="2"/>
      <c r="L148" s="37"/>
      <c r="M148" s="32"/>
      <c r="N148" s="32"/>
      <c r="O148" s="32"/>
      <c r="P148" s="37"/>
      <c r="Q148" s="2"/>
      <c r="R148" s="2">
        <v>1.338069891149142</v>
      </c>
      <c r="U148" s="37"/>
      <c r="W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S148" s="2"/>
      <c r="AV148" s="12"/>
      <c r="AW148" s="32"/>
      <c r="AX148" s="32"/>
      <c r="AY148" s="32"/>
      <c r="AZ148" s="12"/>
      <c r="BA148" s="12"/>
      <c r="BB148" s="12"/>
      <c r="BC148" s="7"/>
      <c r="BD148" s="7"/>
      <c r="BE148" s="7"/>
      <c r="BF148" s="12"/>
      <c r="BH148" s="9"/>
    </row>
    <row r="149" spans="2:63">
      <c r="B149" s="2"/>
      <c r="C149" s="2"/>
      <c r="G149" s="32"/>
      <c r="J149" s="2"/>
      <c r="L149" s="37"/>
      <c r="M149" s="32"/>
      <c r="N149" s="32"/>
      <c r="O149" s="32"/>
      <c r="P149" s="37"/>
      <c r="Q149" s="2"/>
      <c r="R149" s="2">
        <f>R147/R148-1</f>
        <v>0.26655960815699098</v>
      </c>
      <c r="U149" s="37"/>
      <c r="W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S149" s="2"/>
      <c r="AV149" s="12"/>
      <c r="AW149" s="32"/>
      <c r="AX149" s="32"/>
      <c r="AY149" s="32"/>
      <c r="AZ149" s="12"/>
      <c r="BA149" s="12"/>
      <c r="BB149" s="12"/>
      <c r="BC149" s="7"/>
      <c r="BD149" s="7"/>
      <c r="BE149" s="7"/>
      <c r="BF149" s="12"/>
      <c r="BH149" s="9"/>
    </row>
    <row r="150" spans="2:63">
      <c r="B150" s="2"/>
      <c r="C150" s="2"/>
      <c r="G150" s="32"/>
      <c r="J150" s="2"/>
      <c r="L150" s="37"/>
      <c r="M150" s="32"/>
      <c r="N150" s="32"/>
      <c r="O150" s="32"/>
      <c r="P150" s="37"/>
      <c r="Q150" s="2"/>
      <c r="R150" s="2"/>
      <c r="U150" s="37"/>
      <c r="W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S150" s="2"/>
      <c r="AV150" s="12"/>
      <c r="AW150" s="32"/>
      <c r="AX150" s="32"/>
      <c r="AY150" s="32"/>
      <c r="AZ150" s="12"/>
      <c r="BA150" s="12"/>
      <c r="BB150" s="12"/>
      <c r="BC150" s="7"/>
      <c r="BD150" s="7"/>
      <c r="BE150" s="7"/>
      <c r="BF150" s="12"/>
      <c r="BH150" s="9"/>
    </row>
    <row r="151" spans="2:63">
      <c r="B151" s="2"/>
      <c r="C151" s="2"/>
      <c r="G151" s="32"/>
      <c r="J151" s="2"/>
      <c r="L151" s="37"/>
      <c r="M151" s="32"/>
      <c r="N151" s="32"/>
      <c r="O151" s="32"/>
      <c r="P151" s="37"/>
      <c r="Q151" s="2"/>
      <c r="R151" s="2"/>
      <c r="U151" s="37"/>
      <c r="W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S151" s="2"/>
      <c r="AV151" s="12"/>
      <c r="AW151" s="32"/>
      <c r="AX151" s="32"/>
      <c r="AY151" s="32"/>
      <c r="AZ151" s="12"/>
      <c r="BA151" s="12"/>
      <c r="BB151" s="12"/>
      <c r="BC151" s="7"/>
      <c r="BD151" s="7"/>
      <c r="BE151" s="7"/>
      <c r="BF151" s="12"/>
      <c r="BH151" s="9"/>
    </row>
    <row r="152" spans="2:63">
      <c r="O152" s="32"/>
      <c r="P152" s="37"/>
      <c r="R152" s="32"/>
      <c r="S152" s="37"/>
      <c r="W152" s="2"/>
      <c r="X152" s="37"/>
      <c r="Y152" s="37"/>
      <c r="Z152" s="37"/>
      <c r="AA152" s="37"/>
      <c r="AB152" s="37"/>
      <c r="AC152" s="37"/>
      <c r="AD152" s="37"/>
      <c r="AE152" s="37"/>
      <c r="AF152" s="37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S152" s="2"/>
      <c r="AT152" s="32"/>
      <c r="AU152" s="32"/>
      <c r="AV152" s="32"/>
      <c r="AW152" s="12"/>
      <c r="AX152" s="12"/>
      <c r="AY152" s="12"/>
      <c r="AZ152" s="32"/>
      <c r="BA152" s="32"/>
      <c r="BB152" s="32"/>
      <c r="BC152" s="12"/>
      <c r="BD152" s="12"/>
      <c r="BE152" s="12"/>
      <c r="BF152" s="7"/>
      <c r="BG152" s="3"/>
      <c r="BH152" s="3"/>
      <c r="BK152" s="9"/>
    </row>
    <row r="153" spans="2:63">
      <c r="O153" s="32"/>
      <c r="P153" s="37"/>
      <c r="R153" s="32"/>
      <c r="S153" s="37"/>
      <c r="W153" s="2"/>
      <c r="X153" s="37"/>
      <c r="Y153" s="37"/>
      <c r="Z153" s="37"/>
      <c r="AA153" s="37"/>
      <c r="AB153" s="37"/>
      <c r="AC153" s="37"/>
      <c r="AD153" s="37"/>
      <c r="AE153" s="37"/>
      <c r="AF153" s="37"/>
      <c r="AK153" s="2"/>
      <c r="AL153" s="2"/>
      <c r="AM153" s="2"/>
      <c r="AS153" s="2"/>
      <c r="AT153" s="32"/>
      <c r="AU153" s="32"/>
      <c r="AV153" s="32"/>
      <c r="AW153" s="12"/>
      <c r="AX153" s="12"/>
      <c r="AY153" s="12"/>
      <c r="AZ153" s="32"/>
      <c r="BA153" s="32"/>
      <c r="BB153" s="32"/>
      <c r="BC153" s="12"/>
      <c r="BD153" s="12"/>
      <c r="BE153" s="12"/>
      <c r="BF153" s="7"/>
      <c r="BG153" s="3"/>
      <c r="BH153" s="3"/>
      <c r="BK153" s="9"/>
    </row>
    <row r="154" spans="2:63">
      <c r="O154" s="32"/>
      <c r="P154" s="37"/>
      <c r="Q154" s="32">
        <v>0.27</v>
      </c>
      <c r="R154" s="32"/>
      <c r="S154" s="37"/>
      <c r="W154" s="2"/>
      <c r="X154" s="37"/>
      <c r="AK154" s="2"/>
      <c r="AL154" s="2"/>
      <c r="AM154" s="2"/>
      <c r="AP154"/>
      <c r="AQ154"/>
      <c r="AR154"/>
      <c r="AS154" s="12"/>
      <c r="AU154" s="32"/>
      <c r="AV154" s="32"/>
      <c r="AW154" s="32"/>
      <c r="AX154" s="12"/>
      <c r="AY154" s="12"/>
      <c r="AZ154" s="12"/>
      <c r="BA154" s="7"/>
      <c r="BB154" s="7"/>
      <c r="BC154" s="7"/>
      <c r="BD154" s="12"/>
      <c r="BE154" s="12"/>
      <c r="BF154" s="9"/>
    </row>
    <row r="155" spans="2:63">
      <c r="AK155" s="2"/>
      <c r="AL155" s="2"/>
      <c r="AM155" s="2"/>
      <c r="AO155"/>
      <c r="AP155"/>
      <c r="AQ155"/>
      <c r="AR155" s="12"/>
      <c r="AS155" s="12"/>
      <c r="AT155" s="32"/>
      <c r="AU155" s="32"/>
      <c r="AV155" s="32"/>
      <c r="AW155" s="12"/>
      <c r="AX155" s="12"/>
      <c r="AY155" s="12"/>
      <c r="AZ155" s="7"/>
      <c r="BA155" s="7"/>
      <c r="BB155" s="7"/>
      <c r="BC155" s="12"/>
      <c r="BD155" s="12"/>
      <c r="BE155" s="9"/>
    </row>
    <row r="156" spans="2:63">
      <c r="AK156" s="2"/>
      <c r="AL156" s="2"/>
      <c r="AM156" s="2"/>
      <c r="AO156"/>
      <c r="AP156"/>
      <c r="AQ156"/>
      <c r="AR156" s="12"/>
      <c r="AS156" s="12"/>
      <c r="AT156" s="32"/>
      <c r="AU156" s="32"/>
      <c r="AV156" s="32"/>
      <c r="AW156" s="12"/>
      <c r="AX156" s="12"/>
      <c r="AY156" s="12"/>
      <c r="AZ156" s="7"/>
      <c r="BA156" s="7"/>
      <c r="BB156" s="7"/>
      <c r="BC156" s="12"/>
      <c r="BD156" s="12"/>
      <c r="BE156" s="9"/>
    </row>
    <row r="157" spans="2:63">
      <c r="AJ157" s="3"/>
      <c r="AK157" s="3" t="s">
        <v>2426</v>
      </c>
      <c r="AL157" s="2"/>
      <c r="AM157" s="2"/>
      <c r="AO157"/>
      <c r="AP157"/>
      <c r="AQ157"/>
      <c r="AR157" s="12"/>
      <c r="AS157" s="12"/>
      <c r="AT157" s="32"/>
      <c r="AU157" s="32"/>
      <c r="AV157" s="32"/>
      <c r="AW157" s="12"/>
      <c r="AX157" s="12"/>
      <c r="AY157" s="12"/>
      <c r="AZ157" s="7"/>
      <c r="BA157" s="7"/>
      <c r="BB157" s="7"/>
      <c r="BC157" s="12"/>
      <c r="BD157" s="12"/>
      <c r="BE157" s="9"/>
    </row>
    <row r="158" spans="2:63">
      <c r="AJ158" s="3"/>
      <c r="AK158" s="3"/>
      <c r="AR158" s="32"/>
      <c r="AS158" s="12"/>
      <c r="AW158" s="7"/>
      <c r="AX158" s="7"/>
      <c r="AY158" s="12"/>
      <c r="AZ158" s="12"/>
      <c r="BA158" s="44"/>
      <c r="BB158" s="12"/>
      <c r="BC158" s="12"/>
      <c r="BD158" s="12"/>
    </row>
    <row r="159" spans="2:63">
      <c r="AJ159"/>
      <c r="AK159" t="s">
        <v>2416</v>
      </c>
      <c r="AR159" s="32"/>
      <c r="AS159" s="12"/>
      <c r="AW159" s="7"/>
      <c r="AX159" s="7"/>
      <c r="AY159" s="12"/>
      <c r="AZ159" s="12"/>
      <c r="BA159" s="44"/>
      <c r="BB159" s="12"/>
      <c r="BC159" s="12"/>
      <c r="BD159" s="12"/>
    </row>
    <row r="160" spans="2:63">
      <c r="AJ160" s="78">
        <v>43101</v>
      </c>
      <c r="AK160">
        <v>1.74</v>
      </c>
      <c r="AR160" s="32"/>
      <c r="AS160" s="12"/>
      <c r="AW160" s="7"/>
      <c r="AX160" s="7"/>
      <c r="AY160" s="12"/>
      <c r="AZ160" s="12"/>
      <c r="BA160" s="44"/>
      <c r="BB160" s="12"/>
      <c r="BC160" s="12"/>
      <c r="BD160" s="12"/>
    </row>
    <row r="161" spans="36:56">
      <c r="AJ161" s="78">
        <v>43132</v>
      </c>
      <c r="AK161">
        <v>1.69</v>
      </c>
      <c r="AR161" s="32"/>
      <c r="AS161" s="12"/>
      <c r="AW161" s="7"/>
      <c r="AX161" s="7"/>
      <c r="AY161" s="12"/>
      <c r="AZ161" s="12"/>
      <c r="BA161" s="44"/>
      <c r="BB161" s="12"/>
      <c r="BC161" s="12"/>
      <c r="BD161" s="12"/>
    </row>
    <row r="162" spans="36:56">
      <c r="AJ162" s="78">
        <v>43160</v>
      </c>
      <c r="AK162">
        <v>1.7</v>
      </c>
      <c r="AR162" s="32"/>
      <c r="AS162" s="12"/>
      <c r="AW162" s="7"/>
      <c r="AX162" s="7"/>
      <c r="AY162" s="12"/>
      <c r="AZ162" s="12"/>
      <c r="BA162" s="44"/>
      <c r="BB162" s="12"/>
      <c r="BC162" s="12"/>
      <c r="BD162" s="12"/>
    </row>
    <row r="163" spans="36:56">
      <c r="AJ163" s="78">
        <v>43191</v>
      </c>
      <c r="AK163">
        <v>1.67</v>
      </c>
      <c r="AR163" s="32"/>
      <c r="AS163" s="12"/>
      <c r="AW163" s="7"/>
      <c r="AX163" s="7"/>
      <c r="AY163" s="12"/>
      <c r="AZ163" s="12"/>
      <c r="BA163" s="44"/>
      <c r="BB163" s="12"/>
      <c r="BC163" s="12"/>
      <c r="BD163" s="12"/>
    </row>
    <row r="164" spans="36:56">
      <c r="AJ164" s="78">
        <v>43221</v>
      </c>
      <c r="AK164">
        <v>1.68</v>
      </c>
      <c r="AR164" s="32"/>
      <c r="AS164" s="12"/>
      <c r="AW164" s="7"/>
      <c r="AX164" s="7"/>
      <c r="AY164" s="12"/>
      <c r="AZ164" s="12"/>
      <c r="BA164" s="44"/>
      <c r="BB164" s="12"/>
      <c r="BC164" s="12"/>
      <c r="BD164" s="12"/>
    </row>
    <row r="165" spans="36:56">
      <c r="AJ165" s="78">
        <v>43252</v>
      </c>
      <c r="AK165">
        <v>1.69</v>
      </c>
      <c r="AR165" s="32"/>
      <c r="AS165" s="12"/>
      <c r="AW165" s="7"/>
      <c r="AX165" s="7"/>
      <c r="AY165" s="12"/>
      <c r="AZ165" s="12"/>
      <c r="BA165" s="44"/>
      <c r="BB165" s="12"/>
      <c r="BC165" s="12"/>
      <c r="BD165" s="12"/>
    </row>
    <row r="166" spans="36:56">
      <c r="AJ166" s="78">
        <v>43282</v>
      </c>
      <c r="AK166">
        <v>1.65</v>
      </c>
      <c r="AR166" s="32"/>
      <c r="AS166" s="12"/>
      <c r="AW166" s="7"/>
      <c r="AX166" s="7"/>
      <c r="AY166" s="12"/>
      <c r="AZ166" s="12"/>
      <c r="BA166" s="44"/>
      <c r="BB166" s="12"/>
      <c r="BC166" s="12"/>
      <c r="BD166" s="12"/>
    </row>
    <row r="167" spans="36:56">
      <c r="AJ167" s="78">
        <v>43313</v>
      </c>
      <c r="AK167">
        <v>1.68</v>
      </c>
      <c r="AR167" s="32"/>
      <c r="AS167" s="12"/>
      <c r="AW167" s="7"/>
      <c r="AX167" s="7"/>
      <c r="AY167" s="12"/>
      <c r="AZ167" s="12"/>
      <c r="BA167" s="44"/>
      <c r="BB167" s="12"/>
      <c r="BC167" s="12"/>
      <c r="BD167" s="12"/>
    </row>
    <row r="168" spans="36:56">
      <c r="AJ168" s="78">
        <v>43344</v>
      </c>
      <c r="AK168">
        <v>1.7</v>
      </c>
      <c r="AR168" s="32"/>
      <c r="AS168" s="12"/>
      <c r="AW168" s="7"/>
      <c r="AX168" s="7"/>
      <c r="AY168" s="12"/>
      <c r="AZ168" s="12"/>
      <c r="BA168" s="44"/>
      <c r="BB168" s="12"/>
      <c r="BC168" s="12"/>
      <c r="BD168" s="12"/>
    </row>
    <row r="169" spans="36:56">
      <c r="AJ169" s="78">
        <v>43374</v>
      </c>
      <c r="AK169">
        <v>1.69</v>
      </c>
      <c r="AR169" s="32"/>
      <c r="AS169" s="12"/>
      <c r="AW169" s="7"/>
      <c r="AX169" s="7"/>
      <c r="AY169" s="12"/>
      <c r="AZ169" s="12"/>
      <c r="BA169" s="44"/>
      <c r="BB169" s="12"/>
      <c r="BC169" s="12"/>
      <c r="BD169" s="12"/>
    </row>
    <row r="170" spans="36:56">
      <c r="AJ170" s="78">
        <v>43405</v>
      </c>
      <c r="AK170">
        <v>1.62</v>
      </c>
      <c r="AR170" s="32"/>
      <c r="AS170" s="12"/>
      <c r="AW170" s="7"/>
      <c r="AX170" s="7"/>
      <c r="AY170" s="12"/>
      <c r="AZ170" s="12"/>
      <c r="BA170" s="44"/>
      <c r="BB170" s="12"/>
      <c r="BC170" s="12"/>
      <c r="BD170" s="12"/>
    </row>
    <row r="171" spans="36:56">
      <c r="AJ171" s="78">
        <v>43435</v>
      </c>
      <c r="AK171">
        <v>1.5</v>
      </c>
      <c r="AR171" s="32"/>
      <c r="AS171" s="12"/>
      <c r="AW171" s="7"/>
      <c r="AX171" s="7"/>
      <c r="AY171" s="12"/>
      <c r="AZ171" s="12"/>
      <c r="BA171" s="44"/>
      <c r="BB171" s="12"/>
      <c r="BC171" s="12"/>
      <c r="BD171" s="12"/>
    </row>
    <row r="172" spans="36:56">
      <c r="AJ172"/>
      <c r="AR172" s="32"/>
      <c r="AS172" s="12"/>
      <c r="AW172" s="7"/>
      <c r="AX172" s="7"/>
      <c r="AY172" s="12"/>
      <c r="AZ172" s="12"/>
      <c r="BA172" s="44"/>
      <c r="BB172" s="12"/>
      <c r="BC172" s="12"/>
      <c r="BD172" s="12"/>
    </row>
    <row r="173" spans="36:56">
      <c r="AJ173">
        <v>2018</v>
      </c>
      <c r="AK173" s="3">
        <f>AVERAGE(AK160:AK171)</f>
        <v>1.6675000000000002</v>
      </c>
      <c r="AR173" s="32"/>
      <c r="AS173" s="12"/>
      <c r="AW173" s="7"/>
      <c r="AX173" s="7"/>
      <c r="AY173" s="12"/>
      <c r="AZ173" s="12"/>
      <c r="BA173" s="44"/>
      <c r="BB173" s="12"/>
      <c r="BC173" s="12"/>
      <c r="BD173" s="12"/>
    </row>
    <row r="174" spans="36:56">
      <c r="AJ174" s="3"/>
      <c r="AK174" s="3"/>
      <c r="AR174" s="32"/>
      <c r="AS174" s="12"/>
      <c r="AW174" s="7"/>
      <c r="AX174" s="7"/>
      <c r="AY174" s="12"/>
      <c r="AZ174" s="12"/>
      <c r="BA174" s="44"/>
      <c r="BB174" s="12"/>
      <c r="BC174" s="12"/>
      <c r="BD174" s="12"/>
    </row>
    <row r="175" spans="36:56">
      <c r="AR175" s="32"/>
      <c r="AS175" s="12"/>
      <c r="AW175" s="7"/>
      <c r="AX175" s="7"/>
      <c r="AY175" s="12"/>
      <c r="AZ175" s="12"/>
      <c r="BA175" s="44"/>
      <c r="BB175" s="12"/>
      <c r="BC175" s="12"/>
      <c r="BD175" s="12"/>
    </row>
    <row r="176" spans="36:56">
      <c r="AR176" s="32"/>
      <c r="AS176" s="12"/>
      <c r="AW176" s="7"/>
      <c r="AX176" s="7"/>
      <c r="AY176" s="12"/>
      <c r="AZ176" s="12"/>
      <c r="BA176" s="44"/>
      <c r="BB176" s="12"/>
      <c r="BC176" s="12"/>
      <c r="BD176" s="12"/>
    </row>
    <row r="177" spans="44:56">
      <c r="AR177" s="32"/>
      <c r="AS177" s="12"/>
      <c r="AW177" s="7"/>
      <c r="AX177" s="7"/>
      <c r="AY177" s="12"/>
      <c r="AZ177" s="12"/>
      <c r="BA177" s="44"/>
      <c r="BB177" s="12"/>
      <c r="BC177" s="12"/>
      <c r="BD177" s="12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showGridLines="0" workbookViewId="0">
      <selection activeCell="BN97" sqref="BN97"/>
    </sheetView>
  </sheetViews>
  <sheetFormatPr defaultRowHeight="15"/>
  <cols>
    <col min="1" max="1" width="17.140625" customWidth="1"/>
    <col min="2" max="7" width="14.42578125" customWidth="1"/>
  </cols>
  <sheetData>
    <row r="1" spans="1:9">
      <c r="A1" t="s">
        <v>77</v>
      </c>
    </row>
    <row r="2" spans="1:9" ht="15.75" thickBot="1"/>
    <row r="3" spans="1:9">
      <c r="A3" s="16" t="s">
        <v>78</v>
      </c>
      <c r="B3" s="16"/>
    </row>
    <row r="4" spans="1:9">
      <c r="A4" s="13" t="s">
        <v>79</v>
      </c>
      <c r="B4" s="13">
        <v>0.97675804997605942</v>
      </c>
    </row>
    <row r="5" spans="1:9">
      <c r="A5" s="13" t="s">
        <v>80</v>
      </c>
      <c r="B5" s="13">
        <v>0.95405628819303412</v>
      </c>
    </row>
    <row r="6" spans="1:9">
      <c r="A6" s="13" t="s">
        <v>81</v>
      </c>
      <c r="B6" s="13">
        <v>0.95077459449253654</v>
      </c>
    </row>
    <row r="7" spans="1:9">
      <c r="A7" s="13" t="s">
        <v>82</v>
      </c>
      <c r="B7" s="13">
        <v>0.14143747250705696</v>
      </c>
    </row>
    <row r="8" spans="1:9" ht="15.75" thickBot="1">
      <c r="A8" s="14" t="s">
        <v>83</v>
      </c>
      <c r="B8" s="14">
        <v>16</v>
      </c>
    </row>
    <row r="10" spans="1:9" ht="15.75" thickBot="1">
      <c r="A10" t="s">
        <v>84</v>
      </c>
    </row>
    <row r="11" spans="1:9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9">
      <c r="A12" s="13" t="s">
        <v>85</v>
      </c>
      <c r="B12" s="13">
        <v>1</v>
      </c>
      <c r="C12" s="13">
        <v>5.8157392781069097</v>
      </c>
      <c r="D12" s="13">
        <v>5.8157392781069097</v>
      </c>
      <c r="E12" s="13">
        <v>290.72069951207885</v>
      </c>
      <c r="F12" s="13">
        <v>9.2389836392155445E-11</v>
      </c>
    </row>
    <row r="13" spans="1:9">
      <c r="A13" s="13" t="s">
        <v>86</v>
      </c>
      <c r="B13" s="13">
        <v>14</v>
      </c>
      <c r="C13" s="13">
        <v>0.28006382080858294</v>
      </c>
      <c r="D13" s="13">
        <v>2.0004558629184495E-2</v>
      </c>
      <c r="E13" s="13"/>
      <c r="F13" s="13"/>
    </row>
    <row r="14" spans="1:9" ht="15.75" thickBot="1">
      <c r="A14" s="14" t="s">
        <v>87</v>
      </c>
      <c r="B14" s="14">
        <v>15</v>
      </c>
      <c r="C14" s="14">
        <v>6.0958030989154928</v>
      </c>
      <c r="D14" s="14"/>
      <c r="E14" s="14"/>
      <c r="F14" s="14"/>
    </row>
    <row r="15" spans="1:9" ht="15.75" thickBot="1"/>
    <row r="16" spans="1:9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  <c r="H16" s="15"/>
      <c r="I16" s="15"/>
    </row>
    <row r="17" spans="1:9">
      <c r="A17" s="13" t="s">
        <v>88</v>
      </c>
      <c r="B17" s="13">
        <v>1.1898926346115495</v>
      </c>
      <c r="C17" s="13">
        <v>6.7455611313635838E-2</v>
      </c>
      <c r="D17" s="13">
        <v>17.639639037279295</v>
      </c>
      <c r="E17" s="13">
        <v>5.8575492784327954E-11</v>
      </c>
      <c r="F17" s="13">
        <v>1.0452147378883223</v>
      </c>
      <c r="G17" s="13">
        <v>1.3345705313347767</v>
      </c>
      <c r="H17" s="13"/>
      <c r="I17" s="13"/>
    </row>
    <row r="18" spans="1:9" ht="15.75" thickBot="1">
      <c r="A18" s="14" t="s">
        <v>229</v>
      </c>
      <c r="B18" s="14">
        <v>6.0930648661903447E-3</v>
      </c>
      <c r="C18" s="14">
        <v>3.5735332235321653E-4</v>
      </c>
      <c r="D18" s="14">
        <v>17.050533701678628</v>
      </c>
      <c r="E18" s="14">
        <v>9.2389836392155768E-11</v>
      </c>
      <c r="F18" s="14">
        <v>5.3266182198952626E-3</v>
      </c>
      <c r="G18" s="14">
        <v>6.8595115124854269E-3</v>
      </c>
      <c r="H18" s="14"/>
      <c r="I18" s="14"/>
    </row>
  </sheetData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07"/>
  <sheetViews>
    <sheetView zoomScale="75" zoomScaleNormal="75" workbookViewId="0">
      <pane xSplit="1" ySplit="4" topLeftCell="B94" activePane="bottomRight" state="frozen"/>
      <selection activeCell="BN97" sqref="BN97"/>
      <selection pane="topRight" activeCell="BN97" sqref="BN97"/>
      <selection pane="bottomLeft" activeCell="BN97" sqref="BN97"/>
      <selection pane="bottomRight" activeCell="BN97" sqref="BN97"/>
    </sheetView>
  </sheetViews>
  <sheetFormatPr defaultRowHeight="15"/>
  <cols>
    <col min="1" max="1" width="6.7109375" customWidth="1"/>
    <col min="2" max="3" width="15.7109375" customWidth="1"/>
    <col min="4" max="5" width="15.7109375" style="2" customWidth="1"/>
    <col min="6" max="6" width="15.7109375" style="1" customWidth="1"/>
    <col min="7" max="7" width="15.7109375" style="2" customWidth="1"/>
    <col min="8" max="10" width="9.28515625" style="2" customWidth="1"/>
    <col min="11" max="11" width="13.42578125" style="2" customWidth="1"/>
    <col min="12" max="12" width="15" style="2" customWidth="1"/>
    <col min="13" max="13" width="15.5703125" style="64" customWidth="1"/>
    <col min="14" max="14" width="16" style="64" customWidth="1"/>
    <col min="15" max="16" width="13.140625" style="2" customWidth="1"/>
    <col min="17" max="17" width="13.28515625" style="32" customWidth="1"/>
    <col min="18" max="18" width="9.28515625" style="2" bestFit="1" customWidth="1"/>
    <col min="19" max="19" width="9.28515625" style="2" customWidth="1"/>
    <col min="20" max="20" width="9.28515625" style="2" bestFit="1" customWidth="1"/>
    <col min="21" max="21" width="9.85546875" style="2" customWidth="1"/>
    <col min="22" max="22" width="8.28515625" style="2" customWidth="1"/>
    <col min="23" max="23" width="9.7109375" style="37" customWidth="1"/>
    <col min="24" max="25" width="11.5703125" style="44" customWidth="1"/>
    <col min="26" max="26" width="10.7109375" style="45" customWidth="1"/>
    <col min="27" max="27" width="14.28515625" style="9" customWidth="1"/>
    <col min="28" max="30" width="9.28515625" style="9" bestFit="1" customWidth="1"/>
    <col min="31" max="31" width="10" style="37" customWidth="1"/>
    <col min="32" max="37" width="9.28515625" style="2" bestFit="1" customWidth="1"/>
    <col min="38" max="41" width="9.140625" style="2"/>
  </cols>
  <sheetData>
    <row r="1" spans="1:39">
      <c r="A1" s="23" t="s">
        <v>175</v>
      </c>
      <c r="B1" s="23"/>
      <c r="C1" s="23"/>
      <c r="L1" s="39" t="s">
        <v>178</v>
      </c>
      <c r="O1" s="39" t="s">
        <v>180</v>
      </c>
      <c r="P1" s="39" t="s">
        <v>180</v>
      </c>
      <c r="X1" s="48" t="s">
        <v>182</v>
      </c>
      <c r="Y1" s="48" t="s">
        <v>182</v>
      </c>
      <c r="AA1" s="48" t="s">
        <v>182</v>
      </c>
    </row>
    <row r="2" spans="1:39">
      <c r="D2" s="2" t="s">
        <v>45</v>
      </c>
      <c r="F2" s="1" t="s">
        <v>46</v>
      </c>
      <c r="M2" s="64" t="s">
        <v>169</v>
      </c>
      <c r="N2" s="64" t="s">
        <v>53</v>
      </c>
      <c r="Q2" s="2"/>
      <c r="R2" s="2" t="s">
        <v>169</v>
      </c>
      <c r="S2" s="39" t="s">
        <v>180</v>
      </c>
      <c r="V2" s="23" t="s">
        <v>175</v>
      </c>
      <c r="X2" s="45" t="s">
        <v>175</v>
      </c>
      <c r="Y2" s="47" t="s">
        <v>142</v>
      </c>
      <c r="AA2" s="45" t="s">
        <v>175</v>
      </c>
      <c r="AF2" s="23" t="s">
        <v>175</v>
      </c>
      <c r="AG2" s="23" t="s">
        <v>175</v>
      </c>
      <c r="AH2" s="23" t="s">
        <v>175</v>
      </c>
      <c r="AI2" s="23" t="s">
        <v>175</v>
      </c>
      <c r="AJ2" s="23" t="s">
        <v>175</v>
      </c>
      <c r="AK2" s="2" t="s">
        <v>113</v>
      </c>
      <c r="AM2" s="39" t="s">
        <v>54</v>
      </c>
    </row>
    <row r="3" spans="1:39">
      <c r="B3" t="s">
        <v>182</v>
      </c>
      <c r="D3" s="23" t="s">
        <v>175</v>
      </c>
      <c r="F3" s="66" t="s">
        <v>175</v>
      </c>
      <c r="G3" s="23" t="s">
        <v>3</v>
      </c>
      <c r="H3" s="23" t="s">
        <v>176</v>
      </c>
      <c r="I3" s="23" t="s">
        <v>175</v>
      </c>
      <c r="J3" s="23" t="s">
        <v>177</v>
      </c>
      <c r="K3" s="23" t="s">
        <v>3</v>
      </c>
      <c r="M3" s="65" t="s">
        <v>175</v>
      </c>
      <c r="N3" s="65" t="s">
        <v>175</v>
      </c>
      <c r="O3" s="23" t="s">
        <v>175</v>
      </c>
      <c r="P3" s="23"/>
      <c r="Q3" s="23" t="s">
        <v>175</v>
      </c>
      <c r="R3" s="23" t="s">
        <v>175</v>
      </c>
      <c r="S3" s="23" t="s">
        <v>175</v>
      </c>
      <c r="T3" s="39" t="s">
        <v>179</v>
      </c>
      <c r="U3" s="2" t="s">
        <v>169</v>
      </c>
      <c r="V3" s="2" t="s">
        <v>5</v>
      </c>
      <c r="X3" s="47" t="s">
        <v>133</v>
      </c>
      <c r="Y3" s="47" t="s">
        <v>133</v>
      </c>
      <c r="AA3" s="9" t="s">
        <v>128</v>
      </c>
      <c r="AF3" s="2" t="s">
        <v>61</v>
      </c>
      <c r="AG3" s="2" t="s">
        <v>61</v>
      </c>
      <c r="AH3" s="2" t="s">
        <v>61</v>
      </c>
      <c r="AI3" s="2" t="s">
        <v>61</v>
      </c>
      <c r="AJ3" s="38" t="s">
        <v>61</v>
      </c>
      <c r="AK3" s="2" t="s">
        <v>61</v>
      </c>
      <c r="AM3" s="2" t="s">
        <v>181</v>
      </c>
    </row>
    <row r="4" spans="1:39">
      <c r="B4" t="s">
        <v>227</v>
      </c>
      <c r="D4" s="2" t="s">
        <v>6</v>
      </c>
      <c r="E4" s="2" t="s">
        <v>42</v>
      </c>
      <c r="F4" s="1" t="s">
        <v>6</v>
      </c>
      <c r="G4" s="2" t="s">
        <v>11</v>
      </c>
      <c r="I4" s="2" t="s">
        <v>74</v>
      </c>
      <c r="J4" s="2" t="s">
        <v>74</v>
      </c>
      <c r="K4" s="2" t="s">
        <v>11</v>
      </c>
      <c r="L4" s="2" t="s">
        <v>11</v>
      </c>
      <c r="M4" s="64" t="s">
        <v>6</v>
      </c>
      <c r="N4" s="41" t="s">
        <v>110</v>
      </c>
      <c r="O4" s="41" t="s">
        <v>110</v>
      </c>
      <c r="P4" s="41" t="s">
        <v>135</v>
      </c>
      <c r="Q4" s="38" t="s">
        <v>135</v>
      </c>
      <c r="R4" s="41" t="s">
        <v>8</v>
      </c>
      <c r="S4" s="41" t="s">
        <v>8</v>
      </c>
      <c r="T4" s="41" t="s">
        <v>145</v>
      </c>
      <c r="U4" s="41" t="s">
        <v>145</v>
      </c>
      <c r="V4" s="2" t="s">
        <v>10</v>
      </c>
      <c r="X4" s="47" t="s">
        <v>101</v>
      </c>
      <c r="Y4" s="47" t="s">
        <v>103</v>
      </c>
      <c r="AA4" s="13" t="s">
        <v>229</v>
      </c>
      <c r="AB4" s="9" t="s">
        <v>126</v>
      </c>
      <c r="AC4" s="9" t="s">
        <v>126</v>
      </c>
      <c r="AD4" s="9" t="s">
        <v>126</v>
      </c>
      <c r="AF4" s="2" t="s">
        <v>109</v>
      </c>
      <c r="AG4" s="2" t="s">
        <v>111</v>
      </c>
      <c r="AH4" s="2" t="s">
        <v>152</v>
      </c>
      <c r="AI4" s="2" t="s">
        <v>112</v>
      </c>
      <c r="AJ4" s="38" t="s">
        <v>87</v>
      </c>
      <c r="AK4" s="2" t="s">
        <v>87</v>
      </c>
    </row>
    <row r="5" spans="1:39">
      <c r="A5">
        <v>1926</v>
      </c>
    </row>
    <row r="6" spans="1:39">
      <c r="A6">
        <v>1927</v>
      </c>
    </row>
    <row r="7" spans="1:39">
      <c r="A7">
        <v>1928</v>
      </c>
    </row>
    <row r="8" spans="1:39">
      <c r="A8">
        <v>1929</v>
      </c>
    </row>
    <row r="9" spans="1:39">
      <c r="A9">
        <v>1930</v>
      </c>
    </row>
    <row r="10" spans="1:39">
      <c r="A10">
        <v>1931</v>
      </c>
    </row>
    <row r="11" spans="1:39">
      <c r="A11">
        <v>1932</v>
      </c>
    </row>
    <row r="12" spans="1:39">
      <c r="A12">
        <v>1933</v>
      </c>
    </row>
    <row r="13" spans="1:39">
      <c r="A13">
        <v>1934</v>
      </c>
    </row>
    <row r="14" spans="1:39">
      <c r="A14">
        <v>1935</v>
      </c>
    </row>
    <row r="15" spans="1:39">
      <c r="A15">
        <v>1936</v>
      </c>
    </row>
    <row r="16" spans="1:39">
      <c r="A16">
        <v>1937</v>
      </c>
    </row>
    <row r="17" spans="1:1">
      <c r="A17">
        <v>1938</v>
      </c>
    </row>
    <row r="18" spans="1:1">
      <c r="A18">
        <v>1939</v>
      </c>
    </row>
    <row r="19" spans="1:1">
      <c r="A19">
        <v>1940</v>
      </c>
    </row>
    <row r="20" spans="1:1">
      <c r="A20">
        <v>1941</v>
      </c>
    </row>
    <row r="21" spans="1:1">
      <c r="A21">
        <v>1942</v>
      </c>
    </row>
    <row r="22" spans="1:1">
      <c r="A22">
        <v>1943</v>
      </c>
    </row>
    <row r="23" spans="1:1">
      <c r="A23">
        <v>1944</v>
      </c>
    </row>
    <row r="24" spans="1:1">
      <c r="A24">
        <v>1945</v>
      </c>
    </row>
    <row r="25" spans="1:1">
      <c r="A25">
        <v>1946</v>
      </c>
    </row>
    <row r="26" spans="1:1">
      <c r="A26">
        <v>1947</v>
      </c>
    </row>
    <row r="27" spans="1:1">
      <c r="A27">
        <v>1948</v>
      </c>
    </row>
    <row r="28" spans="1:1">
      <c r="A28">
        <v>1949</v>
      </c>
    </row>
    <row r="29" spans="1:1">
      <c r="A29">
        <v>1950</v>
      </c>
    </row>
    <row r="30" spans="1:1">
      <c r="A30">
        <v>1951</v>
      </c>
    </row>
    <row r="31" spans="1:1">
      <c r="A31">
        <v>1952</v>
      </c>
    </row>
    <row r="32" spans="1:1">
      <c r="A32">
        <v>1953</v>
      </c>
    </row>
    <row r="33" spans="1:39">
      <c r="A33">
        <v>1954</v>
      </c>
    </row>
    <row r="34" spans="1:39">
      <c r="A34">
        <v>1955</v>
      </c>
    </row>
    <row r="35" spans="1:39">
      <c r="A35">
        <v>1956</v>
      </c>
    </row>
    <row r="36" spans="1:39">
      <c r="A36">
        <v>1957</v>
      </c>
    </row>
    <row r="37" spans="1:39">
      <c r="A37">
        <v>1958</v>
      </c>
    </row>
    <row r="38" spans="1:39">
      <c r="A38">
        <v>1959</v>
      </c>
    </row>
    <row r="39" spans="1:39">
      <c r="A39">
        <v>1960</v>
      </c>
    </row>
    <row r="40" spans="1:39">
      <c r="A40">
        <v>1961</v>
      </c>
    </row>
    <row r="41" spans="1:39">
      <c r="A41">
        <v>1962</v>
      </c>
    </row>
    <row r="42" spans="1:39">
      <c r="A42">
        <v>1963</v>
      </c>
    </row>
    <row r="43" spans="1:39">
      <c r="A43">
        <v>1964</v>
      </c>
    </row>
    <row r="44" spans="1:39">
      <c r="A44">
        <v>1965</v>
      </c>
      <c r="B44" s="3">
        <f>O44/H44*100</f>
        <v>84.011053291760902</v>
      </c>
      <c r="E44" s="2">
        <v>20.692699999999999</v>
      </c>
      <c r="F44" s="1">
        <f>D44*E44/100</f>
        <v>0</v>
      </c>
      <c r="G44" s="53">
        <v>2.9999999999999997E-4</v>
      </c>
      <c r="H44" s="2">
        <v>3.4278843461212438</v>
      </c>
      <c r="I44" s="50">
        <f>I45*(I45/I46)</f>
        <v>8.721621575793917E-4</v>
      </c>
      <c r="J44" s="2">
        <v>14.449685210110879</v>
      </c>
      <c r="K44" s="9">
        <f>H44*J44/I44</f>
        <v>56792.018901152478</v>
      </c>
      <c r="L44" s="9">
        <f t="shared" ref="L44:L72" si="0">K44</f>
        <v>56792.018901152478</v>
      </c>
      <c r="M44" s="3"/>
      <c r="N44" s="7">
        <f t="shared" ref="N44:N88" si="1">O44*I44/100</f>
        <v>2.5116541031455322E-5</v>
      </c>
      <c r="O44" s="32">
        <f t="shared" ref="O44:O72" si="2">Y44+AM44</f>
        <v>2.8798017447998481</v>
      </c>
      <c r="P44" s="32">
        <f>Y44+AM44</f>
        <v>2.8798017447998481</v>
      </c>
      <c r="Q44" s="32">
        <f t="shared" ref="Q44:Q89" si="3">Y44+AJ44</f>
        <v>1.2588174961381098</v>
      </c>
      <c r="X44" s="7">
        <f>O44-AM44</f>
        <v>1.2588174961381098</v>
      </c>
      <c r="Y44" s="6">
        <f t="shared" ref="Y44:Y89" si="4">Y$102+Y$103*AA44+Y$104*AB44+Y$105*AC44+Y$106*AD44</f>
        <v>1.2588174961381098</v>
      </c>
      <c r="AA44" s="9">
        <f>USA!Z52*H44</f>
        <v>11.312018342200105</v>
      </c>
      <c r="AB44" s="9">
        <v>0</v>
      </c>
      <c r="AC44" s="9">
        <v>0</v>
      </c>
      <c r="AD44" s="9">
        <v>0</v>
      </c>
      <c r="AG44" s="2">
        <f t="shared" ref="AG44:AG60" si="5">AJ44-AI44</f>
        <v>0</v>
      </c>
      <c r="AI44" s="2">
        <f>AH44*(O44*(1/(1+AH44)))</f>
        <v>0</v>
      </c>
      <c r="AJ44" s="2">
        <f>O44*AF44</f>
        <v>0</v>
      </c>
      <c r="AM44" s="2">
        <f t="shared" ref="AM44:AM72" si="6">AM$74*Y44/Y$74</f>
        <v>1.6209842486617383</v>
      </c>
    </row>
    <row r="45" spans="1:39">
      <c r="A45">
        <v>1966</v>
      </c>
      <c r="B45" s="3">
        <f>O45/H45*100</f>
        <v>84.011053291760902</v>
      </c>
      <c r="E45" s="2">
        <v>21.311620000000001</v>
      </c>
      <c r="F45" s="1">
        <f t="shared" ref="F45:F78" si="7">D45*E45/100</f>
        <v>0</v>
      </c>
      <c r="G45" s="53">
        <v>3.4166666666666671E-4</v>
      </c>
      <c r="H45" s="2">
        <v>3.4278843461212438</v>
      </c>
      <c r="I45" s="50">
        <f>I46*(I46/I47)</f>
        <v>9.7668955510476704E-4</v>
      </c>
      <c r="J45" s="2">
        <v>14.885354110918239</v>
      </c>
      <c r="K45" s="9">
        <f t="shared" ref="K45:K87" si="8">H45*J45/I45</f>
        <v>52243.081823287015</v>
      </c>
      <c r="L45" s="9">
        <f t="shared" si="0"/>
        <v>52243.081823287015</v>
      </c>
      <c r="M45" s="3"/>
      <c r="N45" s="7">
        <f t="shared" si="1"/>
        <v>2.8126722849184956E-5</v>
      </c>
      <c r="O45" s="32">
        <f t="shared" si="2"/>
        <v>2.8798017447998481</v>
      </c>
      <c r="P45" s="32">
        <f t="shared" ref="P45:P89" si="9">Y45+AM45</f>
        <v>2.8798017447998481</v>
      </c>
      <c r="Q45" s="32">
        <f t="shared" si="3"/>
        <v>1.2588174961381098</v>
      </c>
      <c r="X45" s="7">
        <f t="shared" ref="X45:X73" si="10">O45-AM45</f>
        <v>1.2588174961381098</v>
      </c>
      <c r="Y45" s="6">
        <f t="shared" si="4"/>
        <v>1.2588174961381098</v>
      </c>
      <c r="AA45" s="9">
        <f>USA!Z53*H45</f>
        <v>11.312018342200105</v>
      </c>
      <c r="AB45" s="9">
        <v>0</v>
      </c>
      <c r="AC45" s="9">
        <v>0</v>
      </c>
      <c r="AD45" s="9">
        <v>0</v>
      </c>
      <c r="AG45" s="2">
        <f t="shared" si="5"/>
        <v>0</v>
      </c>
      <c r="AI45" s="2">
        <f t="shared" ref="AI45:AI89" si="11">AH45*(O45*(1/(1+AH45)))</f>
        <v>0</v>
      </c>
      <c r="AJ45" s="2">
        <f t="shared" ref="AJ45:AJ65" si="12">O45*AF45</f>
        <v>0</v>
      </c>
      <c r="AM45" s="2">
        <f t="shared" si="6"/>
        <v>1.6209842486617383</v>
      </c>
    </row>
    <row r="46" spans="1:39">
      <c r="A46">
        <v>1967</v>
      </c>
      <c r="B46" s="3">
        <f t="shared" ref="B46:B89" si="13">O46/H46*100</f>
        <v>84.011053291760902</v>
      </c>
      <c r="E46" s="2">
        <v>21.90315</v>
      </c>
      <c r="F46" s="1">
        <f t="shared" si="7"/>
        <v>0</v>
      </c>
      <c r="G46" s="53">
        <v>4.0000000000000013E-4</v>
      </c>
      <c r="H46" s="2">
        <v>3.4278843461212438</v>
      </c>
      <c r="I46" s="50">
        <f>I47*(I47/I48)</f>
        <v>1.0937444129636106E-3</v>
      </c>
      <c r="J46" s="2">
        <v>15.298093069577849</v>
      </c>
      <c r="K46" s="9">
        <f t="shared" si="8"/>
        <v>47945.473491946883</v>
      </c>
      <c r="L46" s="9">
        <f t="shared" si="0"/>
        <v>47945.473491946883</v>
      </c>
      <c r="M46" s="3"/>
      <c r="N46" s="7">
        <f t="shared" si="1"/>
        <v>3.1497670688176912E-5</v>
      </c>
      <c r="O46" s="32">
        <f t="shared" si="2"/>
        <v>2.8798017447998481</v>
      </c>
      <c r="P46" s="32">
        <f t="shared" si="9"/>
        <v>2.8798017447998481</v>
      </c>
      <c r="Q46" s="32">
        <f t="shared" si="3"/>
        <v>1.2588174961381098</v>
      </c>
      <c r="X46" s="7">
        <f t="shared" si="10"/>
        <v>1.2588174961381098</v>
      </c>
      <c r="Y46" s="6">
        <f t="shared" si="4"/>
        <v>1.2588174961381098</v>
      </c>
      <c r="AA46" s="9">
        <f>USA!Z54*H46</f>
        <v>11.312018342200105</v>
      </c>
      <c r="AB46" s="9">
        <v>0</v>
      </c>
      <c r="AC46" s="9">
        <v>0</v>
      </c>
      <c r="AD46" s="9">
        <v>0</v>
      </c>
      <c r="AG46" s="2">
        <f t="shared" si="5"/>
        <v>0</v>
      </c>
      <c r="AI46" s="2">
        <f t="shared" si="11"/>
        <v>0</v>
      </c>
      <c r="AJ46" s="2">
        <f t="shared" si="12"/>
        <v>0</v>
      </c>
      <c r="AM46" s="2">
        <f t="shared" si="6"/>
        <v>1.6209842486617383</v>
      </c>
    </row>
    <row r="47" spans="1:39">
      <c r="A47">
        <v>1968</v>
      </c>
      <c r="B47" s="3">
        <f t="shared" si="13"/>
        <v>84.011053291760902</v>
      </c>
      <c r="E47" s="2">
        <v>22.826969999999999</v>
      </c>
      <c r="F47" s="1">
        <f t="shared" si="7"/>
        <v>0</v>
      </c>
      <c r="G47" s="53">
        <v>4.0000000000000013E-4</v>
      </c>
      <c r="H47" s="2">
        <v>3.4278843461212438</v>
      </c>
      <c r="I47" s="50">
        <f>I48*(I48/I49)</f>
        <v>1.2248281295081439E-3</v>
      </c>
      <c r="J47" s="2">
        <v>15.95159642078889</v>
      </c>
      <c r="K47" s="9">
        <f t="shared" si="8"/>
        <v>44643.184091815332</v>
      </c>
      <c r="L47" s="9">
        <f t="shared" si="0"/>
        <v>44643.184091815332</v>
      </c>
      <c r="M47" s="3"/>
      <c r="N47" s="7">
        <f t="shared" si="1"/>
        <v>3.5272621844374872E-5</v>
      </c>
      <c r="O47" s="32">
        <f t="shared" si="2"/>
        <v>2.8798017447998481</v>
      </c>
      <c r="P47" s="32">
        <f t="shared" si="9"/>
        <v>2.8798017447998481</v>
      </c>
      <c r="Q47" s="32">
        <f t="shared" si="3"/>
        <v>1.2588174961381098</v>
      </c>
      <c r="X47" s="7">
        <f t="shared" si="10"/>
        <v>1.2588174961381098</v>
      </c>
      <c r="Y47" s="6">
        <f t="shared" si="4"/>
        <v>1.2588174961381098</v>
      </c>
      <c r="AA47" s="9">
        <f>USA!Z55*H47</f>
        <v>11.312018342200105</v>
      </c>
      <c r="AB47" s="9">
        <v>0</v>
      </c>
      <c r="AC47" s="9">
        <v>0</v>
      </c>
      <c r="AD47" s="9">
        <v>0</v>
      </c>
      <c r="AG47" s="2">
        <f t="shared" si="5"/>
        <v>0</v>
      </c>
      <c r="AI47" s="2">
        <f t="shared" si="11"/>
        <v>0</v>
      </c>
      <c r="AJ47" s="2">
        <f t="shared" si="12"/>
        <v>0</v>
      </c>
      <c r="AM47" s="2">
        <f t="shared" si="6"/>
        <v>1.6209842486617383</v>
      </c>
    </row>
    <row r="48" spans="1:39">
      <c r="A48">
        <v>1969</v>
      </c>
      <c r="B48" s="3">
        <f t="shared" si="13"/>
        <v>84.011053291760902</v>
      </c>
      <c r="E48" s="2">
        <v>24.06298</v>
      </c>
      <c r="F48" s="1">
        <f t="shared" si="7"/>
        <v>0</v>
      </c>
      <c r="G48" s="53">
        <v>4.2500000000000003E-4</v>
      </c>
      <c r="H48" s="2">
        <v>3.4278843461212438</v>
      </c>
      <c r="I48" s="50">
        <f>I49*(I49/I50)</f>
        <v>1.3716220435535434E-3</v>
      </c>
      <c r="J48" s="2">
        <v>16.822934222403617</v>
      </c>
      <c r="K48" s="9">
        <f t="shared" si="8"/>
        <v>42042.976159382197</v>
      </c>
      <c r="L48" s="9">
        <f t="shared" si="0"/>
        <v>42042.976159382197</v>
      </c>
      <c r="M48" s="3"/>
      <c r="N48" s="7">
        <f t="shared" si="1"/>
        <v>3.9499995542314272E-5</v>
      </c>
      <c r="O48" s="32">
        <f t="shared" si="2"/>
        <v>2.8798017447998481</v>
      </c>
      <c r="P48" s="32">
        <f t="shared" si="9"/>
        <v>2.8798017447998481</v>
      </c>
      <c r="Q48" s="32">
        <f t="shared" si="3"/>
        <v>1.2588174961381098</v>
      </c>
      <c r="X48" s="7">
        <f t="shared" si="10"/>
        <v>1.2588174961381098</v>
      </c>
      <c r="Y48" s="6">
        <f t="shared" si="4"/>
        <v>1.2588174961381098</v>
      </c>
      <c r="AA48" s="9">
        <f>USA!Z56*H48</f>
        <v>11.312018342200105</v>
      </c>
      <c r="AB48" s="9">
        <v>0</v>
      </c>
      <c r="AC48" s="9">
        <v>0</v>
      </c>
      <c r="AD48" s="9">
        <v>0</v>
      </c>
      <c r="AG48" s="2">
        <f t="shared" si="5"/>
        <v>0</v>
      </c>
      <c r="AI48" s="2">
        <f t="shared" si="11"/>
        <v>0</v>
      </c>
      <c r="AJ48" s="2">
        <f t="shared" si="12"/>
        <v>0</v>
      </c>
      <c r="AM48" s="2">
        <f t="shared" si="6"/>
        <v>1.6209842486617383</v>
      </c>
    </row>
    <row r="49" spans="1:39">
      <c r="A49">
        <v>1970</v>
      </c>
      <c r="B49" s="3">
        <f t="shared" si="13"/>
        <v>84.080748934245477</v>
      </c>
      <c r="E49" s="2">
        <v>25.481560000000002</v>
      </c>
      <c r="F49" s="1">
        <f t="shared" si="7"/>
        <v>0</v>
      </c>
      <c r="G49" s="53">
        <v>6.333333333333333E-4</v>
      </c>
      <c r="H49" s="2">
        <v>3.4278843461212438</v>
      </c>
      <c r="I49" s="1">
        <v>1.5360089999872015E-3</v>
      </c>
      <c r="J49" s="2">
        <v>17.805100077732504</v>
      </c>
      <c r="K49" s="9">
        <f t="shared" si="8"/>
        <v>39735.329570393107</v>
      </c>
      <c r="L49" s="9">
        <f t="shared" si="0"/>
        <v>39735.329570393107</v>
      </c>
      <c r="M49" s="3"/>
      <c r="N49" s="7">
        <f t="shared" si="1"/>
        <v>4.4270710558178134E-5</v>
      </c>
      <c r="O49" s="32">
        <f t="shared" si="2"/>
        <v>2.8821908308185051</v>
      </c>
      <c r="P49" s="32">
        <f t="shared" si="9"/>
        <v>2.8821908308185051</v>
      </c>
      <c r="Q49" s="32">
        <f t="shared" si="3"/>
        <v>1.2598618122218455</v>
      </c>
      <c r="X49" s="7">
        <f t="shared" si="10"/>
        <v>1.2598618122218455</v>
      </c>
      <c r="Y49" s="6">
        <f t="shared" si="4"/>
        <v>1.2598618122218455</v>
      </c>
      <c r="AA49" s="9">
        <f>USA!Z57*H49</f>
        <v>11.483412559506167</v>
      </c>
      <c r="AB49" s="9">
        <v>0</v>
      </c>
      <c r="AC49" s="9">
        <v>0</v>
      </c>
      <c r="AD49" s="9">
        <v>0</v>
      </c>
      <c r="AG49" s="2">
        <f t="shared" si="5"/>
        <v>0</v>
      </c>
      <c r="AI49" s="2">
        <f t="shared" si="11"/>
        <v>0</v>
      </c>
      <c r="AJ49" s="2">
        <f t="shared" si="12"/>
        <v>0</v>
      </c>
      <c r="AM49" s="2">
        <f t="shared" si="6"/>
        <v>1.6223290185966597</v>
      </c>
    </row>
    <row r="50" spans="1:39">
      <c r="A50">
        <v>1971</v>
      </c>
      <c r="B50" s="3">
        <f t="shared" si="13"/>
        <v>80.046687878458812</v>
      </c>
      <c r="E50" s="2">
        <v>26.566040000000001</v>
      </c>
      <c r="F50" s="1">
        <f t="shared" si="7"/>
        <v>0</v>
      </c>
      <c r="G50" s="53">
        <v>7.9166666666666676E-4</v>
      </c>
      <c r="H50" s="2">
        <v>3.625418309798238</v>
      </c>
      <c r="I50" s="1">
        <v>1.7200974999856677E-3</v>
      </c>
      <c r="J50" s="2">
        <v>18.569431482657702</v>
      </c>
      <c r="K50" s="9">
        <f t="shared" si="8"/>
        <v>39138.454012247574</v>
      </c>
      <c r="L50" s="9">
        <f t="shared" si="0"/>
        <v>39138.454012247574</v>
      </c>
      <c r="M50" s="3"/>
      <c r="N50" s="7">
        <f t="shared" si="1"/>
        <v>4.9917698670383148E-5</v>
      </c>
      <c r="O50" s="32">
        <f t="shared" si="2"/>
        <v>2.9020272787326924</v>
      </c>
      <c r="P50" s="32">
        <f t="shared" si="9"/>
        <v>2.9020272787326924</v>
      </c>
      <c r="Q50" s="32">
        <f t="shared" si="3"/>
        <v>1.2685327103976318</v>
      </c>
      <c r="X50" s="7">
        <f t="shared" si="10"/>
        <v>1.2685327103976316</v>
      </c>
      <c r="Y50" s="6">
        <f t="shared" si="4"/>
        <v>1.2685327103976318</v>
      </c>
      <c r="AA50" s="9">
        <f>USA!Z58*H50</f>
        <v>12.906489182881728</v>
      </c>
      <c r="AB50" s="9">
        <v>0</v>
      </c>
      <c r="AC50" s="9">
        <v>0</v>
      </c>
      <c r="AD50" s="9">
        <v>0</v>
      </c>
      <c r="AG50" s="2">
        <f t="shared" si="5"/>
        <v>0</v>
      </c>
      <c r="AI50" s="2">
        <f t="shared" si="11"/>
        <v>0</v>
      </c>
      <c r="AJ50" s="2">
        <f t="shared" si="12"/>
        <v>0</v>
      </c>
      <c r="AM50" s="2">
        <f t="shared" si="6"/>
        <v>1.6334945683350608</v>
      </c>
    </row>
    <row r="51" spans="1:39">
      <c r="A51">
        <v>1972</v>
      </c>
      <c r="B51" s="3">
        <f t="shared" si="13"/>
        <v>75.336411109733419</v>
      </c>
      <c r="E51" s="2">
        <v>27.444210000000002</v>
      </c>
      <c r="F51" s="1">
        <f t="shared" si="7"/>
        <v>0</v>
      </c>
      <c r="G51" s="53">
        <v>1.0333333333333332E-3</v>
      </c>
      <c r="H51" s="2">
        <v>3.8680747439621954</v>
      </c>
      <c r="I51" s="1">
        <v>1.9414904999838229E-3</v>
      </c>
      <c r="J51" s="2">
        <v>19.177074949573232</v>
      </c>
      <c r="K51" s="9">
        <f t="shared" si="8"/>
        <v>38206.913335982012</v>
      </c>
      <c r="L51" s="9">
        <f t="shared" si="0"/>
        <v>38206.913335982012</v>
      </c>
      <c r="M51" s="3"/>
      <c r="N51" s="7">
        <f t="shared" si="1"/>
        <v>5.6576366801546759E-5</v>
      </c>
      <c r="O51" s="32">
        <f t="shared" si="2"/>
        <v>2.9140686911431279</v>
      </c>
      <c r="P51" s="32">
        <f t="shared" si="9"/>
        <v>2.9140686911431279</v>
      </c>
      <c r="Q51" s="32">
        <f t="shared" si="3"/>
        <v>1.2737962465587034</v>
      </c>
      <c r="X51" s="7">
        <f t="shared" si="10"/>
        <v>1.2737962465587032</v>
      </c>
      <c r="Y51" s="6">
        <f t="shared" si="4"/>
        <v>1.2737962465587034</v>
      </c>
      <c r="AA51" s="9">
        <f>USA!Z59*H51</f>
        <v>13.770346088505416</v>
      </c>
      <c r="AB51" s="9">
        <v>0</v>
      </c>
      <c r="AC51" s="9">
        <v>0</v>
      </c>
      <c r="AD51" s="9">
        <v>0</v>
      </c>
      <c r="AG51" s="2">
        <f t="shared" si="5"/>
        <v>0</v>
      </c>
      <c r="AI51" s="2">
        <f t="shared" si="11"/>
        <v>0</v>
      </c>
      <c r="AJ51" s="2">
        <f t="shared" si="12"/>
        <v>0</v>
      </c>
      <c r="AM51" s="2">
        <f t="shared" si="6"/>
        <v>1.6402724445844248</v>
      </c>
    </row>
    <row r="52" spans="1:39">
      <c r="A52">
        <v>1973</v>
      </c>
      <c r="B52" s="3">
        <f t="shared" si="13"/>
        <v>84.712094386676824</v>
      </c>
      <c r="E52" s="2">
        <v>29.151260000000001</v>
      </c>
      <c r="F52" s="1">
        <f t="shared" si="7"/>
        <v>0</v>
      </c>
      <c r="G52" s="53">
        <v>1.7416666666666665E-3</v>
      </c>
      <c r="H52" s="2">
        <v>3.4319246859361403</v>
      </c>
      <c r="I52" s="1">
        <v>2.3305583333139142E-3</v>
      </c>
      <c r="J52" s="2">
        <v>20.361788627207293</v>
      </c>
      <c r="K52" s="9">
        <f t="shared" si="8"/>
        <v>29984.28489887276</v>
      </c>
      <c r="L52" s="9">
        <f t="shared" si="0"/>
        <v>29984.28489887276</v>
      </c>
      <c r="M52" s="3"/>
      <c r="N52" s="7">
        <f t="shared" si="1"/>
        <v>6.7755280180800792E-5</v>
      </c>
      <c r="O52" s="32">
        <f t="shared" si="2"/>
        <v>2.9072552792298851</v>
      </c>
      <c r="P52" s="32">
        <f t="shared" si="9"/>
        <v>2.9072552792298851</v>
      </c>
      <c r="Q52" s="32">
        <f t="shared" si="3"/>
        <v>1.2708179713561574</v>
      </c>
      <c r="X52" s="7">
        <f t="shared" si="10"/>
        <v>1.2708179713561574</v>
      </c>
      <c r="Y52" s="6">
        <f t="shared" si="4"/>
        <v>1.2708179713561574</v>
      </c>
      <c r="AA52" s="9">
        <f>USA!Z60*H52</f>
        <v>13.281548534572863</v>
      </c>
      <c r="AB52" s="9">
        <v>0</v>
      </c>
      <c r="AC52" s="9">
        <v>0</v>
      </c>
      <c r="AD52" s="9">
        <v>0</v>
      </c>
      <c r="AG52" s="2">
        <f t="shared" si="5"/>
        <v>0</v>
      </c>
      <c r="AI52" s="2">
        <f t="shared" si="11"/>
        <v>0</v>
      </c>
      <c r="AJ52" s="2">
        <f t="shared" si="12"/>
        <v>0</v>
      </c>
      <c r="AM52" s="2">
        <f t="shared" si="6"/>
        <v>1.6364373078737278</v>
      </c>
    </row>
    <row r="53" spans="1:39">
      <c r="A53">
        <v>1974</v>
      </c>
      <c r="B53" s="3">
        <f t="shared" si="13"/>
        <v>111.43235756662887</v>
      </c>
      <c r="E53" s="2">
        <v>32.368180000000002</v>
      </c>
      <c r="F53" s="1">
        <f t="shared" si="7"/>
        <v>0</v>
      </c>
      <c r="G53" s="53">
        <v>2.5500000000000002E-3</v>
      </c>
      <c r="H53" s="2">
        <v>2.886199392505544</v>
      </c>
      <c r="I53" s="1">
        <v>3.2551637499728769E-3</v>
      </c>
      <c r="J53" s="2">
        <v>22.612744614711996</v>
      </c>
      <c r="K53" s="9">
        <f t="shared" si="8"/>
        <v>20049.648737458625</v>
      </c>
      <c r="L53" s="9">
        <f t="shared" si="0"/>
        <v>20049.648737458625</v>
      </c>
      <c r="M53" s="3"/>
      <c r="N53" s="7">
        <f t="shared" si="1"/>
        <v>1.046912753446653E-4</v>
      </c>
      <c r="O53" s="32">
        <f t="shared" si="2"/>
        <v>3.2161600271426476</v>
      </c>
      <c r="P53" s="32">
        <f t="shared" si="9"/>
        <v>3.2161600271426476</v>
      </c>
      <c r="Q53" s="32">
        <f t="shared" si="3"/>
        <v>1.4058462600273776</v>
      </c>
      <c r="X53" s="7">
        <f t="shared" si="10"/>
        <v>1.4058462600273778</v>
      </c>
      <c r="Y53" s="6">
        <f t="shared" si="4"/>
        <v>1.4058462600273776</v>
      </c>
      <c r="AA53" s="9">
        <f>USA!Z61*H53</f>
        <v>35.44252853996808</v>
      </c>
      <c r="AB53" s="9">
        <v>0</v>
      </c>
      <c r="AC53" s="9">
        <v>0</v>
      </c>
      <c r="AD53" s="9">
        <v>0</v>
      </c>
      <c r="AG53" s="2">
        <f t="shared" si="5"/>
        <v>0</v>
      </c>
      <c r="AI53" s="2">
        <f t="shared" si="11"/>
        <v>0</v>
      </c>
      <c r="AJ53" s="2">
        <f t="shared" si="12"/>
        <v>0</v>
      </c>
      <c r="AM53" s="2">
        <f t="shared" si="6"/>
        <v>1.8103137671152698</v>
      </c>
    </row>
    <row r="54" spans="1:39">
      <c r="A54">
        <v>1975</v>
      </c>
      <c r="B54" s="3">
        <f t="shared" si="13"/>
        <v>98.218292382424352</v>
      </c>
      <c r="E54" s="2">
        <v>35.324019999999997</v>
      </c>
      <c r="F54" s="1">
        <f t="shared" si="7"/>
        <v>0</v>
      </c>
      <c r="G54" s="53">
        <v>5.1166666666666661E-3</v>
      </c>
      <c r="H54" s="2">
        <v>3.3791079496351295</v>
      </c>
      <c r="I54" s="1">
        <v>4.5347522499622145E-3</v>
      </c>
      <c r="J54" s="2">
        <v>24.680261065034667</v>
      </c>
      <c r="K54" s="9">
        <f t="shared" si="8"/>
        <v>18390.699594365691</v>
      </c>
      <c r="L54" s="9">
        <f t="shared" si="0"/>
        <v>18390.699594365691</v>
      </c>
      <c r="M54" s="3"/>
      <c r="N54" s="7">
        <f t="shared" si="1"/>
        <v>1.5050398882785761E-4</v>
      </c>
      <c r="O54" s="32">
        <f t="shared" si="2"/>
        <v>3.3189021258903764</v>
      </c>
      <c r="P54" s="32">
        <f t="shared" si="9"/>
        <v>3.3189021258903764</v>
      </c>
      <c r="Q54" s="32">
        <f t="shared" si="3"/>
        <v>1.4507568347664659</v>
      </c>
      <c r="X54" s="7">
        <f t="shared" si="10"/>
        <v>1.4507568347664659</v>
      </c>
      <c r="Y54" s="6">
        <f t="shared" si="4"/>
        <v>1.4507568347664659</v>
      </c>
      <c r="AA54" s="9">
        <f>USA!Z62*H54</f>
        <v>42.813297721877092</v>
      </c>
      <c r="AB54" s="9">
        <v>0</v>
      </c>
      <c r="AC54" s="9">
        <v>0</v>
      </c>
      <c r="AD54" s="9">
        <v>0</v>
      </c>
      <c r="AG54" s="2">
        <f t="shared" si="5"/>
        <v>0</v>
      </c>
      <c r="AI54" s="2">
        <f t="shared" si="11"/>
        <v>0</v>
      </c>
      <c r="AJ54" s="2">
        <f t="shared" si="12"/>
        <v>0</v>
      </c>
      <c r="AM54" s="2">
        <f t="shared" si="6"/>
        <v>1.8681452911239105</v>
      </c>
    </row>
    <row r="55" spans="1:39">
      <c r="A55">
        <v>1976</v>
      </c>
      <c r="B55" s="3">
        <f t="shared" si="13"/>
        <v>98.553350273146222</v>
      </c>
      <c r="E55" s="2">
        <v>37.350569999999998</v>
      </c>
      <c r="F55" s="1">
        <f t="shared" si="7"/>
        <v>0</v>
      </c>
      <c r="G55" s="53">
        <v>1.1441666666666668E-2</v>
      </c>
      <c r="H55" s="2">
        <v>3.4032298098736842</v>
      </c>
      <c r="I55" s="1">
        <v>5.9547630832837159E-3</v>
      </c>
      <c r="J55" s="2">
        <v>26.098095821170912</v>
      </c>
      <c r="K55" s="9">
        <f t="shared" si="8"/>
        <v>14915.424247335572</v>
      </c>
      <c r="L55" s="9">
        <f t="shared" si="0"/>
        <v>14915.424247335572</v>
      </c>
      <c r="M55" s="3"/>
      <c r="N55" s="7">
        <f t="shared" si="1"/>
        <v>1.9972257488014508E-4</v>
      </c>
      <c r="O55" s="32">
        <f t="shared" si="2"/>
        <v>3.3539969951249402</v>
      </c>
      <c r="P55" s="32">
        <f t="shared" si="9"/>
        <v>3.3539969951249402</v>
      </c>
      <c r="Q55" s="32">
        <f t="shared" si="3"/>
        <v>1.4660974864265746</v>
      </c>
      <c r="X55" s="7">
        <f t="shared" si="10"/>
        <v>1.4660974864265748</v>
      </c>
      <c r="Y55" s="6">
        <f t="shared" si="4"/>
        <v>1.4660974864265746</v>
      </c>
      <c r="AA55" s="9">
        <f>USA!Z63*H55</f>
        <v>45.331021067517476</v>
      </c>
      <c r="AB55" s="9">
        <v>0</v>
      </c>
      <c r="AC55" s="9">
        <v>0</v>
      </c>
      <c r="AD55" s="9">
        <v>0</v>
      </c>
      <c r="AG55" s="2">
        <f t="shared" si="5"/>
        <v>0</v>
      </c>
      <c r="AI55" s="2">
        <f t="shared" si="11"/>
        <v>0</v>
      </c>
      <c r="AJ55" s="2">
        <f t="shared" si="12"/>
        <v>0</v>
      </c>
      <c r="AM55" s="2">
        <f t="shared" si="6"/>
        <v>1.8878995086983654</v>
      </c>
    </row>
    <row r="56" spans="1:39">
      <c r="A56">
        <v>1977</v>
      </c>
      <c r="B56" s="3">
        <f t="shared" si="13"/>
        <v>97.975023315989205</v>
      </c>
      <c r="E56" s="2">
        <v>39.773299999999999</v>
      </c>
      <c r="F56" s="1">
        <f t="shared" si="7"/>
        <v>0</v>
      </c>
      <c r="G56" s="53">
        <v>2.4266666666666662E-2</v>
      </c>
      <c r="H56" s="2">
        <v>3.4917608014409716</v>
      </c>
      <c r="I56" s="1">
        <v>8.0158642499332054E-3</v>
      </c>
      <c r="J56" s="2">
        <v>27.794911540104842</v>
      </c>
      <c r="K56" s="9">
        <f t="shared" si="8"/>
        <v>12107.637999990597</v>
      </c>
      <c r="L56" s="9">
        <f t="shared" si="0"/>
        <v>12107.637999990597</v>
      </c>
      <c r="M56" s="3"/>
      <c r="N56" s="7">
        <f t="shared" si="1"/>
        <v>2.7422700121916901E-4</v>
      </c>
      <c r="O56" s="32">
        <f t="shared" si="2"/>
        <v>3.4210534593503636</v>
      </c>
      <c r="P56" s="32">
        <f t="shared" si="9"/>
        <v>3.4210534593503636</v>
      </c>
      <c r="Q56" s="32">
        <f t="shared" si="3"/>
        <v>1.4954091744789024</v>
      </c>
      <c r="X56" s="7">
        <f t="shared" si="10"/>
        <v>1.4954091744789024</v>
      </c>
      <c r="Y56" s="6">
        <f t="shared" si="4"/>
        <v>1.4954091744789024</v>
      </c>
      <c r="AA56" s="9">
        <f>USA!Z64*H56</f>
        <v>50.14168510869235</v>
      </c>
      <c r="AB56" s="9">
        <v>0</v>
      </c>
      <c r="AC56" s="9">
        <v>0</v>
      </c>
      <c r="AD56" s="9">
        <v>0</v>
      </c>
      <c r="AG56" s="2">
        <f t="shared" si="5"/>
        <v>0</v>
      </c>
      <c r="AI56" s="2">
        <f t="shared" si="11"/>
        <v>0</v>
      </c>
      <c r="AJ56" s="2">
        <f t="shared" si="12"/>
        <v>0</v>
      </c>
      <c r="AM56" s="2">
        <f t="shared" si="6"/>
        <v>1.9256442848714612</v>
      </c>
    </row>
    <row r="57" spans="1:39">
      <c r="A57">
        <v>1978</v>
      </c>
      <c r="B57" s="3">
        <f t="shared" si="13"/>
        <v>84.037570861722642</v>
      </c>
      <c r="E57" s="2">
        <v>42.81494</v>
      </c>
      <c r="F57" s="1">
        <f t="shared" si="7"/>
        <v>0</v>
      </c>
      <c r="G57" s="53">
        <v>5.6208333333333339E-2</v>
      </c>
      <c r="H57" s="2">
        <v>4.250071027320856</v>
      </c>
      <c r="I57" s="1">
        <v>1.2068169416566105E-2</v>
      </c>
      <c r="J57" s="2">
        <v>29.915931188772277</v>
      </c>
      <c r="K57" s="9">
        <f t="shared" si="8"/>
        <v>10535.552494497828</v>
      </c>
      <c r="L57" s="9">
        <f t="shared" si="0"/>
        <v>10535.552494497828</v>
      </c>
      <c r="M57" s="3"/>
      <c r="N57" s="7">
        <f t="shared" si="1"/>
        <v>4.3103355151556541E-4</v>
      </c>
      <c r="O57" s="32">
        <f t="shared" si="2"/>
        <v>3.571656451258308</v>
      </c>
      <c r="P57" s="32">
        <f t="shared" si="9"/>
        <v>3.571656451258308</v>
      </c>
      <c r="Q57" s="32">
        <f t="shared" si="3"/>
        <v>1.5612406788617303</v>
      </c>
      <c r="X57" s="7">
        <f t="shared" si="10"/>
        <v>1.5612406788617301</v>
      </c>
      <c r="Y57" s="6">
        <f t="shared" si="4"/>
        <v>1.5612406788617303</v>
      </c>
      <c r="AA57" s="9">
        <f>USA!Z65*H57</f>
        <v>60.946018531781071</v>
      </c>
      <c r="AB57" s="9">
        <v>0</v>
      </c>
      <c r="AC57" s="9">
        <v>0</v>
      </c>
      <c r="AD57" s="9">
        <v>0</v>
      </c>
      <c r="AG57" s="2">
        <f t="shared" si="5"/>
        <v>0</v>
      </c>
      <c r="AI57" s="2">
        <f t="shared" si="11"/>
        <v>0</v>
      </c>
      <c r="AJ57" s="2">
        <f t="shared" si="12"/>
        <v>0</v>
      </c>
      <c r="AM57" s="2">
        <f t="shared" si="6"/>
        <v>2.0104157723965779</v>
      </c>
    </row>
    <row r="58" spans="1:39">
      <c r="A58">
        <v>1979</v>
      </c>
      <c r="B58" s="3">
        <f t="shared" si="13"/>
        <v>99.744551665309501</v>
      </c>
      <c r="E58" s="2">
        <v>47.637999999999998</v>
      </c>
      <c r="F58" s="1">
        <f t="shared" si="7"/>
        <v>0</v>
      </c>
      <c r="G58" s="53">
        <v>0.29322500000000001</v>
      </c>
      <c r="H58" s="2">
        <v>3.8958139695999687</v>
      </c>
      <c r="I58" s="2">
        <v>2.1518888166487355E-2</v>
      </c>
      <c r="J58" s="2">
        <v>33.282811027467773</v>
      </c>
      <c r="K58" s="9">
        <f t="shared" si="8"/>
        <v>6025.5734006879475</v>
      </c>
      <c r="L58" s="9">
        <f t="shared" si="0"/>
        <v>6025.5734006879475</v>
      </c>
      <c r="M58" s="3"/>
      <c r="N58" s="7">
        <f t="shared" si="1"/>
        <v>8.3619433632136861E-4</v>
      </c>
      <c r="O58" s="32">
        <f t="shared" si="2"/>
        <v>3.8858621776919859</v>
      </c>
      <c r="P58" s="32">
        <f t="shared" si="9"/>
        <v>3.8858621776919859</v>
      </c>
      <c r="Q58" s="32">
        <f t="shared" si="3"/>
        <v>1.6985861286086497</v>
      </c>
      <c r="X58" s="7">
        <f t="shared" si="10"/>
        <v>1.6985861286086497</v>
      </c>
      <c r="Y58" s="6">
        <f t="shared" si="4"/>
        <v>1.6985861286086497</v>
      </c>
      <c r="AA58" s="9">
        <f>USA!Z66*H58</f>
        <v>83.487293368527332</v>
      </c>
      <c r="AB58" s="9">
        <v>0</v>
      </c>
      <c r="AC58" s="9">
        <v>0</v>
      </c>
      <c r="AD58" s="9">
        <v>0</v>
      </c>
      <c r="AG58" s="2">
        <f t="shared" si="5"/>
        <v>0</v>
      </c>
      <c r="AI58" s="2">
        <f t="shared" si="11"/>
        <v>0</v>
      </c>
      <c r="AJ58" s="2">
        <f t="shared" si="12"/>
        <v>0</v>
      </c>
      <c r="AM58" s="2">
        <f t="shared" si="6"/>
        <v>2.1872760490833363</v>
      </c>
    </row>
    <row r="59" spans="1:39">
      <c r="A59">
        <v>1980</v>
      </c>
      <c r="B59" s="3">
        <f t="shared" si="13"/>
        <v>118.07474702717444</v>
      </c>
      <c r="E59" s="2">
        <v>54.074159999999999</v>
      </c>
      <c r="F59" s="1">
        <f t="shared" si="7"/>
        <v>0</v>
      </c>
      <c r="G59" s="53">
        <v>1.1788583333333333</v>
      </c>
      <c r="H59" s="2">
        <v>3.835355912189101</v>
      </c>
      <c r="I59" s="2">
        <v>4.9713500416252394E-2</v>
      </c>
      <c r="J59" s="2">
        <v>37.792366316526461</v>
      </c>
      <c r="K59" s="9">
        <f t="shared" si="8"/>
        <v>2915.6501629146937</v>
      </c>
      <c r="L59" s="9">
        <f t="shared" si="0"/>
        <v>2915.6501629146937</v>
      </c>
      <c r="M59" s="3"/>
      <c r="N59" s="7">
        <f t="shared" si="1"/>
        <v>2.2513190131489263E-3</v>
      </c>
      <c r="O59" s="32">
        <f t="shared" si="2"/>
        <v>4.5285867909090598</v>
      </c>
      <c r="P59" s="32">
        <f t="shared" si="9"/>
        <v>4.5285867909090598</v>
      </c>
      <c r="Q59" s="32">
        <f t="shared" si="3"/>
        <v>1.9795335895848161</v>
      </c>
      <c r="X59" s="7">
        <f t="shared" si="10"/>
        <v>1.9795335895848165</v>
      </c>
      <c r="Y59" s="6">
        <f t="shared" si="4"/>
        <v>1.9795335895848161</v>
      </c>
      <c r="AA59" s="9">
        <f>USA!Z67*H59</f>
        <v>129.59667627286973</v>
      </c>
      <c r="AB59" s="9">
        <v>0</v>
      </c>
      <c r="AC59" s="9">
        <v>0</v>
      </c>
      <c r="AD59" s="9">
        <v>0</v>
      </c>
      <c r="AG59" s="2">
        <f t="shared" si="5"/>
        <v>0</v>
      </c>
      <c r="AI59" s="2">
        <f t="shared" si="11"/>
        <v>0</v>
      </c>
      <c r="AJ59" s="2">
        <f t="shared" si="12"/>
        <v>0</v>
      </c>
      <c r="AM59" s="2">
        <f t="shared" si="6"/>
        <v>2.5490532013242433</v>
      </c>
    </row>
    <row r="60" spans="1:39">
      <c r="A60">
        <v>1981</v>
      </c>
      <c r="B60" s="3">
        <f t="shared" si="13"/>
        <v>113.6024803156108</v>
      </c>
      <c r="E60" s="2">
        <v>59.652189999999997</v>
      </c>
      <c r="F60" s="1">
        <f t="shared" si="7"/>
        <v>0</v>
      </c>
      <c r="G60" s="53">
        <v>1.4878416666666665</v>
      </c>
      <c r="H60" s="2">
        <v>4.3311331002968405</v>
      </c>
      <c r="I60" s="2">
        <v>0.10777892091576859</v>
      </c>
      <c r="J60" s="2">
        <v>41.698099795694219</v>
      </c>
      <c r="K60" s="9">
        <f t="shared" si="8"/>
        <v>1675.6525182299304</v>
      </c>
      <c r="L60" s="9">
        <f t="shared" si="0"/>
        <v>1675.6525182299304</v>
      </c>
      <c r="M60" s="3"/>
      <c r="N60" s="7">
        <f t="shared" si="1"/>
        <v>5.3030188998356258E-3</v>
      </c>
      <c r="O60" s="32">
        <f t="shared" si="2"/>
        <v>4.9202746277076219</v>
      </c>
      <c r="P60" s="32">
        <f t="shared" si="9"/>
        <v>4.9202746277076219</v>
      </c>
      <c r="Q60" s="32">
        <f t="shared" si="3"/>
        <v>2.1507479806021355</v>
      </c>
      <c r="X60" s="7">
        <f t="shared" si="10"/>
        <v>2.150747980602135</v>
      </c>
      <c r="Y60" s="6">
        <f t="shared" si="4"/>
        <v>2.1507479806021355</v>
      </c>
      <c r="AA60" s="9">
        <f>USA!Z68*H60</f>
        <v>157.69655618180795</v>
      </c>
      <c r="AB60" s="9">
        <v>0</v>
      </c>
      <c r="AC60" s="9">
        <v>0</v>
      </c>
      <c r="AD60" s="9">
        <v>0</v>
      </c>
      <c r="AG60" s="2">
        <f t="shared" si="5"/>
        <v>0</v>
      </c>
      <c r="AI60" s="2">
        <f t="shared" si="11"/>
        <v>0</v>
      </c>
      <c r="AJ60" s="2">
        <f t="shared" si="12"/>
        <v>0</v>
      </c>
      <c r="AM60" s="2">
        <f t="shared" si="6"/>
        <v>2.7695266471054869</v>
      </c>
    </row>
    <row r="61" spans="1:39">
      <c r="A61">
        <v>1982</v>
      </c>
      <c r="B61" s="3">
        <f t="shared" si="13"/>
        <v>107.38894740221721</v>
      </c>
      <c r="E61" s="2">
        <v>63.32714</v>
      </c>
      <c r="F61" s="1">
        <f t="shared" si="7"/>
        <v>0</v>
      </c>
      <c r="G61" s="53">
        <v>1.594641666666667</v>
      </c>
      <c r="H61" s="2">
        <v>4.4543866906359666</v>
      </c>
      <c r="I61" s="2">
        <v>0.23750640074802087</v>
      </c>
      <c r="J61" s="2">
        <v>44.254788345169004</v>
      </c>
      <c r="K61" s="9">
        <f t="shared" si="8"/>
        <v>829.9900111356269</v>
      </c>
      <c r="L61" s="9">
        <f t="shared" si="0"/>
        <v>829.9900111356269</v>
      </c>
      <c r="M61" s="3"/>
      <c r="N61" s="7">
        <f t="shared" si="1"/>
        <v>1.1361163759205211E-2</v>
      </c>
      <c r="O61" s="32">
        <f t="shared" si="2"/>
        <v>4.7835189802984219</v>
      </c>
      <c r="P61" s="32">
        <f t="shared" si="9"/>
        <v>4.7835189802984219</v>
      </c>
      <c r="Q61" s="32">
        <f t="shared" si="3"/>
        <v>2.0909694205101941</v>
      </c>
      <c r="X61" s="7">
        <f t="shared" si="10"/>
        <v>2.0909694205101941</v>
      </c>
      <c r="Y61" s="6">
        <f t="shared" si="4"/>
        <v>2.0909694205101941</v>
      </c>
      <c r="AA61" s="9">
        <f>USA!Z69*H61</f>
        <v>147.88563812911411</v>
      </c>
      <c r="AB61" s="9">
        <v>0</v>
      </c>
      <c r="AC61" s="9">
        <v>0</v>
      </c>
      <c r="AD61" s="9">
        <v>0</v>
      </c>
      <c r="AG61" s="39">
        <f t="shared" ref="AG61:AG73" si="14">AG62*I61/I62</f>
        <v>5.9810614358768053E-3</v>
      </c>
      <c r="AH61" s="2">
        <v>0.15</v>
      </c>
      <c r="AI61" s="2">
        <f t="shared" si="11"/>
        <v>0.62393725829979418</v>
      </c>
      <c r="AJ61" s="2">
        <f t="shared" si="12"/>
        <v>0</v>
      </c>
      <c r="AM61" s="2">
        <f t="shared" si="6"/>
        <v>2.6925495597882279</v>
      </c>
    </row>
    <row r="62" spans="1:39">
      <c r="A62">
        <v>1983</v>
      </c>
      <c r="B62" s="3">
        <f t="shared" si="13"/>
        <v>104.24870847101285</v>
      </c>
      <c r="E62" s="2">
        <v>65.36148</v>
      </c>
      <c r="F62" s="1">
        <f t="shared" si="7"/>
        <v>0</v>
      </c>
      <c r="G62" s="53">
        <v>1.5989333333333333</v>
      </c>
      <c r="H62" s="2">
        <v>4.2603098631421306</v>
      </c>
      <c r="I62" s="2">
        <v>0.58415047516179919</v>
      </c>
      <c r="J62" s="2">
        <v>45.676444758329879</v>
      </c>
      <c r="K62" s="9">
        <f t="shared" si="8"/>
        <v>333.12616593058476</v>
      </c>
      <c r="L62" s="9">
        <f t="shared" si="0"/>
        <v>333.12616593058476</v>
      </c>
      <c r="M62" s="3"/>
      <c r="N62" s="7">
        <f t="shared" si="1"/>
        <v>2.5943980254123204E-2</v>
      </c>
      <c r="O62" s="32">
        <f t="shared" si="2"/>
        <v>4.441318009188846</v>
      </c>
      <c r="P62" s="32">
        <f t="shared" si="9"/>
        <v>4.441318009188846</v>
      </c>
      <c r="Q62" s="32">
        <f t="shared" si="3"/>
        <v>1.9413867034339094</v>
      </c>
      <c r="X62" s="7">
        <f t="shared" si="10"/>
        <v>1.9413867034339098</v>
      </c>
      <c r="Y62" s="6">
        <f t="shared" si="4"/>
        <v>1.9413867034339094</v>
      </c>
      <c r="AA62" s="9">
        <f>USA!Z70*H62</f>
        <v>123.33597053796467</v>
      </c>
      <c r="AB62" s="9">
        <v>0</v>
      </c>
      <c r="AC62" s="9">
        <v>0</v>
      </c>
      <c r="AD62" s="9">
        <v>0</v>
      </c>
      <c r="AG62" s="39">
        <f t="shared" si="14"/>
        <v>1.471050830097876E-2</v>
      </c>
      <c r="AH62" s="2">
        <v>0.15</v>
      </c>
      <c r="AI62" s="2">
        <f t="shared" si="11"/>
        <v>0.57930234902463218</v>
      </c>
      <c r="AJ62" s="2">
        <f t="shared" si="12"/>
        <v>0</v>
      </c>
      <c r="AM62" s="2">
        <f t="shared" si="6"/>
        <v>2.4999313057549362</v>
      </c>
    </row>
    <row r="63" spans="1:39">
      <c r="A63">
        <v>1984</v>
      </c>
      <c r="B63" s="3">
        <f t="shared" si="13"/>
        <v>95.51280880450183</v>
      </c>
      <c r="E63" s="2">
        <v>68.183310000000006</v>
      </c>
      <c r="F63" s="1">
        <f t="shared" si="7"/>
        <v>0</v>
      </c>
      <c r="G63" s="53">
        <v>1.9164166666666667</v>
      </c>
      <c r="H63" s="2">
        <v>4.8819933282076011</v>
      </c>
      <c r="I63" s="2">
        <v>2.7642916044769654</v>
      </c>
      <c r="J63" s="2">
        <v>47.640776468987625</v>
      </c>
      <c r="K63" s="3">
        <f t="shared" si="8"/>
        <v>84.137994882864149</v>
      </c>
      <c r="L63" s="9">
        <f t="shared" si="0"/>
        <v>84.137994882864149</v>
      </c>
      <c r="M63" s="3"/>
      <c r="N63" s="7">
        <f t="shared" si="1"/>
        <v>0.12889695358209979</v>
      </c>
      <c r="O63" s="32">
        <f t="shared" si="2"/>
        <v>4.6629289534194616</v>
      </c>
      <c r="P63" s="32">
        <f t="shared" si="9"/>
        <v>4.6629289534194616</v>
      </c>
      <c r="Q63" s="32">
        <f t="shared" si="3"/>
        <v>2.0382571683667567</v>
      </c>
      <c r="X63" s="7">
        <f t="shared" si="10"/>
        <v>2.0382571683667567</v>
      </c>
      <c r="Y63" s="6">
        <f t="shared" si="4"/>
        <v>2.0382571683667567</v>
      </c>
      <c r="AA63" s="9">
        <f>USA!Z71*H63</f>
        <v>139.23444972048077</v>
      </c>
      <c r="AB63" s="9">
        <v>0</v>
      </c>
      <c r="AC63" s="9">
        <v>0</v>
      </c>
      <c r="AD63" s="9">
        <v>0</v>
      </c>
      <c r="AG63" s="39">
        <f t="shared" si="14"/>
        <v>6.9612430911266593E-2</v>
      </c>
      <c r="AH63" s="2">
        <v>0.15</v>
      </c>
      <c r="AI63" s="2">
        <f t="shared" si="11"/>
        <v>0.60820812435906013</v>
      </c>
      <c r="AJ63" s="2">
        <f t="shared" si="12"/>
        <v>0</v>
      </c>
      <c r="AM63" s="2">
        <f t="shared" si="6"/>
        <v>2.6246717850527048</v>
      </c>
    </row>
    <row r="64" spans="1:39">
      <c r="A64">
        <v>1985</v>
      </c>
      <c r="B64" s="3">
        <f t="shared" si="13"/>
        <v>89.792325287834288</v>
      </c>
      <c r="E64" s="2">
        <v>70.611400000000003</v>
      </c>
      <c r="F64" s="1">
        <f t="shared" si="7"/>
        <v>0</v>
      </c>
      <c r="G64" s="53">
        <v>2.0161750000000001</v>
      </c>
      <c r="H64" s="2">
        <v>5.1734974656466024</v>
      </c>
      <c r="I64" s="2">
        <v>11.183886593490142</v>
      </c>
      <c r="J64" s="2">
        <v>49.329948873872326</v>
      </c>
      <c r="K64" s="3">
        <f t="shared" si="8"/>
        <v>22.819291249609531</v>
      </c>
      <c r="L64" s="9">
        <f t="shared" si="0"/>
        <v>22.819291249609531</v>
      </c>
      <c r="M64" s="3"/>
      <c r="N64" s="7">
        <f t="shared" si="1"/>
        <v>0.51953667861058883</v>
      </c>
      <c r="O64" s="32">
        <f t="shared" si="2"/>
        <v>4.64540367311126</v>
      </c>
      <c r="P64" s="32">
        <f t="shared" si="9"/>
        <v>4.64540367311126</v>
      </c>
      <c r="Q64" s="32">
        <f t="shared" si="3"/>
        <v>2.0305965266171899</v>
      </c>
      <c r="X64" s="7">
        <f t="shared" si="10"/>
        <v>2.0305965266171899</v>
      </c>
      <c r="Y64" s="6">
        <f t="shared" si="4"/>
        <v>2.0305965266171899</v>
      </c>
      <c r="AA64" s="9">
        <f>USA!Z72*H64</f>
        <v>137.97717740879489</v>
      </c>
      <c r="AB64" s="9">
        <v>0</v>
      </c>
      <c r="AC64" s="9">
        <v>0</v>
      </c>
      <c r="AD64" s="9">
        <v>0</v>
      </c>
      <c r="AG64" s="39">
        <f t="shared" si="14"/>
        <v>0.28164088461140524</v>
      </c>
      <c r="AH64" s="2">
        <v>0.16</v>
      </c>
      <c r="AI64" s="2">
        <f t="shared" si="11"/>
        <v>0.64074533422224278</v>
      </c>
      <c r="AJ64" s="2">
        <f t="shared" si="12"/>
        <v>0</v>
      </c>
      <c r="AM64" s="2">
        <f t="shared" si="6"/>
        <v>2.6148071464940701</v>
      </c>
    </row>
    <row r="65" spans="1:39">
      <c r="A65">
        <v>1986</v>
      </c>
      <c r="B65" s="3">
        <f t="shared" si="13"/>
        <v>82.315748500650514</v>
      </c>
      <c r="E65" s="2">
        <v>71.923879999999997</v>
      </c>
      <c r="F65" s="1">
        <f t="shared" si="7"/>
        <v>0</v>
      </c>
      <c r="G65" s="53">
        <v>2.2791083333333333</v>
      </c>
      <c r="H65" s="2">
        <v>4.4379511321692524</v>
      </c>
      <c r="I65" s="2">
        <v>16.567064006528614</v>
      </c>
      <c r="J65" s="2">
        <v>50.266254844905681</v>
      </c>
      <c r="K65" s="3">
        <f t="shared" si="8"/>
        <v>13.465221267386188</v>
      </c>
      <c r="L65" s="9">
        <f t="shared" si="0"/>
        <v>13.465221267386188</v>
      </c>
      <c r="M65" s="3"/>
      <c r="N65" s="7">
        <f t="shared" si="1"/>
        <v>0.60521683141622806</v>
      </c>
      <c r="O65" s="32">
        <f t="shared" si="2"/>
        <v>3.6531326925382137</v>
      </c>
      <c r="P65" s="32">
        <f t="shared" si="9"/>
        <v>3.6531326925382137</v>
      </c>
      <c r="Q65" s="32">
        <f t="shared" si="3"/>
        <v>1.596855532636966</v>
      </c>
      <c r="X65" s="7">
        <f t="shared" si="10"/>
        <v>1.5968555326369662</v>
      </c>
      <c r="Y65" s="6">
        <f t="shared" si="4"/>
        <v>1.596855532636966</v>
      </c>
      <c r="AA65" s="9">
        <f>USA!Z73*H65</f>
        <v>66.791164539147246</v>
      </c>
      <c r="AB65" s="9">
        <v>0</v>
      </c>
      <c r="AC65" s="9">
        <v>0</v>
      </c>
      <c r="AD65" s="9">
        <v>0</v>
      </c>
      <c r="AG65" s="39">
        <f t="shared" si="14"/>
        <v>0.41720403038854398</v>
      </c>
      <c r="AH65" s="2">
        <v>0.15</v>
      </c>
      <c r="AI65" s="2">
        <f t="shared" si="11"/>
        <v>0.47649556859194098</v>
      </c>
      <c r="AJ65" s="2">
        <f t="shared" si="12"/>
        <v>0</v>
      </c>
      <c r="AM65" s="2">
        <f t="shared" si="6"/>
        <v>2.0562771599012475</v>
      </c>
    </row>
    <row r="66" spans="1:39">
      <c r="A66">
        <v>1987</v>
      </c>
      <c r="B66" s="3">
        <f t="shared" si="13"/>
        <v>93.064530015315967</v>
      </c>
      <c r="E66" s="2">
        <v>74.614459999999994</v>
      </c>
      <c r="F66" s="1">
        <f t="shared" si="7"/>
        <v>0</v>
      </c>
      <c r="G66" s="53">
        <v>2.4590833333333331</v>
      </c>
      <c r="H66" s="2">
        <v>4.1056779072993894</v>
      </c>
      <c r="I66" s="2">
        <v>19.856058745667866</v>
      </c>
      <c r="J66" s="2">
        <v>52.108293530775413</v>
      </c>
      <c r="K66" s="3">
        <f t="shared" si="8"/>
        <v>10.77453850619036</v>
      </c>
      <c r="L66" s="9">
        <f t="shared" si="0"/>
        <v>10.77453850619036</v>
      </c>
      <c r="M66" s="3"/>
      <c r="N66" s="7">
        <f t="shared" si="1"/>
        <v>0.75868607532327148</v>
      </c>
      <c r="O66" s="32">
        <f t="shared" si="2"/>
        <v>3.8209298483708367</v>
      </c>
      <c r="P66" s="32">
        <f t="shared" si="9"/>
        <v>3.8209298483708367</v>
      </c>
      <c r="Q66" s="32">
        <f t="shared" si="3"/>
        <v>2.6686150182840569</v>
      </c>
      <c r="X66" s="7">
        <f t="shared" si="10"/>
        <v>1.6702029413416577</v>
      </c>
      <c r="Y66" s="6">
        <f t="shared" si="4"/>
        <v>1.6702029413416577</v>
      </c>
      <c r="AA66" s="9">
        <f>USA!Z74*H66</f>
        <v>78.829015820148271</v>
      </c>
      <c r="AB66" s="9">
        <v>0</v>
      </c>
      <c r="AC66" s="9">
        <v>0</v>
      </c>
      <c r="AD66" s="9">
        <v>0</v>
      </c>
      <c r="AG66" s="39">
        <f t="shared" si="14"/>
        <v>0.50002992280707248</v>
      </c>
      <c r="AH66" s="2">
        <v>0.15</v>
      </c>
      <c r="AI66" s="2">
        <f t="shared" si="11"/>
        <v>0.49838215413532655</v>
      </c>
      <c r="AJ66" s="2">
        <f t="shared" ref="AJ66:AJ89" si="15">AG66+AI66</f>
        <v>0.99841207694239897</v>
      </c>
      <c r="AM66" s="2">
        <f t="shared" si="6"/>
        <v>2.150726907029179</v>
      </c>
    </row>
    <row r="67" spans="1:39">
      <c r="A67">
        <v>1988</v>
      </c>
      <c r="B67" s="3">
        <f t="shared" si="13"/>
        <v>96.123730246705748</v>
      </c>
      <c r="E67" s="2">
        <v>77.605819999999994</v>
      </c>
      <c r="F67" s="1">
        <f t="shared" si="7"/>
        <v>0</v>
      </c>
      <c r="G67" s="53">
        <v>2.8300833333333331</v>
      </c>
      <c r="H67" s="2">
        <v>3.6853691343623711</v>
      </c>
      <c r="I67" s="2">
        <v>23.084322784807632</v>
      </c>
      <c r="J67" s="2">
        <v>54.233134836467478</v>
      </c>
      <c r="K67" s="3">
        <f t="shared" si="8"/>
        <v>8.6582189587804912</v>
      </c>
      <c r="L67" s="2">
        <f t="shared" si="0"/>
        <v>8.6582189587804912</v>
      </c>
      <c r="M67" s="3"/>
      <c r="N67" s="7">
        <f t="shared" si="1"/>
        <v>0.8177654323188448</v>
      </c>
      <c r="O67" s="32">
        <f t="shared" si="2"/>
        <v>3.5425142853098404</v>
      </c>
      <c r="P67" s="32">
        <f t="shared" si="9"/>
        <v>3.5425142853098404</v>
      </c>
      <c r="Q67" s="32">
        <f t="shared" si="3"/>
        <v>2.5918956004987876</v>
      </c>
      <c r="X67" s="7">
        <f t="shared" si="10"/>
        <v>1.548502069880215</v>
      </c>
      <c r="Y67" s="6">
        <f t="shared" si="4"/>
        <v>1.5485020698802148</v>
      </c>
      <c r="AA67" s="9">
        <f>USA!Z75*H67</f>
        <v>58.855345075767069</v>
      </c>
      <c r="AB67" s="9">
        <v>0</v>
      </c>
      <c r="AC67" s="9">
        <v>0</v>
      </c>
      <c r="AD67" s="9">
        <v>0</v>
      </c>
      <c r="AG67" s="39">
        <f t="shared" si="14"/>
        <v>0.58132644992598492</v>
      </c>
      <c r="AH67" s="2">
        <v>0.15</v>
      </c>
      <c r="AI67" s="2">
        <f t="shared" si="11"/>
        <v>0.46206708069258789</v>
      </c>
      <c r="AJ67" s="2">
        <f t="shared" si="15"/>
        <v>1.0433935306185729</v>
      </c>
      <c r="AM67" s="2">
        <f t="shared" si="6"/>
        <v>1.9940122154296254</v>
      </c>
    </row>
    <row r="68" spans="1:39">
      <c r="A68">
        <v>1989</v>
      </c>
      <c r="B68" s="3">
        <f t="shared" si="13"/>
        <v>98.124600508073129</v>
      </c>
      <c r="E68" s="2">
        <v>81.351849999999999</v>
      </c>
      <c r="F68" s="1">
        <f t="shared" si="7"/>
        <v>0</v>
      </c>
      <c r="G68" s="53">
        <v>3.0110583333333332</v>
      </c>
      <c r="H68" s="2">
        <v>3.8476228498190199</v>
      </c>
      <c r="I68" s="2">
        <v>27.758770123935346</v>
      </c>
      <c r="J68" s="2">
        <v>56.850969898336274</v>
      </c>
      <c r="K68" s="3">
        <f t="shared" si="8"/>
        <v>7.8800714094533921</v>
      </c>
      <c r="L68" s="2">
        <f t="shared" si="0"/>
        <v>7.8800714094533921</v>
      </c>
      <c r="M68" s="3"/>
      <c r="N68" s="7">
        <f t="shared" si="1"/>
        <v>1.0480225256679336</v>
      </c>
      <c r="O68" s="32">
        <f t="shared" si="2"/>
        <v>3.7754645504422517</v>
      </c>
      <c r="P68" s="32">
        <f t="shared" si="9"/>
        <v>3.7754645504422517</v>
      </c>
      <c r="Q68" s="32">
        <f t="shared" si="3"/>
        <v>2.8418229029904607</v>
      </c>
      <c r="X68" s="7">
        <f t="shared" si="10"/>
        <v>1.6503291730855683</v>
      </c>
      <c r="Y68" s="6">
        <f t="shared" si="4"/>
        <v>1.6503291730855683</v>
      </c>
      <c r="AA68" s="9">
        <f>USA!Z76*H68</f>
        <v>75.567312770445554</v>
      </c>
      <c r="AB68" s="9">
        <v>0</v>
      </c>
      <c r="AC68" s="9">
        <v>0</v>
      </c>
      <c r="AD68" s="9">
        <v>0</v>
      </c>
      <c r="AG68" s="39">
        <f t="shared" si="14"/>
        <v>0.69904183202112069</v>
      </c>
      <c r="AH68" s="2">
        <v>0.15</v>
      </c>
      <c r="AI68" s="2">
        <f t="shared" si="11"/>
        <v>0.49245189788377197</v>
      </c>
      <c r="AJ68" s="2">
        <f t="shared" si="15"/>
        <v>1.1914937299048927</v>
      </c>
      <c r="AM68" s="2">
        <f t="shared" si="6"/>
        <v>2.1251353773566835</v>
      </c>
    </row>
    <row r="69" spans="1:39">
      <c r="A69">
        <v>1990</v>
      </c>
      <c r="B69" s="3">
        <f t="shared" si="13"/>
        <v>108.86726191843836</v>
      </c>
      <c r="E69" s="2">
        <v>85.743189999999998</v>
      </c>
      <c r="F69" s="1">
        <f t="shared" si="7"/>
        <v>0</v>
      </c>
      <c r="G69" s="53">
        <v>3.0112916666666667</v>
      </c>
      <c r="H69" s="2">
        <v>3.6453128734559246</v>
      </c>
      <c r="I69" s="2">
        <v>32.525878974728947</v>
      </c>
      <c r="J69" s="2">
        <v>59.919760489110956</v>
      </c>
      <c r="K69" s="3">
        <f t="shared" si="8"/>
        <v>6.7154610780867321</v>
      </c>
      <c r="L69" s="2">
        <f t="shared" si="0"/>
        <v>6.7154610780867321</v>
      </c>
      <c r="M69" s="3"/>
      <c r="N69" s="7">
        <f t="shared" si="1"/>
        <v>1.2908065226002046</v>
      </c>
      <c r="O69" s="32">
        <f t="shared" si="2"/>
        <v>3.9685523136918128</v>
      </c>
      <c r="P69" s="32">
        <f t="shared" si="9"/>
        <v>3.9685523136918128</v>
      </c>
      <c r="Q69" s="32">
        <f t="shared" si="3"/>
        <v>3.1012088101387509</v>
      </c>
      <c r="X69" s="7">
        <f t="shared" si="10"/>
        <v>1.7347315994357939</v>
      </c>
      <c r="Y69" s="6">
        <f t="shared" si="4"/>
        <v>1.7347315994357939</v>
      </c>
      <c r="AA69" s="9">
        <f>USA!Z77*H69</f>
        <v>89.419524785873833</v>
      </c>
      <c r="AB69" s="9">
        <v>0</v>
      </c>
      <c r="AC69" s="9">
        <v>0</v>
      </c>
      <c r="AD69" s="9">
        <v>0</v>
      </c>
      <c r="AG69" s="39">
        <f t="shared" si="14"/>
        <v>0.81909068467650004</v>
      </c>
      <c r="AH69" s="2">
        <v>0.16</v>
      </c>
      <c r="AI69" s="2">
        <f t="shared" si="11"/>
        <v>0.54738652602645699</v>
      </c>
      <c r="AJ69" s="2">
        <f t="shared" si="15"/>
        <v>1.366477210702957</v>
      </c>
      <c r="AM69" s="2">
        <f t="shared" si="6"/>
        <v>2.2338207142560189</v>
      </c>
    </row>
    <row r="70" spans="1:39">
      <c r="A70">
        <v>1991</v>
      </c>
      <c r="B70" s="3">
        <f t="shared" si="13"/>
        <v>105.5153761148044</v>
      </c>
      <c r="E70" s="2">
        <v>89.374380000000002</v>
      </c>
      <c r="F70" s="1">
        <f t="shared" si="7"/>
        <v>0</v>
      </c>
      <c r="G70" s="53">
        <v>3.1916500000000005</v>
      </c>
      <c r="H70" s="2">
        <v>3.6059137348336079</v>
      </c>
      <c r="I70" s="2">
        <v>38.707731640510772</v>
      </c>
      <c r="J70" s="2">
        <v>62.457340753462596</v>
      </c>
      <c r="K70" s="3">
        <f t="shared" si="8"/>
        <v>5.8183668564134381</v>
      </c>
      <c r="L70" s="2">
        <f t="shared" si="0"/>
        <v>5.8183668564134381</v>
      </c>
      <c r="M70" s="3"/>
      <c r="N70" s="7">
        <f t="shared" si="1"/>
        <v>1.4727492341090567</v>
      </c>
      <c r="O70" s="32">
        <f t="shared" si="2"/>
        <v>3.8047934396850716</v>
      </c>
      <c r="P70" s="32">
        <f t="shared" si="9"/>
        <v>3.8047934396850716</v>
      </c>
      <c r="Q70" s="32">
        <f t="shared" si="3"/>
        <v>3.2183082820710927</v>
      </c>
      <c r="X70" s="7">
        <f t="shared" si="10"/>
        <v>1.6631494024599776</v>
      </c>
      <c r="Y70" s="6">
        <f t="shared" si="4"/>
        <v>1.6631494024599776</v>
      </c>
      <c r="AA70" s="9">
        <f>USA!Z78*H70</f>
        <v>77.671381848315917</v>
      </c>
      <c r="AB70" s="9">
        <v>0</v>
      </c>
      <c r="AC70" s="9">
        <v>0</v>
      </c>
      <c r="AD70" s="9">
        <v>0</v>
      </c>
      <c r="AG70" s="39">
        <f t="shared" si="14"/>
        <v>0.97476665999813794</v>
      </c>
      <c r="AH70" s="2">
        <v>0.18</v>
      </c>
      <c r="AI70" s="2">
        <f t="shared" si="11"/>
        <v>0.58039221961297704</v>
      </c>
      <c r="AJ70" s="2">
        <f t="shared" si="15"/>
        <v>1.5551588796111151</v>
      </c>
      <c r="AM70" s="2">
        <f t="shared" si="6"/>
        <v>2.141644037225094</v>
      </c>
    </row>
    <row r="71" spans="1:39">
      <c r="A71">
        <v>1992</v>
      </c>
      <c r="B71" s="3">
        <f t="shared" si="13"/>
        <v>104.76536625828908</v>
      </c>
      <c r="E71" s="2">
        <v>92.081370000000007</v>
      </c>
      <c r="F71" s="1">
        <f t="shared" si="7"/>
        <v>0</v>
      </c>
      <c r="G71" s="53">
        <v>3.4493500000000004</v>
      </c>
      <c r="H71" s="2">
        <v>3.578037244498729</v>
      </c>
      <c r="I71" s="2">
        <v>43.33253938380556</v>
      </c>
      <c r="J71" s="2">
        <v>64.349060980652467</v>
      </c>
      <c r="K71" s="3">
        <f t="shared" si="8"/>
        <v>5.3134051249104051</v>
      </c>
      <c r="L71" s="2">
        <f t="shared" si="0"/>
        <v>5.3134051249104051</v>
      </c>
      <c r="M71" s="3"/>
      <c r="N71" s="7">
        <f t="shared" si="1"/>
        <v>1.6243392288787484</v>
      </c>
      <c r="O71" s="32">
        <f t="shared" si="2"/>
        <v>3.7485438240570872</v>
      </c>
      <c r="P71" s="32">
        <f t="shared" si="9"/>
        <v>3.7485438240570872</v>
      </c>
      <c r="Q71" s="32">
        <f t="shared" si="3"/>
        <v>3.3016053495873532</v>
      </c>
      <c r="X71" s="7">
        <f t="shared" si="10"/>
        <v>1.6385615986532014</v>
      </c>
      <c r="Y71" s="6">
        <f t="shared" si="4"/>
        <v>1.6385615986532016</v>
      </c>
      <c r="AA71" s="9">
        <f>USA!Z79*H71</f>
        <v>73.636006491783832</v>
      </c>
      <c r="AB71" s="9">
        <v>0</v>
      </c>
      <c r="AC71" s="9">
        <v>0</v>
      </c>
      <c r="AD71" s="9">
        <v>0</v>
      </c>
      <c r="AG71" s="39">
        <f t="shared" si="14"/>
        <v>1.0912319811627316</v>
      </c>
      <c r="AH71" s="2">
        <v>0.18</v>
      </c>
      <c r="AI71" s="2">
        <f t="shared" si="11"/>
        <v>0.57181176977142012</v>
      </c>
      <c r="AJ71" s="2">
        <f t="shared" si="15"/>
        <v>1.6630437509341518</v>
      </c>
      <c r="AM71" s="2">
        <f t="shared" si="6"/>
        <v>2.1099822254038858</v>
      </c>
    </row>
    <row r="72" spans="1:39">
      <c r="A72">
        <v>1993</v>
      </c>
      <c r="B72" s="3">
        <f t="shared" si="13"/>
        <v>96.898949774803938</v>
      </c>
      <c r="E72" s="2">
        <v>94.799300000000002</v>
      </c>
      <c r="F72" s="1">
        <f t="shared" si="7"/>
        <v>0</v>
      </c>
      <c r="G72" s="53">
        <v>3.8000750000000001</v>
      </c>
      <c r="H72" s="2">
        <v>3.8227146433697303</v>
      </c>
      <c r="I72" s="2">
        <v>48.074827300432709</v>
      </c>
      <c r="J72" s="2">
        <v>66.248424521891607</v>
      </c>
      <c r="K72" s="3">
        <f t="shared" si="8"/>
        <v>5.2678051433734421</v>
      </c>
      <c r="L72" s="2">
        <f t="shared" si="0"/>
        <v>5.2678051433734421</v>
      </c>
      <c r="M72" s="3"/>
      <c r="N72" s="7">
        <f t="shared" si="1"/>
        <v>1.7807734949807787</v>
      </c>
      <c r="O72" s="32">
        <f t="shared" si="2"/>
        <v>3.7041703423129104</v>
      </c>
      <c r="P72" s="32">
        <f t="shared" si="9"/>
        <v>3.7041703423129104</v>
      </c>
      <c r="Q72" s="32">
        <f t="shared" si="3"/>
        <v>3.368033644060191</v>
      </c>
      <c r="X72" s="7">
        <f t="shared" si="10"/>
        <v>1.6191650845407284</v>
      </c>
      <c r="Y72" s="6">
        <f t="shared" si="4"/>
        <v>1.6191650845407284</v>
      </c>
      <c r="AA72" s="9">
        <f>USA!Z80*H72</f>
        <v>70.452630877304131</v>
      </c>
      <c r="AB72" s="9">
        <v>0</v>
      </c>
      <c r="AC72" s="9">
        <v>0</v>
      </c>
      <c r="AD72" s="9">
        <v>0</v>
      </c>
      <c r="AG72" s="39">
        <f t="shared" si="14"/>
        <v>1.2106557747389541</v>
      </c>
      <c r="AH72" s="2">
        <v>0.17</v>
      </c>
      <c r="AI72" s="2">
        <f t="shared" si="11"/>
        <v>0.53821278478050838</v>
      </c>
      <c r="AJ72" s="2">
        <f t="shared" si="15"/>
        <v>1.7488685595194626</v>
      </c>
      <c r="AM72" s="2">
        <f t="shared" si="6"/>
        <v>2.085005257772182</v>
      </c>
    </row>
    <row r="73" spans="1:39">
      <c r="A73">
        <v>1994</v>
      </c>
      <c r="B73" s="3">
        <f t="shared" si="13"/>
        <v>97.173725585272692</v>
      </c>
      <c r="E73" s="2">
        <v>97.271140000000003</v>
      </c>
      <c r="F73" s="1">
        <f t="shared" si="7"/>
        <v>0</v>
      </c>
      <c r="G73" s="53">
        <v>4.1397166666666658</v>
      </c>
      <c r="H73" s="2">
        <v>3.7188260314861581</v>
      </c>
      <c r="I73" s="2">
        <v>54.012068247049889</v>
      </c>
      <c r="J73" s="2">
        <v>67.975813497022543</v>
      </c>
      <c r="K73" s="3">
        <f t="shared" si="8"/>
        <v>4.6802544866069411</v>
      </c>
      <c r="L73" s="2">
        <f>K73</f>
        <v>4.6802544866069411</v>
      </c>
      <c r="M73" s="3"/>
      <c r="N73" s="7">
        <f t="shared" si="1"/>
        <v>1.9518458864030861</v>
      </c>
      <c r="O73" s="32">
        <f>Y73+AM73</f>
        <v>3.613721802830046</v>
      </c>
      <c r="P73" s="32">
        <f t="shared" si="9"/>
        <v>3.613721802830046</v>
      </c>
      <c r="Q73" s="32">
        <f t="shared" si="3"/>
        <v>3.4648707108229515</v>
      </c>
      <c r="X73" s="7">
        <f t="shared" si="10"/>
        <v>1.5796282642694144</v>
      </c>
      <c r="Y73" s="6">
        <f t="shared" si="4"/>
        <v>1.5796282642694144</v>
      </c>
      <c r="AA73" s="9">
        <f>USA!Z81*H73</f>
        <v>63.963807741561915</v>
      </c>
      <c r="AB73" s="9">
        <v>0</v>
      </c>
      <c r="AC73" s="9">
        <v>0</v>
      </c>
      <c r="AD73" s="9">
        <v>0</v>
      </c>
      <c r="AG73" s="39">
        <f t="shared" si="14"/>
        <v>1.3601717572534451</v>
      </c>
      <c r="AH73" s="2">
        <v>0.17</v>
      </c>
      <c r="AI73" s="2">
        <f t="shared" si="11"/>
        <v>0.52507068930009215</v>
      </c>
      <c r="AJ73" s="2">
        <f t="shared" si="15"/>
        <v>1.8852424465535371</v>
      </c>
      <c r="AM73" s="2">
        <f>AM$74*Y73/Y$74</f>
        <v>2.0340935385606316</v>
      </c>
    </row>
    <row r="74" spans="1:39">
      <c r="A74">
        <v>1995</v>
      </c>
      <c r="B74" s="3">
        <f t="shared" si="13"/>
        <v>106.55082469943211</v>
      </c>
      <c r="E74" s="2">
        <v>100</v>
      </c>
      <c r="F74" s="1">
        <f t="shared" si="7"/>
        <v>0</v>
      </c>
      <c r="G74" s="53">
        <v>4.0773333333333346</v>
      </c>
      <c r="H74" s="2">
        <v>3.4710855474160671</v>
      </c>
      <c r="I74" s="2">
        <v>59.436511192004687</v>
      </c>
      <c r="J74" s="2">
        <v>69.882820352310915</v>
      </c>
      <c r="K74" s="3">
        <f t="shared" si="8"/>
        <v>4.0811488237252034</v>
      </c>
      <c r="L74" s="3">
        <v>3.0112899999999998</v>
      </c>
      <c r="M74" s="3"/>
      <c r="N74" s="7">
        <f t="shared" si="1"/>
        <v>2.1982416999999996</v>
      </c>
      <c r="O74" s="39">
        <f>T74</f>
        <v>3.6984702767946174</v>
      </c>
      <c r="P74" s="32">
        <f t="shared" si="9"/>
        <v>3.6138374822261197</v>
      </c>
      <c r="Q74" s="32">
        <f t="shared" si="3"/>
        <v>3.6138374822261197</v>
      </c>
      <c r="S74" s="2">
        <v>0</v>
      </c>
      <c r="T74" s="2">
        <f>U74/I74*100</f>
        <v>3.6984702767946174</v>
      </c>
      <c r="U74" s="2">
        <f>L74*V74/100</f>
        <v>2.1982416999999996</v>
      </c>
      <c r="V74" s="39">
        <v>73</v>
      </c>
      <c r="X74" s="6">
        <f>O74-AM74</f>
        <v>1.6643116245575778</v>
      </c>
      <c r="Y74" s="6">
        <f t="shared" si="4"/>
        <v>1.5796788299890798</v>
      </c>
      <c r="AA74" s="9">
        <f>USA!Z82*H74</f>
        <v>63.972106638878117</v>
      </c>
      <c r="AB74" s="9">
        <v>0</v>
      </c>
      <c r="AC74" s="9">
        <v>0</v>
      </c>
      <c r="AD74" s="9">
        <v>0</v>
      </c>
      <c r="AF74" s="39">
        <v>0.55000000000000004</v>
      </c>
      <c r="AG74" s="37">
        <f>AM74-AI74</f>
        <v>1.4967740821044884</v>
      </c>
      <c r="AH74" s="2">
        <v>0.17</v>
      </c>
      <c r="AI74" s="37">
        <f t="shared" si="11"/>
        <v>0.53738457013255136</v>
      </c>
      <c r="AJ74" s="37">
        <f>AG74+AI74</f>
        <v>2.0341586522370396</v>
      </c>
      <c r="AM74" s="39">
        <f>O74*AF74</f>
        <v>2.0341586522370396</v>
      </c>
    </row>
    <row r="75" spans="1:39">
      <c r="A75">
        <v>1996</v>
      </c>
      <c r="B75" s="3">
        <f t="shared" si="13"/>
        <v>109.65807797400988</v>
      </c>
      <c r="E75" s="2">
        <v>102.9312</v>
      </c>
      <c r="F75" s="1">
        <f t="shared" si="7"/>
        <v>0</v>
      </c>
      <c r="G75" s="53">
        <v>4.2056499999999994</v>
      </c>
      <c r="H75" s="2">
        <v>3.4031736330320519</v>
      </c>
      <c r="I75" s="2">
        <v>66.138943452782158</v>
      </c>
      <c r="J75" s="2">
        <v>71.931228517510448</v>
      </c>
      <c r="K75" s="3">
        <f t="shared" si="8"/>
        <v>3.7012151616416151</v>
      </c>
      <c r="L75" s="3">
        <v>3.1916500000000001</v>
      </c>
      <c r="M75" s="3"/>
      <c r="N75" s="7">
        <f t="shared" si="1"/>
        <v>2.4682093333333333</v>
      </c>
      <c r="O75" s="39">
        <f>T75</f>
        <v>3.7318547961012327</v>
      </c>
      <c r="P75" s="32">
        <f t="shared" si="9"/>
        <v>3.7010877327242695</v>
      </c>
      <c r="Q75" s="32">
        <f t="shared" si="3"/>
        <v>3.7010877327242695</v>
      </c>
      <c r="T75" s="2">
        <f t="shared" ref="T75:T87" si="16">U75/I75*100</f>
        <v>3.7318547961012327</v>
      </c>
      <c r="U75" s="2">
        <f t="shared" ref="U75:U87" si="17">L75*V75/100</f>
        <v>2.4682093333333333</v>
      </c>
      <c r="V75" s="2">
        <f>V74+(V$77-V$74)/3</f>
        <v>77.333333333333329</v>
      </c>
      <c r="X75" s="6">
        <f t="shared" ref="X75:X89" si="18">O75-AM75</f>
        <v>1.6793346582455544</v>
      </c>
      <c r="Y75" s="6">
        <f t="shared" si="4"/>
        <v>1.6485675948685912</v>
      </c>
      <c r="AA75" s="9">
        <f>USA!Z83*H75</f>
        <v>75.278200762668988</v>
      </c>
      <c r="AB75" s="9">
        <v>0</v>
      </c>
      <c r="AC75" s="9">
        <v>0</v>
      </c>
      <c r="AD75" s="9">
        <v>0</v>
      </c>
      <c r="AF75" s="39">
        <v>0.55000000000000004</v>
      </c>
      <c r="AG75" s="37">
        <f>AM75-AI75</f>
        <v>1.510284825601653</v>
      </c>
      <c r="AH75" s="2">
        <v>0.17</v>
      </c>
      <c r="AI75" s="37">
        <f t="shared" si="11"/>
        <v>0.54223531225402533</v>
      </c>
      <c r="AJ75" s="37">
        <f t="shared" ref="AJ75:AJ78" si="19">AG75+AI75</f>
        <v>2.0525201378556783</v>
      </c>
      <c r="AM75" s="39">
        <f>O75*AF75</f>
        <v>2.0525201378556783</v>
      </c>
    </row>
    <row r="76" spans="1:39">
      <c r="A76">
        <v>1997</v>
      </c>
      <c r="B76" s="3">
        <f t="shared" si="13"/>
        <v>113.19741901485725</v>
      </c>
      <c r="E76" s="2">
        <v>105.3374</v>
      </c>
      <c r="F76" s="1">
        <f t="shared" si="7"/>
        <v>0</v>
      </c>
      <c r="G76" s="53">
        <v>4.7378249999999991</v>
      </c>
      <c r="H76" s="2">
        <v>3.4518922508841037</v>
      </c>
      <c r="I76" s="2">
        <v>72.092209769399204</v>
      </c>
      <c r="J76" s="2">
        <v>73.612757608345859</v>
      </c>
      <c r="K76" s="3">
        <f t="shared" si="8"/>
        <v>3.5246985543550018</v>
      </c>
      <c r="L76" s="3">
        <v>3.4493499999999999</v>
      </c>
      <c r="M76" s="3"/>
      <c r="N76" s="7">
        <f t="shared" si="1"/>
        <v>2.8169691666666665</v>
      </c>
      <c r="O76" s="39">
        <f>T76</f>
        <v>3.9074529351746663</v>
      </c>
      <c r="P76" s="32">
        <f t="shared" si="9"/>
        <v>3.772473704943748</v>
      </c>
      <c r="Q76" s="32">
        <f t="shared" si="3"/>
        <v>3.772473704943748</v>
      </c>
      <c r="T76" s="2">
        <f t="shared" si="16"/>
        <v>3.9074529351746663</v>
      </c>
      <c r="U76" s="2">
        <f t="shared" si="17"/>
        <v>2.8169691666666665</v>
      </c>
      <c r="V76" s="2">
        <f>V75+(V$77-V$74)/3</f>
        <v>81.666666666666657</v>
      </c>
      <c r="X76" s="6">
        <f t="shared" si="18"/>
        <v>1.7583538208285998</v>
      </c>
      <c r="Y76" s="6">
        <f t="shared" si="4"/>
        <v>1.6233745905976815</v>
      </c>
      <c r="AA76" s="9">
        <f>USA!Z84*H76</f>
        <v>71.14349929072138</v>
      </c>
      <c r="AB76" s="9">
        <v>0</v>
      </c>
      <c r="AC76" s="9">
        <v>0</v>
      </c>
      <c r="AD76" s="9">
        <v>0</v>
      </c>
      <c r="AF76" s="39">
        <v>0.55000000000000004</v>
      </c>
      <c r="AG76" s="37">
        <f>AM76-AI76</f>
        <v>1.5813495425685509</v>
      </c>
      <c r="AH76" s="2">
        <v>0.17</v>
      </c>
      <c r="AI76" s="37">
        <f t="shared" si="11"/>
        <v>0.56774957177751573</v>
      </c>
      <c r="AJ76" s="37">
        <f t="shared" si="19"/>
        <v>2.1490991143460665</v>
      </c>
      <c r="AM76" s="39">
        <f>O76*AF76</f>
        <v>2.1490991143460665</v>
      </c>
    </row>
    <row r="77" spans="1:39">
      <c r="A77">
        <v>1998</v>
      </c>
      <c r="B77" s="3">
        <f t="shared" si="13"/>
        <v>117.46969750059462</v>
      </c>
      <c r="E77" s="2">
        <v>106.9725</v>
      </c>
      <c r="F77" s="1">
        <f t="shared" si="7"/>
        <v>0</v>
      </c>
      <c r="G77" s="53">
        <v>4.5541333333333336</v>
      </c>
      <c r="H77" s="2">
        <v>3.6600990884795146</v>
      </c>
      <c r="I77" s="2">
        <v>76.010308881866536</v>
      </c>
      <c r="J77" s="2">
        <v>74.755433058709045</v>
      </c>
      <c r="K77" s="3">
        <f t="shared" si="8"/>
        <v>3.5996734709013514</v>
      </c>
      <c r="L77" s="3">
        <v>3.8000799999999999</v>
      </c>
      <c r="M77" s="3"/>
      <c r="N77" s="7">
        <f t="shared" si="1"/>
        <v>3.2680688</v>
      </c>
      <c r="O77" s="39">
        <f>T77</f>
        <v>4.2995073274589064</v>
      </c>
      <c r="P77" s="32">
        <f t="shared" si="9"/>
        <v>4.3169284204423146</v>
      </c>
      <c r="Q77" s="32">
        <f t="shared" si="3"/>
        <v>4.3169284204423146</v>
      </c>
      <c r="T77" s="2">
        <f t="shared" si="16"/>
        <v>4.2995073274589064</v>
      </c>
      <c r="U77" s="2">
        <f t="shared" si="17"/>
        <v>3.2680688</v>
      </c>
      <c r="V77" s="39">
        <v>86</v>
      </c>
      <c r="X77" s="6">
        <f>O77-AM77</f>
        <v>1.4940551507955702</v>
      </c>
      <c r="Y77" s="6">
        <f t="shared" si="4"/>
        <v>1.5114762437789788</v>
      </c>
      <c r="AA77" s="9">
        <f>USA!Z85*H77</f>
        <v>52.778628855874601</v>
      </c>
      <c r="AB77" s="9">
        <v>0</v>
      </c>
      <c r="AC77" s="9">
        <v>0</v>
      </c>
      <c r="AD77" s="9">
        <v>0</v>
      </c>
      <c r="AF77" s="39">
        <v>0.55000000000000004</v>
      </c>
      <c r="AG77" s="37">
        <f>AM77-AI77</f>
        <v>2.1807374367761447</v>
      </c>
      <c r="AH77" s="2">
        <v>0.17</v>
      </c>
      <c r="AI77" s="37">
        <f t="shared" si="11"/>
        <v>0.62471473988719162</v>
      </c>
      <c r="AJ77" s="37">
        <f t="shared" si="19"/>
        <v>2.8054521766633362</v>
      </c>
      <c r="AM77" s="39">
        <f>(AM76+AM78)/2</f>
        <v>2.8054521766633362</v>
      </c>
    </row>
    <row r="78" spans="1:39">
      <c r="A78">
        <v>1999</v>
      </c>
      <c r="B78" s="3">
        <f t="shared" si="13"/>
        <v>133.55438505830824</v>
      </c>
      <c r="D78" s="32"/>
      <c r="E78" s="2">
        <v>108.60760000000001</v>
      </c>
      <c r="F78" s="1">
        <f t="shared" si="7"/>
        <v>0</v>
      </c>
      <c r="G78" s="53">
        <v>4.481983333333333</v>
      </c>
      <c r="H78" s="2">
        <v>3.8763642489891086</v>
      </c>
      <c r="I78" s="2">
        <v>79.962844735166925</v>
      </c>
      <c r="J78" s="2">
        <v>76.391102265248975</v>
      </c>
      <c r="K78" s="3">
        <f t="shared" si="8"/>
        <v>3.7032166469641781</v>
      </c>
      <c r="L78" s="3">
        <v>4.1397199999999996</v>
      </c>
      <c r="M78" s="3"/>
      <c r="N78" s="7">
        <f t="shared" si="1"/>
        <v>4.1397199999999996</v>
      </c>
      <c r="O78" s="39">
        <f>T78</f>
        <v>5.1770544353575119</v>
      </c>
      <c r="P78" s="32">
        <f t="shared" si="9"/>
        <v>5.0645569240621322</v>
      </c>
      <c r="Q78" s="32">
        <f t="shared" si="3"/>
        <v>5.0645569240621322</v>
      </c>
      <c r="T78" s="2">
        <f t="shared" si="16"/>
        <v>5.1770544353575119</v>
      </c>
      <c r="U78" s="2">
        <f t="shared" si="17"/>
        <v>4.1397199999999996</v>
      </c>
      <c r="V78" s="2">
        <f>(V77+V79)/2</f>
        <v>100</v>
      </c>
      <c r="X78" s="6">
        <f t="shared" si="18"/>
        <v>1.7152491963769054</v>
      </c>
      <c r="Y78" s="6">
        <f t="shared" si="4"/>
        <v>1.6027516850815255</v>
      </c>
      <c r="AA78" s="9">
        <f>USA!Z86*H78</f>
        <v>67.758847072329615</v>
      </c>
      <c r="AB78" s="9">
        <v>0</v>
      </c>
      <c r="AC78" s="9">
        <v>0</v>
      </c>
      <c r="AD78" s="9">
        <v>0</v>
      </c>
      <c r="AF78" s="39">
        <v>0.55000000000000004</v>
      </c>
      <c r="AG78" s="37">
        <f>AM78-AI78</f>
        <v>2.7095836543560106</v>
      </c>
      <c r="AH78" s="2">
        <v>0.17</v>
      </c>
      <c r="AI78" s="37">
        <f t="shared" si="11"/>
        <v>0.75222158462459587</v>
      </c>
      <c r="AJ78" s="37">
        <f t="shared" si="19"/>
        <v>3.4618052389806064</v>
      </c>
      <c r="AM78" s="39">
        <f>AM79</f>
        <v>3.4618052389806064</v>
      </c>
    </row>
    <row r="79" spans="1:39">
      <c r="A79">
        <v>2000</v>
      </c>
      <c r="B79" s="3">
        <f t="shared" si="13"/>
        <v>132.1294031076601</v>
      </c>
      <c r="D79" s="2">
        <f>F79/E79*100</f>
        <v>1594.5812812403187</v>
      </c>
      <c r="E79" s="2">
        <v>112.9992628224058</v>
      </c>
      <c r="F79" s="2">
        <f>I79/G79*100</f>
        <v>1801.8650929056334</v>
      </c>
      <c r="G79" s="53">
        <v>4.4877000000000002</v>
      </c>
      <c r="H79" s="2">
        <v>3.9029275820419076</v>
      </c>
      <c r="I79" s="2">
        <v>80.862299774326118</v>
      </c>
      <c r="J79" s="2">
        <v>78.970720756871543</v>
      </c>
      <c r="K79" s="3">
        <f t="shared" si="8"/>
        <v>3.8116279783769222</v>
      </c>
      <c r="L79" s="3">
        <v>4.0773299999999999</v>
      </c>
      <c r="M79" s="7">
        <f>(Y79+AG79)+AH79*(Y79+AG79)</f>
        <v>4.5586036830593297</v>
      </c>
      <c r="N79" s="7">
        <f t="shared" si="1"/>
        <v>4.169999999999999</v>
      </c>
      <c r="O79" s="39">
        <f>S79</f>
        <v>5.1569149178762039</v>
      </c>
      <c r="P79" s="32">
        <f t="shared" si="9"/>
        <v>5.3080477031338802</v>
      </c>
      <c r="Q79" s="32">
        <f t="shared" si="3"/>
        <v>4.6455377941010978</v>
      </c>
      <c r="R79" s="2">
        <v>4.17</v>
      </c>
      <c r="S79" s="2">
        <f>R79/I79*100</f>
        <v>5.1569149178762039</v>
      </c>
      <c r="T79" s="2">
        <f t="shared" si="16"/>
        <v>5.7482364624457478</v>
      </c>
      <c r="U79" s="2">
        <f t="shared" si="17"/>
        <v>4.6481561999999998</v>
      </c>
      <c r="V79" s="39">
        <v>114</v>
      </c>
      <c r="X79" s="6">
        <f t="shared" si="18"/>
        <v>1.6951096788955975</v>
      </c>
      <c r="Y79" s="6">
        <f t="shared" si="4"/>
        <v>1.8462424641532733</v>
      </c>
      <c r="AA79" s="9">
        <f>USA!Z87*H79</f>
        <v>107.72080126435665</v>
      </c>
      <c r="AB79" s="9">
        <v>0</v>
      </c>
      <c r="AC79" s="9">
        <v>0</v>
      </c>
      <c r="AD79" s="9">
        <v>0</v>
      </c>
      <c r="AF79" s="2">
        <f>AJ79/O79</f>
        <v>0.54282364059259502</v>
      </c>
      <c r="AG79" s="37">
        <v>2.0499999999999998</v>
      </c>
      <c r="AH79" s="37">
        <v>0.17</v>
      </c>
      <c r="AI79" s="37">
        <f t="shared" si="11"/>
        <v>0.74929532994782466</v>
      </c>
      <c r="AJ79" s="37">
        <f t="shared" si="15"/>
        <v>2.7992953299478245</v>
      </c>
      <c r="AK79" s="37">
        <v>2.66</v>
      </c>
      <c r="AM79" s="39">
        <f t="shared" ref="AM79:AM88" si="20">AJ79*100/I79</f>
        <v>3.4618052389806064</v>
      </c>
    </row>
    <row r="80" spans="1:39">
      <c r="A80">
        <v>2001</v>
      </c>
      <c r="B80" s="3">
        <f t="shared" si="13"/>
        <v>119.81669655751359</v>
      </c>
      <c r="D80" s="2">
        <f t="shared" ref="D80:D89" si="21">F80/E80*100</f>
        <v>1579.1804993497567</v>
      </c>
      <c r="E80" s="2">
        <v>116.1820325539375</v>
      </c>
      <c r="F80" s="2">
        <f t="shared" ref="F80:F89" si="22">I80/G80*100</f>
        <v>1834.7240018399671</v>
      </c>
      <c r="G80" s="53">
        <v>4.4558083333333327</v>
      </c>
      <c r="H80" s="2">
        <v>4.0938298397695059</v>
      </c>
      <c r="I80" s="2">
        <v>81.751784967652057</v>
      </c>
      <c r="J80" s="2">
        <v>81.202568459253101</v>
      </c>
      <c r="K80" s="3">
        <f t="shared" si="8"/>
        <v>4.0663270894446377</v>
      </c>
      <c r="L80" s="3">
        <v>4.2056500000000003</v>
      </c>
      <c r="M80" s="7">
        <f t="shared" ref="M80:M89" si="23">(Y80+AG80)+AH80*(Y80+AG80)</f>
        <v>4.4654187692733149</v>
      </c>
      <c r="N80" s="7">
        <f t="shared" si="1"/>
        <v>4.01</v>
      </c>
      <c r="O80" s="39">
        <f t="shared" ref="O80:O89" si="24">S80</f>
        <v>4.9050916766975741</v>
      </c>
      <c r="P80" s="32">
        <f t="shared" si="9"/>
        <v>5.14597987765681</v>
      </c>
      <c r="Q80" s="32">
        <f t="shared" si="3"/>
        <v>4.52930286693325</v>
      </c>
      <c r="R80" s="2">
        <v>4.01</v>
      </c>
      <c r="S80" s="2">
        <f t="shared" ref="S80:S89" si="25">R80/I80*100</f>
        <v>4.9050916766975741</v>
      </c>
      <c r="T80" s="2">
        <f t="shared" si="16"/>
        <v>5.2473019417220002</v>
      </c>
      <c r="U80" s="2">
        <f t="shared" si="17"/>
        <v>4.2897630000000007</v>
      </c>
      <c r="V80" s="2">
        <f>(V79+V81)/2</f>
        <v>102</v>
      </c>
      <c r="X80" s="6">
        <f t="shared" si="18"/>
        <v>1.525709037735905</v>
      </c>
      <c r="Y80" s="6">
        <f t="shared" si="4"/>
        <v>1.766597238695141</v>
      </c>
      <c r="AA80" s="9">
        <f>USA!Z88*H80</f>
        <v>94.649345895470987</v>
      </c>
      <c r="AB80" s="9">
        <v>0</v>
      </c>
      <c r="AC80" s="9">
        <v>0</v>
      </c>
      <c r="AD80" s="9">
        <v>0</v>
      </c>
      <c r="AF80" s="2">
        <f t="shared" ref="AF80:AF89" si="26">AJ80/O80</f>
        <v>0.56323221059512218</v>
      </c>
      <c r="AG80" s="37">
        <v>2.0499999999999998</v>
      </c>
      <c r="AH80" s="37">
        <v>0.17</v>
      </c>
      <c r="AI80" s="37">
        <f t="shared" si="11"/>
        <v>0.71270562823810923</v>
      </c>
      <c r="AJ80" s="37">
        <f t="shared" si="15"/>
        <v>2.7627056282381091</v>
      </c>
      <c r="AK80" s="37">
        <v>2.63</v>
      </c>
      <c r="AM80" s="39">
        <f t="shared" si="20"/>
        <v>3.379382638961669</v>
      </c>
    </row>
    <row r="81" spans="1:39">
      <c r="A81">
        <v>2002</v>
      </c>
      <c r="B81" s="3">
        <f t="shared" si="13"/>
        <v>110.68409794126531</v>
      </c>
      <c r="D81" s="2">
        <f t="shared" si="21"/>
        <v>1781.8338456069891</v>
      </c>
      <c r="E81" s="2">
        <v>118.03591389240708</v>
      </c>
      <c r="F81" s="2">
        <f t="shared" si="22"/>
        <v>2103.2038637064315</v>
      </c>
      <c r="G81" s="53">
        <v>4.108083333333334</v>
      </c>
      <c r="H81" s="2">
        <v>4.4336357560747244</v>
      </c>
      <c r="I81" s="2">
        <v>86.401367390946632</v>
      </c>
      <c r="J81" s="2">
        <v>82.490466876552048</v>
      </c>
      <c r="K81" s="3">
        <f t="shared" si="8"/>
        <v>4.232950178025785</v>
      </c>
      <c r="L81" s="3">
        <v>4.7378200000000001</v>
      </c>
      <c r="M81" s="7">
        <f t="shared" si="23"/>
        <v>4.6153578828524031</v>
      </c>
      <c r="N81" s="7">
        <f t="shared" si="1"/>
        <v>4.24</v>
      </c>
      <c r="O81" s="39">
        <f t="shared" si="24"/>
        <v>4.9073297426127063</v>
      </c>
      <c r="P81" s="32">
        <f t="shared" si="9"/>
        <v>5.1012447259569687</v>
      </c>
      <c r="Q81" s="32">
        <f t="shared" si="3"/>
        <v>4.6588430534550014</v>
      </c>
      <c r="R81" s="2">
        <v>4.24</v>
      </c>
      <c r="S81" s="2">
        <f t="shared" si="25"/>
        <v>4.9073297426127063</v>
      </c>
      <c r="T81" s="2">
        <f t="shared" si="16"/>
        <v>4.9351510615638681</v>
      </c>
      <c r="U81" s="2">
        <f t="shared" si="17"/>
        <v>4.2640380000000002</v>
      </c>
      <c r="V81" s="39">
        <v>90</v>
      </c>
      <c r="X81" s="6">
        <f t="shared" si="18"/>
        <v>1.6540491722748034</v>
      </c>
      <c r="Y81" s="6">
        <f t="shared" si="4"/>
        <v>1.8479641556190662</v>
      </c>
      <c r="AA81" s="9">
        <f>USA!Z89*H81</f>
        <v>108.00336701798028</v>
      </c>
      <c r="AB81" s="9">
        <v>0</v>
      </c>
      <c r="AC81" s="9">
        <v>0</v>
      </c>
      <c r="AD81" s="9">
        <v>0</v>
      </c>
      <c r="AF81" s="2">
        <f t="shared" si="26"/>
        <v>0.57279193477212687</v>
      </c>
      <c r="AG81" s="37">
        <v>2.08</v>
      </c>
      <c r="AH81" s="37">
        <v>0.17499999999999999</v>
      </c>
      <c r="AI81" s="37">
        <f t="shared" si="11"/>
        <v>0.73087889783593496</v>
      </c>
      <c r="AJ81" s="37">
        <f t="shared" si="15"/>
        <v>2.8108788978359351</v>
      </c>
      <c r="AK81" s="37">
        <v>2.71</v>
      </c>
      <c r="AM81" s="39">
        <f t="shared" si="20"/>
        <v>3.2532805703379029</v>
      </c>
    </row>
    <row r="82" spans="1:39">
      <c r="A82">
        <v>2003</v>
      </c>
      <c r="B82" s="3">
        <f t="shared" si="13"/>
        <v>121.8786765478504</v>
      </c>
      <c r="D82" s="2">
        <f t="shared" si="21"/>
        <v>2008.5617879980139</v>
      </c>
      <c r="E82" s="2">
        <v>120.74837744367809</v>
      </c>
      <c r="F82" s="2">
        <f t="shared" si="22"/>
        <v>2425.3057689613311</v>
      </c>
      <c r="G82" s="53">
        <v>3.588025</v>
      </c>
      <c r="H82" s="2">
        <v>4.3277582772368639</v>
      </c>
      <c r="I82" s="2">
        <v>87.020577316774805</v>
      </c>
      <c r="J82" s="2">
        <v>84.363078818618789</v>
      </c>
      <c r="K82" s="3">
        <f t="shared" si="8"/>
        <v>4.1955940067072293</v>
      </c>
      <c r="L82" s="3">
        <v>4.5541299999999998</v>
      </c>
      <c r="M82" s="7">
        <f t="shared" si="23"/>
        <v>4.8980269531002367</v>
      </c>
      <c r="N82" s="7">
        <f t="shared" si="1"/>
        <v>4.59</v>
      </c>
      <c r="O82" s="39">
        <f t="shared" si="24"/>
        <v>5.2746145124863402</v>
      </c>
      <c r="P82" s="32">
        <f t="shared" si="9"/>
        <v>5.4066024846938765</v>
      </c>
      <c r="Q82" s="32">
        <f t="shared" si="3"/>
        <v>4.9554725130065913</v>
      </c>
      <c r="R82" s="2">
        <v>4.59</v>
      </c>
      <c r="S82" s="2">
        <f t="shared" si="25"/>
        <v>5.2746145124863402</v>
      </c>
      <c r="T82" s="2">
        <f t="shared" si="16"/>
        <v>5.1025595174304312</v>
      </c>
      <c r="U82" s="2">
        <f t="shared" si="17"/>
        <v>4.4402767499999998</v>
      </c>
      <c r="V82" s="2">
        <f>(V81+V83)/2</f>
        <v>97.5</v>
      </c>
      <c r="X82" s="6">
        <f t="shared" si="18"/>
        <v>1.7988823270299519</v>
      </c>
      <c r="Y82" s="6">
        <f t="shared" si="4"/>
        <v>1.930870299237488</v>
      </c>
      <c r="AA82" s="9">
        <f>USA!Z90*H82</f>
        <v>121.61000759035588</v>
      </c>
      <c r="AB82" s="9">
        <v>0</v>
      </c>
      <c r="AC82" s="9">
        <v>0</v>
      </c>
      <c r="AD82" s="9">
        <v>0</v>
      </c>
      <c r="AF82" s="2">
        <f t="shared" si="26"/>
        <v>0.57342621088405765</v>
      </c>
      <c r="AG82" s="37">
        <v>2.2200000000000002</v>
      </c>
      <c r="AH82" s="37">
        <v>0.18</v>
      </c>
      <c r="AI82" s="37">
        <f t="shared" si="11"/>
        <v>0.80460221376910279</v>
      </c>
      <c r="AJ82" s="37">
        <f t="shared" si="15"/>
        <v>3.0246022137691031</v>
      </c>
      <c r="AK82" s="37">
        <v>2.92</v>
      </c>
      <c r="AM82" s="39">
        <f t="shared" si="20"/>
        <v>3.4757321854563883</v>
      </c>
    </row>
    <row r="83" spans="1:39">
      <c r="A83">
        <v>2004</v>
      </c>
      <c r="B83" s="3">
        <f t="shared" si="13"/>
        <v>129.78055197896558</v>
      </c>
      <c r="D83" s="2">
        <f t="shared" si="21"/>
        <v>1777.6924415195001</v>
      </c>
      <c r="E83" s="2">
        <v>123.96942791081244</v>
      </c>
      <c r="F83" s="2">
        <f t="shared" si="22"/>
        <v>2203.7951497654785</v>
      </c>
      <c r="G83" s="53">
        <v>3.9323333333333328</v>
      </c>
      <c r="H83" s="2">
        <v>4.3923383208443223</v>
      </c>
      <c r="I83" s="2">
        <v>86.660571272611151</v>
      </c>
      <c r="J83" s="2">
        <v>86.621678120172746</v>
      </c>
      <c r="K83" s="3">
        <f t="shared" si="8"/>
        <v>4.3903670450799819</v>
      </c>
      <c r="L83" s="3">
        <v>4.4819800000000001</v>
      </c>
      <c r="M83" s="7">
        <f t="shared" si="23"/>
        <v>5.085837389385107</v>
      </c>
      <c r="N83" s="7">
        <f t="shared" si="1"/>
        <v>4.9400000000000004</v>
      </c>
      <c r="O83" s="39">
        <f t="shared" si="24"/>
        <v>5.7004009175753891</v>
      </c>
      <c r="P83" s="32">
        <f t="shared" si="9"/>
        <v>5.643153805264193</v>
      </c>
      <c r="Q83" s="32">
        <f t="shared" si="3"/>
        <v>5.1778128833999784</v>
      </c>
      <c r="R83" s="2">
        <v>4.9400000000000004</v>
      </c>
      <c r="S83" s="2">
        <f t="shared" si="25"/>
        <v>5.7004009175753891</v>
      </c>
      <c r="T83" s="2">
        <f t="shared" si="16"/>
        <v>5.4304730870004594</v>
      </c>
      <c r="U83" s="2">
        <f t="shared" si="17"/>
        <v>4.7060789999999999</v>
      </c>
      <c r="V83" s="39">
        <v>105</v>
      </c>
      <c r="X83" s="6">
        <f t="shared" si="18"/>
        <v>2.2119387699515922</v>
      </c>
      <c r="Y83" s="6">
        <f t="shared" si="4"/>
        <v>2.1546916576403965</v>
      </c>
      <c r="AA83" s="9">
        <f>USA!Z91*H83</f>
        <v>158.34379646643779</v>
      </c>
      <c r="AB83" s="9">
        <v>0</v>
      </c>
      <c r="AC83" s="9">
        <v>0</v>
      </c>
      <c r="AD83" s="9">
        <v>0</v>
      </c>
      <c r="AF83" s="2">
        <f t="shared" si="26"/>
        <v>0.5303348430175745</v>
      </c>
      <c r="AG83" s="37">
        <v>2.17</v>
      </c>
      <c r="AH83" s="37">
        <v>0.17599999999999999</v>
      </c>
      <c r="AI83" s="37">
        <f t="shared" si="11"/>
        <v>0.85312122575958205</v>
      </c>
      <c r="AJ83" s="37">
        <f t="shared" si="15"/>
        <v>3.0231212257595819</v>
      </c>
      <c r="AK83" s="37">
        <v>2.89</v>
      </c>
      <c r="AM83" s="39">
        <f t="shared" si="20"/>
        <v>3.4884621476237969</v>
      </c>
    </row>
    <row r="84" spans="1:39">
      <c r="A84">
        <v>2005</v>
      </c>
      <c r="B84" s="3">
        <f t="shared" si="13"/>
        <v>137.7938552928473</v>
      </c>
      <c r="D84" s="2">
        <f t="shared" si="21"/>
        <v>1832.7896766693864</v>
      </c>
      <c r="E84" s="2">
        <v>128.14202809149756</v>
      </c>
      <c r="F84" s="2">
        <f t="shared" si="22"/>
        <v>2348.5738623357524</v>
      </c>
      <c r="G84" s="53">
        <v>3.7389749999999999</v>
      </c>
      <c r="H84" s="2">
        <v>4.4875902287254377</v>
      </c>
      <c r="I84" s="2">
        <v>87.812589569268198</v>
      </c>
      <c r="J84" s="2">
        <v>89.560532372110146</v>
      </c>
      <c r="K84" s="3">
        <f t="shared" si="8"/>
        <v>4.5769174092684617</v>
      </c>
      <c r="L84" s="3">
        <v>4.4877000000000002</v>
      </c>
      <c r="M84" s="7">
        <f t="shared" si="23"/>
        <v>5.5649957859312993</v>
      </c>
      <c r="N84" s="7">
        <f t="shared" si="1"/>
        <v>5.43</v>
      </c>
      <c r="O84" s="39">
        <f t="shared" si="24"/>
        <v>6.1836235859058855</v>
      </c>
      <c r="P84" s="32">
        <f t="shared" si="9"/>
        <v>6.0813664683191053</v>
      </c>
      <c r="Q84" s="32">
        <f t="shared" si="3"/>
        <v>5.653976496886548</v>
      </c>
      <c r="R84" s="2">
        <v>5.43</v>
      </c>
      <c r="S84" s="2">
        <f t="shared" si="25"/>
        <v>6.1836235859058855</v>
      </c>
      <c r="T84" s="2">
        <f t="shared" si="16"/>
        <v>6.4392839657001852</v>
      </c>
      <c r="U84" s="2">
        <f t="shared" si="17"/>
        <v>5.6545019999999999</v>
      </c>
      <c r="V84" s="2">
        <f>(V83+V85)/2</f>
        <v>126</v>
      </c>
      <c r="X84" s="6">
        <f t="shared" si="18"/>
        <v>2.6768083041717965</v>
      </c>
      <c r="Y84" s="6">
        <f t="shared" si="4"/>
        <v>2.5745511865850164</v>
      </c>
      <c r="AA84" s="9">
        <f>USA!Z92*H84</f>
        <v>227.25156918265617</v>
      </c>
      <c r="AB84" s="9">
        <v>0</v>
      </c>
      <c r="AC84" s="9">
        <v>0</v>
      </c>
      <c r="AD84" s="9">
        <v>0</v>
      </c>
      <c r="AF84" s="2">
        <f t="shared" si="26"/>
        <v>0.49799688928678598</v>
      </c>
      <c r="AG84" s="37">
        <v>2.19</v>
      </c>
      <c r="AH84" s="37">
        <v>0.16800000000000001</v>
      </c>
      <c r="AI84" s="37">
        <f t="shared" si="11"/>
        <v>0.8894253103015316</v>
      </c>
      <c r="AJ84" s="37">
        <f t="shared" si="15"/>
        <v>3.0794253103015317</v>
      </c>
      <c r="AK84" s="37">
        <v>2.97</v>
      </c>
      <c r="AM84" s="39">
        <f t="shared" si="20"/>
        <v>3.506815281734089</v>
      </c>
    </row>
    <row r="85" spans="1:39">
      <c r="A85">
        <v>2006</v>
      </c>
      <c r="B85" s="3">
        <f t="shared" si="13"/>
        <v>145.11672355108681</v>
      </c>
      <c r="D85" s="2">
        <f t="shared" si="21"/>
        <v>1979.9367706407472</v>
      </c>
      <c r="E85" s="2">
        <v>132.27087886006535</v>
      </c>
      <c r="F85" s="2">
        <f t="shared" si="22"/>
        <v>2618.879767400113</v>
      </c>
      <c r="G85" s="53">
        <v>3.4237165052546712</v>
      </c>
      <c r="H85" s="2">
        <v>4.5036724269969328</v>
      </c>
      <c r="I85" s="2">
        <v>89.663018849252808</v>
      </c>
      <c r="J85" s="2">
        <v>92.449705082727419</v>
      </c>
      <c r="K85" s="3">
        <f t="shared" si="8"/>
        <v>4.6436445371652502</v>
      </c>
      <c r="L85" s="3">
        <v>4.4558099999999996</v>
      </c>
      <c r="M85" s="7">
        <f t="shared" si="23"/>
        <v>5.9345590607827168</v>
      </c>
      <c r="N85" s="7">
        <f t="shared" si="1"/>
        <v>5.8600000000000012</v>
      </c>
      <c r="O85" s="39">
        <f t="shared" si="24"/>
        <v>6.5355818655316602</v>
      </c>
      <c r="P85" s="32">
        <f t="shared" si="9"/>
        <v>6.3807811016527829</v>
      </c>
      <c r="Q85" s="32">
        <f t="shared" si="3"/>
        <v>6.0174587579894681</v>
      </c>
      <c r="R85" s="2">
        <v>5.86</v>
      </c>
      <c r="S85" s="2">
        <f t="shared" si="25"/>
        <v>6.5355818655316602</v>
      </c>
      <c r="T85" s="2">
        <f t="shared" si="16"/>
        <v>7.305175293074111</v>
      </c>
      <c r="U85" s="2">
        <f t="shared" si="17"/>
        <v>6.5500406999999994</v>
      </c>
      <c r="V85" s="39">
        <v>147</v>
      </c>
      <c r="X85" s="6">
        <f t="shared" si="18"/>
        <v>3.0207999542088055</v>
      </c>
      <c r="Y85" s="6">
        <f t="shared" si="4"/>
        <v>2.8659991903299282</v>
      </c>
      <c r="AA85" s="9">
        <f>USA!Z93*H85</f>
        <v>275.08431184097265</v>
      </c>
      <c r="AB85" s="9">
        <v>0</v>
      </c>
      <c r="AC85" s="9">
        <v>0</v>
      </c>
      <c r="AD85" s="9">
        <v>0</v>
      </c>
      <c r="AF85" s="2">
        <f t="shared" si="26"/>
        <v>0.48220030480838794</v>
      </c>
      <c r="AG85" s="37">
        <v>2.25</v>
      </c>
      <c r="AH85" s="37">
        <v>0.16</v>
      </c>
      <c r="AI85" s="37">
        <f t="shared" si="11"/>
        <v>0.90145956765953938</v>
      </c>
      <c r="AJ85" s="37">
        <f t="shared" si="15"/>
        <v>3.1514595676595394</v>
      </c>
      <c r="AK85" s="37">
        <v>3.06</v>
      </c>
      <c r="AM85" s="39">
        <f t="shared" si="20"/>
        <v>3.5147819113228547</v>
      </c>
    </row>
    <row r="86" spans="1:39">
      <c r="A86">
        <v>2007</v>
      </c>
      <c r="B86" s="3">
        <f t="shared" si="13"/>
        <v>154.86432638840714</v>
      </c>
      <c r="D86" s="2" t="e">
        <f>F86/E86*100</f>
        <v>#DIV/0!</v>
      </c>
      <c r="E86" s="2">
        <v>136.06296852886032</v>
      </c>
      <c r="F86" s="2" t="e">
        <f>I86/G86*100</f>
        <v>#DIV/0!</v>
      </c>
      <c r="H86" s="2">
        <v>4.2497159133826612</v>
      </c>
      <c r="I86" s="2">
        <v>90.103862092582446</v>
      </c>
      <c r="J86" s="2">
        <v>95.086992378851548</v>
      </c>
      <c r="K86" s="3">
        <f t="shared" si="8"/>
        <v>4.4847434425495853</v>
      </c>
      <c r="L86" s="3">
        <v>4.1080800000000002</v>
      </c>
      <c r="M86" s="7">
        <f t="shared" si="23"/>
        <v>6.0390745500679568</v>
      </c>
      <c r="N86" s="7">
        <f t="shared" si="1"/>
        <v>5.9299999999999988</v>
      </c>
      <c r="O86" s="39">
        <f t="shared" si="24"/>
        <v>6.5812939226810014</v>
      </c>
      <c r="P86" s="32">
        <f t="shared" si="9"/>
        <v>6.4559607785581434</v>
      </c>
      <c r="Q86" s="32">
        <f t="shared" si="3"/>
        <v>6.1118399204186247</v>
      </c>
      <c r="R86" s="2">
        <v>5.93</v>
      </c>
      <c r="S86" s="2">
        <f t="shared" si="25"/>
        <v>6.5812939226810014</v>
      </c>
      <c r="T86" s="2">
        <f t="shared" si="16"/>
        <v>7.4544094381864854</v>
      </c>
      <c r="U86" s="2">
        <f t="shared" si="17"/>
        <v>6.7167108000000004</v>
      </c>
      <c r="V86" s="2">
        <f>(V85+V87)/2</f>
        <v>163.5</v>
      </c>
      <c r="X86" s="6">
        <f t="shared" si="18"/>
        <v>3.1039691182076687</v>
      </c>
      <c r="Y86" s="6">
        <f t="shared" si="4"/>
        <v>2.9786359740848107</v>
      </c>
      <c r="AA86" s="9">
        <f>USA!Z94*H86</f>
        <v>293.57037529647425</v>
      </c>
      <c r="AB86" s="9">
        <v>0</v>
      </c>
      <c r="AC86" s="9">
        <v>0</v>
      </c>
      <c r="AD86" s="9">
        <v>0</v>
      </c>
      <c r="AF86" s="2">
        <f t="shared" si="26"/>
        <v>0.47607719441550944</v>
      </c>
      <c r="AG86" s="37">
        <v>2.25</v>
      </c>
      <c r="AH86" s="37">
        <v>0.155</v>
      </c>
      <c r="AI86" s="37">
        <f t="shared" si="11"/>
        <v>0.88320394633381405</v>
      </c>
      <c r="AJ86" s="37">
        <f t="shared" si="15"/>
        <v>3.1332039463338139</v>
      </c>
      <c r="AK86" s="37">
        <v>3.05</v>
      </c>
      <c r="AM86" s="39">
        <f t="shared" si="20"/>
        <v>3.4773248044733327</v>
      </c>
    </row>
    <row r="87" spans="1:39">
      <c r="A87">
        <v>2008</v>
      </c>
      <c r="B87" s="3">
        <f t="shared" si="13"/>
        <v>182.94745070883829</v>
      </c>
      <c r="D87" s="2" t="e">
        <f t="shared" si="21"/>
        <v>#DIV/0!</v>
      </c>
      <c r="E87" s="2">
        <v>141.25640655453694</v>
      </c>
      <c r="F87" s="2" t="e">
        <f t="shared" si="22"/>
        <v>#DIV/0!</v>
      </c>
      <c r="H87" s="2">
        <v>3.6829587686049137</v>
      </c>
      <c r="I87" s="2">
        <v>94.243304642547926</v>
      </c>
      <c r="J87" s="2">
        <v>98.737477385344562</v>
      </c>
      <c r="K87" s="3">
        <f t="shared" si="8"/>
        <v>3.8585877214890152</v>
      </c>
      <c r="L87" s="3">
        <v>3.5880200000000002</v>
      </c>
      <c r="M87" s="7">
        <f t="shared" si="23"/>
        <v>6.5481552562015199</v>
      </c>
      <c r="N87" s="7">
        <f t="shared" si="1"/>
        <v>6.35</v>
      </c>
      <c r="O87" s="39">
        <f t="shared" si="24"/>
        <v>6.7378791778203118</v>
      </c>
      <c r="P87" s="32">
        <f t="shared" si="9"/>
        <v>6.7730053367546041</v>
      </c>
      <c r="Q87" s="32">
        <f t="shared" si="3"/>
        <v>6.5736160422196264</v>
      </c>
      <c r="R87" s="2">
        <v>6.35</v>
      </c>
      <c r="S87" s="2">
        <f t="shared" si="25"/>
        <v>6.7378791778203118</v>
      </c>
      <c r="T87" s="2">
        <f t="shared" si="16"/>
        <v>6.8529388103441118</v>
      </c>
      <c r="U87" s="2">
        <f t="shared" si="17"/>
        <v>6.4584360000000007</v>
      </c>
      <c r="V87" s="39">
        <v>180</v>
      </c>
      <c r="X87" s="6">
        <f t="shared" si="18"/>
        <v>3.2742723312834734</v>
      </c>
      <c r="Y87" s="6">
        <f t="shared" si="4"/>
        <v>3.3093984902177662</v>
      </c>
      <c r="AA87" s="9">
        <f>USA!Z95*H87</f>
        <v>347.85545569473413</v>
      </c>
      <c r="AB87" s="9">
        <v>0</v>
      </c>
      <c r="AC87" s="9">
        <v>0</v>
      </c>
      <c r="AD87" s="9">
        <v>0</v>
      </c>
      <c r="AF87" s="2">
        <f t="shared" si="26"/>
        <v>0.48445771523285558</v>
      </c>
      <c r="AG87" s="37">
        <v>2.36</v>
      </c>
      <c r="AH87" s="37">
        <v>0.155</v>
      </c>
      <c r="AI87" s="37">
        <f t="shared" si="11"/>
        <v>0.90421755200185994</v>
      </c>
      <c r="AJ87" s="37">
        <f t="shared" si="15"/>
        <v>3.2642175520018597</v>
      </c>
      <c r="AK87" s="37">
        <v>3.21</v>
      </c>
      <c r="AM87" s="39">
        <f t="shared" si="20"/>
        <v>3.4636068465368384</v>
      </c>
    </row>
    <row r="88" spans="1:39">
      <c r="A88">
        <v>2009</v>
      </c>
      <c r="B88" s="3">
        <f t="shared" si="13"/>
        <v>156.29147455255233</v>
      </c>
      <c r="D88" s="2" t="e">
        <f t="shared" si="21"/>
        <v>#DIV/0!</v>
      </c>
      <c r="E88" s="2">
        <v>140.7951236905254</v>
      </c>
      <c r="F88" s="2" t="e">
        <f t="shared" si="22"/>
        <v>#DIV/0!</v>
      </c>
      <c r="H88" s="2">
        <v>3.8963995439676284</v>
      </c>
      <c r="I88" s="2">
        <v>97.376894681688526</v>
      </c>
      <c r="J88" s="2">
        <v>98.386419971062395</v>
      </c>
      <c r="K88" s="3">
        <v>3.9323333333333328</v>
      </c>
      <c r="L88" s="3">
        <v>3.9323399999999999</v>
      </c>
      <c r="M88" s="7">
        <f t="shared" si="23"/>
        <v>6.066242063950348</v>
      </c>
      <c r="N88" s="7">
        <f t="shared" si="1"/>
        <v>5.93</v>
      </c>
      <c r="O88" s="39">
        <f t="shared" si="24"/>
        <v>6.0897403017259304</v>
      </c>
      <c r="P88" s="32">
        <f t="shared" si="9"/>
        <v>6.1618783963082739</v>
      </c>
      <c r="Q88" s="32">
        <f t="shared" si="3"/>
        <v>6.0694832001952559</v>
      </c>
      <c r="R88" s="2">
        <v>5.93</v>
      </c>
      <c r="S88" s="2">
        <f t="shared" si="25"/>
        <v>6.0897403017259304</v>
      </c>
      <c r="X88" s="6">
        <f t="shared" si="18"/>
        <v>2.5673809260645086</v>
      </c>
      <c r="Y88" s="6">
        <f t="shared" si="4"/>
        <v>2.6395190206468522</v>
      </c>
      <c r="AA88" s="9">
        <f>USA!Z96*H88</f>
        <v>237.9141561546634</v>
      </c>
      <c r="AB88" s="9">
        <v>0</v>
      </c>
      <c r="AC88" s="9">
        <v>0</v>
      </c>
      <c r="AD88" s="9">
        <v>0</v>
      </c>
      <c r="AF88" s="2">
        <f t="shared" si="26"/>
        <v>0.56323652727461915</v>
      </c>
      <c r="AG88" s="37">
        <v>2.59</v>
      </c>
      <c r="AH88" s="37">
        <v>0.16</v>
      </c>
      <c r="AI88" s="37">
        <f t="shared" si="11"/>
        <v>0.8399641795484043</v>
      </c>
      <c r="AJ88" s="37">
        <f t="shared" si="15"/>
        <v>3.4299641795484042</v>
      </c>
      <c r="AK88" s="37">
        <v>3.4319999999999999</v>
      </c>
      <c r="AM88" s="39">
        <f t="shared" si="20"/>
        <v>3.5223593756614218</v>
      </c>
    </row>
    <row r="89" spans="1:39">
      <c r="A89">
        <v>2010</v>
      </c>
      <c r="B89" s="3">
        <f t="shared" si="13"/>
        <v>176.51872970703241</v>
      </c>
      <c r="D89" s="2" t="e">
        <f t="shared" si="21"/>
        <v>#DIV/0!</v>
      </c>
      <c r="E89" s="2">
        <v>143.11269411067286</v>
      </c>
      <c r="F89" s="2" t="e">
        <f t="shared" si="22"/>
        <v>#DIV/0!</v>
      </c>
      <c r="H89" s="2">
        <f>L89</f>
        <v>3.7389800000000002</v>
      </c>
      <c r="I89" s="2">
        <v>100</v>
      </c>
      <c r="J89" s="2">
        <v>100</v>
      </c>
      <c r="K89" s="3">
        <v>3.7389749999999999</v>
      </c>
      <c r="L89" s="3">
        <v>3.7389800000000002</v>
      </c>
      <c r="M89" s="7">
        <f t="shared" si="23"/>
        <v>6.6982422148219563</v>
      </c>
      <c r="N89" s="7">
        <f>O89*I89/100</f>
        <v>6.6</v>
      </c>
      <c r="O89" s="39">
        <f t="shared" si="24"/>
        <v>6.6000000000000005</v>
      </c>
      <c r="P89" s="32">
        <f t="shared" si="9"/>
        <v>6.6846915645016853</v>
      </c>
      <c r="Q89" s="32">
        <f t="shared" si="3"/>
        <v>6.6846915645016853</v>
      </c>
      <c r="R89" s="2">
        <v>6.6</v>
      </c>
      <c r="S89" s="2">
        <f t="shared" si="25"/>
        <v>6.6000000000000005</v>
      </c>
      <c r="X89" s="6">
        <f t="shared" si="18"/>
        <v>2.8696551724137938</v>
      </c>
      <c r="Y89" s="6">
        <f t="shared" si="4"/>
        <v>2.954346736915479</v>
      </c>
      <c r="AA89" s="9">
        <f>USA!Z97*H89</f>
        <v>289.584001</v>
      </c>
      <c r="AB89" s="9">
        <v>0</v>
      </c>
      <c r="AC89" s="9">
        <v>0</v>
      </c>
      <c r="AD89" s="9">
        <v>0</v>
      </c>
      <c r="AF89" s="2">
        <f t="shared" si="26"/>
        <v>0.56520376175548581</v>
      </c>
      <c r="AG89" s="37">
        <v>2.82</v>
      </c>
      <c r="AH89" s="37">
        <v>0.16</v>
      </c>
      <c r="AI89" s="37">
        <f t="shared" si="11"/>
        <v>0.91034482758620694</v>
      </c>
      <c r="AJ89" s="37">
        <f t="shared" si="15"/>
        <v>3.7303448275862068</v>
      </c>
      <c r="AK89" s="37">
        <v>3.73</v>
      </c>
      <c r="AM89" s="39">
        <f>AJ89*100/I89</f>
        <v>3.7303448275862068</v>
      </c>
    </row>
    <row r="90" spans="1:39">
      <c r="A90">
        <v>2011</v>
      </c>
      <c r="K90" s="2">
        <v>3.4237165052546712</v>
      </c>
      <c r="AG90" s="32"/>
      <c r="AH90" s="32"/>
    </row>
    <row r="91" spans="1:39">
      <c r="A91">
        <v>2012</v>
      </c>
      <c r="AG91" s="32"/>
      <c r="AH91" s="32"/>
    </row>
    <row r="92" spans="1:39">
      <c r="A92">
        <v>2013</v>
      </c>
      <c r="Z92" s="52"/>
    </row>
    <row r="93" spans="1:39">
      <c r="A93">
        <v>2014</v>
      </c>
      <c r="Z93" s="52"/>
    </row>
    <row r="94" spans="1:39">
      <c r="A94">
        <v>2015</v>
      </c>
      <c r="Z94" s="52"/>
    </row>
    <row r="95" spans="1:39">
      <c r="A95">
        <v>2016</v>
      </c>
    </row>
    <row r="96" spans="1:39">
      <c r="A96">
        <v>2017</v>
      </c>
    </row>
    <row r="97" spans="18:25">
      <c r="X97" s="9"/>
    </row>
    <row r="98" spans="18:25">
      <c r="X98" s="51"/>
      <c r="Y98" s="51"/>
    </row>
    <row r="99" spans="18:25">
      <c r="X99" s="51"/>
      <c r="Y99" s="51"/>
    </row>
    <row r="102" spans="18:25">
      <c r="X102" s="13" t="s">
        <v>88</v>
      </c>
      <c r="Y102" s="13">
        <v>1.1898926346115495</v>
      </c>
    </row>
    <row r="103" spans="18:25" ht="15.75" thickBot="1">
      <c r="X103" s="13" t="s">
        <v>229</v>
      </c>
      <c r="Y103" s="14">
        <v>6.0930648661903447E-3</v>
      </c>
    </row>
    <row r="104" spans="18:25">
      <c r="X104" s="13"/>
      <c r="Y104" s="13"/>
    </row>
    <row r="105" spans="18:25">
      <c r="X105" s="13"/>
      <c r="Y105" s="13"/>
    </row>
    <row r="106" spans="18:25" ht="15.75" thickBot="1">
      <c r="X106" s="14"/>
      <c r="Y106" s="14"/>
    </row>
    <row r="111" spans="18:25">
      <c r="R111" s="13" t="s">
        <v>88</v>
      </c>
      <c r="S111" s="13">
        <v>1.1898926346115495</v>
      </c>
    </row>
    <row r="112" spans="18:25" ht="15.75" thickBot="1">
      <c r="R112" s="13" t="s">
        <v>229</v>
      </c>
      <c r="S112" s="14">
        <v>6.0930648661903447E-3</v>
      </c>
    </row>
    <row r="115" spans="1:31">
      <c r="Q115" s="34" t="s">
        <v>183</v>
      </c>
      <c r="R115" s="34"/>
      <c r="S115" s="34"/>
    </row>
    <row r="120" spans="1:31">
      <c r="B120" s="76" t="s">
        <v>27</v>
      </c>
      <c r="C120" s="26" t="s">
        <v>263</v>
      </c>
      <c r="D120" s="26"/>
      <c r="E120" s="76" t="s">
        <v>265</v>
      </c>
      <c r="F120" s="76"/>
      <c r="G120" s="76"/>
      <c r="H120" s="76"/>
      <c r="I120" s="26" t="s">
        <v>269</v>
      </c>
      <c r="J120" s="76" t="s">
        <v>271</v>
      </c>
      <c r="K120" s="76"/>
      <c r="L120" s="76"/>
      <c r="M120" s="76"/>
      <c r="N120" s="26" t="s">
        <v>273</v>
      </c>
      <c r="O120" s="26"/>
      <c r="P120" s="26"/>
      <c r="Q120" s="26"/>
      <c r="R120" s="77" t="s">
        <v>111</v>
      </c>
      <c r="S120" s="26" t="s">
        <v>288</v>
      </c>
      <c r="T120" s="26"/>
      <c r="U120" s="26"/>
      <c r="V120" s="79">
        <v>0.16</v>
      </c>
      <c r="W120" s="76" t="s">
        <v>289</v>
      </c>
      <c r="X120" s="76"/>
      <c r="Y120" s="76"/>
      <c r="Z120" s="76"/>
      <c r="AA120" s="26" t="s">
        <v>272</v>
      </c>
      <c r="AB120" s="26"/>
      <c r="AC120" s="23" t="s">
        <v>298</v>
      </c>
      <c r="AD120" s="24"/>
    </row>
    <row r="121" spans="1:31">
      <c r="A121" s="71"/>
      <c r="B121" s="77" t="s">
        <v>262</v>
      </c>
      <c r="C121" s="75" t="s">
        <v>262</v>
      </c>
      <c r="D121" s="75" t="s">
        <v>264</v>
      </c>
      <c r="E121" s="77" t="s">
        <v>262</v>
      </c>
      <c r="F121" s="77" t="s">
        <v>268</v>
      </c>
      <c r="G121" s="77" t="s">
        <v>267</v>
      </c>
      <c r="H121" s="77" t="s">
        <v>266</v>
      </c>
      <c r="I121" s="75" t="s">
        <v>270</v>
      </c>
      <c r="J121" s="77" t="s">
        <v>262</v>
      </c>
      <c r="K121" s="77" t="s">
        <v>268</v>
      </c>
      <c r="L121" s="77" t="s">
        <v>267</v>
      </c>
      <c r="M121" s="77" t="s">
        <v>266</v>
      </c>
      <c r="N121" s="75" t="s">
        <v>262</v>
      </c>
      <c r="O121" s="75" t="s">
        <v>268</v>
      </c>
      <c r="P121" s="75" t="s">
        <v>267</v>
      </c>
      <c r="Q121" s="75" t="s">
        <v>266</v>
      </c>
      <c r="R121" s="77" t="s">
        <v>67</v>
      </c>
      <c r="S121" s="75" t="s">
        <v>262</v>
      </c>
      <c r="T121" s="75" t="s">
        <v>268</v>
      </c>
      <c r="U121" s="75" t="s">
        <v>267</v>
      </c>
      <c r="V121" s="75" t="s">
        <v>266</v>
      </c>
      <c r="W121" s="77" t="s">
        <v>262</v>
      </c>
      <c r="X121" s="77" t="s">
        <v>268</v>
      </c>
      <c r="Y121" s="77" t="s">
        <v>267</v>
      </c>
      <c r="Z121" s="77" t="s">
        <v>266</v>
      </c>
      <c r="AA121" s="75" t="s">
        <v>262</v>
      </c>
      <c r="AB121" s="75" t="s">
        <v>264</v>
      </c>
      <c r="AC121" s="9" t="s">
        <v>313</v>
      </c>
      <c r="AD121" s="9" t="s">
        <v>114</v>
      </c>
      <c r="AE121" s="9" t="s">
        <v>297</v>
      </c>
    </row>
    <row r="122" spans="1:31">
      <c r="A122">
        <v>2010</v>
      </c>
      <c r="B122" s="48">
        <f>[2]POP!P51</f>
        <v>7354</v>
      </c>
      <c r="C122" s="6">
        <f>[2]Israel!M52</f>
        <v>7.4</v>
      </c>
      <c r="D122" s="6">
        <f>C122</f>
        <v>7.4</v>
      </c>
      <c r="E122" s="3">
        <f>USA!BB97</f>
        <v>79.48</v>
      </c>
      <c r="F122" s="3">
        <f>USA!BB97</f>
        <v>79.48</v>
      </c>
      <c r="G122" s="3">
        <f>USA!BB97</f>
        <v>79.48</v>
      </c>
      <c r="H122" s="3">
        <f>USA!BB97</f>
        <v>79.48</v>
      </c>
      <c r="I122" s="8">
        <f>'Exchange Rates'!Q49</f>
        <v>3.7389749999999999</v>
      </c>
      <c r="J122" s="3">
        <f>E122*$I122</f>
        <v>297.17373300000003</v>
      </c>
      <c r="K122" s="3">
        <f t="shared" ref="K122:M137" si="27">F122*$I122</f>
        <v>297.17373300000003</v>
      </c>
      <c r="L122" s="3">
        <f t="shared" si="27"/>
        <v>297.17373300000003</v>
      </c>
      <c r="M122" s="3">
        <f t="shared" si="27"/>
        <v>297.17373300000003</v>
      </c>
      <c r="N122" s="6">
        <f>S$111+S$112*J122+S$115</f>
        <v>3.0005914663084798</v>
      </c>
      <c r="O122" s="6">
        <f>S$111+S$112*K122+S$115</f>
        <v>3.0005914663084798</v>
      </c>
      <c r="P122" s="6">
        <f>S$111+S$112*L122+S$115</f>
        <v>3.0005914663084798</v>
      </c>
      <c r="Q122" s="6">
        <f>S$111+S$112*M122+S$115</f>
        <v>3.0005914663084798</v>
      </c>
      <c r="R122" s="24">
        <f>AG89</f>
        <v>2.82</v>
      </c>
      <c r="S122" s="3">
        <f>(N122+R122)*$V$120</f>
        <v>0.9312946346093568</v>
      </c>
      <c r="T122" s="3">
        <f>(O122+R122)*$V$120</f>
        <v>0.9312946346093568</v>
      </c>
      <c r="U122" s="3">
        <f>(P122+R122)*$V$120</f>
        <v>0.9312946346093568</v>
      </c>
      <c r="V122" s="3">
        <f>(Q122+R122)*$V$120</f>
        <v>0.9312946346093568</v>
      </c>
      <c r="W122" s="3">
        <f>N122+$R122+S122</f>
        <v>6.7518861009178366</v>
      </c>
      <c r="X122" s="3">
        <f t="shared" ref="X122:Z137" si="28">O122+$R122+T122</f>
        <v>6.7518861009178366</v>
      </c>
      <c r="Y122" s="3">
        <f t="shared" si="28"/>
        <v>6.7518861009178366</v>
      </c>
      <c r="Z122" s="3">
        <f t="shared" si="28"/>
        <v>6.7518861009178366</v>
      </c>
      <c r="AA122" s="6">
        <v>1</v>
      </c>
      <c r="AB122" s="6">
        <v>1</v>
      </c>
      <c r="AC122" s="48">
        <v>6</v>
      </c>
      <c r="AD122" s="48">
        <v>48</v>
      </c>
      <c r="AE122" s="45">
        <v>2304</v>
      </c>
    </row>
    <row r="123" spans="1:31">
      <c r="A123">
        <v>2011</v>
      </c>
      <c r="B123" s="48">
        <f>[2]POP!P52</f>
        <v>7473</v>
      </c>
      <c r="C123" s="6">
        <f>[2]Israel!M53</f>
        <v>5.2</v>
      </c>
      <c r="D123" s="6">
        <f>C123</f>
        <v>5.2</v>
      </c>
      <c r="E123" s="3">
        <f>USA!BB98</f>
        <v>91.997969509010503</v>
      </c>
      <c r="F123" s="7">
        <v>104.09485663394722</v>
      </c>
      <c r="G123" s="7">
        <v>104.09485663394722</v>
      </c>
      <c r="H123" s="7">
        <v>104.09485663394722</v>
      </c>
      <c r="I123" s="6">
        <f>'[2]Real Exchage Rate'!O104</f>
        <v>3.4089507625688671</v>
      </c>
      <c r="J123" s="3">
        <f>E123*$I123</f>
        <v>313.61654831252872</v>
      </c>
      <c r="K123" s="3">
        <f t="shared" si="27"/>
        <v>354.85424090179123</v>
      </c>
      <c r="L123" s="3">
        <f t="shared" si="27"/>
        <v>354.85424090179123</v>
      </c>
      <c r="M123" s="3">
        <f t="shared" si="27"/>
        <v>354.85424090179123</v>
      </c>
      <c r="N123" s="6">
        <f>S$111+S$112*J123+S$115</f>
        <v>3.100778606590505</v>
      </c>
      <c r="O123" s="6">
        <f t="shared" ref="O123:O142" si="29">S$111+S$112*K123+S$115</f>
        <v>3.3520425424688982</v>
      </c>
      <c r="P123" s="6">
        <f t="shared" ref="P123:P142" si="30">S$111+S$112*L123+S$115</f>
        <v>3.3520425424688982</v>
      </c>
      <c r="Q123" s="6">
        <f t="shared" ref="Q123:Q142" si="31">S$111+S$112*M123+S$115</f>
        <v>3.3520425424688982</v>
      </c>
      <c r="R123" s="3">
        <f>R122</f>
        <v>2.82</v>
      </c>
      <c r="S123" s="3">
        <f>(N123+R123)*$V$120</f>
        <v>0.9473245770544807</v>
      </c>
      <c r="T123" s="3">
        <f t="shared" ref="T123:T142" si="32">(O123+R123)*$V$120</f>
        <v>0.98752680679502369</v>
      </c>
      <c r="U123" s="3">
        <f t="shared" ref="U123:U142" si="33">(P123+R123)*$V$120</f>
        <v>0.98752680679502369</v>
      </c>
      <c r="V123" s="3">
        <f t="shared" ref="V123:V142" si="34">(Q123+R123)*$V$120</f>
        <v>0.98752680679502369</v>
      </c>
      <c r="W123" s="3">
        <f>N123+$R123+S123</f>
        <v>6.8681031836449851</v>
      </c>
      <c r="X123" s="3">
        <f t="shared" si="28"/>
        <v>7.1595693492639212</v>
      </c>
      <c r="Y123" s="3">
        <f t="shared" si="28"/>
        <v>7.1595693492639212</v>
      </c>
      <c r="Z123" s="3">
        <f t="shared" si="28"/>
        <v>7.1595693492639212</v>
      </c>
      <c r="AA123" s="6">
        <v>1</v>
      </c>
      <c r="AB123" s="6">
        <v>1</v>
      </c>
      <c r="AC123" s="48">
        <v>6</v>
      </c>
      <c r="AD123" s="48">
        <v>49</v>
      </c>
      <c r="AE123" s="45">
        <v>2401</v>
      </c>
    </row>
    <row r="124" spans="1:31">
      <c r="A124">
        <v>2012</v>
      </c>
      <c r="B124" s="48">
        <f>[2]POP!P53</f>
        <v>7591</v>
      </c>
      <c r="C124" s="6">
        <f>[2]Israel!M54</f>
        <v>4.9000000000000004</v>
      </c>
      <c r="D124" s="6">
        <f>D123</f>
        <v>5.2</v>
      </c>
      <c r="E124" s="3"/>
      <c r="F124" s="12">
        <v>100</v>
      </c>
      <c r="G124" s="9">
        <v>104.75757094086609</v>
      </c>
      <c r="H124" s="12">
        <v>80</v>
      </c>
      <c r="I124" s="6">
        <f>'[2]Real Exchage Rate'!O105</f>
        <v>3.325662868479685</v>
      </c>
      <c r="J124" s="3"/>
      <c r="K124" s="3">
        <f t="shared" si="27"/>
        <v>332.56628684796851</v>
      </c>
      <c r="L124" s="3">
        <f t="shared" si="27"/>
        <v>348.38836387016482</v>
      </c>
      <c r="M124" s="3">
        <f t="shared" si="27"/>
        <v>266.05302947837481</v>
      </c>
      <c r="N124" s="6"/>
      <c r="O124" s="6">
        <f t="shared" si="29"/>
        <v>3.2162405926842865</v>
      </c>
      <c r="P124" s="6">
        <f t="shared" si="30"/>
        <v>3.3126455342983885</v>
      </c>
      <c r="Q124" s="6">
        <f t="shared" si="31"/>
        <v>2.8109710010697393</v>
      </c>
      <c r="R124" s="3">
        <f t="shared" ref="R124:R142" si="35">R123</f>
        <v>2.82</v>
      </c>
      <c r="S124" s="3"/>
      <c r="T124" s="3">
        <f t="shared" si="32"/>
        <v>0.96579849482948588</v>
      </c>
      <c r="U124" s="3">
        <f t="shared" si="33"/>
        <v>0.98122328548774218</v>
      </c>
      <c r="V124" s="3">
        <f t="shared" si="34"/>
        <v>0.90095536017115818</v>
      </c>
      <c r="W124" s="3">
        <f>W123</f>
        <v>6.8681031836449851</v>
      </c>
      <c r="X124" s="3">
        <f t="shared" si="28"/>
        <v>7.002039087513773</v>
      </c>
      <c r="Y124" s="3">
        <f t="shared" si="28"/>
        <v>7.1138688197861306</v>
      </c>
      <c r="Z124" s="3">
        <f t="shared" si="28"/>
        <v>6.5319263612408971</v>
      </c>
      <c r="AA124" s="6">
        <v>0.9</v>
      </c>
      <c r="AB124" s="6">
        <v>1</v>
      </c>
      <c r="AC124" s="48">
        <v>6</v>
      </c>
      <c r="AD124" s="48">
        <v>50</v>
      </c>
      <c r="AE124" s="45">
        <v>2500</v>
      </c>
    </row>
    <row r="125" spans="1:31">
      <c r="A125">
        <v>2013</v>
      </c>
      <c r="B125" s="48">
        <f>[2]POP!P54</f>
        <v>7707</v>
      </c>
      <c r="C125" s="6">
        <f>[2]Israel!M55</f>
        <v>4.6000000000000005</v>
      </c>
      <c r="D125" s="6">
        <f t="shared" ref="D125:D142" si="36">D124</f>
        <v>5.2</v>
      </c>
      <c r="E125" s="3"/>
      <c r="F125" s="12">
        <v>100</v>
      </c>
      <c r="G125" s="9">
        <v>105.42028524778496</v>
      </c>
      <c r="H125" s="12">
        <v>50</v>
      </c>
      <c r="I125" s="6">
        <f>'[2]Real Exchage Rate'!O106</f>
        <v>3.2872131024488165</v>
      </c>
      <c r="J125" s="3"/>
      <c r="K125" s="3">
        <f t="shared" si="27"/>
        <v>328.72131024488164</v>
      </c>
      <c r="L125" s="3">
        <f t="shared" si="27"/>
        <v>346.53894293041037</v>
      </c>
      <c r="M125" s="3">
        <f t="shared" si="27"/>
        <v>164.36065512244082</v>
      </c>
      <c r="N125" s="6"/>
      <c r="O125" s="6">
        <f t="shared" si="29"/>
        <v>3.1928129008326942</v>
      </c>
      <c r="P125" s="6">
        <f t="shared" si="30"/>
        <v>3.3013768925475739</v>
      </c>
      <c r="Q125" s="6">
        <f t="shared" si="31"/>
        <v>2.1913527677221216</v>
      </c>
      <c r="R125" s="3">
        <f t="shared" si="35"/>
        <v>2.82</v>
      </c>
      <c r="S125" s="3"/>
      <c r="T125" s="3">
        <f t="shared" si="32"/>
        <v>0.96205006413323102</v>
      </c>
      <c r="U125" s="3">
        <f t="shared" si="33"/>
        <v>0.97942030280761172</v>
      </c>
      <c r="V125" s="3">
        <f t="shared" si="34"/>
        <v>0.80181644283553943</v>
      </c>
      <c r="W125" s="3">
        <f t="shared" ref="W125:W142" si="37">W124</f>
        <v>6.8681031836449851</v>
      </c>
      <c r="X125" s="3">
        <f t="shared" si="28"/>
        <v>6.9748629649659248</v>
      </c>
      <c r="Y125" s="3">
        <f t="shared" si="28"/>
        <v>7.1007971953551854</v>
      </c>
      <c r="Z125" s="3">
        <f t="shared" si="28"/>
        <v>5.8131692105576604</v>
      </c>
      <c r="AA125" s="6">
        <v>0.8</v>
      </c>
      <c r="AB125" s="6">
        <v>1</v>
      </c>
      <c r="AC125" s="48">
        <v>6</v>
      </c>
      <c r="AD125" s="48">
        <v>51</v>
      </c>
      <c r="AE125" s="45">
        <v>2601</v>
      </c>
    </row>
    <row r="126" spans="1:31">
      <c r="A126">
        <v>2014</v>
      </c>
      <c r="B126" s="48">
        <f>[2]POP!P55</f>
        <v>7822</v>
      </c>
      <c r="C126" s="6">
        <f>[2]Israel!M56</f>
        <v>4.3000000000000007</v>
      </c>
      <c r="D126" s="6">
        <f t="shared" si="36"/>
        <v>5.2</v>
      </c>
      <c r="E126" s="3"/>
      <c r="F126" s="12">
        <v>100</v>
      </c>
      <c r="G126" s="9">
        <v>106.08299955470383</v>
      </c>
      <c r="H126" s="12">
        <v>50</v>
      </c>
      <c r="I126" s="6">
        <f>'[2]Real Exchage Rate'!O107</f>
        <v>3.258948566681704</v>
      </c>
      <c r="J126" s="3"/>
      <c r="K126" s="3">
        <f t="shared" si="27"/>
        <v>325.89485666817041</v>
      </c>
      <c r="L126" s="3">
        <f t="shared" si="27"/>
        <v>345.71903934809791</v>
      </c>
      <c r="M126" s="3">
        <f t="shared" si="27"/>
        <v>162.9474283340852</v>
      </c>
      <c r="N126" s="6"/>
      <c r="O126" s="6">
        <f t="shared" si="29"/>
        <v>3.1755911358485167</v>
      </c>
      <c r="P126" s="6">
        <f t="shared" si="30"/>
        <v>3.2963811668365222</v>
      </c>
      <c r="Q126" s="6">
        <f t="shared" si="31"/>
        <v>2.1827418852300333</v>
      </c>
      <c r="R126" s="3">
        <f t="shared" si="35"/>
        <v>2.82</v>
      </c>
      <c r="S126" s="3"/>
      <c r="T126" s="3">
        <f t="shared" si="32"/>
        <v>0.95929458173576265</v>
      </c>
      <c r="U126" s="3">
        <f t="shared" si="33"/>
        <v>0.97862098669384356</v>
      </c>
      <c r="V126" s="3">
        <f t="shared" si="34"/>
        <v>0.80043870163680542</v>
      </c>
      <c r="W126" s="3">
        <f t="shared" si="37"/>
        <v>6.8681031836449851</v>
      </c>
      <c r="X126" s="3">
        <f t="shared" si="28"/>
        <v>6.9548857175842791</v>
      </c>
      <c r="Y126" s="3">
        <f t="shared" si="28"/>
        <v>7.0950021535303653</v>
      </c>
      <c r="Z126" s="3">
        <f t="shared" si="28"/>
        <v>5.8031805868668389</v>
      </c>
      <c r="AA126" s="6">
        <v>0.70000000000000007</v>
      </c>
      <c r="AB126" s="6">
        <v>1</v>
      </c>
      <c r="AC126" s="48">
        <v>6</v>
      </c>
      <c r="AD126" s="48">
        <v>52</v>
      </c>
      <c r="AE126" s="45">
        <v>2704</v>
      </c>
    </row>
    <row r="127" spans="1:31">
      <c r="A127">
        <v>2015</v>
      </c>
      <c r="B127" s="48">
        <f>[2]POP!P56</f>
        <v>7935</v>
      </c>
      <c r="C127" s="6">
        <f>[2]Israel!M57</f>
        <v>4</v>
      </c>
      <c r="D127" s="6">
        <f t="shared" si="36"/>
        <v>5.2</v>
      </c>
      <c r="E127" s="3"/>
      <c r="F127" s="12">
        <v>120</v>
      </c>
      <c r="G127" s="9">
        <v>106.7457138616227</v>
      </c>
      <c r="H127" s="12">
        <v>50</v>
      </c>
      <c r="I127" s="6">
        <f>'[2]Real Exchage Rate'!O108</f>
        <v>3.2308252487934448</v>
      </c>
      <c r="J127" s="3"/>
      <c r="K127" s="3">
        <f t="shared" si="27"/>
        <v>387.69902985521338</v>
      </c>
      <c r="L127" s="3">
        <f t="shared" si="27"/>
        <v>344.87674754461102</v>
      </c>
      <c r="M127" s="3">
        <f t="shared" si="27"/>
        <v>161.54126243967224</v>
      </c>
      <c r="N127" s="6"/>
      <c r="O127" s="6">
        <f t="shared" si="29"/>
        <v>3.5521679720784318</v>
      </c>
      <c r="P127" s="6">
        <f t="shared" si="30"/>
        <v>3.2912490282416162</v>
      </c>
      <c r="Q127" s="6">
        <f t="shared" si="31"/>
        <v>2.1741740252227504</v>
      </c>
      <c r="R127" s="3">
        <f t="shared" si="35"/>
        <v>2.82</v>
      </c>
      <c r="S127" s="3"/>
      <c r="T127" s="3">
        <f t="shared" si="32"/>
        <v>1.019546875532549</v>
      </c>
      <c r="U127" s="3">
        <f t="shared" si="33"/>
        <v>0.97779984451865865</v>
      </c>
      <c r="V127" s="3">
        <f t="shared" si="34"/>
        <v>0.79906784403564002</v>
      </c>
      <c r="W127" s="3">
        <f t="shared" si="37"/>
        <v>6.8681031836449851</v>
      </c>
      <c r="X127" s="3">
        <f t="shared" si="28"/>
        <v>7.39171484761098</v>
      </c>
      <c r="Y127" s="3">
        <f t="shared" si="28"/>
        <v>7.0890488727602747</v>
      </c>
      <c r="Z127" s="3">
        <f t="shared" si="28"/>
        <v>5.7932418692583898</v>
      </c>
      <c r="AA127" s="6">
        <v>0.60000000000000009</v>
      </c>
      <c r="AB127" s="6">
        <v>1</v>
      </c>
      <c r="AC127" s="48">
        <v>6</v>
      </c>
      <c r="AD127" s="48">
        <v>53</v>
      </c>
      <c r="AE127" s="45">
        <v>2809</v>
      </c>
    </row>
    <row r="128" spans="1:31">
      <c r="A128">
        <v>2016</v>
      </c>
      <c r="B128" s="48">
        <f>[2]POP!P57</f>
        <v>8047</v>
      </c>
      <c r="C128" s="6">
        <f>[2]Israel!M58</f>
        <v>4</v>
      </c>
      <c r="D128" s="6">
        <f t="shared" si="36"/>
        <v>5.2</v>
      </c>
      <c r="E128" s="3"/>
      <c r="F128" s="12">
        <v>120</v>
      </c>
      <c r="G128" s="9">
        <v>107.40842816854158</v>
      </c>
      <c r="H128" s="12">
        <v>50</v>
      </c>
      <c r="I128" s="6">
        <f>'[2]Real Exchage Rate'!O109</f>
        <v>3.1996497421001773</v>
      </c>
      <c r="J128" s="3"/>
      <c r="K128" s="3">
        <f t="shared" si="27"/>
        <v>383.95796905202127</v>
      </c>
      <c r="L128" s="3">
        <f t="shared" si="27"/>
        <v>343.6693494888595</v>
      </c>
      <c r="M128" s="3">
        <f t="shared" si="27"/>
        <v>159.98248710500886</v>
      </c>
      <c r="N128" s="6"/>
      <c r="O128" s="6">
        <f t="shared" si="29"/>
        <v>3.52937344593622</v>
      </c>
      <c r="P128" s="6">
        <f t="shared" si="30"/>
        <v>3.2838922735686098</v>
      </c>
      <c r="Q128" s="6">
        <f t="shared" si="31"/>
        <v>2.1646763059968288</v>
      </c>
      <c r="R128" s="3">
        <f t="shared" si="35"/>
        <v>2.82</v>
      </c>
      <c r="S128" s="3"/>
      <c r="T128" s="3">
        <f t="shared" si="32"/>
        <v>1.0158997513497952</v>
      </c>
      <c r="U128" s="3">
        <f t="shared" si="33"/>
        <v>0.97662276377097756</v>
      </c>
      <c r="V128" s="3">
        <f t="shared" si="34"/>
        <v>0.79754820895949252</v>
      </c>
      <c r="W128" s="3">
        <f t="shared" si="37"/>
        <v>6.8681031836449851</v>
      </c>
      <c r="X128" s="3">
        <f t="shared" si="28"/>
        <v>7.3652731972860144</v>
      </c>
      <c r="Y128" s="3">
        <f t="shared" si="28"/>
        <v>7.0805150373395875</v>
      </c>
      <c r="Z128" s="3">
        <f t="shared" si="28"/>
        <v>5.7822245149563205</v>
      </c>
      <c r="AA128" s="6">
        <v>0.50000000000000011</v>
      </c>
      <c r="AB128" s="6">
        <v>1</v>
      </c>
      <c r="AC128" s="48">
        <v>6</v>
      </c>
      <c r="AD128" s="48">
        <v>54</v>
      </c>
      <c r="AE128" s="45">
        <v>2916</v>
      </c>
    </row>
    <row r="129" spans="1:31">
      <c r="A129">
        <v>2017</v>
      </c>
      <c r="B129" s="48">
        <f>[2]POP!P58</f>
        <v>8157</v>
      </c>
      <c r="C129" s="6">
        <f>[2]Israel!M59</f>
        <v>4</v>
      </c>
      <c r="D129" s="6">
        <f t="shared" si="36"/>
        <v>5.2</v>
      </c>
      <c r="E129" s="3"/>
      <c r="F129" s="12">
        <v>120</v>
      </c>
      <c r="G129" s="9">
        <v>108.07114247546045</v>
      </c>
      <c r="H129" s="12">
        <v>50</v>
      </c>
      <c r="I129" s="6">
        <f>'[2]Real Exchage Rate'!O110</f>
        <v>3.1666975873010745</v>
      </c>
      <c r="J129" s="3"/>
      <c r="K129" s="3">
        <f t="shared" si="27"/>
        <v>380.00371047612896</v>
      </c>
      <c r="L129" s="3">
        <f t="shared" si="27"/>
        <v>342.22862613391129</v>
      </c>
      <c r="M129" s="3">
        <f t="shared" si="27"/>
        <v>158.33487936505372</v>
      </c>
      <c r="N129" s="6"/>
      <c r="O129" s="6">
        <f t="shared" si="29"/>
        <v>3.5052798919356185</v>
      </c>
      <c r="P129" s="6">
        <f t="shared" si="30"/>
        <v>3.2751138527126753</v>
      </c>
      <c r="Q129" s="6">
        <f t="shared" si="31"/>
        <v>2.1546373251632449</v>
      </c>
      <c r="R129" s="3">
        <f t="shared" si="35"/>
        <v>2.82</v>
      </c>
      <c r="S129" s="3"/>
      <c r="T129" s="3">
        <f t="shared" si="32"/>
        <v>1.012044782709699</v>
      </c>
      <c r="U129" s="3">
        <f t="shared" si="33"/>
        <v>0.97521821643402806</v>
      </c>
      <c r="V129" s="3">
        <f t="shared" si="34"/>
        <v>0.79594197202611927</v>
      </c>
      <c r="W129" s="3">
        <f t="shared" si="37"/>
        <v>6.8681031836449851</v>
      </c>
      <c r="X129" s="3">
        <f t="shared" si="28"/>
        <v>7.337324674645318</v>
      </c>
      <c r="Y129" s="3">
        <f t="shared" si="28"/>
        <v>7.0703320691467031</v>
      </c>
      <c r="Z129" s="3">
        <f t="shared" si="28"/>
        <v>5.7705792971893644</v>
      </c>
      <c r="AA129" s="6">
        <v>0.40000000000000013</v>
      </c>
      <c r="AB129" s="6">
        <v>1</v>
      </c>
      <c r="AC129" s="48">
        <v>6</v>
      </c>
      <c r="AD129" s="48">
        <v>55</v>
      </c>
      <c r="AE129" s="45">
        <v>3025</v>
      </c>
    </row>
    <row r="130" spans="1:31">
      <c r="A130">
        <v>2018</v>
      </c>
      <c r="B130" s="48">
        <f>[2]POP!P59</f>
        <v>8266</v>
      </c>
      <c r="C130" s="6">
        <f>[2]Israel!M60</f>
        <v>4</v>
      </c>
      <c r="D130" s="6">
        <f t="shared" si="36"/>
        <v>5.2</v>
      </c>
      <c r="E130" s="3"/>
      <c r="F130" s="12">
        <v>120</v>
      </c>
      <c r="G130" s="9">
        <v>108.73385678237932</v>
      </c>
      <c r="H130" s="12">
        <v>70</v>
      </c>
      <c r="I130" s="6">
        <f>'[2]Real Exchage Rate'!O111</f>
        <v>3.1335906745783157</v>
      </c>
      <c r="J130" s="3"/>
      <c r="K130" s="3">
        <f t="shared" si="27"/>
        <v>376.0308809493979</v>
      </c>
      <c r="L130" s="3">
        <f t="shared" si="27"/>
        <v>340.72739962419797</v>
      </c>
      <c r="M130" s="3">
        <f t="shared" si="27"/>
        <v>219.3513472204821</v>
      </c>
      <c r="N130" s="6"/>
      <c r="O130" s="6">
        <f t="shared" si="29"/>
        <v>3.48107318392693</v>
      </c>
      <c r="P130" s="6">
        <f t="shared" si="30"/>
        <v>3.2659667822101475</v>
      </c>
      <c r="Q130" s="6">
        <f t="shared" si="31"/>
        <v>2.5264146217121883</v>
      </c>
      <c r="R130" s="3">
        <f t="shared" si="35"/>
        <v>2.82</v>
      </c>
      <c r="S130" s="3"/>
      <c r="T130" s="3">
        <f t="shared" si="32"/>
        <v>1.0081717094283087</v>
      </c>
      <c r="U130" s="3">
        <f t="shared" si="33"/>
        <v>0.97375468515362362</v>
      </c>
      <c r="V130" s="3">
        <f t="shared" si="34"/>
        <v>0.85542633947395019</v>
      </c>
      <c r="W130" s="3">
        <f t="shared" si="37"/>
        <v>6.8681031836449851</v>
      </c>
      <c r="X130" s="3">
        <f t="shared" si="28"/>
        <v>7.3092448933552383</v>
      </c>
      <c r="Y130" s="3">
        <f t="shared" si="28"/>
        <v>7.0597214673637705</v>
      </c>
      <c r="Z130" s="3">
        <f t="shared" si="28"/>
        <v>6.2018409611861385</v>
      </c>
      <c r="AA130" s="6">
        <v>0.30000000000000016</v>
      </c>
      <c r="AB130" s="6">
        <v>1</v>
      </c>
      <c r="AC130" s="48">
        <v>6</v>
      </c>
      <c r="AD130" s="48">
        <v>56</v>
      </c>
      <c r="AE130" s="45">
        <v>3136</v>
      </c>
    </row>
    <row r="131" spans="1:31">
      <c r="A131">
        <v>2019</v>
      </c>
      <c r="B131" s="48">
        <f>[2]POP!P60</f>
        <v>8373</v>
      </c>
      <c r="C131" s="6">
        <f>[2]Israel!M61</f>
        <v>4</v>
      </c>
      <c r="D131" s="6">
        <f t="shared" si="36"/>
        <v>5.2</v>
      </c>
      <c r="E131" s="3"/>
      <c r="F131" s="12">
        <v>120</v>
      </c>
      <c r="G131" s="9">
        <v>109.39657108929819</v>
      </c>
      <c r="H131" s="12">
        <v>70</v>
      </c>
      <c r="I131" s="6">
        <f>'[2]Real Exchage Rate'!O112</f>
        <v>3.1001007790134292</v>
      </c>
      <c r="J131" s="3"/>
      <c r="K131" s="3">
        <f t="shared" si="27"/>
        <v>372.01209348161149</v>
      </c>
      <c r="L131" s="3">
        <f t="shared" si="27"/>
        <v>339.14039525533133</v>
      </c>
      <c r="M131" s="3">
        <f t="shared" si="27"/>
        <v>217.00705453094005</v>
      </c>
      <c r="N131" s="6"/>
      <c r="O131" s="6">
        <f t="shared" si="29"/>
        <v>3.4565864512022748</v>
      </c>
      <c r="P131" s="6">
        <f t="shared" si="30"/>
        <v>3.2562970616477154</v>
      </c>
      <c r="Q131" s="6">
        <f t="shared" si="31"/>
        <v>2.5121306942894726</v>
      </c>
      <c r="R131" s="3">
        <f t="shared" si="35"/>
        <v>2.82</v>
      </c>
      <c r="S131" s="3"/>
      <c r="T131" s="3">
        <f t="shared" si="32"/>
        <v>1.004253832192364</v>
      </c>
      <c r="U131" s="3">
        <f t="shared" si="33"/>
        <v>0.97220752986363435</v>
      </c>
      <c r="V131" s="3">
        <f t="shared" si="34"/>
        <v>0.85314091108631562</v>
      </c>
      <c r="W131" s="3">
        <f t="shared" si="37"/>
        <v>6.8681031836449851</v>
      </c>
      <c r="X131" s="3">
        <f t="shared" si="28"/>
        <v>7.2808402833946388</v>
      </c>
      <c r="Y131" s="3">
        <f t="shared" si="28"/>
        <v>7.0485045915113496</v>
      </c>
      <c r="Z131" s="3">
        <f t="shared" si="28"/>
        <v>6.1852716053757879</v>
      </c>
      <c r="AA131" s="6">
        <v>0.20000000000000015</v>
      </c>
      <c r="AB131" s="6">
        <v>1</v>
      </c>
      <c r="AC131" s="48">
        <v>6</v>
      </c>
      <c r="AD131" s="48">
        <v>57</v>
      </c>
      <c r="AE131" s="45">
        <v>3249</v>
      </c>
    </row>
    <row r="132" spans="1:31">
      <c r="A132">
        <v>2020</v>
      </c>
      <c r="B132" s="48">
        <f>[2]POP!P61</f>
        <v>8479</v>
      </c>
      <c r="C132" s="6">
        <f>[2]Israel!M62</f>
        <v>4</v>
      </c>
      <c r="D132" s="6">
        <f t="shared" si="36"/>
        <v>5.2</v>
      </c>
      <c r="E132" s="3"/>
      <c r="F132" s="12">
        <v>150</v>
      </c>
      <c r="G132" s="9">
        <v>110.05928539621706</v>
      </c>
      <c r="H132" s="12">
        <v>70</v>
      </c>
      <c r="I132" s="6">
        <f>'[2]Real Exchage Rate'!O113</f>
        <v>3.0663522418740854</v>
      </c>
      <c r="J132" s="3"/>
      <c r="K132" s="3">
        <f t="shared" si="27"/>
        <v>459.95283628111281</v>
      </c>
      <c r="L132" s="3">
        <f t="shared" si="27"/>
        <v>337.48053651375</v>
      </c>
      <c r="M132" s="3">
        <f t="shared" si="27"/>
        <v>214.64465693118598</v>
      </c>
      <c r="N132" s="6"/>
      <c r="O132" s="6">
        <f t="shared" si="29"/>
        <v>3.9924151014605975</v>
      </c>
      <c r="P132" s="6">
        <f t="shared" si="30"/>
        <v>3.2461834346665475</v>
      </c>
      <c r="Q132" s="6">
        <f t="shared" si="31"/>
        <v>2.4977364524744385</v>
      </c>
      <c r="R132" s="3">
        <f t="shared" si="35"/>
        <v>2.82</v>
      </c>
      <c r="S132" s="3"/>
      <c r="T132" s="3">
        <f t="shared" si="32"/>
        <v>1.0899864162336956</v>
      </c>
      <c r="U132" s="3">
        <f t="shared" si="33"/>
        <v>0.97058934954664755</v>
      </c>
      <c r="V132" s="3">
        <f t="shared" si="34"/>
        <v>0.85083783239591015</v>
      </c>
      <c r="W132" s="3">
        <f t="shared" si="37"/>
        <v>6.8681031836449851</v>
      </c>
      <c r="X132" s="3">
        <f t="shared" si="28"/>
        <v>7.9024015176942939</v>
      </c>
      <c r="Y132" s="3">
        <f t="shared" si="28"/>
        <v>7.0367727842131949</v>
      </c>
      <c r="Z132" s="3">
        <f t="shared" si="28"/>
        <v>6.1685742848703482</v>
      </c>
      <c r="AA132" s="6">
        <v>0.10000000000000014</v>
      </c>
      <c r="AB132" s="6">
        <v>1</v>
      </c>
      <c r="AC132" s="48">
        <v>6</v>
      </c>
      <c r="AD132" s="48">
        <v>58</v>
      </c>
      <c r="AE132" s="45">
        <v>3364</v>
      </c>
    </row>
    <row r="133" spans="1:31">
      <c r="A133">
        <v>2021</v>
      </c>
      <c r="B133" s="48">
        <f>[2]POP!P62</f>
        <v>8583</v>
      </c>
      <c r="C133" s="6">
        <f>[2]Israel!M63</f>
        <v>4</v>
      </c>
      <c r="D133" s="6">
        <f t="shared" si="36"/>
        <v>5.2</v>
      </c>
      <c r="E133" s="3"/>
      <c r="F133" s="12">
        <v>180</v>
      </c>
      <c r="G133" s="9">
        <v>110.72199970313594</v>
      </c>
      <c r="H133" s="12">
        <v>70</v>
      </c>
      <c r="I133" s="6">
        <f>'[2]Real Exchage Rate'!O114</f>
        <v>3.0322792875286844</v>
      </c>
      <c r="J133" s="3"/>
      <c r="K133" s="3">
        <f t="shared" si="27"/>
        <v>545.81027175516317</v>
      </c>
      <c r="L133" s="3">
        <f t="shared" si="27"/>
        <v>335.74002637357626</v>
      </c>
      <c r="M133" s="3">
        <f t="shared" si="27"/>
        <v>212.25955012700791</v>
      </c>
      <c r="N133" s="6"/>
      <c r="O133" s="6">
        <f t="shared" si="29"/>
        <v>4.5155500250487384</v>
      </c>
      <c r="P133" s="6">
        <f t="shared" si="30"/>
        <v>3.2355783934822067</v>
      </c>
      <c r="Q133" s="6">
        <f t="shared" si="31"/>
        <v>2.4832038420037899</v>
      </c>
      <c r="R133" s="3">
        <f t="shared" si="35"/>
        <v>2.82</v>
      </c>
      <c r="S133" s="3"/>
      <c r="T133" s="3">
        <f t="shared" si="32"/>
        <v>1.1736880040077982</v>
      </c>
      <c r="U133" s="3">
        <f t="shared" si="33"/>
        <v>0.9688925429571531</v>
      </c>
      <c r="V133" s="3">
        <f t="shared" si="34"/>
        <v>0.84851261472060635</v>
      </c>
      <c r="W133" s="3">
        <f t="shared" si="37"/>
        <v>6.8681031836449851</v>
      </c>
      <c r="X133" s="3">
        <f t="shared" si="28"/>
        <v>8.5092380290565366</v>
      </c>
      <c r="Y133" s="3">
        <f t="shared" si="28"/>
        <v>7.0244709364393598</v>
      </c>
      <c r="Z133" s="3">
        <f t="shared" si="28"/>
        <v>6.1517164567243956</v>
      </c>
      <c r="AA133" s="6">
        <v>0</v>
      </c>
      <c r="AB133" s="6">
        <v>1</v>
      </c>
      <c r="AC133" s="48">
        <v>6</v>
      </c>
      <c r="AD133" s="48">
        <v>59</v>
      </c>
      <c r="AE133" s="45">
        <v>3481</v>
      </c>
    </row>
    <row r="134" spans="1:31">
      <c r="A134">
        <v>2022</v>
      </c>
      <c r="B134" s="48">
        <f>[2]POP!P63</f>
        <v>8685</v>
      </c>
      <c r="C134" s="6">
        <f>[2]Israel!M64</f>
        <v>4</v>
      </c>
      <c r="D134" s="6">
        <f t="shared" si="36"/>
        <v>5.2</v>
      </c>
      <c r="E134" s="3"/>
      <c r="F134" s="12">
        <v>180</v>
      </c>
      <c r="G134" s="9">
        <v>111.38471401005481</v>
      </c>
      <c r="H134" s="12">
        <v>70</v>
      </c>
      <c r="I134" s="6">
        <f>'[2]Real Exchage Rate'!O115</f>
        <v>2.9980046422877789</v>
      </c>
      <c r="J134" s="3"/>
      <c r="K134" s="3">
        <f t="shared" si="27"/>
        <v>539.64083561180018</v>
      </c>
      <c r="L134" s="3">
        <f t="shared" si="27"/>
        <v>333.93188968204089</v>
      </c>
      <c r="M134" s="3">
        <f t="shared" si="27"/>
        <v>209.86032496014451</v>
      </c>
      <c r="N134" s="6"/>
      <c r="O134" s="6">
        <f t="shared" si="29"/>
        <v>4.4779592504394081</v>
      </c>
      <c r="P134" s="6">
        <f t="shared" si="30"/>
        <v>3.2245612993337431</v>
      </c>
      <c r="Q134" s="6">
        <f t="shared" si="31"/>
        <v>2.4685852074334944</v>
      </c>
      <c r="R134" s="3">
        <f t="shared" si="35"/>
        <v>2.82</v>
      </c>
      <c r="S134" s="3"/>
      <c r="T134" s="3">
        <f t="shared" si="32"/>
        <v>1.1676734800703055</v>
      </c>
      <c r="U134" s="3">
        <f t="shared" si="33"/>
        <v>0.96712980789339897</v>
      </c>
      <c r="V134" s="3">
        <f t="shared" si="34"/>
        <v>0.84617363318935901</v>
      </c>
      <c r="W134" s="3">
        <f t="shared" si="37"/>
        <v>6.8681031836449851</v>
      </c>
      <c r="X134" s="3">
        <f t="shared" si="28"/>
        <v>8.4656327305097143</v>
      </c>
      <c r="Y134" s="3">
        <f t="shared" si="28"/>
        <v>7.0116911072271426</v>
      </c>
      <c r="Z134" s="3">
        <f t="shared" si="28"/>
        <v>6.1347588406228528</v>
      </c>
      <c r="AA134" s="6">
        <v>0</v>
      </c>
      <c r="AB134" s="6">
        <v>1</v>
      </c>
      <c r="AC134" s="48">
        <v>6</v>
      </c>
      <c r="AD134" s="48">
        <v>60</v>
      </c>
      <c r="AE134" s="45">
        <v>3600</v>
      </c>
    </row>
    <row r="135" spans="1:31">
      <c r="A135">
        <v>2023</v>
      </c>
      <c r="B135" s="48">
        <f>[2]POP!P64</f>
        <v>8786</v>
      </c>
      <c r="C135" s="6">
        <f>[2]Israel!M65</f>
        <v>4</v>
      </c>
      <c r="D135" s="6">
        <f t="shared" si="36"/>
        <v>5.2</v>
      </c>
      <c r="E135" s="3"/>
      <c r="F135" s="12">
        <v>180</v>
      </c>
      <c r="G135" s="9">
        <v>112.04742831697368</v>
      </c>
      <c r="H135" s="12">
        <v>70</v>
      </c>
      <c r="I135" s="6">
        <f>'[2]Real Exchage Rate'!O116</f>
        <v>2.9632989308547129</v>
      </c>
      <c r="J135" s="3"/>
      <c r="K135" s="3">
        <f t="shared" si="27"/>
        <v>533.39380755384832</v>
      </c>
      <c r="L135" s="3">
        <f t="shared" si="27"/>
        <v>332.0300245367082</v>
      </c>
      <c r="M135" s="3">
        <f t="shared" si="27"/>
        <v>207.43092515982991</v>
      </c>
      <c r="N135" s="6"/>
      <c r="O135" s="6">
        <f t="shared" si="29"/>
        <v>4.4398957032613966</v>
      </c>
      <c r="P135" s="6">
        <f t="shared" si="30"/>
        <v>3.2129731116364844</v>
      </c>
      <c r="Q135" s="6">
        <f t="shared" si="31"/>
        <v>2.4537827168642679</v>
      </c>
      <c r="R135" s="3">
        <f t="shared" si="35"/>
        <v>2.82</v>
      </c>
      <c r="S135" s="3"/>
      <c r="T135" s="3">
        <f t="shared" si="32"/>
        <v>1.1615833125218233</v>
      </c>
      <c r="U135" s="3">
        <f t="shared" si="33"/>
        <v>0.96527569786183753</v>
      </c>
      <c r="V135" s="3">
        <f t="shared" si="34"/>
        <v>0.84380523469828295</v>
      </c>
      <c r="W135" s="3">
        <f t="shared" si="37"/>
        <v>6.8681031836449851</v>
      </c>
      <c r="X135" s="3">
        <f t="shared" si="28"/>
        <v>8.4214790157832198</v>
      </c>
      <c r="Y135" s="3">
        <f t="shared" si="28"/>
        <v>6.998248809498322</v>
      </c>
      <c r="Z135" s="3">
        <f t="shared" si="28"/>
        <v>6.1175879515625509</v>
      </c>
      <c r="AA135" s="6">
        <v>0</v>
      </c>
      <c r="AB135" s="6">
        <v>1</v>
      </c>
      <c r="AC135" s="48">
        <v>6</v>
      </c>
      <c r="AD135" s="48">
        <v>61</v>
      </c>
      <c r="AE135" s="45">
        <v>3721</v>
      </c>
    </row>
    <row r="136" spans="1:31">
      <c r="A136">
        <v>2024</v>
      </c>
      <c r="B136" s="48">
        <f>[2]POP!P65</f>
        <v>8886</v>
      </c>
      <c r="C136" s="6">
        <f>[2]Israel!M66</f>
        <v>4</v>
      </c>
      <c r="D136" s="6">
        <f t="shared" si="36"/>
        <v>5.2</v>
      </c>
      <c r="E136" s="3"/>
      <c r="F136" s="12">
        <v>180</v>
      </c>
      <c r="G136" s="9">
        <v>112.71014262389255</v>
      </c>
      <c r="H136" s="12">
        <v>70</v>
      </c>
      <c r="I136" s="6">
        <f>'[2]Real Exchage Rate'!O117</f>
        <v>2.9291836670181808</v>
      </c>
      <c r="J136" s="3"/>
      <c r="K136" s="3">
        <f t="shared" si="27"/>
        <v>527.25306006327253</v>
      </c>
      <c r="L136" s="3">
        <f t="shared" si="27"/>
        <v>330.14870888119572</v>
      </c>
      <c r="M136" s="3">
        <f t="shared" si="27"/>
        <v>205.04285669127265</v>
      </c>
      <c r="N136" s="6"/>
      <c r="O136" s="6">
        <f t="shared" si="29"/>
        <v>4.4024797304744228</v>
      </c>
      <c r="P136" s="6">
        <f t="shared" si="30"/>
        <v>3.2015101333136675</v>
      </c>
      <c r="Q136" s="6">
        <f t="shared" si="31"/>
        <v>2.4392320607804447</v>
      </c>
      <c r="R136" s="3">
        <f t="shared" si="35"/>
        <v>2.82</v>
      </c>
      <c r="S136" s="3"/>
      <c r="T136" s="3">
        <f t="shared" si="32"/>
        <v>1.1555967568759076</v>
      </c>
      <c r="U136" s="3">
        <f t="shared" si="33"/>
        <v>0.96344162133018674</v>
      </c>
      <c r="V136" s="3">
        <f t="shared" si="34"/>
        <v>0.8414771297248711</v>
      </c>
      <c r="W136" s="3">
        <f t="shared" si="37"/>
        <v>6.8681031836449851</v>
      </c>
      <c r="X136" s="3">
        <f t="shared" si="28"/>
        <v>8.3780764873503291</v>
      </c>
      <c r="Y136" s="3">
        <f t="shared" si="28"/>
        <v>6.9849517546438538</v>
      </c>
      <c r="Z136" s="3">
        <f t="shared" si="28"/>
        <v>6.1007091905053157</v>
      </c>
      <c r="AA136" s="6">
        <v>0</v>
      </c>
      <c r="AB136" s="6">
        <v>1</v>
      </c>
      <c r="AC136" s="48">
        <v>6</v>
      </c>
      <c r="AD136" s="48">
        <v>62</v>
      </c>
      <c r="AE136" s="45">
        <v>3844</v>
      </c>
    </row>
    <row r="137" spans="1:31">
      <c r="A137">
        <v>2025</v>
      </c>
      <c r="B137" s="48">
        <f>[2]POP!P66</f>
        <v>8984</v>
      </c>
      <c r="C137" s="6">
        <f>[2]Israel!M67</f>
        <v>4</v>
      </c>
      <c r="D137" s="6">
        <f t="shared" si="36"/>
        <v>5.2</v>
      </c>
      <c r="E137" s="3"/>
      <c r="F137" s="12">
        <v>180</v>
      </c>
      <c r="G137" s="9">
        <v>113.37285693081142</v>
      </c>
      <c r="H137" s="12">
        <v>70</v>
      </c>
      <c r="I137" s="6">
        <f>'[2]Real Exchage Rate'!O118</f>
        <v>2.8947815881371808</v>
      </c>
      <c r="J137" s="3"/>
      <c r="K137" s="3">
        <f t="shared" si="27"/>
        <v>521.06068586469257</v>
      </c>
      <c r="L137" s="3">
        <f t="shared" si="27"/>
        <v>328.18965883782369</v>
      </c>
      <c r="M137" s="3">
        <f t="shared" si="27"/>
        <v>202.63471116960267</v>
      </c>
      <c r="N137" s="6"/>
      <c r="O137" s="6">
        <f t="shared" si="29"/>
        <v>4.3647491928067517</v>
      </c>
      <c r="P137" s="6">
        <f t="shared" si="30"/>
        <v>3.1895735143232886</v>
      </c>
      <c r="Q137" s="6">
        <f t="shared" si="31"/>
        <v>2.4245590739096836</v>
      </c>
      <c r="R137" s="3">
        <f t="shared" si="35"/>
        <v>2.82</v>
      </c>
      <c r="S137" s="3"/>
      <c r="T137" s="3">
        <f t="shared" si="32"/>
        <v>1.1495598708490804</v>
      </c>
      <c r="U137" s="3">
        <f t="shared" si="33"/>
        <v>0.96153176229172621</v>
      </c>
      <c r="V137" s="3">
        <f t="shared" si="34"/>
        <v>0.83912945182554932</v>
      </c>
      <c r="W137" s="3">
        <f t="shared" si="37"/>
        <v>6.8681031836449851</v>
      </c>
      <c r="X137" s="3">
        <f t="shared" si="28"/>
        <v>8.3343090636558319</v>
      </c>
      <c r="Y137" s="3">
        <f t="shared" si="28"/>
        <v>6.971105276615015</v>
      </c>
      <c r="Z137" s="3">
        <f t="shared" si="28"/>
        <v>6.0836885257352327</v>
      </c>
      <c r="AA137" s="6">
        <v>0</v>
      </c>
      <c r="AB137" s="6">
        <v>1</v>
      </c>
      <c r="AC137" s="48">
        <v>6</v>
      </c>
      <c r="AD137" s="48">
        <v>63</v>
      </c>
      <c r="AE137" s="45">
        <v>3969</v>
      </c>
    </row>
    <row r="138" spans="1:31">
      <c r="A138">
        <v>2026</v>
      </c>
      <c r="B138" s="48">
        <f>[2]POP!P67</f>
        <v>9081</v>
      </c>
      <c r="C138" s="6">
        <f>[2]Israel!M68</f>
        <v>4</v>
      </c>
      <c r="D138" s="6">
        <f t="shared" si="36"/>
        <v>5.2</v>
      </c>
      <c r="E138" s="3"/>
      <c r="F138" s="12">
        <v>190</v>
      </c>
      <c r="G138" s="9">
        <v>114.0355712377303</v>
      </c>
      <c r="H138" s="12">
        <v>70</v>
      </c>
      <c r="I138" s="6">
        <f>'[2]Real Exchage Rate'!O119</f>
        <v>2.8603947600440729</v>
      </c>
      <c r="J138" s="3"/>
      <c r="K138" s="3">
        <f t="shared" ref="K138:M142" si="38">F138*$I138</f>
        <v>543.47500440837382</v>
      </c>
      <c r="L138" s="3">
        <f t="shared" si="38"/>
        <v>326.18675042703632</v>
      </c>
      <c r="M138" s="3">
        <f t="shared" si="38"/>
        <v>200.22763320308511</v>
      </c>
      <c r="N138" s="6"/>
      <c r="O138" s="6">
        <f t="shared" si="29"/>
        <v>4.5013210896248541</v>
      </c>
      <c r="P138" s="6">
        <f t="shared" si="30"/>
        <v>3.1773696634553228</v>
      </c>
      <c r="Q138" s="6">
        <f t="shared" si="31"/>
        <v>2.4098925917217144</v>
      </c>
      <c r="R138" s="3">
        <f t="shared" si="35"/>
        <v>2.82</v>
      </c>
      <c r="S138" s="3"/>
      <c r="T138" s="3">
        <f t="shared" si="32"/>
        <v>1.1714113743399768</v>
      </c>
      <c r="U138" s="3">
        <f t="shared" si="33"/>
        <v>0.95957914615285167</v>
      </c>
      <c r="V138" s="3">
        <f t="shared" si="34"/>
        <v>0.83678281467547433</v>
      </c>
      <c r="W138" s="3">
        <f t="shared" si="37"/>
        <v>6.8681031836449851</v>
      </c>
      <c r="X138" s="3">
        <f t="shared" ref="X138:Z142" si="39">O138+$R138+T138</f>
        <v>8.4927324639648312</v>
      </c>
      <c r="Y138" s="3">
        <f t="shared" si="39"/>
        <v>6.956948809608174</v>
      </c>
      <c r="Z138" s="3">
        <f t="shared" si="39"/>
        <v>6.0666754063971888</v>
      </c>
      <c r="AA138" s="6">
        <v>0</v>
      </c>
      <c r="AB138" s="6">
        <v>1</v>
      </c>
      <c r="AC138" s="48">
        <v>6</v>
      </c>
      <c r="AD138" s="48">
        <v>64</v>
      </c>
      <c r="AE138" s="45">
        <v>4096</v>
      </c>
    </row>
    <row r="139" spans="1:31">
      <c r="A139">
        <v>2027</v>
      </c>
      <c r="B139" s="48">
        <f>[2]POP!P68</f>
        <v>9177</v>
      </c>
      <c r="C139" s="6">
        <f>[2]Israel!M69</f>
        <v>4</v>
      </c>
      <c r="D139" s="6">
        <f t="shared" si="36"/>
        <v>5.2</v>
      </c>
      <c r="E139" s="3"/>
      <c r="F139" s="12">
        <v>200</v>
      </c>
      <c r="G139" s="9">
        <v>114.69828554464917</v>
      </c>
      <c r="H139" s="12">
        <v>70</v>
      </c>
      <c r="I139" s="6">
        <f>'[2]Real Exchage Rate'!O120</f>
        <v>2.8272194692929493</v>
      </c>
      <c r="J139" s="3"/>
      <c r="K139" s="3">
        <f t="shared" si="38"/>
        <v>565.44389385858983</v>
      </c>
      <c r="L139" s="3">
        <f t="shared" si="38"/>
        <v>324.27722598635415</v>
      </c>
      <c r="M139" s="3">
        <f t="shared" si="38"/>
        <v>197.90536285050646</v>
      </c>
      <c r="N139" s="6"/>
      <c r="O139" s="6">
        <f t="shared" si="29"/>
        <v>4.6351789580831859</v>
      </c>
      <c r="P139" s="6">
        <f t="shared" si="30"/>
        <v>3.1657348071746707</v>
      </c>
      <c r="Q139" s="6">
        <f t="shared" si="31"/>
        <v>2.3957428478266225</v>
      </c>
      <c r="R139" s="3">
        <f t="shared" si="35"/>
        <v>2.82</v>
      </c>
      <c r="S139" s="3"/>
      <c r="T139" s="3">
        <f t="shared" si="32"/>
        <v>1.1928286332933098</v>
      </c>
      <c r="U139" s="3">
        <f t="shared" si="33"/>
        <v>0.95771756914794737</v>
      </c>
      <c r="V139" s="3">
        <f t="shared" si="34"/>
        <v>0.83451885565225947</v>
      </c>
      <c r="W139" s="3">
        <f t="shared" si="37"/>
        <v>6.8681031836449851</v>
      </c>
      <c r="X139" s="3">
        <f t="shared" si="39"/>
        <v>8.648007591376496</v>
      </c>
      <c r="Y139" s="3">
        <f t="shared" si="39"/>
        <v>6.9434523763226181</v>
      </c>
      <c r="Z139" s="3">
        <f t="shared" si="39"/>
        <v>6.0502617034788813</v>
      </c>
      <c r="AA139" s="6">
        <v>0</v>
      </c>
      <c r="AB139" s="6">
        <v>1</v>
      </c>
      <c r="AC139" s="48">
        <v>6</v>
      </c>
      <c r="AD139" s="48">
        <v>65</v>
      </c>
      <c r="AE139" s="45">
        <v>4225</v>
      </c>
    </row>
    <row r="140" spans="1:31">
      <c r="A140">
        <v>2028</v>
      </c>
      <c r="B140" s="48">
        <f>[2]POP!P69</f>
        <v>9272</v>
      </c>
      <c r="C140" s="6">
        <f>[2]Israel!M70</f>
        <v>4</v>
      </c>
      <c r="D140" s="6">
        <f t="shared" si="36"/>
        <v>5.2</v>
      </c>
      <c r="E140" s="3"/>
      <c r="F140" s="12">
        <v>210</v>
      </c>
      <c r="G140" s="9">
        <v>115.36099985156804</v>
      </c>
      <c r="H140" s="12">
        <v>70</v>
      </c>
      <c r="I140" s="6">
        <f>'[2]Real Exchage Rate'!O121</f>
        <v>2.795533692523569</v>
      </c>
      <c r="J140" s="3"/>
      <c r="K140" s="3">
        <f t="shared" si="38"/>
        <v>587.06207542994946</v>
      </c>
      <c r="L140" s="3">
        <f t="shared" si="38"/>
        <v>322.49556188826489</v>
      </c>
      <c r="M140" s="3">
        <f t="shared" si="38"/>
        <v>195.68735847664982</v>
      </c>
      <c r="N140" s="6"/>
      <c r="O140" s="6">
        <f t="shared" si="29"/>
        <v>4.7668999406865602</v>
      </c>
      <c r="P140" s="6">
        <f t="shared" si="30"/>
        <v>3.1548790122552504</v>
      </c>
      <c r="Q140" s="6">
        <f t="shared" si="31"/>
        <v>2.3822284033032197</v>
      </c>
      <c r="R140" s="3">
        <f t="shared" si="35"/>
        <v>2.82</v>
      </c>
      <c r="S140" s="3"/>
      <c r="T140" s="3">
        <f t="shared" si="32"/>
        <v>1.2139039905098497</v>
      </c>
      <c r="U140" s="3">
        <f t="shared" si="33"/>
        <v>0.95598064196084009</v>
      </c>
      <c r="V140" s="3">
        <f t="shared" si="34"/>
        <v>0.83235654452851526</v>
      </c>
      <c r="W140" s="3">
        <f t="shared" si="37"/>
        <v>6.8681031836449851</v>
      </c>
      <c r="X140" s="3">
        <f t="shared" si="39"/>
        <v>8.8008039311964108</v>
      </c>
      <c r="Y140" s="3">
        <f t="shared" si="39"/>
        <v>6.930859654216091</v>
      </c>
      <c r="Z140" s="3">
        <f t="shared" si="39"/>
        <v>6.0345849478317355</v>
      </c>
      <c r="AA140" s="6">
        <v>0</v>
      </c>
      <c r="AB140" s="6">
        <v>1</v>
      </c>
      <c r="AC140" s="48">
        <v>6</v>
      </c>
      <c r="AD140" s="48">
        <v>65</v>
      </c>
      <c r="AE140" s="45">
        <v>4225</v>
      </c>
    </row>
    <row r="141" spans="1:31">
      <c r="A141">
        <v>2029</v>
      </c>
      <c r="B141" s="48">
        <f>[2]POP!P70</f>
        <v>9366</v>
      </c>
      <c r="C141" s="6">
        <f>[2]Israel!M71</f>
        <v>4</v>
      </c>
      <c r="D141" s="6">
        <f t="shared" si="36"/>
        <v>5.2</v>
      </c>
      <c r="E141" s="3"/>
      <c r="F141" s="12">
        <v>220</v>
      </c>
      <c r="G141" s="9">
        <v>116.02371415848691</v>
      </c>
      <c r="H141" s="12">
        <v>90</v>
      </c>
      <c r="I141" s="6">
        <f>'[2]Real Exchage Rate'!O122</f>
        <v>2.7655078456041235</v>
      </c>
      <c r="J141" s="3"/>
      <c r="K141" s="3">
        <f t="shared" si="38"/>
        <v>608.41172603290715</v>
      </c>
      <c r="L141" s="3">
        <f t="shared" si="38"/>
        <v>320.86449178142578</v>
      </c>
      <c r="M141" s="3">
        <f t="shared" si="38"/>
        <v>248.89570610437113</v>
      </c>
      <c r="N141" s="6"/>
      <c r="O141" s="6">
        <f t="shared" si="29"/>
        <v>4.8969847466808822</v>
      </c>
      <c r="P141" s="6">
        <f t="shared" si="30"/>
        <v>3.1449407962929756</v>
      </c>
      <c r="Q141" s="6">
        <f t="shared" si="31"/>
        <v>2.7064303168217307</v>
      </c>
      <c r="R141" s="3">
        <f t="shared" si="35"/>
        <v>2.82</v>
      </c>
      <c r="S141" s="3"/>
      <c r="T141" s="3">
        <f t="shared" si="32"/>
        <v>1.2347175594689412</v>
      </c>
      <c r="U141" s="3">
        <f t="shared" si="33"/>
        <v>0.95439052740687602</v>
      </c>
      <c r="V141" s="3">
        <f t="shared" si="34"/>
        <v>0.88422885069147694</v>
      </c>
      <c r="W141" s="3">
        <f t="shared" si="37"/>
        <v>6.8681031836449851</v>
      </c>
      <c r="X141" s="3">
        <f t="shared" si="39"/>
        <v>8.9517023061498229</v>
      </c>
      <c r="Y141" s="3">
        <f t="shared" si="39"/>
        <v>6.9193313236998506</v>
      </c>
      <c r="Z141" s="3">
        <f t="shared" si="39"/>
        <v>6.4106591675132076</v>
      </c>
      <c r="AA141" s="6">
        <v>0</v>
      </c>
      <c r="AB141" s="6">
        <v>1</v>
      </c>
      <c r="AC141" s="48">
        <v>6</v>
      </c>
      <c r="AD141" s="48">
        <v>65</v>
      </c>
      <c r="AE141" s="45">
        <v>4225</v>
      </c>
    </row>
    <row r="142" spans="1:31">
      <c r="A142">
        <v>2030</v>
      </c>
      <c r="B142" s="48">
        <f>[2]POP!P71</f>
        <v>9459</v>
      </c>
      <c r="C142" s="6">
        <f>[2]Israel!M72</f>
        <v>4</v>
      </c>
      <c r="D142" s="6">
        <f t="shared" si="36"/>
        <v>5.2</v>
      </c>
      <c r="E142" s="3"/>
      <c r="F142" s="12">
        <v>230</v>
      </c>
      <c r="G142" s="9">
        <v>116.68642846540578</v>
      </c>
      <c r="H142" s="12">
        <v>90</v>
      </c>
      <c r="I142" s="6">
        <f>'[2]Real Exchage Rate'!O123</f>
        <v>2.7354004631258215</v>
      </c>
      <c r="J142" s="3"/>
      <c r="K142" s="3">
        <f t="shared" si="38"/>
        <v>629.14210651893893</v>
      </c>
      <c r="L142" s="3">
        <f t="shared" si="38"/>
        <v>319.18411046476905</v>
      </c>
      <c r="M142" s="3">
        <f t="shared" si="38"/>
        <v>246.18604168132393</v>
      </c>
      <c r="N142" s="6"/>
      <c r="O142" s="6">
        <f t="shared" si="29"/>
        <v>5.0232962996830803</v>
      </c>
      <c r="P142" s="6">
        <f t="shared" si="30"/>
        <v>3.1347021239306514</v>
      </c>
      <c r="Q142" s="6">
        <f t="shared" si="31"/>
        <v>2.689920155726496</v>
      </c>
      <c r="R142" s="3">
        <f t="shared" si="35"/>
        <v>2.82</v>
      </c>
      <c r="S142" s="3"/>
      <c r="T142" s="3">
        <f t="shared" si="32"/>
        <v>1.2549274079492929</v>
      </c>
      <c r="U142" s="3">
        <f t="shared" si="33"/>
        <v>0.95275233982890428</v>
      </c>
      <c r="V142" s="3">
        <f t="shared" si="34"/>
        <v>0.88158722491623931</v>
      </c>
      <c r="W142" s="3">
        <f t="shared" si="37"/>
        <v>6.8681031836449851</v>
      </c>
      <c r="X142" s="3">
        <f t="shared" si="39"/>
        <v>9.0982237076323731</v>
      </c>
      <c r="Y142" s="3">
        <f t="shared" si="39"/>
        <v>6.9074544637595556</v>
      </c>
      <c r="Z142" s="3">
        <f t="shared" si="39"/>
        <v>6.3915073806427349</v>
      </c>
      <c r="AA142" s="6">
        <v>0</v>
      </c>
      <c r="AB142" s="6">
        <v>1</v>
      </c>
      <c r="AC142" s="48">
        <v>6</v>
      </c>
      <c r="AD142" s="48">
        <v>65</v>
      </c>
      <c r="AE142" s="45">
        <v>4225</v>
      </c>
    </row>
    <row r="143" spans="1:31">
      <c r="C143" s="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 s="3"/>
    </row>
    <row r="144" spans="1:31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 s="3"/>
    </row>
    <row r="145" spans="1:30">
      <c r="B145" t="s">
        <v>295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 s="3"/>
    </row>
    <row r="146" spans="1:30">
      <c r="B146" s="13"/>
      <c r="C146" s="13" t="s">
        <v>88</v>
      </c>
      <c r="D146" s="13">
        <v>1.3724725816353289</v>
      </c>
      <c r="E146"/>
      <c r="F146"/>
      <c r="G146" s="13"/>
      <c r="H146" s="13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 s="3"/>
    </row>
    <row r="147" spans="1:30">
      <c r="B147" s="13"/>
      <c r="C147" s="13" t="s">
        <v>308</v>
      </c>
      <c r="D147" s="13">
        <v>-0.10461716973493679</v>
      </c>
      <c r="E147"/>
      <c r="F147"/>
      <c r="G147" s="13"/>
      <c r="H147" s="13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 s="3"/>
    </row>
    <row r="148" spans="1:30">
      <c r="B148" s="13"/>
      <c r="C148" s="13" t="s">
        <v>309</v>
      </c>
      <c r="D148" s="13">
        <v>0.24004467620217032</v>
      </c>
      <c r="E148"/>
      <c r="F148"/>
      <c r="G148" s="13"/>
      <c r="H148" s="13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 s="3"/>
    </row>
    <row r="149" spans="1:30">
      <c r="B149" s="13"/>
      <c r="C149" s="13" t="s">
        <v>297</v>
      </c>
      <c r="D149" s="13">
        <v>-1.8498796642280309E-3</v>
      </c>
      <c r="E149"/>
      <c r="F149"/>
      <c r="G149" s="13"/>
      <c r="H149" s="13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 s="3"/>
    </row>
    <row r="150" spans="1:30">
      <c r="B150" s="13"/>
      <c r="C150" s="13" t="s">
        <v>131</v>
      </c>
      <c r="D150" s="13">
        <v>-7.9611388005696559E-2</v>
      </c>
      <c r="E150"/>
      <c r="F150"/>
      <c r="G150" s="13"/>
      <c r="H150" s="13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 s="3"/>
    </row>
    <row r="151" spans="1:30">
      <c r="B151" s="13"/>
      <c r="C151" s="13" t="s">
        <v>296</v>
      </c>
      <c r="D151" s="13">
        <v>-0.10330407054358144</v>
      </c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 s="3"/>
    </row>
    <row r="152" spans="1:30" ht="15.75" thickBot="1">
      <c r="B152" s="13"/>
      <c r="C152" s="13"/>
      <c r="D152" s="14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 s="3"/>
    </row>
    <row r="153" spans="1:30" ht="15.75" thickBot="1">
      <c r="B153" s="14"/>
      <c r="C153" s="3"/>
      <c r="D153" s="1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 s="3"/>
    </row>
    <row r="154" spans="1:30" ht="15.75" thickBot="1">
      <c r="B154" s="4"/>
      <c r="C154" s="3"/>
      <c r="D154" s="1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 s="3"/>
    </row>
    <row r="155" spans="1:30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 s="3"/>
    </row>
    <row r="156" spans="1:30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 s="3"/>
    </row>
    <row r="157" spans="1:30">
      <c r="A157" t="s">
        <v>290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 s="3"/>
    </row>
    <row r="158" spans="1:30">
      <c r="B158" s="75" t="s">
        <v>291</v>
      </c>
      <c r="C158" s="71" t="s">
        <v>292</v>
      </c>
      <c r="D158" s="26" t="s">
        <v>300</v>
      </c>
      <c r="E158" s="26"/>
      <c r="F158" s="26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 s="3"/>
    </row>
    <row r="159" spans="1:30">
      <c r="A159" s="71"/>
      <c r="B159" s="71" t="s">
        <v>299</v>
      </c>
      <c r="C159" s="71" t="s">
        <v>319</v>
      </c>
      <c r="D159" s="71" t="s">
        <v>301</v>
      </c>
      <c r="E159" s="71" t="s">
        <v>302</v>
      </c>
      <c r="F159" s="71" t="s">
        <v>303</v>
      </c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2"/>
    </row>
    <row r="160" spans="1:30">
      <c r="A160">
        <v>2010</v>
      </c>
      <c r="B160" s="4">
        <f>B122*(D$146+D$147*AC122+D$148*AD122+D$149*AE122+D$150*W122+D$151*C122+D$152*AA122+D$153*(MAX((C122-C122),0)))/1000</f>
        <v>49.292495100073857</v>
      </c>
      <c r="C160" s="4">
        <f>B122*(D$146+D$147*AC122+D$148*AD122+D$149*AE122+D$150*W122+D$151*D122+D$152*AA122+D$153*(MAX((C122-C122),0)))/1000</f>
        <v>49.292495100073857</v>
      </c>
      <c r="D160" s="4">
        <f>B122*(D$146+D$147*AC122+D$148*AD122+D$149*AE122+D$150*X122+D$151*C122+D$152*AA122+D$153*(MAX((C122-C122),0)))/1000</f>
        <v>49.292495100073857</v>
      </c>
      <c r="E160" s="4">
        <f>B122*(D$146+D$147*AC122+D$148*AD122+D$149*AE122+D$150*Y122+D$151*C122+D$152*AA122+D$153*(MAX((C122-C122),0)))/1000</f>
        <v>49.292495100073857</v>
      </c>
      <c r="F160" s="4">
        <f>B122*(D$146+D$147*AC122+D$148*AD122+D$149*AE122+D$150*Z122+D$151*C122+D$152*AA122+D$153*(MAX((C122-C122),0)))/1000</f>
        <v>49.292495100073857</v>
      </c>
      <c r="G160" s="4"/>
      <c r="H160"/>
      <c r="I160"/>
      <c r="J160"/>
      <c r="K160" s="3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 s="3"/>
    </row>
    <row r="161" spans="1:30">
      <c r="A161">
        <v>2011</v>
      </c>
      <c r="B161" s="4">
        <f>B123*(D$146+D$147*AC123+D$148*AD123+D$149*AE123+D$150*W123+D$151*C123+D$152*AA123+D$153*(MAX((C123-C122),0)))/1000</f>
        <v>52.172280412896953</v>
      </c>
      <c r="C161" s="4">
        <f>B123*(D$146+D$147*AC123+D$148*AD123+D$149*AE123+D$150*W123+D$151*D123+D$152*AA123+D$153*(MAX((C123-C122),0)))/1000</f>
        <v>52.172280412896953</v>
      </c>
      <c r="D161" s="4">
        <f t="shared" ref="D161:D180" si="40">B123*(D$146+D$147*AC123+D$148*AD123+D$149*AE123+D$150*X123+D$151*C123+D$152*AA123+D$153*(MAX((C123-C123),0)))/1000</f>
        <v>51.998876726586829</v>
      </c>
      <c r="E161" s="4">
        <f>B123*(D$146+D$147*AC123+D$148*AD123+D$149*AE123+D$150*Y123+D$151*C123+D$152*AA123+D$153*(MAX((C123-C123),0)))/1000</f>
        <v>51.998876726586829</v>
      </c>
      <c r="F161" s="4">
        <f>B123*(D$146+D$147*AC123+D$148*AD123+D$149*AE123+D$150*Z123+D$151*C123+D$152*AA123+D$153*(MAX((C123-C123),0)))/1000</f>
        <v>51.998876726586829</v>
      </c>
      <c r="G161" s="4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 s="3"/>
    </row>
    <row r="162" spans="1:30">
      <c r="A162">
        <v>2012</v>
      </c>
      <c r="B162" s="4">
        <f t="shared" ref="B162:B180" si="41">B124*(D$146+D$147*AC124+D$148*AD124+D$149*AE124+D$150*W124+D$151*C124+D$152*AA124+D$153*(MAX((C124-C123),0)))/1000</f>
        <v>53.663322286243343</v>
      </c>
      <c r="C162" s="4">
        <f t="shared" ref="C162:C180" si="42">B124*(D$146+D$147*AC124+D$148*AD124+D$149*AE124+D$150*W124+D$151*D124+D$152*AA124+D$153*(MAX((C124-C123),0)))/1000</f>
        <v>53.428067926394448</v>
      </c>
      <c r="D162" s="4">
        <f t="shared" si="40"/>
        <v>53.582380795250216</v>
      </c>
      <c r="E162" s="4">
        <f t="shared" ref="E162:E180" si="43">B124*(D$146+D$147*AC124+D$148*AD124+D$149*AE124+D$150*Y124+D$151*C124+D$152*AA124+D$153*(MAX((C124-C124),0)))/1000</f>
        <v>53.514798727962614</v>
      </c>
      <c r="F162" s="4">
        <f t="shared" ref="F162:F180" si="44">B124*(D$146+D$147*AC124+D$148*AD124+D$149*AE124+D$150*Z124+D$151*C124+D$152*AA124+D$153*(MAX((C124-C124),0)))/1000</f>
        <v>53.866484040909008</v>
      </c>
      <c r="G162" s="4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 s="3"/>
    </row>
    <row r="163" spans="1:30">
      <c r="A163">
        <v>2013</v>
      </c>
      <c r="B163" s="4">
        <f t="shared" si="41"/>
        <v>55.132279532047917</v>
      </c>
      <c r="C163" s="4">
        <f t="shared" si="42"/>
        <v>54.654580849040293</v>
      </c>
      <c r="D163" s="4">
        <f t="shared" si="40"/>
        <v>55.066775470306382</v>
      </c>
      <c r="E163" s="4">
        <f t="shared" si="43"/>
        <v>54.989506638348104</v>
      </c>
      <c r="F163" s="4">
        <f t="shared" si="44"/>
        <v>55.779550060812092</v>
      </c>
      <c r="G163" s="4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 s="3"/>
    </row>
    <row r="164" spans="1:30">
      <c r="A164">
        <v>2014</v>
      </c>
      <c r="B164" s="4">
        <f t="shared" si="41"/>
        <v>56.584593477139606</v>
      </c>
      <c r="C164" s="4">
        <f t="shared" si="42"/>
        <v>55.857353481326911</v>
      </c>
      <c r="D164" s="4">
        <f t="shared" si="40"/>
        <v>56.530552233567853</v>
      </c>
      <c r="E164" s="4">
        <f t="shared" si="43"/>
        <v>56.443298887765977</v>
      </c>
      <c r="F164" s="4">
        <f t="shared" si="44"/>
        <v>57.247742371568144</v>
      </c>
      <c r="G164" s="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 s="3"/>
    </row>
    <row r="165" spans="1:30">
      <c r="A165">
        <v>2015</v>
      </c>
      <c r="B165" s="4">
        <f t="shared" si="41"/>
        <v>58.011435379758716</v>
      </c>
      <c r="C165" s="4">
        <f t="shared" si="42"/>
        <v>57.027774020042735</v>
      </c>
      <c r="D165" s="4">
        <f t="shared" si="40"/>
        <v>57.680661323341653</v>
      </c>
      <c r="E165" s="4">
        <f t="shared" si="43"/>
        <v>57.871860372427946</v>
      </c>
      <c r="F165" s="4">
        <f t="shared" si="44"/>
        <v>58.690442860899388</v>
      </c>
      <c r="G165" s="4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 s="3"/>
    </row>
    <row r="166" spans="1:30">
      <c r="A166">
        <v>2016</v>
      </c>
      <c r="B166" s="4">
        <f t="shared" si="41"/>
        <v>59.169087802286739</v>
      </c>
      <c r="C166" s="4">
        <f t="shared" si="42"/>
        <v>58.171542375489707</v>
      </c>
      <c r="D166" s="4">
        <f t="shared" si="40"/>
        <v>58.850584364842092</v>
      </c>
      <c r="E166" s="4">
        <f t="shared" si="43"/>
        <v>59.033009793357238</v>
      </c>
      <c r="F166" s="4">
        <f t="shared" si="44"/>
        <v>59.864737336924343</v>
      </c>
      <c r="G166" s="4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 s="3"/>
    </row>
    <row r="167" spans="1:30">
      <c r="A167">
        <v>2017</v>
      </c>
      <c r="B167" s="4">
        <f t="shared" si="41"/>
        <v>60.291203289610038</v>
      </c>
      <c r="C167" s="4">
        <f t="shared" si="42"/>
        <v>59.28002172550125</v>
      </c>
      <c r="D167" s="4">
        <f t="shared" si="40"/>
        <v>59.986495502418563</v>
      </c>
      <c r="E167" s="4">
        <f t="shared" si="43"/>
        <v>60.1598778550566</v>
      </c>
      <c r="F167" s="4">
        <f t="shared" si="44"/>
        <v>61.003924427166453</v>
      </c>
      <c r="G167" s="4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 s="3"/>
    </row>
    <row r="168" spans="1:30">
      <c r="A168">
        <v>2018</v>
      </c>
      <c r="B168" s="4">
        <f t="shared" si="41"/>
        <v>61.383756527687325</v>
      </c>
      <c r="C168" s="4">
        <f t="shared" si="42"/>
        <v>60.359062791151437</v>
      </c>
      <c r="D168" s="4">
        <f t="shared" si="40"/>
        <v>61.09345540273403</v>
      </c>
      <c r="E168" s="4">
        <f t="shared" si="43"/>
        <v>61.257658718070267</v>
      </c>
      <c r="F168" s="4">
        <f t="shared" si="44"/>
        <v>61.822202198174317</v>
      </c>
      <c r="G168" s="4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 s="3"/>
    </row>
    <row r="169" spans="1:30">
      <c r="A169">
        <v>2019</v>
      </c>
      <c r="B169" s="4">
        <f t="shared" si="41"/>
        <v>62.437976509549728</v>
      </c>
      <c r="C169" s="4">
        <f t="shared" si="42"/>
        <v>61.400018530356043</v>
      </c>
      <c r="D169" s="4">
        <f t="shared" si="40"/>
        <v>62.162851674534188</v>
      </c>
      <c r="E169" s="4">
        <f t="shared" si="43"/>
        <v>62.317723429305886</v>
      </c>
      <c r="F169" s="4">
        <f t="shared" si="44"/>
        <v>62.893142583616381</v>
      </c>
      <c r="G169" s="4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 s="3"/>
    </row>
    <row r="170" spans="1:30">
      <c r="A170">
        <v>2020</v>
      </c>
      <c r="B170" s="4">
        <f t="shared" si="41"/>
        <v>63.459973932890833</v>
      </c>
      <c r="C170" s="4">
        <f t="shared" si="42"/>
        <v>62.408875675924001</v>
      </c>
      <c r="D170" s="4">
        <f t="shared" si="40"/>
        <v>62.761796742458536</v>
      </c>
      <c r="E170" s="4">
        <f t="shared" si="43"/>
        <v>63.346117742699541</v>
      </c>
      <c r="F170" s="4">
        <f t="shared" si="44"/>
        <v>63.932173399035754</v>
      </c>
      <c r="G170" s="4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 s="3"/>
    </row>
    <row r="171" spans="1:30">
      <c r="A171">
        <v>2021</v>
      </c>
      <c r="B171" s="4">
        <f t="shared" si="41"/>
        <v>64.440982369861331</v>
      </c>
      <c r="C171" s="4">
        <f t="shared" si="42"/>
        <v>63.376991764890654</v>
      </c>
      <c r="D171" s="4">
        <f t="shared" si="40"/>
        <v>63.319587473900967</v>
      </c>
      <c r="E171" s="4">
        <f t="shared" si="43"/>
        <v>64.334135573958676</v>
      </c>
      <c r="F171" s="4">
        <f t="shared" si="44"/>
        <v>64.930492675092225</v>
      </c>
      <c r="G171" s="4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 s="3"/>
    </row>
    <row r="172" spans="1:30">
      <c r="A172">
        <v>2022</v>
      </c>
      <c r="B172" s="4">
        <f t="shared" si="41"/>
        <v>65.379705843017845</v>
      </c>
      <c r="C172" s="4">
        <f t="shared" si="42"/>
        <v>64.303070819812646</v>
      </c>
      <c r="D172" s="4">
        <f t="shared" si="40"/>
        <v>64.27513412811463</v>
      </c>
      <c r="E172" s="4">
        <f t="shared" si="43"/>
        <v>65.280425576620388</v>
      </c>
      <c r="F172" s="4">
        <f t="shared" si="44"/>
        <v>65.886758385599151</v>
      </c>
      <c r="G172" s="4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 s="3"/>
    </row>
    <row r="173" spans="1:30">
      <c r="A173">
        <v>2023</v>
      </c>
      <c r="B173" s="4">
        <f t="shared" si="41"/>
        <v>66.282436869100295</v>
      </c>
      <c r="C173" s="4">
        <f t="shared" si="42"/>
        <v>65.193281392545202</v>
      </c>
      <c r="D173" s="4">
        <f t="shared" si="40"/>
        <v>65.195903825184502</v>
      </c>
      <c r="E173" s="4">
        <f t="shared" si="43"/>
        <v>66.19140447366506</v>
      </c>
      <c r="F173" s="4">
        <f t="shared" si="44"/>
        <v>66.807396497509842</v>
      </c>
      <c r="G173" s="4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 s="3"/>
    </row>
    <row r="174" spans="1:30">
      <c r="A174">
        <v>2024</v>
      </c>
      <c r="B174" s="4">
        <f t="shared" si="41"/>
        <v>67.148005793321659</v>
      </c>
      <c r="C174" s="4">
        <f t="shared" si="42"/>
        <v>66.046453828301352</v>
      </c>
      <c r="D174" s="4">
        <f t="shared" si="40"/>
        <v>66.079810220329676</v>
      </c>
      <c r="E174" s="4">
        <f t="shared" si="43"/>
        <v>67.065343983377645</v>
      </c>
      <c r="F174" s="4">
        <f t="shared" si="44"/>
        <v>67.690880865484132</v>
      </c>
      <c r="G174" s="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 s="3"/>
    </row>
    <row r="175" spans="1:30">
      <c r="A175">
        <v>2025</v>
      </c>
      <c r="B175" s="4">
        <f t="shared" si="41"/>
        <v>67.967699743183815</v>
      </c>
      <c r="C175" s="4">
        <f t="shared" si="42"/>
        <v>66.853999219467568</v>
      </c>
      <c r="D175" s="4">
        <f t="shared" si="40"/>
        <v>66.919027203259176</v>
      </c>
      <c r="E175" s="4">
        <f t="shared" si="43"/>
        <v>67.894029689117716</v>
      </c>
      <c r="F175" s="4">
        <f t="shared" si="44"/>
        <v>68.528735626942677</v>
      </c>
      <c r="G175" s="4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 s="3"/>
    </row>
    <row r="176" spans="1:30">
      <c r="A176">
        <v>2026</v>
      </c>
      <c r="B176" s="4">
        <f t="shared" si="41"/>
        <v>68.747948657361107</v>
      </c>
      <c r="C176" s="4">
        <f t="shared" si="42"/>
        <v>67.622223539833584</v>
      </c>
      <c r="D176" s="4">
        <f t="shared" si="40"/>
        <v>67.573421271000399</v>
      </c>
      <c r="E176" s="4">
        <f t="shared" si="43"/>
        <v>68.683717621938925</v>
      </c>
      <c r="F176" s="4">
        <f t="shared" si="44"/>
        <v>69.327341681954636</v>
      </c>
      <c r="G176" s="4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 s="3"/>
    </row>
    <row r="177" spans="1:30">
      <c r="A177">
        <v>2027</v>
      </c>
      <c r="B177" s="4">
        <f t="shared" si="41"/>
        <v>69.487660576012374</v>
      </c>
      <c r="C177" s="4">
        <f t="shared" si="42"/>
        <v>68.350034829558254</v>
      </c>
      <c r="D177" s="4">
        <f t="shared" si="40"/>
        <v>68.18727361536591</v>
      </c>
      <c r="E177" s="4">
        <f t="shared" si="43"/>
        <v>69.432610929959679</v>
      </c>
      <c r="F177" s="4">
        <f t="shared" si="44"/>
        <v>70.085170415340912</v>
      </c>
      <c r="G177" s="4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 s="3"/>
    </row>
    <row r="178" spans="1:30">
      <c r="A178">
        <v>2028</v>
      </c>
      <c r="B178" s="4">
        <f t="shared" si="41"/>
        <v>70.206994536426592</v>
      </c>
      <c r="C178" s="4">
        <f t="shared" si="42"/>
        <v>69.057592125930483</v>
      </c>
      <c r="D178" s="4">
        <f t="shared" si="40"/>
        <v>68.780358357378105</v>
      </c>
      <c r="E178" s="4">
        <f t="shared" si="43"/>
        <v>70.160670421583887</v>
      </c>
      <c r="F178" s="4">
        <f t="shared" si="44"/>
        <v>70.822261681438235</v>
      </c>
      <c r="G178" s="4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 s="3"/>
    </row>
    <row r="179" spans="1:30">
      <c r="A179">
        <v>2029</v>
      </c>
      <c r="B179" s="4">
        <f t="shared" si="41"/>
        <v>70.918756560415375</v>
      </c>
      <c r="C179" s="4">
        <f t="shared" si="42"/>
        <v>69.757701450761957</v>
      </c>
      <c r="D179" s="4">
        <f t="shared" si="40"/>
        <v>69.365141168847259</v>
      </c>
      <c r="E179" s="4">
        <f t="shared" si="43"/>
        <v>70.880558796742406</v>
      </c>
      <c r="F179" s="4">
        <f t="shared" si="44"/>
        <v>71.259845235567383</v>
      </c>
      <c r="G179" s="4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 s="3"/>
    </row>
    <row r="180" spans="1:30">
      <c r="A180">
        <v>2030</v>
      </c>
      <c r="B180" s="4">
        <f t="shared" si="41"/>
        <v>71.622946647978765</v>
      </c>
      <c r="C180" s="4">
        <f t="shared" si="42"/>
        <v>70.450362804052688</v>
      </c>
      <c r="D180" s="4">
        <f t="shared" si="40"/>
        <v>69.943567502403511</v>
      </c>
      <c r="E180" s="4">
        <f t="shared" si="43"/>
        <v>71.593313397907622</v>
      </c>
      <c r="F180" s="4">
        <f t="shared" si="44"/>
        <v>71.981844314639204</v>
      </c>
      <c r="G180" s="4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 s="3"/>
    </row>
    <row r="181" spans="1:30">
      <c r="D181"/>
      <c r="E181"/>
      <c r="F181"/>
      <c r="G181"/>
      <c r="H181"/>
      <c r="I181"/>
      <c r="J181" s="12"/>
      <c r="K181"/>
      <c r="L181"/>
      <c r="M181"/>
      <c r="N181"/>
      <c r="O181"/>
      <c r="P181"/>
      <c r="Q181" s="23"/>
      <c r="R181" s="12"/>
      <c r="S181" s="12"/>
      <c r="T181" s="23"/>
      <c r="U181"/>
      <c r="V181"/>
      <c r="W181"/>
      <c r="X181"/>
      <c r="Y181" s="23"/>
      <c r="Z181"/>
      <c r="AA181"/>
      <c r="AB181"/>
      <c r="AC181"/>
      <c r="AD181"/>
    </row>
    <row r="182" spans="1:30">
      <c r="F182" s="2"/>
      <c r="J182" s="32"/>
      <c r="M182" s="2"/>
      <c r="N182" s="2"/>
      <c r="O182" s="37"/>
      <c r="P182" s="32"/>
      <c r="R182" s="37"/>
      <c r="X182" s="2"/>
      <c r="Y182" s="2"/>
      <c r="Z182" s="2"/>
      <c r="AA182" s="2"/>
      <c r="AB182" s="2"/>
      <c r="AC182" s="2"/>
      <c r="AD182" s="2"/>
    </row>
    <row r="184" spans="1:30">
      <c r="A184" t="s">
        <v>290</v>
      </c>
      <c r="D184"/>
      <c r="E184"/>
      <c r="F184"/>
      <c r="G184"/>
      <c r="H184"/>
    </row>
    <row r="185" spans="1:30">
      <c r="B185" s="75" t="s">
        <v>291</v>
      </c>
      <c r="C185" s="74" t="s">
        <v>321</v>
      </c>
      <c r="D185" s="26" t="s">
        <v>300</v>
      </c>
      <c r="E185" s="26"/>
      <c r="F185" s="26"/>
      <c r="G185" s="23"/>
      <c r="H185"/>
    </row>
    <row r="186" spans="1:30">
      <c r="A186" s="71"/>
      <c r="B186" s="71"/>
      <c r="C186" s="71" t="s">
        <v>264</v>
      </c>
      <c r="D186" s="71" t="s">
        <v>301</v>
      </c>
      <c r="E186" s="71" t="s">
        <v>302</v>
      </c>
      <c r="F186" s="71" t="s">
        <v>303</v>
      </c>
      <c r="G186" s="71"/>
      <c r="H186" s="71"/>
    </row>
    <row r="187" spans="1:30">
      <c r="A187">
        <v>2010</v>
      </c>
      <c r="B187" s="4">
        <v>49.323903167270451</v>
      </c>
      <c r="C187" s="4">
        <v>49.323903167270451</v>
      </c>
      <c r="D187" s="4">
        <v>49.323903167270451</v>
      </c>
      <c r="E187" s="4">
        <v>49.323903167270451</v>
      </c>
      <c r="F187" s="4">
        <v>49.323903167270451</v>
      </c>
      <c r="G187" s="4"/>
      <c r="H187"/>
    </row>
    <row r="188" spans="1:30">
      <c r="A188">
        <v>2011</v>
      </c>
      <c r="B188" s="4">
        <v>51.998876062891625</v>
      </c>
      <c r="C188" s="4">
        <v>51.998876062891625</v>
      </c>
      <c r="D188" s="4">
        <v>51.998876726586829</v>
      </c>
      <c r="E188" s="4">
        <v>51.998876726586829</v>
      </c>
      <c r="F188" s="4">
        <v>51.998876726586829</v>
      </c>
      <c r="G188" s="4"/>
      <c r="H188"/>
    </row>
    <row r="189" spans="1:30">
      <c r="A189">
        <v>2012</v>
      </c>
      <c r="B189" s="4">
        <v>53.487179850689955</v>
      </c>
      <c r="C189" s="4">
        <v>53.251925490841067</v>
      </c>
      <c r="D189" s="4">
        <v>53.582380795250216</v>
      </c>
      <c r="E189" s="4">
        <v>53.514798727962614</v>
      </c>
      <c r="F189" s="4">
        <v>53.866484040909008</v>
      </c>
      <c r="G189" s="4"/>
      <c r="H189"/>
    </row>
    <row r="190" spans="1:30">
      <c r="A190">
        <v>2013</v>
      </c>
      <c r="B190" s="4">
        <v>54.953445419176113</v>
      </c>
      <c r="C190" s="4">
        <v>54.475746736168482</v>
      </c>
      <c r="D190" s="4">
        <v>55.066775470306382</v>
      </c>
      <c r="E190" s="4">
        <v>54.989506638348104</v>
      </c>
      <c r="F190" s="4">
        <v>55.779550060812092</v>
      </c>
      <c r="G190" s="4"/>
      <c r="H190"/>
    </row>
    <row r="191" spans="1:30">
      <c r="A191">
        <v>2014</v>
      </c>
      <c r="B191" s="4">
        <v>56.403090891064181</v>
      </c>
      <c r="C191" s="4">
        <v>55.675850895251479</v>
      </c>
      <c r="D191" s="4">
        <v>56.530552233567853</v>
      </c>
      <c r="E191" s="4">
        <v>56.443298887765977</v>
      </c>
      <c r="F191" s="4">
        <v>57.247742371568144</v>
      </c>
      <c r="G191" s="4"/>
      <c r="H191"/>
    </row>
    <row r="192" spans="1:30">
      <c r="A192">
        <v>2015</v>
      </c>
      <c r="B192" s="4">
        <v>57.8273107287093</v>
      </c>
      <c r="C192" s="4">
        <v>56.843649368993326</v>
      </c>
      <c r="D192" s="4">
        <v>57.680661323341653</v>
      </c>
      <c r="E192" s="4">
        <v>57.871860372427946</v>
      </c>
      <c r="F192" s="4">
        <v>58.690442860899388</v>
      </c>
      <c r="G192" s="4"/>
      <c r="H192"/>
    </row>
    <row r="193" spans="1:8">
      <c r="A193">
        <v>2016</v>
      </c>
      <c r="B193" s="4">
        <v>58.98236429037815</v>
      </c>
      <c r="C193" s="4">
        <v>57.984818863581118</v>
      </c>
      <c r="D193" s="4">
        <v>58.850584364842092</v>
      </c>
      <c r="E193" s="4">
        <v>59.033009793357238</v>
      </c>
      <c r="F193" s="4">
        <v>59.864737336924343</v>
      </c>
      <c r="G193" s="4"/>
      <c r="H193"/>
    </row>
    <row r="194" spans="1:8">
      <c r="A194">
        <v>2017</v>
      </c>
      <c r="B194" s="4">
        <v>60.101927325071905</v>
      </c>
      <c r="C194" s="4">
        <v>59.090745760963117</v>
      </c>
      <c r="D194" s="4">
        <v>59.986495502418563</v>
      </c>
      <c r="E194" s="4">
        <v>60.1598778550566</v>
      </c>
      <c r="F194" s="4">
        <v>61.003924427166453</v>
      </c>
      <c r="G194" s="4"/>
      <c r="H194"/>
    </row>
    <row r="195" spans="1:8">
      <c r="A195">
        <v>2018</v>
      </c>
      <c r="B195" s="4">
        <v>61.191951314634466</v>
      </c>
      <c r="C195" s="4">
        <v>60.167257578098578</v>
      </c>
      <c r="D195" s="4">
        <v>61.09345540273403</v>
      </c>
      <c r="E195" s="4">
        <v>61.257658718070267</v>
      </c>
      <c r="F195" s="4">
        <v>61.822202198174317</v>
      </c>
      <c r="G195" s="4"/>
      <c r="H195"/>
    </row>
    <row r="196" spans="1:8">
      <c r="A196">
        <v>2019</v>
      </c>
      <c r="B196" s="4">
        <v>62.243688456211764</v>
      </c>
      <c r="C196" s="4">
        <v>61.205730477018079</v>
      </c>
      <c r="D196" s="4">
        <v>62.162851674534188</v>
      </c>
      <c r="E196" s="4">
        <v>62.317723429305886</v>
      </c>
      <c r="F196" s="4">
        <v>62.893142583616381</v>
      </c>
      <c r="G196" s="4"/>
      <c r="H196"/>
    </row>
    <row r="197" spans="1:8">
      <c r="A197">
        <v>2020</v>
      </c>
      <c r="B197" s="4">
        <v>63.263226243382583</v>
      </c>
      <c r="C197" s="4">
        <v>62.212127986415744</v>
      </c>
      <c r="D197" s="4">
        <v>62.761796742458536</v>
      </c>
      <c r="E197" s="4">
        <v>63.346117742699541</v>
      </c>
      <c r="F197" s="4">
        <v>63.932173399035754</v>
      </c>
      <c r="G197" s="4"/>
      <c r="H197"/>
    </row>
    <row r="198" spans="1:8">
      <c r="A198">
        <v>2021</v>
      </c>
      <c r="B198" s="4">
        <v>64.24182145241241</v>
      </c>
      <c r="C198" s="4">
        <v>63.17783084744174</v>
      </c>
      <c r="D198" s="4">
        <v>63.319587473900967</v>
      </c>
      <c r="E198" s="4">
        <v>64.334135573958676</v>
      </c>
      <c r="F198" s="4">
        <v>64.930492675092225</v>
      </c>
      <c r="G198" s="4"/>
      <c r="H198"/>
    </row>
    <row r="199" spans="1:8">
      <c r="A199">
        <v>2022</v>
      </c>
      <c r="B199" s="4">
        <v>65.17817810585791</v>
      </c>
      <c r="C199" s="4">
        <v>64.101543082652697</v>
      </c>
      <c r="D199" s="4">
        <v>64.27513412811463</v>
      </c>
      <c r="E199" s="4">
        <v>65.280425576620388</v>
      </c>
      <c r="F199" s="4">
        <v>65.886758385599151</v>
      </c>
      <c r="G199" s="4"/>
      <c r="H199"/>
    </row>
    <row r="200" spans="1:8">
      <c r="A200">
        <v>2023</v>
      </c>
      <c r="B200" s="4">
        <v>66.078565516344128</v>
      </c>
      <c r="C200" s="4">
        <v>64.98941003978905</v>
      </c>
      <c r="D200" s="4">
        <v>65.195903825184502</v>
      </c>
      <c r="E200" s="4">
        <v>66.19140447366506</v>
      </c>
      <c r="F200" s="4">
        <v>66.807396497509842</v>
      </c>
      <c r="G200" s="4"/>
      <c r="H200"/>
    </row>
    <row r="201" spans="1:8">
      <c r="A201">
        <v>2024</v>
      </c>
      <c r="B201" s="4">
        <v>66.9418140290841</v>
      </c>
      <c r="C201" s="4">
        <v>65.840262064063793</v>
      </c>
      <c r="D201" s="4">
        <v>66.079810220329676</v>
      </c>
      <c r="E201" s="4">
        <v>67.065343983377645</v>
      </c>
      <c r="F201" s="4">
        <v>67.690880865484132</v>
      </c>
      <c r="G201" s="4"/>
      <c r="H201"/>
    </row>
    <row r="202" spans="1:8">
      <c r="A202">
        <v>2025</v>
      </c>
      <c r="B202" s="4">
        <v>67.759233975694471</v>
      </c>
      <c r="C202" s="4">
        <v>66.645533451978238</v>
      </c>
      <c r="D202" s="4">
        <v>66.919027203259176</v>
      </c>
      <c r="E202" s="4">
        <v>67.894029689117716</v>
      </c>
      <c r="F202" s="4">
        <v>68.528735626942677</v>
      </c>
      <c r="G202" s="4"/>
      <c r="H202"/>
    </row>
    <row r="203" spans="1:8">
      <c r="A203">
        <v>2026</v>
      </c>
      <c r="B203" s="4">
        <v>68.537232090734804</v>
      </c>
      <c r="C203" s="4">
        <v>67.411506973207281</v>
      </c>
      <c r="D203" s="4">
        <v>67.573421271000399</v>
      </c>
      <c r="E203" s="4">
        <v>68.683717621938925</v>
      </c>
      <c r="F203" s="4">
        <v>69.327341681954636</v>
      </c>
      <c r="G203" s="4"/>
      <c r="H203"/>
    </row>
    <row r="204" spans="1:8">
      <c r="A204">
        <v>2027</v>
      </c>
      <c r="B204" s="4">
        <v>69.274716414363922</v>
      </c>
      <c r="C204" s="4">
        <v>68.137090667909803</v>
      </c>
      <c r="D204" s="4">
        <v>68.18727361536591</v>
      </c>
      <c r="E204" s="4">
        <v>69.432610929959679</v>
      </c>
      <c r="F204" s="4">
        <v>70.085170415340912</v>
      </c>
      <c r="G204" s="4"/>
      <c r="H204"/>
    </row>
    <row r="205" spans="1:8">
      <c r="A205">
        <v>2028</v>
      </c>
      <c r="B205" s="4">
        <v>69.991845983870789</v>
      </c>
      <c r="C205" s="4">
        <v>68.842443573374695</v>
      </c>
      <c r="D205" s="4">
        <v>68.780358357378105</v>
      </c>
      <c r="E205" s="4">
        <v>70.160670421583887</v>
      </c>
      <c r="F205" s="4">
        <v>70.822261681438235</v>
      </c>
      <c r="G205" s="4"/>
      <c r="H205"/>
    </row>
    <row r="206" spans="1:8">
      <c r="A206">
        <v>2029</v>
      </c>
      <c r="B206" s="4">
        <v>70.701426821067074</v>
      </c>
      <c r="C206" s="4">
        <v>69.540371711413655</v>
      </c>
      <c r="D206" s="4">
        <v>69.365141168847259</v>
      </c>
      <c r="E206" s="4">
        <v>70.880558796742406</v>
      </c>
      <c r="F206" s="4">
        <v>71.259845235567383</v>
      </c>
      <c r="G206" s="4"/>
      <c r="H206"/>
    </row>
    <row r="207" spans="1:8">
      <c r="A207">
        <v>2030</v>
      </c>
      <c r="B207" s="4">
        <v>71.403458925952748</v>
      </c>
      <c r="C207" s="4">
        <v>70.230875082026671</v>
      </c>
      <c r="D207" s="4">
        <v>69.943567502403511</v>
      </c>
      <c r="E207" s="4">
        <v>71.593313397907622</v>
      </c>
      <c r="F207" s="4">
        <v>71.981844314639204</v>
      </c>
      <c r="G207" s="4"/>
      <c r="H207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A3" sqref="A3:G23"/>
    </sheetView>
  </sheetViews>
  <sheetFormatPr defaultRowHeight="15"/>
  <cols>
    <col min="1" max="1" width="18" customWidth="1"/>
    <col min="2" max="7" width="14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0.99508882969310675</v>
      </c>
    </row>
    <row r="5" spans="1:7">
      <c r="A5" s="13" t="s">
        <v>80</v>
      </c>
      <c r="B5" s="13">
        <v>0.99020177897999684</v>
      </c>
    </row>
    <row r="6" spans="1:7">
      <c r="A6" s="13" t="s">
        <v>81</v>
      </c>
      <c r="B6" s="13">
        <v>0.98895094225403901</v>
      </c>
    </row>
    <row r="7" spans="1:7">
      <c r="A7" s="13" t="s">
        <v>82</v>
      </c>
      <c r="B7" s="13">
        <v>1.5046063221761245E-2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6</v>
      </c>
      <c r="C12" s="13">
        <v>1.075276348253267</v>
      </c>
      <c r="D12" s="13">
        <v>0.17921272470887784</v>
      </c>
      <c r="E12" s="13">
        <v>791.63152027034437</v>
      </c>
      <c r="F12" s="13">
        <v>1.8986041346779154E-45</v>
      </c>
    </row>
    <row r="13" spans="1:7">
      <c r="A13" s="13" t="s">
        <v>86</v>
      </c>
      <c r="B13" s="13">
        <v>47</v>
      </c>
      <c r="C13" s="13">
        <v>1.0640048868242109E-2</v>
      </c>
      <c r="D13" s="13">
        <v>2.2638401847323636E-4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1.0859163971215091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0.21386731648548357</v>
      </c>
      <c r="C17" s="13">
        <v>7.1832854516852571E-3</v>
      </c>
      <c r="D17" s="13">
        <v>29.772910727821426</v>
      </c>
      <c r="E17" s="13">
        <v>3.7303623845668734E-32</v>
      </c>
      <c r="F17" s="13">
        <v>0.19941641012064271</v>
      </c>
      <c r="G17" s="13">
        <v>0.22831822285032444</v>
      </c>
    </row>
    <row r="18" spans="1:7">
      <c r="A18" s="13" t="s">
        <v>229</v>
      </c>
      <c r="B18" s="13">
        <v>6.172614224042387E-3</v>
      </c>
      <c r="C18" s="13">
        <v>1.305147476789879E-4</v>
      </c>
      <c r="D18" s="13">
        <v>47.294381162383701</v>
      </c>
      <c r="E18" s="13">
        <v>2.7160094476262081E-41</v>
      </c>
      <c r="F18" s="13">
        <v>5.9100524184973486E-3</v>
      </c>
      <c r="G18" s="13">
        <v>6.4351760295874253E-3</v>
      </c>
    </row>
    <row r="19" spans="1:7">
      <c r="A19" s="13" t="s">
        <v>231</v>
      </c>
      <c r="B19" s="13">
        <v>-7.0440447897407568E-2</v>
      </c>
      <c r="C19" s="13">
        <v>7.3518974443420914E-3</v>
      </c>
      <c r="D19" s="13">
        <v>-9.5812609507518989</v>
      </c>
      <c r="E19" s="13">
        <v>1.2503462369135769E-12</v>
      </c>
      <c r="F19" s="13">
        <v>-8.5230557838976886E-2</v>
      </c>
      <c r="G19" s="13">
        <v>-5.565033795583825E-2</v>
      </c>
    </row>
    <row r="20" spans="1:7">
      <c r="A20" s="13" t="s">
        <v>2090</v>
      </c>
      <c r="B20" s="13">
        <v>-8.3514698473863752E-2</v>
      </c>
      <c r="C20" s="13">
        <v>6.0792500832340607E-3</v>
      </c>
      <c r="D20" s="13">
        <v>-13.737664568889608</v>
      </c>
      <c r="E20" s="13">
        <v>4.4928675919331911E-18</v>
      </c>
      <c r="F20" s="13">
        <v>-9.574457215940077E-2</v>
      </c>
      <c r="G20" s="13">
        <v>-7.1284824788326734E-2</v>
      </c>
    </row>
    <row r="21" spans="1:7">
      <c r="A21" s="13" t="s">
        <v>280</v>
      </c>
      <c r="B21" s="13">
        <v>9.3100441826573135E-2</v>
      </c>
      <c r="C21" s="13">
        <v>1.5773204623057886E-2</v>
      </c>
      <c r="D21" s="13">
        <v>5.9024430387769948</v>
      </c>
      <c r="E21" s="13">
        <v>3.7802960391081637E-7</v>
      </c>
      <c r="F21" s="13">
        <v>6.1368847055017932E-2</v>
      </c>
      <c r="G21" s="13">
        <v>0.12483203659812833</v>
      </c>
    </row>
    <row r="22" spans="1:7">
      <c r="A22" s="13" t="s">
        <v>283</v>
      </c>
      <c r="B22" s="13">
        <v>0.24056638897048574</v>
      </c>
      <c r="C22" s="13">
        <v>1.5684446173966402E-2</v>
      </c>
      <c r="D22" s="13">
        <v>15.33789502684426</v>
      </c>
      <c r="E22" s="13">
        <v>6.3935811849529497E-20</v>
      </c>
      <c r="F22" s="13">
        <v>0.2090133531669037</v>
      </c>
      <c r="G22" s="13">
        <v>0.27211942477406781</v>
      </c>
    </row>
    <row r="23" spans="1:7" ht="15.75" thickBot="1">
      <c r="A23" s="14" t="s">
        <v>2091</v>
      </c>
      <c r="B23" s="14">
        <v>8.1409292079535317E-2</v>
      </c>
      <c r="C23" s="14">
        <v>1.188373064065202E-2</v>
      </c>
      <c r="D23" s="14">
        <v>6.8504827769361718</v>
      </c>
      <c r="E23" s="14">
        <v>1.378080808238209E-8</v>
      </c>
      <c r="F23" s="14">
        <v>5.7502309695483853E-2</v>
      </c>
      <c r="G23" s="14">
        <v>0.10531627446358678</v>
      </c>
    </row>
    <row r="44" spans="5:5">
      <c r="E44" t="s">
        <v>1904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172"/>
  <sheetViews>
    <sheetView zoomScale="75" zoomScaleNormal="75" workbookViewId="0">
      <pane xSplit="1" ySplit="4" topLeftCell="AL50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G97"/>
    </sheetView>
  </sheetViews>
  <sheetFormatPr defaultRowHeight="15"/>
  <cols>
    <col min="1" max="1" width="6.7109375" customWidth="1"/>
    <col min="2" max="3" width="10.28515625" customWidth="1"/>
    <col min="4" max="5" width="10.28515625" style="2" customWidth="1"/>
    <col min="6" max="6" width="10.7109375" style="2" customWidth="1"/>
    <col min="7" max="7" width="9.85546875" style="2" customWidth="1"/>
    <col min="8" max="9" width="9.28515625" style="2" bestFit="1" customWidth="1"/>
    <col min="10" max="10" width="11" style="32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8.7109375" style="37" customWidth="1"/>
    <col min="16" max="17" width="11.5703125" style="32" customWidth="1"/>
    <col min="18" max="18" width="8.7109375" style="37" customWidth="1"/>
    <col min="19" max="22" width="9.28515625" style="2" bestFit="1" customWidth="1"/>
    <col min="23" max="23" width="9.28515625" style="37" customWidth="1"/>
    <col min="24" max="26" width="9.28515625" style="2" bestFit="1" customWidth="1"/>
    <col min="27" max="27" width="10.140625" style="2" customWidth="1"/>
    <col min="28" max="29" width="9.28515625" style="2" bestFit="1" customWidth="1"/>
    <col min="30" max="30" width="9.140625" style="2"/>
    <col min="31" max="31" width="13.85546875" style="2" customWidth="1"/>
    <col min="32" max="34" width="9.140625" style="2"/>
    <col min="40" max="40" width="9.140625" style="2"/>
    <col min="41" max="41" width="7.42578125" style="2" customWidth="1"/>
    <col min="42" max="42" width="7" style="2" customWidth="1"/>
    <col min="43" max="44" width="7.28515625" style="2" customWidth="1"/>
    <col min="45" max="45" width="7.5703125" style="23" customWidth="1"/>
    <col min="46" max="46" width="2.42578125" style="12" customWidth="1"/>
    <col min="47" max="47" width="7.5703125" style="12" customWidth="1"/>
    <col min="48" max="48" width="2.42578125" style="7" customWidth="1"/>
    <col min="49" max="49" width="10.85546875" style="3" customWidth="1"/>
    <col min="50" max="50" width="9.140625" style="3"/>
    <col min="51" max="52" width="7.5703125" customWidth="1"/>
    <col min="53" max="53" width="9.140625" style="9"/>
    <col min="54" max="54" width="9.85546875" customWidth="1"/>
    <col min="55" max="55" width="5.7109375" customWidth="1"/>
    <col min="56" max="56" width="6" customWidth="1"/>
    <col min="57" max="58" width="5.5703125" customWidth="1"/>
    <col min="59" max="59" width="5.7109375" customWidth="1"/>
    <col min="62" max="62" width="8.7109375" customWidth="1"/>
  </cols>
  <sheetData>
    <row r="1" spans="1:62">
      <c r="A1" s="23" t="s">
        <v>210</v>
      </c>
      <c r="B1" s="23"/>
      <c r="C1" s="23"/>
      <c r="G1" s="39"/>
      <c r="I1" s="2" t="s">
        <v>1703</v>
      </c>
      <c r="K1" s="32"/>
      <c r="O1" s="2"/>
      <c r="P1" s="37"/>
      <c r="R1" s="32"/>
      <c r="S1" s="37"/>
      <c r="W1" s="2"/>
      <c r="X1" s="37"/>
      <c r="AE1"/>
      <c r="AF1"/>
      <c r="AG1"/>
      <c r="AH1"/>
      <c r="AN1"/>
      <c r="AS1" s="2"/>
      <c r="AV1" s="12"/>
      <c r="AY1" s="3"/>
      <c r="BA1"/>
      <c r="BB1" s="9"/>
      <c r="BI1" s="3"/>
      <c r="BJ1" s="3"/>
    </row>
    <row r="2" spans="1:62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L2" s="2" t="s">
        <v>169</v>
      </c>
      <c r="P2" s="37"/>
      <c r="Q2" s="37"/>
      <c r="R2" s="38" t="s">
        <v>142</v>
      </c>
      <c r="S2" s="37"/>
      <c r="T2" s="37"/>
      <c r="W2" s="2"/>
      <c r="X2" s="37"/>
      <c r="Y2" s="37"/>
      <c r="Z2" s="37"/>
      <c r="AA2" s="37"/>
      <c r="AB2" s="37"/>
      <c r="AC2" s="37"/>
      <c r="AD2" s="2" t="s">
        <v>113</v>
      </c>
      <c r="AE2"/>
      <c r="AF2"/>
      <c r="AG2"/>
      <c r="AH2"/>
      <c r="AN2"/>
      <c r="AS2" s="2"/>
      <c r="AV2" s="12"/>
      <c r="AY2" s="3"/>
      <c r="BA2"/>
      <c r="BB2" s="9"/>
      <c r="BI2" s="3"/>
      <c r="BJ2" s="3"/>
    </row>
    <row r="3" spans="1:62">
      <c r="B3" t="s">
        <v>182</v>
      </c>
      <c r="C3" t="s">
        <v>218</v>
      </c>
      <c r="D3" s="37"/>
      <c r="F3" s="37"/>
      <c r="H3" s="37"/>
      <c r="I3" s="37"/>
      <c r="J3" s="37"/>
      <c r="L3" s="37"/>
      <c r="M3" s="2" t="s">
        <v>25</v>
      </c>
      <c r="N3" s="2" t="s">
        <v>169</v>
      </c>
      <c r="O3" s="2" t="s">
        <v>5</v>
      </c>
      <c r="P3" s="37"/>
      <c r="Q3" s="38" t="s">
        <v>133</v>
      </c>
      <c r="R3" s="38" t="s">
        <v>133</v>
      </c>
      <c r="S3" s="37"/>
      <c r="T3" s="2" t="s">
        <v>128</v>
      </c>
      <c r="W3" s="2"/>
      <c r="X3" s="37"/>
      <c r="Y3" s="2" t="s">
        <v>61</v>
      </c>
      <c r="Z3" s="2" t="s">
        <v>61</v>
      </c>
      <c r="AA3" s="2" t="s">
        <v>61</v>
      </c>
      <c r="AB3" s="2" t="s">
        <v>61</v>
      </c>
      <c r="AC3" s="38" t="s">
        <v>61</v>
      </c>
      <c r="AD3" s="2" t="s">
        <v>61</v>
      </c>
      <c r="AE3"/>
      <c r="AF3"/>
      <c r="AG3"/>
      <c r="AH3"/>
      <c r="AN3" s="46" t="s">
        <v>2103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46" t="s">
        <v>1703</v>
      </c>
      <c r="AT3" s="3"/>
      <c r="AU3" s="46"/>
      <c r="AV3" s="3"/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2115</v>
      </c>
      <c r="BB3" s="46" t="s">
        <v>2102</v>
      </c>
      <c r="BC3" s="46" t="s">
        <v>2098</v>
      </c>
      <c r="BD3" s="46" t="s">
        <v>2098</v>
      </c>
      <c r="BE3" s="46" t="s">
        <v>2098</v>
      </c>
      <c r="BF3" s="46" t="s">
        <v>2098</v>
      </c>
      <c r="BG3" s="46" t="s">
        <v>2098</v>
      </c>
      <c r="BI3" s="46" t="s">
        <v>2444</v>
      </c>
      <c r="BJ3" s="46" t="s">
        <v>2444</v>
      </c>
    </row>
    <row r="4" spans="1:62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L4" s="41" t="s">
        <v>8</v>
      </c>
      <c r="M4" s="2" t="s">
        <v>9</v>
      </c>
      <c r="N4" s="41" t="s">
        <v>145</v>
      </c>
      <c r="O4" s="2" t="s">
        <v>10</v>
      </c>
      <c r="P4" s="37"/>
      <c r="Q4" s="38" t="s">
        <v>101</v>
      </c>
      <c r="R4" s="38" t="s">
        <v>103</v>
      </c>
      <c r="S4" s="37"/>
      <c r="T4" s="13" t="s">
        <v>229</v>
      </c>
      <c r="U4" s="2" t="s">
        <v>126</v>
      </c>
      <c r="V4" s="2" t="s">
        <v>126</v>
      </c>
      <c r="W4" s="2" t="s">
        <v>126</v>
      </c>
      <c r="X4" s="37"/>
      <c r="Y4" s="2" t="s">
        <v>109</v>
      </c>
      <c r="Z4" s="2" t="s">
        <v>111</v>
      </c>
      <c r="AA4" s="2" t="s">
        <v>152</v>
      </c>
      <c r="AB4" s="2" t="s">
        <v>112</v>
      </c>
      <c r="AC4" s="38" t="s">
        <v>87</v>
      </c>
      <c r="AD4" s="2" t="s">
        <v>87</v>
      </c>
      <c r="AE4"/>
      <c r="AF4"/>
      <c r="AG4"/>
      <c r="AH4"/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T4" s="3"/>
      <c r="AU4" s="139" t="s">
        <v>237</v>
      </c>
      <c r="AV4" s="3"/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>
        <v>6572</v>
      </c>
      <c r="BD4" s="46">
        <v>8398</v>
      </c>
      <c r="BE4" s="46">
        <v>86</v>
      </c>
      <c r="BF4" s="46">
        <v>9394</v>
      </c>
      <c r="BG4" s="46">
        <v>7377</v>
      </c>
      <c r="BI4" s="46" t="s">
        <v>131</v>
      </c>
      <c r="BJ4" s="46" t="s">
        <v>2097</v>
      </c>
    </row>
    <row r="5" spans="1:62">
      <c r="A5">
        <v>1926</v>
      </c>
      <c r="K5" s="32"/>
      <c r="O5" s="2"/>
      <c r="P5" s="37"/>
      <c r="R5" s="32"/>
      <c r="S5" s="37"/>
      <c r="W5" s="2"/>
      <c r="X5" s="37"/>
      <c r="AE5"/>
      <c r="AF5"/>
      <c r="AG5"/>
      <c r="AH5"/>
      <c r="AN5">
        <v>1926</v>
      </c>
      <c r="AS5" s="2"/>
      <c r="AV5" s="12"/>
      <c r="AY5" s="3"/>
      <c r="BA5"/>
      <c r="BB5" s="9"/>
      <c r="BI5" s="3"/>
      <c r="BJ5" s="3"/>
    </row>
    <row r="6" spans="1:62">
      <c r="A6">
        <v>1927</v>
      </c>
      <c r="K6" s="32"/>
      <c r="O6" s="2"/>
      <c r="P6" s="37"/>
      <c r="R6" s="32"/>
      <c r="S6" s="37"/>
      <c r="W6" s="2"/>
      <c r="X6" s="37"/>
      <c r="AE6"/>
      <c r="AF6"/>
      <c r="AG6"/>
      <c r="AH6"/>
      <c r="AN6">
        <v>1927</v>
      </c>
      <c r="AS6" s="2"/>
      <c r="AV6" s="12"/>
      <c r="AY6" s="3"/>
      <c r="BA6"/>
      <c r="BB6" s="9"/>
      <c r="BI6" s="3"/>
      <c r="BJ6" s="3"/>
    </row>
    <row r="7" spans="1:62">
      <c r="A7">
        <v>1928</v>
      </c>
      <c r="K7" s="32"/>
      <c r="O7" s="2"/>
      <c r="P7" s="37"/>
      <c r="R7" s="32"/>
      <c r="S7" s="37"/>
      <c r="W7" s="2"/>
      <c r="X7" s="37"/>
      <c r="AE7"/>
      <c r="AF7"/>
      <c r="AG7"/>
      <c r="AH7"/>
      <c r="AN7">
        <v>1928</v>
      </c>
      <c r="AS7" s="2"/>
      <c r="AV7" s="12"/>
      <c r="AY7" s="3"/>
      <c r="BA7"/>
      <c r="BB7" s="9"/>
      <c r="BI7" s="3"/>
      <c r="BJ7" s="3"/>
    </row>
    <row r="8" spans="1:62">
      <c r="A8">
        <v>1929</v>
      </c>
      <c r="K8" s="32"/>
      <c r="O8" s="2"/>
      <c r="P8" s="37"/>
      <c r="R8" s="32"/>
      <c r="S8" s="37"/>
      <c r="W8" s="2"/>
      <c r="X8" s="37"/>
      <c r="AE8"/>
      <c r="AF8"/>
      <c r="AG8"/>
      <c r="AH8"/>
      <c r="AN8">
        <v>1929</v>
      </c>
      <c r="AS8" s="2"/>
      <c r="AV8" s="12"/>
      <c r="AY8" s="3"/>
      <c r="BA8"/>
      <c r="BB8" s="9"/>
      <c r="BI8" s="3"/>
      <c r="BJ8" s="3"/>
    </row>
    <row r="9" spans="1:62">
      <c r="A9">
        <v>1930</v>
      </c>
      <c r="K9" s="32"/>
      <c r="O9" s="2"/>
      <c r="P9" s="37"/>
      <c r="R9" s="32"/>
      <c r="S9" s="37"/>
      <c r="W9" s="2"/>
      <c r="X9" s="37"/>
      <c r="AE9"/>
      <c r="AF9"/>
      <c r="AG9"/>
      <c r="AH9"/>
      <c r="AN9">
        <v>1930</v>
      </c>
      <c r="AS9" s="2"/>
      <c r="AV9" s="12"/>
      <c r="AY9" s="3"/>
      <c r="BA9"/>
      <c r="BB9" s="9"/>
      <c r="BI9" s="3"/>
      <c r="BJ9" s="3"/>
    </row>
    <row r="10" spans="1:62">
      <c r="A10">
        <v>1931</v>
      </c>
      <c r="K10" s="32"/>
      <c r="O10" s="2"/>
      <c r="P10" s="37"/>
      <c r="R10" s="32"/>
      <c r="S10" s="37"/>
      <c r="W10" s="2"/>
      <c r="X10" s="37"/>
      <c r="AE10"/>
      <c r="AF10"/>
      <c r="AG10"/>
      <c r="AH10"/>
      <c r="AN10">
        <v>1931</v>
      </c>
      <c r="AS10" s="2"/>
      <c r="AV10" s="12"/>
      <c r="AY10" s="3"/>
      <c r="BA10"/>
      <c r="BB10" s="9"/>
      <c r="BI10" s="3"/>
      <c r="BJ10" s="3"/>
    </row>
    <row r="11" spans="1:62">
      <c r="A11">
        <v>1932</v>
      </c>
      <c r="K11" s="32"/>
      <c r="O11" s="2"/>
      <c r="P11" s="37"/>
      <c r="R11" s="32"/>
      <c r="S11" s="37"/>
      <c r="W11" s="2"/>
      <c r="X11" s="37"/>
      <c r="AE11"/>
      <c r="AF11"/>
      <c r="AG11"/>
      <c r="AH11"/>
      <c r="AN11">
        <v>1932</v>
      </c>
      <c r="AS11" s="2"/>
      <c r="AV11" s="12"/>
      <c r="AY11" s="3"/>
      <c r="BA11"/>
      <c r="BB11" s="9"/>
      <c r="BI11" s="3"/>
      <c r="BJ11" s="3"/>
    </row>
    <row r="12" spans="1:62">
      <c r="A12">
        <v>1933</v>
      </c>
      <c r="K12" s="32"/>
      <c r="O12" s="2"/>
      <c r="P12" s="37"/>
      <c r="R12" s="32"/>
      <c r="S12" s="37"/>
      <c r="W12" s="2"/>
      <c r="X12" s="37"/>
      <c r="AE12"/>
      <c r="AF12"/>
      <c r="AG12"/>
      <c r="AH12"/>
      <c r="AN12">
        <v>1933</v>
      </c>
      <c r="AS12" s="2"/>
      <c r="AV12" s="12"/>
      <c r="AY12" s="3"/>
      <c r="BA12"/>
      <c r="BB12" s="9"/>
      <c r="BI12" s="3"/>
      <c r="BJ12" s="3"/>
    </row>
    <row r="13" spans="1:62">
      <c r="A13">
        <v>1934</v>
      </c>
      <c r="K13" s="32"/>
      <c r="O13" s="2"/>
      <c r="P13" s="37"/>
      <c r="R13" s="32"/>
      <c r="S13" s="37"/>
      <c r="W13" s="2"/>
      <c r="X13" s="37"/>
      <c r="AE13"/>
      <c r="AF13"/>
      <c r="AG13"/>
      <c r="AH13"/>
      <c r="AN13">
        <v>1934</v>
      </c>
      <c r="AS13" s="2"/>
      <c r="AV13" s="12"/>
      <c r="AY13" s="3"/>
      <c r="BA13"/>
      <c r="BB13" s="9"/>
      <c r="BI13" s="3"/>
      <c r="BJ13" s="3"/>
    </row>
    <row r="14" spans="1:62">
      <c r="A14">
        <v>1935</v>
      </c>
      <c r="K14" s="32"/>
      <c r="O14" s="2"/>
      <c r="P14" s="37"/>
      <c r="R14" s="32"/>
      <c r="S14" s="37"/>
      <c r="W14" s="2"/>
      <c r="X14" s="37"/>
      <c r="AE14"/>
      <c r="AF14"/>
      <c r="AG14"/>
      <c r="AH14"/>
      <c r="AN14">
        <v>1935</v>
      </c>
      <c r="AS14" s="2"/>
      <c r="AV14" s="12"/>
      <c r="AY14" s="3"/>
      <c r="BA14"/>
      <c r="BB14" s="9"/>
      <c r="BI14" s="3"/>
      <c r="BJ14" s="3"/>
    </row>
    <row r="15" spans="1:62">
      <c r="A15">
        <v>1936</v>
      </c>
      <c r="K15" s="32"/>
      <c r="O15" s="2"/>
      <c r="P15" s="37"/>
      <c r="R15" s="32"/>
      <c r="S15" s="37"/>
      <c r="W15" s="2"/>
      <c r="X15" s="37"/>
      <c r="AE15"/>
      <c r="AF15"/>
      <c r="AG15"/>
      <c r="AH15"/>
      <c r="AN15">
        <v>1936</v>
      </c>
      <c r="AS15" s="2"/>
      <c r="AV15" s="12"/>
      <c r="AY15" s="3"/>
      <c r="BA15"/>
      <c r="BB15" s="9"/>
      <c r="BI15" s="3"/>
      <c r="BJ15" s="3"/>
    </row>
    <row r="16" spans="1:62">
      <c r="A16">
        <v>1937</v>
      </c>
      <c r="K16" s="32"/>
      <c r="O16" s="2"/>
      <c r="P16" s="37"/>
      <c r="R16" s="32"/>
      <c r="S16" s="37"/>
      <c r="W16" s="2"/>
      <c r="X16" s="37"/>
      <c r="AE16"/>
      <c r="AF16"/>
      <c r="AG16"/>
      <c r="AH16"/>
      <c r="AN16">
        <v>1937</v>
      </c>
      <c r="AS16" s="2"/>
      <c r="AV16" s="12"/>
      <c r="AY16" s="3"/>
      <c r="BA16"/>
      <c r="BB16" s="9"/>
      <c r="BI16" s="3"/>
      <c r="BJ16" s="3"/>
    </row>
    <row r="17" spans="1:62">
      <c r="A17">
        <v>1938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N17">
        <v>1938</v>
      </c>
      <c r="AS17" s="2"/>
      <c r="AV17" s="12"/>
      <c r="AY17" s="3"/>
      <c r="BA17"/>
      <c r="BB17" s="9"/>
      <c r="BI17" s="3"/>
      <c r="BJ17" s="3"/>
    </row>
    <row r="18" spans="1:62">
      <c r="A18">
        <v>1939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N18">
        <v>1939</v>
      </c>
      <c r="AS18" s="2"/>
      <c r="AV18" s="12"/>
      <c r="AY18" s="3"/>
      <c r="BA18"/>
      <c r="BB18" s="9"/>
      <c r="BI18" s="3"/>
      <c r="BJ18" s="3"/>
    </row>
    <row r="19" spans="1:62">
      <c r="A19">
        <v>1940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N19">
        <v>1940</v>
      </c>
      <c r="AS19" s="2"/>
      <c r="AV19" s="12"/>
      <c r="AY19" s="3"/>
      <c r="BA19"/>
      <c r="BB19" s="9"/>
      <c r="BI19" s="3"/>
      <c r="BJ19" s="3"/>
    </row>
    <row r="20" spans="1:62">
      <c r="A20">
        <v>1941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N20">
        <v>1941</v>
      </c>
      <c r="AS20" s="2"/>
      <c r="AV20" s="12"/>
      <c r="AY20" s="3"/>
      <c r="BA20"/>
      <c r="BB20" s="9"/>
      <c r="BI20" s="3"/>
      <c r="BJ20" s="3"/>
    </row>
    <row r="21" spans="1:62">
      <c r="A21">
        <v>1942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N21">
        <v>1942</v>
      </c>
      <c r="AS21" s="2"/>
      <c r="AV21" s="12"/>
      <c r="AY21" s="3"/>
      <c r="BA21"/>
      <c r="BB21" s="9"/>
      <c r="BI21" s="3"/>
      <c r="BJ21" s="3"/>
    </row>
    <row r="22" spans="1:62">
      <c r="A22">
        <v>1943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N22">
        <v>1943</v>
      </c>
      <c r="AS22" s="2"/>
      <c r="AV22" s="12"/>
      <c r="AY22" s="3"/>
      <c r="BA22"/>
      <c r="BB22" s="9"/>
      <c r="BI22" s="3"/>
      <c r="BJ22" s="3"/>
    </row>
    <row r="23" spans="1:62">
      <c r="A23">
        <v>1944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N23">
        <v>1944</v>
      </c>
      <c r="AS23" s="2"/>
      <c r="AV23" s="12"/>
      <c r="AY23" s="3"/>
      <c r="BA23"/>
      <c r="BB23" s="9"/>
      <c r="BI23" s="3"/>
      <c r="BJ23" s="3"/>
    </row>
    <row r="24" spans="1:62">
      <c r="A24">
        <v>1945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N24">
        <v>1945</v>
      </c>
      <c r="AS24" s="2"/>
      <c r="AV24" s="12"/>
      <c r="AY24" s="3"/>
      <c r="BA24"/>
      <c r="BB24" s="9"/>
      <c r="BI24" s="3"/>
      <c r="BJ24" s="3"/>
    </row>
    <row r="25" spans="1:62">
      <c r="A25">
        <v>1946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N25">
        <v>1946</v>
      </c>
      <c r="AS25" s="2"/>
      <c r="AV25" s="12"/>
      <c r="AY25" s="3"/>
      <c r="BA25"/>
      <c r="BB25" s="9"/>
      <c r="BI25" s="3"/>
      <c r="BJ25" s="3"/>
    </row>
    <row r="26" spans="1:62">
      <c r="A26">
        <v>1947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N26">
        <v>1947</v>
      </c>
      <c r="AS26" s="2"/>
      <c r="AV26" s="12"/>
      <c r="AY26" s="3"/>
      <c r="BA26"/>
      <c r="BB26" s="9"/>
      <c r="BI26" s="3"/>
      <c r="BJ26" s="3"/>
    </row>
    <row r="27" spans="1:62">
      <c r="A27">
        <v>1948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N27">
        <v>1948</v>
      </c>
      <c r="AS27" s="2"/>
      <c r="AV27" s="12"/>
      <c r="AY27" s="3"/>
      <c r="BA27"/>
      <c r="BB27" s="9"/>
      <c r="BI27" s="3"/>
      <c r="BJ27" s="3"/>
    </row>
    <row r="28" spans="1:62">
      <c r="A28">
        <v>1949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N28">
        <v>1949</v>
      </c>
      <c r="AS28" s="2"/>
      <c r="AV28" s="12"/>
      <c r="AY28" s="3"/>
      <c r="BA28"/>
      <c r="BB28" s="9"/>
      <c r="BI28" s="3"/>
      <c r="BJ28" s="3"/>
    </row>
    <row r="29" spans="1:62">
      <c r="A29">
        <v>1950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N29">
        <v>1950</v>
      </c>
      <c r="AS29" s="2"/>
      <c r="AV29" s="12"/>
      <c r="AY29" s="3"/>
      <c r="BA29"/>
      <c r="BB29" s="9"/>
      <c r="BI29" s="3"/>
      <c r="BJ29" s="3"/>
    </row>
    <row r="30" spans="1:62">
      <c r="A30">
        <v>1951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N30">
        <v>1951</v>
      </c>
      <c r="AS30" s="2"/>
      <c r="AV30" s="12"/>
      <c r="AY30" s="3"/>
      <c r="BA30"/>
      <c r="BB30" s="9"/>
      <c r="BI30" s="3"/>
      <c r="BJ30" s="3"/>
    </row>
    <row r="31" spans="1:62">
      <c r="A31">
        <v>1952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N31">
        <v>1952</v>
      </c>
      <c r="AS31" s="2"/>
      <c r="AV31" s="12"/>
      <c r="AY31" s="3"/>
      <c r="BA31"/>
      <c r="BB31" s="9"/>
      <c r="BI31" s="3"/>
      <c r="BJ31" s="3"/>
    </row>
    <row r="32" spans="1:62">
      <c r="A32">
        <v>1953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N32">
        <v>1953</v>
      </c>
      <c r="AS32" s="2"/>
      <c r="AV32" s="12"/>
      <c r="AY32" s="3"/>
      <c r="BA32"/>
      <c r="BB32" s="9"/>
      <c r="BI32" s="3"/>
      <c r="BJ32" s="3"/>
    </row>
    <row r="33" spans="1:62">
      <c r="A33">
        <v>1954</v>
      </c>
      <c r="K33" s="32"/>
      <c r="O33" s="2"/>
      <c r="P33" s="37"/>
      <c r="R33" s="32"/>
      <c r="S33" s="37"/>
      <c r="W33" s="2"/>
      <c r="X33" s="37"/>
      <c r="AG33"/>
      <c r="AH33"/>
      <c r="AN33">
        <v>1954</v>
      </c>
      <c r="AS33" s="2"/>
      <c r="AV33" s="12"/>
      <c r="AY33" s="3"/>
      <c r="BA33"/>
      <c r="BB33" s="9"/>
      <c r="BI33" s="3"/>
      <c r="BJ33" s="3"/>
    </row>
    <row r="34" spans="1:62">
      <c r="A34">
        <v>1955</v>
      </c>
      <c r="K34" s="32"/>
      <c r="O34" s="2"/>
      <c r="P34" s="37"/>
      <c r="R34" s="32"/>
      <c r="S34" s="37"/>
      <c r="W34" s="2"/>
      <c r="X34" s="37"/>
      <c r="AG34"/>
      <c r="AH34"/>
      <c r="AN34">
        <v>1955</v>
      </c>
      <c r="AS34" s="2"/>
      <c r="AV34" s="12"/>
      <c r="AY34" s="3"/>
      <c r="BA34"/>
      <c r="BB34" s="9"/>
      <c r="BI34" s="3"/>
      <c r="BJ34" s="3"/>
    </row>
    <row r="35" spans="1:62">
      <c r="A35">
        <v>1956</v>
      </c>
      <c r="K35" s="32"/>
      <c r="O35" s="2"/>
      <c r="P35" s="37"/>
      <c r="R35" s="32"/>
      <c r="S35" s="37"/>
      <c r="W35" s="2"/>
      <c r="X35" s="37"/>
      <c r="AG35"/>
      <c r="AH35"/>
      <c r="AN35">
        <v>1956</v>
      </c>
      <c r="AS35" s="2"/>
      <c r="AV35" s="12"/>
      <c r="AY35" s="3"/>
      <c r="BA35"/>
      <c r="BB35" s="9"/>
      <c r="BI35" s="3"/>
      <c r="BJ35" s="3"/>
    </row>
    <row r="36" spans="1:62">
      <c r="A36">
        <v>1957</v>
      </c>
      <c r="K36" s="32"/>
      <c r="O36" s="2"/>
      <c r="P36" s="37"/>
      <c r="R36" s="32"/>
      <c r="S36" s="37"/>
      <c r="W36" s="2"/>
      <c r="X36" s="37"/>
      <c r="AG36"/>
      <c r="AH36"/>
      <c r="AN36">
        <v>1957</v>
      </c>
      <c r="AS36" s="2"/>
      <c r="AV36" s="12"/>
      <c r="AY36" s="3"/>
      <c r="BA36"/>
      <c r="BB36" s="9"/>
      <c r="BI36" s="3"/>
      <c r="BJ36" s="3"/>
    </row>
    <row r="37" spans="1:62">
      <c r="A37">
        <v>1958</v>
      </c>
      <c r="K37" s="32"/>
      <c r="O37" s="2"/>
      <c r="P37" s="37"/>
      <c r="R37" s="32"/>
      <c r="S37" s="37"/>
      <c r="W37" s="2"/>
      <c r="X37" s="37"/>
      <c r="AG37"/>
      <c r="AH37"/>
      <c r="AN37">
        <v>1958</v>
      </c>
      <c r="AS37" s="2"/>
      <c r="AV37" s="12"/>
      <c r="AY37" s="3"/>
      <c r="BA37"/>
      <c r="BB37" s="9"/>
      <c r="BI37" s="3"/>
      <c r="BJ37" s="3"/>
    </row>
    <row r="38" spans="1:62">
      <c r="A38">
        <v>1959</v>
      </c>
      <c r="K38" s="32"/>
      <c r="O38" s="2"/>
      <c r="P38" s="37"/>
      <c r="R38" s="32"/>
      <c r="S38" s="37"/>
      <c r="W38" s="2"/>
      <c r="X38" s="37"/>
      <c r="AG38"/>
      <c r="AH38"/>
      <c r="AN38">
        <v>1959</v>
      </c>
      <c r="AS38" s="2"/>
      <c r="AV38" s="12"/>
      <c r="AY38" s="3"/>
      <c r="BA38"/>
      <c r="BB38" s="9"/>
      <c r="BI38" s="3"/>
      <c r="BJ38" s="3"/>
    </row>
    <row r="39" spans="1:62">
      <c r="A39">
        <v>1960</v>
      </c>
      <c r="K39" s="32"/>
      <c r="O39" s="2"/>
      <c r="P39" s="37"/>
      <c r="R39" s="32"/>
      <c r="S39" s="37"/>
      <c r="W39" s="2"/>
      <c r="X39" s="37"/>
      <c r="AG39"/>
      <c r="AH39"/>
      <c r="AN39">
        <v>1960</v>
      </c>
      <c r="AS39" s="2"/>
      <c r="AV39" s="12"/>
      <c r="AY39" s="3"/>
      <c r="BA39"/>
      <c r="BB39" s="9"/>
      <c r="BI39" s="3"/>
      <c r="BJ39" s="3"/>
    </row>
    <row r="40" spans="1:62">
      <c r="A40">
        <v>1961</v>
      </c>
      <c r="K40" s="32"/>
      <c r="O40" s="2"/>
      <c r="P40" s="37"/>
      <c r="R40" s="32"/>
      <c r="S40" s="37"/>
      <c r="W40" s="2"/>
      <c r="X40" s="37"/>
      <c r="AG40"/>
      <c r="AH40"/>
      <c r="AN40">
        <v>1961</v>
      </c>
      <c r="AS40" s="2"/>
      <c r="AV40" s="12"/>
      <c r="AY40" s="3"/>
      <c r="BA40"/>
      <c r="BB40" s="9"/>
      <c r="BI40" s="3"/>
      <c r="BJ40" s="3"/>
    </row>
    <row r="41" spans="1:62">
      <c r="A41">
        <v>1962</v>
      </c>
      <c r="K41" s="32"/>
      <c r="O41" s="2"/>
      <c r="P41" s="37"/>
      <c r="R41" s="32"/>
      <c r="S41" s="37"/>
      <c r="W41" s="2"/>
      <c r="X41" s="37"/>
      <c r="AG41"/>
      <c r="AH41"/>
      <c r="AN41">
        <v>1962</v>
      </c>
      <c r="AS41" s="2"/>
      <c r="AV41" s="12"/>
      <c r="AY41" s="3"/>
      <c r="BA41"/>
      <c r="BB41" s="9"/>
      <c r="BI41" s="3"/>
      <c r="BJ41" s="3"/>
    </row>
    <row r="42" spans="1:62">
      <c r="A42">
        <v>1963</v>
      </c>
      <c r="K42" s="32"/>
      <c r="O42" s="2"/>
      <c r="P42" s="37"/>
      <c r="R42" s="32"/>
      <c r="S42" s="37"/>
      <c r="W42" s="2"/>
      <c r="X42" s="37"/>
      <c r="AG42"/>
      <c r="AH42"/>
      <c r="AN42" s="46" t="s">
        <v>2103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46" t="s">
        <v>1703</v>
      </c>
      <c r="AT42" s="3"/>
      <c r="AU42" s="46"/>
      <c r="AV42" s="3"/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2115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F42" s="46" t="s">
        <v>2098</v>
      </c>
      <c r="BG42" s="46" t="s">
        <v>2098</v>
      </c>
      <c r="BI42" s="46" t="s">
        <v>2444</v>
      </c>
      <c r="BJ42" s="46" t="s">
        <v>2444</v>
      </c>
    </row>
    <row r="43" spans="1:62">
      <c r="A43">
        <v>1964</v>
      </c>
      <c r="K43" s="32"/>
      <c r="O43" s="2"/>
      <c r="P43" s="37"/>
      <c r="R43" s="32"/>
      <c r="S43" s="37"/>
      <c r="W43" s="2"/>
      <c r="X43" s="37"/>
      <c r="AG43"/>
      <c r="AH43"/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T43" s="3"/>
      <c r="AU43" s="139" t="s">
        <v>237</v>
      </c>
      <c r="AV43" s="3"/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6572</v>
      </c>
      <c r="BD43" s="46">
        <v>8398</v>
      </c>
      <c r="BE43" s="46">
        <v>86</v>
      </c>
      <c r="BF43" s="46">
        <v>9394</v>
      </c>
      <c r="BG43" s="46">
        <v>7377</v>
      </c>
      <c r="BI43" s="46" t="s">
        <v>131</v>
      </c>
      <c r="BJ43" s="46" t="s">
        <v>2097</v>
      </c>
    </row>
    <row r="44" spans="1:62">
      <c r="A44">
        <v>1965</v>
      </c>
      <c r="B44" s="3">
        <f t="shared" ref="B44:B88" si="0">I44/G44*100/C44*100</f>
        <v>121.7233570742799</v>
      </c>
      <c r="C44" s="3">
        <f t="shared" ref="C44:C87" si="1">E44/E$89*100</f>
        <v>14.459024846529534</v>
      </c>
      <c r="D44" s="2">
        <v>85.054199999999994</v>
      </c>
      <c r="E44" s="2">
        <v>20.692699999999999</v>
      </c>
      <c r="F44" s="2">
        <f>D44*E44/100</f>
        <v>17.600010443399995</v>
      </c>
      <c r="G44" s="2">
        <f>N44*G45/N45</f>
        <v>0.32478451657961088</v>
      </c>
      <c r="H44" s="2">
        <f>F44*G44/100</f>
        <v>5.7162108836557701E-2</v>
      </c>
      <c r="I44" s="32">
        <f t="shared" ref="I44:I67" si="2">H44</f>
        <v>5.7162108836557701E-2</v>
      </c>
      <c r="J44" s="32">
        <f t="shared" ref="J44:J76" si="3">AX44*AU44/100</f>
        <v>5.6819098460386887E-2</v>
      </c>
      <c r="K44" s="32"/>
      <c r="N44" s="2">
        <v>624.70000000000005</v>
      </c>
      <c r="O44" s="2"/>
      <c r="P44" s="37"/>
      <c r="Q44" s="32">
        <f t="shared" ref="Q44:Q78" si="4">I44-AC44</f>
        <v>1.4519175644485655E-2</v>
      </c>
      <c r="R44" s="32">
        <f t="shared" ref="R44:R89" si="5">R$103+R$104*T44+R$105*U44+R$106*V44+R$107*W44</f>
        <v>5.124705017778866</v>
      </c>
      <c r="S44" s="37"/>
      <c r="T44" s="2">
        <f>USA!Z52*G44</f>
        <v>1.0717889047127158</v>
      </c>
      <c r="U44" s="2">
        <v>0</v>
      </c>
      <c r="V44" s="2">
        <v>0</v>
      </c>
      <c r="W44" s="2">
        <v>0</v>
      </c>
      <c r="X44" s="37"/>
      <c r="Y44" s="2">
        <v>0.746</v>
      </c>
      <c r="Z44" s="2">
        <f t="shared" ref="Z44:Z77" si="6">AC44-AB44</f>
        <v>3.6518421531012292E-2</v>
      </c>
      <c r="AA44" s="39">
        <f t="shared" ref="AA44:AA50" si="7">AA45</f>
        <v>0.12</v>
      </c>
      <c r="AB44" s="2">
        <f t="shared" ref="AB44:AB75" si="8">AA44*(I44*(1/(1+AA44)))</f>
        <v>6.124511661059753E-3</v>
      </c>
      <c r="AC44" s="2">
        <f t="shared" ref="AC44:AC72" si="9">Y44*I44</f>
        <v>4.2642933192072047E-2</v>
      </c>
      <c r="AF44" s="2">
        <v>0</v>
      </c>
      <c r="AG44"/>
      <c r="AH44"/>
      <c r="AN44">
        <v>1965</v>
      </c>
      <c r="AO44" s="2">
        <f t="shared" ref="AO44:AO89" si="10">I44</f>
        <v>5.7162108836557701E-2</v>
      </c>
      <c r="AP44" s="2">
        <f>Z44</f>
        <v>3.6518421531012292E-2</v>
      </c>
      <c r="AQ44" s="2">
        <f>AB44</f>
        <v>6.124511661059753E-3</v>
      </c>
      <c r="AR44" s="2">
        <f>AC44</f>
        <v>4.2642933192072047E-2</v>
      </c>
      <c r="AS44" s="2">
        <f t="shared" ref="AS44:AS75" si="11">AO44-AR44</f>
        <v>1.4519175644485655E-2</v>
      </c>
      <c r="AU44" s="7">
        <v>5.271275810690657</v>
      </c>
      <c r="AV44" s="12"/>
      <c r="AW44" s="3">
        <f t="shared" ref="AW44:AW75" si="12">AO44/$AU44*100</f>
        <v>1.0844074734360782</v>
      </c>
      <c r="AX44" s="3">
        <f>BA44+AY44</f>
        <v>1.0779003129593838</v>
      </c>
      <c r="AY44" s="3">
        <f t="shared" ref="AY44:AY89" si="13">AR44/$AU44*100</f>
        <v>0.80896797518331431</v>
      </c>
      <c r="AZ44" s="3">
        <f t="shared" ref="AZ44:AZ51" si="14">AW44-AY44</f>
        <v>0.27543949825276393</v>
      </c>
      <c r="BA44" s="3">
        <f t="shared" ref="BA44:BA75" si="15">AX$99+AX$100*BB44+AX$101*BC44+AX$102*BD44+AX$103*BE44+AX$104*BF44+AX$105*BG44</f>
        <v>0.26893233777606962</v>
      </c>
      <c r="BB44" s="3">
        <f t="shared" ref="BB44:BB75" si="16">T44/AU44*100</f>
        <v>20.332628062053296</v>
      </c>
      <c r="BC44" s="23">
        <v>1</v>
      </c>
      <c r="BD44">
        <v>0</v>
      </c>
      <c r="BE44">
        <v>0</v>
      </c>
      <c r="BF44">
        <v>0</v>
      </c>
      <c r="BG44">
        <v>0</v>
      </c>
      <c r="BI44" s="3">
        <f t="shared" ref="BI44:BI96" si="17">AW44*$AU$97/$AU$89</f>
        <v>1.190056924430529</v>
      </c>
      <c r="BJ44" s="3">
        <f t="shared" ref="BJ44:BJ96" si="18">AX44*$AU$97/$AU$89</f>
        <v>1.182915797526328</v>
      </c>
    </row>
    <row r="45" spans="1:62">
      <c r="A45">
        <v>1966</v>
      </c>
      <c r="B45" s="3">
        <f t="shared" si="0"/>
        <v>128.93265904010508</v>
      </c>
      <c r="C45" s="3">
        <f t="shared" si="1"/>
        <v>14.891495218110531</v>
      </c>
      <c r="D45" s="2">
        <v>90.091700000000003</v>
      </c>
      <c r="E45" s="2">
        <v>21.311620000000001</v>
      </c>
      <c r="F45" s="2">
        <f t="shared" ref="F45:F78" si="19">D45*E45/100</f>
        <v>19.200000755540003</v>
      </c>
      <c r="G45" s="2">
        <f>N45*G46/N46</f>
        <v>0.3246805356234464</v>
      </c>
      <c r="H45" s="2">
        <f t="shared" ref="H45:H78" si="20">F45*G45/100</f>
        <v>6.2338665292793041E-2</v>
      </c>
      <c r="I45" s="32">
        <f t="shared" si="2"/>
        <v>6.2338665292793041E-2</v>
      </c>
      <c r="J45" s="32">
        <f t="shared" si="3"/>
        <v>6.2102877101394914E-2</v>
      </c>
      <c r="K45" s="32"/>
      <c r="N45" s="2">
        <v>624.5</v>
      </c>
      <c r="O45" s="2"/>
      <c r="P45" s="37"/>
      <c r="Q45" s="32">
        <f t="shared" si="4"/>
        <v>1.4587247678513569E-2</v>
      </c>
      <c r="R45" s="32">
        <f t="shared" si="5"/>
        <v>5.1244613509738324</v>
      </c>
      <c r="S45" s="37"/>
      <c r="T45" s="2">
        <f>USA!Z53*G45</f>
        <v>1.071445767557373</v>
      </c>
      <c r="U45" s="2">
        <v>0</v>
      </c>
      <c r="V45" s="2">
        <v>0</v>
      </c>
      <c r="W45" s="2">
        <v>0</v>
      </c>
      <c r="X45" s="37"/>
      <c r="Y45" s="2">
        <v>0.76600000000000001</v>
      </c>
      <c r="Z45" s="2">
        <f t="shared" si="6"/>
        <v>4.1072274904337361E-2</v>
      </c>
      <c r="AA45" s="39">
        <f t="shared" si="7"/>
        <v>0.12</v>
      </c>
      <c r="AB45" s="2">
        <f t="shared" si="8"/>
        <v>6.6791427099421102E-3</v>
      </c>
      <c r="AC45" s="2">
        <f t="shared" si="9"/>
        <v>4.7751417614279472E-2</v>
      </c>
      <c r="AG45"/>
      <c r="AH45"/>
      <c r="AN45">
        <v>1966</v>
      </c>
      <c r="AO45" s="2">
        <f t="shared" si="10"/>
        <v>6.2338665292793041E-2</v>
      </c>
      <c r="AP45" s="2">
        <f t="shared" ref="AP45:AP97" si="21">Z45</f>
        <v>4.1072274904337361E-2</v>
      </c>
      <c r="AQ45" s="2">
        <f t="shared" ref="AQ45:AQ96" si="22">AB45</f>
        <v>6.6791427099421102E-3</v>
      </c>
      <c r="AR45" s="2">
        <f t="shared" ref="AR45:AR76" si="23">AC45</f>
        <v>4.7751417614279472E-2</v>
      </c>
      <c r="AS45" s="2">
        <f t="shared" si="11"/>
        <v>1.4587247678513569E-2</v>
      </c>
      <c r="AU45" s="7">
        <v>5.3949710944495015</v>
      </c>
      <c r="AV45" s="12"/>
      <c r="AW45" s="3">
        <f t="shared" si="12"/>
        <v>1.1554958164081512</v>
      </c>
      <c r="AX45" s="3">
        <f t="shared" ref="AX45:AX89" si="24">BA45+AY45</f>
        <v>1.1511252982483651</v>
      </c>
      <c r="AY45" s="3">
        <f t="shared" si="13"/>
        <v>0.88510979536864398</v>
      </c>
      <c r="AZ45" s="3">
        <f t="shared" si="14"/>
        <v>0.27038602103950726</v>
      </c>
      <c r="BA45" s="3">
        <f t="shared" si="15"/>
        <v>0.26601550287972098</v>
      </c>
      <c r="BB45" s="3">
        <f t="shared" si="16"/>
        <v>19.860083563000117</v>
      </c>
      <c r="BC45" s="23">
        <v>1</v>
      </c>
      <c r="BD45">
        <v>0</v>
      </c>
      <c r="BE45">
        <v>0</v>
      </c>
      <c r="BF45">
        <v>0</v>
      </c>
      <c r="BG45">
        <v>0</v>
      </c>
      <c r="BI45" s="3">
        <f t="shared" si="17"/>
        <v>1.2680711182391946</v>
      </c>
      <c r="BJ45" s="3">
        <f t="shared" si="18"/>
        <v>1.263274798104179</v>
      </c>
    </row>
    <row r="46" spans="1:62">
      <c r="A46">
        <v>1967</v>
      </c>
      <c r="B46" s="3">
        <f t="shared" si="0"/>
        <v>125.45058407969829</v>
      </c>
      <c r="C46" s="3">
        <f t="shared" si="1"/>
        <v>15.30482682623647</v>
      </c>
      <c r="D46" s="2">
        <v>87.658600000000007</v>
      </c>
      <c r="E46" s="2">
        <v>21.90315</v>
      </c>
      <c r="F46" s="2">
        <f t="shared" si="19"/>
        <v>19.199994645900002</v>
      </c>
      <c r="G46" s="2">
        <f>N46*G47/N47</f>
        <v>0.32436859275495306</v>
      </c>
      <c r="H46" s="2">
        <f t="shared" si="20"/>
        <v>6.2278752441932171E-2</v>
      </c>
      <c r="I46" s="32">
        <f t="shared" si="2"/>
        <v>6.2278752441932171E-2</v>
      </c>
      <c r="J46" s="32">
        <f t="shared" si="3"/>
        <v>6.2464066466010319E-2</v>
      </c>
      <c r="K46" s="32"/>
      <c r="N46" s="2">
        <v>623.9</v>
      </c>
      <c r="O46" s="2"/>
      <c r="P46" s="37"/>
      <c r="Q46" s="32">
        <f t="shared" si="4"/>
        <v>1.4448670566528266E-2</v>
      </c>
      <c r="R46" s="32">
        <f t="shared" si="5"/>
        <v>5.1237303505587324</v>
      </c>
      <c r="S46" s="37"/>
      <c r="T46" s="2">
        <f>USA!Z54*G46</f>
        <v>1.0704163560913451</v>
      </c>
      <c r="U46" s="2">
        <v>0</v>
      </c>
      <c r="V46" s="2">
        <v>0</v>
      </c>
      <c r="W46" s="2">
        <v>0</v>
      </c>
      <c r="X46" s="37"/>
      <c r="Y46" s="2">
        <v>0.76800000000000002</v>
      </c>
      <c r="Z46" s="2">
        <f t="shared" si="6"/>
        <v>4.1157358399482605E-2</v>
      </c>
      <c r="AA46" s="39">
        <f t="shared" si="7"/>
        <v>0.12</v>
      </c>
      <c r="AB46" s="2">
        <f t="shared" si="8"/>
        <v>6.6727234759213034E-3</v>
      </c>
      <c r="AC46" s="2">
        <f t="shared" si="9"/>
        <v>4.7830081875403906E-2</v>
      </c>
      <c r="AG46"/>
      <c r="AH46"/>
      <c r="AN46">
        <v>1967</v>
      </c>
      <c r="AO46" s="2">
        <f t="shared" si="10"/>
        <v>6.2278752441932171E-2</v>
      </c>
      <c r="AP46" s="2">
        <f t="shared" si="21"/>
        <v>4.1157358399482605E-2</v>
      </c>
      <c r="AQ46" s="2">
        <f t="shared" si="22"/>
        <v>6.6727234759213034E-3</v>
      </c>
      <c r="AR46" s="2">
        <f t="shared" si="23"/>
        <v>4.7830081875403906E-2</v>
      </c>
      <c r="AS46" s="2">
        <f t="shared" si="11"/>
        <v>1.4448670566528266E-2</v>
      </c>
      <c r="AU46" s="7">
        <v>5.5963833306590463</v>
      </c>
      <c r="AV46" s="12"/>
      <c r="AW46" s="3">
        <f t="shared" si="12"/>
        <v>1.1128392885588494</v>
      </c>
      <c r="AX46" s="3">
        <f t="shared" si="24"/>
        <v>1.1161506061210851</v>
      </c>
      <c r="AY46" s="3">
        <f t="shared" si="13"/>
        <v>0.85466057361319636</v>
      </c>
      <c r="AZ46" s="3">
        <f t="shared" si="14"/>
        <v>0.25817871494565303</v>
      </c>
      <c r="BA46" s="3">
        <f t="shared" si="15"/>
        <v>0.2614900325078886</v>
      </c>
      <c r="BB46" s="3">
        <f t="shared" si="16"/>
        <v>19.126930605829138</v>
      </c>
      <c r="BC46" s="23">
        <v>1</v>
      </c>
      <c r="BD46">
        <v>0</v>
      </c>
      <c r="BE46">
        <v>0</v>
      </c>
      <c r="BF46">
        <v>0</v>
      </c>
      <c r="BG46">
        <v>0</v>
      </c>
      <c r="BI46" s="3">
        <f t="shared" si="17"/>
        <v>1.2212587367472318</v>
      </c>
      <c r="BJ46" s="3">
        <f t="shared" si="18"/>
        <v>1.2248926626380601</v>
      </c>
    </row>
    <row r="47" spans="1:62">
      <c r="A47">
        <v>1968</v>
      </c>
      <c r="B47" s="3">
        <f t="shared" si="0"/>
        <v>120.37351814342807</v>
      </c>
      <c r="C47" s="3">
        <f t="shared" si="1"/>
        <v>15.950346083448959</v>
      </c>
      <c r="D47" s="2">
        <v>84.111000000000004</v>
      </c>
      <c r="E47" s="2">
        <v>22.826969999999999</v>
      </c>
      <c r="F47" s="2">
        <f t="shared" si="19"/>
        <v>19.199992736700001</v>
      </c>
      <c r="G47" s="2">
        <f>N47*G48/N48</f>
        <v>0.3241606308426242</v>
      </c>
      <c r="H47" s="2">
        <f t="shared" si="20"/>
        <v>6.2238817577024742E-2</v>
      </c>
      <c r="I47" s="32">
        <f t="shared" si="2"/>
        <v>6.2238817577024742E-2</v>
      </c>
      <c r="J47" s="32">
        <f t="shared" si="3"/>
        <v>6.2407209132683654E-2</v>
      </c>
      <c r="K47" s="32"/>
      <c r="N47" s="2">
        <v>623.5</v>
      </c>
      <c r="O47" s="2"/>
      <c r="P47" s="37"/>
      <c r="Q47" s="32">
        <f t="shared" si="4"/>
        <v>1.4563883313023787E-2</v>
      </c>
      <c r="R47" s="32">
        <f t="shared" si="5"/>
        <v>5.1232430169486651</v>
      </c>
      <c r="S47" s="37"/>
      <c r="T47" s="2">
        <f>USA!Z55*G47</f>
        <v>1.0697300817806599</v>
      </c>
      <c r="U47" s="2">
        <v>0</v>
      </c>
      <c r="V47" s="2">
        <v>0</v>
      </c>
      <c r="W47" s="2">
        <v>0</v>
      </c>
      <c r="X47" s="37"/>
      <c r="Y47" s="2">
        <v>0.76600000000000001</v>
      </c>
      <c r="Z47" s="2">
        <f t="shared" si="6"/>
        <v>4.1006489523605444E-2</v>
      </c>
      <c r="AA47" s="39">
        <f t="shared" si="7"/>
        <v>0.12</v>
      </c>
      <c r="AB47" s="2">
        <f t="shared" si="8"/>
        <v>6.6684447403955079E-3</v>
      </c>
      <c r="AC47" s="2">
        <f t="shared" si="9"/>
        <v>4.7674934264000955E-2</v>
      </c>
      <c r="AG47"/>
      <c r="AH47"/>
      <c r="AN47">
        <v>1968</v>
      </c>
      <c r="AO47" s="2">
        <f t="shared" si="10"/>
        <v>6.2238817577024742E-2</v>
      </c>
      <c r="AP47" s="2">
        <f t="shared" si="21"/>
        <v>4.1006489523605444E-2</v>
      </c>
      <c r="AQ47" s="2">
        <f t="shared" si="22"/>
        <v>6.6684447403955079E-3</v>
      </c>
      <c r="AR47" s="2">
        <f t="shared" si="23"/>
        <v>4.7674934264000955E-2</v>
      </c>
      <c r="AS47" s="2">
        <f t="shared" si="11"/>
        <v>1.4563883313023787E-2</v>
      </c>
      <c r="AU47" s="7">
        <v>5.6678667184352207</v>
      </c>
      <c r="AV47" s="12"/>
      <c r="AW47" s="3">
        <f t="shared" si="12"/>
        <v>1.0980995261336628</v>
      </c>
      <c r="AX47" s="3">
        <f t="shared" si="24"/>
        <v>1.1010705126445348</v>
      </c>
      <c r="AY47" s="3">
        <f t="shared" si="13"/>
        <v>0.8411442370183857</v>
      </c>
      <c r="AZ47" s="3">
        <f t="shared" si="14"/>
        <v>0.2569552891152771</v>
      </c>
      <c r="BA47" s="3">
        <f t="shared" si="15"/>
        <v>0.25992627562614917</v>
      </c>
      <c r="BB47" s="3">
        <f t="shared" si="16"/>
        <v>18.873592745243485</v>
      </c>
      <c r="BC47" s="23">
        <v>1</v>
      </c>
      <c r="BD47">
        <v>0</v>
      </c>
      <c r="BE47">
        <v>0</v>
      </c>
      <c r="BF47">
        <v>0</v>
      </c>
      <c r="BG47">
        <v>0</v>
      </c>
      <c r="BI47" s="3">
        <f t="shared" si="17"/>
        <v>1.2050829386563418</v>
      </c>
      <c r="BJ47" s="3">
        <f t="shared" si="18"/>
        <v>1.2083433764126861</v>
      </c>
    </row>
    <row r="48" spans="1:62">
      <c r="A48">
        <v>1969</v>
      </c>
      <c r="B48" s="3">
        <f t="shared" si="0"/>
        <v>123.70632656387738</v>
      </c>
      <c r="C48" s="3">
        <f t="shared" si="1"/>
        <v>16.814008114047141</v>
      </c>
      <c r="D48" s="2">
        <v>86.439800000000005</v>
      </c>
      <c r="E48" s="2">
        <v>24.06298</v>
      </c>
      <c r="F48" s="2">
        <f t="shared" si="19"/>
        <v>20.79999178604</v>
      </c>
      <c r="G48" s="2">
        <f>N48*G49/N49</f>
        <v>0.32520044040426854</v>
      </c>
      <c r="H48" s="2">
        <f t="shared" si="20"/>
        <v>6.7641664892253761E-2</v>
      </c>
      <c r="I48" s="32">
        <f t="shared" si="2"/>
        <v>6.7641664892253761E-2</v>
      </c>
      <c r="J48" s="32">
        <f t="shared" si="3"/>
        <v>6.8000535331784864E-2</v>
      </c>
      <c r="K48" s="32"/>
      <c r="N48" s="2">
        <v>625.5</v>
      </c>
      <c r="O48" s="2"/>
      <c r="P48" s="37"/>
      <c r="Q48" s="32">
        <f t="shared" si="4"/>
        <v>1.461059961672681E-2</v>
      </c>
      <c r="R48" s="32">
        <f t="shared" si="5"/>
        <v>5.1256796849989996</v>
      </c>
      <c r="S48" s="37"/>
      <c r="T48" s="2">
        <f>USA!Z56*G48</f>
        <v>1.0731614533340861</v>
      </c>
      <c r="U48" s="2">
        <v>0</v>
      </c>
      <c r="V48" s="2">
        <v>0</v>
      </c>
      <c r="W48" s="2">
        <v>0</v>
      </c>
      <c r="X48" s="37"/>
      <c r="Y48" s="2">
        <v>0.78400000000000003</v>
      </c>
      <c r="Z48" s="2">
        <f t="shared" si="6"/>
        <v>4.5783744037071195E-2</v>
      </c>
      <c r="AA48" s="39">
        <f t="shared" si="7"/>
        <v>0.12</v>
      </c>
      <c r="AB48" s="2">
        <f t="shared" si="8"/>
        <v>7.2473212384557596E-3</v>
      </c>
      <c r="AC48" s="2">
        <f t="shared" si="9"/>
        <v>5.3031065275526951E-2</v>
      </c>
      <c r="AG48"/>
      <c r="AH48"/>
      <c r="AN48">
        <v>1969</v>
      </c>
      <c r="AO48" s="2">
        <f t="shared" si="10"/>
        <v>6.7641664892253761E-2</v>
      </c>
      <c r="AP48" s="2">
        <f t="shared" si="21"/>
        <v>4.5783744037071195E-2</v>
      </c>
      <c r="AQ48" s="2">
        <f t="shared" si="22"/>
        <v>7.2473212384557596E-3</v>
      </c>
      <c r="AR48" s="2">
        <f t="shared" si="23"/>
        <v>5.3031065275526951E-2</v>
      </c>
      <c r="AS48" s="2">
        <f t="shared" si="11"/>
        <v>1.461059961672681E-2</v>
      </c>
      <c r="AU48" s="7">
        <v>5.8184763335255099</v>
      </c>
      <c r="AV48" s="12"/>
      <c r="AW48" s="3">
        <f t="shared" si="12"/>
        <v>1.1625322681559929</v>
      </c>
      <c r="AX48" s="3">
        <f t="shared" si="24"/>
        <v>1.168700041623822</v>
      </c>
      <c r="AY48" s="3">
        <f t="shared" si="13"/>
        <v>0.91142529823429841</v>
      </c>
      <c r="AZ48" s="3">
        <f t="shared" si="14"/>
        <v>0.25110696992169446</v>
      </c>
      <c r="BA48" s="3">
        <f t="shared" si="15"/>
        <v>0.25727474338952361</v>
      </c>
      <c r="BB48" s="3">
        <f t="shared" si="16"/>
        <v>18.444028845672729</v>
      </c>
      <c r="BC48" s="23">
        <v>1</v>
      </c>
      <c r="BD48">
        <v>0</v>
      </c>
      <c r="BE48">
        <v>0</v>
      </c>
      <c r="BF48">
        <v>0</v>
      </c>
      <c r="BG48">
        <v>0</v>
      </c>
      <c r="BI48" s="3">
        <f t="shared" si="17"/>
        <v>1.2757931031305445</v>
      </c>
      <c r="BJ48" s="3">
        <f t="shared" si="18"/>
        <v>1.2825617779170166</v>
      </c>
    </row>
    <row r="49" spans="1:62">
      <c r="A49">
        <v>1970</v>
      </c>
      <c r="B49" s="3">
        <f t="shared" si="0"/>
        <v>137.03827580914535</v>
      </c>
      <c r="C49" s="3">
        <f t="shared" si="1"/>
        <v>17.805240938511318</v>
      </c>
      <c r="D49" s="2">
        <v>95.755499999999998</v>
      </c>
      <c r="E49" s="2">
        <v>25.481560000000002</v>
      </c>
      <c r="F49" s="2">
        <f t="shared" si="19"/>
        <v>24.399995185800002</v>
      </c>
      <c r="G49" s="2">
        <v>0.3239006784522131</v>
      </c>
      <c r="H49" s="2">
        <f t="shared" si="20"/>
        <v>7.9031749949113536E-2</v>
      </c>
      <c r="I49" s="32">
        <f t="shared" si="2"/>
        <v>7.9031749949113536E-2</v>
      </c>
      <c r="J49" s="32">
        <f t="shared" si="3"/>
        <v>7.9078137938343659E-2</v>
      </c>
      <c r="K49" s="32"/>
      <c r="N49" s="2">
        <v>623</v>
      </c>
      <c r="O49" s="2"/>
      <c r="P49" s="37"/>
      <c r="Q49" s="32">
        <f t="shared" si="4"/>
        <v>1.5411191240077129E-2</v>
      </c>
      <c r="R49" s="32">
        <f t="shared" si="5"/>
        <v>5.1341341847494046</v>
      </c>
      <c r="S49" s="37"/>
      <c r="T49" s="2">
        <f>USA!Z57*G49</f>
        <v>1.085067272814914</v>
      </c>
      <c r="U49" s="2">
        <v>0</v>
      </c>
      <c r="V49" s="2">
        <v>0</v>
      </c>
      <c r="W49" s="2">
        <v>0</v>
      </c>
      <c r="X49" s="37"/>
      <c r="Y49" s="2">
        <v>0.80500000000000005</v>
      </c>
      <c r="Z49" s="2">
        <f t="shared" si="6"/>
        <v>5.515287121448853E-2</v>
      </c>
      <c r="AA49" s="39">
        <f t="shared" si="7"/>
        <v>0.12</v>
      </c>
      <c r="AB49" s="2">
        <f t="shared" si="8"/>
        <v>8.4676874945478764E-3</v>
      </c>
      <c r="AC49" s="2">
        <f t="shared" si="9"/>
        <v>6.3620558709036407E-2</v>
      </c>
      <c r="AD49"/>
      <c r="AE49"/>
      <c r="AF49"/>
      <c r="AG49"/>
      <c r="AH49"/>
      <c r="AN49">
        <v>1970</v>
      </c>
      <c r="AO49" s="2">
        <f t="shared" si="10"/>
        <v>7.9031749949113536E-2</v>
      </c>
      <c r="AP49" s="2">
        <f t="shared" si="21"/>
        <v>5.515287121448853E-2</v>
      </c>
      <c r="AQ49" s="2">
        <f t="shared" si="22"/>
        <v>8.4676874945478764E-3</v>
      </c>
      <c r="AR49" s="2">
        <f t="shared" si="23"/>
        <v>6.3620558709036407E-2</v>
      </c>
      <c r="AS49" s="2">
        <f t="shared" si="11"/>
        <v>1.5411191240077129E-2</v>
      </c>
      <c r="AU49" s="7">
        <v>6.1075568568993246</v>
      </c>
      <c r="AV49" s="12"/>
      <c r="AW49" s="3">
        <f t="shared" si="12"/>
        <v>1.2939994141820608</v>
      </c>
      <c r="AX49" s="3">
        <f t="shared" si="24"/>
        <v>1.2947589321090649</v>
      </c>
      <c r="AY49" s="3">
        <f t="shared" si="13"/>
        <v>1.0416695284165591</v>
      </c>
      <c r="AZ49" s="3">
        <f t="shared" si="14"/>
        <v>0.25232988576550164</v>
      </c>
      <c r="BA49" s="3">
        <f t="shared" si="15"/>
        <v>0.25308940369250565</v>
      </c>
      <c r="BB49" s="3">
        <f t="shared" si="16"/>
        <v>17.765979068851099</v>
      </c>
      <c r="BC49" s="23">
        <v>1</v>
      </c>
      <c r="BD49">
        <v>0</v>
      </c>
      <c r="BE49">
        <v>0</v>
      </c>
      <c r="BF49">
        <v>0</v>
      </c>
      <c r="BG49">
        <v>0</v>
      </c>
      <c r="BI49" s="3">
        <f t="shared" si="17"/>
        <v>1.420068563504955</v>
      </c>
      <c r="BJ49" s="3">
        <f t="shared" si="18"/>
        <v>1.4209020782034441</v>
      </c>
    </row>
    <row r="50" spans="1:62">
      <c r="A50">
        <v>1971</v>
      </c>
      <c r="B50" s="3">
        <f t="shared" si="0"/>
        <v>139.5247157566242</v>
      </c>
      <c r="C50" s="3">
        <f t="shared" si="1"/>
        <v>18.563021376325832</v>
      </c>
      <c r="D50" s="2">
        <v>97.492900000000006</v>
      </c>
      <c r="E50" s="2">
        <v>26.566040000000001</v>
      </c>
      <c r="F50" s="2">
        <f t="shared" si="19"/>
        <v>25.900002811160004</v>
      </c>
      <c r="G50" s="2">
        <v>0.31935542735947636</v>
      </c>
      <c r="H50" s="2">
        <f t="shared" si="20"/>
        <v>8.271306466369642E-2</v>
      </c>
      <c r="I50" s="32">
        <f t="shared" si="2"/>
        <v>8.271306466369642E-2</v>
      </c>
      <c r="J50" s="32">
        <f t="shared" si="3"/>
        <v>8.2781316721288314E-2</v>
      </c>
      <c r="K50" s="32"/>
      <c r="O50" s="2"/>
      <c r="P50" s="37"/>
      <c r="Q50" s="32">
        <f t="shared" si="4"/>
        <v>1.6129047609420799E-2</v>
      </c>
      <c r="R50" s="32">
        <f t="shared" si="5"/>
        <v>5.1709451551767298</v>
      </c>
      <c r="S50" s="37"/>
      <c r="T50" s="2">
        <f>USA!Z58*G50</f>
        <v>1.1369053213997358</v>
      </c>
      <c r="U50" s="2">
        <v>0</v>
      </c>
      <c r="V50" s="2">
        <v>0</v>
      </c>
      <c r="W50" s="2">
        <v>0</v>
      </c>
      <c r="X50" s="37"/>
      <c r="Y50" s="2">
        <v>0.80500000000000005</v>
      </c>
      <c r="Z50" s="2">
        <f t="shared" si="6"/>
        <v>5.7721902983165291E-2</v>
      </c>
      <c r="AA50" s="39">
        <f t="shared" si="7"/>
        <v>0.12</v>
      </c>
      <c r="AB50" s="2">
        <f t="shared" si="8"/>
        <v>8.8621140711103302E-3</v>
      </c>
      <c r="AC50" s="2">
        <f t="shared" si="9"/>
        <v>6.6584017054275621E-2</v>
      </c>
      <c r="AD50"/>
      <c r="AE50"/>
      <c r="AF50"/>
      <c r="AG50"/>
      <c r="AH50"/>
      <c r="AN50">
        <v>1971</v>
      </c>
      <c r="AO50" s="2">
        <f t="shared" si="10"/>
        <v>8.271306466369642E-2</v>
      </c>
      <c r="AP50" s="2">
        <f t="shared" si="21"/>
        <v>5.7721902983165291E-2</v>
      </c>
      <c r="AQ50" s="2">
        <f t="shared" si="22"/>
        <v>8.8621140711103302E-3</v>
      </c>
      <c r="AR50" s="2">
        <f t="shared" si="23"/>
        <v>6.6584017054275621E-2</v>
      </c>
      <c r="AS50" s="2">
        <f t="shared" si="11"/>
        <v>1.6129047609420799E-2</v>
      </c>
      <c r="AU50" s="7">
        <v>6.4002106433176067</v>
      </c>
      <c r="AV50" s="12"/>
      <c r="AW50" s="3">
        <f t="shared" si="12"/>
        <v>1.2923491002605714</v>
      </c>
      <c r="AX50" s="3">
        <f t="shared" si="24"/>
        <v>1.2934155035618933</v>
      </c>
      <c r="AY50" s="3">
        <f t="shared" si="13"/>
        <v>1.0403410257097601</v>
      </c>
      <c r="AZ50" s="3">
        <f t="shared" si="14"/>
        <v>0.25200807455081131</v>
      </c>
      <c r="BA50" s="3">
        <f t="shared" si="15"/>
        <v>0.25307447785213322</v>
      </c>
      <c r="BB50" s="3">
        <f t="shared" si="16"/>
        <v>17.763560994461436</v>
      </c>
      <c r="BC50" s="23">
        <v>1</v>
      </c>
      <c r="BD50">
        <v>0</v>
      </c>
      <c r="BE50">
        <v>0</v>
      </c>
      <c r="BF50">
        <v>0</v>
      </c>
      <c r="BG50">
        <v>0</v>
      </c>
      <c r="BI50" s="3">
        <f t="shared" si="17"/>
        <v>1.4182574661473084</v>
      </c>
      <c r="BJ50" s="3">
        <f t="shared" si="18"/>
        <v>1.4194277648256755</v>
      </c>
    </row>
    <row r="51" spans="1:62">
      <c r="A51">
        <v>1972</v>
      </c>
      <c r="B51" s="3">
        <f t="shared" si="0"/>
        <v>146.99104812107208</v>
      </c>
      <c r="C51" s="3">
        <f t="shared" si="1"/>
        <v>19.17664269444656</v>
      </c>
      <c r="D51" s="2">
        <v>102.71</v>
      </c>
      <c r="E51" s="2">
        <v>27.444210000000002</v>
      </c>
      <c r="F51" s="2">
        <f t="shared" si="19"/>
        <v>28.187948090999999</v>
      </c>
      <c r="G51" s="2">
        <v>0.30120670154472257</v>
      </c>
      <c r="H51" s="2">
        <f t="shared" si="20"/>
        <v>8.490398867803968E-2</v>
      </c>
      <c r="I51" s="32">
        <f t="shared" si="2"/>
        <v>8.490398867803968E-2</v>
      </c>
      <c r="J51" s="32">
        <f t="shared" si="3"/>
        <v>8.4673983882487799E-2</v>
      </c>
      <c r="K51" s="32"/>
      <c r="O51" s="2"/>
      <c r="P51" s="37"/>
      <c r="Q51" s="32">
        <f t="shared" si="4"/>
        <v>1.655627779221773E-2</v>
      </c>
      <c r="R51" s="32">
        <f t="shared" si="5"/>
        <v>5.1250650125036143</v>
      </c>
      <c r="S51" s="37"/>
      <c r="T51" s="2">
        <f>USA!Z59*G51</f>
        <v>1.0722958574992123</v>
      </c>
      <c r="U51" s="2">
        <v>0</v>
      </c>
      <c r="V51" s="2">
        <v>0</v>
      </c>
      <c r="W51" s="2">
        <v>0</v>
      </c>
      <c r="X51" s="37"/>
      <c r="Y51" s="2">
        <v>0.80500000000000005</v>
      </c>
      <c r="Z51" s="2">
        <f t="shared" si="6"/>
        <v>5.9250854956031981E-2</v>
      </c>
      <c r="AA51" s="39">
        <f>AA52</f>
        <v>0.12</v>
      </c>
      <c r="AB51" s="2">
        <f t="shared" si="8"/>
        <v>9.0968559297899647E-3</v>
      </c>
      <c r="AC51" s="2">
        <f t="shared" si="9"/>
        <v>6.834771088582195E-2</v>
      </c>
      <c r="AD51"/>
      <c r="AE51"/>
      <c r="AF51"/>
      <c r="AG51"/>
      <c r="AH51"/>
      <c r="AN51">
        <v>1972</v>
      </c>
      <c r="AO51" s="2">
        <f t="shared" si="10"/>
        <v>8.490398867803968E-2</v>
      </c>
      <c r="AP51" s="2">
        <f t="shared" si="21"/>
        <v>5.9250854956031981E-2</v>
      </c>
      <c r="AQ51" s="2">
        <f t="shared" si="22"/>
        <v>9.0968559297899647E-3</v>
      </c>
      <c r="AR51" s="2">
        <f t="shared" si="23"/>
        <v>6.834771088582195E-2</v>
      </c>
      <c r="AS51" s="2">
        <f t="shared" si="11"/>
        <v>1.655627779221773E-2</v>
      </c>
      <c r="AU51" s="7">
        <v>6.7681909462614707</v>
      </c>
      <c r="AV51" s="12"/>
      <c r="AW51" s="3">
        <f t="shared" si="12"/>
        <v>1.2544561663842817</v>
      </c>
      <c r="AX51" s="3">
        <f t="shared" si="24"/>
        <v>1.2510578462515005</v>
      </c>
      <c r="AY51" s="3">
        <f t="shared" si="13"/>
        <v>1.0098372139393468</v>
      </c>
      <c r="AZ51" s="3">
        <f t="shared" si="14"/>
        <v>0.24461895244493492</v>
      </c>
      <c r="BA51" s="3">
        <f t="shared" si="15"/>
        <v>0.24122063231215379</v>
      </c>
      <c r="BB51" s="3">
        <f t="shared" si="16"/>
        <v>15.843167930885782</v>
      </c>
      <c r="BC51" s="23">
        <v>1</v>
      </c>
      <c r="BD51">
        <v>0</v>
      </c>
      <c r="BE51">
        <v>0</v>
      </c>
      <c r="BF51">
        <v>0</v>
      </c>
      <c r="BG51">
        <v>0</v>
      </c>
      <c r="BI51" s="3">
        <f t="shared" si="17"/>
        <v>1.3766727763963436</v>
      </c>
      <c r="BJ51" s="3">
        <f t="shared" si="18"/>
        <v>1.3729433716250603</v>
      </c>
    </row>
    <row r="52" spans="1:62">
      <c r="A52">
        <v>1973</v>
      </c>
      <c r="B52" s="3">
        <f t="shared" si="0"/>
        <v>159.06117274236627</v>
      </c>
      <c r="C52" s="3">
        <f t="shared" si="1"/>
        <v>20.369443941469338</v>
      </c>
      <c r="D52" s="2">
        <v>111.14400000000001</v>
      </c>
      <c r="E52" s="2">
        <v>29.151260000000001</v>
      </c>
      <c r="F52" s="2">
        <f t="shared" si="19"/>
        <v>32.399876414399998</v>
      </c>
      <c r="G52" s="2">
        <v>0.30109222026542443</v>
      </c>
      <c r="H52" s="2">
        <f t="shared" si="20"/>
        <v>9.755350725937055E-2</v>
      </c>
      <c r="I52" s="32">
        <f t="shared" si="2"/>
        <v>9.755350725937055E-2</v>
      </c>
      <c r="J52" s="32">
        <f t="shared" si="3"/>
        <v>9.8110695150437036E-2</v>
      </c>
      <c r="K52" s="32"/>
      <c r="O52" s="2"/>
      <c r="P52" s="37"/>
      <c r="Q52" s="32">
        <f t="shared" si="4"/>
        <v>2.8778284641514315E-2</v>
      </c>
      <c r="R52" s="32">
        <f t="shared" si="5"/>
        <v>5.1910567246128592</v>
      </c>
      <c r="S52" s="37"/>
      <c r="T52" s="2">
        <f>USA!Z60*G52</f>
        <v>1.1652268924271925</v>
      </c>
      <c r="U52" s="2">
        <v>0</v>
      </c>
      <c r="V52" s="2">
        <v>0</v>
      </c>
      <c r="W52" s="2">
        <v>0</v>
      </c>
      <c r="X52" s="37"/>
      <c r="Y52" s="2">
        <v>0.70499999999999996</v>
      </c>
      <c r="Z52" s="2">
        <f t="shared" si="6"/>
        <v>5.8323061125780819E-2</v>
      </c>
      <c r="AA52" s="2">
        <v>0.12</v>
      </c>
      <c r="AB52" s="2">
        <f t="shared" si="8"/>
        <v>1.0452161492075415E-2</v>
      </c>
      <c r="AC52" s="2">
        <f t="shared" si="9"/>
        <v>6.8775222617856235E-2</v>
      </c>
      <c r="AD52"/>
      <c r="AE52"/>
      <c r="AF52"/>
      <c r="AG52"/>
      <c r="AH52"/>
      <c r="AN52">
        <v>1973</v>
      </c>
      <c r="AO52" s="2">
        <f t="shared" si="10"/>
        <v>9.755350725937055E-2</v>
      </c>
      <c r="AP52" s="2">
        <f t="shared" si="21"/>
        <v>5.8323061125780819E-2</v>
      </c>
      <c r="AQ52" s="2">
        <f t="shared" si="22"/>
        <v>1.0452161492075415E-2</v>
      </c>
      <c r="AR52" s="2">
        <f t="shared" si="23"/>
        <v>6.8775222617856235E-2</v>
      </c>
      <c r="AS52" s="2">
        <f t="shared" si="11"/>
        <v>2.8778284641514315E-2</v>
      </c>
      <c r="AU52" s="7">
        <v>7.4990621674226512</v>
      </c>
      <c r="AV52" s="12"/>
      <c r="AW52" s="3">
        <f t="shared" si="12"/>
        <v>1.3008760973226958</v>
      </c>
      <c r="AX52" s="3">
        <f t="shared" si="24"/>
        <v>1.3083061982956816</v>
      </c>
      <c r="AY52" s="3">
        <f t="shared" si="13"/>
        <v>0.91711764861250045</v>
      </c>
      <c r="AZ52" s="3">
        <f>AW52-AY52</f>
        <v>0.38375844871019538</v>
      </c>
      <c r="BA52" s="3">
        <f t="shared" si="15"/>
        <v>0.39118854968318117</v>
      </c>
      <c r="BB52" s="3">
        <f t="shared" si="16"/>
        <v>15.538301542413652</v>
      </c>
      <c r="BC52">
        <v>0</v>
      </c>
      <c r="BD52">
        <v>0</v>
      </c>
      <c r="BE52">
        <v>0</v>
      </c>
      <c r="BF52">
        <v>0</v>
      </c>
      <c r="BG52" s="23">
        <v>1</v>
      </c>
      <c r="BI52" s="3">
        <f t="shared" si="17"/>
        <v>1.4276152141774154</v>
      </c>
      <c r="BJ52" s="3">
        <f t="shared" si="18"/>
        <v>1.4357691999518789</v>
      </c>
    </row>
    <row r="53" spans="1:62">
      <c r="A53">
        <v>1974</v>
      </c>
      <c r="B53" s="3">
        <f t="shared" si="0"/>
        <v>199.58210095286216</v>
      </c>
      <c r="C53" s="3">
        <f t="shared" si="1"/>
        <v>22.617266903639468</v>
      </c>
      <c r="D53" s="2">
        <v>139.458</v>
      </c>
      <c r="E53" s="2">
        <v>32.368180000000002</v>
      </c>
      <c r="F53" s="2">
        <f t="shared" si="19"/>
        <v>45.140016464400006</v>
      </c>
      <c r="G53" s="2">
        <v>0.33587430127685369</v>
      </c>
      <c r="H53" s="2">
        <f t="shared" si="20"/>
        <v>0.15161371489606024</v>
      </c>
      <c r="I53" s="32">
        <f t="shared" si="2"/>
        <v>0.15161371489606024</v>
      </c>
      <c r="J53" s="32">
        <f t="shared" si="3"/>
        <v>0.15160793321761565</v>
      </c>
      <c r="K53" s="32"/>
      <c r="O53" s="2"/>
      <c r="P53" s="37"/>
      <c r="Q53" s="32">
        <f t="shared" si="4"/>
        <v>4.8213161336947141E-2</v>
      </c>
      <c r="R53" s="32">
        <f t="shared" si="5"/>
        <v>7.2925064988023145</v>
      </c>
      <c r="S53" s="37"/>
      <c r="T53" s="2">
        <f>USA!Z61*G53</f>
        <v>4.1245364196797629</v>
      </c>
      <c r="U53" s="2">
        <v>0</v>
      </c>
      <c r="V53" s="2">
        <v>0</v>
      </c>
      <c r="W53" s="2">
        <v>0</v>
      </c>
      <c r="X53" s="37"/>
      <c r="Y53" s="2">
        <v>0.68200000000000005</v>
      </c>
      <c r="Z53" s="2">
        <f t="shared" si="6"/>
        <v>8.7156226963106639E-2</v>
      </c>
      <c r="AA53" s="2">
        <v>0.12</v>
      </c>
      <c r="AB53" s="2">
        <f t="shared" si="8"/>
        <v>1.6244326596006452E-2</v>
      </c>
      <c r="AC53" s="2">
        <f t="shared" si="9"/>
        <v>0.1034005535591131</v>
      </c>
      <c r="AD53"/>
      <c r="AE53"/>
      <c r="AF53"/>
      <c r="AG53"/>
      <c r="AH53"/>
      <c r="AN53">
        <v>1974</v>
      </c>
      <c r="AO53" s="2">
        <f t="shared" si="10"/>
        <v>0.15161371489606024</v>
      </c>
      <c r="AP53" s="2">
        <f t="shared" si="21"/>
        <v>8.7156226963106639E-2</v>
      </c>
      <c r="AQ53" s="2">
        <f t="shared" si="22"/>
        <v>1.6244326596006452E-2</v>
      </c>
      <c r="AR53" s="2">
        <f t="shared" si="23"/>
        <v>0.1034005535591131</v>
      </c>
      <c r="AS53" s="2">
        <f t="shared" si="11"/>
        <v>4.8213161336947141E-2</v>
      </c>
      <c r="AU53" s="7">
        <v>8.9358652308578463</v>
      </c>
      <c r="AV53" s="12"/>
      <c r="AW53" s="3">
        <f t="shared" si="12"/>
        <v>1.6966875728217004</v>
      </c>
      <c r="AX53" s="3">
        <f t="shared" si="24"/>
        <v>1.6966228708785174</v>
      </c>
      <c r="AY53" s="3">
        <f t="shared" si="13"/>
        <v>1.1571409246643998</v>
      </c>
      <c r="AZ53" s="3">
        <f t="shared" ref="AZ53:AZ89" si="25">AW53-AY53</f>
        <v>0.53954664815730058</v>
      </c>
      <c r="BA53" s="3">
        <f t="shared" si="15"/>
        <v>0.5394819462141176</v>
      </c>
      <c r="BB53" s="3">
        <f t="shared" si="16"/>
        <v>46.157101893576858</v>
      </c>
      <c r="BC53">
        <v>0</v>
      </c>
      <c r="BD53">
        <v>0</v>
      </c>
      <c r="BE53">
        <v>0</v>
      </c>
      <c r="BF53">
        <v>0</v>
      </c>
      <c r="BG53" s="23">
        <v>0.5</v>
      </c>
      <c r="BI53" s="3">
        <f t="shared" si="17"/>
        <v>1.8619890069862317</v>
      </c>
      <c r="BJ53" s="3">
        <f t="shared" si="18"/>
        <v>1.8619180013934125</v>
      </c>
    </row>
    <row r="54" spans="1:62">
      <c r="A54">
        <v>1975</v>
      </c>
      <c r="B54" s="3">
        <f t="shared" si="0"/>
        <v>184.86725374440277</v>
      </c>
      <c r="C54" s="3">
        <f t="shared" si="1"/>
        <v>24.682660206706046</v>
      </c>
      <c r="D54" s="2">
        <v>129.17599999999999</v>
      </c>
      <c r="E54" s="2">
        <v>35.324019999999997</v>
      </c>
      <c r="F54" s="2">
        <f t="shared" si="19"/>
        <v>45.630156075199992</v>
      </c>
      <c r="G54" s="2">
        <v>0.33716845618982205</v>
      </c>
      <c r="H54" s="2">
        <f t="shared" si="20"/>
        <v>0.1538504927957581</v>
      </c>
      <c r="I54" s="32">
        <f t="shared" si="2"/>
        <v>0.1538504927957581</v>
      </c>
      <c r="J54" s="32">
        <f t="shared" si="3"/>
        <v>0.15405285710832481</v>
      </c>
      <c r="K54" s="32"/>
      <c r="O54" s="2"/>
      <c r="P54" s="37"/>
      <c r="Q54" s="32">
        <f t="shared" si="4"/>
        <v>5.2770719028945021E-2</v>
      </c>
      <c r="R54" s="32">
        <f t="shared" si="5"/>
        <v>7.3971688563101674</v>
      </c>
      <c r="S54" s="37"/>
      <c r="T54" s="2">
        <f>USA!Z62*G54</f>
        <v>4.2719243399250457</v>
      </c>
      <c r="U54" s="2">
        <v>0</v>
      </c>
      <c r="V54" s="2">
        <v>0</v>
      </c>
      <c r="W54" s="2">
        <v>0</v>
      </c>
      <c r="X54" s="37"/>
      <c r="Y54" s="2">
        <v>0.65700000000000003</v>
      </c>
      <c r="Z54" s="2">
        <f t="shared" si="6"/>
        <v>8.4595792395839003E-2</v>
      </c>
      <c r="AA54" s="2">
        <v>0.12</v>
      </c>
      <c r="AB54" s="2">
        <f t="shared" si="8"/>
        <v>1.648398137097408E-2</v>
      </c>
      <c r="AC54" s="2">
        <f t="shared" si="9"/>
        <v>0.10107977376681308</v>
      </c>
      <c r="AD54"/>
      <c r="AE54"/>
      <c r="AF54"/>
      <c r="AG54"/>
      <c r="AH54"/>
      <c r="AN54">
        <v>1975</v>
      </c>
      <c r="AO54" s="2">
        <f t="shared" si="10"/>
        <v>0.1538504927957581</v>
      </c>
      <c r="AP54" s="2">
        <f t="shared" si="21"/>
        <v>8.4595792395839003E-2</v>
      </c>
      <c r="AQ54" s="2">
        <f t="shared" si="22"/>
        <v>1.648398137097408E-2</v>
      </c>
      <c r="AR54" s="2">
        <f t="shared" si="23"/>
        <v>0.10107977376681308</v>
      </c>
      <c r="AS54" s="2">
        <f t="shared" si="11"/>
        <v>5.2770719028945021E-2</v>
      </c>
      <c r="AU54" s="7">
        <v>10.450539066814406</v>
      </c>
      <c r="AV54" s="12"/>
      <c r="AW54" s="3">
        <f t="shared" si="12"/>
        <v>1.4721775767941865</v>
      </c>
      <c r="AX54" s="3">
        <f t="shared" si="24"/>
        <v>1.4741139775030199</v>
      </c>
      <c r="AY54" s="3">
        <f t="shared" si="13"/>
        <v>0.96722066795378059</v>
      </c>
      <c r="AZ54" s="3">
        <f t="shared" si="25"/>
        <v>0.50495690884040589</v>
      </c>
      <c r="BA54" s="3">
        <f t="shared" si="15"/>
        <v>0.50689330954923939</v>
      </c>
      <c r="BB54" s="3">
        <f t="shared" si="16"/>
        <v>40.877550072900107</v>
      </c>
      <c r="BC54">
        <v>0</v>
      </c>
      <c r="BD54">
        <v>0</v>
      </c>
      <c r="BE54">
        <v>0</v>
      </c>
      <c r="BF54">
        <v>0</v>
      </c>
      <c r="BG54" s="23">
        <v>0.5</v>
      </c>
      <c r="BI54" s="3">
        <f t="shared" si="17"/>
        <v>1.6156059066099298</v>
      </c>
      <c r="BJ54" s="3">
        <f t="shared" si="18"/>
        <v>1.6177309630379506</v>
      </c>
    </row>
    <row r="55" spans="1:62">
      <c r="A55">
        <v>1976</v>
      </c>
      <c r="B55" s="3">
        <f t="shared" si="0"/>
        <v>217.78889789762198</v>
      </c>
      <c r="C55" s="3">
        <f t="shared" si="1"/>
        <v>26.098712089869402</v>
      </c>
      <c r="D55" s="2">
        <v>152.18</v>
      </c>
      <c r="E55" s="2">
        <v>37.350569999999998</v>
      </c>
      <c r="F55" s="2">
        <f t="shared" si="19"/>
        <v>56.840097426</v>
      </c>
      <c r="G55" s="2">
        <v>0.42986515310364765</v>
      </c>
      <c r="H55" s="2">
        <f t="shared" si="20"/>
        <v>0.24433577182453739</v>
      </c>
      <c r="I55" s="32">
        <f t="shared" si="2"/>
        <v>0.24433577182453739</v>
      </c>
      <c r="J55" s="32">
        <f t="shared" si="3"/>
        <v>0.23984577605992524</v>
      </c>
      <c r="K55" s="32"/>
      <c r="O55" s="2"/>
      <c r="P55" s="37"/>
      <c r="Q55" s="32">
        <f t="shared" si="4"/>
        <v>7.0857373829115861E-2</v>
      </c>
      <c r="R55" s="32">
        <f t="shared" si="5"/>
        <v>8.4295903443665292</v>
      </c>
      <c r="S55" s="37"/>
      <c r="T55" s="2">
        <f>USA!Z63*G55</f>
        <v>5.7258038393405863</v>
      </c>
      <c r="U55" s="2">
        <v>0</v>
      </c>
      <c r="V55" s="2">
        <v>0</v>
      </c>
      <c r="W55" s="2">
        <v>0</v>
      </c>
      <c r="X55" s="37"/>
      <c r="Y55" s="2">
        <v>0.71</v>
      </c>
      <c r="Z55" s="2">
        <f t="shared" si="6"/>
        <v>0.14729956529993538</v>
      </c>
      <c r="AA55" s="2">
        <v>0.12</v>
      </c>
      <c r="AB55" s="2">
        <f t="shared" si="8"/>
        <v>2.6178832695486147E-2</v>
      </c>
      <c r="AC55" s="2">
        <f t="shared" si="9"/>
        <v>0.17347839799542153</v>
      </c>
      <c r="AD55"/>
      <c r="AE55"/>
      <c r="AF55"/>
      <c r="AG55"/>
      <c r="AH55"/>
      <c r="AN55">
        <v>1976</v>
      </c>
      <c r="AO55" s="2">
        <f t="shared" si="10"/>
        <v>0.24433577182453739</v>
      </c>
      <c r="AP55" s="2">
        <f t="shared" si="21"/>
        <v>0.14729956529993538</v>
      </c>
      <c r="AQ55" s="2">
        <f t="shared" si="22"/>
        <v>2.6178832695486147E-2</v>
      </c>
      <c r="AR55" s="2">
        <f t="shared" si="23"/>
        <v>0.17347839799542153</v>
      </c>
      <c r="AS55" s="2">
        <f t="shared" si="11"/>
        <v>7.0857373829115861E-2</v>
      </c>
      <c r="AU55" s="7">
        <v>12.186809393291364</v>
      </c>
      <c r="AV55" s="12"/>
      <c r="AW55" s="3">
        <f t="shared" si="12"/>
        <v>2.0049199420402863</v>
      </c>
      <c r="AX55" s="3">
        <f t="shared" si="24"/>
        <v>1.9680768634320018</v>
      </c>
      <c r="AY55" s="3">
        <f t="shared" si="13"/>
        <v>1.4234931588486033</v>
      </c>
      <c r="AZ55" s="3">
        <f t="shared" si="25"/>
        <v>0.58142678319168306</v>
      </c>
      <c r="BA55" s="3">
        <f t="shared" si="15"/>
        <v>0.54458370458339844</v>
      </c>
      <c r="BB55" s="3">
        <f t="shared" si="16"/>
        <v>46.983616913648838</v>
      </c>
      <c r="BC55">
        <v>0</v>
      </c>
      <c r="BD55">
        <v>0</v>
      </c>
      <c r="BE55">
        <v>0</v>
      </c>
      <c r="BF55">
        <v>0</v>
      </c>
      <c r="BG55" s="23">
        <v>0.5</v>
      </c>
      <c r="BI55" s="3">
        <f t="shared" si="17"/>
        <v>2.2002512140511739</v>
      </c>
      <c r="BJ55" s="3">
        <f t="shared" si="18"/>
        <v>2.159818662737047</v>
      </c>
    </row>
    <row r="56" spans="1:62">
      <c r="A56">
        <v>1977</v>
      </c>
      <c r="B56" s="3">
        <f t="shared" si="0"/>
        <v>204.62968567414558</v>
      </c>
      <c r="C56" s="3">
        <f t="shared" si="1"/>
        <v>27.791594761847083</v>
      </c>
      <c r="D56" s="2">
        <v>142.98500000000001</v>
      </c>
      <c r="E56" s="2">
        <v>39.773299999999999</v>
      </c>
      <c r="F56" s="2">
        <f t="shared" si="19"/>
        <v>56.869853005000003</v>
      </c>
      <c r="G56" s="2">
        <v>0.45571554242607348</v>
      </c>
      <c r="H56" s="2">
        <f t="shared" si="20"/>
        <v>0.25916475909864639</v>
      </c>
      <c r="I56" s="32">
        <f t="shared" si="2"/>
        <v>0.25916475909864639</v>
      </c>
      <c r="J56" s="32">
        <f t="shared" si="3"/>
        <v>0.26203551203610703</v>
      </c>
      <c r="K56" s="32"/>
      <c r="O56" s="2"/>
      <c r="P56" s="37"/>
      <c r="Q56" s="32">
        <f t="shared" si="4"/>
        <v>7.3861956343114238E-2</v>
      </c>
      <c r="R56" s="32">
        <f t="shared" si="5"/>
        <v>9.0106570180729904</v>
      </c>
      <c r="S56" s="37"/>
      <c r="T56" s="2">
        <f>USA!Z64*G56</f>
        <v>6.5440751892384146</v>
      </c>
      <c r="U56" s="2">
        <v>0</v>
      </c>
      <c r="V56" s="2">
        <v>0</v>
      </c>
      <c r="W56" s="2">
        <v>0</v>
      </c>
      <c r="X56" s="37"/>
      <c r="Y56" s="2">
        <v>0.71499999999999997</v>
      </c>
      <c r="Z56" s="2">
        <f t="shared" si="6"/>
        <v>0.1575351499949629</v>
      </c>
      <c r="AA56" s="2">
        <v>0.12</v>
      </c>
      <c r="AB56" s="2">
        <f t="shared" si="8"/>
        <v>2.7767652760569254E-2</v>
      </c>
      <c r="AC56" s="2">
        <f t="shared" si="9"/>
        <v>0.18530280275553215</v>
      </c>
      <c r="AD56"/>
      <c r="AE56"/>
      <c r="AF56"/>
      <c r="AG56"/>
      <c r="AH56"/>
      <c r="AN56">
        <v>1977</v>
      </c>
      <c r="AO56" s="2">
        <f t="shared" si="10"/>
        <v>0.25916475909864639</v>
      </c>
      <c r="AP56" s="2">
        <f t="shared" si="21"/>
        <v>0.1575351499949629</v>
      </c>
      <c r="AQ56" s="2">
        <f t="shared" si="22"/>
        <v>2.7767652760569254E-2</v>
      </c>
      <c r="AR56" s="2">
        <f t="shared" si="23"/>
        <v>0.18530280275553215</v>
      </c>
      <c r="AS56" s="2">
        <f t="shared" si="11"/>
        <v>7.3861956343114238E-2</v>
      </c>
      <c r="AU56" s="7">
        <v>14.274414717085932</v>
      </c>
      <c r="AV56" s="12"/>
      <c r="AW56" s="3">
        <f t="shared" si="12"/>
        <v>1.8155893900745088</v>
      </c>
      <c r="AX56" s="3">
        <f t="shared" si="24"/>
        <v>1.835700567971172</v>
      </c>
      <c r="AY56" s="3">
        <f t="shared" si="13"/>
        <v>1.2981464139032737</v>
      </c>
      <c r="AZ56" s="3">
        <f t="shared" si="25"/>
        <v>0.51744297617123514</v>
      </c>
      <c r="BA56" s="3">
        <f t="shared" si="15"/>
        <v>0.5375541540678983</v>
      </c>
      <c r="BB56" s="3">
        <f t="shared" si="16"/>
        <v>45.84478816777969</v>
      </c>
      <c r="BC56">
        <v>0</v>
      </c>
      <c r="BD56">
        <v>0</v>
      </c>
      <c r="BE56">
        <v>0</v>
      </c>
      <c r="BF56">
        <v>0</v>
      </c>
      <c r="BG56" s="23">
        <v>0.5</v>
      </c>
      <c r="BI56" s="3">
        <f t="shared" si="17"/>
        <v>1.9924749492314637</v>
      </c>
      <c r="BJ56" s="3">
        <f t="shared" si="18"/>
        <v>2.0145454781614629</v>
      </c>
    </row>
    <row r="57" spans="1:62">
      <c r="A57">
        <v>1978</v>
      </c>
      <c r="B57" s="3">
        <f t="shared" si="0"/>
        <v>196.87870216111153</v>
      </c>
      <c r="C57" s="3">
        <f t="shared" si="1"/>
        <v>29.916940817905406</v>
      </c>
      <c r="D57" s="2">
        <v>137.56899999999999</v>
      </c>
      <c r="E57" s="2">
        <v>42.81494</v>
      </c>
      <c r="F57" s="2">
        <f t="shared" si="19"/>
        <v>58.900084808599992</v>
      </c>
      <c r="G57" s="2">
        <v>0.43829803350428054</v>
      </c>
      <c r="H57" s="2">
        <f t="shared" si="20"/>
        <v>0.25815791344844724</v>
      </c>
      <c r="I57" s="32">
        <f t="shared" si="2"/>
        <v>0.25815791344844724</v>
      </c>
      <c r="J57" s="32">
        <f t="shared" si="3"/>
        <v>0.25759939210744154</v>
      </c>
      <c r="K57" s="32"/>
      <c r="O57" s="2"/>
      <c r="P57" s="37"/>
      <c r="Q57" s="32">
        <f t="shared" si="4"/>
        <v>7.3575005332807475E-2</v>
      </c>
      <c r="R57" s="32">
        <f t="shared" si="5"/>
        <v>8.8268214878594833</v>
      </c>
      <c r="S57" s="37"/>
      <c r="T57" s="2">
        <f>USA!Z65*G57</f>
        <v>6.285193800451383</v>
      </c>
      <c r="U57" s="2">
        <v>0</v>
      </c>
      <c r="V57" s="2">
        <v>0</v>
      </c>
      <c r="W57" s="2">
        <v>0</v>
      </c>
      <c r="X57" s="37"/>
      <c r="Y57" s="2">
        <v>0.71499999999999997</v>
      </c>
      <c r="Z57" s="2">
        <f t="shared" si="6"/>
        <v>0.15287930470969011</v>
      </c>
      <c r="AA57" s="2">
        <v>0.14000000000000001</v>
      </c>
      <c r="AB57" s="2">
        <f t="shared" si="8"/>
        <v>3.170360340594966E-2</v>
      </c>
      <c r="AC57" s="2">
        <f t="shared" si="9"/>
        <v>0.18458290811563977</v>
      </c>
      <c r="AD57"/>
      <c r="AE57"/>
      <c r="AF57"/>
      <c r="AG57"/>
      <c r="AH57"/>
      <c r="AN57">
        <v>1978</v>
      </c>
      <c r="AO57" s="2">
        <f t="shared" si="10"/>
        <v>0.25815791344844724</v>
      </c>
      <c r="AP57" s="2">
        <f t="shared" si="21"/>
        <v>0.15287930470969011</v>
      </c>
      <c r="AQ57" s="2">
        <f t="shared" si="22"/>
        <v>3.170360340594966E-2</v>
      </c>
      <c r="AR57" s="2">
        <f t="shared" si="23"/>
        <v>0.18458290811563977</v>
      </c>
      <c r="AS57" s="2">
        <f t="shared" si="11"/>
        <v>7.3575005332807475E-2</v>
      </c>
      <c r="AU57" s="7">
        <v>16.000765287853248</v>
      </c>
      <c r="AV57" s="12"/>
      <c r="AW57" s="3">
        <f t="shared" si="12"/>
        <v>1.6134097888706869</v>
      </c>
      <c r="AX57" s="3">
        <f t="shared" si="24"/>
        <v>1.6099191974461022</v>
      </c>
      <c r="AY57" s="3">
        <f t="shared" si="13"/>
        <v>1.1535879990425411</v>
      </c>
      <c r="AZ57" s="3">
        <f t="shared" si="25"/>
        <v>0.45982178982814581</v>
      </c>
      <c r="BA57" s="3">
        <f t="shared" si="15"/>
        <v>0.45633119840356107</v>
      </c>
      <c r="BB57" s="3">
        <f t="shared" si="16"/>
        <v>39.280582443282867</v>
      </c>
      <c r="BC57">
        <v>0</v>
      </c>
      <c r="BD57">
        <v>0</v>
      </c>
      <c r="BE57">
        <v>0</v>
      </c>
      <c r="BF57">
        <v>0</v>
      </c>
      <c r="BG57">
        <v>0</v>
      </c>
      <c r="BI57" s="3">
        <f t="shared" si="17"/>
        <v>1.7705978040760322</v>
      </c>
      <c r="BJ57" s="3">
        <f t="shared" si="18"/>
        <v>1.7667671383927515</v>
      </c>
    </row>
    <row r="58" spans="1:62">
      <c r="A58">
        <v>1979</v>
      </c>
      <c r="B58" s="3">
        <f t="shared" si="0"/>
        <v>195.56922100999893</v>
      </c>
      <c r="C58" s="3">
        <f t="shared" si="1"/>
        <v>33.287054161079702</v>
      </c>
      <c r="D58" s="2">
        <v>136.654</v>
      </c>
      <c r="E58" s="2">
        <v>47.637999999999998</v>
      </c>
      <c r="F58" s="2">
        <f t="shared" si="19"/>
        <v>65.099232520000001</v>
      </c>
      <c r="G58" s="2">
        <v>0.42910423993898922</v>
      </c>
      <c r="H58" s="2">
        <f t="shared" si="20"/>
        <v>0.27934356691106133</v>
      </c>
      <c r="I58" s="32">
        <f t="shared" si="2"/>
        <v>0.27934356691106133</v>
      </c>
      <c r="J58" s="32">
        <f t="shared" si="3"/>
        <v>0.28599969965207372</v>
      </c>
      <c r="K58" s="32"/>
      <c r="O58" s="2"/>
      <c r="P58" s="37"/>
      <c r="Q58" s="32">
        <f t="shared" si="4"/>
        <v>8.9389941411539608E-2</v>
      </c>
      <c r="R58" s="32">
        <f t="shared" si="5"/>
        <v>10.893618034508673</v>
      </c>
      <c r="S58" s="37"/>
      <c r="T58" s="2">
        <f>USA!Z66*G58</f>
        <v>9.1957038618925395</v>
      </c>
      <c r="U58" s="2">
        <v>0</v>
      </c>
      <c r="V58" s="2">
        <v>0</v>
      </c>
      <c r="W58" s="2">
        <v>0</v>
      </c>
      <c r="X58" s="37"/>
      <c r="Y58" s="2">
        <v>0.68</v>
      </c>
      <c r="Z58" s="2">
        <f t="shared" si="6"/>
        <v>0.15564827517711066</v>
      </c>
      <c r="AA58" s="2">
        <v>0.14000000000000001</v>
      </c>
      <c r="AB58" s="2">
        <f t="shared" si="8"/>
        <v>3.4305350322411041E-2</v>
      </c>
      <c r="AC58" s="2">
        <f t="shared" si="9"/>
        <v>0.18995362549952172</v>
      </c>
      <c r="AD58"/>
      <c r="AE58"/>
      <c r="AF58"/>
      <c r="AG58"/>
      <c r="AH58"/>
      <c r="AN58">
        <v>1979</v>
      </c>
      <c r="AO58" s="2">
        <f t="shared" si="10"/>
        <v>0.27934356691106133</v>
      </c>
      <c r="AP58" s="2">
        <f t="shared" si="21"/>
        <v>0.15564827517711066</v>
      </c>
      <c r="AQ58" s="2">
        <f t="shared" si="22"/>
        <v>3.4305350322411041E-2</v>
      </c>
      <c r="AR58" s="2">
        <f t="shared" si="23"/>
        <v>0.18995362549952172</v>
      </c>
      <c r="AS58" s="2">
        <f t="shared" si="11"/>
        <v>8.9389941411539608E-2</v>
      </c>
      <c r="AU58" s="7">
        <v>18.368651339588443</v>
      </c>
      <c r="AV58" s="12"/>
      <c r="AW58" s="3">
        <f t="shared" si="12"/>
        <v>1.5207625303933725</v>
      </c>
      <c r="AX58" s="3">
        <f t="shared" si="24"/>
        <v>1.5569989019045842</v>
      </c>
      <c r="AY58" s="3">
        <f t="shared" si="13"/>
        <v>1.0341185206674934</v>
      </c>
      <c r="AZ58" s="3">
        <f t="shared" si="25"/>
        <v>0.48664400972587907</v>
      </c>
      <c r="BA58" s="3">
        <f t="shared" si="15"/>
        <v>0.5228803812370908</v>
      </c>
      <c r="BB58" s="3">
        <f t="shared" si="16"/>
        <v>50.061943535690048</v>
      </c>
      <c r="BC58">
        <v>0</v>
      </c>
      <c r="BD58">
        <v>0</v>
      </c>
      <c r="BE58">
        <v>0</v>
      </c>
      <c r="BF58">
        <v>0</v>
      </c>
      <c r="BG58">
        <v>0</v>
      </c>
      <c r="BI58" s="3">
        <f t="shared" si="17"/>
        <v>1.6689242964866069</v>
      </c>
      <c r="BJ58" s="3">
        <f t="shared" si="18"/>
        <v>1.7086910316756525</v>
      </c>
    </row>
    <row r="59" spans="1:62">
      <c r="A59">
        <v>1980</v>
      </c>
      <c r="B59" s="3">
        <f t="shared" si="0"/>
        <v>216.22753840487454</v>
      </c>
      <c r="C59" s="3">
        <f t="shared" si="1"/>
        <v>37.784321185500851</v>
      </c>
      <c r="D59" s="2">
        <v>151.089</v>
      </c>
      <c r="E59" s="2">
        <v>54.074159999999999</v>
      </c>
      <c r="F59" s="2">
        <f t="shared" si="19"/>
        <v>81.700107602399996</v>
      </c>
      <c r="G59" s="2">
        <v>0.44231822008294297</v>
      </c>
      <c r="H59" s="2">
        <f t="shared" si="20"/>
        <v>0.36137446175278481</v>
      </c>
      <c r="I59" s="32">
        <f t="shared" si="2"/>
        <v>0.36137446175278481</v>
      </c>
      <c r="J59" s="32">
        <f t="shared" si="3"/>
        <v>0.3638671471352658</v>
      </c>
      <c r="K59" s="32"/>
      <c r="O59" s="2"/>
      <c r="P59" s="37"/>
      <c r="Q59" s="32">
        <f t="shared" si="4"/>
        <v>0.13732229546605823</v>
      </c>
      <c r="R59" s="32">
        <f t="shared" si="5"/>
        <v>14.976941151235803</v>
      </c>
      <c r="S59" s="37"/>
      <c r="T59" s="2">
        <f>USA!Z67*G59</f>
        <v>14.945932656602643</v>
      </c>
      <c r="U59" s="2">
        <v>0</v>
      </c>
      <c r="V59" s="2">
        <v>0</v>
      </c>
      <c r="W59" s="2">
        <v>0</v>
      </c>
      <c r="X59" s="37"/>
      <c r="Y59" s="2">
        <v>0.62</v>
      </c>
      <c r="Z59" s="2">
        <f t="shared" si="6"/>
        <v>0.17967284642234949</v>
      </c>
      <c r="AA59" s="2">
        <v>0.14000000000000001</v>
      </c>
      <c r="AB59" s="2">
        <f t="shared" si="8"/>
        <v>4.4379319864377084E-2</v>
      </c>
      <c r="AC59" s="2">
        <f t="shared" si="9"/>
        <v>0.22405216628672658</v>
      </c>
      <c r="AD59"/>
      <c r="AE59"/>
      <c r="AF59"/>
      <c r="AG59"/>
      <c r="AH59"/>
      <c r="AN59">
        <v>1980</v>
      </c>
      <c r="AO59" s="2">
        <f t="shared" si="10"/>
        <v>0.36137446175278481</v>
      </c>
      <c r="AP59" s="2">
        <f t="shared" si="21"/>
        <v>0.17967284642234949</v>
      </c>
      <c r="AQ59" s="2">
        <f t="shared" si="22"/>
        <v>4.4379319864377084E-2</v>
      </c>
      <c r="AR59" s="2">
        <f t="shared" si="23"/>
        <v>0.22405216628672658</v>
      </c>
      <c r="AS59" s="2">
        <f t="shared" si="11"/>
        <v>0.13732229546605823</v>
      </c>
      <c r="AU59" s="7">
        <v>22.23785528446663</v>
      </c>
      <c r="AV59" s="12"/>
      <c r="AW59" s="3">
        <f t="shared" si="12"/>
        <v>1.6250418807483138</v>
      </c>
      <c r="AX59" s="3">
        <f t="shared" si="24"/>
        <v>1.6362510794349432</v>
      </c>
      <c r="AY59" s="3">
        <f t="shared" si="13"/>
        <v>1.0075259660639546</v>
      </c>
      <c r="AZ59" s="3">
        <f t="shared" si="25"/>
        <v>0.61751591468435918</v>
      </c>
      <c r="BA59" s="3">
        <f t="shared" si="15"/>
        <v>0.62872511337098858</v>
      </c>
      <c r="BB59" s="3">
        <f t="shared" si="16"/>
        <v>67.209415950478515</v>
      </c>
      <c r="BC59">
        <v>0</v>
      </c>
      <c r="BD59">
        <v>0</v>
      </c>
      <c r="BE59">
        <v>0</v>
      </c>
      <c r="BF59">
        <v>0</v>
      </c>
      <c r="BG59">
        <v>0</v>
      </c>
      <c r="BI59" s="3">
        <f t="shared" si="17"/>
        <v>1.783363163798904</v>
      </c>
      <c r="BJ59" s="3">
        <f t="shared" si="18"/>
        <v>1.7956644295510416</v>
      </c>
    </row>
    <row r="60" spans="1:62">
      <c r="A60">
        <v>1981</v>
      </c>
      <c r="B60" s="3">
        <f t="shared" si="0"/>
        <v>187.13129656523361</v>
      </c>
      <c r="C60" s="3">
        <f t="shared" si="1"/>
        <v>41.681969842500045</v>
      </c>
      <c r="D60" s="2">
        <v>130.75800000000001</v>
      </c>
      <c r="E60" s="2">
        <v>59.652189999999997</v>
      </c>
      <c r="F60" s="2">
        <f t="shared" si="19"/>
        <v>78.0000106002</v>
      </c>
      <c r="G60" s="2">
        <v>0.58709012689346018</v>
      </c>
      <c r="H60" s="2">
        <f t="shared" si="20"/>
        <v>0.45793036120962655</v>
      </c>
      <c r="I60" s="32">
        <f t="shared" si="2"/>
        <v>0.45793036120962655</v>
      </c>
      <c r="J60" s="32">
        <f t="shared" si="3"/>
        <v>0.45365072626188208</v>
      </c>
      <c r="K60" s="32"/>
      <c r="O60" s="2"/>
      <c r="P60" s="37"/>
      <c r="Q60" s="32">
        <f t="shared" si="4"/>
        <v>0.19233075170804315</v>
      </c>
      <c r="R60" s="32">
        <f t="shared" si="5"/>
        <v>19.542993321339942</v>
      </c>
      <c r="S60" s="37"/>
      <c r="T60" s="2">
        <f>USA!Z68*G60</f>
        <v>21.375951520190885</v>
      </c>
      <c r="U60" s="2">
        <v>0</v>
      </c>
      <c r="V60" s="2">
        <v>0</v>
      </c>
      <c r="W60" s="2">
        <v>0</v>
      </c>
      <c r="X60" s="37"/>
      <c r="Y60" s="2">
        <v>0.57999999999999996</v>
      </c>
      <c r="Z60" s="2">
        <f t="shared" si="6"/>
        <v>0.20586956238728427</v>
      </c>
      <c r="AA60" s="2">
        <v>0.15</v>
      </c>
      <c r="AB60" s="2">
        <f t="shared" si="8"/>
        <v>5.973004711429912E-2</v>
      </c>
      <c r="AC60" s="2">
        <f t="shared" si="9"/>
        <v>0.2655996095015834</v>
      </c>
      <c r="AD60"/>
      <c r="AE60"/>
      <c r="AF60"/>
      <c r="AG60"/>
      <c r="AH60"/>
      <c r="AN60">
        <v>1981</v>
      </c>
      <c r="AO60" s="2">
        <f t="shared" si="10"/>
        <v>0.45793036120962655</v>
      </c>
      <c r="AP60" s="2">
        <f t="shared" si="21"/>
        <v>0.20586956238728427</v>
      </c>
      <c r="AQ60" s="2">
        <f t="shared" si="22"/>
        <v>5.973004711429912E-2</v>
      </c>
      <c r="AR60" s="2">
        <f t="shared" si="23"/>
        <v>0.2655996095015834</v>
      </c>
      <c r="AS60" s="2">
        <f t="shared" si="11"/>
        <v>0.19233075170804315</v>
      </c>
      <c r="AU60" s="7">
        <v>26.233842214098289</v>
      </c>
      <c r="AV60" s="12"/>
      <c r="AW60" s="3">
        <f t="shared" si="12"/>
        <v>1.7455710737008663</v>
      </c>
      <c r="AX60" s="3">
        <f t="shared" si="24"/>
        <v>1.7292576609997539</v>
      </c>
      <c r="AY60" s="3">
        <f t="shared" si="13"/>
        <v>1.0124312227465022</v>
      </c>
      <c r="AZ60" s="3">
        <f t="shared" si="25"/>
        <v>0.73313985095436407</v>
      </c>
      <c r="BA60" s="3">
        <f t="shared" si="15"/>
        <v>0.71682643825325165</v>
      </c>
      <c r="BB60" s="3">
        <f t="shared" si="16"/>
        <v>81.482351482251687</v>
      </c>
      <c r="BC60">
        <v>0</v>
      </c>
      <c r="BD60">
        <v>0</v>
      </c>
      <c r="BE60">
        <v>0</v>
      </c>
      <c r="BF60">
        <v>0</v>
      </c>
      <c r="BG60">
        <v>0</v>
      </c>
      <c r="BI60" s="3">
        <f t="shared" si="17"/>
        <v>1.9156350304015124</v>
      </c>
      <c r="BJ60" s="3">
        <f t="shared" si="18"/>
        <v>1.8977322676286439</v>
      </c>
    </row>
    <row r="61" spans="1:62">
      <c r="A61">
        <v>1982</v>
      </c>
      <c r="B61" s="3">
        <f t="shared" si="0"/>
        <v>171.97852451279553</v>
      </c>
      <c r="C61" s="3">
        <f t="shared" si="1"/>
        <v>44.24984128314113</v>
      </c>
      <c r="D61" s="2">
        <v>120.17</v>
      </c>
      <c r="E61" s="2">
        <v>63.32714</v>
      </c>
      <c r="F61" s="2">
        <f t="shared" si="19"/>
        <v>76.100224138000002</v>
      </c>
      <c r="G61" s="2">
        <v>0.69851312058752135</v>
      </c>
      <c r="H61" s="2">
        <f t="shared" si="20"/>
        <v>0.53157005040044192</v>
      </c>
      <c r="I61" s="32">
        <f t="shared" si="2"/>
        <v>0.53157005040044192</v>
      </c>
      <c r="J61" s="32">
        <f t="shared" si="3"/>
        <v>0.53807232807199723</v>
      </c>
      <c r="K61" s="32"/>
      <c r="O61" s="2"/>
      <c r="P61" s="37"/>
      <c r="Q61" s="32">
        <f t="shared" si="4"/>
        <v>0.20199661915216793</v>
      </c>
      <c r="R61" s="32">
        <f t="shared" si="5"/>
        <v>20.831627518604048</v>
      </c>
      <c r="S61" s="37"/>
      <c r="T61" s="2">
        <f>USA!Z69*G61</f>
        <v>23.190635603505712</v>
      </c>
      <c r="U61" s="2">
        <v>0</v>
      </c>
      <c r="V61" s="2">
        <v>0</v>
      </c>
      <c r="W61" s="2">
        <v>0</v>
      </c>
      <c r="X61" s="37"/>
      <c r="Y61" s="2">
        <v>0.62</v>
      </c>
      <c r="Z61" s="2">
        <f t="shared" si="6"/>
        <v>0.26023820728299896</v>
      </c>
      <c r="AA61" s="2">
        <v>0.15</v>
      </c>
      <c r="AB61" s="2">
        <f t="shared" si="8"/>
        <v>6.9335223965275042E-2</v>
      </c>
      <c r="AC61" s="2">
        <f t="shared" si="9"/>
        <v>0.32957343124827398</v>
      </c>
      <c r="AD61"/>
      <c r="AE61"/>
      <c r="AF61"/>
      <c r="AG61"/>
      <c r="AH61"/>
      <c r="AN61">
        <v>1982</v>
      </c>
      <c r="AO61" s="2">
        <f t="shared" si="10"/>
        <v>0.53157005040044192</v>
      </c>
      <c r="AP61" s="2">
        <f t="shared" si="21"/>
        <v>0.26023820728299896</v>
      </c>
      <c r="AQ61" s="2">
        <f t="shared" si="22"/>
        <v>6.9335223965275042E-2</v>
      </c>
      <c r="AR61" s="2">
        <f t="shared" si="23"/>
        <v>0.32957343124827398</v>
      </c>
      <c r="AS61" s="2">
        <f t="shared" si="11"/>
        <v>0.20199661915216793</v>
      </c>
      <c r="AU61" s="7">
        <v>30.557286969734765</v>
      </c>
      <c r="AV61" s="12"/>
      <c r="AW61" s="3">
        <f t="shared" si="12"/>
        <v>1.7395852286458922</v>
      </c>
      <c r="AX61" s="3">
        <f t="shared" si="24"/>
        <v>1.7608642043546827</v>
      </c>
      <c r="AY61" s="3">
        <f t="shared" si="13"/>
        <v>1.078542841760453</v>
      </c>
      <c r="AZ61" s="3">
        <f t="shared" si="25"/>
        <v>0.66104238688543915</v>
      </c>
      <c r="BA61" s="3">
        <f t="shared" si="15"/>
        <v>0.68232136259422971</v>
      </c>
      <c r="BB61" s="3">
        <f t="shared" si="16"/>
        <v>75.892325213539749</v>
      </c>
      <c r="BC61">
        <v>0</v>
      </c>
      <c r="BD61">
        <v>0</v>
      </c>
      <c r="BE61">
        <v>0</v>
      </c>
      <c r="BF61">
        <v>0</v>
      </c>
      <c r="BG61">
        <v>0</v>
      </c>
      <c r="BI61" s="3">
        <f t="shared" si="17"/>
        <v>1.909066008580159</v>
      </c>
      <c r="BJ61" s="3">
        <f t="shared" si="18"/>
        <v>1.9324181091579942</v>
      </c>
    </row>
    <row r="62" spans="1:62">
      <c r="A62">
        <v>1983</v>
      </c>
      <c r="B62" s="3">
        <f t="shared" si="0"/>
        <v>169.03326526799788</v>
      </c>
      <c r="C62" s="3">
        <f t="shared" si="1"/>
        <v>45.671336429076113</v>
      </c>
      <c r="D62" s="2">
        <v>118.11199999999999</v>
      </c>
      <c r="E62" s="2">
        <v>65.36148</v>
      </c>
      <c r="F62" s="2">
        <f t="shared" si="19"/>
        <v>77.199751257599999</v>
      </c>
      <c r="G62" s="2">
        <v>0.78441970042056808</v>
      </c>
      <c r="H62" s="2">
        <f t="shared" si="20"/>
        <v>0.60557005754028959</v>
      </c>
      <c r="I62" s="32">
        <f t="shared" si="2"/>
        <v>0.60557005754028959</v>
      </c>
      <c r="J62" s="32">
        <f t="shared" si="3"/>
        <v>0.60368321553624615</v>
      </c>
      <c r="K62" s="32"/>
      <c r="O62" s="2"/>
      <c r="P62" s="37"/>
      <c r="Q62" s="32">
        <f t="shared" si="4"/>
        <v>0.18772671783748979</v>
      </c>
      <c r="R62" s="32">
        <f t="shared" si="5"/>
        <v>20.489575629184294</v>
      </c>
      <c r="S62" s="37"/>
      <c r="T62" s="2">
        <f>USA!Z70*G62</f>
        <v>22.708950327175444</v>
      </c>
      <c r="U62" s="2">
        <v>0</v>
      </c>
      <c r="V62" s="2">
        <v>0</v>
      </c>
      <c r="W62" s="2">
        <v>0</v>
      </c>
      <c r="X62" s="37"/>
      <c r="Y62" s="2">
        <v>0.69</v>
      </c>
      <c r="Z62" s="2">
        <f t="shared" si="6"/>
        <v>0.32546824617970477</v>
      </c>
      <c r="AA62" s="2">
        <v>0.18</v>
      </c>
      <c r="AB62" s="2">
        <f t="shared" si="8"/>
        <v>9.2375093523095017E-2</v>
      </c>
      <c r="AC62" s="2">
        <f t="shared" si="9"/>
        <v>0.4178433397027998</v>
      </c>
      <c r="AD62"/>
      <c r="AE62"/>
      <c r="AF62"/>
      <c r="AG62"/>
      <c r="AH62"/>
      <c r="AN62">
        <v>1983</v>
      </c>
      <c r="AO62" s="2">
        <f t="shared" si="10"/>
        <v>0.60557005754028959</v>
      </c>
      <c r="AP62" s="2">
        <f t="shared" si="21"/>
        <v>0.32546824617970477</v>
      </c>
      <c r="AQ62" s="2">
        <f t="shared" si="22"/>
        <v>9.2375093523095017E-2</v>
      </c>
      <c r="AR62" s="2">
        <f t="shared" si="23"/>
        <v>0.4178433397027998</v>
      </c>
      <c r="AS62" s="2">
        <f t="shared" si="11"/>
        <v>0.18772671783748979</v>
      </c>
      <c r="AU62" s="7">
        <v>35.032887507315237</v>
      </c>
      <c r="AV62" s="12"/>
      <c r="AW62" s="3">
        <f t="shared" si="12"/>
        <v>1.7285759200232644</v>
      </c>
      <c r="AX62" s="3">
        <f t="shared" si="24"/>
        <v>1.723190003707775</v>
      </c>
      <c r="AY62" s="3">
        <f t="shared" si="13"/>
        <v>1.1927173848160524</v>
      </c>
      <c r="AZ62" s="3">
        <f t="shared" si="25"/>
        <v>0.53585853520721205</v>
      </c>
      <c r="BA62" s="3">
        <f t="shared" si="15"/>
        <v>0.53047261889172259</v>
      </c>
      <c r="BB62" s="3">
        <f t="shared" si="16"/>
        <v>64.821805860089526</v>
      </c>
      <c r="BC62">
        <v>0</v>
      </c>
      <c r="BD62" s="23">
        <v>1</v>
      </c>
      <c r="BE62">
        <v>0</v>
      </c>
      <c r="BF62">
        <v>0</v>
      </c>
      <c r="BG62">
        <v>0</v>
      </c>
      <c r="BI62" s="3">
        <f t="shared" si="17"/>
        <v>1.8969841073755902</v>
      </c>
      <c r="BJ62" s="3">
        <f t="shared" si="18"/>
        <v>1.8910734629336607</v>
      </c>
    </row>
    <row r="63" spans="1:62">
      <c r="A63">
        <v>1984</v>
      </c>
      <c r="B63" s="3">
        <f t="shared" si="0"/>
        <v>154.06224633708044</v>
      </c>
      <c r="C63" s="3">
        <f t="shared" si="1"/>
        <v>47.643090239969929</v>
      </c>
      <c r="D63" s="2">
        <v>107.651</v>
      </c>
      <c r="E63" s="2">
        <v>68.183310000000006</v>
      </c>
      <c r="F63" s="2">
        <f t="shared" si="19"/>
        <v>73.400015048100002</v>
      </c>
      <c r="G63" s="2">
        <v>0.9073945438050135</v>
      </c>
      <c r="H63" s="2">
        <f t="shared" si="20"/>
        <v>0.66602773169851825</v>
      </c>
      <c r="I63" s="32">
        <f t="shared" si="2"/>
        <v>0.66602773169851825</v>
      </c>
      <c r="J63" s="32">
        <f t="shared" si="3"/>
        <v>0.66323500552958792</v>
      </c>
      <c r="K63" s="32"/>
      <c r="O63" s="2"/>
      <c r="P63" s="37"/>
      <c r="Q63" s="32">
        <f t="shared" si="4"/>
        <v>0.21312887414352583</v>
      </c>
      <c r="R63" s="32">
        <f t="shared" si="5"/>
        <v>22.740598703769439</v>
      </c>
      <c r="S63" s="37"/>
      <c r="T63" s="2">
        <f>USA!Z71*G63</f>
        <v>25.878892389318985</v>
      </c>
      <c r="U63" s="2">
        <v>0</v>
      </c>
      <c r="V63" s="2">
        <v>0</v>
      </c>
      <c r="W63" s="2">
        <v>0</v>
      </c>
      <c r="X63" s="37"/>
      <c r="Y63" s="2">
        <v>0.68</v>
      </c>
      <c r="Z63" s="2">
        <f t="shared" si="6"/>
        <v>0.35130140695691336</v>
      </c>
      <c r="AA63" s="2">
        <v>0.18</v>
      </c>
      <c r="AB63" s="2">
        <f t="shared" si="8"/>
        <v>0.10159745059807906</v>
      </c>
      <c r="AC63" s="2">
        <f t="shared" si="9"/>
        <v>0.45289885755499243</v>
      </c>
      <c r="AD63"/>
      <c r="AE63"/>
      <c r="AF63"/>
      <c r="AG63"/>
      <c r="AH63"/>
      <c r="AN63">
        <v>1984</v>
      </c>
      <c r="AO63" s="2">
        <f t="shared" si="10"/>
        <v>0.66602773169851825</v>
      </c>
      <c r="AP63" s="2">
        <f t="shared" si="21"/>
        <v>0.35130140695691336</v>
      </c>
      <c r="AQ63" s="2">
        <f t="shared" si="22"/>
        <v>0.10159745059807906</v>
      </c>
      <c r="AR63" s="2">
        <f t="shared" si="23"/>
        <v>0.45289885755499243</v>
      </c>
      <c r="AS63" s="2">
        <f t="shared" si="11"/>
        <v>0.21312887414352583</v>
      </c>
      <c r="AU63" s="7">
        <v>38.814509046003629</v>
      </c>
      <c r="AV63" s="12"/>
      <c r="AW63" s="3">
        <f t="shared" si="12"/>
        <v>1.7159246582486223</v>
      </c>
      <c r="AX63" s="3">
        <f t="shared" si="24"/>
        <v>1.7087296009425503</v>
      </c>
      <c r="AY63" s="3">
        <f t="shared" si="13"/>
        <v>1.1668287676090632</v>
      </c>
      <c r="AZ63" s="3">
        <f t="shared" si="25"/>
        <v>0.5490958906395591</v>
      </c>
      <c r="BA63" s="3">
        <f t="shared" si="15"/>
        <v>0.54190083333348715</v>
      </c>
      <c r="BB63" s="3">
        <f t="shared" si="16"/>
        <v>66.673244169201979</v>
      </c>
      <c r="BC63">
        <v>0</v>
      </c>
      <c r="BD63" s="23">
        <v>1</v>
      </c>
      <c r="BE63">
        <v>0</v>
      </c>
      <c r="BF63">
        <v>0</v>
      </c>
      <c r="BG63">
        <v>0</v>
      </c>
      <c r="BI63" s="3">
        <f t="shared" si="17"/>
        <v>1.8831002841389335</v>
      </c>
      <c r="BJ63" s="3">
        <f t="shared" si="18"/>
        <v>1.8752042413888461</v>
      </c>
    </row>
    <row r="64" spans="1:62">
      <c r="A64">
        <v>1985</v>
      </c>
      <c r="B64" s="3">
        <f t="shared" si="0"/>
        <v>140.25215758078878</v>
      </c>
      <c r="C64" s="3">
        <f t="shared" si="1"/>
        <v>49.339718212134507</v>
      </c>
      <c r="D64" s="2">
        <v>98.001199999999997</v>
      </c>
      <c r="E64" s="2">
        <v>70.611400000000003</v>
      </c>
      <c r="F64" s="2">
        <f t="shared" si="19"/>
        <v>69.200019336800011</v>
      </c>
      <c r="G64" s="2">
        <v>0.98614303101667999</v>
      </c>
      <c r="H64" s="2">
        <f t="shared" si="20"/>
        <v>0.68241116815204839</v>
      </c>
      <c r="I64" s="32">
        <f t="shared" si="2"/>
        <v>0.68241116815204839</v>
      </c>
      <c r="J64" s="32">
        <f t="shared" si="3"/>
        <v>0.68163559923671047</v>
      </c>
      <c r="K64" s="32"/>
      <c r="O64" s="2"/>
      <c r="P64" s="37"/>
      <c r="Q64" s="32">
        <f t="shared" si="4"/>
        <v>0.21837157380865546</v>
      </c>
      <c r="R64" s="32">
        <f t="shared" si="5"/>
        <v>23.039942132868092</v>
      </c>
      <c r="S64" s="37"/>
      <c r="T64" s="2">
        <f>USA!Z72*G64</f>
        <v>26.300434637214856</v>
      </c>
      <c r="U64" s="2">
        <v>0</v>
      </c>
      <c r="V64" s="2">
        <v>0</v>
      </c>
      <c r="W64" s="2">
        <v>0</v>
      </c>
      <c r="X64" s="37"/>
      <c r="Y64" s="2">
        <v>0.68</v>
      </c>
      <c r="Z64" s="2">
        <f t="shared" si="6"/>
        <v>0.35994297547274146</v>
      </c>
      <c r="AA64" s="2">
        <v>0.18</v>
      </c>
      <c r="AB64" s="2">
        <f t="shared" si="8"/>
        <v>0.10409661887065146</v>
      </c>
      <c r="AC64" s="2">
        <f t="shared" si="9"/>
        <v>0.46403959434339292</v>
      </c>
      <c r="AD64"/>
      <c r="AE64"/>
      <c r="AF64"/>
      <c r="AG64"/>
      <c r="AH64"/>
      <c r="AN64">
        <v>1985</v>
      </c>
      <c r="AO64" s="2">
        <f t="shared" si="10"/>
        <v>0.68241116815204839</v>
      </c>
      <c r="AP64" s="2">
        <f t="shared" si="21"/>
        <v>0.35994297547274146</v>
      </c>
      <c r="AQ64" s="2">
        <f t="shared" si="22"/>
        <v>0.10409661887065146</v>
      </c>
      <c r="AR64" s="2">
        <f t="shared" si="23"/>
        <v>0.46403959434339292</v>
      </c>
      <c r="AS64" s="2">
        <f t="shared" si="11"/>
        <v>0.21837157380865546</v>
      </c>
      <c r="AU64" s="7">
        <v>42.38777003176309</v>
      </c>
      <c r="AV64" s="12"/>
      <c r="AW64" s="3">
        <f t="shared" si="12"/>
        <v>1.6099246731797558</v>
      </c>
      <c r="AX64" s="3">
        <f t="shared" si="24"/>
        <v>1.6080949734461845</v>
      </c>
      <c r="AY64" s="3">
        <f t="shared" si="13"/>
        <v>1.094748777762234</v>
      </c>
      <c r="AZ64" s="3">
        <f t="shared" si="25"/>
        <v>0.51517589541752185</v>
      </c>
      <c r="BA64" s="3">
        <f t="shared" si="15"/>
        <v>0.51334619568395057</v>
      </c>
      <c r="BB64" s="3">
        <f t="shared" si="16"/>
        <v>62.047224040110486</v>
      </c>
      <c r="BC64">
        <v>0</v>
      </c>
      <c r="BD64" s="23">
        <v>1</v>
      </c>
      <c r="BE64">
        <v>0</v>
      </c>
      <c r="BF64">
        <v>0</v>
      </c>
      <c r="BG64">
        <v>0</v>
      </c>
      <c r="BI64" s="3">
        <f t="shared" si="17"/>
        <v>1.766773147605073</v>
      </c>
      <c r="BJ64" s="3">
        <f t="shared" si="18"/>
        <v>1.7647651875984292</v>
      </c>
    </row>
    <row r="65" spans="1:62">
      <c r="A65">
        <v>1986</v>
      </c>
      <c r="B65" s="3">
        <f t="shared" si="0"/>
        <v>170.72342618544496</v>
      </c>
      <c r="C65" s="3">
        <f t="shared" si="1"/>
        <v>50.256813657899102</v>
      </c>
      <c r="D65" s="2">
        <v>119.29300000000001</v>
      </c>
      <c r="E65" s="2">
        <v>71.923879999999997</v>
      </c>
      <c r="F65" s="2">
        <f t="shared" si="19"/>
        <v>85.800154168399999</v>
      </c>
      <c r="G65" s="2">
        <v>0.76993910973159707</v>
      </c>
      <c r="H65" s="2">
        <f t="shared" si="20"/>
        <v>0.66060894315251673</v>
      </c>
      <c r="I65" s="32">
        <f t="shared" si="2"/>
        <v>0.66060894315251673</v>
      </c>
      <c r="J65" s="32">
        <f t="shared" si="3"/>
        <v>0.66060894315251673</v>
      </c>
      <c r="K65" s="32"/>
      <c r="O65" s="2"/>
      <c r="P65" s="37"/>
      <c r="Q65" s="32">
        <f t="shared" si="4"/>
        <v>0.17175832521965434</v>
      </c>
      <c r="R65" s="32">
        <f t="shared" si="5"/>
        <v>12.592127464601996</v>
      </c>
      <c r="S65" s="37"/>
      <c r="T65" s="2">
        <f>USA!Z73*G65</f>
        <v>11.587583601460537</v>
      </c>
      <c r="U65" s="2">
        <v>0</v>
      </c>
      <c r="V65" s="2">
        <v>0</v>
      </c>
      <c r="W65" s="2">
        <v>0</v>
      </c>
      <c r="X65" s="37"/>
      <c r="Y65" s="2">
        <v>0.74</v>
      </c>
      <c r="Z65" s="2">
        <f t="shared" si="6"/>
        <v>0.38807976219773271</v>
      </c>
      <c r="AA65" s="2">
        <v>0.18</v>
      </c>
      <c r="AB65" s="2">
        <f t="shared" si="8"/>
        <v>0.10077085573512967</v>
      </c>
      <c r="AC65" s="2">
        <f t="shared" si="9"/>
        <v>0.48885061793286239</v>
      </c>
      <c r="AE65"/>
      <c r="AF65"/>
      <c r="AG65"/>
      <c r="AH65"/>
      <c r="AN65">
        <v>1986</v>
      </c>
      <c r="AO65" s="2">
        <f t="shared" si="10"/>
        <v>0.66060894315251673</v>
      </c>
      <c r="AP65" s="2">
        <f t="shared" si="21"/>
        <v>0.38807976219773271</v>
      </c>
      <c r="AQ65" s="2">
        <f t="shared" si="22"/>
        <v>0.10077085573512967</v>
      </c>
      <c r="AR65" s="2">
        <f t="shared" si="23"/>
        <v>0.48885061793286239</v>
      </c>
      <c r="AS65" s="2">
        <f t="shared" si="11"/>
        <v>0.17175832521965434</v>
      </c>
      <c r="AU65" s="7">
        <v>44.856240470181625</v>
      </c>
      <c r="AV65" s="12"/>
      <c r="AW65" s="3">
        <f t="shared" si="12"/>
        <v>1.4727247228658391</v>
      </c>
      <c r="AX65" s="3">
        <f t="shared" si="24"/>
        <v>1.4727247228658391</v>
      </c>
      <c r="AY65" s="3">
        <f t="shared" si="13"/>
        <v>1.0898162949207211</v>
      </c>
      <c r="AZ65" s="3">
        <f t="shared" si="25"/>
        <v>0.38290842794511804</v>
      </c>
      <c r="BA65" s="3">
        <f t="shared" si="15"/>
        <v>0.38290842794511809</v>
      </c>
      <c r="BB65" s="3">
        <f t="shared" si="16"/>
        <v>25.832712416377007</v>
      </c>
      <c r="BC65">
        <v>0</v>
      </c>
      <c r="BD65" s="23">
        <v>1</v>
      </c>
      <c r="BE65" s="23">
        <v>1</v>
      </c>
      <c r="BF65">
        <v>0</v>
      </c>
      <c r="BG65">
        <v>0</v>
      </c>
      <c r="BI65" s="3">
        <f t="shared" si="17"/>
        <v>1.6162063589188591</v>
      </c>
      <c r="BJ65" s="3">
        <f t="shared" si="18"/>
        <v>1.6162063589188591</v>
      </c>
    </row>
    <row r="66" spans="1:62">
      <c r="A66">
        <v>1987</v>
      </c>
      <c r="B66" s="3">
        <f t="shared" si="0"/>
        <v>192.18603692122252</v>
      </c>
      <c r="C66" s="3">
        <f t="shared" si="1"/>
        <v>52.136856526716379</v>
      </c>
      <c r="D66" s="2">
        <v>134.29</v>
      </c>
      <c r="E66" s="2">
        <v>74.614459999999994</v>
      </c>
      <c r="F66" s="2">
        <f t="shared" si="19"/>
        <v>100.19975833399998</v>
      </c>
      <c r="G66" s="2">
        <v>0.6677438236058677</v>
      </c>
      <c r="H66" s="2">
        <f t="shared" si="20"/>
        <v>0.66907769754329049</v>
      </c>
      <c r="I66" s="32">
        <f t="shared" si="2"/>
        <v>0.66907769754329049</v>
      </c>
      <c r="J66" s="32">
        <f t="shared" si="3"/>
        <v>0.68434437025056982</v>
      </c>
      <c r="K66" s="32"/>
      <c r="O66" s="2"/>
      <c r="P66" s="37"/>
      <c r="Q66" s="32">
        <f t="shared" si="4"/>
        <v>0.1251175294405954</v>
      </c>
      <c r="R66" s="32">
        <f t="shared" si="5"/>
        <v>13.467768587721617</v>
      </c>
      <c r="S66" s="37"/>
      <c r="T66" s="2">
        <f>USA!Z74*G66</f>
        <v>12.820681413232659</v>
      </c>
      <c r="U66" s="2">
        <v>0</v>
      </c>
      <c r="V66" s="2">
        <v>0</v>
      </c>
      <c r="W66" s="2">
        <v>0</v>
      </c>
      <c r="X66" s="37"/>
      <c r="Y66" s="2">
        <v>0.81299999999999994</v>
      </c>
      <c r="Z66" s="2">
        <f t="shared" si="6"/>
        <v>0.44189746847744737</v>
      </c>
      <c r="AA66" s="2">
        <v>0.18</v>
      </c>
      <c r="AB66" s="2">
        <f t="shared" si="8"/>
        <v>0.10206269962524772</v>
      </c>
      <c r="AC66" s="2">
        <f t="shared" si="9"/>
        <v>0.5439601681026951</v>
      </c>
      <c r="AE66"/>
      <c r="AF66"/>
      <c r="AG66"/>
      <c r="AH66"/>
      <c r="AN66">
        <v>1987</v>
      </c>
      <c r="AO66" s="2">
        <f t="shared" si="10"/>
        <v>0.66907769754329049</v>
      </c>
      <c r="AP66" s="2">
        <f t="shared" si="21"/>
        <v>0.44189746847744737</v>
      </c>
      <c r="AQ66" s="2">
        <f t="shared" si="22"/>
        <v>0.10206269962524772</v>
      </c>
      <c r="AR66" s="2">
        <f t="shared" si="23"/>
        <v>0.5439601681026951</v>
      </c>
      <c r="AS66" s="2">
        <f t="shared" si="11"/>
        <v>0.1251175294405954</v>
      </c>
      <c r="AU66" s="7">
        <v>46.985693597024081</v>
      </c>
      <c r="AV66" s="12"/>
      <c r="AW66" s="3">
        <f t="shared" si="12"/>
        <v>1.4240030237324572</v>
      </c>
      <c r="AX66" s="3">
        <f t="shared" si="24"/>
        <v>1.4564951964312685</v>
      </c>
      <c r="AY66" s="3">
        <f t="shared" si="13"/>
        <v>1.1577144582944876</v>
      </c>
      <c r="AZ66" s="3">
        <f t="shared" si="25"/>
        <v>0.26628856543796964</v>
      </c>
      <c r="BA66" s="3">
        <f t="shared" si="15"/>
        <v>0.29878073813678074</v>
      </c>
      <c r="BB66" s="3">
        <f t="shared" si="16"/>
        <v>27.286351294907092</v>
      </c>
      <c r="BC66">
        <v>0</v>
      </c>
      <c r="BD66" s="23">
        <v>1</v>
      </c>
      <c r="BE66">
        <v>0</v>
      </c>
      <c r="BF66">
        <v>0</v>
      </c>
      <c r="BG66">
        <v>0</v>
      </c>
      <c r="BI66" s="3">
        <f t="shared" si="17"/>
        <v>1.5627379009415454</v>
      </c>
      <c r="BJ66" s="3">
        <f t="shared" si="18"/>
        <v>1.5983956551134988</v>
      </c>
    </row>
    <row r="67" spans="1:62">
      <c r="A67">
        <v>1988</v>
      </c>
      <c r="B67" s="3">
        <f t="shared" si="0"/>
        <v>192.70839825472652</v>
      </c>
      <c r="C67" s="3">
        <f t="shared" si="1"/>
        <v>54.227069431021505</v>
      </c>
      <c r="D67" s="2">
        <v>134.655</v>
      </c>
      <c r="E67" s="2">
        <v>77.605819999999994</v>
      </c>
      <c r="F67" s="2">
        <f t="shared" si="19"/>
        <v>104.50011692099999</v>
      </c>
      <c r="G67" s="2">
        <v>0.67168176442335004</v>
      </c>
      <c r="H67" s="2">
        <f t="shared" si="20"/>
        <v>0.7019082291594364</v>
      </c>
      <c r="I67" s="32">
        <f t="shared" si="2"/>
        <v>0.7019082291594364</v>
      </c>
      <c r="J67" s="32">
        <f t="shared" si="3"/>
        <v>0.69699719016101047</v>
      </c>
      <c r="K67" s="32"/>
      <c r="O67" s="2"/>
      <c r="P67" s="37"/>
      <c r="Q67" s="32">
        <f t="shared" si="4"/>
        <v>0.13546828822777124</v>
      </c>
      <c r="R67" s="32">
        <f t="shared" si="5"/>
        <v>11.980842225257195</v>
      </c>
      <c r="S67" s="37"/>
      <c r="T67" s="2">
        <f>USA!Z75*G67</f>
        <v>10.7267577778409</v>
      </c>
      <c r="U67" s="2">
        <v>0</v>
      </c>
      <c r="V67" s="2">
        <v>0</v>
      </c>
      <c r="W67" s="2">
        <v>0</v>
      </c>
      <c r="X67" s="37"/>
      <c r="Y67" s="2">
        <v>0.80700000000000005</v>
      </c>
      <c r="Z67" s="2">
        <f t="shared" si="6"/>
        <v>0.45936919411073418</v>
      </c>
      <c r="AA67" s="2">
        <v>0.18</v>
      </c>
      <c r="AB67" s="2">
        <f t="shared" si="8"/>
        <v>0.107070746820931</v>
      </c>
      <c r="AC67" s="2">
        <f t="shared" si="9"/>
        <v>0.56643994093166516</v>
      </c>
      <c r="AE67"/>
      <c r="AF67"/>
      <c r="AG67"/>
      <c r="AH67"/>
      <c r="AN67">
        <v>1988</v>
      </c>
      <c r="AO67" s="2">
        <f t="shared" si="10"/>
        <v>0.7019082291594364</v>
      </c>
      <c r="AP67" s="2">
        <f t="shared" si="21"/>
        <v>0.45936919411073418</v>
      </c>
      <c r="AQ67" s="2">
        <f t="shared" si="22"/>
        <v>0.107070746820931</v>
      </c>
      <c r="AR67" s="2">
        <f t="shared" si="23"/>
        <v>0.56643994093166516</v>
      </c>
      <c r="AS67" s="2">
        <f t="shared" si="11"/>
        <v>0.13546828822777124</v>
      </c>
      <c r="AU67" s="7">
        <v>49.362346973538614</v>
      </c>
      <c r="AV67" s="12"/>
      <c r="AW67" s="3">
        <f t="shared" si="12"/>
        <v>1.4219506814287097</v>
      </c>
      <c r="AX67" s="3">
        <f t="shared" si="24"/>
        <v>1.4120017237726676</v>
      </c>
      <c r="AY67" s="3">
        <f t="shared" si="13"/>
        <v>1.1475141999129688</v>
      </c>
      <c r="AZ67" s="3">
        <f t="shared" si="25"/>
        <v>0.27443648151574096</v>
      </c>
      <c r="BA67" s="3">
        <f t="shared" si="15"/>
        <v>0.26448752385969876</v>
      </c>
      <c r="BB67" s="3">
        <f t="shared" si="16"/>
        <v>21.730647822704078</v>
      </c>
      <c r="BC67">
        <v>0</v>
      </c>
      <c r="BD67" s="23">
        <v>1</v>
      </c>
      <c r="BE67">
        <v>0</v>
      </c>
      <c r="BF67">
        <v>0</v>
      </c>
      <c r="BG67">
        <v>0</v>
      </c>
      <c r="BI67" s="3">
        <f t="shared" si="17"/>
        <v>1.5604856071961533</v>
      </c>
      <c r="BJ67" s="3">
        <f t="shared" si="18"/>
        <v>1.5495673626806272</v>
      </c>
    </row>
    <row r="68" spans="1:62">
      <c r="A68">
        <v>1989</v>
      </c>
      <c r="B68" s="3">
        <f t="shared" si="0"/>
        <v>176.4465028229308</v>
      </c>
      <c r="C68" s="3">
        <f t="shared" si="1"/>
        <v>56.844608024141067</v>
      </c>
      <c r="D68" s="2">
        <v>123.292</v>
      </c>
      <c r="E68" s="2">
        <v>81.351849999999999</v>
      </c>
      <c r="F68" s="2">
        <f t="shared" si="19"/>
        <v>100.300322902</v>
      </c>
      <c r="G68" s="2">
        <v>0.70792154503245941</v>
      </c>
      <c r="H68" s="2">
        <f t="shared" si="20"/>
        <v>0.71004759556038421</v>
      </c>
      <c r="I68" s="32">
        <f>H68</f>
        <v>0.71004759556038421</v>
      </c>
      <c r="J68" s="32">
        <f t="shared" si="3"/>
        <v>0.71193682739984954</v>
      </c>
      <c r="K68" s="32"/>
      <c r="O68" s="2"/>
      <c r="P68" s="37"/>
      <c r="Q68" s="32">
        <f t="shared" si="4"/>
        <v>0.15230520924770241</v>
      </c>
      <c r="R68" s="32">
        <f t="shared" si="5"/>
        <v>14.236750396401636</v>
      </c>
      <c r="S68" s="37"/>
      <c r="T68" s="2">
        <f>USA!Z76*G68</f>
        <v>13.903579144437503</v>
      </c>
      <c r="U68" s="2">
        <v>0</v>
      </c>
      <c r="V68" s="2">
        <v>0</v>
      </c>
      <c r="W68" s="2">
        <v>0</v>
      </c>
      <c r="X68" s="37"/>
      <c r="Y68" s="2">
        <v>0.78549999999999998</v>
      </c>
      <c r="Z68" s="2">
        <f t="shared" si="6"/>
        <v>0.44437344248371291</v>
      </c>
      <c r="AA68" s="2">
        <v>0.19</v>
      </c>
      <c r="AB68" s="2">
        <f t="shared" si="8"/>
        <v>0.11336894382896891</v>
      </c>
      <c r="AC68" s="2">
        <f t="shared" si="9"/>
        <v>0.5577423863126818</v>
      </c>
      <c r="AE68"/>
      <c r="AF68"/>
      <c r="AG68"/>
      <c r="AH68"/>
      <c r="AN68">
        <v>1989</v>
      </c>
      <c r="AO68" s="2">
        <f t="shared" si="10"/>
        <v>0.71004759556038421</v>
      </c>
      <c r="AP68" s="2">
        <f t="shared" si="21"/>
        <v>0.44437344248371291</v>
      </c>
      <c r="AQ68" s="2">
        <f t="shared" si="22"/>
        <v>0.11336894382896891</v>
      </c>
      <c r="AR68" s="2">
        <f t="shared" si="23"/>
        <v>0.5577423863126818</v>
      </c>
      <c r="AS68" s="2">
        <f t="shared" si="11"/>
        <v>0.15230520924770241</v>
      </c>
      <c r="AU68" s="7">
        <v>52.452349433456561</v>
      </c>
      <c r="AV68" s="12"/>
      <c r="AW68" s="3">
        <f t="shared" si="12"/>
        <v>1.3537002693486264</v>
      </c>
      <c r="AX68" s="3">
        <f t="shared" si="24"/>
        <v>1.3573020752922516</v>
      </c>
      <c r="AY68" s="3">
        <f t="shared" si="13"/>
        <v>1.0633315615733461</v>
      </c>
      <c r="AZ68" s="3">
        <f t="shared" si="25"/>
        <v>0.29036870777528034</v>
      </c>
      <c r="BA68" s="3">
        <f t="shared" si="15"/>
        <v>0.29397051371890548</v>
      </c>
      <c r="BB68" s="3">
        <f t="shared" si="16"/>
        <v>26.507066498663168</v>
      </c>
      <c r="BC68">
        <v>0</v>
      </c>
      <c r="BD68" s="23">
        <v>1</v>
      </c>
      <c r="BE68">
        <v>0</v>
      </c>
      <c r="BF68">
        <v>0</v>
      </c>
      <c r="BG68">
        <v>0</v>
      </c>
      <c r="BI68" s="3">
        <f t="shared" si="17"/>
        <v>1.485585832452091</v>
      </c>
      <c r="BJ68" s="3">
        <f t="shared" si="18"/>
        <v>1.4895385478369123</v>
      </c>
    </row>
    <row r="69" spans="1:62">
      <c r="A69">
        <v>1990</v>
      </c>
      <c r="B69" s="3">
        <f t="shared" si="0"/>
        <v>175.30446352392764</v>
      </c>
      <c r="C69" s="3">
        <f t="shared" si="1"/>
        <v>59.913057002261802</v>
      </c>
      <c r="D69" s="2">
        <v>122.494</v>
      </c>
      <c r="E69" s="2">
        <v>85.743189999999998</v>
      </c>
      <c r="F69" s="2">
        <f t="shared" si="19"/>
        <v>105.03026315859999</v>
      </c>
      <c r="G69" s="2">
        <v>0.61870512204737282</v>
      </c>
      <c r="H69" s="2">
        <f t="shared" si="20"/>
        <v>0.64982761786209298</v>
      </c>
      <c r="I69" s="32">
        <f t="shared" ref="I69:I74" si="26">H69</f>
        <v>0.64982761786209298</v>
      </c>
      <c r="J69" s="32">
        <f t="shared" si="3"/>
        <v>0.66293664576375799</v>
      </c>
      <c r="K69" s="32"/>
      <c r="L69" s="2">
        <f t="shared" ref="L69:L77" si="27">L$79*M69/M$79</f>
        <v>0</v>
      </c>
      <c r="O69" s="2"/>
      <c r="P69" s="37"/>
      <c r="Q69" s="32">
        <f t="shared" si="4"/>
        <v>0.15335931781545392</v>
      </c>
      <c r="R69" s="32">
        <f t="shared" si="5"/>
        <v>15.140909511873012</v>
      </c>
      <c r="S69" s="37"/>
      <c r="T69" s="2">
        <f>USA!Z77*G69</f>
        <v>15.176836643822057</v>
      </c>
      <c r="U69" s="2">
        <v>0</v>
      </c>
      <c r="V69" s="2">
        <v>0</v>
      </c>
      <c r="W69" s="2">
        <v>0</v>
      </c>
      <c r="X69" s="37"/>
      <c r="Y69" s="2">
        <v>0.76400000000000001</v>
      </c>
      <c r="Z69" s="2">
        <f t="shared" si="6"/>
        <v>0.39271431064008638</v>
      </c>
      <c r="AA69" s="2">
        <v>0.19</v>
      </c>
      <c r="AB69" s="2">
        <f t="shared" si="8"/>
        <v>0.10375398940655266</v>
      </c>
      <c r="AC69" s="2">
        <f t="shared" si="9"/>
        <v>0.49646830004663906</v>
      </c>
      <c r="AE69"/>
      <c r="AF69"/>
      <c r="AG69"/>
      <c r="AH69"/>
      <c r="AN69">
        <v>1990</v>
      </c>
      <c r="AO69" s="2">
        <f t="shared" si="10"/>
        <v>0.64982761786209298</v>
      </c>
      <c r="AP69" s="2">
        <f t="shared" si="21"/>
        <v>0.39271431064008638</v>
      </c>
      <c r="AQ69" s="2">
        <f t="shared" si="22"/>
        <v>0.10375398940655266</v>
      </c>
      <c r="AR69" s="2">
        <f t="shared" si="23"/>
        <v>0.49646830004663906</v>
      </c>
      <c r="AS69" s="2">
        <f t="shared" si="11"/>
        <v>0.15335931781545392</v>
      </c>
      <c r="AU69" s="7">
        <v>55.838992023165076</v>
      </c>
      <c r="AV69" s="12"/>
      <c r="AW69" s="3">
        <f t="shared" si="12"/>
        <v>1.1637524144284495</v>
      </c>
      <c r="AX69" s="3">
        <f t="shared" si="24"/>
        <v>1.1872288910386053</v>
      </c>
      <c r="AY69" s="3">
        <f t="shared" si="13"/>
        <v>0.88910684462333556</v>
      </c>
      <c r="AZ69" s="3">
        <f t="shared" si="25"/>
        <v>0.2746455698051139</v>
      </c>
      <c r="BA69" s="3">
        <f t="shared" si="15"/>
        <v>0.29812204641526985</v>
      </c>
      <c r="BB69" s="3">
        <f t="shared" si="16"/>
        <v>27.179639341494333</v>
      </c>
      <c r="BC69">
        <v>0</v>
      </c>
      <c r="BD69" s="23">
        <v>1</v>
      </c>
      <c r="BE69">
        <v>0</v>
      </c>
      <c r="BF69">
        <v>0</v>
      </c>
      <c r="BG69">
        <v>0</v>
      </c>
      <c r="BI69" s="3">
        <f t="shared" si="17"/>
        <v>1.2771321233382844</v>
      </c>
      <c r="BJ69" s="3">
        <f t="shared" si="18"/>
        <v>1.3028958184764423</v>
      </c>
    </row>
    <row r="70" spans="1:62">
      <c r="A70">
        <v>1991</v>
      </c>
      <c r="B70" s="3">
        <f t="shared" si="0"/>
        <v>175.73952611402405</v>
      </c>
      <c r="C70" s="3">
        <f t="shared" si="1"/>
        <v>62.450351141377027</v>
      </c>
      <c r="D70" s="2">
        <v>122.798</v>
      </c>
      <c r="E70" s="2">
        <v>89.374380000000002</v>
      </c>
      <c r="F70" s="2">
        <f t="shared" si="19"/>
        <v>109.7499511524</v>
      </c>
      <c r="G70" s="2">
        <v>0.64032736481310293</v>
      </c>
      <c r="H70" s="2">
        <f t="shared" si="20"/>
        <v>0.70275897009783062</v>
      </c>
      <c r="I70" s="32">
        <f t="shared" si="26"/>
        <v>0.70275897009783062</v>
      </c>
      <c r="J70" s="32">
        <f t="shared" si="3"/>
        <v>0.69867862286039906</v>
      </c>
      <c r="K70" s="32"/>
      <c r="L70" s="2">
        <f t="shared" si="27"/>
        <v>0</v>
      </c>
      <c r="O70" s="2"/>
      <c r="P70" s="37"/>
      <c r="Q70" s="32">
        <f t="shared" si="4"/>
        <v>0.16655387591318582</v>
      </c>
      <c r="R70" s="32">
        <f t="shared" si="5"/>
        <v>14.157978979845943</v>
      </c>
      <c r="S70" s="37"/>
      <c r="T70" s="2">
        <f>USA!Z78*G70</f>
        <v>13.792651438074236</v>
      </c>
      <c r="U70" s="2">
        <v>0</v>
      </c>
      <c r="V70" s="2">
        <v>0</v>
      </c>
      <c r="W70" s="2">
        <v>0</v>
      </c>
      <c r="X70" s="37"/>
      <c r="Y70" s="2">
        <v>0.76300000000000001</v>
      </c>
      <c r="Z70" s="2">
        <f t="shared" si="6"/>
        <v>0.4239998804715458</v>
      </c>
      <c r="AA70" s="2">
        <v>0.19</v>
      </c>
      <c r="AB70" s="2">
        <f t="shared" si="8"/>
        <v>0.11220521371309901</v>
      </c>
      <c r="AC70" s="2">
        <f t="shared" si="9"/>
        <v>0.53620509418464479</v>
      </c>
      <c r="AE70"/>
      <c r="AF70"/>
      <c r="AG70"/>
      <c r="AH70"/>
      <c r="AN70">
        <v>1991</v>
      </c>
      <c r="AO70" s="2">
        <f t="shared" si="10"/>
        <v>0.70275897009783062</v>
      </c>
      <c r="AP70" s="2">
        <f t="shared" si="21"/>
        <v>0.4239998804715458</v>
      </c>
      <c r="AQ70" s="2">
        <f t="shared" si="22"/>
        <v>0.11220521371309901</v>
      </c>
      <c r="AR70" s="2">
        <f t="shared" si="23"/>
        <v>0.53620509418464479</v>
      </c>
      <c r="AS70" s="2">
        <f t="shared" si="11"/>
        <v>0.16655387591318582</v>
      </c>
      <c r="AU70" s="7">
        <v>59.328929024612897</v>
      </c>
      <c r="AV70" s="12"/>
      <c r="AW70" s="3">
        <f t="shared" si="12"/>
        <v>1.1845131568215019</v>
      </c>
      <c r="AX70" s="3">
        <f t="shared" si="24"/>
        <v>1.1776356565791857</v>
      </c>
      <c r="AY70" s="3">
        <f t="shared" si="13"/>
        <v>0.90378353865480621</v>
      </c>
      <c r="AZ70" s="3">
        <f t="shared" si="25"/>
        <v>0.28072961816669573</v>
      </c>
      <c r="BA70" s="3">
        <f t="shared" si="15"/>
        <v>0.27385211792437958</v>
      </c>
      <c r="BB70" s="3">
        <f t="shared" si="16"/>
        <v>23.247767429532203</v>
      </c>
      <c r="BC70">
        <v>0</v>
      </c>
      <c r="BD70" s="23">
        <v>1</v>
      </c>
      <c r="BE70">
        <v>0</v>
      </c>
      <c r="BF70">
        <v>0</v>
      </c>
      <c r="BG70">
        <v>0</v>
      </c>
      <c r="BI70" s="3">
        <f t="shared" si="17"/>
        <v>1.2999155012164219</v>
      </c>
      <c r="BJ70" s="3">
        <f t="shared" si="18"/>
        <v>1.2923679538353556</v>
      </c>
    </row>
    <row r="71" spans="1:62">
      <c r="A71">
        <v>1992</v>
      </c>
      <c r="B71" s="3">
        <f t="shared" si="0"/>
        <v>177.90911455674186</v>
      </c>
      <c r="C71" s="3">
        <f t="shared" si="1"/>
        <v>64.341860498266513</v>
      </c>
      <c r="D71" s="2">
        <v>124.31399999999999</v>
      </c>
      <c r="E71" s="2">
        <v>92.081370000000007</v>
      </c>
      <c r="F71" s="2">
        <f t="shared" si="19"/>
        <v>114.47003430180001</v>
      </c>
      <c r="G71" s="2">
        <v>0.63697840005095707</v>
      </c>
      <c r="H71" s="2">
        <f t="shared" si="20"/>
        <v>0.72914939303338744</v>
      </c>
      <c r="I71" s="32">
        <f t="shared" si="26"/>
        <v>0.72914939303338744</v>
      </c>
      <c r="J71" s="32">
        <f t="shared" si="3"/>
        <v>0.71794164982995889</v>
      </c>
      <c r="K71" s="32"/>
      <c r="L71" s="2">
        <f t="shared" si="27"/>
        <v>0</v>
      </c>
      <c r="O71" s="2"/>
      <c r="P71" s="37"/>
      <c r="Q71" s="32">
        <f t="shared" si="4"/>
        <v>0.17353755554194616</v>
      </c>
      <c r="R71" s="32">
        <f t="shared" si="5"/>
        <v>13.672518898330077</v>
      </c>
      <c r="S71" s="37"/>
      <c r="T71" s="2">
        <f>USA!Z79*G71</f>
        <v>13.109015473048695</v>
      </c>
      <c r="U71" s="2">
        <v>0</v>
      </c>
      <c r="V71" s="2">
        <v>0</v>
      </c>
      <c r="W71" s="2">
        <v>0</v>
      </c>
      <c r="X71" s="37"/>
      <c r="Y71" s="2">
        <v>0.76200000000000001</v>
      </c>
      <c r="Z71" s="2">
        <f t="shared" si="6"/>
        <v>0.4391930268390517</v>
      </c>
      <c r="AA71" s="2">
        <v>0.19</v>
      </c>
      <c r="AB71" s="2">
        <f t="shared" si="8"/>
        <v>0.1164188106523896</v>
      </c>
      <c r="AC71" s="2">
        <f t="shared" si="9"/>
        <v>0.55561183749144127</v>
      </c>
      <c r="AE71"/>
      <c r="AF71"/>
      <c r="AG71"/>
      <c r="AH71"/>
      <c r="AN71">
        <v>1992</v>
      </c>
      <c r="AO71" s="2">
        <f t="shared" si="10"/>
        <v>0.72914939303338744</v>
      </c>
      <c r="AP71" s="2">
        <f t="shared" si="21"/>
        <v>0.4391930268390517</v>
      </c>
      <c r="AQ71" s="2">
        <f t="shared" si="22"/>
        <v>0.1164188106523896</v>
      </c>
      <c r="AR71" s="2">
        <f t="shared" si="23"/>
        <v>0.55561183749144127</v>
      </c>
      <c r="AS71" s="2">
        <f t="shared" si="11"/>
        <v>0.17353755554194616</v>
      </c>
      <c r="AU71" s="7">
        <v>62.455912438312659</v>
      </c>
      <c r="AV71" s="12"/>
      <c r="AW71" s="3">
        <f t="shared" si="12"/>
        <v>1.1674625580941822</v>
      </c>
      <c r="AX71" s="3">
        <f t="shared" si="24"/>
        <v>1.149517510514422</v>
      </c>
      <c r="AY71" s="3">
        <f t="shared" si="13"/>
        <v>0.88960646926776688</v>
      </c>
      <c r="AZ71" s="3">
        <f t="shared" si="25"/>
        <v>0.27785608882641533</v>
      </c>
      <c r="BA71" s="3">
        <f t="shared" si="15"/>
        <v>0.25991104124665509</v>
      </c>
      <c r="BB71" s="3">
        <f t="shared" si="16"/>
        <v>20.989230580845959</v>
      </c>
      <c r="BC71">
        <v>0</v>
      </c>
      <c r="BD71" s="23">
        <v>1</v>
      </c>
      <c r="BE71">
        <v>0</v>
      </c>
      <c r="BF71">
        <v>0</v>
      </c>
      <c r="BG71">
        <v>0</v>
      </c>
      <c r="BI71" s="3">
        <f t="shared" si="17"/>
        <v>1.2812037313529792</v>
      </c>
      <c r="BJ71" s="3">
        <f t="shared" si="18"/>
        <v>1.2615103700891905</v>
      </c>
    </row>
    <row r="72" spans="1:62">
      <c r="A72">
        <v>1993</v>
      </c>
      <c r="B72" s="3">
        <f t="shared" si="0"/>
        <v>179.93415917840787</v>
      </c>
      <c r="C72" s="3">
        <f t="shared" si="1"/>
        <v>66.241014180537462</v>
      </c>
      <c r="D72" s="2">
        <v>125.729</v>
      </c>
      <c r="E72" s="2">
        <v>94.799300000000002</v>
      </c>
      <c r="F72" s="2">
        <f t="shared" si="19"/>
        <v>119.19021189700001</v>
      </c>
      <c r="G72" s="2">
        <v>0.81104451686317847</v>
      </c>
      <c r="H72" s="2">
        <f t="shared" si="20"/>
        <v>0.96668567822822238</v>
      </c>
      <c r="I72" s="32">
        <f t="shared" si="26"/>
        <v>0.96668567822822238</v>
      </c>
      <c r="J72" s="32">
        <f t="shared" si="3"/>
        <v>0.95239281369036921</v>
      </c>
      <c r="K72" s="32"/>
      <c r="L72" s="2">
        <f t="shared" si="27"/>
        <v>0</v>
      </c>
      <c r="O72" s="2"/>
      <c r="P72" s="37"/>
      <c r="Q72" s="32">
        <f t="shared" si="4"/>
        <v>0.23103787709654511</v>
      </c>
      <c r="R72" s="32">
        <f t="shared" si="5"/>
        <v>14.978089967433547</v>
      </c>
      <c r="S72" s="37"/>
      <c r="T72" s="2">
        <f>USA!Z80*G72</f>
        <v>14.947550445788378</v>
      </c>
      <c r="U72" s="2">
        <v>0</v>
      </c>
      <c r="V72" s="2">
        <v>0</v>
      </c>
      <c r="W72" s="2">
        <v>0</v>
      </c>
      <c r="X72" s="37"/>
      <c r="Y72" s="2">
        <v>0.76100000000000001</v>
      </c>
      <c r="Z72" s="2">
        <f t="shared" si="6"/>
        <v>0.58130302897759134</v>
      </c>
      <c r="AA72" s="2">
        <v>0.19</v>
      </c>
      <c r="AB72" s="2">
        <f t="shared" si="8"/>
        <v>0.15434477215408593</v>
      </c>
      <c r="AC72" s="2">
        <f t="shared" si="9"/>
        <v>0.73564780113167727</v>
      </c>
      <c r="AE72"/>
      <c r="AF72"/>
      <c r="AG72"/>
      <c r="AH72"/>
      <c r="AN72">
        <v>1993</v>
      </c>
      <c r="AO72" s="2">
        <f t="shared" si="10"/>
        <v>0.96668567822822238</v>
      </c>
      <c r="AP72" s="2">
        <f t="shared" si="21"/>
        <v>0.58130302897759134</v>
      </c>
      <c r="AQ72" s="2">
        <f t="shared" si="22"/>
        <v>0.15434477215408593</v>
      </c>
      <c r="AR72" s="2">
        <f t="shared" si="23"/>
        <v>0.73564780113167727</v>
      </c>
      <c r="AS72" s="2">
        <f t="shared" si="11"/>
        <v>0.23103787709654511</v>
      </c>
      <c r="AU72" s="7">
        <v>65.345580124988047</v>
      </c>
      <c r="AV72" s="12"/>
      <c r="AW72" s="3">
        <f t="shared" si="12"/>
        <v>1.4793436317792568</v>
      </c>
      <c r="AX72" s="3">
        <f t="shared" si="24"/>
        <v>1.4574708983663542</v>
      </c>
      <c r="AY72" s="3">
        <f t="shared" si="13"/>
        <v>1.1257805037840145</v>
      </c>
      <c r="AZ72" s="3">
        <f t="shared" si="25"/>
        <v>0.35356312799524225</v>
      </c>
      <c r="BA72" s="3">
        <f t="shared" si="15"/>
        <v>0.33169039458233979</v>
      </c>
      <c r="BB72" s="3">
        <f t="shared" si="16"/>
        <v>22.874615876388031</v>
      </c>
      <c r="BC72">
        <v>0</v>
      </c>
      <c r="BD72" s="23">
        <v>1</v>
      </c>
      <c r="BE72">
        <v>0</v>
      </c>
      <c r="BF72" s="23">
        <v>0.25</v>
      </c>
      <c r="BG72">
        <v>0</v>
      </c>
      <c r="BI72" s="3">
        <f t="shared" si="17"/>
        <v>1.623470121459732</v>
      </c>
      <c r="BJ72" s="3">
        <f t="shared" si="18"/>
        <v>1.5994664157569587</v>
      </c>
    </row>
    <row r="73" spans="1:62">
      <c r="A73">
        <v>1994</v>
      </c>
      <c r="B73" s="3">
        <f t="shared" si="0"/>
        <v>189.02897088914116</v>
      </c>
      <c r="C73" s="3">
        <f t="shared" si="1"/>
        <v>67.968212466727536</v>
      </c>
      <c r="D73" s="2">
        <v>132.084</v>
      </c>
      <c r="E73" s="2">
        <v>97.271140000000003</v>
      </c>
      <c r="F73" s="2">
        <f t="shared" si="19"/>
        <v>128.47961255760001</v>
      </c>
      <c r="G73" s="2">
        <v>0.83204692527385127</v>
      </c>
      <c r="H73" s="2">
        <f t="shared" si="20"/>
        <v>1.0690106658892677</v>
      </c>
      <c r="I73" s="32">
        <f t="shared" si="26"/>
        <v>1.0690106658892677</v>
      </c>
      <c r="J73" s="32">
        <f t="shared" si="3"/>
        <v>1.0727286630600856</v>
      </c>
      <c r="K73" s="32"/>
      <c r="L73" s="2">
        <f t="shared" si="27"/>
        <v>0</v>
      </c>
      <c r="O73" s="2"/>
      <c r="P73" s="37"/>
      <c r="Q73" s="32">
        <f t="shared" si="4"/>
        <v>0.33681955920031292</v>
      </c>
      <c r="R73" s="32">
        <f t="shared" si="5"/>
        <v>14.526213089707067</v>
      </c>
      <c r="S73" s="37"/>
      <c r="T73" s="2">
        <f>USA!Z81*G73</f>
        <v>14.311207114710241</v>
      </c>
      <c r="U73" s="2">
        <v>0</v>
      </c>
      <c r="V73" s="2">
        <v>0</v>
      </c>
      <c r="W73" s="2">
        <v>0</v>
      </c>
      <c r="X73" s="37"/>
      <c r="Y73" s="2">
        <v>0.76</v>
      </c>
      <c r="Z73" s="39">
        <f>(Z72+Z74)/2</f>
        <v>0.56150873146293723</v>
      </c>
      <c r="AA73" s="2">
        <v>0.19</v>
      </c>
      <c r="AB73" s="2">
        <f t="shared" si="8"/>
        <v>0.17068237522601756</v>
      </c>
      <c r="AC73" s="2">
        <f>Z73+AB73</f>
        <v>0.73219110668895482</v>
      </c>
      <c r="AE73"/>
      <c r="AF73"/>
      <c r="AG73"/>
      <c r="AH73"/>
      <c r="AN73">
        <v>1994</v>
      </c>
      <c r="AO73" s="2">
        <f t="shared" si="10"/>
        <v>1.0690106658892677</v>
      </c>
      <c r="AP73" s="2">
        <f t="shared" si="21"/>
        <v>0.56150873146293723</v>
      </c>
      <c r="AQ73" s="2">
        <f t="shared" si="22"/>
        <v>0.17068237522601756</v>
      </c>
      <c r="AR73" s="2">
        <f t="shared" si="23"/>
        <v>0.73219110668895482</v>
      </c>
      <c r="AS73" s="2">
        <f t="shared" si="11"/>
        <v>0.33681955920031292</v>
      </c>
      <c r="AU73" s="7">
        <v>67.993279132180163</v>
      </c>
      <c r="AV73" s="12"/>
      <c r="AW73" s="3">
        <f t="shared" si="12"/>
        <v>1.5722299020335402</v>
      </c>
      <c r="AX73" s="3">
        <f t="shared" si="24"/>
        <v>1.5776980853867657</v>
      </c>
      <c r="AY73" s="3">
        <f t="shared" si="13"/>
        <v>1.0768580601408591</v>
      </c>
      <c r="AZ73" s="3">
        <f t="shared" si="25"/>
        <v>0.49537184189268113</v>
      </c>
      <c r="BA73" s="3">
        <f t="shared" si="15"/>
        <v>0.50084002524590665</v>
      </c>
      <c r="BB73" s="3">
        <f t="shared" si="16"/>
        <v>21.047973119356396</v>
      </c>
      <c r="BC73">
        <v>0</v>
      </c>
      <c r="BD73" s="23">
        <v>1</v>
      </c>
      <c r="BE73">
        <v>0</v>
      </c>
      <c r="BF73" s="23">
        <v>1</v>
      </c>
      <c r="BG73">
        <v>0</v>
      </c>
      <c r="BI73" s="3">
        <f t="shared" si="17"/>
        <v>1.7254059267805641</v>
      </c>
      <c r="BJ73" s="3">
        <f t="shared" si="18"/>
        <v>1.7314068532062574</v>
      </c>
    </row>
    <row r="74" spans="1:62">
      <c r="A74">
        <v>1995</v>
      </c>
      <c r="B74" s="3">
        <f t="shared" si="0"/>
        <v>153.53129824192985</v>
      </c>
      <c r="C74" s="3">
        <f t="shared" si="1"/>
        <v>69.875003486879606</v>
      </c>
      <c r="D74" s="2">
        <v>107.28</v>
      </c>
      <c r="E74" s="2">
        <v>100</v>
      </c>
      <c r="F74" s="2">
        <f t="shared" si="19"/>
        <v>107.28</v>
      </c>
      <c r="G74" s="2">
        <v>0.84111844766828303</v>
      </c>
      <c r="H74" s="2">
        <f t="shared" si="20"/>
        <v>0.90235187065853406</v>
      </c>
      <c r="I74" s="32">
        <f t="shared" si="26"/>
        <v>0.90235187065853406</v>
      </c>
      <c r="J74" s="32">
        <f t="shared" si="3"/>
        <v>0.90462400358487405</v>
      </c>
      <c r="K74" s="32"/>
      <c r="L74" s="2">
        <f t="shared" si="27"/>
        <v>0</v>
      </c>
      <c r="N74" s="2">
        <f t="shared" ref="N74:N88" si="28">G74*O74/100</f>
        <v>0.99251976824857391</v>
      </c>
      <c r="O74" s="39">
        <v>118</v>
      </c>
      <c r="P74" s="37"/>
      <c r="Q74" s="32">
        <f t="shared" si="4"/>
        <v>0.21656444895804816</v>
      </c>
      <c r="R74" s="32">
        <f t="shared" si="5"/>
        <v>15.371680056187415</v>
      </c>
      <c r="S74" s="37"/>
      <c r="T74" s="2">
        <f>USA!Z82*G74</f>
        <v>15.501812990526457</v>
      </c>
      <c r="U74" s="2">
        <v>0</v>
      </c>
      <c r="V74" s="2">
        <v>0</v>
      </c>
      <c r="W74" s="2">
        <v>0</v>
      </c>
      <c r="X74" s="37"/>
      <c r="Y74" s="2">
        <v>0.76</v>
      </c>
      <c r="Z74" s="2">
        <f t="shared" si="6"/>
        <v>0.541714433948283</v>
      </c>
      <c r="AA74" s="2">
        <v>0.19</v>
      </c>
      <c r="AB74" s="2">
        <f t="shared" si="8"/>
        <v>0.14407298775220292</v>
      </c>
      <c r="AC74" s="2">
        <f>Y74*I74</f>
        <v>0.6857874217004859</v>
      </c>
      <c r="AE74"/>
      <c r="AF74"/>
      <c r="AG74"/>
      <c r="AH74"/>
      <c r="AN74">
        <v>1995</v>
      </c>
      <c r="AO74" s="2">
        <f t="shared" si="10"/>
        <v>0.90235187065853406</v>
      </c>
      <c r="AP74" s="2">
        <f t="shared" si="21"/>
        <v>0.541714433948283</v>
      </c>
      <c r="AQ74" s="2">
        <f t="shared" si="22"/>
        <v>0.14407298775220292</v>
      </c>
      <c r="AR74" s="2">
        <f t="shared" si="23"/>
        <v>0.6857874217004859</v>
      </c>
      <c r="AS74" s="2">
        <f t="shared" si="11"/>
        <v>0.21656444895804816</v>
      </c>
      <c r="AU74" s="7">
        <v>71.553014906320527</v>
      </c>
      <c r="AV74" s="12"/>
      <c r="AW74" s="3">
        <f t="shared" si="12"/>
        <v>1.2610955273372082</v>
      </c>
      <c r="AX74" s="3">
        <f t="shared" si="24"/>
        <v>1.264270981130895</v>
      </c>
      <c r="AY74" s="3">
        <f t="shared" si="13"/>
        <v>0.95843260077627823</v>
      </c>
      <c r="AZ74" s="3">
        <f t="shared" si="25"/>
        <v>0.30266292656092997</v>
      </c>
      <c r="BA74" s="3">
        <f t="shared" si="15"/>
        <v>0.30583838035461686</v>
      </c>
      <c r="BB74" s="3">
        <f t="shared" si="16"/>
        <v>21.664793595101369</v>
      </c>
      <c r="BC74">
        <v>0</v>
      </c>
      <c r="BD74" s="23">
        <v>0.5</v>
      </c>
      <c r="BE74">
        <v>0</v>
      </c>
      <c r="BF74">
        <v>0</v>
      </c>
      <c r="BG74">
        <v>0</v>
      </c>
      <c r="BI74" s="3">
        <f t="shared" si="17"/>
        <v>1.3839589835365322</v>
      </c>
      <c r="BJ74" s="3">
        <f t="shared" si="18"/>
        <v>1.3874438089992451</v>
      </c>
    </row>
    <row r="75" spans="1:62">
      <c r="A75">
        <v>1996</v>
      </c>
      <c r="B75" s="3">
        <f t="shared" si="0"/>
        <v>162.54589291593206</v>
      </c>
      <c r="C75" s="3">
        <f t="shared" si="1"/>
        <v>71.923179589087013</v>
      </c>
      <c r="D75" s="2">
        <v>117.515</v>
      </c>
      <c r="E75" s="2">
        <v>102.9312</v>
      </c>
      <c r="F75" s="2">
        <f t="shared" si="19"/>
        <v>120.95959968000001</v>
      </c>
      <c r="G75" s="2">
        <v>0.79667707327318327</v>
      </c>
      <c r="H75" s="2">
        <f t="shared" si="20"/>
        <v>0.96365739857358279</v>
      </c>
      <c r="I75" s="32">
        <f t="shared" ref="I75:I83" si="29">L75</f>
        <v>0.93138062283737011</v>
      </c>
      <c r="J75" s="32">
        <f t="shared" si="3"/>
        <v>0.94471060934494167</v>
      </c>
      <c r="K75" s="32"/>
      <c r="L75" s="2">
        <f t="shared" si="27"/>
        <v>0.93138062283737011</v>
      </c>
      <c r="M75" s="2">
        <v>74.7</v>
      </c>
      <c r="N75" s="2">
        <f t="shared" si="28"/>
        <v>0.94273453670660023</v>
      </c>
      <c r="O75" s="2">
        <f>O74+(O$77-O$74)/3</f>
        <v>118.33333333333333</v>
      </c>
      <c r="P75" s="37"/>
      <c r="Q75" s="32">
        <f t="shared" si="4"/>
        <v>0.22353134948096887</v>
      </c>
      <c r="R75" s="32">
        <f t="shared" si="5"/>
        <v>16.877609260036841</v>
      </c>
      <c r="S75" s="37"/>
      <c r="T75" s="2">
        <f>USA!Z83*G75</f>
        <v>17.622496860802816</v>
      </c>
      <c r="U75" s="2">
        <v>0</v>
      </c>
      <c r="V75" s="2">
        <v>0</v>
      </c>
      <c r="W75" s="2">
        <v>0</v>
      </c>
      <c r="X75" s="37"/>
      <c r="Y75" s="2">
        <v>0.76</v>
      </c>
      <c r="Z75" s="2">
        <f t="shared" si="6"/>
        <v>0.55914144281934219</v>
      </c>
      <c r="AA75" s="2">
        <v>0.19</v>
      </c>
      <c r="AB75" s="2">
        <f t="shared" si="8"/>
        <v>0.1487078305370591</v>
      </c>
      <c r="AC75" s="2">
        <f>Y75*I75</f>
        <v>0.70784927335640124</v>
      </c>
      <c r="AE75"/>
      <c r="AF75"/>
      <c r="AG75"/>
      <c r="AH75"/>
      <c r="AN75">
        <v>1996</v>
      </c>
      <c r="AO75" s="2">
        <f t="shared" si="10"/>
        <v>0.93138062283737011</v>
      </c>
      <c r="AP75" s="2">
        <f t="shared" si="21"/>
        <v>0.55914144281934219</v>
      </c>
      <c r="AQ75" s="2">
        <f t="shared" si="22"/>
        <v>0.1487078305370591</v>
      </c>
      <c r="AR75" s="2">
        <f t="shared" si="23"/>
        <v>0.70784927335640124</v>
      </c>
      <c r="AS75" s="2">
        <f t="shared" si="11"/>
        <v>0.22353134948096887</v>
      </c>
      <c r="AU75" s="7">
        <v>74.420129903013802</v>
      </c>
      <c r="AV75" s="12"/>
      <c r="AW75" s="3">
        <f t="shared" si="12"/>
        <v>1.2515170613799909</v>
      </c>
      <c r="AX75" s="3">
        <f t="shared" si="24"/>
        <v>1.2694288636369118</v>
      </c>
      <c r="AY75" s="3">
        <f t="shared" si="13"/>
        <v>0.9511529666487929</v>
      </c>
      <c r="AZ75" s="3">
        <f t="shared" si="25"/>
        <v>0.30036409473119796</v>
      </c>
      <c r="BA75" s="3">
        <f t="shared" si="15"/>
        <v>0.31827589698811887</v>
      </c>
      <c r="BB75" s="3">
        <f t="shared" si="16"/>
        <v>23.679744826794714</v>
      </c>
      <c r="BC75">
        <v>0</v>
      </c>
      <c r="BD75" s="23">
        <v>0.5</v>
      </c>
      <c r="BE75">
        <v>0</v>
      </c>
      <c r="BF75">
        <v>0</v>
      </c>
      <c r="BG75">
        <v>0</v>
      </c>
      <c r="BI75" s="3">
        <f t="shared" si="17"/>
        <v>1.3734473262333142</v>
      </c>
      <c r="BJ75" s="3">
        <f t="shared" si="18"/>
        <v>1.3931042032164067</v>
      </c>
    </row>
    <row r="76" spans="1:62">
      <c r="A76">
        <v>1997</v>
      </c>
      <c r="B76" s="3">
        <f t="shared" si="0"/>
        <v>146.03165044249323</v>
      </c>
      <c r="C76" s="3">
        <f t="shared" si="1"/>
        <v>73.604511922988308</v>
      </c>
      <c r="D76" s="2">
        <v>107.654</v>
      </c>
      <c r="E76" s="2">
        <v>105.3374</v>
      </c>
      <c r="F76" s="2">
        <f t="shared" si="19"/>
        <v>113.39992459600001</v>
      </c>
      <c r="G76" s="2">
        <v>0.8792742833730145</v>
      </c>
      <c r="H76" s="2">
        <f t="shared" si="20"/>
        <v>0.99709637433701781</v>
      </c>
      <c r="I76" s="32">
        <f t="shared" si="29"/>
        <v>0.94509573241061118</v>
      </c>
      <c r="J76" s="32">
        <f t="shared" si="3"/>
        <v>0.94193135024432562</v>
      </c>
      <c r="K76" s="32"/>
      <c r="L76" s="2">
        <f t="shared" si="27"/>
        <v>0.94509573241061118</v>
      </c>
      <c r="M76" s="2">
        <v>75.8</v>
      </c>
      <c r="N76" s="2">
        <f t="shared" si="28"/>
        <v>1.0434054829359771</v>
      </c>
      <c r="O76" s="2">
        <f>O75+(O$77-O$74)/3</f>
        <v>118.66666666666666</v>
      </c>
      <c r="P76" s="37"/>
      <c r="Q76" s="32">
        <f t="shared" si="4"/>
        <v>0.24572489042675894</v>
      </c>
      <c r="R76" s="32">
        <f t="shared" si="5"/>
        <v>17.232202377260176</v>
      </c>
      <c r="S76" s="37"/>
      <c r="T76" s="2">
        <f>USA!Z84*G76</f>
        <v>18.12184298031783</v>
      </c>
      <c r="U76" s="2">
        <v>0</v>
      </c>
      <c r="V76" s="2">
        <v>0</v>
      </c>
      <c r="W76" s="2">
        <v>0</v>
      </c>
      <c r="X76" s="37"/>
      <c r="Y76" s="2">
        <v>0.74</v>
      </c>
      <c r="Z76" s="2">
        <f t="shared" si="6"/>
        <v>0.54847320403593947</v>
      </c>
      <c r="AA76" s="2">
        <v>0.19</v>
      </c>
      <c r="AB76" s="2">
        <f t="shared" ref="AB76:AB92" si="30">AA76*(I76*(1/(1+AA76)))</f>
        <v>0.15089763794791272</v>
      </c>
      <c r="AC76" s="2">
        <f>Y76*I76</f>
        <v>0.69937084198385224</v>
      </c>
      <c r="AE76"/>
      <c r="AF76"/>
      <c r="AG76"/>
      <c r="AH76"/>
      <c r="AN76">
        <v>1997</v>
      </c>
      <c r="AO76" s="2">
        <f t="shared" si="10"/>
        <v>0.94509573241061118</v>
      </c>
      <c r="AP76" s="2">
        <f t="shared" si="21"/>
        <v>0.54847320403593947</v>
      </c>
      <c r="AQ76" s="2">
        <f t="shared" si="22"/>
        <v>0.15089763794791272</v>
      </c>
      <c r="AR76" s="2">
        <f t="shared" si="23"/>
        <v>0.69937084198385224</v>
      </c>
      <c r="AS76" s="2">
        <f t="shared" ref="AS76:AS96" si="31">AO76-AR76</f>
        <v>0.24572489042675894</v>
      </c>
      <c r="AU76" s="7">
        <v>75.940612042270061</v>
      </c>
      <c r="AV76" s="12"/>
      <c r="AW76" s="3">
        <f t="shared" ref="AW76:AW96" si="32">AO76/$AU76*100</f>
        <v>1.2445195093826107</v>
      </c>
      <c r="AX76" s="3">
        <f t="shared" si="24"/>
        <v>1.2403525925232572</v>
      </c>
      <c r="AY76" s="3">
        <f t="shared" si="13"/>
        <v>0.92094443694313199</v>
      </c>
      <c r="AZ76" s="3">
        <f t="shared" si="25"/>
        <v>0.32357507243947869</v>
      </c>
      <c r="BA76" s="3">
        <f t="shared" ref="BA76:BA97" si="33">AX$99+AX$100*BB76+AX$101*BC76+AX$102*BD76+AX$103*BE76+AX$104*BF76+AX$105*BG76</f>
        <v>0.3194081555801252</v>
      </c>
      <c r="BB76" s="3">
        <f t="shared" ref="BB76:BB96" si="34">T76/AU76*100</f>
        <v>23.863177413201321</v>
      </c>
      <c r="BC76">
        <v>0</v>
      </c>
      <c r="BD76" s="23">
        <v>0.5</v>
      </c>
      <c r="BE76">
        <v>0</v>
      </c>
      <c r="BF76">
        <v>0</v>
      </c>
      <c r="BG76">
        <v>0</v>
      </c>
      <c r="BI76" s="3">
        <f t="shared" si="17"/>
        <v>1.3657680309383837</v>
      </c>
      <c r="BJ76" s="3">
        <f t="shared" si="18"/>
        <v>1.3611951481581803</v>
      </c>
    </row>
    <row r="77" spans="1:62">
      <c r="A77">
        <v>1998</v>
      </c>
      <c r="B77" s="3">
        <f t="shared" si="0"/>
        <v>137.08521205893584</v>
      </c>
      <c r="C77" s="3">
        <f t="shared" si="1"/>
        <v>74.747038105002289</v>
      </c>
      <c r="D77" s="2">
        <v>98.941299999999998</v>
      </c>
      <c r="E77" s="2">
        <v>106.9725</v>
      </c>
      <c r="F77" s="2">
        <f t="shared" si="19"/>
        <v>105.83998214249999</v>
      </c>
      <c r="G77" s="2">
        <v>0.89678737985921397</v>
      </c>
      <c r="H77" s="2">
        <f t="shared" si="20"/>
        <v>0.94915960269918553</v>
      </c>
      <c r="I77" s="32">
        <f t="shared" si="29"/>
        <v>0.91891234140715117</v>
      </c>
      <c r="J77" s="32">
        <f t="shared" ref="J77:J89" si="35">AX77*AU77/100</f>
        <v>0.91512795298524896</v>
      </c>
      <c r="K77" s="32"/>
      <c r="L77" s="2">
        <f t="shared" si="27"/>
        <v>0.91891234140715117</v>
      </c>
      <c r="M77" s="2">
        <v>73.7</v>
      </c>
      <c r="N77" s="2">
        <f t="shared" si="28"/>
        <v>1.0671769820324646</v>
      </c>
      <c r="O77" s="39">
        <v>119</v>
      </c>
      <c r="P77" s="37"/>
      <c r="Q77" s="32">
        <f t="shared" si="4"/>
        <v>0.21686331257208769</v>
      </c>
      <c r="R77" s="32">
        <f t="shared" si="5"/>
        <v>13.546586089295259</v>
      </c>
      <c r="S77" s="37"/>
      <c r="T77" s="2">
        <f>USA!Z85*G77</f>
        <v>12.931674017569865</v>
      </c>
      <c r="U77" s="2">
        <v>0</v>
      </c>
      <c r="V77" s="2">
        <v>0</v>
      </c>
      <c r="W77" s="2">
        <v>0</v>
      </c>
      <c r="X77" s="37"/>
      <c r="Y77" s="2">
        <v>0.76400000000000001</v>
      </c>
      <c r="Z77" s="2">
        <f t="shared" si="6"/>
        <v>0.54889697193387166</v>
      </c>
      <c r="AA77" s="2">
        <v>0.2</v>
      </c>
      <c r="AB77" s="2">
        <f t="shared" si="30"/>
        <v>0.15315205690119188</v>
      </c>
      <c r="AC77" s="2">
        <f>Y77*I77</f>
        <v>0.70204902883506348</v>
      </c>
      <c r="AE77"/>
      <c r="AF77"/>
      <c r="AG77"/>
      <c r="AH77"/>
      <c r="AN77">
        <v>1998</v>
      </c>
      <c r="AO77" s="2">
        <f t="shared" si="10"/>
        <v>0.91891234140715117</v>
      </c>
      <c r="AP77" s="2">
        <f t="shared" si="21"/>
        <v>0.54889697193387166</v>
      </c>
      <c r="AQ77" s="2">
        <f t="shared" si="22"/>
        <v>0.15315205690119188</v>
      </c>
      <c r="AR77" s="2">
        <f t="shared" ref="AR77:AR96" si="36">AC77</f>
        <v>0.70204902883506348</v>
      </c>
      <c r="AS77" s="2">
        <f t="shared" si="31"/>
        <v>0.21686331257208769</v>
      </c>
      <c r="AU77" s="7">
        <v>77.425317835435038</v>
      </c>
      <c r="AV77" s="12"/>
      <c r="AW77" s="3">
        <f t="shared" si="32"/>
        <v>1.1868370283739347</v>
      </c>
      <c r="AX77" s="3">
        <f t="shared" si="24"/>
        <v>1.1819492364633533</v>
      </c>
      <c r="AY77" s="3">
        <f t="shared" si="13"/>
        <v>0.90674348967768603</v>
      </c>
      <c r="AZ77" s="3">
        <f t="shared" si="25"/>
        <v>0.28009353869624865</v>
      </c>
      <c r="BA77" s="3">
        <f t="shared" si="33"/>
        <v>0.27520574678566723</v>
      </c>
      <c r="BB77" s="3">
        <f t="shared" si="34"/>
        <v>16.702125840872505</v>
      </c>
      <c r="BC77">
        <v>0</v>
      </c>
      <c r="BD77" s="23">
        <v>0.5</v>
      </c>
      <c r="BE77">
        <v>0</v>
      </c>
      <c r="BF77">
        <v>0</v>
      </c>
      <c r="BG77">
        <v>0</v>
      </c>
      <c r="BI77" s="3">
        <f t="shared" si="17"/>
        <v>1.302465778211191</v>
      </c>
      <c r="BJ77" s="3">
        <f t="shared" si="18"/>
        <v>1.297101788427967</v>
      </c>
    </row>
    <row r="78" spans="1:62">
      <c r="A78">
        <v>1999</v>
      </c>
      <c r="B78" s="3">
        <f t="shared" si="0"/>
        <v>134.41929188864296</v>
      </c>
      <c r="C78" s="3">
        <f t="shared" si="1"/>
        <v>75.889564287016256</v>
      </c>
      <c r="D78" s="38">
        <v>100.914</v>
      </c>
      <c r="E78" s="2">
        <v>108.60760000000001</v>
      </c>
      <c r="F78" s="2">
        <f t="shared" si="19"/>
        <v>109.600273464</v>
      </c>
      <c r="G78" s="2">
        <v>0.93869424202203211</v>
      </c>
      <c r="H78" s="2">
        <f t="shared" si="20"/>
        <v>1.0288114562469692</v>
      </c>
      <c r="I78" s="32">
        <f t="shared" si="29"/>
        <v>0.95756401384083034</v>
      </c>
      <c r="J78" s="32">
        <f t="shared" si="35"/>
        <v>0.96416698656722954</v>
      </c>
      <c r="K78" s="32"/>
      <c r="L78" s="2">
        <f>L$79*M78/M$79</f>
        <v>0.95756401384083034</v>
      </c>
      <c r="M78" s="2">
        <v>76.8</v>
      </c>
      <c r="N78" s="2">
        <f t="shared" si="28"/>
        <v>1.0137897813837946</v>
      </c>
      <c r="O78" s="2">
        <f>(O77+O79)/2</f>
        <v>108</v>
      </c>
      <c r="P78" s="37"/>
      <c r="Q78" s="32">
        <f t="shared" si="4"/>
        <v>0.26302152556708946</v>
      </c>
      <c r="R78" s="32">
        <f t="shared" si="5"/>
        <v>16.015443491274443</v>
      </c>
      <c r="S78" s="37"/>
      <c r="T78" s="2">
        <f>USA!Z86*G78</f>
        <v>16.408375350545121</v>
      </c>
      <c r="U78" s="2">
        <v>0</v>
      </c>
      <c r="V78" s="2">
        <v>0</v>
      </c>
      <c r="W78" s="2">
        <v>0</v>
      </c>
      <c r="X78" s="37"/>
      <c r="Y78" s="34"/>
      <c r="Z78" s="39">
        <f>(Z77+Z79)/2</f>
        <v>0.53494848596693578</v>
      </c>
      <c r="AA78" s="2">
        <v>0.2</v>
      </c>
      <c r="AB78" s="2">
        <f t="shared" si="30"/>
        <v>0.15959400230680509</v>
      </c>
      <c r="AC78" s="2">
        <f>Z78+AB78</f>
        <v>0.69454248827374088</v>
      </c>
      <c r="AE78"/>
      <c r="AF78"/>
      <c r="AG78"/>
      <c r="AH78"/>
      <c r="AN78">
        <v>1999</v>
      </c>
      <c r="AO78" s="2">
        <f t="shared" si="10"/>
        <v>0.95756401384083034</v>
      </c>
      <c r="AP78" s="2">
        <f t="shared" si="21"/>
        <v>0.53494848596693578</v>
      </c>
      <c r="AQ78" s="2">
        <f t="shared" si="22"/>
        <v>0.15959400230680509</v>
      </c>
      <c r="AR78" s="2">
        <f t="shared" si="36"/>
        <v>0.69454248827374088</v>
      </c>
      <c r="AS78" s="2">
        <f t="shared" si="31"/>
        <v>0.26302152556708946</v>
      </c>
      <c r="AU78" s="7">
        <v>78.713255478994014</v>
      </c>
      <c r="AV78" s="12"/>
      <c r="AW78" s="3">
        <f t="shared" si="32"/>
        <v>1.2165219288844846</v>
      </c>
      <c r="AX78" s="3">
        <f t="shared" si="24"/>
        <v>1.2249105702717811</v>
      </c>
      <c r="AY78" s="3">
        <f t="shared" si="13"/>
        <v>0.88237042674355082</v>
      </c>
      <c r="AZ78" s="3">
        <f t="shared" si="25"/>
        <v>0.33415150214093381</v>
      </c>
      <c r="BA78" s="3">
        <f t="shared" si="33"/>
        <v>0.34254014352823026</v>
      </c>
      <c r="BB78" s="3">
        <f t="shared" si="34"/>
        <v>20.845758761590009</v>
      </c>
      <c r="BC78">
        <v>0</v>
      </c>
      <c r="BD78">
        <v>0</v>
      </c>
      <c r="BE78">
        <v>0</v>
      </c>
      <c r="BF78">
        <v>0</v>
      </c>
      <c r="BG78">
        <v>0</v>
      </c>
      <c r="BI78" s="3">
        <f t="shared" si="17"/>
        <v>1.3350427589762481</v>
      </c>
      <c r="BJ78" s="3">
        <f t="shared" si="18"/>
        <v>1.344248671895572</v>
      </c>
    </row>
    <row r="79" spans="1:62">
      <c r="A79">
        <v>2000</v>
      </c>
      <c r="B79" s="3">
        <f t="shared" si="0"/>
        <v>126.15741452050754</v>
      </c>
      <c r="C79" s="3">
        <f t="shared" si="1"/>
        <v>78.958238837304293</v>
      </c>
      <c r="D79" s="2">
        <f>F79/E79*100</f>
        <v>88.152497795161793</v>
      </c>
      <c r="E79" s="2">
        <v>112.9992628224058</v>
      </c>
      <c r="F79" s="2">
        <f>I79/G79*100</f>
        <v>99.611672668070355</v>
      </c>
      <c r="G79" s="2">
        <v>1.0852141832836675</v>
      </c>
      <c r="H79" s="32">
        <f t="shared" ref="H79:H89" si="37">(R79+Z79)+AA79*(R79+Z79)</f>
        <v>31.384692254960566</v>
      </c>
      <c r="I79" s="32">
        <f t="shared" si="29"/>
        <v>1.081</v>
      </c>
      <c r="J79" s="32">
        <f t="shared" si="35"/>
        <v>1.0586621797871372</v>
      </c>
      <c r="K79" s="32"/>
      <c r="L79" s="2">
        <v>1.081</v>
      </c>
      <c r="M79" s="2">
        <v>86.7</v>
      </c>
      <c r="N79" s="2">
        <f t="shared" si="28"/>
        <v>1.0526577577851575</v>
      </c>
      <c r="O79" s="39">
        <v>97</v>
      </c>
      <c r="P79" s="37"/>
      <c r="Q79" s="32">
        <f t="shared" ref="Q79:Q89" si="38">L79-AC79</f>
        <v>0.37983333333333325</v>
      </c>
      <c r="R79" s="32">
        <f t="shared" si="5"/>
        <v>25.632910212467138</v>
      </c>
      <c r="S79" s="37"/>
      <c r="T79" s="2">
        <f>USA!Z87*G79</f>
        <v>29.951911458629223</v>
      </c>
      <c r="U79" s="2">
        <v>0</v>
      </c>
      <c r="V79" s="2">
        <v>0</v>
      </c>
      <c r="W79" s="2">
        <v>0</v>
      </c>
      <c r="X79" s="37"/>
      <c r="Z79" s="32">
        <v>0.52100000000000002</v>
      </c>
      <c r="AA79" s="2">
        <v>0.2</v>
      </c>
      <c r="AB79" s="2">
        <f t="shared" si="30"/>
        <v>0.1801666666666667</v>
      </c>
      <c r="AC79" s="2">
        <f t="shared" ref="AC79:AC97" si="39">Z79+AB79</f>
        <v>0.70116666666666672</v>
      </c>
      <c r="AD79" s="32"/>
      <c r="AE79"/>
      <c r="AF79"/>
      <c r="AG79"/>
      <c r="AH79"/>
      <c r="AN79">
        <v>2000</v>
      </c>
      <c r="AO79" s="2">
        <f t="shared" si="10"/>
        <v>1.081</v>
      </c>
      <c r="AP79" s="2">
        <f t="shared" si="21"/>
        <v>0.52100000000000002</v>
      </c>
      <c r="AQ79" s="2">
        <f t="shared" si="22"/>
        <v>0.1801666666666667</v>
      </c>
      <c r="AR79" s="2">
        <f t="shared" si="36"/>
        <v>0.70116666666666672</v>
      </c>
      <c r="AS79" s="2">
        <f t="shared" si="31"/>
        <v>0.37983333333333325</v>
      </c>
      <c r="AU79" s="7">
        <v>80.71075153056124</v>
      </c>
      <c r="AV79" s="12"/>
      <c r="AW79" s="3">
        <f t="shared" si="32"/>
        <v>1.3393506806719273</v>
      </c>
      <c r="AX79" s="3">
        <f t="shared" si="24"/>
        <v>1.3116742933390644</v>
      </c>
      <c r="AY79" s="3">
        <f t="shared" si="13"/>
        <v>0.8687401038524204</v>
      </c>
      <c r="AZ79" s="3">
        <f t="shared" si="25"/>
        <v>0.47061057681950691</v>
      </c>
      <c r="BA79" s="3">
        <f t="shared" si="33"/>
        <v>0.44293418948664398</v>
      </c>
      <c r="BB79" s="3">
        <f t="shared" si="34"/>
        <v>37.110187788658969</v>
      </c>
      <c r="BC79">
        <v>0</v>
      </c>
      <c r="BD79">
        <v>0</v>
      </c>
      <c r="BE79">
        <v>0</v>
      </c>
      <c r="BF79">
        <v>0</v>
      </c>
      <c r="BG79">
        <v>0</v>
      </c>
      <c r="BI79" s="3">
        <f t="shared" si="17"/>
        <v>1.4698382211659702</v>
      </c>
      <c r="BJ79" s="3">
        <f t="shared" si="18"/>
        <v>1.4394654349250826</v>
      </c>
    </row>
    <row r="80" spans="1:62">
      <c r="A80">
        <v>2001</v>
      </c>
      <c r="B80" s="3">
        <f t="shared" si="0"/>
        <v>116.04892349129348</v>
      </c>
      <c r="C80" s="3">
        <f t="shared" si="1"/>
        <v>81.182199298191421</v>
      </c>
      <c r="D80" s="2">
        <f t="shared" ref="D80:D89" si="40">F80/E80*100</f>
        <v>81.089189336027559</v>
      </c>
      <c r="E80" s="2">
        <v>116.1820325539375</v>
      </c>
      <c r="F80" s="2">
        <f t="shared" ref="F80:F89" si="41">I80/G80*100</f>
        <v>94.21106835210756</v>
      </c>
      <c r="G80" s="2">
        <v>1.1177030665489143</v>
      </c>
      <c r="H80" s="32">
        <f t="shared" si="37"/>
        <v>27.885480198724036</v>
      </c>
      <c r="I80" s="32">
        <f t="shared" si="29"/>
        <v>1.0529999999999999</v>
      </c>
      <c r="J80" s="32">
        <f t="shared" si="35"/>
        <v>1.0364298470394429</v>
      </c>
      <c r="K80" s="32"/>
      <c r="L80" s="2">
        <v>1.0529999999999999</v>
      </c>
      <c r="M80" s="2">
        <v>84.8</v>
      </c>
      <c r="N80" s="2">
        <f t="shared" si="28"/>
        <v>1.1288800972144033</v>
      </c>
      <c r="O80" s="2">
        <f>(O79+O81)/2</f>
        <v>101</v>
      </c>
      <c r="P80" s="37"/>
      <c r="Q80" s="32">
        <f t="shared" si="38"/>
        <v>0.35349999999999993</v>
      </c>
      <c r="R80" s="32">
        <f t="shared" si="5"/>
        <v>22.713900165603363</v>
      </c>
      <c r="S80" s="37"/>
      <c r="T80" s="2">
        <f>USA!Z88*G80</f>
        <v>25.841294898610901</v>
      </c>
      <c r="U80" s="2">
        <v>0</v>
      </c>
      <c r="V80" s="2">
        <v>0</v>
      </c>
      <c r="W80" s="2">
        <v>0</v>
      </c>
      <c r="X80" s="37"/>
      <c r="Z80" s="32">
        <v>0.52400000000000002</v>
      </c>
      <c r="AA80" s="2">
        <v>0.2</v>
      </c>
      <c r="AB80" s="2">
        <f t="shared" si="30"/>
        <v>0.17549999999999999</v>
      </c>
      <c r="AC80" s="2">
        <f t="shared" si="39"/>
        <v>0.69950000000000001</v>
      </c>
      <c r="AD80" s="32"/>
      <c r="AE80"/>
      <c r="AF80"/>
      <c r="AG80"/>
      <c r="AH80"/>
      <c r="AN80">
        <v>2001</v>
      </c>
      <c r="AO80" s="2">
        <f t="shared" si="10"/>
        <v>1.0529999999999999</v>
      </c>
      <c r="AP80" s="2">
        <f t="shared" si="21"/>
        <v>0.52400000000000002</v>
      </c>
      <c r="AQ80" s="2">
        <f t="shared" si="22"/>
        <v>0.17549999999999999</v>
      </c>
      <c r="AR80" s="2">
        <f t="shared" si="36"/>
        <v>0.69950000000000001</v>
      </c>
      <c r="AS80" s="2">
        <f t="shared" si="31"/>
        <v>0.35349999999999993</v>
      </c>
      <c r="AU80" s="7">
        <v>82.958679940534921</v>
      </c>
      <c r="AV80" s="12"/>
      <c r="AW80" s="3">
        <f t="shared" si="32"/>
        <v>1.269306600291608</v>
      </c>
      <c r="AX80" s="3">
        <f t="shared" si="24"/>
        <v>1.2493326168911554</v>
      </c>
      <c r="AY80" s="3">
        <f t="shared" si="13"/>
        <v>0.84319085176066466</v>
      </c>
      <c r="AZ80" s="3">
        <f t="shared" si="25"/>
        <v>0.42611574853094336</v>
      </c>
      <c r="BA80" s="3">
        <f t="shared" si="33"/>
        <v>0.40614176513049066</v>
      </c>
      <c r="BB80" s="3">
        <f t="shared" si="34"/>
        <v>31.149597507016786</v>
      </c>
      <c r="BC80">
        <v>0</v>
      </c>
      <c r="BD80">
        <v>0</v>
      </c>
      <c r="BE80">
        <v>0</v>
      </c>
      <c r="BF80">
        <v>0</v>
      </c>
      <c r="BG80">
        <v>0</v>
      </c>
      <c r="BI80" s="3">
        <f t="shared" si="17"/>
        <v>1.3929700282459763</v>
      </c>
      <c r="BJ80" s="3">
        <f t="shared" si="18"/>
        <v>1.3710500601191888</v>
      </c>
    </row>
    <row r="81" spans="1:62">
      <c r="A81">
        <v>2002</v>
      </c>
      <c r="B81" s="3">
        <f t="shared" si="0"/>
        <v>119.72326054623895</v>
      </c>
      <c r="C81" s="3">
        <f t="shared" si="1"/>
        <v>82.47759894808965</v>
      </c>
      <c r="D81" s="2">
        <f t="shared" si="40"/>
        <v>83.656632481290416</v>
      </c>
      <c r="E81" s="2">
        <v>118.03591389240708</v>
      </c>
      <c r="F81" s="2">
        <f t="shared" si="41"/>
        <v>98.744870680903404</v>
      </c>
      <c r="G81" s="2">
        <v>1.0613209504184162</v>
      </c>
      <c r="H81" s="32">
        <f t="shared" si="37"/>
        <v>27.917717822319197</v>
      </c>
      <c r="I81" s="32">
        <f t="shared" si="29"/>
        <v>1.048</v>
      </c>
      <c r="J81" s="32">
        <f t="shared" si="35"/>
        <v>1.0580475770366735</v>
      </c>
      <c r="K81" s="32"/>
      <c r="L81" s="2">
        <v>1.048</v>
      </c>
      <c r="M81" s="2">
        <v>83.3</v>
      </c>
      <c r="N81" s="2">
        <f t="shared" si="28"/>
        <v>1.114386997939337</v>
      </c>
      <c r="O81" s="39">
        <v>105</v>
      </c>
      <c r="P81" s="37"/>
      <c r="Q81" s="32">
        <f t="shared" si="38"/>
        <v>0.33133333333333326</v>
      </c>
      <c r="R81" s="32">
        <f t="shared" si="5"/>
        <v>22.722764851932663</v>
      </c>
      <c r="S81" s="37"/>
      <c r="T81" s="2">
        <f>USA!Z89*G81</f>
        <v>25.85377835219262</v>
      </c>
      <c r="U81" s="2">
        <v>0</v>
      </c>
      <c r="V81" s="2">
        <v>0</v>
      </c>
      <c r="W81" s="2">
        <v>0</v>
      </c>
      <c r="X81" s="37"/>
      <c r="Z81" s="32">
        <v>0.54200000000000004</v>
      </c>
      <c r="AA81" s="2">
        <v>0.2</v>
      </c>
      <c r="AB81" s="2">
        <f t="shared" si="30"/>
        <v>0.17466666666666669</v>
      </c>
      <c r="AC81" s="2">
        <f t="shared" si="39"/>
        <v>0.71666666666666679</v>
      </c>
      <c r="AD81" s="32"/>
      <c r="AE81"/>
      <c r="AF81"/>
      <c r="AG81"/>
      <c r="AH81"/>
      <c r="AN81">
        <v>2002</v>
      </c>
      <c r="AO81" s="2">
        <f t="shared" si="10"/>
        <v>1.048</v>
      </c>
      <c r="AP81" s="2">
        <f t="shared" si="21"/>
        <v>0.54200000000000004</v>
      </c>
      <c r="AQ81" s="2">
        <f t="shared" si="22"/>
        <v>0.17466666666666669</v>
      </c>
      <c r="AR81" s="2">
        <f t="shared" si="36"/>
        <v>0.71666666666666679</v>
      </c>
      <c r="AS81" s="2">
        <f t="shared" si="31"/>
        <v>0.33133333333333326</v>
      </c>
      <c r="AU81" s="7">
        <v>85.003876868844912</v>
      </c>
      <c r="AV81" s="12"/>
      <c r="AW81" s="3">
        <f t="shared" si="32"/>
        <v>1.2328849443149417</v>
      </c>
      <c r="AX81" s="3">
        <f t="shared" si="24"/>
        <v>1.2447050840624216</v>
      </c>
      <c r="AY81" s="3">
        <f t="shared" si="13"/>
        <v>0.84309880097872913</v>
      </c>
      <c r="AZ81" s="3">
        <f t="shared" si="25"/>
        <v>0.38978614333621253</v>
      </c>
      <c r="BA81" s="3">
        <f t="shared" si="33"/>
        <v>0.40160628308369239</v>
      </c>
      <c r="BB81" s="3">
        <f t="shared" si="34"/>
        <v>30.414822599307094</v>
      </c>
      <c r="BC81">
        <v>0</v>
      </c>
      <c r="BD81">
        <v>0</v>
      </c>
      <c r="BE81">
        <v>0</v>
      </c>
      <c r="BF81">
        <v>0</v>
      </c>
      <c r="BG81">
        <v>0</v>
      </c>
      <c r="BI81" s="3">
        <f t="shared" si="17"/>
        <v>1.3529999570725288</v>
      </c>
      <c r="BJ81" s="3">
        <f t="shared" si="18"/>
        <v>1.3659716854115573</v>
      </c>
    </row>
    <row r="82" spans="1:62">
      <c r="A82">
        <v>2003</v>
      </c>
      <c r="B82" s="3">
        <f t="shared" si="0"/>
        <v>141.90355453920458</v>
      </c>
      <c r="C82" s="3">
        <f t="shared" si="1"/>
        <v>84.37293294912061</v>
      </c>
      <c r="D82" s="2">
        <f t="shared" si="40"/>
        <v>99.155113682275299</v>
      </c>
      <c r="E82" s="2">
        <v>120.74837744367809</v>
      </c>
      <c r="F82" s="2">
        <f t="shared" si="41"/>
        <v>119.72819092378188</v>
      </c>
      <c r="G82" s="2">
        <v>0.88533869243442298</v>
      </c>
      <c r="H82" s="32">
        <f t="shared" si="37"/>
        <v>27.086234837487993</v>
      </c>
      <c r="I82" s="32">
        <f t="shared" si="29"/>
        <v>1.06</v>
      </c>
      <c r="J82" s="32">
        <f t="shared" si="35"/>
        <v>1.0588831724976711</v>
      </c>
      <c r="K82" s="32"/>
      <c r="L82" s="2">
        <v>1.06</v>
      </c>
      <c r="M82" s="2">
        <v>85.1</v>
      </c>
      <c r="N82" s="2">
        <f t="shared" si="28"/>
        <v>1.1420869132404057</v>
      </c>
      <c r="O82" s="2">
        <f>(O81+O83)/2</f>
        <v>129</v>
      </c>
      <c r="P82" s="37"/>
      <c r="Q82" s="32">
        <f t="shared" si="38"/>
        <v>0.34133333333333327</v>
      </c>
      <c r="R82" s="32">
        <f t="shared" si="5"/>
        <v>22.029862364573326</v>
      </c>
      <c r="S82" s="37"/>
      <c r="T82" s="2">
        <f>USA!Z90*G82</f>
        <v>24.878017257407286</v>
      </c>
      <c r="U82" s="2">
        <v>0</v>
      </c>
      <c r="V82" s="2">
        <v>0</v>
      </c>
      <c r="W82" s="2">
        <v>0</v>
      </c>
      <c r="X82" s="37"/>
      <c r="Z82" s="32">
        <v>0.54200000000000004</v>
      </c>
      <c r="AA82" s="2">
        <v>0.2</v>
      </c>
      <c r="AB82" s="2">
        <f t="shared" si="30"/>
        <v>0.17666666666666669</v>
      </c>
      <c r="AC82" s="2">
        <f t="shared" si="39"/>
        <v>0.71866666666666679</v>
      </c>
      <c r="AD82" s="32"/>
      <c r="AE82"/>
      <c r="AF82"/>
      <c r="AG82"/>
      <c r="AH82"/>
      <c r="AN82">
        <v>2003</v>
      </c>
      <c r="AO82" s="2">
        <f t="shared" si="10"/>
        <v>1.06</v>
      </c>
      <c r="AP82" s="2">
        <f t="shared" si="21"/>
        <v>0.54200000000000004</v>
      </c>
      <c r="AQ82" s="2">
        <f t="shared" si="22"/>
        <v>0.17666666666666669</v>
      </c>
      <c r="AR82" s="2">
        <f t="shared" si="36"/>
        <v>0.71866666666666679</v>
      </c>
      <c r="AS82" s="2">
        <f t="shared" si="31"/>
        <v>0.34133333333333327</v>
      </c>
      <c r="AU82" s="7">
        <v>87.27565563045215</v>
      </c>
      <c r="AV82" s="12"/>
      <c r="AW82" s="3">
        <f t="shared" si="32"/>
        <v>1.2145425804514332</v>
      </c>
      <c r="AX82" s="3">
        <f t="shared" si="24"/>
        <v>1.2132629252093596</v>
      </c>
      <c r="AY82" s="3">
        <f t="shared" si="13"/>
        <v>0.82344459228090894</v>
      </c>
      <c r="AZ82" s="3">
        <f t="shared" si="25"/>
        <v>0.39109798817052421</v>
      </c>
      <c r="BA82" s="3">
        <f t="shared" si="33"/>
        <v>0.38981833292845069</v>
      </c>
      <c r="BB82" s="3">
        <f t="shared" si="34"/>
        <v>28.505104977666729</v>
      </c>
      <c r="BC82">
        <v>0</v>
      </c>
      <c r="BD82">
        <v>0</v>
      </c>
      <c r="BE82">
        <v>0</v>
      </c>
      <c r="BF82">
        <v>0</v>
      </c>
      <c r="BG82">
        <v>0</v>
      </c>
      <c r="BI82" s="3">
        <f t="shared" si="17"/>
        <v>1.3328705706002772</v>
      </c>
      <c r="BJ82" s="3">
        <f t="shared" si="18"/>
        <v>1.3314662437037759</v>
      </c>
    </row>
    <row r="83" spans="1:62">
      <c r="A83">
        <v>2004</v>
      </c>
      <c r="B83" s="3">
        <f t="shared" si="0"/>
        <v>161.5070578929089</v>
      </c>
      <c r="C83" s="3">
        <f t="shared" si="1"/>
        <v>86.62364207534489</v>
      </c>
      <c r="D83" s="2">
        <f t="shared" si="40"/>
        <v>112.85306233422673</v>
      </c>
      <c r="E83" s="2">
        <v>123.96942791081244</v>
      </c>
      <c r="F83" s="2">
        <f t="shared" si="41"/>
        <v>139.90329575557345</v>
      </c>
      <c r="G83" s="2">
        <v>0.80484165431473931</v>
      </c>
      <c r="H83" s="32">
        <f t="shared" si="37"/>
        <v>30.631523928907956</v>
      </c>
      <c r="I83" s="32">
        <f t="shared" si="29"/>
        <v>1.1259999999999999</v>
      </c>
      <c r="J83" s="32">
        <f t="shared" si="35"/>
        <v>1.1165353050061786</v>
      </c>
      <c r="K83" s="32"/>
      <c r="L83" s="2">
        <v>1.1259999999999999</v>
      </c>
      <c r="M83" s="2">
        <v>90.1</v>
      </c>
      <c r="N83" s="2">
        <f t="shared" si="28"/>
        <v>1.231407731101551</v>
      </c>
      <c r="O83" s="39">
        <v>153</v>
      </c>
      <c r="P83" s="37"/>
      <c r="Q83" s="32">
        <f t="shared" si="38"/>
        <v>0.37933333333333319</v>
      </c>
      <c r="R83" s="32">
        <f t="shared" si="5"/>
        <v>24.96726994075663</v>
      </c>
      <c r="S83" s="37"/>
      <c r="T83" s="2">
        <f>USA!Z91*G83</f>
        <v>29.014541638046349</v>
      </c>
      <c r="U83" s="2">
        <v>0</v>
      </c>
      <c r="V83" s="2">
        <v>0</v>
      </c>
      <c r="W83" s="2">
        <v>0</v>
      </c>
      <c r="X83" s="37"/>
      <c r="Z83" s="32">
        <v>0.55900000000000005</v>
      </c>
      <c r="AA83" s="2">
        <v>0.2</v>
      </c>
      <c r="AB83" s="2">
        <f t="shared" si="30"/>
        <v>0.18766666666666665</v>
      </c>
      <c r="AC83" s="2">
        <f t="shared" si="39"/>
        <v>0.7466666666666667</v>
      </c>
      <c r="AD83" s="32"/>
      <c r="AE83"/>
      <c r="AF83"/>
      <c r="AG83"/>
      <c r="AH83"/>
      <c r="AN83">
        <v>2004</v>
      </c>
      <c r="AO83" s="2">
        <f t="shared" si="10"/>
        <v>1.1259999999999999</v>
      </c>
      <c r="AP83" s="2">
        <f t="shared" si="21"/>
        <v>0.55900000000000005</v>
      </c>
      <c r="AQ83" s="2">
        <f t="shared" si="22"/>
        <v>0.18766666666666665</v>
      </c>
      <c r="AR83" s="2">
        <f t="shared" si="36"/>
        <v>0.7466666666666667</v>
      </c>
      <c r="AS83" s="2">
        <f t="shared" si="31"/>
        <v>0.37933333333333319</v>
      </c>
      <c r="AU83" s="7">
        <v>89.201598942485376</v>
      </c>
      <c r="AV83" s="12"/>
      <c r="AW83" s="3">
        <f t="shared" si="32"/>
        <v>1.2623092112126961</v>
      </c>
      <c r="AX83" s="3">
        <f t="shared" si="24"/>
        <v>1.2516987567970486</v>
      </c>
      <c r="AY83" s="3">
        <f t="shared" si="13"/>
        <v>0.83705524959042032</v>
      </c>
      <c r="AZ83" s="3">
        <f t="shared" si="25"/>
        <v>0.4252539616222758</v>
      </c>
      <c r="BA83" s="3">
        <f t="shared" si="33"/>
        <v>0.41464350720662824</v>
      </c>
      <c r="BB83" s="3">
        <f t="shared" si="34"/>
        <v>32.526929990071245</v>
      </c>
      <c r="BC83">
        <v>0</v>
      </c>
      <c r="BD83">
        <v>0</v>
      </c>
      <c r="BE83">
        <v>0</v>
      </c>
      <c r="BF83">
        <v>0</v>
      </c>
      <c r="BG83">
        <v>0</v>
      </c>
      <c r="BI83" s="3">
        <f t="shared" si="17"/>
        <v>1.3852909117420042</v>
      </c>
      <c r="BJ83" s="3">
        <f t="shared" si="18"/>
        <v>1.3736467235027943</v>
      </c>
    </row>
    <row r="84" spans="1:62">
      <c r="A84">
        <v>2005</v>
      </c>
      <c r="B84" s="3">
        <f t="shared" si="0"/>
        <v>169.30815014573196</v>
      </c>
      <c r="C84" s="3">
        <f t="shared" si="1"/>
        <v>89.539246597092159</v>
      </c>
      <c r="D84" s="2">
        <f t="shared" si="40"/>
        <v>118.30407581790155</v>
      </c>
      <c r="E84" s="2">
        <v>128.14202809149756</v>
      </c>
      <c r="F84" s="2">
        <f t="shared" si="41"/>
        <v>151.59724206796199</v>
      </c>
      <c r="G84" s="2">
        <v>0.8047548265436465</v>
      </c>
      <c r="H84" s="32">
        <f t="shared" si="37"/>
        <v>40.640125174221026</v>
      </c>
      <c r="I84" s="32">
        <f>K84</f>
        <v>1.2199861224489794</v>
      </c>
      <c r="J84" s="32">
        <f t="shared" si="35"/>
        <v>1.2134427093165203</v>
      </c>
      <c r="K84" s="3">
        <f>'EU petrol prices nominal'!AH3</f>
        <v>1.2199861224489794</v>
      </c>
      <c r="L84" s="2">
        <v>1.22</v>
      </c>
      <c r="M84" s="2">
        <v>100</v>
      </c>
      <c r="N84" s="2">
        <f t="shared" si="28"/>
        <v>1.2433462070099339</v>
      </c>
      <c r="O84" s="2">
        <f>(O83+O85)/2</f>
        <v>154.5</v>
      </c>
      <c r="P84" s="37"/>
      <c r="Q84" s="32">
        <f t="shared" si="38"/>
        <v>0.45266897959183672</v>
      </c>
      <c r="R84" s="32">
        <f t="shared" si="5"/>
        <v>33.302770978517522</v>
      </c>
      <c r="S84" s="37"/>
      <c r="T84" s="2">
        <f>USA!Z92*G84</f>
        <v>40.752784416170257</v>
      </c>
      <c r="U84" s="2">
        <v>0</v>
      </c>
      <c r="V84" s="2">
        <v>0</v>
      </c>
      <c r="W84" s="2">
        <v>0</v>
      </c>
      <c r="X84" s="37"/>
      <c r="Z84" s="32">
        <v>0.56399999999999995</v>
      </c>
      <c r="AA84" s="2">
        <v>0.2</v>
      </c>
      <c r="AB84" s="2">
        <f t="shared" si="30"/>
        <v>0.20333102040816328</v>
      </c>
      <c r="AC84" s="2">
        <f t="shared" si="39"/>
        <v>0.76733102040816326</v>
      </c>
      <c r="AD84" s="32"/>
      <c r="AE84"/>
      <c r="AF84"/>
      <c r="AG84"/>
      <c r="AH84"/>
      <c r="AN84">
        <v>2005</v>
      </c>
      <c r="AO84" s="2">
        <f t="shared" si="10"/>
        <v>1.2199861224489794</v>
      </c>
      <c r="AP84" s="2">
        <f t="shared" si="21"/>
        <v>0.56399999999999995</v>
      </c>
      <c r="AQ84" s="2">
        <f t="shared" si="22"/>
        <v>0.20333102040816328</v>
      </c>
      <c r="AR84" s="2">
        <f t="shared" si="36"/>
        <v>0.76733102040816326</v>
      </c>
      <c r="AS84" s="2">
        <f t="shared" si="31"/>
        <v>0.45265510204081616</v>
      </c>
      <c r="AU84" s="7">
        <v>90.972512934194611</v>
      </c>
      <c r="AV84" s="12"/>
      <c r="AW84" s="3">
        <f t="shared" si="32"/>
        <v>1.3410491621040106</v>
      </c>
      <c r="AX84" s="3">
        <f t="shared" si="24"/>
        <v>1.3338564256153611</v>
      </c>
      <c r="AY84" s="3">
        <f t="shared" si="13"/>
        <v>0.84347567815700086</v>
      </c>
      <c r="AZ84" s="3">
        <f t="shared" si="25"/>
        <v>0.49757348394700973</v>
      </c>
      <c r="BA84" s="3">
        <f t="shared" si="33"/>
        <v>0.49038074745836019</v>
      </c>
      <c r="BB84" s="3">
        <f t="shared" si="34"/>
        <v>44.79681070880055</v>
      </c>
      <c r="BC84">
        <v>0</v>
      </c>
      <c r="BD84">
        <v>0</v>
      </c>
      <c r="BE84">
        <v>0</v>
      </c>
      <c r="BF84">
        <v>0</v>
      </c>
      <c r="BG84">
        <v>0</v>
      </c>
      <c r="BI84" s="3">
        <f t="shared" si="17"/>
        <v>1.4717021788006983</v>
      </c>
      <c r="BJ84" s="3">
        <f t="shared" si="18"/>
        <v>1.4638086829759243</v>
      </c>
    </row>
    <row r="85" spans="1:62">
      <c r="A85">
        <v>2006</v>
      </c>
      <c r="B85" s="3">
        <f t="shared" si="0"/>
        <v>174.70603201306852</v>
      </c>
      <c r="C85" s="3">
        <f t="shared" si="1"/>
        <v>92.424281215596963</v>
      </c>
      <c r="D85" s="2">
        <f t="shared" si="40"/>
        <v>122.07584596092065</v>
      </c>
      <c r="E85" s="2">
        <v>132.27087886006535</v>
      </c>
      <c r="F85" s="2">
        <f t="shared" si="41"/>
        <v>161.47079432836932</v>
      </c>
      <c r="G85" s="2">
        <v>0.79690142516281304</v>
      </c>
      <c r="H85" s="32">
        <f t="shared" si="37"/>
        <v>47.39072275282787</v>
      </c>
      <c r="I85" s="32">
        <f t="shared" ref="I85:I97" si="42">K85</f>
        <v>1.2867630612244898</v>
      </c>
      <c r="J85" s="32">
        <f t="shared" si="35"/>
        <v>1.2775393229736722</v>
      </c>
      <c r="K85" s="3">
        <f>'EU petrol prices nominal'!AH4</f>
        <v>1.2867630612244898</v>
      </c>
      <c r="L85" s="2">
        <v>1.2849999999999999</v>
      </c>
      <c r="M85" s="2">
        <v>105.9</v>
      </c>
      <c r="N85" s="2">
        <f t="shared" si="28"/>
        <v>1.2431662232539884</v>
      </c>
      <c r="O85" s="39">
        <v>156</v>
      </c>
      <c r="P85" s="37"/>
      <c r="Q85" s="32">
        <f t="shared" si="38"/>
        <v>0.50653948979591834</v>
      </c>
      <c r="R85" s="32">
        <f t="shared" si="5"/>
        <v>38.928268960689891</v>
      </c>
      <c r="S85" s="37"/>
      <c r="T85" s="2">
        <f>USA!Z93*G85</f>
        <v>48.674739048944616</v>
      </c>
      <c r="U85" s="2">
        <v>0</v>
      </c>
      <c r="V85" s="2">
        <v>0</v>
      </c>
      <c r="W85" s="2">
        <v>0</v>
      </c>
      <c r="X85" s="37"/>
      <c r="Z85" s="32">
        <v>0.56399999999999995</v>
      </c>
      <c r="AA85" s="2">
        <v>0.2</v>
      </c>
      <c r="AB85" s="2">
        <f t="shared" si="30"/>
        <v>0.21446051020408166</v>
      </c>
      <c r="AC85" s="2">
        <f t="shared" si="39"/>
        <v>0.77846051020408158</v>
      </c>
      <c r="AD85" s="32"/>
      <c r="AE85"/>
      <c r="AF85"/>
      <c r="AG85"/>
      <c r="AH85"/>
      <c r="AN85">
        <v>2006</v>
      </c>
      <c r="AO85" s="2">
        <f t="shared" si="10"/>
        <v>1.2867630612244898</v>
      </c>
      <c r="AP85" s="2">
        <f t="shared" si="21"/>
        <v>0.56399999999999995</v>
      </c>
      <c r="AQ85" s="2">
        <f t="shared" si="22"/>
        <v>0.21446051020408166</v>
      </c>
      <c r="AR85" s="2">
        <f t="shared" si="36"/>
        <v>0.77846051020408158</v>
      </c>
      <c r="AS85" s="2">
        <f t="shared" si="31"/>
        <v>0.50830255102040822</v>
      </c>
      <c r="AU85" s="7">
        <v>92.874605352803314</v>
      </c>
      <c r="AV85" s="12"/>
      <c r="AW85" s="3">
        <f t="shared" si="32"/>
        <v>1.3854842842523587</v>
      </c>
      <c r="AX85" s="3">
        <f t="shared" si="24"/>
        <v>1.3755528953481697</v>
      </c>
      <c r="AY85" s="3">
        <f t="shared" si="13"/>
        <v>0.83818446091581122</v>
      </c>
      <c r="AZ85" s="3">
        <f t="shared" si="25"/>
        <v>0.54729982333654748</v>
      </c>
      <c r="BA85" s="3">
        <f t="shared" si="33"/>
        <v>0.5373684344323586</v>
      </c>
      <c r="BB85" s="3">
        <f t="shared" si="34"/>
        <v>52.409093814227901</v>
      </c>
      <c r="BC85">
        <v>0</v>
      </c>
      <c r="BD85">
        <v>0</v>
      </c>
      <c r="BE85">
        <v>0</v>
      </c>
      <c r="BF85">
        <v>0</v>
      </c>
      <c r="BG85">
        <v>0</v>
      </c>
      <c r="BI85" s="3">
        <f t="shared" si="17"/>
        <v>1.520466435868201</v>
      </c>
      <c r="BJ85" s="3">
        <f t="shared" si="18"/>
        <v>1.5095674717572354</v>
      </c>
    </row>
    <row r="86" spans="1:62">
      <c r="A86">
        <v>2007</v>
      </c>
      <c r="B86" s="3">
        <f t="shared" si="0"/>
        <v>187.07496737666816</v>
      </c>
      <c r="C86" s="3">
        <f t="shared" si="1"/>
        <v>95.074004003893037</v>
      </c>
      <c r="D86" s="2">
        <f t="shared" si="40"/>
        <v>130.71863997752573</v>
      </c>
      <c r="E86" s="2">
        <v>136.06296852886032</v>
      </c>
      <c r="F86" s="2">
        <f t="shared" si="41"/>
        <v>177.85966197397508</v>
      </c>
      <c r="G86" s="2">
        <v>0.73063749999999994</v>
      </c>
      <c r="H86" s="32">
        <f t="shared" si="37"/>
        <v>48.922610541120754</v>
      </c>
      <c r="I86" s="32">
        <f t="shared" si="42"/>
        <v>1.2995093877551021</v>
      </c>
      <c r="J86" s="32">
        <f t="shared" si="35"/>
        <v>1.2943945957232461</v>
      </c>
      <c r="K86" s="3">
        <f>'EU petrol prices nominal'!AH5</f>
        <v>1.2995093877551021</v>
      </c>
      <c r="L86" s="2">
        <v>1.298</v>
      </c>
      <c r="M86" s="2">
        <v>106.3</v>
      </c>
      <c r="N86" s="2">
        <f t="shared" si="28"/>
        <v>1.2822688124999999</v>
      </c>
      <c r="O86" s="2">
        <f>(O85+O87)/2</f>
        <v>175.5</v>
      </c>
      <c r="P86" s="37"/>
      <c r="Q86" s="32">
        <f t="shared" si="38"/>
        <v>0.51741510204081642</v>
      </c>
      <c r="R86" s="32">
        <f t="shared" si="5"/>
        <v>40.204842117600627</v>
      </c>
      <c r="S86" s="37"/>
      <c r="T86" s="2">
        <f>USA!Z94*G86</f>
        <v>50.472438499999996</v>
      </c>
      <c r="U86" s="2">
        <v>0</v>
      </c>
      <c r="V86" s="2">
        <v>0</v>
      </c>
      <c r="W86" s="2">
        <v>0</v>
      </c>
      <c r="X86" s="37"/>
      <c r="Z86" s="32">
        <v>0.56399999999999995</v>
      </c>
      <c r="AA86" s="2">
        <v>0.2</v>
      </c>
      <c r="AB86" s="2">
        <f t="shared" si="30"/>
        <v>0.2165848979591837</v>
      </c>
      <c r="AC86" s="2">
        <f t="shared" si="39"/>
        <v>0.78058489795918362</v>
      </c>
      <c r="AD86" s="32"/>
      <c r="AE86"/>
      <c r="AF86"/>
      <c r="AG86"/>
      <c r="AH86"/>
      <c r="AN86">
        <v>2007</v>
      </c>
      <c r="AO86" s="2">
        <f t="shared" si="10"/>
        <v>1.2995093877551021</v>
      </c>
      <c r="AP86" s="2">
        <f t="shared" si="21"/>
        <v>0.56399999999999995</v>
      </c>
      <c r="AQ86" s="2">
        <f t="shared" si="22"/>
        <v>0.2165848979591837</v>
      </c>
      <c r="AR86" s="2">
        <f t="shared" si="36"/>
        <v>0.78058489795918362</v>
      </c>
      <c r="AS86" s="2">
        <f t="shared" si="31"/>
        <v>0.51892448979591843</v>
      </c>
      <c r="AU86" s="7">
        <v>94.573967299293585</v>
      </c>
      <c r="AV86" s="12"/>
      <c r="AW86" s="3">
        <f t="shared" si="32"/>
        <v>1.3740666960101278</v>
      </c>
      <c r="AX86" s="3">
        <f t="shared" si="24"/>
        <v>1.3686584508260493</v>
      </c>
      <c r="AY86" s="3">
        <f t="shared" si="13"/>
        <v>0.82536972937690656</v>
      </c>
      <c r="AZ86" s="3">
        <f t="shared" si="25"/>
        <v>0.54869696663322121</v>
      </c>
      <c r="BA86" s="3">
        <f t="shared" si="33"/>
        <v>0.54328872144914275</v>
      </c>
      <c r="BB86" s="3">
        <f t="shared" si="34"/>
        <v>53.368215314762409</v>
      </c>
      <c r="BC86">
        <v>0</v>
      </c>
      <c r="BD86">
        <v>0</v>
      </c>
      <c r="BE86">
        <v>0</v>
      </c>
      <c r="BF86">
        <v>0</v>
      </c>
      <c r="BG86">
        <v>0</v>
      </c>
      <c r="BI86" s="3">
        <f t="shared" si="17"/>
        <v>1.5079364780056739</v>
      </c>
      <c r="BJ86" s="3">
        <f t="shared" si="18"/>
        <v>1.5020013292834531</v>
      </c>
    </row>
    <row r="87" spans="1:62">
      <c r="A87">
        <v>2008</v>
      </c>
      <c r="B87" s="3">
        <f t="shared" si="0"/>
        <v>205.9211829251114</v>
      </c>
      <c r="C87" s="3">
        <f t="shared" si="1"/>
        <v>98.70291900542351</v>
      </c>
      <c r="D87" s="2">
        <f t="shared" si="40"/>
        <v>143.88743374914532</v>
      </c>
      <c r="E87" s="2">
        <v>141.25640655453694</v>
      </c>
      <c r="F87" s="2">
        <f t="shared" si="41"/>
        <v>203.2502183975827</v>
      </c>
      <c r="G87" s="2">
        <v>0.68267416666666658</v>
      </c>
      <c r="H87" s="32">
        <f t="shared" si="37"/>
        <v>60.857769956531257</v>
      </c>
      <c r="I87" s="32">
        <f t="shared" si="42"/>
        <v>1.3875367346938776</v>
      </c>
      <c r="J87" s="32">
        <f t="shared" si="35"/>
        <v>1.4022917208411914</v>
      </c>
      <c r="K87" s="3">
        <f>'EU petrol prices nominal'!AH6</f>
        <v>1.3875367346938776</v>
      </c>
      <c r="L87" s="2">
        <v>1.379</v>
      </c>
      <c r="M87" s="2">
        <v>117.6</v>
      </c>
      <c r="N87" s="2">
        <f t="shared" si="28"/>
        <v>1.3312146249999999</v>
      </c>
      <c r="O87" s="39">
        <v>195</v>
      </c>
      <c r="P87" s="37"/>
      <c r="Q87" s="32">
        <f t="shared" si="38"/>
        <v>0.58374387755102042</v>
      </c>
      <c r="R87" s="32">
        <f t="shared" si="5"/>
        <v>50.150808297109378</v>
      </c>
      <c r="S87" s="37"/>
      <c r="T87" s="2">
        <f>USA!Z95*G87</f>
        <v>64.478575041666659</v>
      </c>
      <c r="U87" s="2">
        <v>0</v>
      </c>
      <c r="V87" s="2">
        <v>0</v>
      </c>
      <c r="W87" s="2">
        <v>0</v>
      </c>
      <c r="X87" s="37"/>
      <c r="Z87" s="32">
        <v>0.56399999999999995</v>
      </c>
      <c r="AA87" s="2">
        <v>0.2</v>
      </c>
      <c r="AB87" s="2">
        <f t="shared" si="30"/>
        <v>0.23125612244897964</v>
      </c>
      <c r="AC87" s="2">
        <f t="shared" si="39"/>
        <v>0.79525612244897959</v>
      </c>
      <c r="AD87" s="32"/>
      <c r="AE87"/>
      <c r="AF87"/>
      <c r="AG87"/>
      <c r="AH87"/>
      <c r="AN87">
        <v>2008</v>
      </c>
      <c r="AO87" s="2">
        <f t="shared" si="10"/>
        <v>1.3875367346938776</v>
      </c>
      <c r="AP87" s="2">
        <f t="shared" si="21"/>
        <v>0.56399999999999995</v>
      </c>
      <c r="AQ87" s="2">
        <f t="shared" si="22"/>
        <v>0.23125612244897964</v>
      </c>
      <c r="AR87" s="2">
        <f t="shared" si="36"/>
        <v>0.79525612244897959</v>
      </c>
      <c r="AS87" s="2">
        <f t="shared" si="31"/>
        <v>0.59228061224489803</v>
      </c>
      <c r="AU87" s="7">
        <v>97.740146731688228</v>
      </c>
      <c r="AV87" s="12"/>
      <c r="AW87" s="3">
        <f t="shared" si="32"/>
        <v>1.4196180188913363</v>
      </c>
      <c r="AX87" s="3">
        <f t="shared" si="24"/>
        <v>1.4347141555769283</v>
      </c>
      <c r="AY87" s="3">
        <f t="shared" si="13"/>
        <v>0.81364326639705198</v>
      </c>
      <c r="AZ87" s="3">
        <f t="shared" si="25"/>
        <v>0.60597475249428434</v>
      </c>
      <c r="BA87" s="3">
        <f t="shared" si="33"/>
        <v>0.62107088917987618</v>
      </c>
      <c r="BB87" s="3">
        <f t="shared" si="34"/>
        <v>65.9693863757646</v>
      </c>
      <c r="BC87">
        <v>0</v>
      </c>
      <c r="BD87">
        <v>0</v>
      </c>
      <c r="BE87">
        <v>0</v>
      </c>
      <c r="BF87">
        <v>0</v>
      </c>
      <c r="BG87">
        <v>0</v>
      </c>
      <c r="BI87" s="3">
        <f t="shared" si="17"/>
        <v>1.5579256827462</v>
      </c>
      <c r="BJ87" s="3">
        <f t="shared" si="18"/>
        <v>1.5744925752058339</v>
      </c>
    </row>
    <row r="88" spans="1:62">
      <c r="A88">
        <v>2009</v>
      </c>
      <c r="B88" s="3">
        <f t="shared" si="0"/>
        <v>174.26725037674507</v>
      </c>
      <c r="C88" s="3">
        <f>E88/E$89*100</f>
        <v>98.380597588111073</v>
      </c>
      <c r="D88" s="2">
        <f t="shared" si="40"/>
        <v>121.76924727723981</v>
      </c>
      <c r="E88" s="2">
        <v>140.7951236905254</v>
      </c>
      <c r="F88" s="2">
        <f t="shared" si="41"/>
        <v>171.44516232101154</v>
      </c>
      <c r="G88" s="2">
        <f>'Exchange Rates'!R48</f>
        <v>0.71984416666666673</v>
      </c>
      <c r="H88" s="32">
        <f t="shared" si="37"/>
        <v>43.367733636349442</v>
      </c>
      <c r="I88" s="32">
        <f t="shared" si="42"/>
        <v>1.2341379999999997</v>
      </c>
      <c r="J88" s="32">
        <f t="shared" si="35"/>
        <v>1.2516525664421083</v>
      </c>
      <c r="K88" s="3">
        <f>'EU petrol prices nominal'!AH7</f>
        <v>1.2341379999999997</v>
      </c>
      <c r="L88" s="2">
        <v>1.232</v>
      </c>
      <c r="M88" s="2">
        <v>101.1</v>
      </c>
      <c r="N88" s="2">
        <f t="shared" si="28"/>
        <v>1.1301553416666668</v>
      </c>
      <c r="O88" s="2">
        <v>157</v>
      </c>
      <c r="P88" s="37"/>
      <c r="Q88" s="32">
        <f t="shared" si="38"/>
        <v>0.46231033333333338</v>
      </c>
      <c r="R88" s="32">
        <f t="shared" si="5"/>
        <v>35.575778030291204</v>
      </c>
      <c r="S88" s="37"/>
      <c r="T88" s="2">
        <f>USA!Z96*G88</f>
        <v>43.953684816666673</v>
      </c>
      <c r="U88" s="2">
        <v>0</v>
      </c>
      <c r="V88" s="2">
        <v>0</v>
      </c>
      <c r="W88" s="2">
        <v>0</v>
      </c>
      <c r="X88" s="37"/>
      <c r="Z88" s="32">
        <v>0.56399999999999995</v>
      </c>
      <c r="AA88" s="2">
        <v>0.2</v>
      </c>
      <c r="AB88" s="2">
        <f>AA88*(I88*(1/(1+AA88)))</f>
        <v>0.20568966666666666</v>
      </c>
      <c r="AC88" s="2">
        <f t="shared" si="39"/>
        <v>0.76968966666666661</v>
      </c>
      <c r="AD88" s="32"/>
      <c r="AE88"/>
      <c r="AF88"/>
      <c r="AG88"/>
      <c r="AH88"/>
      <c r="AN88">
        <v>2009</v>
      </c>
      <c r="AO88" s="2">
        <f t="shared" si="10"/>
        <v>1.2341379999999997</v>
      </c>
      <c r="AP88" s="2">
        <f t="shared" si="21"/>
        <v>0.56399999999999995</v>
      </c>
      <c r="AQ88" s="2">
        <f t="shared" si="22"/>
        <v>0.20568966666666666</v>
      </c>
      <c r="AR88" s="2">
        <f t="shared" si="36"/>
        <v>0.76968966666666661</v>
      </c>
      <c r="AS88" s="2">
        <f t="shared" si="31"/>
        <v>0.46444833333333313</v>
      </c>
      <c r="AU88" s="7">
        <v>98.497406307198688</v>
      </c>
      <c r="AV88" s="12"/>
      <c r="AW88" s="3">
        <f t="shared" si="32"/>
        <v>1.2529649726520795</v>
      </c>
      <c r="AX88" s="3">
        <f t="shared" si="24"/>
        <v>1.2707467266075931</v>
      </c>
      <c r="AY88" s="3">
        <f t="shared" si="13"/>
        <v>0.78143140568201308</v>
      </c>
      <c r="AZ88" s="3">
        <f t="shared" si="25"/>
        <v>0.47153356697006643</v>
      </c>
      <c r="BA88" s="3">
        <f t="shared" si="33"/>
        <v>0.48931532092558017</v>
      </c>
      <c r="BB88" s="3">
        <f t="shared" si="34"/>
        <v>44.624205311134489</v>
      </c>
      <c r="BC88">
        <v>0</v>
      </c>
      <c r="BD88">
        <v>0</v>
      </c>
      <c r="BE88">
        <v>0</v>
      </c>
      <c r="BF88">
        <v>0</v>
      </c>
      <c r="BG88">
        <v>0</v>
      </c>
      <c r="BI88" s="3">
        <f t="shared" si="17"/>
        <v>1.3750363016669214</v>
      </c>
      <c r="BJ88" s="3">
        <f t="shared" si="18"/>
        <v>1.394550460266573</v>
      </c>
    </row>
    <row r="89" spans="1:62">
      <c r="A89">
        <v>2010</v>
      </c>
      <c r="B89" s="3">
        <f>I89/G89*100/C89*100</f>
        <v>179.67349735818968</v>
      </c>
      <c r="C89" s="3">
        <f>CPIs!AB49</f>
        <v>99.999998509883881</v>
      </c>
      <c r="D89" s="2">
        <f t="shared" si="40"/>
        <v>125.54686067323952</v>
      </c>
      <c r="E89" s="2">
        <v>143.11269411067286</v>
      </c>
      <c r="F89" s="2">
        <f t="shared" si="41"/>
        <v>179.67349468084592</v>
      </c>
      <c r="G89" s="2">
        <f>'Exchange Rates'!R49</f>
        <v>0.75867129256384003</v>
      </c>
      <c r="H89" s="32">
        <f t="shared" si="37"/>
        <v>55.983981503964564</v>
      </c>
      <c r="I89" s="32">
        <f t="shared" si="42"/>
        <v>1.3631312244897962</v>
      </c>
      <c r="J89" s="32">
        <f t="shared" si="35"/>
        <v>1.3677530585584012</v>
      </c>
      <c r="K89" s="3">
        <f>'EU petrol prices nominal'!AH8</f>
        <v>1.3631312244897962</v>
      </c>
      <c r="L89" s="2">
        <v>1.363</v>
      </c>
      <c r="M89" s="2">
        <v>113</v>
      </c>
      <c r="O89" s="2"/>
      <c r="P89" s="37"/>
      <c r="Q89" s="32">
        <f t="shared" si="38"/>
        <v>0.57181146258503401</v>
      </c>
      <c r="R89" s="32">
        <f t="shared" si="5"/>
        <v>46.089317919970469</v>
      </c>
      <c r="S89" s="37"/>
      <c r="T89" s="2">
        <f>USA!Z97*G89</f>
        <v>58.759091609069415</v>
      </c>
      <c r="U89" s="2">
        <v>0</v>
      </c>
      <c r="V89" s="2">
        <v>0</v>
      </c>
      <c r="W89" s="2">
        <v>0</v>
      </c>
      <c r="X89" s="37"/>
      <c r="Z89" s="32">
        <v>0.56399999999999995</v>
      </c>
      <c r="AA89" s="2">
        <v>0.2</v>
      </c>
      <c r="AB89" s="2">
        <f t="shared" si="30"/>
        <v>0.22718853741496603</v>
      </c>
      <c r="AC89" s="2">
        <f t="shared" si="39"/>
        <v>0.79118853741496598</v>
      </c>
      <c r="AD89" s="32"/>
      <c r="AE89"/>
      <c r="AF89"/>
      <c r="AG89"/>
      <c r="AH89"/>
      <c r="AN89">
        <v>2010</v>
      </c>
      <c r="AO89" s="2">
        <f t="shared" si="10"/>
        <v>1.3631312244897962</v>
      </c>
      <c r="AP89" s="2">
        <f t="shared" si="21"/>
        <v>0.56399999999999995</v>
      </c>
      <c r="AQ89" s="2">
        <f t="shared" si="22"/>
        <v>0.22718853741496603</v>
      </c>
      <c r="AR89" s="2">
        <f t="shared" si="36"/>
        <v>0.79118853741496598</v>
      </c>
      <c r="AS89" s="2">
        <f t="shared" si="31"/>
        <v>0.5719426870748302</v>
      </c>
      <c r="AU89" s="7">
        <v>100</v>
      </c>
      <c r="AV89" s="12"/>
      <c r="AW89" s="3">
        <f t="shared" si="32"/>
        <v>1.3631312244897962</v>
      </c>
      <c r="AX89" s="3">
        <f t="shared" si="24"/>
        <v>1.3677530585584012</v>
      </c>
      <c r="AY89" s="3">
        <f t="shared" si="13"/>
        <v>0.79118853741496598</v>
      </c>
      <c r="AZ89" s="3">
        <f t="shared" si="25"/>
        <v>0.5719426870748302</v>
      </c>
      <c r="BA89" s="3">
        <f t="shared" si="33"/>
        <v>0.57656452114343515</v>
      </c>
      <c r="BB89" s="3">
        <f t="shared" si="34"/>
        <v>58.759091609069415</v>
      </c>
      <c r="BC89">
        <v>0</v>
      </c>
      <c r="BD89">
        <v>0</v>
      </c>
      <c r="BE89">
        <v>0</v>
      </c>
      <c r="BF89">
        <v>0</v>
      </c>
      <c r="BG89">
        <v>0</v>
      </c>
      <c r="BI89" s="3">
        <f t="shared" si="17"/>
        <v>1.4959356075547836</v>
      </c>
      <c r="BJ89" s="3">
        <f t="shared" si="18"/>
        <v>1.5010077282950476</v>
      </c>
    </row>
    <row r="90" spans="1:62">
      <c r="A90">
        <v>2011</v>
      </c>
      <c r="B90" s="3">
        <f t="shared" ref="B90:B96" si="43">I90/G90*100/C90*100</f>
        <v>210.23895501279938</v>
      </c>
      <c r="C90" s="3">
        <f>CPIs!AB50</f>
        <v>103.13271097869961</v>
      </c>
      <c r="G90" s="2">
        <f>'Exchange Rates'!R50</f>
        <v>0.71544109992713056</v>
      </c>
      <c r="I90" s="32">
        <f t="shared" si="42"/>
        <v>1.5512561224489789</v>
      </c>
      <c r="K90" s="3">
        <f>'EU petrol prices nominal'!AH9</f>
        <v>1.5512561224489789</v>
      </c>
      <c r="O90" s="2"/>
      <c r="P90" s="37"/>
      <c r="R90" s="32"/>
      <c r="S90" s="37"/>
      <c r="T90" s="2">
        <f>USA!Z98*G90</f>
        <v>76.874146187170183</v>
      </c>
      <c r="W90" s="2"/>
      <c r="X90" s="37"/>
      <c r="Z90" s="32">
        <v>0.58699999999999997</v>
      </c>
      <c r="AA90" s="2">
        <v>0.2</v>
      </c>
      <c r="AB90" s="2">
        <f t="shared" si="30"/>
        <v>0.25854268707482986</v>
      </c>
      <c r="AC90" s="2">
        <f t="shared" si="39"/>
        <v>0.84554268707482982</v>
      </c>
      <c r="AE90"/>
      <c r="AF90"/>
      <c r="AG90"/>
      <c r="AH90"/>
      <c r="AN90">
        <v>2011</v>
      </c>
      <c r="AO90" s="2">
        <f t="shared" ref="AO90:AO97" si="44">I90</f>
        <v>1.5512561224489789</v>
      </c>
      <c r="AP90" s="2">
        <f t="shared" si="21"/>
        <v>0.58699999999999997</v>
      </c>
      <c r="AQ90" s="2">
        <f t="shared" si="22"/>
        <v>0.25854268707482986</v>
      </c>
      <c r="AR90" s="2">
        <f t="shared" si="36"/>
        <v>0.84554268707482982</v>
      </c>
      <c r="AS90" s="2">
        <f t="shared" si="31"/>
        <v>0.7057134353741491</v>
      </c>
      <c r="AU90" s="7">
        <f>CPIs!R50</f>
        <v>102.74143981933594</v>
      </c>
      <c r="AV90" s="12"/>
      <c r="AW90" s="3">
        <f t="shared" si="32"/>
        <v>1.5098641066124445</v>
      </c>
      <c r="AX90" s="3">
        <f t="shared" ref="AX90:AX96" si="45">BA90+AY90</f>
        <v>1.4987014959675933</v>
      </c>
      <c r="AY90" s="3">
        <f t="shared" ref="AY90:AY96" si="46">AR90/$AU90*100</f>
        <v>0.82298115401308469</v>
      </c>
      <c r="AZ90" s="3">
        <f t="shared" ref="AZ90:AZ96" si="47">AW90-AY90</f>
        <v>0.68688295259935983</v>
      </c>
      <c r="BA90" s="3">
        <f t="shared" si="33"/>
        <v>0.67572034195450847</v>
      </c>
      <c r="BB90" s="3">
        <f t="shared" si="34"/>
        <v>74.822920841238272</v>
      </c>
      <c r="BC90">
        <v>0</v>
      </c>
      <c r="BD90">
        <v>0</v>
      </c>
      <c r="BE90">
        <v>0</v>
      </c>
      <c r="BF90">
        <v>0</v>
      </c>
      <c r="BG90">
        <v>0</v>
      </c>
      <c r="BI90" s="3">
        <f t="shared" si="17"/>
        <v>1.6569640831871026</v>
      </c>
      <c r="BJ90" s="3">
        <f t="shared" si="18"/>
        <v>1.6447139443619483</v>
      </c>
    </row>
    <row r="91" spans="1:62">
      <c r="A91">
        <v>2012</v>
      </c>
      <c r="B91" s="3">
        <f t="shared" si="43"/>
        <v>219.62128356337365</v>
      </c>
      <c r="C91" s="3">
        <f>CPIs!AB51</f>
        <v>105.21072267093371</v>
      </c>
      <c r="G91" s="2">
        <f>'Exchange Rates'!R51</f>
        <v>0.773899446716382</v>
      </c>
      <c r="I91" s="32">
        <f t="shared" si="42"/>
        <v>1.7882118367346937</v>
      </c>
      <c r="K91" s="3">
        <f>'EU petrol prices nominal'!AH10</f>
        <v>1.7882118367346937</v>
      </c>
      <c r="O91" s="2"/>
      <c r="P91" s="37"/>
      <c r="R91" s="32"/>
      <c r="S91" s="37"/>
      <c r="T91" s="2">
        <f>USA!Z99*G91</f>
        <v>84.738784181902005</v>
      </c>
      <c r="W91" s="2"/>
      <c r="X91" s="37"/>
      <c r="Z91" s="32">
        <v>0.71599999999999997</v>
      </c>
      <c r="AA91" s="32">
        <v>0.21</v>
      </c>
      <c r="AB91" s="2">
        <f t="shared" si="30"/>
        <v>0.31035081463990555</v>
      </c>
      <c r="AC91" s="2">
        <f t="shared" si="39"/>
        <v>1.0263508146399056</v>
      </c>
      <c r="AE91"/>
      <c r="AF91"/>
      <c r="AG91"/>
      <c r="AH91"/>
      <c r="AN91">
        <v>2012</v>
      </c>
      <c r="AO91" s="2">
        <f t="shared" si="44"/>
        <v>1.7882118367346937</v>
      </c>
      <c r="AP91" s="2">
        <f t="shared" si="21"/>
        <v>0.71599999999999997</v>
      </c>
      <c r="AQ91" s="2">
        <f t="shared" si="22"/>
        <v>0.31035081463990555</v>
      </c>
      <c r="AR91" s="2">
        <f t="shared" si="36"/>
        <v>1.0263508146399056</v>
      </c>
      <c r="AS91" s="2">
        <f t="shared" si="31"/>
        <v>0.76186102209478812</v>
      </c>
      <c r="AU91" s="7">
        <f>CPIs!R51</f>
        <v>105.86618041992188</v>
      </c>
      <c r="AV91" s="12"/>
      <c r="AW91" s="3">
        <f t="shared" si="32"/>
        <v>1.6891247324137788</v>
      </c>
      <c r="AX91" s="3">
        <f t="shared" si="45"/>
        <v>1.6774231310651548</v>
      </c>
      <c r="AY91" s="3">
        <f t="shared" si="46"/>
        <v>0.96947940368571872</v>
      </c>
      <c r="AZ91" s="3">
        <f t="shared" si="47"/>
        <v>0.71964532872806009</v>
      </c>
      <c r="BA91" s="3">
        <f t="shared" si="33"/>
        <v>0.70794372737943612</v>
      </c>
      <c r="BB91" s="3">
        <f t="shared" si="34"/>
        <v>80.043299801487763</v>
      </c>
      <c r="BC91">
        <v>0</v>
      </c>
      <c r="BD91">
        <v>0</v>
      </c>
      <c r="BE91">
        <v>0</v>
      </c>
      <c r="BF91">
        <v>0</v>
      </c>
      <c r="BG91">
        <v>0</v>
      </c>
      <c r="BI91" s="3">
        <f t="shared" si="17"/>
        <v>1.8536893495085016</v>
      </c>
      <c r="BJ91" s="3">
        <f t="shared" si="18"/>
        <v>1.8408477082869315</v>
      </c>
    </row>
    <row r="92" spans="1:62">
      <c r="A92">
        <v>2013</v>
      </c>
      <c r="B92" s="3">
        <f t="shared" si="43"/>
        <v>218.04519501110144</v>
      </c>
      <c r="C92" s="3">
        <f>CPIs!AB52</f>
        <v>106.69767516878358</v>
      </c>
      <c r="G92" s="2">
        <f>'Exchange Rates'!R52</f>
        <v>0.75166876437654617</v>
      </c>
      <c r="I92" s="32">
        <f t="shared" si="42"/>
        <v>1.7487510204081635</v>
      </c>
      <c r="K92" s="3">
        <f>'EU petrol prices nominal'!AH11</f>
        <v>1.7487510204081635</v>
      </c>
      <c r="O92" s="2"/>
      <c r="P92" s="37"/>
      <c r="R92" s="32"/>
      <c r="S92" s="42"/>
      <c r="T92" s="2">
        <f>USA!Z100*G92</f>
        <v>79.628970140184876</v>
      </c>
      <c r="W92" s="2"/>
      <c r="X92" s="37"/>
      <c r="Z92" s="2">
        <v>0.72799999999999998</v>
      </c>
      <c r="AA92" s="32">
        <v>0.21</v>
      </c>
      <c r="AB92" s="2">
        <f t="shared" si="30"/>
        <v>0.30350224321133418</v>
      </c>
      <c r="AC92" s="2">
        <f t="shared" si="39"/>
        <v>1.0315022432113341</v>
      </c>
      <c r="AE92"/>
      <c r="AF92"/>
      <c r="AG92"/>
      <c r="AH92"/>
      <c r="AN92">
        <v>2013</v>
      </c>
      <c r="AO92" s="2">
        <f t="shared" si="44"/>
        <v>1.7487510204081635</v>
      </c>
      <c r="AP92" s="2">
        <f t="shared" si="21"/>
        <v>0.72799999999999998</v>
      </c>
      <c r="AQ92" s="2">
        <f t="shared" si="22"/>
        <v>0.30350224321133418</v>
      </c>
      <c r="AR92" s="2">
        <f t="shared" si="36"/>
        <v>1.0315022432113341</v>
      </c>
      <c r="AS92" s="2">
        <f t="shared" si="31"/>
        <v>0.71724877719682945</v>
      </c>
      <c r="AU92" s="7">
        <f>CPIs!R52</f>
        <v>107.15773773193359</v>
      </c>
      <c r="AV92" s="12"/>
      <c r="AW92" s="3">
        <f t="shared" si="32"/>
        <v>1.6319409661137576</v>
      </c>
      <c r="AX92" s="3">
        <f t="shared" si="45"/>
        <v>1.6351563332007153</v>
      </c>
      <c r="AY92" s="3">
        <f t="shared" si="46"/>
        <v>0.96260173557577899</v>
      </c>
      <c r="AZ92" s="3">
        <f t="shared" si="47"/>
        <v>0.66933923053797861</v>
      </c>
      <c r="BA92" s="3">
        <f t="shared" si="33"/>
        <v>0.6725545976249363</v>
      </c>
      <c r="BB92" s="3">
        <f t="shared" si="34"/>
        <v>74.310051542320878</v>
      </c>
      <c r="BC92">
        <v>0</v>
      </c>
      <c r="BD92">
        <v>0</v>
      </c>
      <c r="BE92">
        <v>0</v>
      </c>
      <c r="BF92">
        <v>0</v>
      </c>
      <c r="BG92">
        <v>0</v>
      </c>
      <c r="BI92" s="3">
        <f t="shared" si="17"/>
        <v>1.7909343992546767</v>
      </c>
      <c r="BJ92" s="3">
        <f t="shared" si="18"/>
        <v>1.7944630266020107</v>
      </c>
    </row>
    <row r="93" spans="1:62">
      <c r="A93">
        <v>2014</v>
      </c>
      <c r="B93" s="3">
        <f t="shared" si="43"/>
        <v>208.92366660057249</v>
      </c>
      <c r="C93" s="3">
        <f>CPIs!AB53</f>
        <v>108.45811062912946</v>
      </c>
      <c r="G93" s="2">
        <f>'Exchange Rates'!R53</f>
        <v>0.757387838338895</v>
      </c>
      <c r="I93" s="32">
        <f t="shared" si="42"/>
        <v>1.7162004081632651</v>
      </c>
      <c r="K93" s="3">
        <f>'EU petrol prices nominal'!AH12</f>
        <v>1.7162004081632651</v>
      </c>
      <c r="O93" s="2"/>
      <c r="P93" s="37"/>
      <c r="R93" s="32"/>
      <c r="S93" s="42"/>
      <c r="T93" s="2">
        <f>USA!Z101*G93</f>
        <v>72.852422962937197</v>
      </c>
      <c r="W93" s="2"/>
      <c r="X93" s="37"/>
      <c r="Z93" s="2">
        <v>0.73099999999999998</v>
      </c>
      <c r="AA93" s="2">
        <v>0.22</v>
      </c>
      <c r="AB93" s="2">
        <f>AA93*(I93*(1/(1+AA93)))</f>
        <v>0.3094787621278019</v>
      </c>
      <c r="AC93" s="2">
        <f t="shared" si="39"/>
        <v>1.040478762127802</v>
      </c>
      <c r="AE93"/>
      <c r="AF93"/>
      <c r="AG93"/>
      <c r="AH93"/>
      <c r="AN93">
        <v>2014</v>
      </c>
      <c r="AO93" s="2">
        <f t="shared" si="44"/>
        <v>1.7162004081632651</v>
      </c>
      <c r="AP93" s="2">
        <f t="shared" si="21"/>
        <v>0.73099999999999998</v>
      </c>
      <c r="AQ93" s="2">
        <f t="shared" si="22"/>
        <v>0.3094787621278019</v>
      </c>
      <c r="AR93" s="2">
        <f t="shared" si="36"/>
        <v>1.040478762127802</v>
      </c>
      <c r="AS93" s="2">
        <f t="shared" si="31"/>
        <v>0.67572164603546314</v>
      </c>
      <c r="AU93" s="7">
        <f>CPIs!R53</f>
        <v>107.41604614257813</v>
      </c>
      <c r="AV93" s="12"/>
      <c r="AW93" s="3">
        <f t="shared" si="32"/>
        <v>1.5977132558810399</v>
      </c>
      <c r="AX93" s="3">
        <f t="shared" si="45"/>
        <v>1.6011541492058137</v>
      </c>
      <c r="AY93" s="3">
        <f t="shared" si="46"/>
        <v>0.9686436984905662</v>
      </c>
      <c r="AZ93" s="3">
        <f t="shared" si="47"/>
        <v>0.62906955739047365</v>
      </c>
      <c r="BA93" s="3">
        <f t="shared" si="33"/>
        <v>0.63251045071524747</v>
      </c>
      <c r="BB93" s="3">
        <f t="shared" si="34"/>
        <v>67.822662981131259</v>
      </c>
      <c r="BC93">
        <v>0</v>
      </c>
      <c r="BD93">
        <v>0</v>
      </c>
      <c r="BE93">
        <v>0</v>
      </c>
      <c r="BF93">
        <v>0</v>
      </c>
      <c r="BG93">
        <v>0</v>
      </c>
      <c r="BI93" s="3">
        <f t="shared" si="17"/>
        <v>1.7533720211194721</v>
      </c>
      <c r="BJ93" s="3">
        <f t="shared" si="18"/>
        <v>1.757148146817314</v>
      </c>
    </row>
    <row r="94" spans="1:62">
      <c r="A94">
        <v>2015</v>
      </c>
      <c r="B94" s="3">
        <f t="shared" si="43"/>
        <v>156.16066871492959</v>
      </c>
      <c r="C94" s="3">
        <f>CPIs!AB54</f>
        <v>108.69337137051741</v>
      </c>
      <c r="G94" s="2">
        <f>'Exchange Rates'!R54</f>
        <v>0.90592556207997499</v>
      </c>
      <c r="I94" s="32">
        <f t="shared" si="42"/>
        <v>1.5376844897959185</v>
      </c>
      <c r="K94" s="3">
        <f>'EU petrol prices nominal'!AH13</f>
        <v>1.5376844897959185</v>
      </c>
      <c r="O94" s="2"/>
      <c r="P94" s="37"/>
      <c r="R94" s="32"/>
      <c r="S94" s="42"/>
      <c r="T94" s="2">
        <f>USA!Z102*G94</f>
        <v>44.858421631706442</v>
      </c>
      <c r="W94" s="2"/>
      <c r="X94" s="37"/>
      <c r="Z94" s="2">
        <v>0.72799999999999998</v>
      </c>
      <c r="AA94" s="2">
        <v>0.22</v>
      </c>
      <c r="AB94" s="2">
        <f>AA94*(I94*(1/(1+AA94)))</f>
        <v>0.27728736701237877</v>
      </c>
      <c r="AC94" s="2">
        <f t="shared" si="39"/>
        <v>1.0052873670123788</v>
      </c>
      <c r="AE94"/>
      <c r="AF94"/>
      <c r="AG94"/>
      <c r="AH94"/>
      <c r="AN94">
        <v>2015</v>
      </c>
      <c r="AO94" s="2">
        <f t="shared" si="44"/>
        <v>1.5376844897959185</v>
      </c>
      <c r="AP94" s="2">
        <f t="shared" si="21"/>
        <v>0.72799999999999998</v>
      </c>
      <c r="AQ94" s="2">
        <f t="shared" si="22"/>
        <v>0.27728736701237877</v>
      </c>
      <c r="AR94" s="2">
        <f t="shared" si="36"/>
        <v>1.0052873670123788</v>
      </c>
      <c r="AS94" s="2">
        <f t="shared" si="31"/>
        <v>0.53239712278353979</v>
      </c>
      <c r="AU94" s="7">
        <f>CPIs!R54</f>
        <v>107.45771026611328</v>
      </c>
      <c r="AV94" s="12"/>
      <c r="AW94" s="3">
        <f t="shared" si="32"/>
        <v>1.4309671088169709</v>
      </c>
      <c r="AX94" s="3">
        <f t="shared" si="45"/>
        <v>1.4070633144916644</v>
      </c>
      <c r="AY94" s="3">
        <f t="shared" si="46"/>
        <v>0.9355190656145923</v>
      </c>
      <c r="AZ94" s="3">
        <f t="shared" si="47"/>
        <v>0.49544804320237856</v>
      </c>
      <c r="BA94" s="3">
        <f t="shared" si="33"/>
        <v>0.47154424887707219</v>
      </c>
      <c r="BB94" s="3">
        <f t="shared" si="34"/>
        <v>41.745186567457054</v>
      </c>
      <c r="BC94">
        <v>0</v>
      </c>
      <c r="BD94">
        <v>0</v>
      </c>
      <c r="BE94">
        <v>0</v>
      </c>
      <c r="BF94">
        <v>0</v>
      </c>
      <c r="BG94">
        <v>0</v>
      </c>
      <c r="BI94" s="3">
        <f t="shared" si="17"/>
        <v>1.5703804687771288</v>
      </c>
      <c r="BJ94" s="3">
        <f t="shared" si="18"/>
        <v>1.5441478240805215</v>
      </c>
    </row>
    <row r="95" spans="1:62">
      <c r="A95">
        <v>2016</v>
      </c>
      <c r="B95" s="3">
        <f t="shared" si="43"/>
        <v>144.58820577993859</v>
      </c>
      <c r="C95" s="3">
        <f>CPIs!AB55</f>
        <v>110.08253978538585</v>
      </c>
      <c r="G95" s="2">
        <f>'Exchange Rates'!R55</f>
        <v>0.90674707708863456</v>
      </c>
      <c r="I95" s="32">
        <f t="shared" si="42"/>
        <v>1.4432363999999998</v>
      </c>
      <c r="K95" s="3">
        <f>'EU petrol prices nominal'!AH14</f>
        <v>1.4432363999999998</v>
      </c>
      <c r="O95" s="2"/>
      <c r="P95" s="37"/>
      <c r="R95" s="32"/>
      <c r="S95" s="37"/>
      <c r="T95" s="2">
        <f>USA!Z103*G95</f>
        <v>36.890067859371442</v>
      </c>
      <c r="W95" s="2"/>
      <c r="X95" s="37"/>
      <c r="Z95" s="2">
        <v>0.72799999999999998</v>
      </c>
      <c r="AA95" s="2">
        <v>0.22</v>
      </c>
      <c r="AB95" s="2">
        <f>AA95*(I95*(1/(1+AA95)))</f>
        <v>0.26025574426229503</v>
      </c>
      <c r="AC95" s="2">
        <f t="shared" si="39"/>
        <v>0.98825574426229501</v>
      </c>
      <c r="AE95"/>
      <c r="AF95"/>
      <c r="AG95"/>
      <c r="AH95"/>
      <c r="AN95">
        <v>2016</v>
      </c>
      <c r="AO95" s="2">
        <f t="shared" si="44"/>
        <v>1.4432363999999998</v>
      </c>
      <c r="AP95" s="2">
        <f t="shared" si="21"/>
        <v>0.72799999999999998</v>
      </c>
      <c r="AQ95" s="2">
        <f t="shared" si="22"/>
        <v>0.26025574426229503</v>
      </c>
      <c r="AR95" s="2">
        <f t="shared" si="36"/>
        <v>0.98825574426229501</v>
      </c>
      <c r="AS95" s="2">
        <f t="shared" si="31"/>
        <v>0.45498065573770474</v>
      </c>
      <c r="AU95" s="7">
        <f>CPIs!R55</f>
        <v>107.32518005371094</v>
      </c>
      <c r="AV95" s="12"/>
      <c r="AW95" s="3">
        <f t="shared" si="32"/>
        <v>1.3447323352057097</v>
      </c>
      <c r="AX95" s="3">
        <f t="shared" si="45"/>
        <v>1.3468390023921928</v>
      </c>
      <c r="AY95" s="3">
        <f t="shared" si="46"/>
        <v>0.92080511187376712</v>
      </c>
      <c r="AZ95" s="3">
        <f t="shared" si="47"/>
        <v>0.42392722333194255</v>
      </c>
      <c r="BA95" s="3">
        <f t="shared" si="33"/>
        <v>0.42603389051842566</v>
      </c>
      <c r="BB95" s="3">
        <f t="shared" si="34"/>
        <v>34.372239432451721</v>
      </c>
      <c r="BC95">
        <v>0</v>
      </c>
      <c r="BD95">
        <v>0</v>
      </c>
      <c r="BE95">
        <v>0</v>
      </c>
      <c r="BF95">
        <v>0</v>
      </c>
      <c r="BG95">
        <v>0</v>
      </c>
      <c r="BI95" s="3">
        <f t="shared" si="17"/>
        <v>1.4757441886179716</v>
      </c>
      <c r="BJ95" s="3">
        <f t="shared" si="18"/>
        <v>1.4780560999005459</v>
      </c>
    </row>
    <row r="96" spans="1:62">
      <c r="A96">
        <v>2017</v>
      </c>
      <c r="B96" s="3">
        <f t="shared" si="43"/>
        <v>153.18819103453646</v>
      </c>
      <c r="C96" s="3">
        <f>CPIs!AB56</f>
        <v>112.42729788281457</v>
      </c>
      <c r="G96" s="2">
        <f>'Exchange Rates'!R56</f>
        <v>0.88700000000000001</v>
      </c>
      <c r="I96" s="32">
        <f t="shared" si="42"/>
        <v>1.5276388000000001</v>
      </c>
      <c r="K96" s="3">
        <f>'EU petrol prices nominal'!AH15</f>
        <v>1.5276388000000001</v>
      </c>
      <c r="O96" s="2"/>
      <c r="P96" s="37"/>
      <c r="R96" s="32"/>
      <c r="S96" s="37"/>
      <c r="T96" s="2">
        <f>USA!Z104*G96</f>
        <v>46.576369999999997</v>
      </c>
      <c r="W96" s="2"/>
      <c r="X96" s="37"/>
      <c r="Z96" s="2">
        <v>0.72799999999999998</v>
      </c>
      <c r="AA96" s="2">
        <v>0.22</v>
      </c>
      <c r="AB96" s="2">
        <f>AA96*(I96*(1/(1+AA96)))</f>
        <v>0.27547584918032791</v>
      </c>
      <c r="AC96" s="2">
        <f t="shared" si="39"/>
        <v>1.003475849180328</v>
      </c>
      <c r="AE96"/>
      <c r="AF96"/>
      <c r="AG96"/>
      <c r="AH96"/>
      <c r="AN96">
        <v>2017</v>
      </c>
      <c r="AO96" s="2">
        <f t="shared" si="44"/>
        <v>1.5276388000000001</v>
      </c>
      <c r="AP96" s="2">
        <f t="shared" si="21"/>
        <v>0.72799999999999998</v>
      </c>
      <c r="AQ96" s="2">
        <f t="shared" si="22"/>
        <v>0.27547584918032791</v>
      </c>
      <c r="AR96" s="2">
        <f t="shared" si="36"/>
        <v>1.003475849180328</v>
      </c>
      <c r="AS96" s="2">
        <f t="shared" si="31"/>
        <v>0.52416295081967212</v>
      </c>
      <c r="AU96" s="7">
        <f>CPIs!R56</f>
        <v>108.64527976837158</v>
      </c>
      <c r="AV96" s="12"/>
      <c r="AW96" s="3">
        <f t="shared" si="32"/>
        <v>1.4060793098944375</v>
      </c>
      <c r="AX96" s="3">
        <f t="shared" si="45"/>
        <v>1.4021138890921407</v>
      </c>
      <c r="AY96" s="3">
        <f t="shared" si="46"/>
        <v>0.9236258135831652</v>
      </c>
      <c r="AZ96" s="3">
        <f t="shared" si="47"/>
        <v>0.48245349631127232</v>
      </c>
      <c r="BA96" s="3">
        <f t="shared" si="33"/>
        <v>0.47848807550897543</v>
      </c>
      <c r="BB96" s="3">
        <f t="shared" si="34"/>
        <v>42.870127537339307</v>
      </c>
      <c r="BC96">
        <v>0</v>
      </c>
      <c r="BD96">
        <v>0</v>
      </c>
      <c r="BE96">
        <v>0</v>
      </c>
      <c r="BF96">
        <v>0</v>
      </c>
      <c r="BG96">
        <v>0</v>
      </c>
      <c r="BI96" s="3">
        <f t="shared" si="17"/>
        <v>1.5430679518799999</v>
      </c>
      <c r="BJ96" s="3">
        <f t="shared" si="18"/>
        <v>1.5387161961058526</v>
      </c>
    </row>
    <row r="97" spans="1:62">
      <c r="A97">
        <v>2018</v>
      </c>
      <c r="D97"/>
      <c r="E97"/>
      <c r="F97"/>
      <c r="G97" s="2">
        <f>'Exchange Rates'!R57</f>
        <v>0.84599999999999997</v>
      </c>
      <c r="H97"/>
      <c r="I97" s="32">
        <f t="shared" si="42"/>
        <v>1.6001666666666665</v>
      </c>
      <c r="J97"/>
      <c r="K97" s="3">
        <v>1.6001666666666665</v>
      </c>
      <c r="L97"/>
      <c r="M97"/>
      <c r="N97"/>
      <c r="O97"/>
      <c r="P97"/>
      <c r="Q97" s="2"/>
      <c r="R97" s="32"/>
      <c r="S97"/>
      <c r="T97" s="2">
        <f>USA!Z105*G97</f>
        <v>59.392569350649353</v>
      </c>
      <c r="U97"/>
      <c r="V97"/>
      <c r="W97"/>
      <c r="X97"/>
      <c r="Y97"/>
      <c r="Z97" s="2">
        <v>0.72799999999999998</v>
      </c>
      <c r="AA97" s="2">
        <v>0.22</v>
      </c>
      <c r="AB97" s="2">
        <f>AA97*(I97*(1/(1+AA97)))</f>
        <v>0.28855464480874315</v>
      </c>
      <c r="AC97" s="2">
        <f t="shared" si="39"/>
        <v>1.016554644808743</v>
      </c>
      <c r="AD97"/>
      <c r="AE97"/>
      <c r="AF97"/>
      <c r="AG97"/>
      <c r="AH97"/>
      <c r="AN97">
        <v>2018</v>
      </c>
      <c r="AO97" s="2">
        <f t="shared" si="44"/>
        <v>1.6001666666666665</v>
      </c>
      <c r="AP97" s="2">
        <f t="shared" si="21"/>
        <v>0.72799999999999998</v>
      </c>
      <c r="AQ97" s="2">
        <f t="shared" ref="AQ97" si="48">AB97</f>
        <v>0.28855464480874315</v>
      </c>
      <c r="AR97" s="2">
        <f t="shared" ref="AR97" si="49">AC97</f>
        <v>1.016554644808743</v>
      </c>
      <c r="AS97" s="2">
        <f t="shared" ref="AS97" si="50">AO97-AR97</f>
        <v>0.58361202185792349</v>
      </c>
      <c r="AU97" s="7">
        <f>CPIs!R57</f>
        <v>109.74259709403213</v>
      </c>
      <c r="AV97" s="12"/>
      <c r="AW97" s="3">
        <f t="shared" ref="AW97" si="51">AO97/$AU97*100</f>
        <v>1.4581089832379086</v>
      </c>
      <c r="AX97" s="3">
        <f t="shared" ref="AX97" si="52">BA97+AY97</f>
        <v>1.4742366715134432</v>
      </c>
      <c r="AY97" s="3">
        <f t="shared" ref="AY97" si="53">AR97/$AU97*100</f>
        <v>0.92630817178284541</v>
      </c>
      <c r="AZ97" s="3">
        <f t="shared" ref="AZ97" si="54">AW97-AY97</f>
        <v>0.53180081145506319</v>
      </c>
      <c r="BA97" s="3">
        <f t="shared" si="33"/>
        <v>0.54792849973059776</v>
      </c>
      <c r="BB97" s="3">
        <f t="shared" ref="BB97" si="55">T97/AU97*100</f>
        <v>54.119886829140071</v>
      </c>
      <c r="BC97">
        <v>0</v>
      </c>
      <c r="BD97">
        <v>0</v>
      </c>
      <c r="BE97">
        <v>0</v>
      </c>
      <c r="BF97">
        <v>0</v>
      </c>
      <c r="BG97">
        <v>0</v>
      </c>
      <c r="BI97" s="3">
        <f>AW97*$AU$97/$AU$89</f>
        <v>1.6001666666666665</v>
      </c>
      <c r="BJ97" s="3">
        <f>AX97*$AU$97/$AU$89</f>
        <v>1.6178656106314679</v>
      </c>
    </row>
    <row r="98" spans="1:62">
      <c r="D98"/>
      <c r="E98"/>
      <c r="F98"/>
      <c r="G98"/>
      <c r="H98"/>
      <c r="I98"/>
      <c r="J98"/>
      <c r="K98"/>
      <c r="L98"/>
      <c r="M98"/>
      <c r="N98"/>
      <c r="O98"/>
      <c r="P98"/>
      <c r="Q98" s="40"/>
      <c r="R98" s="40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N98">
        <v>2019</v>
      </c>
      <c r="AS98" s="2"/>
      <c r="AU98" s="7">
        <f>AU97</f>
        <v>109.74259709403213</v>
      </c>
      <c r="AV98" s="12"/>
      <c r="AY98" s="3"/>
      <c r="BA98"/>
      <c r="BB98" s="9"/>
    </row>
    <row r="99" spans="1:62">
      <c r="D99"/>
      <c r="E99"/>
      <c r="F99"/>
      <c r="G99"/>
      <c r="H99"/>
      <c r="I99"/>
      <c r="J99"/>
      <c r="K99"/>
      <c r="L99"/>
      <c r="M99"/>
      <c r="N99"/>
      <c r="O99"/>
      <c r="P99"/>
      <c r="Q99" s="40"/>
      <c r="R99" s="40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N99">
        <v>2020</v>
      </c>
      <c r="AS99" s="2"/>
      <c r="AU99" s="7">
        <f t="shared" ref="AU99:AU109" si="56">AU98</f>
        <v>109.74259709403213</v>
      </c>
      <c r="AV99" s="12"/>
      <c r="AW99" s="13" t="s">
        <v>88</v>
      </c>
      <c r="AX99" s="13">
        <v>0.21386731648548357</v>
      </c>
      <c r="AY99" s="3"/>
      <c r="BA99"/>
      <c r="BB99" s="9"/>
    </row>
    <row r="100" spans="1:62">
      <c r="K100" s="32"/>
      <c r="O100" s="2"/>
      <c r="P100" s="37"/>
      <c r="R100" s="32"/>
      <c r="S100" s="37"/>
      <c r="W100" s="2"/>
      <c r="X100" s="37"/>
      <c r="AI100" s="2"/>
      <c r="AN100">
        <v>2021</v>
      </c>
      <c r="AS100" s="2"/>
      <c r="AU100" s="7">
        <f t="shared" si="56"/>
        <v>109.74259709403213</v>
      </c>
      <c r="AV100" s="12"/>
      <c r="AW100" s="13" t="s">
        <v>229</v>
      </c>
      <c r="AX100" s="13">
        <v>6.172614224042387E-3</v>
      </c>
      <c r="AY100" s="3"/>
      <c r="BA100"/>
      <c r="BB100" s="9"/>
    </row>
    <row r="101" spans="1:62">
      <c r="K101" s="32"/>
      <c r="O101" s="2"/>
      <c r="P101" s="37"/>
      <c r="R101" s="32"/>
      <c r="S101" s="37"/>
      <c r="W101" s="2"/>
      <c r="X101" s="37"/>
      <c r="AI101" s="2"/>
      <c r="AN101">
        <v>2022</v>
      </c>
      <c r="AS101" s="2"/>
      <c r="AU101" s="7">
        <f t="shared" si="56"/>
        <v>109.74259709403213</v>
      </c>
      <c r="AV101" s="12"/>
      <c r="AW101" s="3" t="s">
        <v>231</v>
      </c>
      <c r="AX101" s="13">
        <v>-7.0440447897407568E-2</v>
      </c>
      <c r="AY101" s="3"/>
      <c r="BA101"/>
      <c r="BB101" s="9"/>
    </row>
    <row r="102" spans="1:62">
      <c r="K102" s="32"/>
      <c r="O102" s="2"/>
      <c r="P102" s="37"/>
      <c r="R102" s="32"/>
      <c r="S102" s="37"/>
      <c r="W102" s="2"/>
      <c r="X102" s="37"/>
      <c r="AI102" s="2"/>
      <c r="AN102">
        <v>2023</v>
      </c>
      <c r="AS102" s="2"/>
      <c r="AU102" s="7">
        <f t="shared" si="56"/>
        <v>109.74259709403213</v>
      </c>
      <c r="AV102" s="12"/>
      <c r="AW102" s="3" t="s">
        <v>2090</v>
      </c>
      <c r="AX102" s="13">
        <v>-8.3514698473863752E-2</v>
      </c>
      <c r="AY102" s="3"/>
      <c r="BA102"/>
      <c r="BB102" s="9"/>
    </row>
    <row r="103" spans="1:62">
      <c r="K103" s="32"/>
      <c r="O103" s="2"/>
      <c r="P103" s="13"/>
      <c r="Q103" s="40" t="s">
        <v>88</v>
      </c>
      <c r="R103" s="40">
        <v>4.363611752256773</v>
      </c>
      <c r="S103" s="37"/>
      <c r="W103" s="2"/>
      <c r="X103" s="37"/>
      <c r="AI103" s="2"/>
      <c r="AN103">
        <v>2024</v>
      </c>
      <c r="AS103" s="2"/>
      <c r="AU103" s="7">
        <f t="shared" si="56"/>
        <v>109.74259709403213</v>
      </c>
      <c r="AV103" s="12"/>
      <c r="AW103" s="3" t="s">
        <v>280</v>
      </c>
      <c r="AX103" s="13">
        <v>9.3100441826573135E-2</v>
      </c>
      <c r="AY103" s="3"/>
      <c r="BA103"/>
      <c r="BB103" s="9"/>
    </row>
    <row r="104" spans="1:62">
      <c r="K104" s="32"/>
      <c r="O104" s="2"/>
      <c r="P104" s="13"/>
      <c r="Q104" s="40" t="s">
        <v>99</v>
      </c>
      <c r="R104" s="40">
        <v>0.71011489499053737</v>
      </c>
      <c r="S104" s="37"/>
      <c r="W104" s="2"/>
      <c r="X104" s="37"/>
      <c r="AI104" s="2"/>
      <c r="AN104">
        <v>2025</v>
      </c>
      <c r="AS104" s="2"/>
      <c r="AU104" s="7">
        <f t="shared" si="56"/>
        <v>109.74259709403213</v>
      </c>
      <c r="AV104" s="12"/>
      <c r="AW104" s="3" t="s">
        <v>283</v>
      </c>
      <c r="AX104" s="13">
        <v>0.24056638897048574</v>
      </c>
      <c r="AY104" s="3"/>
      <c r="BA104"/>
      <c r="BB104" s="9"/>
    </row>
    <row r="105" spans="1:62" ht="15.75" thickBot="1">
      <c r="K105" s="32"/>
      <c r="O105" s="2"/>
      <c r="P105" s="37"/>
      <c r="Q105" s="40" t="s">
        <v>127</v>
      </c>
      <c r="R105" s="40">
        <v>-2.7903751587720689</v>
      </c>
      <c r="S105" s="37"/>
      <c r="W105" s="2"/>
      <c r="X105" s="37"/>
      <c r="AI105" s="2"/>
      <c r="AN105">
        <v>2026</v>
      </c>
      <c r="AS105" s="2"/>
      <c r="AU105" s="7">
        <f t="shared" si="56"/>
        <v>109.74259709403213</v>
      </c>
      <c r="AV105" s="12"/>
      <c r="AW105" s="3" t="s">
        <v>2091</v>
      </c>
      <c r="AX105" s="14">
        <v>8.1409292079535317E-2</v>
      </c>
      <c r="AY105" s="3"/>
      <c r="BA105"/>
      <c r="BB105" s="9"/>
    </row>
    <row r="106" spans="1:62">
      <c r="K106" s="32"/>
      <c r="O106" s="2"/>
      <c r="P106" s="37"/>
      <c r="Q106" s="40" t="s">
        <v>136</v>
      </c>
      <c r="R106" s="40">
        <v>2.9570164397681222</v>
      </c>
      <c r="S106" s="37"/>
      <c r="W106" s="2"/>
      <c r="X106" s="37"/>
      <c r="AI106" s="2"/>
      <c r="AN106">
        <v>2027</v>
      </c>
      <c r="AS106" s="2"/>
      <c r="AU106" s="7">
        <f t="shared" si="56"/>
        <v>109.74259709403213</v>
      </c>
      <c r="AV106" s="12"/>
      <c r="AY106" s="3"/>
      <c r="BA106"/>
      <c r="BB106" s="9"/>
    </row>
    <row r="107" spans="1:62" ht="15.75" thickBot="1">
      <c r="K107" s="32"/>
      <c r="O107" s="2"/>
      <c r="P107" s="37"/>
      <c r="Q107" s="49" t="s">
        <v>141</v>
      </c>
      <c r="R107" s="49">
        <v>-3.1043572191018072</v>
      </c>
      <c r="S107" s="37"/>
      <c r="W107" s="2"/>
      <c r="X107" s="37"/>
      <c r="AI107" s="2"/>
      <c r="AN107">
        <v>2028</v>
      </c>
      <c r="AS107" s="2"/>
      <c r="AU107" s="7">
        <f t="shared" si="56"/>
        <v>109.74259709403213</v>
      </c>
      <c r="AV107" s="12"/>
      <c r="AY107" s="3"/>
      <c r="BA107"/>
      <c r="BB107" s="9"/>
    </row>
    <row r="108" spans="1:62">
      <c r="K108" s="32"/>
      <c r="O108" s="2"/>
      <c r="P108" s="37"/>
      <c r="R108" s="32"/>
      <c r="S108" s="37"/>
      <c r="W108" s="2"/>
      <c r="X108" s="37"/>
      <c r="AI108" s="2"/>
      <c r="AN108">
        <v>2029</v>
      </c>
      <c r="AS108" s="2"/>
      <c r="AU108" s="7">
        <f t="shared" si="56"/>
        <v>109.74259709403213</v>
      </c>
      <c r="AV108" s="12"/>
      <c r="AY108" s="3"/>
      <c r="BA108"/>
      <c r="BB108" s="9"/>
    </row>
    <row r="109" spans="1:62">
      <c r="K109" s="32"/>
      <c r="O109" s="2"/>
      <c r="P109" s="37"/>
      <c r="R109" s="32"/>
      <c r="S109" s="37"/>
      <c r="W109" s="2"/>
      <c r="X109" s="37"/>
      <c r="AI109" s="2"/>
      <c r="AN109">
        <v>2030</v>
      </c>
      <c r="AS109" s="2"/>
      <c r="AU109" s="7">
        <f t="shared" si="56"/>
        <v>109.74259709403213</v>
      </c>
      <c r="AV109" s="12"/>
      <c r="AY109" s="3"/>
      <c r="BA109"/>
      <c r="BB109" s="9"/>
    </row>
    <row r="110" spans="1:62">
      <c r="K110" s="32"/>
      <c r="O110" s="2"/>
      <c r="P110" s="37"/>
      <c r="R110" s="32"/>
      <c r="S110" s="37"/>
      <c r="W110" s="2"/>
      <c r="X110" s="37"/>
      <c r="AI110" s="2"/>
      <c r="AN110"/>
      <c r="AS110" s="2"/>
      <c r="AV110" s="12"/>
      <c r="AY110" s="3"/>
      <c r="BA110"/>
      <c r="BB110" s="9"/>
    </row>
    <row r="111" spans="1:62">
      <c r="K111" s="32"/>
      <c r="O111" s="2"/>
      <c r="P111" s="37"/>
      <c r="R111" s="32"/>
      <c r="S111" s="37"/>
      <c r="W111" s="2"/>
      <c r="X111" s="37"/>
      <c r="AI111" s="2"/>
      <c r="AN111"/>
      <c r="AS111" s="2"/>
      <c r="AV111" s="12"/>
      <c r="AY111" s="3"/>
      <c r="BA111"/>
      <c r="BB111" s="9"/>
    </row>
    <row r="112" spans="1:62">
      <c r="K112" s="32"/>
      <c r="O112" s="2"/>
      <c r="P112" s="37"/>
      <c r="Q112" s="13" t="s">
        <v>88</v>
      </c>
      <c r="R112" s="13">
        <f>AX99</f>
        <v>0.21386731648548357</v>
      </c>
      <c r="S112" s="37"/>
      <c r="W112" s="2"/>
      <c r="X112" s="37"/>
      <c r="AI112" s="2"/>
      <c r="AN112"/>
      <c r="AS112" s="2"/>
      <c r="AV112" s="12"/>
      <c r="AY112" s="3"/>
      <c r="BA112"/>
      <c r="BB112" s="9"/>
    </row>
    <row r="113" spans="1:64">
      <c r="K113" s="32"/>
      <c r="O113" s="2"/>
      <c r="P113" s="37"/>
      <c r="Q113" s="13" t="s">
        <v>229</v>
      </c>
      <c r="R113" s="13">
        <f>AX100</f>
        <v>6.172614224042387E-3</v>
      </c>
      <c r="S113" s="37"/>
      <c r="W113" s="2"/>
      <c r="X113" s="37"/>
      <c r="AI113" s="2"/>
      <c r="AN113"/>
      <c r="AS113" s="2"/>
      <c r="AV113" s="12"/>
      <c r="AY113" s="3"/>
      <c r="BA113"/>
      <c r="BB113" s="9"/>
    </row>
    <row r="114" spans="1:64">
      <c r="K114" s="32"/>
      <c r="O114" s="2"/>
      <c r="P114" s="37"/>
      <c r="R114" s="32"/>
      <c r="S114" s="37"/>
      <c r="W114" s="2"/>
      <c r="X114" s="37"/>
      <c r="AI114" s="2"/>
      <c r="AN114"/>
      <c r="AS114" s="2"/>
      <c r="AV114" s="12"/>
      <c r="AY114" s="3"/>
      <c r="BA114"/>
      <c r="BB114" s="9"/>
    </row>
    <row r="115" spans="1:64">
      <c r="K115" s="32"/>
      <c r="O115" s="2"/>
      <c r="P115" s="37"/>
      <c r="R115" s="32"/>
      <c r="S115" s="37"/>
      <c r="W115" s="2"/>
      <c r="X115" s="37"/>
      <c r="AI115" s="2"/>
      <c r="AN115"/>
      <c r="AS115" s="2"/>
      <c r="AV115" s="12"/>
      <c r="AY115" s="3"/>
      <c r="BA115"/>
      <c r="BB115" s="9"/>
    </row>
    <row r="116" spans="1:64">
      <c r="K116" s="32"/>
      <c r="O116" s="2"/>
      <c r="P116" s="37"/>
      <c r="R116" s="32"/>
      <c r="S116" s="37"/>
      <c r="W116" s="2"/>
      <c r="X116" s="37"/>
      <c r="AI116" s="2"/>
      <c r="AN116"/>
      <c r="AS116" s="2"/>
      <c r="AV116" s="12"/>
      <c r="AY116" s="3"/>
      <c r="BA116"/>
      <c r="BB116" s="9"/>
    </row>
    <row r="117" spans="1:64">
      <c r="K117" s="32"/>
      <c r="O117" s="2"/>
      <c r="P117" s="37"/>
      <c r="R117" s="32"/>
      <c r="S117" s="37"/>
      <c r="W117" s="2"/>
      <c r="X117" s="37"/>
      <c r="AI117" s="2"/>
      <c r="AN117"/>
      <c r="AS117" s="2"/>
      <c r="AV117" s="12"/>
      <c r="AY117" s="3"/>
      <c r="BA117"/>
      <c r="BB117" s="9"/>
    </row>
    <row r="118" spans="1:64">
      <c r="K118" s="32"/>
      <c r="O118" s="32"/>
      <c r="P118" s="2"/>
      <c r="Q118" s="37"/>
      <c r="R118" s="32"/>
      <c r="S118" s="32"/>
      <c r="T118" s="37"/>
      <c r="W118" s="2"/>
      <c r="Y118" s="37"/>
      <c r="AI118" s="2"/>
      <c r="AJ118" s="2"/>
      <c r="AK118" s="2"/>
      <c r="AL118" s="2"/>
      <c r="AM118" s="2"/>
      <c r="AP118"/>
      <c r="AQ118"/>
      <c r="AR118"/>
      <c r="AS118"/>
      <c r="AT118"/>
      <c r="AU118"/>
      <c r="AV118" s="12"/>
      <c r="AW118" s="32"/>
      <c r="AX118" s="32"/>
      <c r="AY118" s="2"/>
      <c r="AZ118" s="23"/>
      <c r="BA118"/>
      <c r="BB118" s="23"/>
      <c r="BC118" s="3"/>
      <c r="BD118" s="3"/>
      <c r="BE118" s="3"/>
      <c r="BH118" s="9"/>
    </row>
    <row r="119" spans="1:64">
      <c r="K119" s="32"/>
      <c r="O119" s="32"/>
      <c r="P119" s="2"/>
      <c r="Q119" s="37"/>
      <c r="R119" s="32"/>
      <c r="S119" s="32"/>
      <c r="T119" s="37"/>
      <c r="W119" s="2"/>
      <c r="AI119" s="2"/>
      <c r="AJ119" s="2"/>
      <c r="AK119" t="s">
        <v>1960</v>
      </c>
      <c r="AL119" t="s">
        <v>1960</v>
      </c>
      <c r="AM119" t="s">
        <v>1960</v>
      </c>
      <c r="AS119" s="2"/>
      <c r="AT119" s="2"/>
      <c r="AU119" s="2"/>
      <c r="AV119" s="12"/>
      <c r="AW119" s="12"/>
      <c r="AX119" s="12"/>
      <c r="BA119" s="2"/>
      <c r="BB119" s="2"/>
      <c r="BC119" s="2"/>
      <c r="BD119" s="23"/>
      <c r="BF119" s="23"/>
      <c r="BG119" s="3"/>
      <c r="BH119" s="3"/>
      <c r="BI119" s="3"/>
      <c r="BL119" s="9"/>
    </row>
    <row r="120" spans="1:64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2601</v>
      </c>
      <c r="R120" s="26"/>
      <c r="S120" s="26"/>
      <c r="T120" s="79">
        <v>0.22</v>
      </c>
      <c r="U120" s="76" t="s">
        <v>2548</v>
      </c>
      <c r="V120" s="76"/>
      <c r="W120" s="76"/>
      <c r="X120" s="76"/>
      <c r="Y120" s="26" t="s">
        <v>2550</v>
      </c>
      <c r="Z120" s="26"/>
      <c r="AA120" s="26"/>
      <c r="AB120" s="79"/>
      <c r="AC120" s="26" t="s">
        <v>2485</v>
      </c>
      <c r="AD120" s="26"/>
      <c r="AE120" s="26"/>
      <c r="AF120" s="79"/>
      <c r="AI120" s="2"/>
      <c r="AJ120" s="2"/>
      <c r="AK120" s="3" t="s">
        <v>1957</v>
      </c>
      <c r="AL120" s="3" t="s">
        <v>1957</v>
      </c>
      <c r="AM120" s="3" t="s">
        <v>1957</v>
      </c>
      <c r="AP120"/>
      <c r="AQ120"/>
      <c r="AR120"/>
      <c r="AS120"/>
      <c r="AT120"/>
      <c r="AU120"/>
      <c r="AV120" s="12"/>
      <c r="AW120" s="32"/>
      <c r="AX120" s="32"/>
      <c r="AY120" s="2"/>
      <c r="AZ120" s="23"/>
      <c r="BA120"/>
      <c r="BB120" s="23"/>
      <c r="BC120" s="3"/>
      <c r="BD120" s="3"/>
      <c r="BE120" s="3"/>
      <c r="BH120" s="9"/>
    </row>
    <row r="121" spans="1:64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I121" s="2"/>
      <c r="AJ121" s="2"/>
      <c r="AK121" s="3" t="s">
        <v>268</v>
      </c>
      <c r="AL121" s="3" t="s">
        <v>267</v>
      </c>
      <c r="AM121" s="3" t="s">
        <v>266</v>
      </c>
      <c r="AP121"/>
      <c r="AQ121"/>
      <c r="AR121"/>
      <c r="AS121"/>
      <c r="AT121"/>
      <c r="AU121"/>
      <c r="AV121" s="12"/>
      <c r="AW121" s="32"/>
      <c r="AX121" s="32"/>
      <c r="AY121" s="2"/>
      <c r="AZ121" s="23"/>
      <c r="BA121"/>
      <c r="BB121" s="23"/>
      <c r="BC121" s="3"/>
      <c r="BD121" s="3"/>
      <c r="BE121" s="3"/>
      <c r="BH121" s="9"/>
    </row>
    <row r="122" spans="1:64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7">AL122</f>
        <v>77.45</v>
      </c>
      <c r="E122" s="3">
        <f t="shared" si="57"/>
        <v>77.45</v>
      </c>
      <c r="F122" s="6">
        <f>'Exchange Rates'!R49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>R$112+R$113*G122</f>
        <v>0.57656452114343515</v>
      </c>
      <c r="L122" s="6">
        <f>R$112+R$113*H122</f>
        <v>0.57656452114343515</v>
      </c>
      <c r="M122" s="6">
        <f>R$112+R$113*I122</f>
        <v>0.57656452114343515</v>
      </c>
      <c r="N122" s="6">
        <f>R$112+R$113*J122</f>
        <v>0.57656452114343515</v>
      </c>
      <c r="O122">
        <v>2010</v>
      </c>
      <c r="P122" s="24">
        <f t="shared" ref="P122:P130" si="58">Z89/AU89*100</f>
        <v>0.56399999999999995</v>
      </c>
      <c r="Q122" s="3">
        <f t="shared" ref="Q122:T129" si="59">(K122+$P122)*$AA89</f>
        <v>0.22811290422868702</v>
      </c>
      <c r="R122" s="3">
        <f t="shared" si="59"/>
        <v>0.22811290422868702</v>
      </c>
      <c r="S122" s="3">
        <f t="shared" si="59"/>
        <v>0.22811290422868702</v>
      </c>
      <c r="T122" s="3">
        <f t="shared" si="59"/>
        <v>0.22811290422868702</v>
      </c>
      <c r="U122" s="3">
        <f t="shared" ref="U122:U130" si="60">AW89</f>
        <v>1.3631312244897962</v>
      </c>
      <c r="V122" s="3">
        <f t="shared" ref="V122:V142" si="61">L122+$P122+R122</f>
        <v>1.3686774253721219</v>
      </c>
      <c r="W122" s="3">
        <f t="shared" ref="W122:W142" si="62">M122+$P122+S122</f>
        <v>1.3686774253721219</v>
      </c>
      <c r="X122" s="3">
        <f t="shared" ref="X122:X142" si="63">N122+$P122+T122</f>
        <v>1.3686774253721219</v>
      </c>
      <c r="Y122" s="9">
        <f t="shared" ref="Y122:Y130" si="64">AW89*$AU$97/100*100</f>
        <v>149.59356075547836</v>
      </c>
      <c r="Z122" s="9">
        <f>V122*$AU$97/100*100</f>
        <v>150.20221524431</v>
      </c>
      <c r="AA122" s="9">
        <f>W122*$AU$97/100*100</f>
        <v>150.20221524431</v>
      </c>
      <c r="AB122" s="9">
        <f>X122*$AU$97/100*100</f>
        <v>150.20221524431</v>
      </c>
      <c r="AC122" s="3">
        <f>U122*$AU$96/100</f>
        <v>1.4809777324569682</v>
      </c>
      <c r="AD122" s="3">
        <f>AC122</f>
        <v>1.4809777324569682</v>
      </c>
      <c r="AE122" s="3">
        <f t="shared" ref="AE122:AF122" si="65">AD122</f>
        <v>1.4809777324569682</v>
      </c>
      <c r="AF122" s="3">
        <f t="shared" si="65"/>
        <v>1.4809777324569682</v>
      </c>
      <c r="AI122" s="2"/>
      <c r="AJ122" s="2"/>
      <c r="AK122" s="3">
        <f>USA!AJ135</f>
        <v>77.45</v>
      </c>
      <c r="AL122" s="3">
        <f>USA!AK135</f>
        <v>77.45</v>
      </c>
      <c r="AM122" s="3">
        <f>USA!AL135</f>
        <v>77.45</v>
      </c>
      <c r="AP122"/>
      <c r="AQ122"/>
      <c r="AR122"/>
      <c r="AS122"/>
      <c r="AT122"/>
      <c r="AU122"/>
      <c r="AV122" s="12"/>
      <c r="AW122" s="32"/>
      <c r="AX122" s="32"/>
      <c r="AY122" s="2"/>
      <c r="AZ122" s="23"/>
      <c r="BA122"/>
      <c r="BB122" s="23"/>
      <c r="BC122" s="3"/>
      <c r="BD122" s="3"/>
      <c r="BE122" s="3"/>
      <c r="BH122" s="9"/>
    </row>
    <row r="123" spans="1:64">
      <c r="A123">
        <v>2011</v>
      </c>
      <c r="B123" s="3">
        <f>USA!Z98/USA!AU98*100</f>
        <v>104.18614906980585</v>
      </c>
      <c r="C123" s="3">
        <f t="shared" ref="C123:C142" si="66">AK123</f>
        <v>104.18614906980586</v>
      </c>
      <c r="D123" s="3">
        <f t="shared" ref="D123:D142" si="67">AL123</f>
        <v>104.18614906980586</v>
      </c>
      <c r="E123" s="3">
        <f t="shared" ref="E123:E142" si="68">AM123</f>
        <v>104.18614906980586</v>
      </c>
      <c r="F123" s="6">
        <f>'Exchange Rates'!R50</f>
        <v>0.71544109992713056</v>
      </c>
      <c r="G123" s="3">
        <f>(B123*USA!$AU98/100)/$AU90*100*$F123</f>
        <v>74.822920841238272</v>
      </c>
      <c r="H123" s="3">
        <f>(C123*USA!$AU98/100)/$AU90*100*$F123</f>
        <v>74.822920841238272</v>
      </c>
      <c r="I123" s="3">
        <f>(D123*USA!$AU98/100)/$AU90*100*$F123</f>
        <v>74.822920841238272</v>
      </c>
      <c r="J123" s="3">
        <f>(E123*USA!$AU98/100)/$AU90*100*$F123</f>
        <v>74.822920841238272</v>
      </c>
      <c r="K123" s="6">
        <f t="shared" ref="K123:K130" si="69">R$112+R$113*G123</f>
        <v>0.67572034195450847</v>
      </c>
      <c r="L123" s="6">
        <f t="shared" ref="L123:L142" si="70">R$112+R$113*H123</f>
        <v>0.67572034195450847</v>
      </c>
      <c r="M123" s="6">
        <f t="shared" ref="M123:M142" si="71">R$112+R$113*I123</f>
        <v>0.67572034195450847</v>
      </c>
      <c r="N123" s="6">
        <f>R$112+R$113*J123</f>
        <v>0.67572034195450847</v>
      </c>
      <c r="O123">
        <v>2011</v>
      </c>
      <c r="P123" s="24">
        <f t="shared" si="58"/>
        <v>0.5713371362443439</v>
      </c>
      <c r="Q123" s="3">
        <f t="shared" si="59"/>
        <v>0.2494114956397705</v>
      </c>
      <c r="R123" s="3">
        <f t="shared" si="59"/>
        <v>0.2494114956397705</v>
      </c>
      <c r="S123" s="3">
        <f t="shared" si="59"/>
        <v>0.2494114956397705</v>
      </c>
      <c r="T123" s="3">
        <f t="shared" si="59"/>
        <v>0.2494114956397705</v>
      </c>
      <c r="U123" s="3">
        <f t="shared" si="60"/>
        <v>1.5098641066124445</v>
      </c>
      <c r="V123" s="3">
        <f t="shared" si="61"/>
        <v>1.4964689738386228</v>
      </c>
      <c r="W123" s="3">
        <f t="shared" si="62"/>
        <v>1.4964689738386228</v>
      </c>
      <c r="X123" s="3">
        <f t="shared" si="63"/>
        <v>1.4964689738386228</v>
      </c>
      <c r="Y123" s="9">
        <f t="shared" si="64"/>
        <v>165.69640831871027</v>
      </c>
      <c r="Z123" s="9">
        <f t="shared" ref="Z123:Z142" si="72">V123*$AU$97/100*100</f>
        <v>164.2263916596917</v>
      </c>
      <c r="AA123" s="9">
        <f t="shared" ref="AA123:AA142" si="73">W123*$AU$97/100*100</f>
        <v>164.2263916596917</v>
      </c>
      <c r="AB123" s="9">
        <f t="shared" ref="AB123:AB142" si="74">X123*$AU$97/100*100</f>
        <v>164.2263916596917</v>
      </c>
      <c r="AC123" s="3">
        <f t="shared" ref="AC123:AC130" si="75">U123*$AU$96/100</f>
        <v>1.6403960827513147</v>
      </c>
      <c r="AD123" s="3">
        <f t="shared" ref="AD123:AF123" si="76">AC123</f>
        <v>1.6403960827513147</v>
      </c>
      <c r="AE123" s="3">
        <f t="shared" si="76"/>
        <v>1.6403960827513147</v>
      </c>
      <c r="AF123" s="3">
        <f t="shared" si="76"/>
        <v>1.6403960827513147</v>
      </c>
      <c r="AI123" s="2"/>
      <c r="AJ123" s="2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P123"/>
      <c r="AQ123"/>
      <c r="AR123"/>
      <c r="AS123"/>
      <c r="AT123"/>
      <c r="AU123"/>
      <c r="AV123" s="12"/>
      <c r="AW123" s="32"/>
      <c r="AX123" s="32"/>
      <c r="AY123" s="2"/>
      <c r="AZ123" s="23"/>
      <c r="BA123"/>
      <c r="BB123" s="23"/>
      <c r="BC123" s="3"/>
      <c r="BD123" s="3"/>
      <c r="BE123" s="3"/>
      <c r="BH123" s="9"/>
    </row>
    <row r="124" spans="1:64">
      <c r="A124">
        <v>2012</v>
      </c>
      <c r="B124" s="3">
        <f>USA!Z99/USA!AU99*100</f>
        <v>104.07290773565181</v>
      </c>
      <c r="C124" s="3">
        <f t="shared" si="66"/>
        <v>104.07290773565181</v>
      </c>
      <c r="D124" s="3">
        <f t="shared" si="67"/>
        <v>104.07290773565181</v>
      </c>
      <c r="E124" s="3">
        <f t="shared" si="68"/>
        <v>104.07290773565181</v>
      </c>
      <c r="F124" s="6">
        <f>'Exchange Rates'!R51</f>
        <v>0.773899446716382</v>
      </c>
      <c r="G124" s="3">
        <f>(B124*USA!$AU99/100)/$AU91*100*$F124</f>
        <v>80.043299801487777</v>
      </c>
      <c r="H124" s="3">
        <f>(C124*USA!$AU99/100)/$AU91*100*$F124</f>
        <v>80.043299801487777</v>
      </c>
      <c r="I124" s="3">
        <f>(D124*USA!$AU99/100)/$AU91*100*$F124</f>
        <v>80.043299801487777</v>
      </c>
      <c r="J124" s="3">
        <f>(E124*USA!$AU99/100)/$AU91*100*$F124</f>
        <v>80.043299801487777</v>
      </c>
      <c r="K124" s="6">
        <f t="shared" si="69"/>
        <v>0.70794372737943623</v>
      </c>
      <c r="L124" s="6">
        <f t="shared" si="70"/>
        <v>0.70794372737943623</v>
      </c>
      <c r="M124" s="6">
        <f t="shared" si="71"/>
        <v>0.70794372737943623</v>
      </c>
      <c r="N124" s="6">
        <f t="shared" ref="N124:N142" si="77">R$112+R$113*J124</f>
        <v>0.70794372737943623</v>
      </c>
      <c r="O124">
        <v>2012</v>
      </c>
      <c r="P124" s="24">
        <f t="shared" si="58"/>
        <v>0.67632552450646766</v>
      </c>
      <c r="Q124" s="3">
        <f t="shared" si="59"/>
        <v>0.2906965428960398</v>
      </c>
      <c r="R124" s="3">
        <f t="shared" si="59"/>
        <v>0.2906965428960398</v>
      </c>
      <c r="S124" s="3">
        <f t="shared" si="59"/>
        <v>0.2906965428960398</v>
      </c>
      <c r="T124" s="3">
        <f t="shared" si="59"/>
        <v>0.2906965428960398</v>
      </c>
      <c r="U124" s="3">
        <f t="shared" si="60"/>
        <v>1.6891247324137788</v>
      </c>
      <c r="V124" s="3">
        <f t="shared" si="61"/>
        <v>1.6749657947819436</v>
      </c>
      <c r="W124" s="3">
        <f t="shared" si="62"/>
        <v>1.6749657947819436</v>
      </c>
      <c r="X124" s="3">
        <f t="shared" si="63"/>
        <v>1.6749657947819436</v>
      </c>
      <c r="Y124" s="9">
        <f t="shared" si="64"/>
        <v>185.36893495085016</v>
      </c>
      <c r="Z124" s="9">
        <f t="shared" si="72"/>
        <v>183.81509636304014</v>
      </c>
      <c r="AA124" s="9">
        <f t="shared" si="73"/>
        <v>183.81509636304014</v>
      </c>
      <c r="AB124" s="9">
        <f t="shared" si="74"/>
        <v>183.81509636304014</v>
      </c>
      <c r="AC124" s="3">
        <f t="shared" si="75"/>
        <v>1.8351542911677077</v>
      </c>
      <c r="AD124" s="3">
        <f t="shared" ref="AD124:AF124" si="78">AC124</f>
        <v>1.8351542911677077</v>
      </c>
      <c r="AE124" s="3">
        <f t="shared" si="78"/>
        <v>1.8351542911677077</v>
      </c>
      <c r="AF124" s="3">
        <f t="shared" si="78"/>
        <v>1.8351542911677077</v>
      </c>
      <c r="AI124" s="2"/>
      <c r="AJ124" s="2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P124"/>
      <c r="AQ124"/>
      <c r="AR124"/>
      <c r="AS124"/>
      <c r="AT124"/>
      <c r="AU124"/>
      <c r="AV124" s="12"/>
      <c r="AW124" s="32"/>
      <c r="AX124" s="32"/>
      <c r="AY124" s="2"/>
      <c r="AZ124" s="23"/>
      <c r="BA124"/>
      <c r="BB124" s="23"/>
      <c r="BC124" s="3"/>
      <c r="BD124" s="3"/>
      <c r="BE124" s="3"/>
      <c r="BH124" s="9"/>
    </row>
    <row r="125" spans="1:64">
      <c r="A125">
        <v>2013</v>
      </c>
      <c r="B125" s="3">
        <f>USA!Z100/USA!AU100*100</f>
        <v>99.286371359470479</v>
      </c>
      <c r="C125" s="3">
        <f t="shared" si="66"/>
        <v>99.286371359470493</v>
      </c>
      <c r="D125" s="3">
        <f t="shared" si="67"/>
        <v>99.286371359470493</v>
      </c>
      <c r="E125" s="3">
        <f t="shared" si="68"/>
        <v>99.286371359470493</v>
      </c>
      <c r="F125" s="6">
        <f>'Exchange Rates'!R52</f>
        <v>0.75166876437654617</v>
      </c>
      <c r="G125" s="3">
        <f>(B125*USA!$AU100/100)/$AU92*100*$F125</f>
        <v>74.310051542320878</v>
      </c>
      <c r="H125" s="3">
        <f>(C125*USA!$AU100/100)/$AU92*100*$F125</f>
        <v>74.310051542320892</v>
      </c>
      <c r="I125" s="3">
        <f>(D125*USA!$AU100/100)/$AU92*100*$F125</f>
        <v>74.310051542320892</v>
      </c>
      <c r="J125" s="3">
        <f>(E125*USA!$AU100/100)/$AU92*100*$F125</f>
        <v>74.310051542320892</v>
      </c>
      <c r="K125" s="6">
        <f t="shared" si="69"/>
        <v>0.6725545976249363</v>
      </c>
      <c r="L125" s="6">
        <f t="shared" si="70"/>
        <v>0.67255459762493641</v>
      </c>
      <c r="M125" s="6">
        <f t="shared" si="71"/>
        <v>0.67255459762493641</v>
      </c>
      <c r="N125" s="6">
        <f t="shared" si="77"/>
        <v>0.67255459762493641</v>
      </c>
      <c r="O125">
        <v>2013</v>
      </c>
      <c r="P125" s="24">
        <f t="shared" si="58"/>
        <v>0.67937231170479628</v>
      </c>
      <c r="Q125" s="3">
        <f t="shared" si="59"/>
        <v>0.28390465095924383</v>
      </c>
      <c r="R125" s="3">
        <f t="shared" si="59"/>
        <v>0.28390465095924383</v>
      </c>
      <c r="S125" s="3">
        <f t="shared" si="59"/>
        <v>0.28390465095924383</v>
      </c>
      <c r="T125" s="3">
        <f t="shared" si="59"/>
        <v>0.28390465095924383</v>
      </c>
      <c r="U125" s="3">
        <f t="shared" si="60"/>
        <v>1.6319409661137576</v>
      </c>
      <c r="V125" s="3">
        <f t="shared" si="61"/>
        <v>1.6358315602889764</v>
      </c>
      <c r="W125" s="3">
        <f t="shared" si="62"/>
        <v>1.6358315602889764</v>
      </c>
      <c r="X125" s="3">
        <f t="shared" si="63"/>
        <v>1.6358315602889764</v>
      </c>
      <c r="Y125" s="9">
        <f t="shared" si="64"/>
        <v>179.09343992546766</v>
      </c>
      <c r="Z125" s="9">
        <f t="shared" si="72"/>
        <v>179.52040383449506</v>
      </c>
      <c r="AA125" s="9">
        <f t="shared" si="73"/>
        <v>179.52040383449506</v>
      </c>
      <c r="AB125" s="9">
        <f t="shared" si="74"/>
        <v>179.52040383449506</v>
      </c>
      <c r="AC125" s="3">
        <f t="shared" si="75"/>
        <v>1.7730268282889581</v>
      </c>
      <c r="AD125" s="3">
        <f t="shared" ref="AD125:AF125" si="79">AC125</f>
        <v>1.7730268282889581</v>
      </c>
      <c r="AE125" s="3">
        <f t="shared" si="79"/>
        <v>1.7730268282889581</v>
      </c>
      <c r="AF125" s="3">
        <f t="shared" si="79"/>
        <v>1.7730268282889581</v>
      </c>
      <c r="AI125" s="2"/>
      <c r="AJ125" s="2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P125"/>
      <c r="AQ125"/>
      <c r="AR125"/>
      <c r="AS125"/>
      <c r="AT125"/>
      <c r="AU125"/>
      <c r="AV125" s="12"/>
      <c r="AW125" s="32"/>
      <c r="AX125" s="32"/>
      <c r="AY125" s="2"/>
      <c r="AZ125" s="23"/>
      <c r="BA125"/>
      <c r="BB125" s="23"/>
      <c r="BC125" s="3"/>
      <c r="BD125" s="3"/>
      <c r="BE125" s="3"/>
      <c r="BH125" s="9"/>
    </row>
    <row r="126" spans="1:64">
      <c r="A126">
        <v>2014</v>
      </c>
      <c r="B126" s="3">
        <f>USA!Z101/USA!AU101*100</f>
        <v>88.687750298592292</v>
      </c>
      <c r="C126" s="3">
        <f t="shared" si="66"/>
        <v>88.687750298592292</v>
      </c>
      <c r="D126" s="3">
        <f t="shared" si="67"/>
        <v>88.687750298592292</v>
      </c>
      <c r="E126" s="3">
        <f t="shared" si="68"/>
        <v>88.687750298592292</v>
      </c>
      <c r="F126" s="6">
        <f>'Exchange Rates'!R53</f>
        <v>0.757387838338895</v>
      </c>
      <c r="G126" s="3">
        <f>(B126*USA!$AU101/100)/$AU93*100*$F126</f>
        <v>67.822662981131245</v>
      </c>
      <c r="H126" s="3">
        <f>(C126*USA!$AU101/100)/$AU93*100*$F126</f>
        <v>67.822662981131245</v>
      </c>
      <c r="I126" s="3">
        <f>(D126*USA!$AU101/100)/$AU93*100*$F126</f>
        <v>67.822662981131245</v>
      </c>
      <c r="J126" s="3">
        <f>(E126*USA!$AU101/100)/$AU93*100*$F126</f>
        <v>67.822662981131245</v>
      </c>
      <c r="K126" s="6">
        <f t="shared" si="69"/>
        <v>0.63251045071524725</v>
      </c>
      <c r="L126" s="6">
        <f t="shared" si="70"/>
        <v>0.63251045071524725</v>
      </c>
      <c r="M126" s="6">
        <f t="shared" si="71"/>
        <v>0.63251045071524725</v>
      </c>
      <c r="N126" s="6">
        <f t="shared" si="77"/>
        <v>0.63251045071524725</v>
      </c>
      <c r="O126">
        <v>2014</v>
      </c>
      <c r="P126" s="24">
        <f t="shared" si="58"/>
        <v>0.68053147202021469</v>
      </c>
      <c r="Q126" s="3">
        <f t="shared" si="59"/>
        <v>0.28886922300180162</v>
      </c>
      <c r="R126" s="3">
        <f t="shared" si="59"/>
        <v>0.28886922300180162</v>
      </c>
      <c r="S126" s="3">
        <f t="shared" si="59"/>
        <v>0.28886922300180162</v>
      </c>
      <c r="T126" s="3">
        <f t="shared" si="59"/>
        <v>0.28886922300180162</v>
      </c>
      <c r="U126" s="3">
        <f t="shared" si="60"/>
        <v>1.5977132558810399</v>
      </c>
      <c r="V126" s="3">
        <f t="shared" si="61"/>
        <v>1.6019111457372635</v>
      </c>
      <c r="W126" s="3">
        <f t="shared" si="62"/>
        <v>1.6019111457372635</v>
      </c>
      <c r="X126" s="3">
        <f t="shared" si="63"/>
        <v>1.6019111457372635</v>
      </c>
      <c r="Y126" s="9">
        <f t="shared" si="64"/>
        <v>175.33720211194722</v>
      </c>
      <c r="Z126" s="9">
        <f t="shared" si="72"/>
        <v>175.79788944708389</v>
      </c>
      <c r="AA126" s="9">
        <f t="shared" si="73"/>
        <v>175.79788944708389</v>
      </c>
      <c r="AB126" s="9">
        <f t="shared" si="74"/>
        <v>175.79788944708389</v>
      </c>
      <c r="AC126" s="3">
        <f t="shared" si="75"/>
        <v>1.7358400367483142</v>
      </c>
      <c r="AD126" s="3">
        <f t="shared" ref="AD126:AF126" si="80">AC126</f>
        <v>1.7358400367483142</v>
      </c>
      <c r="AE126" s="3">
        <f t="shared" si="80"/>
        <v>1.7358400367483142</v>
      </c>
      <c r="AF126" s="3">
        <f t="shared" si="80"/>
        <v>1.7358400367483142</v>
      </c>
      <c r="AI126" s="2"/>
      <c r="AJ126" s="2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P126"/>
      <c r="AQ126"/>
      <c r="AR126"/>
      <c r="AS126"/>
      <c r="AT126"/>
      <c r="AU126"/>
      <c r="AV126" s="12"/>
      <c r="AW126" s="32"/>
      <c r="AX126" s="32"/>
      <c r="AY126" s="2"/>
      <c r="AZ126" s="23"/>
      <c r="BA126"/>
      <c r="BB126" s="23"/>
      <c r="BC126" s="3"/>
      <c r="BD126" s="3"/>
      <c r="BE126" s="3"/>
      <c r="BH126" s="9"/>
    </row>
    <row r="127" spans="1:64">
      <c r="A127">
        <v>2015</v>
      </c>
      <c r="B127" s="3">
        <f>USA!Z102/USA!AU102*100</f>
        <v>45.556296925601828</v>
      </c>
      <c r="C127" s="3">
        <f t="shared" si="66"/>
        <v>45.556296925601814</v>
      </c>
      <c r="D127" s="3">
        <f t="shared" si="67"/>
        <v>45.556296925601814</v>
      </c>
      <c r="E127" s="3">
        <f t="shared" si="68"/>
        <v>45.556296925601814</v>
      </c>
      <c r="F127" s="6">
        <f>'Exchange Rates'!R54</f>
        <v>0.90592556207997499</v>
      </c>
      <c r="G127" s="3">
        <f>(B127*USA!$AU102/100)/$AU94*100*$F127</f>
        <v>41.745186567457061</v>
      </c>
      <c r="H127" s="3">
        <f>(C127*USA!$AU102/100)/$AU94*100*$F127</f>
        <v>41.745186567457047</v>
      </c>
      <c r="I127" s="3">
        <f>(D127*USA!$AU102/100)/$AU94*100*$F127</f>
        <v>41.745186567457047</v>
      </c>
      <c r="J127" s="3">
        <f>(E127*USA!$AU102/100)/$AU94*100*$F127</f>
        <v>41.745186567457047</v>
      </c>
      <c r="K127" s="6">
        <f t="shared" si="69"/>
        <v>0.47154424887707219</v>
      </c>
      <c r="L127" s="6">
        <f t="shared" si="70"/>
        <v>0.47154424887707214</v>
      </c>
      <c r="M127" s="6">
        <f t="shared" si="71"/>
        <v>0.47154424887707214</v>
      </c>
      <c r="N127" s="6">
        <f t="shared" si="77"/>
        <v>0.47154424887707214</v>
      </c>
      <c r="O127">
        <v>2015</v>
      </c>
      <c r="P127" s="24">
        <f t="shared" si="58"/>
        <v>0.67747581648366306</v>
      </c>
      <c r="Q127" s="3">
        <f t="shared" si="59"/>
        <v>0.25278441437936172</v>
      </c>
      <c r="R127" s="3">
        <f t="shared" si="59"/>
        <v>0.25278441437936172</v>
      </c>
      <c r="S127" s="3">
        <f t="shared" si="59"/>
        <v>0.25278441437936172</v>
      </c>
      <c r="T127" s="3">
        <f t="shared" si="59"/>
        <v>0.25278441437936172</v>
      </c>
      <c r="U127" s="3">
        <f t="shared" si="60"/>
        <v>1.4309671088169709</v>
      </c>
      <c r="V127" s="3">
        <f t="shared" si="61"/>
        <v>1.4018044797400968</v>
      </c>
      <c r="W127" s="3">
        <f t="shared" si="62"/>
        <v>1.4018044797400968</v>
      </c>
      <c r="X127" s="3">
        <f t="shared" si="63"/>
        <v>1.4018044797400968</v>
      </c>
      <c r="Y127" s="9">
        <f t="shared" si="64"/>
        <v>157.03804687771287</v>
      </c>
      <c r="Z127" s="9">
        <f t="shared" si="72"/>
        <v>153.83766422472678</v>
      </c>
      <c r="AA127" s="9">
        <f t="shared" si="73"/>
        <v>153.83766422472678</v>
      </c>
      <c r="AB127" s="9">
        <f t="shared" si="74"/>
        <v>153.83766422472678</v>
      </c>
      <c r="AC127" s="3">
        <f t="shared" si="75"/>
        <v>1.5546782187675763</v>
      </c>
      <c r="AD127" s="3">
        <f t="shared" ref="AD127:AF127" si="81">AC127</f>
        <v>1.5546782187675763</v>
      </c>
      <c r="AE127" s="3">
        <f t="shared" si="81"/>
        <v>1.5546782187675763</v>
      </c>
      <c r="AF127" s="3">
        <f t="shared" si="81"/>
        <v>1.5546782187675763</v>
      </c>
      <c r="AI127" s="2"/>
      <c r="AJ127" s="2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P127"/>
      <c r="AQ127"/>
      <c r="AR127"/>
      <c r="AS127"/>
      <c r="AT127"/>
      <c r="AU127"/>
      <c r="AV127" s="12"/>
      <c r="AW127" s="32"/>
      <c r="AX127" s="32"/>
      <c r="AY127" s="2"/>
      <c r="AZ127" s="23"/>
      <c r="BA127"/>
      <c r="BB127" s="23"/>
      <c r="BC127" s="3"/>
      <c r="BD127" s="3"/>
      <c r="BE127" s="3"/>
      <c r="BH127" s="9"/>
    </row>
    <row r="128" spans="1:64">
      <c r="A128">
        <v>2016</v>
      </c>
      <c r="B128" s="3">
        <f>USA!Z103/USA!AU103*100</f>
        <v>36.957692605914716</v>
      </c>
      <c r="C128" s="3">
        <f t="shared" si="66"/>
        <v>36.957692605914716</v>
      </c>
      <c r="D128" s="3">
        <f t="shared" si="67"/>
        <v>36.957692605914716</v>
      </c>
      <c r="E128" s="3">
        <f t="shared" si="68"/>
        <v>36.957692605914716</v>
      </c>
      <c r="F128" s="6">
        <f>'Exchange Rates'!R55</f>
        <v>0.90674707708863456</v>
      </c>
      <c r="G128" s="3">
        <f>(B128*USA!$AU103/100)/$AU95*100*$F128</f>
        <v>34.372239432451728</v>
      </c>
      <c r="H128" s="3">
        <f>(C128*USA!$AU103/100)/$AU95*100*$F128</f>
        <v>34.372239432451728</v>
      </c>
      <c r="I128" s="3">
        <f>(D128*USA!$AU103/100)/$AU95*100*$F128</f>
        <v>34.372239432451728</v>
      </c>
      <c r="J128" s="3">
        <f>(E128*USA!$AU103/100)/$AU95*100*$F128</f>
        <v>34.372239432451728</v>
      </c>
      <c r="K128" s="6">
        <f t="shared" si="69"/>
        <v>0.42603389051842572</v>
      </c>
      <c r="L128" s="6">
        <f t="shared" si="70"/>
        <v>0.42603389051842572</v>
      </c>
      <c r="M128" s="6">
        <f t="shared" si="71"/>
        <v>0.42603389051842572</v>
      </c>
      <c r="N128" s="6">
        <f t="shared" si="77"/>
        <v>0.42603389051842572</v>
      </c>
      <c r="O128">
        <v>2016</v>
      </c>
      <c r="P128" s="24">
        <f t="shared" si="58"/>
        <v>0.67831239568913093</v>
      </c>
      <c r="Q128" s="3">
        <f t="shared" si="59"/>
        <v>0.24295618296566246</v>
      </c>
      <c r="R128" s="3">
        <f t="shared" si="59"/>
        <v>0.24295618296566246</v>
      </c>
      <c r="S128" s="3">
        <f t="shared" si="59"/>
        <v>0.24295618296566246</v>
      </c>
      <c r="T128" s="3">
        <f t="shared" si="59"/>
        <v>0.24295618296566246</v>
      </c>
      <c r="U128" s="3">
        <f t="shared" si="60"/>
        <v>1.3447323352057097</v>
      </c>
      <c r="V128" s="3">
        <f t="shared" si="61"/>
        <v>1.3473024691732189</v>
      </c>
      <c r="W128" s="3">
        <f t="shared" si="62"/>
        <v>1.3473024691732189</v>
      </c>
      <c r="X128" s="3">
        <f t="shared" si="63"/>
        <v>1.3473024691732189</v>
      </c>
      <c r="Y128" s="9">
        <f t="shared" si="64"/>
        <v>147.57441886179717</v>
      </c>
      <c r="Z128" s="9">
        <f t="shared" si="72"/>
        <v>147.85647203827122</v>
      </c>
      <c r="AA128" s="9">
        <f t="shared" si="73"/>
        <v>147.85647203827122</v>
      </c>
      <c r="AB128" s="9">
        <f t="shared" si="74"/>
        <v>147.85647203827122</v>
      </c>
      <c r="AC128" s="3">
        <f t="shared" si="75"/>
        <v>1.4609882077199996</v>
      </c>
      <c r="AD128" s="3">
        <f t="shared" ref="AD128:AF128" si="82">AC128</f>
        <v>1.4609882077199996</v>
      </c>
      <c r="AE128" s="3">
        <f t="shared" si="82"/>
        <v>1.4609882077199996</v>
      </c>
      <c r="AF128" s="3">
        <f t="shared" si="82"/>
        <v>1.4609882077199996</v>
      </c>
      <c r="AI128" s="2"/>
      <c r="AJ128" s="2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P128"/>
      <c r="AQ128"/>
      <c r="AR128"/>
      <c r="AS128"/>
      <c r="AT128"/>
      <c r="AU128"/>
      <c r="AV128" s="12"/>
      <c r="AW128" s="32"/>
      <c r="AX128" s="32"/>
      <c r="AY128" s="2"/>
      <c r="AZ128" s="23"/>
      <c r="BA128"/>
      <c r="BB128" s="23"/>
      <c r="BC128" s="3"/>
      <c r="BD128" s="3"/>
      <c r="BE128" s="3"/>
      <c r="BH128" s="9"/>
    </row>
    <row r="129" spans="1:60">
      <c r="A129">
        <v>2017</v>
      </c>
      <c r="B129" s="3">
        <f>USA!Z104/USA!AU104*100</f>
        <v>46.705738720797434</v>
      </c>
      <c r="C129" s="3">
        <f t="shared" si="66"/>
        <v>46.705738720797434</v>
      </c>
      <c r="D129" s="3">
        <f t="shared" si="67"/>
        <v>46.705738720797434</v>
      </c>
      <c r="E129" s="3">
        <f t="shared" si="68"/>
        <v>46.705738720797434</v>
      </c>
      <c r="F129" s="6">
        <f>'Exchange Rates'!R56</f>
        <v>0.88700000000000001</v>
      </c>
      <c r="G129" s="3">
        <f>(B129*USA!$AU104/100)/$AU96*100*$F129</f>
        <v>42.870127537339314</v>
      </c>
      <c r="H129" s="3">
        <f>(C129*USA!$AU104/100)/$AU96*100*$F129</f>
        <v>42.870127537339314</v>
      </c>
      <c r="I129" s="3">
        <f>(D129*USA!$AU104/100)/$AU96*100*$F129</f>
        <v>42.870127537339314</v>
      </c>
      <c r="J129" s="3">
        <f>(E129*USA!$AU104/100)/$AU96*100*$F129</f>
        <v>42.870127537339314</v>
      </c>
      <c r="K129" s="6">
        <f t="shared" si="69"/>
        <v>0.47848807550897543</v>
      </c>
      <c r="L129" s="6">
        <f t="shared" si="70"/>
        <v>0.47848807550897543</v>
      </c>
      <c r="M129" s="6">
        <f t="shared" si="71"/>
        <v>0.47848807550897543</v>
      </c>
      <c r="N129" s="6">
        <f t="shared" si="77"/>
        <v>0.47848807550897543</v>
      </c>
      <c r="O129">
        <v>2017</v>
      </c>
      <c r="P129" s="24">
        <f t="shared" si="58"/>
        <v>0.6700705281923649</v>
      </c>
      <c r="Q129" s="3">
        <f t="shared" si="59"/>
        <v>0.2526828928142949</v>
      </c>
      <c r="R129" s="3">
        <f t="shared" si="59"/>
        <v>0.2526828928142949</v>
      </c>
      <c r="S129" s="3">
        <f t="shared" si="59"/>
        <v>0.2526828928142949</v>
      </c>
      <c r="T129" s="3">
        <f t="shared" si="59"/>
        <v>0.2526828928142949</v>
      </c>
      <c r="U129" s="3">
        <f t="shared" si="60"/>
        <v>1.4060793098944375</v>
      </c>
      <c r="V129" s="3">
        <f t="shared" si="61"/>
        <v>1.4012414965156355</v>
      </c>
      <c r="W129" s="3">
        <f t="shared" si="62"/>
        <v>1.4012414965156355</v>
      </c>
      <c r="X129" s="3">
        <f t="shared" si="63"/>
        <v>1.4012414965156355</v>
      </c>
      <c r="Y129" s="9">
        <f t="shared" si="64"/>
        <v>154.306795188</v>
      </c>
      <c r="Z129" s="9">
        <f t="shared" si="72"/>
        <v>153.775880983554</v>
      </c>
      <c r="AA129" s="9">
        <f t="shared" si="73"/>
        <v>153.775880983554</v>
      </c>
      <c r="AB129" s="9">
        <f t="shared" si="74"/>
        <v>153.775880983554</v>
      </c>
      <c r="AC129" s="3">
        <f t="shared" si="75"/>
        <v>1.5276388000000001</v>
      </c>
      <c r="AD129" s="3">
        <f t="shared" ref="AD129:AF129" si="83">AC129</f>
        <v>1.5276388000000001</v>
      </c>
      <c r="AE129" s="3">
        <f t="shared" si="83"/>
        <v>1.5276388000000001</v>
      </c>
      <c r="AF129" s="3">
        <f t="shared" si="83"/>
        <v>1.5276388000000001</v>
      </c>
      <c r="AI129" s="2"/>
      <c r="AJ129" s="2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P129"/>
      <c r="AQ129"/>
      <c r="AR129"/>
      <c r="AS129"/>
      <c r="AT129"/>
      <c r="AU129"/>
      <c r="AV129" s="12"/>
      <c r="AW129" s="32"/>
      <c r="AX129" s="32"/>
      <c r="AY129" s="2"/>
      <c r="AZ129" s="23"/>
      <c r="BA129"/>
      <c r="BB129" s="23"/>
      <c r="BC129" s="3"/>
      <c r="BD129" s="3"/>
      <c r="BE129" s="3"/>
      <c r="BH129" s="9"/>
    </row>
    <row r="130" spans="1:60">
      <c r="A130">
        <v>2018</v>
      </c>
      <c r="B130" s="3">
        <f>USA!Z105/USA!AU105*100</f>
        <v>60.818458312139953</v>
      </c>
      <c r="C130" s="3">
        <f t="shared" si="66"/>
        <v>60.818458312139953</v>
      </c>
      <c r="D130" s="3">
        <f t="shared" si="67"/>
        <v>60.818458312139953</v>
      </c>
      <c r="E130" s="3">
        <f t="shared" si="68"/>
        <v>60.818458312139953</v>
      </c>
      <c r="F130" s="6">
        <f>'Exchange Rates'!R57</f>
        <v>0.84599999999999997</v>
      </c>
      <c r="G130" s="3">
        <f>(B130*USA!$AU105/100)/$AU97*100*$F130</f>
        <v>54.119886829140064</v>
      </c>
      <c r="H130" s="3">
        <f>(C130*USA!$AU105/100)/$AU97*100*$F130</f>
        <v>54.119886829140064</v>
      </c>
      <c r="I130" s="3">
        <f>(D130*USA!$AU105/100)/$AU97*100*$F130</f>
        <v>54.119886829140064</v>
      </c>
      <c r="J130" s="3">
        <f>(E130*USA!$AU105/100)/$AU97*100*$F130</f>
        <v>54.119886829140064</v>
      </c>
      <c r="K130" s="6">
        <f t="shared" si="69"/>
        <v>0.54792849973059776</v>
      </c>
      <c r="L130" s="6">
        <f t="shared" si="70"/>
        <v>0.54792849973059776</v>
      </c>
      <c r="M130" s="6">
        <f t="shared" si="71"/>
        <v>0.54792849973059776</v>
      </c>
      <c r="N130" s="6">
        <f t="shared" si="77"/>
        <v>0.54792849973059776</v>
      </c>
      <c r="O130">
        <v>2018</v>
      </c>
      <c r="P130" s="24">
        <f t="shared" si="58"/>
        <v>0.66337048628092754</v>
      </c>
      <c r="Q130" s="3">
        <f>(K130+P130)*$T$120</f>
        <v>0.26648577692253556</v>
      </c>
      <c r="R130" s="3">
        <f t="shared" ref="R130:R142" si="84">(L130+P130)*$T$120</f>
        <v>0.26648577692253556</v>
      </c>
      <c r="S130" s="3">
        <f t="shared" ref="S130:S142" si="85">(M130+P130)*$T$120</f>
        <v>0.26648577692253556</v>
      </c>
      <c r="T130" s="3">
        <f t="shared" ref="T130:T142" si="86">(N130+P130)*$T$120</f>
        <v>0.26648577692253556</v>
      </c>
      <c r="U130" s="3">
        <f t="shared" si="60"/>
        <v>1.4581089832379086</v>
      </c>
      <c r="V130" s="3">
        <f t="shared" si="61"/>
        <v>1.4777847629340608</v>
      </c>
      <c r="W130" s="3">
        <f t="shared" si="62"/>
        <v>1.4777847629340608</v>
      </c>
      <c r="X130" s="3">
        <f t="shared" si="63"/>
        <v>1.4777847629340608</v>
      </c>
      <c r="Y130" s="9">
        <f t="shared" si="64"/>
        <v>160.01666666666665</v>
      </c>
      <c r="Z130" s="9">
        <f t="shared" si="72"/>
        <v>162.17593783037242</v>
      </c>
      <c r="AA130" s="9">
        <f t="shared" si="73"/>
        <v>162.17593783037242</v>
      </c>
      <c r="AB130" s="9">
        <f t="shared" si="74"/>
        <v>162.17593783037242</v>
      </c>
      <c r="AC130" s="3">
        <f t="shared" si="75"/>
        <v>1.5841665841665842</v>
      </c>
      <c r="AD130" s="3">
        <f t="shared" ref="AD130:AD142" si="87">V130*$AU$96/100</f>
        <v>1.605543390064077</v>
      </c>
      <c r="AE130" s="3">
        <f t="shared" ref="AE130:AE142" si="88">W130*$AU$96/100</f>
        <v>1.605543390064077</v>
      </c>
      <c r="AF130" s="3">
        <f t="shared" ref="AF130:AF142" si="89">X130*$AU$96/100</f>
        <v>1.605543390064077</v>
      </c>
      <c r="AI130" s="2"/>
      <c r="AJ130" s="2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P130"/>
      <c r="AQ130"/>
      <c r="AR130"/>
      <c r="AS130"/>
      <c r="AT130"/>
      <c r="AU130"/>
      <c r="AV130" s="12"/>
      <c r="AW130" s="32"/>
      <c r="AX130" s="32"/>
      <c r="AY130" s="2"/>
      <c r="AZ130" s="23"/>
      <c r="BA130"/>
      <c r="BB130" s="23"/>
      <c r="BC130" s="3"/>
      <c r="BH130" s="9"/>
    </row>
    <row r="131" spans="1:60">
      <c r="A131">
        <v>2019</v>
      </c>
      <c r="B131" s="3"/>
      <c r="C131" s="3">
        <f>AK131</f>
        <v>90.611761513694489</v>
      </c>
      <c r="D131" s="3">
        <f t="shared" si="67"/>
        <v>56.019786702864394</v>
      </c>
      <c r="E131" s="3">
        <f t="shared" si="68"/>
        <v>25.889074718198426</v>
      </c>
      <c r="F131" s="6">
        <f>'Exchange Rates'!R58</f>
        <v>0.86199999999999999</v>
      </c>
      <c r="G131" s="3"/>
      <c r="H131" s="3">
        <f>(C131*USA!$AU106/100)/$AU98*100*$F131</f>
        <v>82.156692857493439</v>
      </c>
      <c r="I131" s="3">
        <f>(D131*USA!$AU106/100)/$AU98*100*$F131</f>
        <v>50.792527738178308</v>
      </c>
      <c r="J131" s="3">
        <f>(E131*USA!$AU106/100)/$AU98*100*$F131</f>
        <v>23.473340816426699</v>
      </c>
      <c r="K131" s="6"/>
      <c r="L131" s="6">
        <f t="shared" si="70"/>
        <v>0.7209888874179291</v>
      </c>
      <c r="M131" s="6">
        <f t="shared" si="71"/>
        <v>0.52738999567723055</v>
      </c>
      <c r="N131" s="6">
        <f t="shared" si="77"/>
        <v>0.35875919389475375</v>
      </c>
      <c r="O131">
        <v>2019</v>
      </c>
      <c r="P131" s="3">
        <f t="shared" ref="P131:P142" si="90">P130</f>
        <v>0.66337048628092754</v>
      </c>
      <c r="Q131" s="3"/>
      <c r="R131" s="3">
        <f t="shared" si="84"/>
        <v>0.30455906221374845</v>
      </c>
      <c r="S131" s="3">
        <f t="shared" si="85"/>
        <v>0.26196730603079477</v>
      </c>
      <c r="T131" s="3">
        <f t="shared" si="86"/>
        <v>0.22486852963864987</v>
      </c>
      <c r="U131" s="3"/>
      <c r="V131" s="3">
        <f t="shared" si="61"/>
        <v>1.688918435912605</v>
      </c>
      <c r="W131" s="3">
        <f t="shared" si="62"/>
        <v>1.4527277879889529</v>
      </c>
      <c r="X131" s="3">
        <f t="shared" si="63"/>
        <v>1.2469982098143311</v>
      </c>
      <c r="Y131" s="9"/>
      <c r="Z131" s="9">
        <f t="shared" si="72"/>
        <v>185.34629543703994</v>
      </c>
      <c r="AA131" s="9">
        <f t="shared" si="73"/>
        <v>159.4261203245762</v>
      </c>
      <c r="AB131" s="9">
        <f t="shared" si="74"/>
        <v>136.84882211663347</v>
      </c>
      <c r="AC131" s="3"/>
      <c r="AD131" s="3">
        <f t="shared" si="87"/>
        <v>1.8349301597568553</v>
      </c>
      <c r="AE131" s="3">
        <f t="shared" si="88"/>
        <v>1.5783201695334739</v>
      </c>
      <c r="AF131" s="3">
        <f t="shared" si="89"/>
        <v>1.3548046937593654</v>
      </c>
      <c r="AI131" s="2"/>
      <c r="AJ131" s="2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P131"/>
      <c r="AQ131"/>
      <c r="AR131"/>
      <c r="AS131"/>
      <c r="AT131"/>
      <c r="AU131"/>
      <c r="AV131" s="12"/>
      <c r="AW131" s="32"/>
      <c r="AX131" s="32"/>
      <c r="AY131" s="2"/>
      <c r="AZ131" s="23"/>
      <c r="BA131"/>
      <c r="BB131" s="23"/>
      <c r="BC131" s="3"/>
      <c r="BH131" s="9"/>
    </row>
    <row r="132" spans="1:60">
      <c r="A132">
        <v>2020</v>
      </c>
      <c r="B132" s="3"/>
      <c r="C132" s="3">
        <f t="shared" si="66"/>
        <v>105.28223718734027</v>
      </c>
      <c r="D132" s="3">
        <f t="shared" si="67"/>
        <v>56.251630823658907</v>
      </c>
      <c r="E132" s="3">
        <f t="shared" si="68"/>
        <v>26.752043875471706</v>
      </c>
      <c r="F132" s="6">
        <f>'Exchange Rates'!R59</f>
        <v>0.86199999999999999</v>
      </c>
      <c r="G132" s="3"/>
      <c r="H132" s="3">
        <f>(C132*USA!$AU107/100)/$AU99*100*$F132</f>
        <v>95.458252653468591</v>
      </c>
      <c r="I132" s="3">
        <f>(D132*USA!$AU107/100)/$AU99*100*$F132</f>
        <v>51.002738266091427</v>
      </c>
      <c r="J132" s="3">
        <f>(E132*USA!$AU107/100)/$AU99*100*$F132</f>
        <v>24.255785510307582</v>
      </c>
      <c r="K132" s="6"/>
      <c r="L132" s="6">
        <f t="shared" si="70"/>
        <v>0.80309428461651566</v>
      </c>
      <c r="M132" s="6">
        <f t="shared" si="71"/>
        <v>0.52868754417187047</v>
      </c>
      <c r="N132" s="6">
        <f t="shared" si="77"/>
        <v>0.36358892314172941</v>
      </c>
      <c r="O132">
        <v>2020</v>
      </c>
      <c r="P132" s="3">
        <f t="shared" si="90"/>
        <v>0.66337048628092754</v>
      </c>
      <c r="Q132" s="3"/>
      <c r="R132" s="3">
        <f t="shared" si="84"/>
        <v>0.32262224959743752</v>
      </c>
      <c r="S132" s="3">
        <f t="shared" si="85"/>
        <v>0.26225276669961556</v>
      </c>
      <c r="T132" s="3">
        <f t="shared" si="86"/>
        <v>0.22593107007298452</v>
      </c>
      <c r="U132" s="3"/>
      <c r="V132" s="3">
        <f t="shared" si="61"/>
        <v>1.7890870204948808</v>
      </c>
      <c r="W132" s="3">
        <f t="shared" si="62"/>
        <v>1.4543107971524134</v>
      </c>
      <c r="X132" s="3">
        <f t="shared" si="63"/>
        <v>1.2528904794956413</v>
      </c>
      <c r="Y132" s="9"/>
      <c r="Z132" s="9">
        <f t="shared" si="72"/>
        <v>196.33905605633211</v>
      </c>
      <c r="AA132" s="9">
        <f t="shared" si="73"/>
        <v>159.599843861398</v>
      </c>
      <c r="AB132" s="9">
        <f t="shared" si="74"/>
        <v>137.49545509423888</v>
      </c>
      <c r="AC132" s="3"/>
      <c r="AD132" s="3">
        <f t="shared" si="87"/>
        <v>1.9437585987162864</v>
      </c>
      <c r="AE132" s="3">
        <f t="shared" si="88"/>
        <v>1.5800400342678744</v>
      </c>
      <c r="AF132" s="3">
        <f t="shared" si="89"/>
        <v>1.3612063666393317</v>
      </c>
      <c r="AI132" s="2"/>
      <c r="AJ132" s="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P132"/>
      <c r="AQ132"/>
      <c r="AR132"/>
      <c r="AS132"/>
      <c r="AT132"/>
      <c r="AU132"/>
      <c r="AV132" s="12"/>
      <c r="AW132" s="32"/>
      <c r="AX132" s="32"/>
      <c r="AY132" s="2"/>
      <c r="AZ132" s="23"/>
      <c r="BA132"/>
      <c r="BB132" s="23"/>
      <c r="BC132" s="3"/>
      <c r="BH132" s="9"/>
    </row>
    <row r="133" spans="1:60">
      <c r="A133">
        <v>2021</v>
      </c>
      <c r="B133" s="3"/>
      <c r="C133" s="3">
        <f t="shared" si="66"/>
        <v>120.81568201825931</v>
      </c>
      <c r="D133" s="3">
        <f t="shared" si="67"/>
        <v>63.082289986431647</v>
      </c>
      <c r="E133" s="3">
        <f t="shared" si="68"/>
        <v>28.477982190018274</v>
      </c>
      <c r="F133" s="6">
        <f>'Exchange Rates'!R60</f>
        <v>0.86199999999999999</v>
      </c>
      <c r="G133" s="3"/>
      <c r="H133" s="3">
        <f>(C133*USA!$AU108/100)/$AU100*100*$F133</f>
        <v>109.54225714332458</v>
      </c>
      <c r="I133" s="3">
        <f>(D133*USA!$AU108/100)/$AU100*100*$F133</f>
        <v>57.196022200488038</v>
      </c>
      <c r="J133" s="3">
        <f>(E133*USA!$AU108/100)/$AU100*100*$F133</f>
        <v>25.82067489806937</v>
      </c>
      <c r="K133" s="6"/>
      <c r="L133" s="6">
        <f t="shared" si="70"/>
        <v>0.89002941106207767</v>
      </c>
      <c r="M133" s="6">
        <f t="shared" si="71"/>
        <v>0.56691629667886012</v>
      </c>
      <c r="N133" s="6">
        <f t="shared" si="77"/>
        <v>0.37324838163568075</v>
      </c>
      <c r="O133">
        <v>2021</v>
      </c>
      <c r="P133" s="3">
        <f t="shared" si="90"/>
        <v>0.66337048628092754</v>
      </c>
      <c r="Q133" s="3"/>
      <c r="R133" s="3">
        <f t="shared" si="84"/>
        <v>0.34174797741546115</v>
      </c>
      <c r="S133" s="3">
        <f t="shared" si="85"/>
        <v>0.27066309225115331</v>
      </c>
      <c r="T133" s="3">
        <f t="shared" si="86"/>
        <v>0.2280561509416538</v>
      </c>
      <c r="U133" s="3"/>
      <c r="V133" s="3">
        <f t="shared" si="61"/>
        <v>1.8951478747584662</v>
      </c>
      <c r="W133" s="3">
        <f t="shared" si="62"/>
        <v>1.5009498752109409</v>
      </c>
      <c r="X133" s="3">
        <f t="shared" si="63"/>
        <v>1.2646750188582621</v>
      </c>
      <c r="Y133" s="9"/>
      <c r="Z133" s="9">
        <f t="shared" si="72"/>
        <v>207.97844965322963</v>
      </c>
      <c r="AA133" s="9">
        <f t="shared" si="73"/>
        <v>164.71813741361211</v>
      </c>
      <c r="AB133" s="9">
        <f t="shared" si="74"/>
        <v>138.78872104944975</v>
      </c>
      <c r="AC133" s="3"/>
      <c r="AD133" s="3">
        <f t="shared" si="87"/>
        <v>2.0589887105556839</v>
      </c>
      <c r="AE133" s="3">
        <f t="shared" si="88"/>
        <v>1.6307111911059509</v>
      </c>
      <c r="AF133" s="3">
        <f t="shared" si="89"/>
        <v>1.3740097123992649</v>
      </c>
      <c r="AI133" s="2"/>
      <c r="AJ133" s="2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P133"/>
      <c r="AQ133"/>
      <c r="AR133"/>
      <c r="AS133"/>
      <c r="AT133"/>
      <c r="AU133"/>
      <c r="AV133" s="12"/>
      <c r="AW133" s="32"/>
      <c r="AX133" s="32"/>
      <c r="AY133" s="2"/>
      <c r="AZ133" s="23"/>
      <c r="BA133"/>
      <c r="BB133" s="23"/>
      <c r="BC133" s="3"/>
      <c r="BH133" s="9"/>
    </row>
    <row r="134" spans="1:60">
      <c r="A134">
        <v>2022</v>
      </c>
      <c r="B134" s="3"/>
      <c r="C134" s="3">
        <f t="shared" si="66"/>
        <v>127.71943527644558</v>
      </c>
      <c r="D134" s="3">
        <f t="shared" si="67"/>
        <v>68.168185410991157</v>
      </c>
      <c r="E134" s="3">
        <f t="shared" si="68"/>
        <v>29.340951347291547</v>
      </c>
      <c r="F134" s="6">
        <f>'Exchange Rates'!R61</f>
        <v>0.86199999999999999</v>
      </c>
      <c r="G134" s="3"/>
      <c r="H134" s="3">
        <f>(C134*USA!$AU109/100)/$AU101*100*$F134</f>
        <v>115.80181469437171</v>
      </c>
      <c r="I134" s="3">
        <f>(D134*USA!$AU109/100)/$AU101*100*$F134</f>
        <v>61.807347941437449</v>
      </c>
      <c r="J134" s="3">
        <f>(E134*USA!$AU109/100)/$AU101*100*$F134</f>
        <v>26.603119591950257</v>
      </c>
      <c r="K134" s="6"/>
      <c r="L134" s="6">
        <f t="shared" si="70"/>
        <v>0.928667245037883</v>
      </c>
      <c r="M134" s="6">
        <f t="shared" si="71"/>
        <v>0.59538023153913733</v>
      </c>
      <c r="N134" s="6">
        <f t="shared" si="77"/>
        <v>0.37807811088265642</v>
      </c>
      <c r="O134">
        <v>2022</v>
      </c>
      <c r="P134" s="3">
        <f t="shared" si="90"/>
        <v>0.66337048628092754</v>
      </c>
      <c r="Q134" s="3"/>
      <c r="R134" s="3">
        <f t="shared" si="84"/>
        <v>0.35024830089013831</v>
      </c>
      <c r="S134" s="3">
        <f t="shared" si="85"/>
        <v>0.27692515792041422</v>
      </c>
      <c r="T134" s="3">
        <f t="shared" si="86"/>
        <v>0.22911869137598845</v>
      </c>
      <c r="U134" s="3"/>
      <c r="V134" s="3">
        <f t="shared" si="61"/>
        <v>1.9422860322089488</v>
      </c>
      <c r="W134" s="3">
        <f t="shared" si="62"/>
        <v>1.5356758757404789</v>
      </c>
      <c r="X134" s="3">
        <f t="shared" si="63"/>
        <v>1.2705672885395722</v>
      </c>
      <c r="Y134" s="9"/>
      <c r="Z134" s="9">
        <f t="shared" si="72"/>
        <v>213.151513474073</v>
      </c>
      <c r="AA134" s="9">
        <f t="shared" si="73"/>
        <v>168.52905889841233</v>
      </c>
      <c r="AB134" s="9">
        <f t="shared" si="74"/>
        <v>139.43535402705515</v>
      </c>
      <c r="AC134" s="3"/>
      <c r="AD134" s="3">
        <f t="shared" si="87"/>
        <v>2.110202093595416</v>
      </c>
      <c r="AE134" s="3">
        <f t="shared" si="88"/>
        <v>1.6684393515336335</v>
      </c>
      <c r="AF134" s="3">
        <f t="shared" si="89"/>
        <v>1.3804113852792312</v>
      </c>
      <c r="AI134" s="2"/>
      <c r="AJ134" s="2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P134"/>
      <c r="AQ134"/>
      <c r="AR134"/>
      <c r="AS134"/>
      <c r="AT134"/>
      <c r="AU134"/>
      <c r="AV134" s="12"/>
      <c r="AW134" s="32"/>
      <c r="AX134" s="32"/>
      <c r="AY134" s="2"/>
      <c r="AZ134" s="23"/>
      <c r="BA134"/>
      <c r="BB134" s="23"/>
      <c r="BC134" s="3"/>
      <c r="BH134" s="9"/>
    </row>
    <row r="135" spans="1:60">
      <c r="A135">
        <v>2023</v>
      </c>
      <c r="B135" s="3"/>
      <c r="C135" s="3">
        <f t="shared" si="66"/>
        <v>132.89725022008525</v>
      </c>
      <c r="D135" s="3">
        <f t="shared" si="67"/>
        <v>70.508542947524788</v>
      </c>
      <c r="E135" s="3">
        <f t="shared" si="68"/>
        <v>29.340951347291547</v>
      </c>
      <c r="F135" s="6">
        <f>'Exchange Rates'!R62</f>
        <v>0.86199999999999999</v>
      </c>
      <c r="G135" s="3"/>
      <c r="H135" s="3">
        <f>(C135*USA!$AU110/100)/$AU102*100*$F135</f>
        <v>120.49648285765706</v>
      </c>
      <c r="I135" s="3">
        <f>(D135*USA!$AU110/100)/$AU102*100*$F135</f>
        <v>63.929324515931611</v>
      </c>
      <c r="J135" s="3">
        <f>(E135*USA!$AU110/100)/$AU102*100*$F135</f>
        <v>26.603119591950257</v>
      </c>
      <c r="K135" s="6"/>
      <c r="L135" s="6">
        <f t="shared" si="70"/>
        <v>0.95764562051973723</v>
      </c>
      <c r="M135" s="6">
        <f t="shared" si="71"/>
        <v>0.60847837432594476</v>
      </c>
      <c r="N135" s="6">
        <f t="shared" si="77"/>
        <v>0.37807811088265642</v>
      </c>
      <c r="O135">
        <v>2023</v>
      </c>
      <c r="P135" s="3">
        <f t="shared" si="90"/>
        <v>0.66337048628092754</v>
      </c>
      <c r="Q135" s="3"/>
      <c r="R135" s="3">
        <f t="shared" si="84"/>
        <v>0.35662354349614628</v>
      </c>
      <c r="S135" s="3">
        <f t="shared" si="85"/>
        <v>0.27980674933351191</v>
      </c>
      <c r="T135" s="3">
        <f t="shared" si="86"/>
        <v>0.22911869137598845</v>
      </c>
      <c r="U135" s="3"/>
      <c r="V135" s="3">
        <f t="shared" si="61"/>
        <v>1.977639650296811</v>
      </c>
      <c r="W135" s="3">
        <f t="shared" si="62"/>
        <v>1.5516556099403842</v>
      </c>
      <c r="X135" s="3">
        <f t="shared" si="63"/>
        <v>1.2705672885395722</v>
      </c>
      <c r="Y135" s="9"/>
      <c r="Z135" s="9">
        <f t="shared" si="72"/>
        <v>217.03131133970555</v>
      </c>
      <c r="AA135" s="9">
        <f t="shared" si="73"/>
        <v>170.28271643038227</v>
      </c>
      <c r="AB135" s="9">
        <f t="shared" si="74"/>
        <v>139.43535402705515</v>
      </c>
      <c r="AC135" s="3"/>
      <c r="AD135" s="3">
        <f t="shared" si="87"/>
        <v>2.148612130875216</v>
      </c>
      <c r="AE135" s="3">
        <f t="shared" si="88"/>
        <v>1.685800578461363</v>
      </c>
      <c r="AF135" s="3">
        <f t="shared" si="89"/>
        <v>1.3804113852792312</v>
      </c>
      <c r="AI135" s="2"/>
      <c r="AJ135" s="2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P135"/>
      <c r="AQ135"/>
      <c r="AR135"/>
      <c r="AS135"/>
      <c r="AT135"/>
      <c r="AU135"/>
      <c r="AV135" s="12"/>
      <c r="AW135" s="32"/>
      <c r="AX135" s="32"/>
      <c r="AY135" s="2"/>
      <c r="AZ135" s="23"/>
      <c r="BA135"/>
      <c r="BB135" s="23"/>
      <c r="BC135" s="3"/>
      <c r="BH135" s="9"/>
    </row>
    <row r="136" spans="1:60">
      <c r="A136">
        <v>2024</v>
      </c>
      <c r="B136" s="3"/>
      <c r="C136" s="3">
        <f t="shared" si="66"/>
        <v>137.21209600645167</v>
      </c>
      <c r="D136" s="3">
        <f t="shared" si="67"/>
        <v>71.127304204880986</v>
      </c>
      <c r="E136" s="3">
        <f t="shared" si="68"/>
        <v>29.340951347291547</v>
      </c>
      <c r="F136" s="6">
        <f>'Exchange Rates'!R63</f>
        <v>0.86199999999999999</v>
      </c>
      <c r="G136" s="3"/>
      <c r="H136" s="3">
        <f>(C136*USA!$AU111/100)/$AU103*100*$F136</f>
        <v>124.40870632706152</v>
      </c>
      <c r="I136" s="3">
        <f>(D136*USA!$AU111/100)/$AU103*100*$F136</f>
        <v>64.490348578630659</v>
      </c>
      <c r="J136" s="3">
        <f>(E136*USA!$AU111/100)/$AU103*100*$F136</f>
        <v>26.603119591950257</v>
      </c>
      <c r="K136" s="6"/>
      <c r="L136" s="6">
        <f t="shared" si="70"/>
        <v>0.98179426675461556</v>
      </c>
      <c r="M136" s="6">
        <f t="shared" si="71"/>
        <v>0.61194135943539085</v>
      </c>
      <c r="N136" s="6">
        <f t="shared" si="77"/>
        <v>0.37807811088265642</v>
      </c>
      <c r="O136">
        <v>2024</v>
      </c>
      <c r="P136" s="3">
        <f t="shared" si="90"/>
        <v>0.66337048628092754</v>
      </c>
      <c r="Q136" s="3"/>
      <c r="R136" s="3">
        <f t="shared" si="84"/>
        <v>0.36193624566781951</v>
      </c>
      <c r="S136" s="3">
        <f t="shared" si="85"/>
        <v>0.28056860605759004</v>
      </c>
      <c r="T136" s="3">
        <f t="shared" si="86"/>
        <v>0.22911869137598845</v>
      </c>
      <c r="U136" s="3"/>
      <c r="V136" s="3">
        <f t="shared" si="61"/>
        <v>2.0071009987033626</v>
      </c>
      <c r="W136" s="3">
        <f t="shared" si="62"/>
        <v>1.5558804517739084</v>
      </c>
      <c r="X136" s="3">
        <f t="shared" si="63"/>
        <v>1.2705672885395722</v>
      </c>
      <c r="Y136" s="9"/>
      <c r="Z136" s="9">
        <f t="shared" si="72"/>
        <v>220.26447622773264</v>
      </c>
      <c r="AA136" s="9">
        <f t="shared" si="73"/>
        <v>170.74636154550473</v>
      </c>
      <c r="AB136" s="9">
        <f t="shared" si="74"/>
        <v>139.43535402705515</v>
      </c>
      <c r="AC136" s="3"/>
      <c r="AD136" s="3">
        <f t="shared" si="87"/>
        <v>2.1806204952750483</v>
      </c>
      <c r="AE136" s="3">
        <f t="shared" si="88"/>
        <v>1.6903906696911664</v>
      </c>
      <c r="AF136" s="3">
        <f t="shared" si="89"/>
        <v>1.3804113852792312</v>
      </c>
      <c r="AI136" s="2"/>
      <c r="AJ136" s="2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P136"/>
      <c r="AQ136"/>
      <c r="AR136"/>
      <c r="AS136"/>
      <c r="AT136"/>
      <c r="AU136"/>
      <c r="AV136" s="12"/>
      <c r="AW136" s="32"/>
      <c r="AX136" s="32"/>
      <c r="AY136" s="2"/>
      <c r="AZ136" s="23"/>
      <c r="BA136"/>
      <c r="BB136" s="23"/>
      <c r="BC136" s="3"/>
      <c r="BH136" s="9"/>
    </row>
    <row r="137" spans="1:60">
      <c r="A137">
        <v>2025</v>
      </c>
      <c r="B137" s="3"/>
      <c r="C137" s="3">
        <f t="shared" si="66"/>
        <v>141.52694179281806</v>
      </c>
      <c r="D137" s="3">
        <f t="shared" si="67"/>
        <v>74.364924740814473</v>
      </c>
      <c r="E137" s="3">
        <f t="shared" si="68"/>
        <v>30.203920504564827</v>
      </c>
      <c r="F137" s="6">
        <f>'Exchange Rates'!R64</f>
        <v>0.86199999999999999</v>
      </c>
      <c r="G137" s="3"/>
      <c r="H137" s="3">
        <f>(C137*USA!$AU112/100)/$AU104*100*$F137</f>
        <v>128.32092979646592</v>
      </c>
      <c r="I137" s="3">
        <f>(D137*USA!$AU112/100)/$AU104*100*$F137</f>
        <v>67.425863698481876</v>
      </c>
      <c r="J137" s="3">
        <f>(E137*USA!$AU112/100)/$AU104*100*$F137</f>
        <v>27.385564285831144</v>
      </c>
      <c r="K137" s="6"/>
      <c r="L137" s="6">
        <f t="shared" si="70"/>
        <v>1.0059429129894937</v>
      </c>
      <c r="M137" s="6">
        <f t="shared" si="71"/>
        <v>0.63006116181907601</v>
      </c>
      <c r="N137" s="6">
        <f t="shared" si="77"/>
        <v>0.38290784012963208</v>
      </c>
      <c r="O137">
        <v>2025</v>
      </c>
      <c r="P137" s="3">
        <f t="shared" si="90"/>
        <v>0.66337048628092754</v>
      </c>
      <c r="Q137" s="3"/>
      <c r="R137" s="3">
        <f t="shared" si="84"/>
        <v>0.36724894783949269</v>
      </c>
      <c r="S137" s="3">
        <f t="shared" si="85"/>
        <v>0.28455496258200075</v>
      </c>
      <c r="T137" s="3">
        <f t="shared" si="86"/>
        <v>0.2301812318103231</v>
      </c>
      <c r="U137" s="3"/>
      <c r="V137" s="3">
        <f t="shared" si="61"/>
        <v>2.0365623471099141</v>
      </c>
      <c r="W137" s="3">
        <f t="shared" si="62"/>
        <v>1.5779866106820042</v>
      </c>
      <c r="X137" s="3">
        <f t="shared" si="63"/>
        <v>1.2764595582208826</v>
      </c>
      <c r="Y137" s="9"/>
      <c r="Z137" s="9">
        <f t="shared" si="72"/>
        <v>223.49764111575973</v>
      </c>
      <c r="AA137" s="9">
        <f t="shared" si="73"/>
        <v>173.17234883585252</v>
      </c>
      <c r="AB137" s="9">
        <f t="shared" si="74"/>
        <v>140.08198700466059</v>
      </c>
      <c r="AC137" s="3"/>
      <c r="AD137" s="3">
        <f t="shared" si="87"/>
        <v>2.2126288596748811</v>
      </c>
      <c r="AE137" s="3">
        <f t="shared" si="88"/>
        <v>1.7144079678829078</v>
      </c>
      <c r="AF137" s="3">
        <f t="shared" si="89"/>
        <v>1.3868130581591978</v>
      </c>
      <c r="AI137" s="2"/>
      <c r="AJ137" s="2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P137"/>
      <c r="AQ137"/>
      <c r="AR137"/>
      <c r="AS137"/>
      <c r="AT137"/>
      <c r="AU137"/>
      <c r="AV137" s="12"/>
      <c r="AW137" s="32"/>
      <c r="AX137" s="32"/>
      <c r="AY137" s="2"/>
      <c r="AZ137" s="23"/>
      <c r="BA137"/>
      <c r="BB137" s="23"/>
      <c r="BC137" s="3"/>
      <c r="BH137" s="9"/>
    </row>
    <row r="138" spans="1:60">
      <c r="A138">
        <v>2026</v>
      </c>
      <c r="B138" s="3"/>
      <c r="C138" s="3">
        <f t="shared" si="66"/>
        <v>145.84178757918448</v>
      </c>
      <c r="D138" s="3">
        <f t="shared" si="67"/>
        <v>80.055420065999314</v>
      </c>
      <c r="E138" s="3">
        <f t="shared" si="68"/>
        <v>31.066889661838108</v>
      </c>
      <c r="F138" s="6">
        <f>'Exchange Rates'!R65</f>
        <v>0.86199999999999999</v>
      </c>
      <c r="G138" s="3"/>
      <c r="H138" s="3">
        <f>(C138*USA!$AU113/100)/$AU105*100*$F138</f>
        <v>132.23315326587041</v>
      </c>
      <c r="I138" s="3">
        <f>(D138*USA!$AU113/100)/$AU105*100*$F138</f>
        <v>72.585373554909907</v>
      </c>
      <c r="J138" s="3">
        <f>(E138*USA!$AU113/100)/$AU105*100*$F138</f>
        <v>28.168008979712027</v>
      </c>
      <c r="K138" s="6"/>
      <c r="L138" s="6">
        <f t="shared" si="70"/>
        <v>1.0300915592243722</v>
      </c>
      <c r="M138" s="6">
        <f t="shared" si="71"/>
        <v>0.66190882574795062</v>
      </c>
      <c r="N138" s="6">
        <f t="shared" si="77"/>
        <v>0.38773756937660775</v>
      </c>
      <c r="O138">
        <v>2026</v>
      </c>
      <c r="P138" s="3">
        <f t="shared" si="90"/>
        <v>0.66337048628092754</v>
      </c>
      <c r="Q138" s="3"/>
      <c r="R138" s="3">
        <f t="shared" si="84"/>
        <v>0.37256165001116598</v>
      </c>
      <c r="S138" s="3">
        <f t="shared" si="85"/>
        <v>0.29156144864635319</v>
      </c>
      <c r="T138" s="3">
        <f t="shared" si="86"/>
        <v>0.23124377224465775</v>
      </c>
      <c r="U138" s="3"/>
      <c r="V138" s="3">
        <f t="shared" si="61"/>
        <v>2.0660236955164657</v>
      </c>
      <c r="W138" s="3">
        <f t="shared" si="62"/>
        <v>1.6168407606752313</v>
      </c>
      <c r="X138" s="3">
        <f t="shared" si="63"/>
        <v>1.2823518279021928</v>
      </c>
      <c r="Y138" s="9"/>
      <c r="Z138" s="9">
        <f t="shared" si="72"/>
        <v>226.73080600378682</v>
      </c>
      <c r="AA138" s="9">
        <f t="shared" si="73"/>
        <v>177.43630416399034</v>
      </c>
      <c r="AB138" s="9">
        <f t="shared" si="74"/>
        <v>140.72861998226597</v>
      </c>
      <c r="AC138" s="3"/>
      <c r="AD138" s="3">
        <f t="shared" si="87"/>
        <v>2.2446372240747134</v>
      </c>
      <c r="AE138" s="3">
        <f t="shared" si="88"/>
        <v>1.7566211678446724</v>
      </c>
      <c r="AF138" s="3">
        <f t="shared" si="89"/>
        <v>1.3932147310391643</v>
      </c>
      <c r="AI138" s="2"/>
      <c r="AJ138" s="2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P138"/>
      <c r="AQ138"/>
      <c r="AR138"/>
      <c r="AS138"/>
      <c r="AT138"/>
      <c r="AU138"/>
      <c r="AV138" s="12"/>
      <c r="AW138" s="32"/>
      <c r="AX138" s="32"/>
      <c r="AY138" s="2"/>
      <c r="AZ138" s="23"/>
      <c r="BA138"/>
      <c r="BB138" s="23"/>
      <c r="BC138" s="3"/>
      <c r="BH138" s="9"/>
    </row>
    <row r="139" spans="1:60">
      <c r="A139">
        <v>2027</v>
      </c>
      <c r="B139" s="3"/>
      <c r="C139" s="3">
        <f t="shared" si="66"/>
        <v>150.15663336555087</v>
      </c>
      <c r="D139" s="3">
        <f t="shared" si="67"/>
        <v>82.98815737026753</v>
      </c>
      <c r="E139" s="3">
        <f t="shared" si="68"/>
        <v>31.929858819111395</v>
      </c>
      <c r="F139" s="6">
        <f>'Exchange Rates'!R66</f>
        <v>0.86199999999999999</v>
      </c>
      <c r="G139" s="3"/>
      <c r="H139" s="3">
        <f>(C139*USA!$AU114/100)/$AU106*100*$F139</f>
        <v>136.14537673527485</v>
      </c>
      <c r="I139" s="3">
        <f>(D139*USA!$AU114/100)/$AU106*100*$F139</f>
        <v>75.244454384080854</v>
      </c>
      <c r="J139" s="3">
        <f>(E139*USA!$AU114/100)/$AU106*100*$F139</f>
        <v>28.950453673592929</v>
      </c>
      <c r="K139" s="6"/>
      <c r="L139" s="6">
        <f t="shared" si="70"/>
        <v>1.0542402054592506</v>
      </c>
      <c r="M139" s="6">
        <f t="shared" si="71"/>
        <v>0.67832230589696962</v>
      </c>
      <c r="N139" s="6">
        <f t="shared" si="77"/>
        <v>0.39256729862358342</v>
      </c>
      <c r="O139">
        <v>2027</v>
      </c>
      <c r="P139" s="3">
        <f t="shared" si="90"/>
        <v>0.66337048628092754</v>
      </c>
      <c r="Q139" s="3"/>
      <c r="R139" s="3">
        <f t="shared" si="84"/>
        <v>0.37787435218283921</v>
      </c>
      <c r="S139" s="3">
        <f t="shared" si="85"/>
        <v>0.29517241427913737</v>
      </c>
      <c r="T139" s="3">
        <f t="shared" si="86"/>
        <v>0.23230631267899238</v>
      </c>
      <c r="U139" s="3"/>
      <c r="V139" s="3">
        <f t="shared" si="61"/>
        <v>2.0954850439230173</v>
      </c>
      <c r="W139" s="3">
        <f t="shared" si="62"/>
        <v>1.6368652064570346</v>
      </c>
      <c r="X139" s="3">
        <f t="shared" si="63"/>
        <v>1.2882440975835032</v>
      </c>
      <c r="Y139" s="9"/>
      <c r="Z139" s="9">
        <f t="shared" si="72"/>
        <v>229.96397089181391</v>
      </c>
      <c r="AA139" s="9">
        <f t="shared" si="73"/>
        <v>179.63383884945407</v>
      </c>
      <c r="AB139" s="9">
        <f t="shared" si="74"/>
        <v>141.3752529598714</v>
      </c>
      <c r="AC139" s="3"/>
      <c r="AD139" s="3">
        <f t="shared" si="87"/>
        <v>2.2766455884745462</v>
      </c>
      <c r="AE139" s="3">
        <f t="shared" si="88"/>
        <v>1.7783767829863784</v>
      </c>
      <c r="AF139" s="3">
        <f t="shared" si="89"/>
        <v>1.3996164039191308</v>
      </c>
      <c r="AI139" s="2"/>
      <c r="AJ139" s="2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P139"/>
      <c r="AQ139"/>
      <c r="AR139"/>
      <c r="AS139"/>
      <c r="AT139"/>
      <c r="AU139"/>
      <c r="AV139" s="12"/>
      <c r="AW139" s="32"/>
      <c r="AX139" s="32"/>
      <c r="AY139" s="2"/>
      <c r="AZ139" s="23"/>
      <c r="BA139"/>
      <c r="BB139" s="23"/>
      <c r="BC139" s="3"/>
      <c r="BH139" s="9"/>
    </row>
    <row r="140" spans="1:60">
      <c r="A140">
        <v>2028</v>
      </c>
      <c r="B140" s="3"/>
      <c r="C140" s="3">
        <f t="shared" si="66"/>
        <v>153.60850999464401</v>
      </c>
      <c r="D140" s="3">
        <f t="shared" si="67"/>
        <v>84.844653255379882</v>
      </c>
      <c r="E140" s="3">
        <f t="shared" si="68"/>
        <v>31.929858819111395</v>
      </c>
      <c r="F140" s="6">
        <f>'Exchange Rates'!R67</f>
        <v>0.86199999999999999</v>
      </c>
      <c r="G140" s="3"/>
      <c r="H140" s="3">
        <f>(C140*USA!$AU115/100)/$AU107*100*$F140</f>
        <v>139.27515551079841</v>
      </c>
      <c r="I140" s="3">
        <f>(D140*USA!$AU115/100)/$AU107*100*$F140</f>
        <v>76.927718892754214</v>
      </c>
      <c r="J140" s="3">
        <f>(E140*USA!$AU115/100)/$AU107*100*$F140</f>
        <v>28.950453673592929</v>
      </c>
      <c r="K140" s="6"/>
      <c r="L140" s="6">
        <f t="shared" si="70"/>
        <v>1.0735591224471532</v>
      </c>
      <c r="M140" s="6">
        <f t="shared" si="71"/>
        <v>0.68871244834603251</v>
      </c>
      <c r="N140" s="6">
        <f t="shared" si="77"/>
        <v>0.39256729862358342</v>
      </c>
      <c r="O140">
        <v>2028</v>
      </c>
      <c r="P140" s="3">
        <f t="shared" si="90"/>
        <v>0.66337048628092754</v>
      </c>
      <c r="Q140" s="3"/>
      <c r="R140" s="3">
        <f t="shared" si="84"/>
        <v>0.38212451392017777</v>
      </c>
      <c r="S140" s="3">
        <f t="shared" si="85"/>
        <v>0.29745824561793122</v>
      </c>
      <c r="T140" s="3">
        <f t="shared" si="86"/>
        <v>0.23230631267899238</v>
      </c>
      <c r="U140" s="3"/>
      <c r="V140" s="3">
        <f t="shared" si="61"/>
        <v>2.1190541226482584</v>
      </c>
      <c r="W140" s="3">
        <f t="shared" si="62"/>
        <v>1.6495411802448912</v>
      </c>
      <c r="X140" s="3">
        <f t="shared" si="63"/>
        <v>1.2882440975835032</v>
      </c>
      <c r="Y140" s="9"/>
      <c r="Z140" s="9">
        <f t="shared" si="72"/>
        <v>232.55050280223557</v>
      </c>
      <c r="AA140" s="9">
        <f t="shared" si="73"/>
        <v>181.02493313362933</v>
      </c>
      <c r="AB140" s="9">
        <f t="shared" si="74"/>
        <v>141.3752529598714</v>
      </c>
      <c r="AC140" s="3"/>
      <c r="AD140" s="3">
        <f t="shared" si="87"/>
        <v>2.3022522799944123</v>
      </c>
      <c r="AE140" s="3">
        <f t="shared" si="88"/>
        <v>1.7921486301715606</v>
      </c>
      <c r="AF140" s="3">
        <f t="shared" si="89"/>
        <v>1.3996164039191308</v>
      </c>
      <c r="AI140" s="2"/>
      <c r="AJ140" s="2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P140"/>
      <c r="AQ140"/>
      <c r="AR140"/>
      <c r="AS140"/>
      <c r="AT140"/>
      <c r="AU140"/>
      <c r="AV140" s="12"/>
      <c r="AW140" s="32"/>
      <c r="AX140" s="32"/>
      <c r="AY140" s="2"/>
      <c r="AZ140" s="23"/>
      <c r="BA140"/>
      <c r="BB140" s="23"/>
      <c r="BC140" s="3"/>
      <c r="BH140" s="9"/>
    </row>
    <row r="141" spans="1:60">
      <c r="A141">
        <v>2029</v>
      </c>
      <c r="B141" s="3"/>
      <c r="C141" s="3">
        <f t="shared" si="66"/>
        <v>157.9233557810104</v>
      </c>
      <c r="D141" s="3">
        <f t="shared" si="67"/>
        <v>87.361009569245411</v>
      </c>
      <c r="E141" s="3">
        <f t="shared" si="68"/>
        <v>31.929858819111395</v>
      </c>
      <c r="F141" s="6">
        <f>'Exchange Rates'!R68</f>
        <v>0.86199999999999999</v>
      </c>
      <c r="G141" s="3"/>
      <c r="H141" s="3">
        <f>(C141*USA!$AU116/100)/$AU108*100*$F141</f>
        <v>143.18737898020285</v>
      </c>
      <c r="I141" s="3">
        <f>(D141*USA!$AU116/100)/$AU108*100*$F141</f>
        <v>79.209271633200842</v>
      </c>
      <c r="J141" s="3">
        <f>(E141*USA!$AU116/100)/$AU108*100*$F141</f>
        <v>28.950453673592929</v>
      </c>
      <c r="K141" s="6"/>
      <c r="L141" s="6">
        <f t="shared" si="70"/>
        <v>1.0977077686820316</v>
      </c>
      <c r="M141" s="6">
        <f t="shared" si="71"/>
        <v>0.70279559324461627</v>
      </c>
      <c r="N141" s="6">
        <f t="shared" si="77"/>
        <v>0.39256729862358342</v>
      </c>
      <c r="O141">
        <v>2029</v>
      </c>
      <c r="P141" s="3">
        <f t="shared" si="90"/>
        <v>0.66337048628092754</v>
      </c>
      <c r="Q141" s="3"/>
      <c r="R141" s="3">
        <f t="shared" si="84"/>
        <v>0.387437216091851</v>
      </c>
      <c r="S141" s="3">
        <f t="shared" si="85"/>
        <v>0.30055653749561961</v>
      </c>
      <c r="T141" s="3">
        <f t="shared" si="86"/>
        <v>0.23230631267899238</v>
      </c>
      <c r="U141" s="3"/>
      <c r="V141" s="3">
        <f t="shared" si="61"/>
        <v>2.14851547105481</v>
      </c>
      <c r="W141" s="3">
        <f t="shared" si="62"/>
        <v>1.6667226170211633</v>
      </c>
      <c r="X141" s="3">
        <f t="shared" si="63"/>
        <v>1.2882440975835032</v>
      </c>
      <c r="Y141" s="9"/>
      <c r="Z141" s="9">
        <f t="shared" si="72"/>
        <v>235.78366769026272</v>
      </c>
      <c r="AA141" s="9">
        <f t="shared" si="73"/>
        <v>182.91046862726435</v>
      </c>
      <c r="AB141" s="9">
        <f t="shared" si="74"/>
        <v>141.3752529598714</v>
      </c>
      <c r="AC141" s="3"/>
      <c r="AD141" s="3">
        <f t="shared" si="87"/>
        <v>2.3342606443942451</v>
      </c>
      <c r="AE141" s="3">
        <f t="shared" si="88"/>
        <v>1.8108154502253671</v>
      </c>
      <c r="AF141" s="3">
        <f t="shared" si="89"/>
        <v>1.3996164039191308</v>
      </c>
      <c r="AI141" s="2"/>
      <c r="AJ141" s="2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P141"/>
      <c r="AQ141"/>
      <c r="AR141"/>
      <c r="AS141"/>
      <c r="AT141"/>
      <c r="AU141"/>
      <c r="AV141" s="12"/>
      <c r="AW141" s="32"/>
      <c r="AX141" s="32"/>
      <c r="AY141" s="2"/>
      <c r="AZ141" s="23"/>
      <c r="BA141"/>
      <c r="BB141" s="23"/>
      <c r="BC141" s="3"/>
      <c r="BH141" s="9"/>
    </row>
    <row r="142" spans="1:60">
      <c r="A142">
        <v>2030</v>
      </c>
      <c r="B142" s="3"/>
      <c r="C142" s="3">
        <f t="shared" si="66"/>
        <v>160.51226325283022</v>
      </c>
      <c r="D142" s="3">
        <f t="shared" si="67"/>
        <v>89.285088706337618</v>
      </c>
      <c r="E142" s="3">
        <f t="shared" si="68"/>
        <v>32.792827976384679</v>
      </c>
      <c r="F142" s="6">
        <f>'Exchange Rates'!R69</f>
        <v>0.86199999999999999</v>
      </c>
      <c r="G142" s="3"/>
      <c r="H142" s="3">
        <f>(C142*USA!$AU117/100)/$AU109*100*$F142</f>
        <v>145.53471306184551</v>
      </c>
      <c r="I142" s="3">
        <f>(D142*USA!$AU117/100)/$AU109*100*$F142</f>
        <v>80.953813137072871</v>
      </c>
      <c r="J142" s="3">
        <f>(E142*USA!$AU117/100)/$AU109*100*$F142</f>
        <v>29.732898367473823</v>
      </c>
      <c r="K142" s="6"/>
      <c r="L142" s="6">
        <f t="shared" si="70"/>
        <v>1.1121969564229586</v>
      </c>
      <c r="M142" s="6">
        <f t="shared" si="71"/>
        <v>0.713563974945849</v>
      </c>
      <c r="N142" s="6">
        <f t="shared" si="77"/>
        <v>0.39739702787055919</v>
      </c>
      <c r="O142">
        <v>2030</v>
      </c>
      <c r="P142" s="3">
        <f t="shared" si="90"/>
        <v>0.66337048628092754</v>
      </c>
      <c r="Q142" s="3"/>
      <c r="R142" s="3">
        <f t="shared" si="84"/>
        <v>0.39062483739485493</v>
      </c>
      <c r="S142" s="3">
        <f t="shared" si="85"/>
        <v>0.30292558146989085</v>
      </c>
      <c r="T142" s="3">
        <f t="shared" si="86"/>
        <v>0.23336885311332708</v>
      </c>
      <c r="U142" s="3"/>
      <c r="V142" s="3">
        <f t="shared" si="61"/>
        <v>2.1661922800987412</v>
      </c>
      <c r="W142" s="3">
        <f t="shared" si="62"/>
        <v>1.6798600426966674</v>
      </c>
      <c r="X142" s="3">
        <f t="shared" si="63"/>
        <v>1.2941363672648138</v>
      </c>
      <c r="Y142" s="9"/>
      <c r="Z142" s="9">
        <f t="shared" si="72"/>
        <v>237.72356662307899</v>
      </c>
      <c r="AA142" s="9">
        <f t="shared" si="73"/>
        <v>184.352203840024</v>
      </c>
      <c r="AB142" s="9">
        <f t="shared" si="74"/>
        <v>142.02188593747687</v>
      </c>
      <c r="AC142" s="3"/>
      <c r="AD142" s="3">
        <f t="shared" si="87"/>
        <v>2.3534656630341448</v>
      </c>
      <c r="AE142" s="3">
        <f t="shared" si="88"/>
        <v>1.8250886431048807</v>
      </c>
      <c r="AF142" s="3">
        <f t="shared" si="89"/>
        <v>1.4060180767990977</v>
      </c>
      <c r="AI142" s="2"/>
      <c r="AJ142" s="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P142"/>
      <c r="AQ142"/>
      <c r="AR142"/>
      <c r="AS142"/>
      <c r="AT142"/>
      <c r="AU142"/>
      <c r="AV142" s="12"/>
      <c r="AW142" s="32"/>
      <c r="AX142" s="32"/>
      <c r="AY142" s="2"/>
      <c r="AZ142" s="23"/>
      <c r="BA142"/>
      <c r="BB142" s="23"/>
      <c r="BC142" s="3"/>
      <c r="BH142" s="9"/>
    </row>
    <row r="143" spans="1:60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I143" s="2"/>
      <c r="AJ143" s="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P143"/>
      <c r="AQ143"/>
      <c r="AR143"/>
      <c r="AS143"/>
      <c r="AT143"/>
      <c r="AU143"/>
      <c r="AV143" s="12"/>
      <c r="AW143" s="32"/>
      <c r="AX143" s="32"/>
      <c r="AY143" s="2"/>
      <c r="AZ143" s="23"/>
      <c r="BA143"/>
      <c r="BB143" s="23"/>
      <c r="BC143" s="3"/>
      <c r="BH143" s="9"/>
    </row>
    <row r="144" spans="1:60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I144" s="2"/>
      <c r="AJ144" s="2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P144"/>
      <c r="AQ144"/>
      <c r="AR144"/>
      <c r="AS144"/>
      <c r="AT144"/>
      <c r="AU144"/>
      <c r="AV144" s="12"/>
      <c r="AW144" s="32"/>
      <c r="AX144" s="32"/>
      <c r="AY144" s="2"/>
      <c r="AZ144" s="23"/>
      <c r="BA144"/>
      <c r="BB144" s="23"/>
      <c r="BC144" s="3"/>
      <c r="BH144" s="9"/>
    </row>
    <row r="145" spans="2:60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I145" s="2"/>
      <c r="AJ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P145"/>
      <c r="AQ145"/>
      <c r="AR145"/>
      <c r="AS145"/>
      <c r="AT145"/>
      <c r="AU145"/>
      <c r="AV145" s="12"/>
      <c r="AW145" s="32"/>
      <c r="AX145" s="32"/>
      <c r="AY145" s="2"/>
      <c r="AZ145" s="23"/>
      <c r="BA145"/>
      <c r="BB145" s="23"/>
      <c r="BC145" s="3"/>
      <c r="BH145" s="9"/>
    </row>
    <row r="146" spans="2:60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/>
      <c r="U146" s="37"/>
      <c r="W146" s="2"/>
      <c r="AI146" s="2"/>
      <c r="AJ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P146"/>
      <c r="AQ146"/>
      <c r="AR146"/>
      <c r="AS146"/>
      <c r="AT146"/>
      <c r="AU146"/>
      <c r="AV146" s="12"/>
      <c r="AW146" s="32"/>
      <c r="AX146" s="32"/>
      <c r="AY146" s="2"/>
      <c r="AZ146" s="23"/>
      <c r="BA146"/>
      <c r="BB146" s="23"/>
      <c r="BC146" s="3"/>
      <c r="BH146" s="9"/>
    </row>
    <row r="147" spans="2:60">
      <c r="B147" s="2"/>
      <c r="C147" s="2"/>
      <c r="G147" s="32"/>
      <c r="J147" s="2"/>
      <c r="L147" s="37"/>
      <c r="M147" s="32"/>
      <c r="N147" s="32"/>
      <c r="O147" s="32"/>
      <c r="P147" s="37"/>
      <c r="Q147" s="2"/>
      <c r="R147" s="2">
        <v>1.8352254566028841</v>
      </c>
      <c r="U147" s="37"/>
      <c r="W147" s="2"/>
      <c r="AI147" s="2"/>
      <c r="AJ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P147"/>
      <c r="AQ147"/>
      <c r="AR147"/>
      <c r="AS147"/>
      <c r="AT147"/>
      <c r="AU147"/>
      <c r="AV147" s="12"/>
      <c r="AW147" s="32"/>
      <c r="AX147" s="32"/>
      <c r="AY147" s="2"/>
      <c r="AZ147" s="23"/>
      <c r="BA147"/>
      <c r="BB147" s="23"/>
      <c r="BC147" s="3"/>
      <c r="BH147" s="9"/>
    </row>
    <row r="148" spans="2:60">
      <c r="B148" s="2"/>
      <c r="C148" s="2"/>
      <c r="G148" s="32"/>
      <c r="J148" s="2"/>
      <c r="L148" s="37"/>
      <c r="M148" s="32"/>
      <c r="N148" s="32"/>
      <c r="O148" s="32"/>
      <c r="P148" s="37"/>
      <c r="Q148" s="2"/>
      <c r="R148" s="2">
        <v>1.4527277879889529</v>
      </c>
      <c r="U148" s="37"/>
      <c r="W148" s="2"/>
      <c r="AI148" s="2"/>
      <c r="AJ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P148"/>
      <c r="AQ148"/>
      <c r="AR148"/>
      <c r="AS148"/>
      <c r="AT148"/>
      <c r="AU148"/>
      <c r="AV148" s="12"/>
      <c r="AW148" s="32"/>
      <c r="AX148" s="32"/>
      <c r="AY148" s="2"/>
      <c r="AZ148" s="23"/>
      <c r="BA148"/>
      <c r="BB148" s="23"/>
      <c r="BC148" s="3"/>
      <c r="BD148" s="3"/>
      <c r="BE148" s="3"/>
      <c r="BH148" s="9"/>
    </row>
    <row r="149" spans="2:60">
      <c r="B149" s="2"/>
      <c r="C149" s="2"/>
      <c r="G149" s="32"/>
      <c r="J149" s="2"/>
      <c r="L149" s="37"/>
      <c r="M149" s="32"/>
      <c r="N149" s="32"/>
      <c r="O149" s="32"/>
      <c r="P149" s="37"/>
      <c r="Q149" s="2"/>
      <c r="R149" s="2">
        <f>R147/R148-1</f>
        <v>0.26329617411905648</v>
      </c>
      <c r="U149" s="37"/>
      <c r="W149" s="2"/>
      <c r="AI149" s="2"/>
      <c r="AJ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P149"/>
      <c r="AQ149"/>
      <c r="AR149"/>
      <c r="AS149"/>
      <c r="AT149"/>
      <c r="AU149"/>
      <c r="AV149" s="12"/>
      <c r="AW149" s="32"/>
      <c r="AX149" s="32"/>
      <c r="AY149" s="2"/>
      <c r="AZ149" s="23"/>
      <c r="BA149"/>
      <c r="BB149" s="23"/>
      <c r="BC149" s="3"/>
      <c r="BD149" s="3"/>
      <c r="BE149" s="3"/>
      <c r="BH149" s="9"/>
    </row>
    <row r="150" spans="2:60">
      <c r="B150" s="2"/>
      <c r="C150" s="2"/>
      <c r="G150" s="32"/>
      <c r="J150" s="2"/>
      <c r="L150" s="37"/>
      <c r="M150" s="32"/>
      <c r="N150" s="32"/>
      <c r="O150" s="32"/>
      <c r="P150" s="37"/>
      <c r="Q150" s="2"/>
      <c r="R150" s="2"/>
      <c r="U150" s="37"/>
      <c r="W150" s="2"/>
      <c r="AI150" s="2"/>
      <c r="AJ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P150"/>
      <c r="AQ150"/>
      <c r="AR150"/>
      <c r="AS150"/>
      <c r="AT150"/>
      <c r="AU150"/>
      <c r="AV150" s="12"/>
      <c r="AW150" s="32"/>
      <c r="AX150" s="32"/>
      <c r="AY150" s="2"/>
      <c r="AZ150" s="23"/>
      <c r="BA150"/>
      <c r="BB150" s="23"/>
      <c r="BC150" s="3"/>
      <c r="BD150" s="3"/>
      <c r="BE150" s="3"/>
      <c r="BH150" s="9"/>
    </row>
    <row r="151" spans="2:60">
      <c r="B151" s="2"/>
      <c r="C151" s="2"/>
      <c r="G151" s="32"/>
      <c r="J151" s="2"/>
      <c r="L151" s="37"/>
      <c r="M151" s="32"/>
      <c r="N151" s="32"/>
      <c r="O151" s="32"/>
      <c r="P151" s="37"/>
      <c r="Q151" s="2"/>
      <c r="R151" s="2"/>
      <c r="U151" s="37"/>
      <c r="W151" s="2"/>
      <c r="AI151" s="2"/>
      <c r="AJ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P151"/>
      <c r="AQ151"/>
      <c r="AR151"/>
      <c r="AS151"/>
      <c r="AT151"/>
      <c r="AU151"/>
      <c r="AV151" s="12"/>
      <c r="AW151" s="32"/>
      <c r="AX151" s="32"/>
      <c r="AY151" s="2"/>
      <c r="AZ151" s="23"/>
      <c r="BA151"/>
      <c r="BB151" s="23"/>
      <c r="BC151" s="3"/>
      <c r="BD151" s="3"/>
      <c r="BE151" s="3"/>
      <c r="BH151" s="9"/>
    </row>
    <row r="152" spans="2:60">
      <c r="B152" s="2"/>
      <c r="C152" s="2"/>
      <c r="G152" s="32"/>
      <c r="J152" s="2"/>
      <c r="L152" s="37"/>
      <c r="M152" s="32"/>
      <c r="N152" s="32"/>
      <c r="O152" s="32"/>
      <c r="P152" s="37"/>
      <c r="Q152" s="2"/>
      <c r="R152" s="2"/>
      <c r="U152" s="37"/>
      <c r="W152" s="2"/>
      <c r="AI152" s="2"/>
      <c r="AJ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P152"/>
      <c r="AQ152"/>
      <c r="AR152"/>
      <c r="AS152"/>
      <c r="AT152"/>
      <c r="AU152"/>
      <c r="AV152" s="12"/>
      <c r="AW152" s="32"/>
      <c r="AX152" s="32"/>
      <c r="AY152" s="2"/>
      <c r="AZ152" s="23"/>
      <c r="BA152"/>
      <c r="BB152" s="23"/>
      <c r="BC152" s="3"/>
      <c r="BD152" s="3"/>
      <c r="BE152" s="3"/>
      <c r="BH152" s="9"/>
    </row>
    <row r="153" spans="2:60">
      <c r="B153" s="2"/>
      <c r="C153" s="2"/>
      <c r="G153" s="32"/>
      <c r="J153" s="2"/>
      <c r="L153" s="37"/>
      <c r="M153" s="32"/>
      <c r="N153" s="32"/>
      <c r="O153" s="32"/>
      <c r="P153" s="37"/>
      <c r="Q153" s="2"/>
      <c r="R153" s="2"/>
      <c r="U153" s="37"/>
      <c r="W153" s="2"/>
      <c r="AI153" s="2"/>
      <c r="AJ153" s="2"/>
      <c r="AN153"/>
      <c r="AO153"/>
      <c r="AP153"/>
      <c r="AS153" s="2"/>
      <c r="AT153" s="2"/>
      <c r="AU153" s="2"/>
      <c r="AV153" s="12"/>
      <c r="AW153" s="12"/>
      <c r="AX153" s="12"/>
      <c r="AY153" s="3"/>
      <c r="AZ153" s="3"/>
      <c r="BA153" s="3"/>
      <c r="BD153" s="9"/>
    </row>
    <row r="154" spans="2:60">
      <c r="B154" s="2"/>
      <c r="C154" s="2"/>
      <c r="G154" s="32"/>
      <c r="J154" s="2"/>
      <c r="L154" s="37"/>
      <c r="M154" s="32"/>
      <c r="N154" s="32"/>
      <c r="O154" s="32"/>
      <c r="P154" s="37"/>
      <c r="Q154" s="2"/>
      <c r="R154" s="2"/>
      <c r="U154" s="37"/>
      <c r="W154" s="2"/>
      <c r="AI154" s="2"/>
      <c r="AJ154" s="2"/>
      <c r="AN154"/>
      <c r="AO154"/>
      <c r="AS154" s="2"/>
      <c r="AT154" s="2"/>
      <c r="AV154" s="12"/>
      <c r="AW154" s="12"/>
      <c r="AY154" s="3"/>
      <c r="AZ154" s="3"/>
      <c r="BA154"/>
      <c r="BC154" s="9"/>
    </row>
    <row r="155" spans="2:60">
      <c r="B155" s="2"/>
      <c r="C155" s="2"/>
      <c r="G155" s="32"/>
      <c r="J155" s="2"/>
      <c r="L155" s="37"/>
      <c r="M155" s="32"/>
      <c r="N155" s="32"/>
      <c r="P155" s="2"/>
      <c r="Q155" s="2"/>
      <c r="R155" s="2"/>
      <c r="T155" s="37"/>
      <c r="W155" s="2"/>
      <c r="AI155" s="2"/>
      <c r="AJ155" s="3"/>
      <c r="AK155" s="3" t="s">
        <v>2427</v>
      </c>
      <c r="AN155"/>
      <c r="AS155" s="2"/>
      <c r="AV155" s="12"/>
      <c r="AY155" s="3"/>
      <c r="BA155"/>
      <c r="BB155" s="9"/>
    </row>
    <row r="156" spans="2:60">
      <c r="B156" s="2"/>
      <c r="C156" s="2"/>
      <c r="G156" s="32"/>
      <c r="J156" s="2"/>
      <c r="L156" s="37"/>
      <c r="M156" s="32"/>
      <c r="N156" s="32"/>
      <c r="P156" s="2"/>
      <c r="Q156" s="2"/>
      <c r="R156" s="2"/>
      <c r="T156" s="37"/>
      <c r="W156" s="2"/>
      <c r="AI156" s="2"/>
      <c r="AJ156" s="3"/>
      <c r="AK156" s="3"/>
      <c r="AN156"/>
      <c r="AS156" s="2"/>
      <c r="AV156" s="12"/>
      <c r="AY156" s="3"/>
      <c r="BA156"/>
      <c r="BB156" s="9"/>
    </row>
    <row r="157" spans="2:60">
      <c r="AI157" s="2"/>
      <c r="AK157" t="s">
        <v>2416</v>
      </c>
      <c r="AL157" s="2"/>
      <c r="AN157"/>
      <c r="AO157"/>
      <c r="AP157"/>
      <c r="AQ157"/>
      <c r="AR157"/>
      <c r="AS157"/>
      <c r="AT157" s="32"/>
      <c r="AU157" s="32"/>
      <c r="AV157" s="32"/>
      <c r="AW157" s="23"/>
      <c r="AX157"/>
      <c r="AY157" s="23"/>
      <c r="AZ157" s="3"/>
      <c r="BA157" s="3"/>
      <c r="BB157" s="3"/>
      <c r="BE157" s="9"/>
    </row>
    <row r="158" spans="2:60">
      <c r="AJ158" s="78">
        <v>43101</v>
      </c>
      <c r="AK158">
        <v>2</v>
      </c>
    </row>
    <row r="159" spans="2:60">
      <c r="AJ159" s="78">
        <v>43132</v>
      </c>
      <c r="AK159">
        <v>1.94</v>
      </c>
    </row>
    <row r="160" spans="2:60">
      <c r="AJ160" s="78">
        <v>43160</v>
      </c>
      <c r="AK160">
        <v>1.95</v>
      </c>
    </row>
    <row r="161" spans="36:37">
      <c r="AJ161" s="78">
        <v>43191</v>
      </c>
      <c r="AK161">
        <v>2.0099999999999998</v>
      </c>
    </row>
    <row r="162" spans="36:37">
      <c r="AJ162" s="78">
        <v>43221</v>
      </c>
      <c r="AK162">
        <v>1.99</v>
      </c>
    </row>
    <row r="163" spans="36:37">
      <c r="AJ163" s="78">
        <v>43252</v>
      </c>
      <c r="AK163">
        <v>2</v>
      </c>
    </row>
    <row r="164" spans="36:37">
      <c r="AJ164" s="78">
        <v>43282</v>
      </c>
      <c r="AK164">
        <v>2</v>
      </c>
    </row>
    <row r="165" spans="36:37">
      <c r="AJ165" s="78">
        <v>43313</v>
      </c>
      <c r="AK165">
        <v>2.02</v>
      </c>
    </row>
    <row r="166" spans="36:37">
      <c r="AJ166" s="78">
        <v>43344</v>
      </c>
      <c r="AK166">
        <v>2.02</v>
      </c>
    </row>
    <row r="167" spans="36:37">
      <c r="AJ167" s="78">
        <v>43374</v>
      </c>
      <c r="AK167">
        <v>1.99</v>
      </c>
    </row>
    <row r="168" spans="36:37">
      <c r="AJ168" s="78">
        <v>43405</v>
      </c>
      <c r="AK168">
        <v>1.92</v>
      </c>
    </row>
    <row r="169" spans="36:37">
      <c r="AJ169" s="78">
        <v>43435</v>
      </c>
      <c r="AK169">
        <v>1.83</v>
      </c>
    </row>
    <row r="171" spans="36:37">
      <c r="AJ171">
        <v>2018</v>
      </c>
      <c r="AK171" s="3">
        <f>AVERAGE(AK158:AK169)</f>
        <v>1.9724999999999995</v>
      </c>
    </row>
    <row r="172" spans="36:37">
      <c r="AJ172" s="3"/>
      <c r="AK172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workbookViewId="0">
      <selection activeCell="A3" sqref="A3:G22"/>
    </sheetView>
  </sheetViews>
  <sheetFormatPr defaultRowHeight="15"/>
  <cols>
    <col min="1" max="1" width="17.5703125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0.99001520704502732</v>
      </c>
    </row>
    <row r="5" spans="1:7">
      <c r="A5" s="13" t="s">
        <v>80</v>
      </c>
      <c r="B5" s="13">
        <v>0.9801301101804083</v>
      </c>
    </row>
    <row r="6" spans="1:7">
      <c r="A6" s="13" t="s">
        <v>81</v>
      </c>
      <c r="B6" s="13">
        <v>0.97806032999086756</v>
      </c>
    </row>
    <row r="7" spans="1:7">
      <c r="A7" s="13" t="s">
        <v>82</v>
      </c>
      <c r="B7" s="13">
        <v>2.5923853450245655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5</v>
      </c>
      <c r="C12" s="13">
        <v>15912.141239287233</v>
      </c>
      <c r="D12" s="13">
        <v>3182.4282478574469</v>
      </c>
      <c r="E12" s="13">
        <v>473.54309174147335</v>
      </c>
      <c r="F12" s="13">
        <v>1.3299870493288583E-39</v>
      </c>
    </row>
    <row r="13" spans="1:7">
      <c r="A13" s="13" t="s">
        <v>86</v>
      </c>
      <c r="B13" s="13">
        <v>48</v>
      </c>
      <c r="C13" s="13">
        <v>322.58216530071047</v>
      </c>
      <c r="D13" s="13">
        <v>6.7204617770981345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16234.723404587943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32.54903359051157</v>
      </c>
      <c r="C17" s="13">
        <v>1.512947899806389</v>
      </c>
      <c r="D17" s="13">
        <v>21.513651325783822</v>
      </c>
      <c r="E17" s="13">
        <v>2.695242556611251E-26</v>
      </c>
      <c r="F17" s="13">
        <v>29.507047956686261</v>
      </c>
      <c r="G17" s="13">
        <v>35.591019224336875</v>
      </c>
    </row>
    <row r="18" spans="1:7">
      <c r="A18" s="13" t="s">
        <v>229</v>
      </c>
      <c r="B18" s="13">
        <v>0.54448950896724835</v>
      </c>
      <c r="C18" s="13">
        <v>2.0595422443115057E-2</v>
      </c>
      <c r="D18" s="13">
        <v>26.437404256753585</v>
      </c>
      <c r="E18" s="13">
        <v>2.909843098110014E-30</v>
      </c>
      <c r="F18" s="13">
        <v>0.50307963675516709</v>
      </c>
      <c r="G18" s="13">
        <v>0.5858993811793296</v>
      </c>
    </row>
    <row r="19" spans="1:7">
      <c r="A19" s="13" t="s">
        <v>2095</v>
      </c>
      <c r="B19" s="13">
        <v>-15.804520119026636</v>
      </c>
      <c r="C19" s="13">
        <v>1.6502062853982065</v>
      </c>
      <c r="D19" s="13">
        <v>-9.577299673908886</v>
      </c>
      <c r="E19" s="13">
        <v>1.0215266283529032E-12</v>
      </c>
      <c r="F19" s="13">
        <v>-19.122482233698243</v>
      </c>
      <c r="G19" s="13">
        <v>-12.486558004355029</v>
      </c>
    </row>
    <row r="20" spans="1:7">
      <c r="A20" s="13" t="s">
        <v>2096</v>
      </c>
      <c r="B20" s="13">
        <v>12.499294598084983</v>
      </c>
      <c r="C20" s="13">
        <v>1.1925293899973544</v>
      </c>
      <c r="D20" s="13">
        <v>10.481330441770256</v>
      </c>
      <c r="E20" s="13">
        <v>5.3140830773238358E-14</v>
      </c>
      <c r="F20" s="13">
        <v>10.101553557067881</v>
      </c>
      <c r="G20" s="13">
        <v>14.897035639102086</v>
      </c>
    </row>
    <row r="21" spans="1:7">
      <c r="A21" s="13" t="s">
        <v>2012</v>
      </c>
      <c r="B21" s="13">
        <v>14.071475452256834</v>
      </c>
      <c r="C21" s="13">
        <v>2.6467147967534213</v>
      </c>
      <c r="D21" s="13">
        <v>5.3165816995157673</v>
      </c>
      <c r="E21" s="13">
        <v>2.720970832596486E-6</v>
      </c>
      <c r="F21" s="13">
        <v>8.7498986883860521</v>
      </c>
      <c r="G21" s="13">
        <v>19.393052216127614</v>
      </c>
    </row>
    <row r="22" spans="1:7" ht="15.75" thickBot="1">
      <c r="A22" s="14" t="s">
        <v>240</v>
      </c>
      <c r="B22" s="14">
        <v>10.008069776469837</v>
      </c>
      <c r="C22" s="14">
        <v>1.2871826250827485</v>
      </c>
      <c r="D22" s="14">
        <v>7.775174696618091</v>
      </c>
      <c r="E22" s="14">
        <v>4.8225375230326469E-10</v>
      </c>
      <c r="F22" s="14">
        <v>7.4200156510684625</v>
      </c>
      <c r="G22" s="14">
        <v>12.596123901871211</v>
      </c>
    </row>
    <row r="43" spans="6:6">
      <c r="F43" t="s">
        <v>1863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A3" sqref="A3:G22"/>
    </sheetView>
  </sheetViews>
  <sheetFormatPr defaultRowHeight="15"/>
  <cols>
    <col min="1" max="1" width="18.28515625" customWidth="1"/>
    <col min="2" max="7" width="13.5703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0.98929370643645631</v>
      </c>
    </row>
    <row r="5" spans="1:7">
      <c r="A5" s="13" t="s">
        <v>80</v>
      </c>
      <c r="B5" s="13">
        <v>0.97870203759478147</v>
      </c>
    </row>
    <row r="6" spans="1:7">
      <c r="A6" s="13" t="s">
        <v>81</v>
      </c>
      <c r="B6" s="13">
        <v>0.97648349984423788</v>
      </c>
    </row>
    <row r="7" spans="1:7">
      <c r="A7" s="13" t="s">
        <v>82</v>
      </c>
      <c r="B7" s="13">
        <v>3.994892894197315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5</v>
      </c>
      <c r="C12" s="13">
        <v>35201.725654368405</v>
      </c>
      <c r="D12" s="13">
        <v>7040.3451308736812</v>
      </c>
      <c r="E12" s="13">
        <v>441.14734462146339</v>
      </c>
      <c r="F12" s="13">
        <v>7.020348337248255E-39</v>
      </c>
    </row>
    <row r="13" spans="1:7">
      <c r="A13" s="13" t="s">
        <v>86</v>
      </c>
      <c r="B13" s="13">
        <v>48</v>
      </c>
      <c r="C13" s="13">
        <v>766.04012333319361</v>
      </c>
      <c r="D13" s="13">
        <v>15.959169236108201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35967.765777701599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24.848565076999186</v>
      </c>
      <c r="C17" s="13">
        <v>1.3984096564377777</v>
      </c>
      <c r="D17" s="13">
        <v>17.769160104555404</v>
      </c>
      <c r="E17" s="13">
        <v>9.5322160909623779E-23</v>
      </c>
      <c r="F17" s="13">
        <v>22.036874016368031</v>
      </c>
      <c r="G17" s="13">
        <v>27.660256137630341</v>
      </c>
    </row>
    <row r="18" spans="1:7">
      <c r="A18" s="13" t="s">
        <v>229</v>
      </c>
      <c r="B18" s="13">
        <v>6.9170241491982743E-3</v>
      </c>
      <c r="C18" s="13">
        <v>2.1808080687705847E-4</v>
      </c>
      <c r="D18" s="13">
        <v>31.717711651249065</v>
      </c>
      <c r="E18" s="13">
        <v>7.4173629422740893E-34</v>
      </c>
      <c r="F18" s="13">
        <v>6.4785432989205227E-3</v>
      </c>
      <c r="G18" s="13">
        <v>7.3555049994760259E-3</v>
      </c>
    </row>
    <row r="19" spans="1:7">
      <c r="A19" s="13" t="s">
        <v>240</v>
      </c>
      <c r="B19" s="13">
        <v>-16.700265145457472</v>
      </c>
      <c r="C19" s="13">
        <v>1.7779309111627448</v>
      </c>
      <c r="D19" s="13">
        <v>-9.3930900467531124</v>
      </c>
      <c r="E19" s="13">
        <v>1.8880352489915951E-12</v>
      </c>
      <c r="F19" s="13">
        <v>-20.275034832095805</v>
      </c>
      <c r="G19" s="13">
        <v>-13.125495458819138</v>
      </c>
    </row>
    <row r="20" spans="1:7">
      <c r="A20" s="13" t="s">
        <v>275</v>
      </c>
      <c r="B20" s="13">
        <v>17.884583851027326</v>
      </c>
      <c r="C20" s="13">
        <v>2.2987573180875667</v>
      </c>
      <c r="D20" s="13">
        <v>7.7801095880387523</v>
      </c>
      <c r="E20" s="13">
        <v>4.7400942255296713E-10</v>
      </c>
      <c r="F20" s="13">
        <v>13.262622487937403</v>
      </c>
      <c r="G20" s="13">
        <v>22.506545214117249</v>
      </c>
    </row>
    <row r="21" spans="1:7">
      <c r="A21" s="13" t="s">
        <v>2009</v>
      </c>
      <c r="B21" s="13">
        <v>33.577605479139173</v>
      </c>
      <c r="C21" s="13">
        <v>1.4647162808269163</v>
      </c>
      <c r="D21" s="13">
        <v>22.924306856330354</v>
      </c>
      <c r="E21" s="13">
        <v>1.6664852247563691E-27</v>
      </c>
      <c r="F21" s="13">
        <v>30.632596014850481</v>
      </c>
      <c r="G21" s="13">
        <v>36.522614943427868</v>
      </c>
    </row>
    <row r="22" spans="1:7" ht="15.75" thickBot="1">
      <c r="A22" s="14" t="s">
        <v>2167</v>
      </c>
      <c r="B22" s="14">
        <v>-5.8256946499824531</v>
      </c>
      <c r="C22" s="14">
        <v>4.0821130616491352</v>
      </c>
      <c r="D22" s="14">
        <v>-1.4271272162238757</v>
      </c>
      <c r="E22" s="14">
        <v>0.16001644157764466</v>
      </c>
      <c r="F22" s="14">
        <v>-14.033333056286072</v>
      </c>
      <c r="G22" s="14">
        <v>2.3819437563211645</v>
      </c>
    </row>
    <row r="44" spans="7:7">
      <c r="G44" t="s">
        <v>1905</v>
      </c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K172"/>
  <sheetViews>
    <sheetView zoomScale="75" zoomScaleNormal="75" workbookViewId="0">
      <pane xSplit="1" ySplit="4" topLeftCell="AL52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E97"/>
    </sheetView>
  </sheetViews>
  <sheetFormatPr defaultRowHeight="15"/>
  <cols>
    <col min="1" max="1" width="6.7109375" customWidth="1"/>
    <col min="2" max="5" width="9" customWidth="1"/>
    <col min="6" max="9" width="9.28515625" bestFit="1" customWidth="1"/>
    <col min="10" max="10" width="9.28515625" style="12" bestFit="1" customWidth="1"/>
    <col min="11" max="12" width="9.28515625" bestFit="1" customWidth="1"/>
    <col min="13" max="13" width="9.85546875" customWidth="1"/>
    <col min="14" max="14" width="8.28515625" customWidth="1"/>
    <col min="15" max="15" width="9.7109375" style="23" customWidth="1"/>
    <col min="16" max="17" width="11.5703125" style="12" customWidth="1"/>
    <col min="18" max="18" width="8.42578125" style="23" customWidth="1"/>
    <col min="19" max="22" width="9.28515625" bestFit="1" customWidth="1"/>
    <col min="23" max="23" width="9.28515625" style="23" customWidth="1"/>
    <col min="24" max="24" width="9.28515625" bestFit="1" customWidth="1"/>
    <col min="25" max="28" width="8.85546875" customWidth="1"/>
    <col min="29" max="29" width="9.28515625" bestFit="1" customWidth="1"/>
    <col min="40" max="43" width="9.140625" style="2"/>
    <col min="44" max="44" width="9.140625" style="2" customWidth="1"/>
    <col min="45" max="45" width="1.5703125" style="12" customWidth="1"/>
    <col min="46" max="46" width="8" style="12" customWidth="1"/>
    <col min="47" max="47" width="1.140625" style="12" customWidth="1"/>
    <col min="53" max="53" width="9.140625" style="9"/>
    <col min="54" max="55" width="5.7109375" customWidth="1"/>
    <col min="56" max="56" width="5.85546875" customWidth="1"/>
    <col min="57" max="57" width="6.28515625" customWidth="1"/>
    <col min="60" max="60" width="14.85546875" customWidth="1"/>
    <col min="61" max="61" width="10.7109375" customWidth="1"/>
  </cols>
  <sheetData>
    <row r="1" spans="1:60">
      <c r="A1" s="23" t="s">
        <v>184</v>
      </c>
      <c r="B1" s="23"/>
      <c r="C1" s="23"/>
      <c r="G1" s="8" t="s">
        <v>185</v>
      </c>
      <c r="I1" t="s">
        <v>2040</v>
      </c>
      <c r="AN1" t="s">
        <v>2040</v>
      </c>
      <c r="AO1"/>
      <c r="AP1"/>
      <c r="AV1" t="s">
        <v>2041</v>
      </c>
    </row>
    <row r="2" spans="1:60">
      <c r="D2" t="s">
        <v>45</v>
      </c>
      <c r="F2" t="s">
        <v>46</v>
      </c>
      <c r="H2" t="s">
        <v>169</v>
      </c>
      <c r="I2" t="s">
        <v>169</v>
      </c>
      <c r="J2" t="s">
        <v>169</v>
      </c>
      <c r="K2" t="s">
        <v>169</v>
      </c>
      <c r="N2" s="23" t="s">
        <v>184</v>
      </c>
      <c r="P2" s="23" t="s">
        <v>184</v>
      </c>
      <c r="Q2" s="26" t="s">
        <v>142</v>
      </c>
      <c r="S2" s="23" t="s">
        <v>184</v>
      </c>
      <c r="X2" s="23" t="s">
        <v>184</v>
      </c>
      <c r="Y2" s="23" t="s">
        <v>184</v>
      </c>
      <c r="Z2" s="23" t="s">
        <v>184</v>
      </c>
      <c r="AA2" s="23" t="s">
        <v>184</v>
      </c>
      <c r="AB2" s="23" t="s">
        <v>184</v>
      </c>
      <c r="AC2" t="s">
        <v>113</v>
      </c>
    </row>
    <row r="3" spans="1:60">
      <c r="B3" t="s">
        <v>182</v>
      </c>
      <c r="C3" t="s">
        <v>218</v>
      </c>
      <c r="D3" s="23" t="s">
        <v>184</v>
      </c>
      <c r="F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t="s">
        <v>25</v>
      </c>
      <c r="M3" t="s">
        <v>169</v>
      </c>
      <c r="N3" t="s">
        <v>5</v>
      </c>
      <c r="P3" s="26" t="s">
        <v>133</v>
      </c>
      <c r="Q3" s="26" t="s">
        <v>133</v>
      </c>
      <c r="S3" s="3" t="s">
        <v>128</v>
      </c>
      <c r="T3" s="3"/>
      <c r="U3" s="3"/>
      <c r="V3" s="3"/>
      <c r="X3" t="s">
        <v>61</v>
      </c>
      <c r="Y3" t="s">
        <v>61</v>
      </c>
      <c r="Z3" t="s">
        <v>61</v>
      </c>
      <c r="AA3" t="s">
        <v>61</v>
      </c>
      <c r="AB3" s="26" t="s">
        <v>61</v>
      </c>
      <c r="AC3" t="s">
        <v>61</v>
      </c>
      <c r="AM3" s="46" t="s">
        <v>2103</v>
      </c>
      <c r="AN3" s="46" t="s">
        <v>1853</v>
      </c>
      <c r="AO3" s="46" t="s">
        <v>1853</v>
      </c>
      <c r="AP3" s="46" t="s">
        <v>1853</v>
      </c>
      <c r="AQ3" s="46" t="s">
        <v>1853</v>
      </c>
      <c r="AR3" s="46" t="s">
        <v>1853</v>
      </c>
      <c r="AS3" s="3"/>
      <c r="AT3" s="46"/>
      <c r="AU3" s="3"/>
      <c r="AV3" s="46" t="s">
        <v>2124</v>
      </c>
      <c r="AW3" s="46" t="s">
        <v>2124</v>
      </c>
      <c r="AX3" s="46" t="s">
        <v>2124</v>
      </c>
      <c r="AY3" s="46" t="s">
        <v>2124</v>
      </c>
      <c r="AZ3" s="46" t="s">
        <v>2124</v>
      </c>
      <c r="BA3" s="46" t="s">
        <v>2125</v>
      </c>
      <c r="BB3" s="46" t="s">
        <v>2098</v>
      </c>
      <c r="BC3" s="46" t="s">
        <v>2098</v>
      </c>
      <c r="BD3" s="46" t="s">
        <v>2098</v>
      </c>
      <c r="BE3" s="46" t="s">
        <v>126</v>
      </c>
      <c r="BG3" s="46" t="s">
        <v>2450</v>
      </c>
      <c r="BH3" s="46" t="s">
        <v>2450</v>
      </c>
    </row>
    <row r="4" spans="1:60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s="29" t="s">
        <v>110</v>
      </c>
      <c r="J4" s="26" t="s">
        <v>135</v>
      </c>
      <c r="K4" s="29" t="s">
        <v>8</v>
      </c>
      <c r="L4" t="s">
        <v>9</v>
      </c>
      <c r="M4" s="29" t="s">
        <v>145</v>
      </c>
      <c r="N4" t="s">
        <v>10</v>
      </c>
      <c r="P4" s="26" t="s">
        <v>101</v>
      </c>
      <c r="Q4" s="26" t="s">
        <v>103</v>
      </c>
      <c r="S4" s="13" t="s">
        <v>229</v>
      </c>
      <c r="T4" s="3" t="s">
        <v>126</v>
      </c>
      <c r="U4" s="3" t="s">
        <v>126</v>
      </c>
      <c r="V4" s="3" t="s">
        <v>126</v>
      </c>
      <c r="X4" t="s">
        <v>109</v>
      </c>
      <c r="Y4" t="s">
        <v>111</v>
      </c>
      <c r="Z4" t="s">
        <v>152</v>
      </c>
      <c r="AA4" t="s">
        <v>112</v>
      </c>
      <c r="AB4" s="26" t="s">
        <v>87</v>
      </c>
      <c r="AC4" t="s">
        <v>87</v>
      </c>
      <c r="AM4" s="46"/>
      <c r="AN4" s="46" t="s">
        <v>131</v>
      </c>
      <c r="AO4" s="46" t="s">
        <v>111</v>
      </c>
      <c r="AP4" s="46" t="s">
        <v>112</v>
      </c>
      <c r="AQ4" s="46" t="s">
        <v>67</v>
      </c>
      <c r="AR4" s="46" t="s">
        <v>133</v>
      </c>
      <c r="AS4" s="3"/>
      <c r="AT4" s="139" t="s">
        <v>237</v>
      </c>
      <c r="AU4" s="3"/>
      <c r="AV4" s="46" t="s">
        <v>131</v>
      </c>
      <c r="AW4" s="46" t="s">
        <v>2097</v>
      </c>
      <c r="AX4" s="46" t="s">
        <v>67</v>
      </c>
      <c r="AY4" s="46" t="s">
        <v>133</v>
      </c>
      <c r="AZ4" s="46" t="s">
        <v>2097</v>
      </c>
      <c r="BA4" s="46" t="s">
        <v>1943</v>
      </c>
      <c r="BB4" s="46">
        <v>6573</v>
      </c>
      <c r="BC4" s="46">
        <v>7477</v>
      </c>
      <c r="BD4" s="46">
        <v>6595</v>
      </c>
      <c r="BE4" s="138" t="s">
        <v>293</v>
      </c>
      <c r="BG4" s="46" t="s">
        <v>131</v>
      </c>
      <c r="BH4" s="46" t="s">
        <v>2097</v>
      </c>
    </row>
    <row r="5" spans="1:60">
      <c r="A5">
        <v>1926</v>
      </c>
      <c r="AM5">
        <v>1926</v>
      </c>
    </row>
    <row r="6" spans="1:60">
      <c r="A6">
        <v>1927</v>
      </c>
      <c r="AM6">
        <v>1927</v>
      </c>
    </row>
    <row r="7" spans="1:60">
      <c r="A7">
        <v>1928</v>
      </c>
      <c r="AM7">
        <v>1928</v>
      </c>
    </row>
    <row r="8" spans="1:60">
      <c r="A8">
        <v>1929</v>
      </c>
      <c r="AM8">
        <v>1929</v>
      </c>
    </row>
    <row r="9" spans="1:60">
      <c r="A9">
        <v>1930</v>
      </c>
      <c r="AM9">
        <v>1930</v>
      </c>
    </row>
    <row r="10" spans="1:60">
      <c r="A10">
        <v>1931</v>
      </c>
      <c r="AM10">
        <v>1931</v>
      </c>
    </row>
    <row r="11" spans="1:60">
      <c r="A11">
        <v>1932</v>
      </c>
      <c r="AM11">
        <v>1932</v>
      </c>
    </row>
    <row r="12" spans="1:60">
      <c r="A12">
        <v>1933</v>
      </c>
      <c r="AM12">
        <v>1933</v>
      </c>
    </row>
    <row r="13" spans="1:60">
      <c r="A13">
        <v>1934</v>
      </c>
      <c r="AM13">
        <v>1934</v>
      </c>
    </row>
    <row r="14" spans="1:60">
      <c r="A14">
        <v>1935</v>
      </c>
      <c r="AM14">
        <v>1935</v>
      </c>
    </row>
    <row r="15" spans="1:60">
      <c r="A15">
        <v>1936</v>
      </c>
      <c r="AM15">
        <v>1936</v>
      </c>
    </row>
    <row r="16" spans="1:60">
      <c r="A16">
        <v>1937</v>
      </c>
      <c r="AM16">
        <v>1937</v>
      </c>
    </row>
    <row r="17" spans="1:39">
      <c r="A17">
        <v>1938</v>
      </c>
      <c r="AM17">
        <v>1938</v>
      </c>
    </row>
    <row r="18" spans="1:39">
      <c r="A18">
        <v>1939</v>
      </c>
      <c r="AM18">
        <v>1939</v>
      </c>
    </row>
    <row r="19" spans="1:39">
      <c r="A19">
        <v>1940</v>
      </c>
      <c r="AM19">
        <v>1940</v>
      </c>
    </row>
    <row r="20" spans="1:39">
      <c r="A20">
        <v>1941</v>
      </c>
      <c r="AM20">
        <v>1941</v>
      </c>
    </row>
    <row r="21" spans="1:39">
      <c r="A21">
        <v>1942</v>
      </c>
      <c r="AM21">
        <v>1942</v>
      </c>
    </row>
    <row r="22" spans="1:39">
      <c r="A22">
        <v>1943</v>
      </c>
      <c r="AM22">
        <v>1943</v>
      </c>
    </row>
    <row r="23" spans="1:39">
      <c r="A23">
        <v>1944</v>
      </c>
      <c r="AM23">
        <v>1944</v>
      </c>
    </row>
    <row r="24" spans="1:39">
      <c r="A24">
        <v>1945</v>
      </c>
      <c r="AM24">
        <v>1945</v>
      </c>
    </row>
    <row r="25" spans="1:39">
      <c r="A25">
        <v>1946</v>
      </c>
      <c r="AM25">
        <v>1946</v>
      </c>
    </row>
    <row r="26" spans="1:39">
      <c r="A26">
        <v>1947</v>
      </c>
      <c r="AM26">
        <v>1947</v>
      </c>
    </row>
    <row r="27" spans="1:39">
      <c r="A27">
        <v>1948</v>
      </c>
      <c r="AM27">
        <v>1948</v>
      </c>
    </row>
    <row r="28" spans="1:39">
      <c r="A28">
        <v>1949</v>
      </c>
      <c r="AM28">
        <v>1949</v>
      </c>
    </row>
    <row r="29" spans="1:39">
      <c r="A29">
        <v>1950</v>
      </c>
      <c r="AM29">
        <v>1950</v>
      </c>
    </row>
    <row r="30" spans="1:39">
      <c r="A30">
        <v>1951</v>
      </c>
      <c r="AM30">
        <v>1951</v>
      </c>
    </row>
    <row r="31" spans="1:39">
      <c r="A31">
        <v>1952</v>
      </c>
      <c r="AM31">
        <v>1952</v>
      </c>
    </row>
    <row r="32" spans="1:39">
      <c r="A32">
        <v>1953</v>
      </c>
      <c r="AM32">
        <v>1953</v>
      </c>
    </row>
    <row r="33" spans="1:60">
      <c r="A33">
        <v>1954</v>
      </c>
      <c r="AM33">
        <v>1954</v>
      </c>
    </row>
    <row r="34" spans="1:60">
      <c r="A34">
        <v>1955</v>
      </c>
      <c r="AM34">
        <v>1955</v>
      </c>
    </row>
    <row r="35" spans="1:60">
      <c r="A35">
        <v>1956</v>
      </c>
      <c r="AM35">
        <v>1956</v>
      </c>
    </row>
    <row r="36" spans="1:60">
      <c r="A36">
        <v>1957</v>
      </c>
      <c r="AM36">
        <v>1957</v>
      </c>
    </row>
    <row r="37" spans="1:60">
      <c r="A37">
        <v>1958</v>
      </c>
      <c r="AM37">
        <v>1958</v>
      </c>
    </row>
    <row r="38" spans="1:60">
      <c r="A38">
        <v>1959</v>
      </c>
      <c r="AM38">
        <v>1959</v>
      </c>
    </row>
    <row r="39" spans="1:60">
      <c r="A39">
        <v>1960</v>
      </c>
      <c r="AM39">
        <v>1960</v>
      </c>
    </row>
    <row r="40" spans="1:60">
      <c r="A40">
        <v>1961</v>
      </c>
      <c r="AM40">
        <v>1961</v>
      </c>
    </row>
    <row r="41" spans="1:60">
      <c r="A41">
        <v>1962</v>
      </c>
      <c r="AM41">
        <v>1962</v>
      </c>
    </row>
    <row r="42" spans="1:60">
      <c r="A42">
        <v>1963</v>
      </c>
      <c r="AM42" s="46" t="s">
        <v>2103</v>
      </c>
      <c r="AN42" s="46" t="s">
        <v>1703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3"/>
      <c r="AT42" s="46"/>
      <c r="AU42" s="3"/>
      <c r="AV42" s="46" t="s">
        <v>2115</v>
      </c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2102</v>
      </c>
      <c r="BB42" s="46" t="s">
        <v>2098</v>
      </c>
      <c r="BC42" s="46" t="s">
        <v>2098</v>
      </c>
      <c r="BD42" s="46" t="s">
        <v>2098</v>
      </c>
      <c r="BE42" s="46" t="s">
        <v>126</v>
      </c>
      <c r="BG42" s="46" t="s">
        <v>2450</v>
      </c>
      <c r="BH42" s="46" t="s">
        <v>2450</v>
      </c>
    </row>
    <row r="43" spans="1:60">
      <c r="A43">
        <v>1964</v>
      </c>
      <c r="X43" s="3"/>
      <c r="AM43" s="46"/>
      <c r="AN43" s="46" t="s">
        <v>131</v>
      </c>
      <c r="AO43" s="46" t="s">
        <v>111</v>
      </c>
      <c r="AP43" s="46" t="s">
        <v>112</v>
      </c>
      <c r="AQ43" s="46" t="s">
        <v>67</v>
      </c>
      <c r="AR43" s="46" t="s">
        <v>133</v>
      </c>
      <c r="AS43" s="3"/>
      <c r="AT43" s="139" t="s">
        <v>237</v>
      </c>
      <c r="AU43" s="3"/>
      <c r="AV43" s="46" t="s">
        <v>131</v>
      </c>
      <c r="AW43" s="46" t="s">
        <v>2097</v>
      </c>
      <c r="AX43" s="46" t="s">
        <v>67</v>
      </c>
      <c r="AY43" s="46" t="s">
        <v>133</v>
      </c>
      <c r="AZ43" s="46" t="s">
        <v>2097</v>
      </c>
      <c r="BA43" s="46" t="s">
        <v>1943</v>
      </c>
      <c r="BB43" s="46">
        <v>6573</v>
      </c>
      <c r="BC43" s="46">
        <v>7477</v>
      </c>
      <c r="BD43" s="46">
        <v>6595</v>
      </c>
      <c r="BE43" s="138" t="s">
        <v>293</v>
      </c>
      <c r="BG43" s="46" t="s">
        <v>131</v>
      </c>
      <c r="BH43" s="46" t="s">
        <v>2097</v>
      </c>
    </row>
    <row r="44" spans="1:60">
      <c r="A44">
        <v>1965</v>
      </c>
      <c r="B44" s="3">
        <f t="shared" ref="B44:B88" si="0">I44/G44*100/C44*100</f>
        <v>94.750478277159075</v>
      </c>
      <c r="C44" s="3">
        <f t="shared" ref="C44:C87" si="1">E44/E$89*100</f>
        <v>14.459024846529534</v>
      </c>
      <c r="D44" s="1">
        <v>66.206900000000005</v>
      </c>
      <c r="E44" s="3">
        <v>20.692699999999999</v>
      </c>
      <c r="F44" s="3">
        <f>D44*E44/100</f>
        <v>13.6999951963</v>
      </c>
      <c r="G44" s="3">
        <f>M44*G45/M45</f>
        <v>363.22057590159346</v>
      </c>
      <c r="H44" s="3">
        <f>F44*G44/100</f>
        <v>49.761201450491498</v>
      </c>
      <c r="I44" s="21">
        <f t="shared" ref="I44:I75" si="2">H44</f>
        <v>49.761201450491498</v>
      </c>
      <c r="J44" s="21">
        <f t="shared" ref="J44:J89" si="3">Q44+AB44</f>
        <v>53.211967291832664</v>
      </c>
      <c r="M44">
        <v>360.9</v>
      </c>
      <c r="P44" s="21">
        <f t="shared" ref="P44:P78" si="4">I44-AB44</f>
        <v>20.800182206305443</v>
      </c>
      <c r="Q44" s="21">
        <f t="shared" ref="Q44:Q89" si="5">K$105+K$106*S44+K$107*T44+K$108*U44+K$109*V44</f>
        <v>24.250948047646606</v>
      </c>
      <c r="R44" s="27"/>
      <c r="S44">
        <f>USA!Z52*G44</f>
        <v>1198.6279004752585</v>
      </c>
      <c r="T44">
        <v>1</v>
      </c>
      <c r="U44">
        <v>0</v>
      </c>
      <c r="V44">
        <v>0</v>
      </c>
      <c r="X44" s="2">
        <v>0.58200000000000007</v>
      </c>
      <c r="Y44" s="3">
        <f t="shared" ref="Y44:Y58" si="6">AB44-AA44</f>
        <v>27.511663862132906</v>
      </c>
      <c r="Z44" s="3">
        <v>0.03</v>
      </c>
      <c r="AA44" s="4">
        <f>Z44*(I44*(1/(1+Z44)))</f>
        <v>1.4493553820531504</v>
      </c>
      <c r="AB44" s="3">
        <f>I44*X44</f>
        <v>28.961019244186055</v>
      </c>
      <c r="AD44" s="4"/>
      <c r="AE44" s="4"/>
      <c r="AM44">
        <v>1965</v>
      </c>
      <c r="AN44" s="2">
        <f>I44</f>
        <v>49.761201450491498</v>
      </c>
      <c r="AO44" s="2">
        <f>Y44</f>
        <v>27.511663862132906</v>
      </c>
      <c r="AP44" s="2">
        <f>AA44</f>
        <v>1.4493553820531504</v>
      </c>
      <c r="AQ44" s="2">
        <f>AB44</f>
        <v>28.961019244186055</v>
      </c>
      <c r="AR44" s="2">
        <f t="shared" ref="AR44:AR75" si="7">AN44-AQ44</f>
        <v>20.800182206305443</v>
      </c>
      <c r="AT44" s="7">
        <v>25.237167537062856</v>
      </c>
      <c r="AV44" s="4">
        <f t="shared" ref="AV44:AV75" si="8">AN44/$AT44*100</f>
        <v>197.17427234024217</v>
      </c>
      <c r="AW44" s="4">
        <f>AZ44+AX44</f>
        <v>189.33342643287438</v>
      </c>
      <c r="AX44" s="4">
        <f>AQ44/AT44*100</f>
        <v>114.75542650202095</v>
      </c>
      <c r="AY44" s="3">
        <f t="shared" ref="AY44:AY51" si="9">AV44-AX44</f>
        <v>82.418845838221216</v>
      </c>
      <c r="AZ44" s="3">
        <f t="shared" ref="AZ44:AZ75" si="10">AW$99+AW$100*BA44+AW$101*BB44+AW$102*BC44+AW$103*BD44+AW$104*BE44</f>
        <v>74.577999930853423</v>
      </c>
      <c r="BA44" s="4">
        <f t="shared" ref="BA44:BA75" si="11">S44/AT44*100</f>
        <v>4749.4549406742053</v>
      </c>
      <c r="BB44" s="23">
        <v>1</v>
      </c>
      <c r="BC44">
        <v>0</v>
      </c>
      <c r="BD44" s="23">
        <v>1</v>
      </c>
      <c r="BE44">
        <v>0</v>
      </c>
      <c r="BG44" s="4">
        <f t="shared" ref="BG44:BG96" si="12">AV44*$AT$97/$AT$89</f>
        <v>206.96132257350331</v>
      </c>
      <c r="BH44" s="4">
        <f t="shared" ref="BH44:BH96" si="13">AW44*$AT$97/$AT$89</f>
        <v>198.73128414189864</v>
      </c>
    </row>
    <row r="45" spans="1:60">
      <c r="A45">
        <v>1966</v>
      </c>
      <c r="B45" s="3">
        <f t="shared" si="0"/>
        <v>89.9842531124972</v>
      </c>
      <c r="C45" s="3">
        <f t="shared" si="1"/>
        <v>14.891495218110531</v>
      </c>
      <c r="D45" s="1">
        <v>62.8765</v>
      </c>
      <c r="E45" s="3">
        <v>21.311620000000001</v>
      </c>
      <c r="F45" s="3">
        <f t="shared" ref="F45:F78" si="14">D45*E45/100</f>
        <v>13.4000007493</v>
      </c>
      <c r="G45" s="3">
        <f>M45*G46/M46</f>
        <v>364.83086385239028</v>
      </c>
      <c r="H45" s="3">
        <f t="shared" ref="H45:H78" si="15">F45*G45/100</f>
        <v>48.887338489897957</v>
      </c>
      <c r="I45" s="21">
        <f t="shared" si="2"/>
        <v>48.887338489897957</v>
      </c>
      <c r="J45" s="21">
        <f t="shared" si="3"/>
        <v>53.372994325240654</v>
      </c>
      <c r="M45">
        <v>362.5</v>
      </c>
      <c r="P45" s="21">
        <f t="shared" si="4"/>
        <v>19.799372088408674</v>
      </c>
      <c r="Q45" s="21">
        <f t="shared" si="5"/>
        <v>24.285027923751375</v>
      </c>
      <c r="R45" s="27"/>
      <c r="S45">
        <f>USA!Z53*G45</f>
        <v>1203.9418507128878</v>
      </c>
      <c r="T45">
        <v>1</v>
      </c>
      <c r="U45">
        <v>0</v>
      </c>
      <c r="V45">
        <v>0</v>
      </c>
      <c r="X45" s="2">
        <v>0.59499999999999997</v>
      </c>
      <c r="Y45" s="3">
        <f t="shared" si="6"/>
        <v>27.664063338676719</v>
      </c>
      <c r="Z45" s="3">
        <v>0.03</v>
      </c>
      <c r="AA45" s="4">
        <f t="shared" ref="AA45:AA88" si="16">Z45*(I45*(1/(1+Z45)))</f>
        <v>1.4239030628125617</v>
      </c>
      <c r="AB45" s="3">
        <f t="shared" ref="AB45:AB78" si="17">I45*X45</f>
        <v>29.087966401489282</v>
      </c>
      <c r="AD45" s="4"/>
      <c r="AE45" s="4"/>
      <c r="AM45">
        <v>1966</v>
      </c>
      <c r="AN45" s="2">
        <f t="shared" ref="AN45:AN89" si="18">I45</f>
        <v>48.887338489897957</v>
      </c>
      <c r="AO45" s="2">
        <f t="shared" ref="AO45:AO96" si="19">Y45</f>
        <v>27.664063338676719</v>
      </c>
      <c r="AP45" s="2">
        <f t="shared" ref="AP45:AP96" si="20">AA45</f>
        <v>1.4239030628125617</v>
      </c>
      <c r="AQ45" s="2">
        <f t="shared" ref="AQ45:AQ76" si="21">AB45</f>
        <v>29.087966401489282</v>
      </c>
      <c r="AR45" s="2">
        <f t="shared" si="7"/>
        <v>19.799372088408674</v>
      </c>
      <c r="AT45" s="7">
        <v>26.509329239934679</v>
      </c>
      <c r="AV45" s="4">
        <f t="shared" si="8"/>
        <v>184.41559968349625</v>
      </c>
      <c r="AW45" s="4">
        <f t="shared" ref="AW45:AW89" si="22">AZ45+AX45</f>
        <v>182.86739155864569</v>
      </c>
      <c r="AX45" s="4">
        <f>AQ45/AT45*100</f>
        <v>109.72728181168026</v>
      </c>
      <c r="AY45" s="3">
        <f t="shared" si="9"/>
        <v>74.688317871815997</v>
      </c>
      <c r="AZ45" s="3">
        <f t="shared" si="10"/>
        <v>73.140109746965436</v>
      </c>
      <c r="BA45" s="4">
        <f t="shared" si="11"/>
        <v>4541.57794720518</v>
      </c>
      <c r="BB45" s="23">
        <v>1</v>
      </c>
      <c r="BC45">
        <v>0</v>
      </c>
      <c r="BD45" s="23">
        <v>1</v>
      </c>
      <c r="BE45">
        <v>0</v>
      </c>
      <c r="BG45" s="4">
        <f t="shared" si="12"/>
        <v>193.56935344902234</v>
      </c>
      <c r="BH45" s="4">
        <f t="shared" si="13"/>
        <v>191.9442976172696</v>
      </c>
    </row>
    <row r="46" spans="1:60">
      <c r="A46">
        <v>1967</v>
      </c>
      <c r="B46" s="3">
        <f t="shared" si="0"/>
        <v>87.554056453803895</v>
      </c>
      <c r="C46" s="3">
        <f t="shared" si="1"/>
        <v>15.30482682623647</v>
      </c>
      <c r="D46" s="1">
        <v>61.178400000000003</v>
      </c>
      <c r="E46" s="3">
        <v>21.90315</v>
      </c>
      <c r="F46" s="3">
        <f t="shared" si="14"/>
        <v>13.399996719600001</v>
      </c>
      <c r="G46" s="3">
        <f>M46*G47/M47</f>
        <v>364.22700587084148</v>
      </c>
      <c r="H46" s="3">
        <f t="shared" si="15"/>
        <v>48.806406838590064</v>
      </c>
      <c r="I46" s="21">
        <f t="shared" si="2"/>
        <v>48.806406838590064</v>
      </c>
      <c r="J46" s="21">
        <f t="shared" si="3"/>
        <v>53.312060039173176</v>
      </c>
      <c r="M46">
        <v>361.9</v>
      </c>
      <c r="P46" s="21">
        <f t="shared" si="4"/>
        <v>19.766594769628977</v>
      </c>
      <c r="Q46" s="21">
        <f t="shared" si="5"/>
        <v>24.272247970212089</v>
      </c>
      <c r="R46" s="27"/>
      <c r="S46">
        <f>USA!Z54*G46</f>
        <v>1201.9491193737767</v>
      </c>
      <c r="T46">
        <v>1</v>
      </c>
      <c r="U46">
        <v>0</v>
      </c>
      <c r="V46">
        <v>0</v>
      </c>
      <c r="X46" s="2">
        <v>0.59499999999999997</v>
      </c>
      <c r="Y46" s="3">
        <f t="shared" si="6"/>
        <v>27.618266238710891</v>
      </c>
      <c r="Z46" s="3">
        <v>0.03</v>
      </c>
      <c r="AA46" s="4">
        <f t="shared" si="16"/>
        <v>1.421545830250196</v>
      </c>
      <c r="AB46" s="3">
        <f t="shared" si="17"/>
        <v>29.039812068961087</v>
      </c>
      <c r="AD46" s="4"/>
      <c r="AE46" s="4"/>
      <c r="AM46">
        <v>1967</v>
      </c>
      <c r="AN46" s="2">
        <f t="shared" si="18"/>
        <v>48.806406838590064</v>
      </c>
      <c r="AO46" s="2">
        <f t="shared" si="19"/>
        <v>27.618266238710891</v>
      </c>
      <c r="AP46" s="2">
        <f t="shared" si="20"/>
        <v>1.421545830250196</v>
      </c>
      <c r="AQ46" s="2">
        <f t="shared" si="21"/>
        <v>29.039812068961087</v>
      </c>
      <c r="AR46" s="2">
        <f t="shared" si="7"/>
        <v>19.766594769628977</v>
      </c>
      <c r="AT46" s="7">
        <v>27.567010917334336</v>
      </c>
      <c r="AV46" s="4">
        <f t="shared" si="8"/>
        <v>177.04642329538979</v>
      </c>
      <c r="AW46" s="4">
        <f t="shared" si="22"/>
        <v>177.22744116220048</v>
      </c>
      <c r="AX46" s="4">
        <f t="shared" ref="AX46:AX96" si="23">AQ46/AT46*100</f>
        <v>105.34262186075691</v>
      </c>
      <c r="AY46" s="3">
        <f t="shared" si="9"/>
        <v>71.703801434632879</v>
      </c>
      <c r="AZ46" s="3">
        <f t="shared" si="10"/>
        <v>71.884819301443585</v>
      </c>
      <c r="BA46" s="4">
        <f t="shared" si="11"/>
        <v>4360.0995515185959</v>
      </c>
      <c r="BB46" s="23">
        <v>1</v>
      </c>
      <c r="BC46">
        <v>0</v>
      </c>
      <c r="BD46" s="23">
        <v>1</v>
      </c>
      <c r="BE46">
        <v>0</v>
      </c>
      <c r="BG46" s="4">
        <f t="shared" si="12"/>
        <v>185.83439658341166</v>
      </c>
      <c r="BH46" s="4">
        <f t="shared" si="13"/>
        <v>186.02439955225705</v>
      </c>
    </row>
    <row r="47" spans="1:60">
      <c r="A47">
        <v>1968</v>
      </c>
      <c r="B47" s="3">
        <f t="shared" si="0"/>
        <v>83.383752547418894</v>
      </c>
      <c r="C47" s="3">
        <f t="shared" si="1"/>
        <v>15.950346083448959</v>
      </c>
      <c r="D47" s="1">
        <v>58.264400000000002</v>
      </c>
      <c r="E47" s="3">
        <v>22.826969999999999</v>
      </c>
      <c r="F47" s="3">
        <f t="shared" si="14"/>
        <v>13.29999710868</v>
      </c>
      <c r="G47" s="3">
        <f>M47*G48/M48</f>
        <v>360</v>
      </c>
      <c r="H47" s="3">
        <f t="shared" si="15"/>
        <v>47.879989591247998</v>
      </c>
      <c r="I47" s="21">
        <f t="shared" si="2"/>
        <v>47.879989591247998</v>
      </c>
      <c r="J47" s="21">
        <f t="shared" si="3"/>
        <v>52.815022071003362</v>
      </c>
      <c r="M47">
        <v>357.7</v>
      </c>
      <c r="P47" s="21">
        <f t="shared" si="4"/>
        <v>19.247755815681696</v>
      </c>
      <c r="Q47" s="21">
        <f t="shared" si="5"/>
        <v>24.18278829543706</v>
      </c>
      <c r="R47" s="27"/>
      <c r="S47">
        <f>USA!Z55*G47</f>
        <v>1188</v>
      </c>
      <c r="T47">
        <v>1</v>
      </c>
      <c r="U47">
        <v>0</v>
      </c>
      <c r="V47">
        <v>0</v>
      </c>
      <c r="X47" s="2">
        <v>0.59799999999999998</v>
      </c>
      <c r="Y47" s="3">
        <f t="shared" si="6"/>
        <v>27.237670971937721</v>
      </c>
      <c r="Z47" s="3">
        <v>0.03</v>
      </c>
      <c r="AA47" s="4">
        <f t="shared" si="16"/>
        <v>1.3945628036285824</v>
      </c>
      <c r="AB47" s="3">
        <f t="shared" si="17"/>
        <v>28.632233775566302</v>
      </c>
      <c r="AD47" s="4"/>
      <c r="AE47" s="4"/>
      <c r="AM47">
        <v>1968</v>
      </c>
      <c r="AN47" s="2">
        <f t="shared" si="18"/>
        <v>47.879989591247998</v>
      </c>
      <c r="AO47" s="2">
        <f t="shared" si="19"/>
        <v>27.237670971937721</v>
      </c>
      <c r="AP47" s="2">
        <f t="shared" si="20"/>
        <v>1.3945628036285824</v>
      </c>
      <c r="AQ47" s="2">
        <f t="shared" si="21"/>
        <v>28.632233775566302</v>
      </c>
      <c r="AR47" s="2">
        <f t="shared" si="7"/>
        <v>19.247755815681696</v>
      </c>
      <c r="AT47" s="7">
        <v>29.038933822378414</v>
      </c>
      <c r="AV47" s="4">
        <f t="shared" si="8"/>
        <v>164.8820507120341</v>
      </c>
      <c r="AW47" s="4">
        <f t="shared" si="22"/>
        <v>168.62332764460677</v>
      </c>
      <c r="AX47" s="4">
        <f t="shared" si="23"/>
        <v>98.599466325796385</v>
      </c>
      <c r="AY47" s="3">
        <f t="shared" si="9"/>
        <v>66.282584386237716</v>
      </c>
      <c r="AZ47" s="3">
        <f t="shared" si="10"/>
        <v>70.02386131881039</v>
      </c>
      <c r="BA47" s="4">
        <f t="shared" si="11"/>
        <v>4091.0592904911882</v>
      </c>
      <c r="BB47" s="23">
        <v>1</v>
      </c>
      <c r="BC47">
        <v>0</v>
      </c>
      <c r="BD47" s="23">
        <v>1</v>
      </c>
      <c r="BE47">
        <v>0</v>
      </c>
      <c r="BG47" s="4">
        <f t="shared" si="12"/>
        <v>173.06622653643979</v>
      </c>
      <c r="BH47" s="4">
        <f t="shared" si="13"/>
        <v>176.99320754105509</v>
      </c>
    </row>
    <row r="48" spans="1:60">
      <c r="A48">
        <v>1969</v>
      </c>
      <c r="B48" s="3">
        <f t="shared" si="0"/>
        <v>79.100675838074665</v>
      </c>
      <c r="C48" s="3">
        <f t="shared" si="1"/>
        <v>16.814008114047141</v>
      </c>
      <c r="D48" s="1">
        <v>55.271599999999999</v>
      </c>
      <c r="E48" s="3">
        <v>24.06298</v>
      </c>
      <c r="F48" s="3">
        <f t="shared" si="14"/>
        <v>13.299994053680001</v>
      </c>
      <c r="G48" s="3">
        <f>M48*G49/M49</f>
        <v>360.10064299692482</v>
      </c>
      <c r="H48" s="3">
        <f t="shared" si="15"/>
        <v>47.893364105854452</v>
      </c>
      <c r="I48" s="21">
        <f t="shared" si="2"/>
        <v>47.893364105854452</v>
      </c>
      <c r="J48" s="21">
        <f t="shared" si="3"/>
        <v>52.825150022994571</v>
      </c>
      <c r="M48">
        <v>357.8</v>
      </c>
      <c r="P48" s="21">
        <f t="shared" si="4"/>
        <v>19.253132370553491</v>
      </c>
      <c r="Q48" s="21">
        <f t="shared" si="5"/>
        <v>24.184918287693609</v>
      </c>
      <c r="R48" s="27"/>
      <c r="S48">
        <f>USA!Z56*G48</f>
        <v>1188.3321218898518</v>
      </c>
      <c r="T48">
        <v>1</v>
      </c>
      <c r="U48">
        <v>0</v>
      </c>
      <c r="V48">
        <v>0</v>
      </c>
      <c r="X48" s="2">
        <v>0.59799999999999998</v>
      </c>
      <c r="Y48" s="3">
        <f t="shared" si="6"/>
        <v>27.245279382703259</v>
      </c>
      <c r="Z48" s="3">
        <v>0.03</v>
      </c>
      <c r="AA48" s="4">
        <f t="shared" si="16"/>
        <v>1.3949523525977026</v>
      </c>
      <c r="AB48" s="3">
        <f t="shared" si="17"/>
        <v>28.640231735300961</v>
      </c>
      <c r="AD48" s="4"/>
      <c r="AE48" s="4"/>
      <c r="AM48">
        <v>1969</v>
      </c>
      <c r="AN48" s="2">
        <f t="shared" si="18"/>
        <v>47.893364105854452</v>
      </c>
      <c r="AO48" s="2">
        <f t="shared" si="19"/>
        <v>27.245279382703259</v>
      </c>
      <c r="AP48" s="2">
        <f t="shared" si="20"/>
        <v>1.3949523525977026</v>
      </c>
      <c r="AQ48" s="2">
        <f t="shared" si="21"/>
        <v>28.640231735300961</v>
      </c>
      <c r="AR48" s="2">
        <f t="shared" si="7"/>
        <v>19.253132370553491</v>
      </c>
      <c r="AT48" s="7">
        <v>30.563425287583058</v>
      </c>
      <c r="AV48" s="4">
        <f t="shared" si="8"/>
        <v>156.70155964263597</v>
      </c>
      <c r="AW48" s="4">
        <f t="shared" si="22"/>
        <v>162.32741971364783</v>
      </c>
      <c r="AX48" s="4">
        <f t="shared" si="23"/>
        <v>93.707532666296316</v>
      </c>
      <c r="AY48" s="3">
        <f t="shared" si="9"/>
        <v>62.994026976339654</v>
      </c>
      <c r="AZ48" s="3">
        <f t="shared" si="10"/>
        <v>68.619887047351511</v>
      </c>
      <c r="BA48" s="4">
        <f t="shared" si="11"/>
        <v>3888.0855490128361</v>
      </c>
      <c r="BB48" s="23">
        <v>1</v>
      </c>
      <c r="BC48">
        <v>0</v>
      </c>
      <c r="BD48" s="23">
        <v>1</v>
      </c>
      <c r="BE48">
        <v>0</v>
      </c>
      <c r="BG48" s="4">
        <f t="shared" si="12"/>
        <v>164.47968412941688</v>
      </c>
      <c r="BH48" s="4">
        <f t="shared" si="13"/>
        <v>170.38479247388139</v>
      </c>
    </row>
    <row r="49" spans="1:60">
      <c r="A49">
        <v>1970</v>
      </c>
      <c r="B49" s="3">
        <f t="shared" si="0"/>
        <v>78.066972848513274</v>
      </c>
      <c r="C49" s="3">
        <f t="shared" si="1"/>
        <v>17.805240938511318</v>
      </c>
      <c r="D49" s="1">
        <v>54.549300000000002</v>
      </c>
      <c r="E49" s="3">
        <v>25.481560000000002</v>
      </c>
      <c r="F49" s="3">
        <f t="shared" si="14"/>
        <v>13.900012609080001</v>
      </c>
      <c r="G49" s="3">
        <v>360</v>
      </c>
      <c r="H49" s="3">
        <f t="shared" si="15"/>
        <v>50.040045392688008</v>
      </c>
      <c r="I49" s="21">
        <f t="shared" si="2"/>
        <v>50.040045392688008</v>
      </c>
      <c r="J49" s="21">
        <f t="shared" si="3"/>
        <v>52.921133385837535</v>
      </c>
      <c r="M49">
        <v>357.7</v>
      </c>
      <c r="P49" s="21">
        <f t="shared" si="4"/>
        <v>21.417139428070463</v>
      </c>
      <c r="Q49" s="21">
        <f t="shared" si="5"/>
        <v>24.298227421219988</v>
      </c>
      <c r="R49" s="27"/>
      <c r="S49">
        <f>USA!Z57*G49</f>
        <v>1206</v>
      </c>
      <c r="T49">
        <v>1</v>
      </c>
      <c r="U49">
        <v>0</v>
      </c>
      <c r="V49">
        <v>0</v>
      </c>
      <c r="X49" s="2">
        <v>0.57200000000000006</v>
      </c>
      <c r="Y49" s="3">
        <f t="shared" si="6"/>
        <v>27.165428914345078</v>
      </c>
      <c r="Z49" s="3">
        <v>0.03</v>
      </c>
      <c r="AA49" s="4">
        <f t="shared" si="16"/>
        <v>1.4574770502724661</v>
      </c>
      <c r="AB49" s="3">
        <f t="shared" si="17"/>
        <v>28.622905964617544</v>
      </c>
      <c r="AD49" s="4"/>
      <c r="AE49" s="4"/>
      <c r="AM49">
        <v>1970</v>
      </c>
      <c r="AN49" s="2">
        <f t="shared" si="18"/>
        <v>50.040045392688008</v>
      </c>
      <c r="AO49" s="2">
        <f t="shared" si="19"/>
        <v>27.165428914345078</v>
      </c>
      <c r="AP49" s="2">
        <f t="shared" si="20"/>
        <v>1.4574770502724661</v>
      </c>
      <c r="AQ49" s="2">
        <f t="shared" si="21"/>
        <v>28.622905964617544</v>
      </c>
      <c r="AR49" s="2">
        <f t="shared" si="7"/>
        <v>21.417139428070463</v>
      </c>
      <c r="AT49" s="7">
        <v>32.65579065881743</v>
      </c>
      <c r="AV49" s="4">
        <f t="shared" si="8"/>
        <v>153.23483028017461</v>
      </c>
      <c r="AW49" s="4">
        <f t="shared" si="22"/>
        <v>154.92125711645789</v>
      </c>
      <c r="AX49" s="4">
        <f t="shared" si="23"/>
        <v>87.650322920259896</v>
      </c>
      <c r="AY49" s="3">
        <f t="shared" si="9"/>
        <v>65.58450735991471</v>
      </c>
      <c r="AZ49" s="3">
        <f t="shared" si="10"/>
        <v>67.270934196197999</v>
      </c>
      <c r="BA49" s="4">
        <f t="shared" si="11"/>
        <v>3693.0663005532415</v>
      </c>
      <c r="BB49" s="23">
        <v>1</v>
      </c>
      <c r="BC49">
        <v>0</v>
      </c>
      <c r="BD49" s="23">
        <v>1</v>
      </c>
      <c r="BE49">
        <v>0</v>
      </c>
      <c r="BG49" s="4">
        <f t="shared" si="12"/>
        <v>160.84087828855482</v>
      </c>
      <c r="BH49" s="4">
        <f t="shared" si="13"/>
        <v>162.61101353144474</v>
      </c>
    </row>
    <row r="50" spans="1:60">
      <c r="A50">
        <v>1971</v>
      </c>
      <c r="B50" s="3">
        <f t="shared" si="0"/>
        <v>91.579959651831203</v>
      </c>
      <c r="C50" s="3">
        <f t="shared" si="1"/>
        <v>18.563021376325832</v>
      </c>
      <c r="D50" s="1">
        <v>63.991500000000002</v>
      </c>
      <c r="E50" s="3">
        <v>26.566040000000001</v>
      </c>
      <c r="F50" s="3">
        <f t="shared" si="14"/>
        <v>17.000007486600001</v>
      </c>
      <c r="G50" s="3">
        <v>349.32999999999993</v>
      </c>
      <c r="H50" s="3">
        <f t="shared" si="15"/>
        <v>59.386126152939767</v>
      </c>
      <c r="I50" s="21">
        <f t="shared" si="2"/>
        <v>59.386126152939767</v>
      </c>
      <c r="J50" s="21">
        <f t="shared" si="3"/>
        <v>57.142445102989456</v>
      </c>
      <c r="P50" s="21">
        <f t="shared" si="4"/>
        <v>26.783142894975839</v>
      </c>
      <c r="Q50" s="21">
        <f t="shared" si="5"/>
        <v>24.539461845025524</v>
      </c>
      <c r="R50" s="27"/>
      <c r="S50">
        <f>USA!Z58*G50</f>
        <v>1243.6147999999998</v>
      </c>
      <c r="T50">
        <v>1</v>
      </c>
      <c r="U50">
        <v>0</v>
      </c>
      <c r="V50">
        <v>0</v>
      </c>
      <c r="X50" s="2">
        <v>0.54899999999999993</v>
      </c>
      <c r="Y50" s="3">
        <f t="shared" si="6"/>
        <v>30.873290263218109</v>
      </c>
      <c r="Z50" s="3">
        <v>0.03</v>
      </c>
      <c r="AA50" s="4">
        <f t="shared" si="16"/>
        <v>1.7296929947458184</v>
      </c>
      <c r="AB50" s="3">
        <f t="shared" si="17"/>
        <v>32.602983257963928</v>
      </c>
      <c r="AD50" s="4"/>
      <c r="AE50" s="4"/>
      <c r="AM50">
        <v>1971</v>
      </c>
      <c r="AN50" s="2">
        <f t="shared" si="18"/>
        <v>59.386126152939767</v>
      </c>
      <c r="AO50" s="2">
        <f t="shared" si="19"/>
        <v>30.873290263218109</v>
      </c>
      <c r="AP50" s="2">
        <f t="shared" si="20"/>
        <v>1.7296929947458184</v>
      </c>
      <c r="AQ50" s="2">
        <f t="shared" si="21"/>
        <v>32.602983257963928</v>
      </c>
      <c r="AR50" s="2">
        <f t="shared" si="7"/>
        <v>26.783142894975839</v>
      </c>
      <c r="AT50" s="7">
        <v>34.705142355770775</v>
      </c>
      <c r="AV50" s="4">
        <f t="shared" si="8"/>
        <v>171.11621541314622</v>
      </c>
      <c r="AW50" s="4">
        <f t="shared" si="22"/>
        <v>160.45498722645601</v>
      </c>
      <c r="AX50" s="4">
        <f t="shared" si="23"/>
        <v>93.942802261817263</v>
      </c>
      <c r="AY50" s="3">
        <f t="shared" si="9"/>
        <v>77.173413151328958</v>
      </c>
      <c r="AZ50" s="3">
        <f t="shared" si="10"/>
        <v>66.512184964638749</v>
      </c>
      <c r="BA50" s="4">
        <f t="shared" si="11"/>
        <v>3583.3732858704479</v>
      </c>
      <c r="BB50" s="23">
        <v>1</v>
      </c>
      <c r="BC50">
        <v>0</v>
      </c>
      <c r="BD50" s="23">
        <v>1</v>
      </c>
      <c r="BE50">
        <v>0</v>
      </c>
      <c r="BG50" s="4">
        <f t="shared" si="12"/>
        <v>179.60983365297474</v>
      </c>
      <c r="BH50" s="4">
        <f t="shared" si="13"/>
        <v>168.41941890166345</v>
      </c>
    </row>
    <row r="51" spans="1:60">
      <c r="A51">
        <v>1972</v>
      </c>
      <c r="B51" s="3">
        <f t="shared" si="0"/>
        <v>90.109619832538186</v>
      </c>
      <c r="C51" s="3">
        <f t="shared" si="1"/>
        <v>19.17664269444656</v>
      </c>
      <c r="D51" s="1">
        <v>62.964100000000002</v>
      </c>
      <c r="E51" s="3">
        <v>27.444210000000002</v>
      </c>
      <c r="F51" s="3">
        <f t="shared" si="14"/>
        <v>17.279999828610002</v>
      </c>
      <c r="G51" s="3">
        <v>303.17</v>
      </c>
      <c r="H51" s="3">
        <f t="shared" si="15"/>
        <v>52.387775480396947</v>
      </c>
      <c r="I51" s="21">
        <f t="shared" si="2"/>
        <v>52.387775480396947</v>
      </c>
      <c r="J51" s="21">
        <f t="shared" si="3"/>
        <v>52.141682512566092</v>
      </c>
      <c r="P51" s="21">
        <f t="shared" si="4"/>
        <v>23.731662292619816</v>
      </c>
      <c r="Q51" s="21">
        <f t="shared" si="5"/>
        <v>23.485569324788965</v>
      </c>
      <c r="R51" s="27"/>
      <c r="S51">
        <f>USA!Z59*G51</f>
        <v>1079.2852</v>
      </c>
      <c r="T51">
        <v>1</v>
      </c>
      <c r="U51">
        <v>0</v>
      </c>
      <c r="V51">
        <v>0</v>
      </c>
      <c r="X51" s="2">
        <v>0.54700000000000004</v>
      </c>
      <c r="Y51" s="3">
        <f t="shared" si="6"/>
        <v>27.130255649513142</v>
      </c>
      <c r="Z51" s="3">
        <v>0.03</v>
      </c>
      <c r="AA51" s="4">
        <f t="shared" si="16"/>
        <v>1.5258575382639887</v>
      </c>
      <c r="AB51" s="3">
        <f t="shared" si="17"/>
        <v>28.65611318777713</v>
      </c>
      <c r="AD51" s="4"/>
      <c r="AE51" s="4"/>
      <c r="AM51">
        <v>1972</v>
      </c>
      <c r="AN51" s="2">
        <f t="shared" si="18"/>
        <v>52.387775480396947</v>
      </c>
      <c r="AO51" s="2">
        <f t="shared" si="19"/>
        <v>27.130255649513142</v>
      </c>
      <c r="AP51" s="2">
        <f t="shared" si="20"/>
        <v>1.5258575382639887</v>
      </c>
      <c r="AQ51" s="2">
        <f t="shared" si="21"/>
        <v>28.65611318777713</v>
      </c>
      <c r="AR51" s="2">
        <f t="shared" si="7"/>
        <v>23.731662292619816</v>
      </c>
      <c r="AT51" s="7">
        <v>36.428270720408818</v>
      </c>
      <c r="AV51" s="4">
        <f t="shared" si="8"/>
        <v>143.81076686971821</v>
      </c>
      <c r="AW51" s="4">
        <f t="shared" si="22"/>
        <v>140.88393368297119</v>
      </c>
      <c r="AX51" s="4">
        <f t="shared" si="23"/>
        <v>78.66448947773587</v>
      </c>
      <c r="AY51" s="3">
        <f t="shared" si="9"/>
        <v>65.146277391982338</v>
      </c>
      <c r="AZ51" s="3">
        <f t="shared" si="10"/>
        <v>62.219444205235305</v>
      </c>
      <c r="BA51" s="4">
        <f t="shared" si="11"/>
        <v>2962.7681431370665</v>
      </c>
      <c r="BB51" s="23">
        <v>1</v>
      </c>
      <c r="BC51">
        <v>0</v>
      </c>
      <c r="BD51" s="23">
        <v>1</v>
      </c>
      <c r="BE51">
        <v>0</v>
      </c>
      <c r="BG51" s="4">
        <f t="shared" si="12"/>
        <v>150.94903690227599</v>
      </c>
      <c r="BH51" s="4">
        <f t="shared" si="13"/>
        <v>147.87692581956881</v>
      </c>
    </row>
    <row r="52" spans="1:60">
      <c r="A52">
        <v>1973</v>
      </c>
      <c r="B52" s="3">
        <f t="shared" si="0"/>
        <v>88.367652119823063</v>
      </c>
      <c r="C52" s="3">
        <f t="shared" si="1"/>
        <v>20.369443941469338</v>
      </c>
      <c r="D52" s="1">
        <v>61.746899999999997</v>
      </c>
      <c r="E52" s="3">
        <v>29.151260000000001</v>
      </c>
      <c r="F52" s="3">
        <f t="shared" si="14"/>
        <v>17.999999360939999</v>
      </c>
      <c r="G52" s="3">
        <v>271.7</v>
      </c>
      <c r="H52" s="3">
        <f t="shared" si="15"/>
        <v>48.905998263673972</v>
      </c>
      <c r="I52" s="21">
        <f t="shared" si="2"/>
        <v>48.905998263673972</v>
      </c>
      <c r="J52" s="21">
        <f t="shared" si="3"/>
        <v>52.748651200668178</v>
      </c>
      <c r="P52" s="21">
        <f t="shared" si="4"/>
        <v>19.464587308942242</v>
      </c>
      <c r="Q52" s="21">
        <f t="shared" si="5"/>
        <v>23.307240245936452</v>
      </c>
      <c r="R52" s="27"/>
      <c r="S52">
        <f>USA!Z60*G52</f>
        <v>1051.479</v>
      </c>
      <c r="T52">
        <v>1</v>
      </c>
      <c r="U52">
        <v>0</v>
      </c>
      <c r="V52">
        <v>0</v>
      </c>
      <c r="X52" s="2">
        <v>0.60199999999999998</v>
      </c>
      <c r="Y52" s="3">
        <f t="shared" si="6"/>
        <v>28.016964403362586</v>
      </c>
      <c r="Z52" s="3">
        <v>0.03</v>
      </c>
      <c r="AA52" s="4">
        <f t="shared" si="16"/>
        <v>1.4244465513691449</v>
      </c>
      <c r="AB52" s="3">
        <f t="shared" si="17"/>
        <v>29.44141095473173</v>
      </c>
      <c r="AD52" s="4"/>
      <c r="AE52" s="4"/>
      <c r="AM52">
        <v>1973</v>
      </c>
      <c r="AN52" s="2">
        <f t="shared" si="18"/>
        <v>48.905998263673972</v>
      </c>
      <c r="AO52" s="2">
        <f t="shared" si="19"/>
        <v>28.016964403362586</v>
      </c>
      <c r="AP52" s="2">
        <f t="shared" si="20"/>
        <v>1.4244465513691449</v>
      </c>
      <c r="AQ52" s="2">
        <f t="shared" si="21"/>
        <v>29.44141095473173</v>
      </c>
      <c r="AR52" s="2">
        <f t="shared" si="7"/>
        <v>19.464587308942242</v>
      </c>
      <c r="AT52" s="7">
        <v>40.660809567352892</v>
      </c>
      <c r="AV52" s="4">
        <f t="shared" si="8"/>
        <v>120.27797474780544</v>
      </c>
      <c r="AW52" s="4">
        <f t="shared" si="22"/>
        <v>132.02050844678266</v>
      </c>
      <c r="AX52" s="4">
        <f t="shared" si="23"/>
        <v>72.407340798178879</v>
      </c>
      <c r="AY52" s="3">
        <f>AV52-AX52</f>
        <v>47.870633949626566</v>
      </c>
      <c r="AZ52" s="3">
        <f t="shared" si="10"/>
        <v>59.613167648603778</v>
      </c>
      <c r="BA52" s="4">
        <f t="shared" si="11"/>
        <v>2585.9765488886051</v>
      </c>
      <c r="BB52" s="23">
        <v>1</v>
      </c>
      <c r="BC52">
        <v>0</v>
      </c>
      <c r="BD52" s="23">
        <v>1</v>
      </c>
      <c r="BE52">
        <v>0</v>
      </c>
      <c r="BG52" s="4">
        <f t="shared" si="12"/>
        <v>126.24815821464426</v>
      </c>
      <c r="BH52" s="4">
        <f t="shared" si="13"/>
        <v>138.5735507512052</v>
      </c>
    </row>
    <row r="53" spans="1:60">
      <c r="A53">
        <v>1974</v>
      </c>
      <c r="B53" s="3">
        <f t="shared" si="0"/>
        <v>161.82324773870221</v>
      </c>
      <c r="C53" s="3">
        <f t="shared" si="1"/>
        <v>22.617266903639468</v>
      </c>
      <c r="D53" s="1">
        <v>113.074</v>
      </c>
      <c r="E53" s="3">
        <v>32.368180000000002</v>
      </c>
      <c r="F53" s="3">
        <f t="shared" si="14"/>
        <v>36.599995853199999</v>
      </c>
      <c r="G53" s="3">
        <v>292.07999999999993</v>
      </c>
      <c r="H53" s="3">
        <f t="shared" si="15"/>
        <v>106.90126788802652</v>
      </c>
      <c r="I53" s="21">
        <f t="shared" si="2"/>
        <v>106.90126788802652</v>
      </c>
      <c r="J53" s="21">
        <f t="shared" si="3"/>
        <v>109.59621837566914</v>
      </c>
      <c r="P53" s="21">
        <f t="shared" si="4"/>
        <v>68.416811448336972</v>
      </c>
      <c r="Q53" s="21">
        <f t="shared" si="5"/>
        <v>71.111761935979587</v>
      </c>
      <c r="R53" s="27"/>
      <c r="S53">
        <f>USA!Z61*G53</f>
        <v>3586.7423999999987</v>
      </c>
      <c r="T53">
        <v>0</v>
      </c>
      <c r="U53">
        <v>0</v>
      </c>
      <c r="V53">
        <v>0</v>
      </c>
      <c r="X53" s="2">
        <v>0.36</v>
      </c>
      <c r="Y53" s="3">
        <f t="shared" si="6"/>
        <v>35.370827277902364</v>
      </c>
      <c r="Z53" s="3">
        <v>0.03</v>
      </c>
      <c r="AA53" s="4">
        <f t="shared" si="16"/>
        <v>3.1136291617871805</v>
      </c>
      <c r="AB53" s="3">
        <f t="shared" si="17"/>
        <v>38.484456439689545</v>
      </c>
      <c r="AD53" s="4"/>
      <c r="AE53" s="4"/>
      <c r="AM53">
        <v>1974</v>
      </c>
      <c r="AN53" s="2">
        <f t="shared" si="18"/>
        <v>106.90126788802652</v>
      </c>
      <c r="AO53" s="2">
        <f t="shared" si="19"/>
        <v>35.370827277902364</v>
      </c>
      <c r="AP53" s="2">
        <f t="shared" si="20"/>
        <v>3.1136291617871805</v>
      </c>
      <c r="AQ53" s="2">
        <f t="shared" si="21"/>
        <v>38.484456439689545</v>
      </c>
      <c r="AR53" s="2">
        <f t="shared" si="7"/>
        <v>68.416811448336972</v>
      </c>
      <c r="AT53" s="7">
        <v>50.087827159738694</v>
      </c>
      <c r="AV53" s="4">
        <f t="shared" si="8"/>
        <v>213.42764090584322</v>
      </c>
      <c r="AW53" s="4">
        <f t="shared" si="22"/>
        <v>202.6768673463182</v>
      </c>
      <c r="AX53" s="4">
        <f t="shared" si="23"/>
        <v>76.833950726103566</v>
      </c>
      <c r="AY53" s="3">
        <f t="shared" ref="AY53:AY89" si="24">AV53-AX53</f>
        <v>136.59369017973967</v>
      </c>
      <c r="AZ53" s="3">
        <f t="shared" si="10"/>
        <v>125.84291662021465</v>
      </c>
      <c r="BA53" s="4">
        <f t="shared" si="11"/>
        <v>7160.9063586672673</v>
      </c>
      <c r="BB53">
        <v>0</v>
      </c>
      <c r="BC53" s="23">
        <v>1</v>
      </c>
      <c r="BD53" s="23">
        <v>1</v>
      </c>
      <c r="BE53">
        <v>0</v>
      </c>
      <c r="BG53" s="4">
        <f t="shared" si="12"/>
        <v>224.02145224806259</v>
      </c>
      <c r="BH53" s="4">
        <f t="shared" si="13"/>
        <v>212.73704740071963</v>
      </c>
    </row>
    <row r="54" spans="1:60">
      <c r="A54">
        <v>1975</v>
      </c>
      <c r="B54" s="3">
        <f t="shared" si="0"/>
        <v>132.72471609595556</v>
      </c>
      <c r="C54" s="3">
        <f t="shared" si="1"/>
        <v>24.682660206706046</v>
      </c>
      <c r="D54" s="1">
        <v>92.741399999999999</v>
      </c>
      <c r="E54" s="3">
        <v>35.324019999999997</v>
      </c>
      <c r="F54" s="3">
        <f t="shared" si="14"/>
        <v>32.759990684279998</v>
      </c>
      <c r="G54" s="3">
        <v>296.79000000000002</v>
      </c>
      <c r="H54" s="3">
        <f t="shared" si="15"/>
        <v>97.228376351874616</v>
      </c>
      <c r="I54" s="21">
        <f t="shared" si="2"/>
        <v>97.228376351874616</v>
      </c>
      <c r="J54" s="21">
        <f t="shared" si="3"/>
        <v>105.47712886961897</v>
      </c>
      <c r="P54" s="21">
        <f t="shared" si="4"/>
        <v>63.976271639533493</v>
      </c>
      <c r="Q54" s="21">
        <f t="shared" si="5"/>
        <v>72.225024157277844</v>
      </c>
      <c r="R54" s="27"/>
      <c r="S54">
        <f>USA!Z62*G54</f>
        <v>3760.3293000000003</v>
      </c>
      <c r="T54">
        <v>0</v>
      </c>
      <c r="U54">
        <v>0</v>
      </c>
      <c r="V54">
        <v>0</v>
      </c>
      <c r="X54" s="2">
        <v>0.34200000000000003</v>
      </c>
      <c r="Y54" s="3">
        <f t="shared" si="6"/>
        <v>30.420210255490407</v>
      </c>
      <c r="Z54" s="3">
        <v>0.03</v>
      </c>
      <c r="AA54" s="4">
        <f t="shared" si="16"/>
        <v>2.8318944568507169</v>
      </c>
      <c r="AB54" s="3">
        <f t="shared" si="17"/>
        <v>33.252104712341122</v>
      </c>
      <c r="AD54" s="4"/>
      <c r="AE54" s="4"/>
      <c r="AM54">
        <v>1975</v>
      </c>
      <c r="AN54" s="2">
        <f t="shared" si="18"/>
        <v>97.228376351874616</v>
      </c>
      <c r="AO54" s="2">
        <f t="shared" si="19"/>
        <v>30.420210255490407</v>
      </c>
      <c r="AP54" s="2">
        <f t="shared" si="20"/>
        <v>2.8318944568507169</v>
      </c>
      <c r="AQ54" s="2">
        <f t="shared" si="21"/>
        <v>33.252104712341122</v>
      </c>
      <c r="AR54" s="2">
        <f t="shared" si="7"/>
        <v>63.976271639533493</v>
      </c>
      <c r="AT54" s="7">
        <v>55.968213200032757</v>
      </c>
      <c r="AV54" s="4">
        <f t="shared" si="8"/>
        <v>173.72070822482092</v>
      </c>
      <c r="AW54" s="4">
        <f t="shared" si="22"/>
        <v>182.19655976166695</v>
      </c>
      <c r="AX54" s="4">
        <f t="shared" si="23"/>
        <v>59.412482212888762</v>
      </c>
      <c r="AY54" s="3">
        <f t="shared" si="24"/>
        <v>114.30822601193216</v>
      </c>
      <c r="AZ54" s="3">
        <f t="shared" si="10"/>
        <v>122.78407754877819</v>
      </c>
      <c r="BA54" s="4">
        <f t="shared" si="11"/>
        <v>6718.6874209480739</v>
      </c>
      <c r="BB54">
        <v>0</v>
      </c>
      <c r="BC54" s="23">
        <v>1</v>
      </c>
      <c r="BD54" s="23">
        <v>1</v>
      </c>
      <c r="BE54">
        <v>0</v>
      </c>
      <c r="BG54" s="4">
        <f t="shared" si="12"/>
        <v>182.34360449711022</v>
      </c>
      <c r="BH54" s="4">
        <f t="shared" si="13"/>
        <v>191.2401680456006</v>
      </c>
    </row>
    <row r="55" spans="1:60">
      <c r="A55">
        <v>1976</v>
      </c>
      <c r="B55" s="3">
        <f t="shared" si="0"/>
        <v>155.56349849830141</v>
      </c>
      <c r="C55" s="3">
        <f t="shared" si="1"/>
        <v>26.098712089869402</v>
      </c>
      <c r="D55" s="1">
        <v>108.7</v>
      </c>
      <c r="E55" s="3">
        <v>37.350569999999998</v>
      </c>
      <c r="F55" s="3">
        <f t="shared" si="14"/>
        <v>40.600069589999997</v>
      </c>
      <c r="G55" s="3">
        <v>296.55</v>
      </c>
      <c r="H55" s="3">
        <f t="shared" si="15"/>
        <v>120.399506369145</v>
      </c>
      <c r="I55" s="21">
        <f t="shared" si="2"/>
        <v>120.399506369145</v>
      </c>
      <c r="J55" s="21">
        <f t="shared" si="3"/>
        <v>119.31394330583441</v>
      </c>
      <c r="P55" s="21">
        <f t="shared" si="4"/>
        <v>74.527294442500761</v>
      </c>
      <c r="Q55" s="21">
        <f t="shared" si="5"/>
        <v>73.441731379190173</v>
      </c>
      <c r="R55" s="27"/>
      <c r="S55">
        <f>USA!Z63*G55</f>
        <v>3950.0460000000003</v>
      </c>
      <c r="T55">
        <v>0</v>
      </c>
      <c r="U55">
        <v>0</v>
      </c>
      <c r="V55">
        <v>0</v>
      </c>
      <c r="X55" s="2">
        <v>0.38100000000000001</v>
      </c>
      <c r="Y55" s="3">
        <f t="shared" si="6"/>
        <v>42.365430187737111</v>
      </c>
      <c r="Z55" s="3">
        <v>0.03</v>
      </c>
      <c r="AA55" s="4">
        <f t="shared" si="16"/>
        <v>3.5067817389071356</v>
      </c>
      <c r="AB55" s="3">
        <f t="shared" si="17"/>
        <v>45.872211926644248</v>
      </c>
      <c r="AD55" s="4"/>
      <c r="AE55" s="4"/>
      <c r="AM55">
        <v>1976</v>
      </c>
      <c r="AN55" s="2">
        <f t="shared" si="18"/>
        <v>120.399506369145</v>
      </c>
      <c r="AO55" s="2">
        <f t="shared" si="19"/>
        <v>42.365430187737111</v>
      </c>
      <c r="AP55" s="2">
        <f t="shared" si="20"/>
        <v>3.5067817389071356</v>
      </c>
      <c r="AQ55" s="2">
        <f t="shared" si="21"/>
        <v>45.872211926644248</v>
      </c>
      <c r="AR55" s="2">
        <f t="shared" si="7"/>
        <v>74.527294442500761</v>
      </c>
      <c r="AT55" s="7">
        <v>61.237974751605392</v>
      </c>
      <c r="AV55" s="4">
        <f t="shared" si="8"/>
        <v>196.60922304748271</v>
      </c>
      <c r="AW55" s="4">
        <f t="shared" si="22"/>
        <v>195.8358951323159</v>
      </c>
      <c r="AX55" s="4">
        <f t="shared" si="23"/>
        <v>74.908113981090921</v>
      </c>
      <c r="AY55" s="3">
        <f t="shared" si="24"/>
        <v>121.70110906639179</v>
      </c>
      <c r="AZ55" s="3">
        <f t="shared" si="10"/>
        <v>120.92778115122496</v>
      </c>
      <c r="BA55" s="4">
        <f t="shared" si="11"/>
        <v>6450.3210891971039</v>
      </c>
      <c r="BB55">
        <v>0</v>
      </c>
      <c r="BC55" s="23">
        <v>1</v>
      </c>
      <c r="BD55" s="23">
        <v>1</v>
      </c>
      <c r="BE55">
        <v>0</v>
      </c>
      <c r="BG55" s="4">
        <f t="shared" si="12"/>
        <v>206.36822618440181</v>
      </c>
      <c r="BH55" s="4">
        <f t="shared" si="13"/>
        <v>205.55651294105454</v>
      </c>
    </row>
    <row r="56" spans="1:60">
      <c r="A56">
        <v>1977</v>
      </c>
      <c r="B56" s="3">
        <f t="shared" si="0"/>
        <v>165.44543002664335</v>
      </c>
      <c r="C56" s="3">
        <f t="shared" si="1"/>
        <v>27.791594761847083</v>
      </c>
      <c r="D56" s="1">
        <v>115.605</v>
      </c>
      <c r="E56" s="3">
        <v>39.773299999999999</v>
      </c>
      <c r="F56" s="3">
        <f t="shared" si="14"/>
        <v>45.979923464999999</v>
      </c>
      <c r="G56" s="3">
        <v>268.51</v>
      </c>
      <c r="H56" s="3">
        <f t="shared" si="15"/>
        <v>123.4606924958715</v>
      </c>
      <c r="I56" s="21">
        <f t="shared" si="2"/>
        <v>123.4606924958715</v>
      </c>
      <c r="J56" s="21">
        <f t="shared" si="3"/>
        <v>121.1104587968712</v>
      </c>
      <c r="P56" s="21">
        <f t="shared" si="4"/>
        <v>75.187561729985731</v>
      </c>
      <c r="Q56" s="21">
        <f t="shared" si="5"/>
        <v>72.837328030985447</v>
      </c>
      <c r="R56" s="27"/>
      <c r="S56">
        <f>USA!Z64*G56</f>
        <v>3855.8035999999997</v>
      </c>
      <c r="T56">
        <v>0</v>
      </c>
      <c r="U56">
        <v>0</v>
      </c>
      <c r="V56">
        <v>0</v>
      </c>
      <c r="X56" s="2">
        <v>0.39100000000000001</v>
      </c>
      <c r="Y56" s="3">
        <f t="shared" si="6"/>
        <v>44.677188266006006</v>
      </c>
      <c r="Z56" s="3">
        <v>0.03</v>
      </c>
      <c r="AA56" s="4">
        <f t="shared" si="16"/>
        <v>3.5959424998797522</v>
      </c>
      <c r="AB56" s="3">
        <f t="shared" si="17"/>
        <v>48.27313076588576</v>
      </c>
      <c r="AD56" s="4"/>
      <c r="AE56" s="4"/>
      <c r="AM56">
        <v>1977</v>
      </c>
      <c r="AN56" s="2">
        <f t="shared" si="18"/>
        <v>123.4606924958715</v>
      </c>
      <c r="AO56" s="2">
        <f t="shared" si="19"/>
        <v>44.677188266006006</v>
      </c>
      <c r="AP56" s="2">
        <f t="shared" si="20"/>
        <v>3.5959424998797522</v>
      </c>
      <c r="AQ56" s="2">
        <f t="shared" si="21"/>
        <v>48.27313076588576</v>
      </c>
      <c r="AR56" s="2">
        <f t="shared" si="7"/>
        <v>75.187561729985731</v>
      </c>
      <c r="AT56" s="7">
        <v>66.223336842842414</v>
      </c>
      <c r="AV56" s="4">
        <f t="shared" si="8"/>
        <v>186.43079370775538</v>
      </c>
      <c r="AW56" s="4">
        <f t="shared" si="22"/>
        <v>189.47904364560128</v>
      </c>
      <c r="AX56" s="4">
        <f t="shared" si="23"/>
        <v>72.894440339732355</v>
      </c>
      <c r="AY56" s="3">
        <f t="shared" si="24"/>
        <v>113.53635336802303</v>
      </c>
      <c r="AZ56" s="3">
        <f t="shared" si="10"/>
        <v>116.58460330586894</v>
      </c>
      <c r="BA56" s="4">
        <f t="shared" si="11"/>
        <v>5822.4242145187891</v>
      </c>
      <c r="BB56">
        <v>0</v>
      </c>
      <c r="BC56" s="23">
        <v>1</v>
      </c>
      <c r="BD56" s="23">
        <v>1</v>
      </c>
      <c r="BE56">
        <v>0</v>
      </c>
      <c r="BG56" s="4">
        <f t="shared" si="12"/>
        <v>195.68457474819468</v>
      </c>
      <c r="BH56" s="4">
        <f t="shared" si="13"/>
        <v>198.88412929039464</v>
      </c>
    </row>
    <row r="57" spans="1:60">
      <c r="A57">
        <v>1978</v>
      </c>
      <c r="B57" s="3">
        <f t="shared" si="0"/>
        <v>174.81788036395133</v>
      </c>
      <c r="C57" s="3">
        <f t="shared" si="1"/>
        <v>29.916940817905406</v>
      </c>
      <c r="D57" s="1">
        <v>122.154</v>
      </c>
      <c r="E57" s="3">
        <v>42.81494</v>
      </c>
      <c r="F57" s="3">
        <f t="shared" si="14"/>
        <v>52.300161807599999</v>
      </c>
      <c r="G57" s="3">
        <v>210.44</v>
      </c>
      <c r="H57" s="3">
        <f t="shared" si="15"/>
        <v>110.06046050791343</v>
      </c>
      <c r="I57" s="21">
        <f t="shared" si="2"/>
        <v>110.06046050791343</v>
      </c>
      <c r="J57" s="21">
        <f t="shared" si="3"/>
        <v>116.76947885609087</v>
      </c>
      <c r="P57" s="21">
        <f t="shared" si="4"/>
        <v>60.753374200368221</v>
      </c>
      <c r="Q57" s="21">
        <f t="shared" si="5"/>
        <v>67.462392548545651</v>
      </c>
      <c r="R57" s="27"/>
      <c r="S57">
        <f>USA!Z65*G57</f>
        <v>3017.7096000000001</v>
      </c>
      <c r="T57">
        <v>0</v>
      </c>
      <c r="U57">
        <v>0</v>
      </c>
      <c r="V57">
        <v>0</v>
      </c>
      <c r="X57" s="2">
        <v>0.44799999999999995</v>
      </c>
      <c r="Y57" s="3">
        <f t="shared" si="6"/>
        <v>46.101441826732199</v>
      </c>
      <c r="Z57" s="3">
        <v>0.03</v>
      </c>
      <c r="AA57" s="4">
        <f t="shared" si="16"/>
        <v>3.2056444808130125</v>
      </c>
      <c r="AB57" s="3">
        <f t="shared" si="17"/>
        <v>49.307086307545212</v>
      </c>
      <c r="AD57" s="4"/>
      <c r="AE57" s="4"/>
      <c r="AM57">
        <v>1978</v>
      </c>
      <c r="AN57" s="2">
        <f t="shared" si="18"/>
        <v>110.06046050791343</v>
      </c>
      <c r="AO57" s="2">
        <f t="shared" si="19"/>
        <v>46.101441826732199</v>
      </c>
      <c r="AP57" s="2">
        <f t="shared" si="20"/>
        <v>3.2056444808130125</v>
      </c>
      <c r="AQ57" s="2">
        <f t="shared" si="21"/>
        <v>49.307086307545212</v>
      </c>
      <c r="AR57" s="2">
        <f t="shared" si="7"/>
        <v>60.753374200368221</v>
      </c>
      <c r="AT57" s="7">
        <v>68.992053101537337</v>
      </c>
      <c r="AV57" s="4">
        <f t="shared" si="8"/>
        <v>159.52628681151825</v>
      </c>
      <c r="AW57" s="4">
        <f t="shared" si="22"/>
        <v>160.14898257729396</v>
      </c>
      <c r="AX57" s="4">
        <f t="shared" si="23"/>
        <v>71.467776491560173</v>
      </c>
      <c r="AY57" s="3">
        <f t="shared" si="24"/>
        <v>88.058510319958074</v>
      </c>
      <c r="AZ57" s="3">
        <f t="shared" si="10"/>
        <v>88.681206085733791</v>
      </c>
      <c r="BA57" s="4">
        <f t="shared" si="11"/>
        <v>4373.9959377042478</v>
      </c>
      <c r="BB57">
        <v>0</v>
      </c>
      <c r="BC57">
        <v>0</v>
      </c>
      <c r="BD57" s="23">
        <v>1</v>
      </c>
      <c r="BE57">
        <v>0</v>
      </c>
      <c r="BG57" s="4">
        <f t="shared" si="12"/>
        <v>167.44462100400258</v>
      </c>
      <c r="BH57" s="4">
        <f t="shared" si="13"/>
        <v>168.09822523804525</v>
      </c>
    </row>
    <row r="58" spans="1:60">
      <c r="A58">
        <v>1979</v>
      </c>
      <c r="B58" s="3">
        <f t="shared" si="0"/>
        <v>165.82897204686</v>
      </c>
      <c r="C58" s="3">
        <f t="shared" si="1"/>
        <v>33.287054161079702</v>
      </c>
      <c r="D58" s="1">
        <v>115.873</v>
      </c>
      <c r="E58" s="3">
        <v>47.637999999999998</v>
      </c>
      <c r="F58" s="3">
        <f t="shared" si="14"/>
        <v>55.199579739999997</v>
      </c>
      <c r="G58" s="3">
        <v>219.14</v>
      </c>
      <c r="H58" s="3">
        <f t="shared" si="15"/>
        <v>120.964359042236</v>
      </c>
      <c r="I58" s="21">
        <f t="shared" si="2"/>
        <v>120.964359042236</v>
      </c>
      <c r="J58" s="21">
        <f t="shared" si="3"/>
        <v>122.74172247192666</v>
      </c>
      <c r="P58" s="21">
        <f t="shared" si="4"/>
        <v>76.449474914693155</v>
      </c>
      <c r="Q58" s="21">
        <f t="shared" si="5"/>
        <v>78.226838344383822</v>
      </c>
      <c r="R58" s="27"/>
      <c r="S58">
        <f>USA!Z66*G58</f>
        <v>4696.1701999999996</v>
      </c>
      <c r="T58">
        <v>0</v>
      </c>
      <c r="U58">
        <v>0</v>
      </c>
      <c r="V58">
        <v>0</v>
      </c>
      <c r="X58" s="2">
        <v>0.36799999999999999</v>
      </c>
      <c r="Y58" s="3">
        <f t="shared" si="6"/>
        <v>40.99165036903112</v>
      </c>
      <c r="Z58" s="3">
        <v>0.03</v>
      </c>
      <c r="AA58" s="4">
        <f t="shared" si="16"/>
        <v>3.5232337585117279</v>
      </c>
      <c r="AB58" s="3">
        <f t="shared" si="17"/>
        <v>44.51488412754285</v>
      </c>
      <c r="AD58" s="4"/>
      <c r="AE58" s="4"/>
      <c r="AM58">
        <v>1979</v>
      </c>
      <c r="AN58" s="2">
        <f t="shared" si="18"/>
        <v>120.964359042236</v>
      </c>
      <c r="AO58" s="2">
        <f t="shared" si="19"/>
        <v>40.99165036903112</v>
      </c>
      <c r="AP58" s="2">
        <f t="shared" si="20"/>
        <v>3.5232337585117279</v>
      </c>
      <c r="AQ58" s="2">
        <f t="shared" si="21"/>
        <v>44.51488412754285</v>
      </c>
      <c r="AR58" s="2">
        <f t="shared" si="7"/>
        <v>76.449474914693155</v>
      </c>
      <c r="AT58" s="7">
        <v>71.560016658837611</v>
      </c>
      <c r="AV58" s="4">
        <f t="shared" si="8"/>
        <v>169.03903141740952</v>
      </c>
      <c r="AW58" s="4">
        <f t="shared" si="22"/>
        <v>166.02593143486769</v>
      </c>
      <c r="AX58" s="4">
        <f t="shared" si="23"/>
        <v>62.2063635616067</v>
      </c>
      <c r="AY58" s="3">
        <f t="shared" si="24"/>
        <v>106.83266785580281</v>
      </c>
      <c r="AZ58" s="3">
        <f t="shared" si="10"/>
        <v>103.81956787326098</v>
      </c>
      <c r="BA58" s="4">
        <f t="shared" si="11"/>
        <v>6562.5616360445974</v>
      </c>
      <c r="BB58">
        <v>0</v>
      </c>
      <c r="BC58">
        <v>0</v>
      </c>
      <c r="BD58" s="23">
        <v>1</v>
      </c>
      <c r="BE58">
        <v>0</v>
      </c>
      <c r="BG58" s="4">
        <f t="shared" si="12"/>
        <v>177.4295454141301</v>
      </c>
      <c r="BH58" s="4">
        <f t="shared" si="13"/>
        <v>174.26688554967785</v>
      </c>
    </row>
    <row r="59" spans="1:60">
      <c r="A59">
        <v>1980</v>
      </c>
      <c r="B59" s="3">
        <f t="shared" si="0"/>
        <v>179.7037477408897</v>
      </c>
      <c r="C59" s="3">
        <f t="shared" si="1"/>
        <v>37.784321185500851</v>
      </c>
      <c r="D59" s="1">
        <v>125.568</v>
      </c>
      <c r="E59" s="3">
        <v>54.074159999999999</v>
      </c>
      <c r="F59" s="3">
        <f t="shared" si="14"/>
        <v>67.8998412288</v>
      </c>
      <c r="G59" s="3">
        <v>226.74</v>
      </c>
      <c r="H59" s="3">
        <f t="shared" si="15"/>
        <v>153.95610000218113</v>
      </c>
      <c r="I59" s="21">
        <f t="shared" si="2"/>
        <v>153.95610000218113</v>
      </c>
      <c r="J59" s="21">
        <f t="shared" si="3"/>
        <v>153.90047360935711</v>
      </c>
      <c r="P59" s="21">
        <f t="shared" si="4"/>
        <v>97.300255201378476</v>
      </c>
      <c r="Q59" s="21">
        <f t="shared" si="5"/>
        <v>97.244628808554467</v>
      </c>
      <c r="R59" s="27"/>
      <c r="S59">
        <f>USA!Z67*G59</f>
        <v>7661.5446000000002</v>
      </c>
      <c r="T59">
        <v>0</v>
      </c>
      <c r="U59">
        <v>0</v>
      </c>
      <c r="V59">
        <v>0</v>
      </c>
      <c r="X59" s="2">
        <v>0.36799999999999999</v>
      </c>
      <c r="Y59" s="3">
        <v>52.171686548311939</v>
      </c>
      <c r="Z59" s="3">
        <v>0.03</v>
      </c>
      <c r="AA59" s="4">
        <f t="shared" si="16"/>
        <v>4.4841582524907126</v>
      </c>
      <c r="AB59" s="3">
        <f t="shared" si="17"/>
        <v>56.655844800802655</v>
      </c>
      <c r="AD59" s="4"/>
      <c r="AE59" s="3">
        <v>52.171686548311939</v>
      </c>
      <c r="AM59">
        <v>1980</v>
      </c>
      <c r="AN59" s="2">
        <f t="shared" si="18"/>
        <v>153.95610000218113</v>
      </c>
      <c r="AO59" s="2">
        <f t="shared" si="19"/>
        <v>52.171686548311939</v>
      </c>
      <c r="AP59" s="2">
        <f t="shared" si="20"/>
        <v>4.4841582524907126</v>
      </c>
      <c r="AQ59" s="2">
        <f t="shared" si="21"/>
        <v>56.655844800802655</v>
      </c>
      <c r="AR59" s="2">
        <f t="shared" si="7"/>
        <v>97.300255201378476</v>
      </c>
      <c r="AT59" s="7">
        <v>77.147636724009459</v>
      </c>
      <c r="AV59" s="4">
        <f t="shared" si="8"/>
        <v>199.56035795749497</v>
      </c>
      <c r="AW59" s="4">
        <f t="shared" si="22"/>
        <v>200.55746384698955</v>
      </c>
      <c r="AX59" s="4">
        <f t="shared" si="23"/>
        <v>73.438211728358155</v>
      </c>
      <c r="AY59" s="3">
        <f t="shared" si="24"/>
        <v>126.12214622913682</v>
      </c>
      <c r="AZ59" s="3">
        <f t="shared" si="10"/>
        <v>127.11925211863138</v>
      </c>
      <c r="BA59" s="4">
        <f t="shared" si="11"/>
        <v>9931.0165875964121</v>
      </c>
      <c r="BB59">
        <v>0</v>
      </c>
      <c r="BC59">
        <v>0</v>
      </c>
      <c r="BD59" s="23">
        <v>1</v>
      </c>
      <c r="BE59">
        <v>0</v>
      </c>
      <c r="BG59" s="4">
        <f t="shared" si="12"/>
        <v>209.46584524402755</v>
      </c>
      <c r="BH59" s="4">
        <f t="shared" si="13"/>
        <v>210.51244402786651</v>
      </c>
    </row>
    <row r="60" spans="1:60">
      <c r="A60">
        <v>1981</v>
      </c>
      <c r="B60" s="3">
        <f t="shared" si="0"/>
        <v>166.49873945529791</v>
      </c>
      <c r="C60" s="3">
        <f t="shared" si="1"/>
        <v>41.681969842500045</v>
      </c>
      <c r="D60" s="1">
        <v>116.34099999999999</v>
      </c>
      <c r="E60" s="3">
        <v>59.652189999999997</v>
      </c>
      <c r="F60" s="3">
        <f t="shared" si="14"/>
        <v>69.399954367899994</v>
      </c>
      <c r="G60" s="3">
        <v>220.54</v>
      </c>
      <c r="H60" s="3">
        <f t="shared" si="15"/>
        <v>153.05465936296665</v>
      </c>
      <c r="I60" s="21">
        <f t="shared" si="2"/>
        <v>153.05465936296665</v>
      </c>
      <c r="J60" s="21">
        <f t="shared" si="3"/>
        <v>149.19645896455373</v>
      </c>
      <c r="P60" s="21">
        <f t="shared" si="4"/>
        <v>103.46494972936546</v>
      </c>
      <c r="Q60" s="21">
        <f t="shared" si="5"/>
        <v>99.606749330952525</v>
      </c>
      <c r="R60" s="27"/>
      <c r="S60">
        <f>USA!Z68*G60</f>
        <v>8029.8613999999989</v>
      </c>
      <c r="T60">
        <v>0</v>
      </c>
      <c r="U60">
        <v>0</v>
      </c>
      <c r="V60">
        <v>0</v>
      </c>
      <c r="X60" s="2">
        <v>0.32400000000000001</v>
      </c>
      <c r="Y60" s="3">
        <v>45.131806933708965</v>
      </c>
      <c r="Z60" s="3">
        <v>0.03</v>
      </c>
      <c r="AA60" s="4">
        <f t="shared" si="16"/>
        <v>4.457902699892232</v>
      </c>
      <c r="AB60" s="3">
        <f t="shared" si="17"/>
        <v>49.589709633601196</v>
      </c>
      <c r="AD60" s="4"/>
      <c r="AE60" s="3">
        <v>45.131806933708965</v>
      </c>
      <c r="AM60">
        <v>1981</v>
      </c>
      <c r="AN60" s="2">
        <f t="shared" si="18"/>
        <v>153.05465936296665</v>
      </c>
      <c r="AO60" s="2">
        <f t="shared" si="19"/>
        <v>45.131806933708965</v>
      </c>
      <c r="AP60" s="2">
        <f t="shared" si="20"/>
        <v>4.457902699892232</v>
      </c>
      <c r="AQ60" s="2">
        <f t="shared" si="21"/>
        <v>49.589709633601196</v>
      </c>
      <c r="AR60" s="2">
        <f t="shared" si="7"/>
        <v>103.46494972936546</v>
      </c>
      <c r="AT60" s="7">
        <v>80.936846279542394</v>
      </c>
      <c r="AV60" s="4">
        <f t="shared" si="8"/>
        <v>189.10380920247539</v>
      </c>
      <c r="AW60" s="4">
        <f t="shared" si="22"/>
        <v>188.32060020688886</v>
      </c>
      <c r="AX60" s="4">
        <f t="shared" si="23"/>
        <v>61.269634181602029</v>
      </c>
      <c r="AY60" s="3">
        <f t="shared" si="24"/>
        <v>127.83417502087336</v>
      </c>
      <c r="AZ60" s="3">
        <f t="shared" si="10"/>
        <v>127.05096602528681</v>
      </c>
      <c r="BA60" s="4">
        <f t="shared" si="11"/>
        <v>9921.1444096378491</v>
      </c>
      <c r="BB60">
        <v>0</v>
      </c>
      <c r="BC60">
        <v>0</v>
      </c>
      <c r="BD60" s="23">
        <v>1</v>
      </c>
      <c r="BE60">
        <v>0</v>
      </c>
      <c r="BG60" s="4">
        <f t="shared" si="12"/>
        <v>198.49026950482147</v>
      </c>
      <c r="BH60" s="4">
        <f t="shared" si="13"/>
        <v>197.66818471833199</v>
      </c>
    </row>
    <row r="61" spans="1:60">
      <c r="A61">
        <v>1982</v>
      </c>
      <c r="B61" s="3">
        <f t="shared" si="0"/>
        <v>148.70124481569468</v>
      </c>
      <c r="C61" s="3">
        <f t="shared" si="1"/>
        <v>44.24984128314113</v>
      </c>
      <c r="D61" s="1">
        <v>103.905</v>
      </c>
      <c r="E61" s="3">
        <v>63.32714</v>
      </c>
      <c r="F61" s="3">
        <f t="shared" si="14"/>
        <v>65.800064817000006</v>
      </c>
      <c r="G61" s="3">
        <v>249.08</v>
      </c>
      <c r="H61" s="3">
        <f t="shared" si="15"/>
        <v>163.89480144618364</v>
      </c>
      <c r="I61" s="21">
        <f t="shared" si="2"/>
        <v>163.89480144618364</v>
      </c>
      <c r="J61" s="21">
        <f t="shared" si="3"/>
        <v>153.42577939041348</v>
      </c>
      <c r="P61" s="21">
        <f t="shared" si="4"/>
        <v>111.61235978485105</v>
      </c>
      <c r="Q61" s="21">
        <f t="shared" si="5"/>
        <v>101.14333772908088</v>
      </c>
      <c r="R61" s="27"/>
      <c r="S61">
        <f>USA!Z69*G61</f>
        <v>8269.4560000000019</v>
      </c>
      <c r="T61">
        <v>0</v>
      </c>
      <c r="U61">
        <v>0</v>
      </c>
      <c r="V61">
        <v>0</v>
      </c>
      <c r="X61" s="2">
        <v>0.31900000000000001</v>
      </c>
      <c r="Y61" s="3">
        <v>47.508806667754421</v>
      </c>
      <c r="Z61" s="3">
        <v>0.03</v>
      </c>
      <c r="AA61" s="4">
        <f t="shared" si="16"/>
        <v>4.7736349935781641</v>
      </c>
      <c r="AB61" s="3">
        <f t="shared" si="17"/>
        <v>52.282441661332584</v>
      </c>
      <c r="AD61" s="4"/>
      <c r="AE61" s="3">
        <v>47.508806667754421</v>
      </c>
      <c r="AM61">
        <v>1982</v>
      </c>
      <c r="AN61" s="2">
        <f t="shared" si="18"/>
        <v>163.89480144618364</v>
      </c>
      <c r="AO61" s="2">
        <f t="shared" si="19"/>
        <v>47.508806667754421</v>
      </c>
      <c r="AP61" s="2">
        <f t="shared" si="20"/>
        <v>4.7736349935781641</v>
      </c>
      <c r="AQ61" s="2">
        <f t="shared" si="21"/>
        <v>52.282441661332584</v>
      </c>
      <c r="AR61" s="2">
        <f t="shared" si="7"/>
        <v>111.61235978485105</v>
      </c>
      <c r="AT61" s="7">
        <v>83.153492016496415</v>
      </c>
      <c r="AV61" s="4">
        <f t="shared" si="8"/>
        <v>197.09912052000095</v>
      </c>
      <c r="AW61" s="4">
        <f t="shared" si="22"/>
        <v>190.08927436462963</v>
      </c>
      <c r="AX61" s="4">
        <f t="shared" si="23"/>
        <v>62.874619445880306</v>
      </c>
      <c r="AY61" s="3">
        <f t="shared" si="24"/>
        <v>134.22450107412064</v>
      </c>
      <c r="AZ61" s="3">
        <f t="shared" si="10"/>
        <v>127.21465491874932</v>
      </c>
      <c r="BA61" s="4">
        <f t="shared" si="11"/>
        <v>9944.8090506643603</v>
      </c>
      <c r="BB61">
        <v>0</v>
      </c>
      <c r="BC61">
        <v>0</v>
      </c>
      <c r="BD61" s="23">
        <v>1</v>
      </c>
      <c r="BE61">
        <v>0</v>
      </c>
      <c r="BG61" s="4">
        <f t="shared" si="12"/>
        <v>206.88244047632946</v>
      </c>
      <c r="BH61" s="4">
        <f t="shared" si="13"/>
        <v>199.52464975579872</v>
      </c>
    </row>
    <row r="62" spans="1:60">
      <c r="A62">
        <v>1983</v>
      </c>
      <c r="B62" s="3">
        <f t="shared" si="0"/>
        <v>139.25580700439025</v>
      </c>
      <c r="C62" s="3">
        <f t="shared" si="1"/>
        <v>45.671336429076113</v>
      </c>
      <c r="D62" s="1">
        <v>97.305000000000007</v>
      </c>
      <c r="E62" s="3">
        <v>65.36148</v>
      </c>
      <c r="F62" s="3">
        <f t="shared" si="14"/>
        <v>63.599988114000006</v>
      </c>
      <c r="G62" s="3">
        <v>237.51</v>
      </c>
      <c r="H62" s="3">
        <f t="shared" si="15"/>
        <v>151.05633176956141</v>
      </c>
      <c r="I62" s="21">
        <f t="shared" si="2"/>
        <v>151.05633176956141</v>
      </c>
      <c r="J62" s="21">
        <f t="shared" si="3"/>
        <v>145.37798803962045</v>
      </c>
      <c r="P62" s="21">
        <f t="shared" si="4"/>
        <v>97.884502986675784</v>
      </c>
      <c r="Q62" s="21">
        <f t="shared" si="5"/>
        <v>92.206159256734821</v>
      </c>
      <c r="R62" s="27"/>
      <c r="S62">
        <f>USA!Z70*G62</f>
        <v>6875.9144999999999</v>
      </c>
      <c r="T62">
        <v>0</v>
      </c>
      <c r="U62">
        <v>0</v>
      </c>
      <c r="V62">
        <v>0</v>
      </c>
      <c r="X62" s="2">
        <v>0.35200000000000004</v>
      </c>
      <c r="Y62" s="3">
        <v>48.772129799306164</v>
      </c>
      <c r="Z62" s="3">
        <v>0.03</v>
      </c>
      <c r="AA62" s="4">
        <f t="shared" si="16"/>
        <v>4.3996989835794578</v>
      </c>
      <c r="AB62" s="3">
        <f t="shared" si="17"/>
        <v>53.171828782885619</v>
      </c>
      <c r="AD62" s="4"/>
      <c r="AE62" s="3">
        <v>48.772129799306164</v>
      </c>
      <c r="AM62">
        <v>1983</v>
      </c>
      <c r="AN62" s="2">
        <f t="shared" si="18"/>
        <v>151.05633176956141</v>
      </c>
      <c r="AO62" s="2">
        <f t="shared" si="19"/>
        <v>48.772129799306164</v>
      </c>
      <c r="AP62" s="2">
        <f t="shared" si="20"/>
        <v>4.3996989835794578</v>
      </c>
      <c r="AQ62" s="2">
        <f t="shared" si="21"/>
        <v>53.171828782885619</v>
      </c>
      <c r="AR62" s="2">
        <f t="shared" si="7"/>
        <v>97.884502986675784</v>
      </c>
      <c r="AT62" s="7">
        <v>84.726055933045743</v>
      </c>
      <c r="AV62" s="4">
        <f t="shared" si="8"/>
        <v>178.28793056168314</v>
      </c>
      <c r="AW62" s="4">
        <f t="shared" si="22"/>
        <v>177.31839835771527</v>
      </c>
      <c r="AX62" s="4">
        <f t="shared" si="23"/>
        <v>62.757351557712468</v>
      </c>
      <c r="AY62" s="3">
        <f t="shared" si="24"/>
        <v>115.53057900397067</v>
      </c>
      <c r="AZ62" s="3">
        <f t="shared" si="10"/>
        <v>114.5610468000028</v>
      </c>
      <c r="BA62" s="4">
        <f t="shared" si="11"/>
        <v>8115.4662804481904</v>
      </c>
      <c r="BB62">
        <v>0</v>
      </c>
      <c r="BC62">
        <v>0</v>
      </c>
      <c r="BD62" s="23">
        <v>1</v>
      </c>
      <c r="BE62">
        <v>0</v>
      </c>
      <c r="BG62" s="4">
        <f t="shared" si="12"/>
        <v>187.13752798471995</v>
      </c>
      <c r="BH62" s="4">
        <f t="shared" si="13"/>
        <v>186.11987154897287</v>
      </c>
    </row>
    <row r="63" spans="1:60">
      <c r="A63">
        <v>1984</v>
      </c>
      <c r="B63" s="3">
        <f t="shared" si="0"/>
        <v>128.03534244803114</v>
      </c>
      <c r="C63" s="3">
        <f t="shared" si="1"/>
        <v>47.643090239969929</v>
      </c>
      <c r="D63" s="1">
        <v>89.464699999999993</v>
      </c>
      <c r="E63" s="3">
        <v>68.183310000000006</v>
      </c>
      <c r="F63" s="3">
        <f t="shared" si="14"/>
        <v>60.999993741569995</v>
      </c>
      <c r="G63" s="3">
        <v>237.52</v>
      </c>
      <c r="H63" s="3">
        <f t="shared" si="15"/>
        <v>144.88718513497707</v>
      </c>
      <c r="I63" s="21">
        <f t="shared" si="2"/>
        <v>144.88718513497707</v>
      </c>
      <c r="J63" s="21">
        <f t="shared" si="3"/>
        <v>143.56750350518331</v>
      </c>
      <c r="P63" s="21">
        <f t="shared" si="4"/>
        <v>92.872685671520316</v>
      </c>
      <c r="Q63" s="21">
        <f t="shared" si="5"/>
        <v>91.553004041726552</v>
      </c>
      <c r="R63" s="27"/>
      <c r="S63">
        <f>USA!Z71*G63</f>
        <v>6774.0704000000005</v>
      </c>
      <c r="T63">
        <v>0</v>
      </c>
      <c r="U63">
        <v>0</v>
      </c>
      <c r="V63">
        <v>0</v>
      </c>
      <c r="X63" s="2">
        <v>0.35899999999999999</v>
      </c>
      <c r="Y63" s="3">
        <v>47.794484362438013</v>
      </c>
      <c r="Z63" s="3">
        <v>0.03</v>
      </c>
      <c r="AA63" s="4">
        <f t="shared" si="16"/>
        <v>4.220015101018749</v>
      </c>
      <c r="AB63" s="3">
        <f t="shared" si="17"/>
        <v>52.014499463456765</v>
      </c>
      <c r="AD63" s="4"/>
      <c r="AE63" s="3">
        <v>47.794484362438013</v>
      </c>
      <c r="AM63">
        <v>1984</v>
      </c>
      <c r="AN63" s="2">
        <f t="shared" si="18"/>
        <v>144.88718513497707</v>
      </c>
      <c r="AO63" s="2">
        <f t="shared" si="19"/>
        <v>47.794484362438013</v>
      </c>
      <c r="AP63" s="2">
        <f t="shared" si="20"/>
        <v>4.220015101018749</v>
      </c>
      <c r="AQ63" s="2">
        <f t="shared" si="21"/>
        <v>52.014499463456765</v>
      </c>
      <c r="AR63" s="2">
        <f t="shared" si="7"/>
        <v>92.872685671520316</v>
      </c>
      <c r="AT63" s="7">
        <v>86.633207256197338</v>
      </c>
      <c r="AV63" s="4">
        <f t="shared" si="8"/>
        <v>167.24208848289234</v>
      </c>
      <c r="AW63" s="4">
        <f t="shared" si="22"/>
        <v>169.19428753257665</v>
      </c>
      <c r="AX63" s="4">
        <f t="shared" si="23"/>
        <v>60.03990976535836</v>
      </c>
      <c r="AY63" s="3">
        <f t="shared" si="24"/>
        <v>107.20217871753398</v>
      </c>
      <c r="AZ63" s="3">
        <f t="shared" si="10"/>
        <v>109.15437776721829</v>
      </c>
      <c r="BA63" s="4">
        <f t="shared" si="11"/>
        <v>7819.2538572042931</v>
      </c>
      <c r="BB63">
        <v>0</v>
      </c>
      <c r="BC63">
        <v>0</v>
      </c>
      <c r="BD63" s="23">
        <v>0.9</v>
      </c>
      <c r="BE63">
        <v>0</v>
      </c>
      <c r="BG63" s="4">
        <f t="shared" si="12"/>
        <v>175.5434084353916</v>
      </c>
      <c r="BH63" s="4">
        <f t="shared" si="13"/>
        <v>177.59250790690993</v>
      </c>
    </row>
    <row r="64" spans="1:60">
      <c r="A64">
        <v>1985</v>
      </c>
      <c r="B64" s="3">
        <f t="shared" si="0"/>
        <v>118.97115685383758</v>
      </c>
      <c r="C64" s="3">
        <f t="shared" si="1"/>
        <v>49.339718212134507</v>
      </c>
      <c r="D64" s="1">
        <v>83.131100000000004</v>
      </c>
      <c r="E64" s="3">
        <v>70.611400000000003</v>
      </c>
      <c r="F64" s="3">
        <f t="shared" si="14"/>
        <v>58.700033545400004</v>
      </c>
      <c r="G64" s="3">
        <v>238.54</v>
      </c>
      <c r="H64" s="3">
        <f t="shared" si="15"/>
        <v>140.02306001919717</v>
      </c>
      <c r="I64" s="21">
        <f t="shared" si="2"/>
        <v>140.02306001919717</v>
      </c>
      <c r="J64" s="21">
        <f t="shared" si="3"/>
        <v>141.55806347426667</v>
      </c>
      <c r="P64" s="21">
        <f t="shared" si="4"/>
        <v>87.374389451979027</v>
      </c>
      <c r="Q64" s="21">
        <f t="shared" si="5"/>
        <v>88.909392907048542</v>
      </c>
      <c r="R64" s="27"/>
      <c r="S64">
        <f>USA!Z72*G64</f>
        <v>6361.8618000000006</v>
      </c>
      <c r="T64">
        <v>0</v>
      </c>
      <c r="U64">
        <v>0</v>
      </c>
      <c r="V64">
        <v>0</v>
      </c>
      <c r="X64" s="2">
        <v>0.376</v>
      </c>
      <c r="Y64" s="3">
        <v>48.570329013260938</v>
      </c>
      <c r="Z64" s="3">
        <v>0.03</v>
      </c>
      <c r="AA64" s="4">
        <f t="shared" si="16"/>
        <v>4.0783415539571992</v>
      </c>
      <c r="AB64" s="3">
        <f t="shared" si="17"/>
        <v>52.64867056721814</v>
      </c>
      <c r="AD64" s="4"/>
      <c r="AE64" s="3">
        <v>48.570329013260938</v>
      </c>
      <c r="AM64">
        <v>1985</v>
      </c>
      <c r="AN64" s="2">
        <f t="shared" si="18"/>
        <v>140.02306001919717</v>
      </c>
      <c r="AO64" s="2">
        <f t="shared" si="19"/>
        <v>48.570329013260938</v>
      </c>
      <c r="AP64" s="2">
        <f t="shared" si="20"/>
        <v>4.0783415539571992</v>
      </c>
      <c r="AQ64" s="2">
        <f t="shared" si="21"/>
        <v>52.64867056721814</v>
      </c>
      <c r="AR64" s="2">
        <f t="shared" si="7"/>
        <v>87.374389451979027</v>
      </c>
      <c r="AT64" s="7">
        <v>88.406524033826258</v>
      </c>
      <c r="AV64" s="4">
        <f t="shared" si="8"/>
        <v>158.38543766930741</v>
      </c>
      <c r="AW64" s="4">
        <f t="shared" si="22"/>
        <v>164.39724442173252</v>
      </c>
      <c r="AX64" s="4">
        <f t="shared" si="23"/>
        <v>59.552924563659595</v>
      </c>
      <c r="AY64" s="3">
        <f t="shared" si="24"/>
        <v>98.83251310564782</v>
      </c>
      <c r="AZ64" s="3">
        <f t="shared" si="10"/>
        <v>104.84431985807294</v>
      </c>
      <c r="BA64" s="4">
        <f t="shared" si="11"/>
        <v>7196.1451595651624</v>
      </c>
      <c r="BB64">
        <v>0</v>
      </c>
      <c r="BC64">
        <v>0</v>
      </c>
      <c r="BD64" s="23">
        <v>0.9</v>
      </c>
      <c r="BE64">
        <v>0</v>
      </c>
      <c r="BG64" s="4">
        <f t="shared" si="12"/>
        <v>166.24714404858432</v>
      </c>
      <c r="BH64" s="4">
        <f t="shared" si="13"/>
        <v>172.55735613543925</v>
      </c>
    </row>
    <row r="65" spans="1:60">
      <c r="A65">
        <v>1986</v>
      </c>
      <c r="B65" s="3">
        <f t="shared" si="0"/>
        <v>145.25366001456851</v>
      </c>
      <c r="C65" s="3">
        <f t="shared" si="1"/>
        <v>50.256813657899102</v>
      </c>
      <c r="D65" s="1">
        <v>101.496</v>
      </c>
      <c r="E65" s="3">
        <v>71.923879999999997</v>
      </c>
      <c r="F65" s="3">
        <f t="shared" si="14"/>
        <v>72.999861244800002</v>
      </c>
      <c r="G65" s="3">
        <v>168.52</v>
      </c>
      <c r="H65" s="3">
        <f t="shared" si="15"/>
        <v>123.01936616973697</v>
      </c>
      <c r="I65" s="21">
        <f t="shared" si="2"/>
        <v>123.01936616973697</v>
      </c>
      <c r="J65" s="21">
        <f t="shared" si="3"/>
        <v>122.5626613100081</v>
      </c>
      <c r="P65" s="21">
        <f t="shared" si="4"/>
        <v>64.831205971451382</v>
      </c>
      <c r="Q65" s="21">
        <f t="shared" si="5"/>
        <v>64.374501111722509</v>
      </c>
      <c r="R65" s="27"/>
      <c r="S65">
        <f>USA!Z73*G65</f>
        <v>2536.2260000000001</v>
      </c>
      <c r="T65">
        <v>0</v>
      </c>
      <c r="U65">
        <v>0</v>
      </c>
      <c r="V65">
        <v>0</v>
      </c>
      <c r="X65" s="2">
        <v>0.47299999999999998</v>
      </c>
      <c r="Y65" s="3">
        <v>54.605071863244703</v>
      </c>
      <c r="Z65" s="3">
        <v>0.03</v>
      </c>
      <c r="AA65" s="4">
        <f t="shared" si="16"/>
        <v>3.5830883350408826</v>
      </c>
      <c r="AB65" s="3">
        <f t="shared" si="17"/>
        <v>58.188160198285587</v>
      </c>
      <c r="AD65" s="4"/>
      <c r="AE65" s="3">
        <v>54.605071863244703</v>
      </c>
      <c r="AM65">
        <v>1986</v>
      </c>
      <c r="AN65" s="2">
        <f t="shared" si="18"/>
        <v>123.01936616973697</v>
      </c>
      <c r="AO65" s="2">
        <f t="shared" si="19"/>
        <v>54.605071863244703</v>
      </c>
      <c r="AP65" s="2">
        <f t="shared" si="20"/>
        <v>3.5830883350408826</v>
      </c>
      <c r="AQ65" s="2">
        <f t="shared" si="21"/>
        <v>58.188160198285587</v>
      </c>
      <c r="AR65" s="2">
        <f t="shared" si="7"/>
        <v>64.831205971451382</v>
      </c>
      <c r="AT65" s="7">
        <v>88.950229549432265</v>
      </c>
      <c r="AV65" s="4">
        <f t="shared" si="8"/>
        <v>138.30134761076863</v>
      </c>
      <c r="AW65" s="4">
        <f t="shared" si="22"/>
        <v>140.2073658846947</v>
      </c>
      <c r="AX65" s="4">
        <f t="shared" si="23"/>
        <v>65.416537419893572</v>
      </c>
      <c r="AY65" s="3">
        <f t="shared" si="24"/>
        <v>72.884810190875058</v>
      </c>
      <c r="AZ65" s="3">
        <f t="shared" si="10"/>
        <v>74.790828464801109</v>
      </c>
      <c r="BA65" s="4">
        <f t="shared" si="11"/>
        <v>2851.2866271925072</v>
      </c>
      <c r="BB65">
        <v>0</v>
      </c>
      <c r="BC65">
        <v>0</v>
      </c>
      <c r="BD65" s="23">
        <v>0.9</v>
      </c>
      <c r="BE65">
        <v>0</v>
      </c>
      <c r="BG65" s="4">
        <f t="shared" si="12"/>
        <v>145.16614908983081</v>
      </c>
      <c r="BH65" s="4">
        <f t="shared" si="13"/>
        <v>147.16677553129833</v>
      </c>
    </row>
    <row r="66" spans="1:60">
      <c r="A66">
        <v>1987</v>
      </c>
      <c r="B66" s="3">
        <f t="shared" si="0"/>
        <v>160.53952687252948</v>
      </c>
      <c r="C66" s="3">
        <f t="shared" si="1"/>
        <v>52.136856526716379</v>
      </c>
      <c r="D66" s="1">
        <v>112.17700000000001</v>
      </c>
      <c r="E66" s="3">
        <v>74.614459999999994</v>
      </c>
      <c r="F66" s="3">
        <f t="shared" si="14"/>
        <v>83.7002627942</v>
      </c>
      <c r="G66" s="3">
        <v>144.63999999999999</v>
      </c>
      <c r="H66" s="3">
        <f t="shared" si="15"/>
        <v>121.06406010553086</v>
      </c>
      <c r="I66" s="21">
        <f t="shared" si="2"/>
        <v>121.06406010553086</v>
      </c>
      <c r="J66" s="21">
        <f t="shared" si="3"/>
        <v>119.06634009329096</v>
      </c>
      <c r="P66" s="21">
        <f t="shared" si="4"/>
        <v>67.916937719202821</v>
      </c>
      <c r="Q66" s="21">
        <f t="shared" si="5"/>
        <v>65.919217706962911</v>
      </c>
      <c r="R66" s="27"/>
      <c r="S66">
        <f>USA!Z74*G66</f>
        <v>2777.0879999999997</v>
      </c>
      <c r="T66">
        <v>0</v>
      </c>
      <c r="U66">
        <v>0</v>
      </c>
      <c r="V66">
        <v>0</v>
      </c>
      <c r="X66" s="2">
        <v>0.439</v>
      </c>
      <c r="Y66" s="3">
        <v>49.620984713351419</v>
      </c>
      <c r="Z66" s="3">
        <v>0.03</v>
      </c>
      <c r="AA66" s="4">
        <f t="shared" si="16"/>
        <v>3.5261376729766267</v>
      </c>
      <c r="AB66" s="3">
        <f t="shared" si="17"/>
        <v>53.147122386328043</v>
      </c>
      <c r="AD66" s="4"/>
      <c r="AE66" s="3">
        <v>49.620984713351419</v>
      </c>
      <c r="AM66">
        <v>1987</v>
      </c>
      <c r="AN66" s="2">
        <f t="shared" si="18"/>
        <v>121.06406010553086</v>
      </c>
      <c r="AO66" s="2">
        <f t="shared" si="19"/>
        <v>49.620984713351419</v>
      </c>
      <c r="AP66" s="2">
        <f t="shared" si="20"/>
        <v>3.5261376729766267</v>
      </c>
      <c r="AQ66" s="2">
        <f t="shared" si="21"/>
        <v>53.147122386328043</v>
      </c>
      <c r="AR66" s="2">
        <f t="shared" si="7"/>
        <v>67.916937719202821</v>
      </c>
      <c r="AT66" s="7">
        <v>89.05897067135507</v>
      </c>
      <c r="AV66" s="4">
        <f t="shared" si="8"/>
        <v>135.93696310760293</v>
      </c>
      <c r="AW66" s="4">
        <f t="shared" si="22"/>
        <v>136.31379899187397</v>
      </c>
      <c r="AX66" s="4">
        <f t="shared" si="23"/>
        <v>59.676326804237675</v>
      </c>
      <c r="AY66" s="3">
        <f t="shared" si="24"/>
        <v>76.26063630336526</v>
      </c>
      <c r="AZ66" s="3">
        <f t="shared" si="10"/>
        <v>76.637472187636291</v>
      </c>
      <c r="BA66" s="4">
        <f t="shared" si="11"/>
        <v>3118.2574636394515</v>
      </c>
      <c r="BB66">
        <v>0</v>
      </c>
      <c r="BC66">
        <v>0</v>
      </c>
      <c r="BD66" s="23">
        <v>0.9</v>
      </c>
      <c r="BE66">
        <v>0</v>
      </c>
      <c r="BG66" s="4">
        <f t="shared" si="12"/>
        <v>142.68440470178473</v>
      </c>
      <c r="BH66" s="4">
        <f t="shared" si="13"/>
        <v>143.07994541851326</v>
      </c>
    </row>
    <row r="67" spans="1:60">
      <c r="A67">
        <v>1988</v>
      </c>
      <c r="B67" s="3">
        <f t="shared" si="0"/>
        <v>166.89086823716116</v>
      </c>
      <c r="C67" s="3">
        <f t="shared" si="1"/>
        <v>54.227069431021505</v>
      </c>
      <c r="D67" s="1">
        <v>116.61499999999999</v>
      </c>
      <c r="E67" s="3">
        <v>77.605819999999994</v>
      </c>
      <c r="F67" s="3">
        <f t="shared" si="14"/>
        <v>90.500026992999992</v>
      </c>
      <c r="G67" s="3">
        <v>128.15</v>
      </c>
      <c r="H67" s="3">
        <f t="shared" si="15"/>
        <v>115.9757845915295</v>
      </c>
      <c r="I67" s="21">
        <f t="shared" si="2"/>
        <v>115.9757845915295</v>
      </c>
      <c r="J67" s="21">
        <f t="shared" si="3"/>
        <v>114.81491723513756</v>
      </c>
      <c r="P67" s="21">
        <f t="shared" si="4"/>
        <v>62.394972110242868</v>
      </c>
      <c r="Q67" s="21">
        <f t="shared" si="5"/>
        <v>61.234104753850914</v>
      </c>
      <c r="R67" s="27"/>
      <c r="S67">
        <f>USA!Z75*G67</f>
        <v>2046.5555000000002</v>
      </c>
      <c r="T67">
        <v>0</v>
      </c>
      <c r="U67">
        <v>0</v>
      </c>
      <c r="V67">
        <v>0</v>
      </c>
      <c r="X67" s="2">
        <v>0.46200000000000002</v>
      </c>
      <c r="Y67" s="3">
        <v>50.202877007746942</v>
      </c>
      <c r="Z67" s="3">
        <v>0.03</v>
      </c>
      <c r="AA67" s="4">
        <f t="shared" si="16"/>
        <v>3.377935473539694</v>
      </c>
      <c r="AB67" s="3">
        <f t="shared" si="17"/>
        <v>53.580812481286635</v>
      </c>
      <c r="AD67" s="4"/>
      <c r="AE67" s="3">
        <v>50.202877007746942</v>
      </c>
      <c r="AM67">
        <v>1988</v>
      </c>
      <c r="AN67" s="2">
        <f t="shared" si="18"/>
        <v>115.9757845915295</v>
      </c>
      <c r="AO67" s="2">
        <f t="shared" si="19"/>
        <v>50.202877007746942</v>
      </c>
      <c r="AP67" s="2">
        <f t="shared" si="20"/>
        <v>3.377935473539694</v>
      </c>
      <c r="AQ67" s="2">
        <f t="shared" si="21"/>
        <v>53.580812481286635</v>
      </c>
      <c r="AR67" s="2">
        <f t="shared" si="7"/>
        <v>62.394972110242868</v>
      </c>
      <c r="AT67" s="7">
        <v>89.636135053525948</v>
      </c>
      <c r="AV67" s="4">
        <f t="shared" si="8"/>
        <v>129.38507949084922</v>
      </c>
      <c r="AW67" s="4">
        <f t="shared" si="22"/>
        <v>130.63713712593463</v>
      </c>
      <c r="AX67" s="4">
        <f t="shared" si="23"/>
        <v>59.775906724772341</v>
      </c>
      <c r="AY67" s="3">
        <f t="shared" si="24"/>
        <v>69.609172766076881</v>
      </c>
      <c r="AZ67" s="3">
        <f t="shared" si="10"/>
        <v>70.861230401162288</v>
      </c>
      <c r="BA67" s="4">
        <f t="shared" si="11"/>
        <v>2283.1813294693102</v>
      </c>
      <c r="BB67">
        <v>0</v>
      </c>
      <c r="BC67">
        <v>0</v>
      </c>
      <c r="BD67" s="23">
        <v>0.9</v>
      </c>
      <c r="BE67">
        <v>0</v>
      </c>
      <c r="BG67" s="4">
        <f t="shared" si="12"/>
        <v>135.8073081994016</v>
      </c>
      <c r="BH67" s="4">
        <f t="shared" si="13"/>
        <v>137.12151365338894</v>
      </c>
    </row>
    <row r="68" spans="1:60">
      <c r="A68">
        <v>1989</v>
      </c>
      <c r="B68" s="3">
        <f t="shared" si="0"/>
        <v>151.81680816648398</v>
      </c>
      <c r="C68" s="3">
        <f t="shared" si="1"/>
        <v>56.844608024141067</v>
      </c>
      <c r="D68" s="1">
        <v>106.08199999999999</v>
      </c>
      <c r="E68" s="3">
        <v>81.351849999999999</v>
      </c>
      <c r="F68" s="3">
        <f t="shared" si="14"/>
        <v>86.299669516999998</v>
      </c>
      <c r="G68" s="3">
        <v>137.96</v>
      </c>
      <c r="H68" s="3">
        <f t="shared" si="15"/>
        <v>119.0590240656532</v>
      </c>
      <c r="I68" s="21">
        <f t="shared" si="2"/>
        <v>119.0590240656532</v>
      </c>
      <c r="J68" s="21">
        <f t="shared" si="3"/>
        <v>118.82442001462613</v>
      </c>
      <c r="P68" s="21">
        <f t="shared" si="4"/>
        <v>65.720581284240581</v>
      </c>
      <c r="Q68" s="21">
        <f t="shared" si="5"/>
        <v>65.485977233213504</v>
      </c>
      <c r="R68" s="27"/>
      <c r="S68">
        <f>USA!Z76*G68</f>
        <v>2709.5344000000005</v>
      </c>
      <c r="T68">
        <v>0</v>
      </c>
      <c r="U68">
        <v>0</v>
      </c>
      <c r="V68">
        <v>0</v>
      </c>
      <c r="X68" s="2">
        <v>0.44799999999999995</v>
      </c>
      <c r="Y68" s="3">
        <v>49.870704216393605</v>
      </c>
      <c r="Z68" s="3">
        <v>0.03</v>
      </c>
      <c r="AA68" s="4">
        <f t="shared" si="16"/>
        <v>3.4677385650190256</v>
      </c>
      <c r="AB68" s="3">
        <f t="shared" si="17"/>
        <v>53.338442781412631</v>
      </c>
      <c r="AD68" s="4"/>
      <c r="AE68" s="3">
        <v>49.870704216393605</v>
      </c>
      <c r="AM68">
        <v>1989</v>
      </c>
      <c r="AN68" s="2">
        <f t="shared" si="18"/>
        <v>119.0590240656532</v>
      </c>
      <c r="AO68" s="2">
        <f t="shared" si="19"/>
        <v>49.870704216393605</v>
      </c>
      <c r="AP68" s="2">
        <f t="shared" si="20"/>
        <v>3.4677385650190256</v>
      </c>
      <c r="AQ68" s="2">
        <f t="shared" si="21"/>
        <v>53.338442781412631</v>
      </c>
      <c r="AR68" s="2">
        <f t="shared" si="7"/>
        <v>65.720581284240581</v>
      </c>
      <c r="AT68" s="7">
        <v>91.68548690561606</v>
      </c>
      <c r="AV68" s="4">
        <f t="shared" si="8"/>
        <v>129.85591077049776</v>
      </c>
      <c r="AW68" s="4">
        <f t="shared" si="22"/>
        <v>130.32762592191551</v>
      </c>
      <c r="AX68" s="4">
        <f t="shared" si="23"/>
        <v>58.175448025182995</v>
      </c>
      <c r="AY68" s="3">
        <f t="shared" si="24"/>
        <v>71.68046274531477</v>
      </c>
      <c r="AZ68" s="3">
        <f t="shared" si="10"/>
        <v>72.15217789673251</v>
      </c>
      <c r="BA68" s="4">
        <f t="shared" si="11"/>
        <v>2955.2489619096214</v>
      </c>
      <c r="BB68">
        <v>0</v>
      </c>
      <c r="BC68">
        <v>0</v>
      </c>
      <c r="BD68" s="23">
        <v>0.8</v>
      </c>
      <c r="BE68">
        <v>0</v>
      </c>
      <c r="BG68" s="4">
        <f t="shared" si="12"/>
        <v>136.30150991846205</v>
      </c>
      <c r="BH68" s="4">
        <f t="shared" si="13"/>
        <v>136.79663938163517</v>
      </c>
    </row>
    <row r="69" spans="1:60">
      <c r="A69">
        <v>1990</v>
      </c>
      <c r="B69" s="3">
        <f t="shared" si="0"/>
        <v>139.53559232137661</v>
      </c>
      <c r="C69" s="3">
        <f t="shared" si="1"/>
        <v>59.913057002261802</v>
      </c>
      <c r="D69" s="1">
        <v>97.500500000000002</v>
      </c>
      <c r="E69" s="3">
        <v>85.743189999999998</v>
      </c>
      <c r="F69" s="3">
        <f t="shared" si="14"/>
        <v>83.600038965950006</v>
      </c>
      <c r="G69" s="3">
        <v>144.792</v>
      </c>
      <c r="H69" s="3">
        <f t="shared" si="15"/>
        <v>121.04616841957834</v>
      </c>
      <c r="I69" s="21">
        <f t="shared" si="2"/>
        <v>121.04616841957834</v>
      </c>
      <c r="J69" s="21">
        <f t="shared" si="3"/>
        <v>121.00044507009125</v>
      </c>
      <c r="K69" s="4">
        <f t="shared" ref="K69:K77" si="25">K$79*L69/L$79</f>
        <v>111.10693641618496</v>
      </c>
      <c r="L69">
        <v>92.5</v>
      </c>
      <c r="P69" s="21">
        <f t="shared" si="4"/>
        <v>70.933054693872904</v>
      </c>
      <c r="Q69" s="21">
        <f t="shared" si="5"/>
        <v>70.887331344385814</v>
      </c>
      <c r="R69" s="27"/>
      <c r="S69">
        <f>USA!Z77*G69</f>
        <v>3551.7477600000002</v>
      </c>
      <c r="T69">
        <v>0</v>
      </c>
      <c r="U69">
        <v>0</v>
      </c>
      <c r="V69">
        <v>0</v>
      </c>
      <c r="X69" s="2">
        <v>0.41399999999999998</v>
      </c>
      <c r="Y69" s="3">
        <v>46.587497169795384</v>
      </c>
      <c r="Z69" s="3">
        <v>0.03</v>
      </c>
      <c r="AA69" s="4">
        <f t="shared" si="16"/>
        <v>3.5256165559100485</v>
      </c>
      <c r="AB69" s="3">
        <f t="shared" si="17"/>
        <v>50.113113725705432</v>
      </c>
      <c r="AD69" s="4"/>
      <c r="AE69" s="3">
        <v>46.587497169795384</v>
      </c>
      <c r="AM69">
        <v>1990</v>
      </c>
      <c r="AN69" s="2">
        <f t="shared" si="18"/>
        <v>121.04616841957834</v>
      </c>
      <c r="AO69" s="2">
        <f t="shared" si="19"/>
        <v>46.587497169795384</v>
      </c>
      <c r="AP69" s="2">
        <f t="shared" si="20"/>
        <v>3.5256165559100485</v>
      </c>
      <c r="AQ69" s="2">
        <f t="shared" si="21"/>
        <v>50.113113725705432</v>
      </c>
      <c r="AR69" s="2">
        <f t="shared" si="7"/>
        <v>70.933054693872904</v>
      </c>
      <c r="AT69" s="7">
        <v>94.496026657188978</v>
      </c>
      <c r="AV69" s="4">
        <f t="shared" si="8"/>
        <v>128.0965694554624</v>
      </c>
      <c r="AW69" s="4">
        <f t="shared" si="22"/>
        <v>127.38334277942681</v>
      </c>
      <c r="AX69" s="4">
        <f t="shared" si="23"/>
        <v>53.031979754561434</v>
      </c>
      <c r="AY69" s="3">
        <f t="shared" si="24"/>
        <v>75.064589700900967</v>
      </c>
      <c r="AZ69" s="3">
        <f t="shared" si="10"/>
        <v>74.351363024865378</v>
      </c>
      <c r="BA69" s="4">
        <f t="shared" si="11"/>
        <v>3758.6212729186677</v>
      </c>
      <c r="BB69">
        <v>0</v>
      </c>
      <c r="BC69">
        <v>0</v>
      </c>
      <c r="BD69" s="23">
        <v>0.7</v>
      </c>
      <c r="BE69">
        <v>0</v>
      </c>
      <c r="BG69" s="4">
        <f t="shared" si="12"/>
        <v>134.45484097379563</v>
      </c>
      <c r="BH69" s="4">
        <f t="shared" si="13"/>
        <v>133.70621218762054</v>
      </c>
    </row>
    <row r="70" spans="1:60">
      <c r="A70">
        <v>1991</v>
      </c>
      <c r="B70" s="3">
        <f t="shared" si="0"/>
        <v>146.35562775922071</v>
      </c>
      <c r="C70" s="3">
        <f t="shared" si="1"/>
        <v>62.450351141377027</v>
      </c>
      <c r="D70" s="1">
        <v>102.26600000000001</v>
      </c>
      <c r="E70" s="3">
        <v>89.374380000000002</v>
      </c>
      <c r="F70" s="3">
        <f t="shared" si="14"/>
        <v>91.399603450800001</v>
      </c>
      <c r="G70" s="3">
        <v>134.70699999999999</v>
      </c>
      <c r="H70" s="3">
        <f t="shared" si="15"/>
        <v>123.12166382046915</v>
      </c>
      <c r="I70" s="21">
        <f t="shared" si="2"/>
        <v>123.12166382046915</v>
      </c>
      <c r="J70" s="21">
        <f t="shared" si="3"/>
        <v>121.62993872658618</v>
      </c>
      <c r="K70" s="4">
        <f t="shared" si="25"/>
        <v>116.3920231213873</v>
      </c>
      <c r="L70">
        <v>96.9</v>
      </c>
      <c r="P70" s="21">
        <f t="shared" si="4"/>
        <v>68.209401756539904</v>
      </c>
      <c r="Q70" s="21">
        <f t="shared" si="5"/>
        <v>66.717676662656942</v>
      </c>
      <c r="R70" s="27"/>
      <c r="S70">
        <f>USA!Z78*G70</f>
        <v>2901.5887799999996</v>
      </c>
      <c r="T70">
        <v>0</v>
      </c>
      <c r="U70">
        <v>0</v>
      </c>
      <c r="V70">
        <v>0</v>
      </c>
      <c r="X70" s="2">
        <v>0.44600000000000001</v>
      </c>
      <c r="Y70" s="3">
        <v>51.326194185663148</v>
      </c>
      <c r="Z70" s="3">
        <v>0.03</v>
      </c>
      <c r="AA70" s="4">
        <f t="shared" si="16"/>
        <v>3.5860678782660917</v>
      </c>
      <c r="AB70" s="3">
        <f t="shared" si="17"/>
        <v>54.912262063929241</v>
      </c>
      <c r="AD70" s="4"/>
      <c r="AE70" s="3">
        <v>51.326194185663148</v>
      </c>
      <c r="AM70">
        <v>1991</v>
      </c>
      <c r="AN70" s="2">
        <f t="shared" si="18"/>
        <v>123.12166382046915</v>
      </c>
      <c r="AO70" s="2">
        <f t="shared" si="19"/>
        <v>51.326194185663148</v>
      </c>
      <c r="AP70" s="2">
        <f t="shared" si="20"/>
        <v>3.5860678782660917</v>
      </c>
      <c r="AQ70" s="2">
        <f t="shared" si="21"/>
        <v>54.912262063929241</v>
      </c>
      <c r="AR70" s="2">
        <f t="shared" si="7"/>
        <v>68.209401756539904</v>
      </c>
      <c r="AT70" s="7">
        <v>97.582601403747134</v>
      </c>
      <c r="AV70" s="4">
        <f t="shared" si="8"/>
        <v>126.17173763492364</v>
      </c>
      <c r="AW70" s="4">
        <f t="shared" si="22"/>
        <v>125.19304345592232</v>
      </c>
      <c r="AX70" s="4">
        <f t="shared" si="23"/>
        <v>56.272594985175949</v>
      </c>
      <c r="AY70" s="3">
        <f t="shared" si="24"/>
        <v>69.899142649747688</v>
      </c>
      <c r="AZ70" s="3">
        <f t="shared" si="10"/>
        <v>68.920448470746379</v>
      </c>
      <c r="BA70" s="4">
        <f t="shared" si="11"/>
        <v>2973.4693872268294</v>
      </c>
      <c r="BB70">
        <v>0</v>
      </c>
      <c r="BC70">
        <v>0</v>
      </c>
      <c r="BD70" s="23">
        <v>0.7</v>
      </c>
      <c r="BE70">
        <v>0</v>
      </c>
      <c r="BG70" s="4">
        <f t="shared" si="12"/>
        <v>132.43446714620595</v>
      </c>
      <c r="BH70" s="4">
        <f t="shared" si="13"/>
        <v>131.40719396661189</v>
      </c>
    </row>
    <row r="71" spans="1:60">
      <c r="A71">
        <v>1992</v>
      </c>
      <c r="B71" s="3">
        <f t="shared" si="0"/>
        <v>147.18281913118037</v>
      </c>
      <c r="C71" s="3">
        <f t="shared" si="1"/>
        <v>64.341860498266513</v>
      </c>
      <c r="D71" s="1">
        <v>102.84399999999999</v>
      </c>
      <c r="E71" s="3">
        <v>92.081370000000007</v>
      </c>
      <c r="F71" s="3">
        <f t="shared" si="14"/>
        <v>94.700164162799993</v>
      </c>
      <c r="G71" s="3">
        <v>126.651</v>
      </c>
      <c r="H71" s="3">
        <f t="shared" si="15"/>
        <v>119.93870491382782</v>
      </c>
      <c r="I71" s="21">
        <f t="shared" si="2"/>
        <v>119.93870491382782</v>
      </c>
      <c r="J71" s="21">
        <f t="shared" si="3"/>
        <v>120.35666487460642</v>
      </c>
      <c r="K71" s="4">
        <f t="shared" si="25"/>
        <v>113.74947976878613</v>
      </c>
      <c r="L71">
        <v>94.7</v>
      </c>
      <c r="P71" s="21">
        <f t="shared" si="4"/>
        <v>64.407084538725542</v>
      </c>
      <c r="Q71" s="21">
        <f t="shared" si="5"/>
        <v>64.825044499504145</v>
      </c>
      <c r="R71" s="27"/>
      <c r="S71">
        <f>USA!Z79*G71</f>
        <v>2606.4775799999998</v>
      </c>
      <c r="T71">
        <v>0</v>
      </c>
      <c r="U71">
        <v>0</v>
      </c>
      <c r="V71">
        <v>0</v>
      </c>
      <c r="X71" s="2">
        <v>0.46299999999999997</v>
      </c>
      <c r="Y71" s="3">
        <v>52.038260037806324</v>
      </c>
      <c r="Z71" s="3">
        <v>0.03</v>
      </c>
      <c r="AA71" s="4">
        <f t="shared" si="16"/>
        <v>3.4933603372959561</v>
      </c>
      <c r="AB71" s="3">
        <f t="shared" si="17"/>
        <v>55.531620375102278</v>
      </c>
      <c r="AD71" s="4"/>
      <c r="AE71" s="3">
        <v>52.038260037806324</v>
      </c>
      <c r="AM71">
        <v>1992</v>
      </c>
      <c r="AN71" s="2">
        <f t="shared" si="18"/>
        <v>119.93870491382782</v>
      </c>
      <c r="AO71" s="2">
        <f t="shared" si="19"/>
        <v>52.038260037806324</v>
      </c>
      <c r="AP71" s="2">
        <f t="shared" si="20"/>
        <v>3.4933603372959561</v>
      </c>
      <c r="AQ71" s="2">
        <f t="shared" si="21"/>
        <v>55.531620375102278</v>
      </c>
      <c r="AR71" s="2">
        <f t="shared" si="7"/>
        <v>64.407084538725542</v>
      </c>
      <c r="AT71" s="7">
        <v>99.255541908996747</v>
      </c>
      <c r="AV71" s="4">
        <f t="shared" si="8"/>
        <v>120.83829538082075</v>
      </c>
      <c r="AW71" s="4">
        <f t="shared" si="22"/>
        <v>122.46531359468877</v>
      </c>
      <c r="AX71" s="4">
        <f t="shared" si="23"/>
        <v>55.948130761320002</v>
      </c>
      <c r="AY71" s="3">
        <f t="shared" si="24"/>
        <v>64.890164619500752</v>
      </c>
      <c r="AZ71" s="3">
        <f t="shared" si="10"/>
        <v>66.517182833368764</v>
      </c>
      <c r="BA71" s="4">
        <f t="shared" si="11"/>
        <v>2626.0272523520853</v>
      </c>
      <c r="BB71">
        <v>0</v>
      </c>
      <c r="BC71">
        <v>0</v>
      </c>
      <c r="BD71" s="23">
        <v>0.7</v>
      </c>
      <c r="BE71">
        <v>0</v>
      </c>
      <c r="BG71" s="4">
        <f t="shared" si="12"/>
        <v>126.83629122965529</v>
      </c>
      <c r="BH71" s="4">
        <f t="shared" si="13"/>
        <v>128.54406901119185</v>
      </c>
    </row>
    <row r="72" spans="1:60">
      <c r="A72">
        <v>1993</v>
      </c>
      <c r="B72" s="3">
        <f t="shared" si="0"/>
        <v>160.17315837560616</v>
      </c>
      <c r="C72" s="3">
        <f t="shared" si="1"/>
        <v>66.241014180537462</v>
      </c>
      <c r="D72" s="1">
        <v>111.92100000000001</v>
      </c>
      <c r="E72" s="3">
        <v>94.799300000000002</v>
      </c>
      <c r="F72" s="3">
        <f t="shared" si="14"/>
        <v>106.10032455300001</v>
      </c>
      <c r="G72" s="3">
        <v>111.19799999999999</v>
      </c>
      <c r="H72" s="3">
        <f t="shared" si="15"/>
        <v>117.98143889644494</v>
      </c>
      <c r="I72" s="21">
        <f t="shared" si="2"/>
        <v>117.98143889644494</v>
      </c>
      <c r="J72" s="21">
        <f t="shared" si="3"/>
        <v>117.29339703705813</v>
      </c>
      <c r="K72" s="4">
        <f t="shared" si="25"/>
        <v>114.22994219653178</v>
      </c>
      <c r="L72">
        <v>95.1</v>
      </c>
      <c r="M72" s="4"/>
      <c r="N72" s="3"/>
      <c r="P72" s="21">
        <f t="shared" si="4"/>
        <v>61.940255420633598</v>
      </c>
      <c r="Q72" s="21">
        <f t="shared" si="5"/>
        <v>61.252213561246791</v>
      </c>
      <c r="R72" s="27"/>
      <c r="S72">
        <f>USA!Z80*G72</f>
        <v>2049.37914</v>
      </c>
      <c r="T72">
        <v>0</v>
      </c>
      <c r="U72">
        <v>0</v>
      </c>
      <c r="V72">
        <v>0</v>
      </c>
      <c r="X72" s="2">
        <v>0.47499999999999998</v>
      </c>
      <c r="Y72" s="3">
        <v>52.604830886594499</v>
      </c>
      <c r="Z72" s="3">
        <v>0.03</v>
      </c>
      <c r="AA72" s="4">
        <f t="shared" si="16"/>
        <v>3.4363525892168432</v>
      </c>
      <c r="AB72" s="3">
        <f t="shared" si="17"/>
        <v>56.041183475811344</v>
      </c>
      <c r="AD72" s="4"/>
      <c r="AE72" s="3">
        <v>52.604830886594499</v>
      </c>
      <c r="AM72">
        <v>1993</v>
      </c>
      <c r="AN72" s="2">
        <f t="shared" si="18"/>
        <v>117.98143889644494</v>
      </c>
      <c r="AO72" s="2">
        <f t="shared" si="19"/>
        <v>52.604830886594499</v>
      </c>
      <c r="AP72" s="2">
        <f t="shared" si="20"/>
        <v>3.4363525892168432</v>
      </c>
      <c r="AQ72" s="2">
        <f t="shared" si="21"/>
        <v>56.041183475811344</v>
      </c>
      <c r="AR72" s="2">
        <f t="shared" si="7"/>
        <v>61.940255420633598</v>
      </c>
      <c r="AT72" s="7">
        <v>100.51861135967174</v>
      </c>
      <c r="AV72" s="4">
        <f t="shared" si="8"/>
        <v>117.37273058248725</v>
      </c>
      <c r="AW72" s="4">
        <f t="shared" si="22"/>
        <v>118.20740394027298</v>
      </c>
      <c r="AX72" s="4">
        <f t="shared" si="23"/>
        <v>55.752047026681453</v>
      </c>
      <c r="AY72" s="3">
        <f t="shared" si="24"/>
        <v>61.620683555805797</v>
      </c>
      <c r="AZ72" s="3">
        <f t="shared" si="10"/>
        <v>62.45535691359153</v>
      </c>
      <c r="BA72" s="4">
        <f t="shared" si="11"/>
        <v>2038.8056622340237</v>
      </c>
      <c r="BB72">
        <v>0</v>
      </c>
      <c r="BC72">
        <v>0</v>
      </c>
      <c r="BD72" s="23">
        <v>0.7</v>
      </c>
      <c r="BE72">
        <v>0</v>
      </c>
      <c r="BG72" s="4">
        <f t="shared" si="12"/>
        <v>123.1987077578643</v>
      </c>
      <c r="BH72" s="4">
        <f t="shared" si="13"/>
        <v>124.07481141983759</v>
      </c>
    </row>
    <row r="73" spans="1:60">
      <c r="A73">
        <v>1994</v>
      </c>
      <c r="B73" s="3">
        <f t="shared" si="0"/>
        <v>170.52020615980783</v>
      </c>
      <c r="C73" s="3">
        <f t="shared" si="1"/>
        <v>67.968212466727536</v>
      </c>
      <c r="D73" s="1">
        <v>119.151</v>
      </c>
      <c r="E73" s="3">
        <v>97.271140000000003</v>
      </c>
      <c r="F73" s="3">
        <f t="shared" si="14"/>
        <v>115.8995360214</v>
      </c>
      <c r="G73" s="3">
        <v>102.208</v>
      </c>
      <c r="H73" s="3">
        <f t="shared" si="15"/>
        <v>118.4585977767525</v>
      </c>
      <c r="I73" s="21">
        <f t="shared" si="2"/>
        <v>118.4585977767525</v>
      </c>
      <c r="J73" s="21">
        <f t="shared" si="3"/>
        <v>122.04797072796005</v>
      </c>
      <c r="K73" s="4">
        <f t="shared" si="25"/>
        <v>111.46728323699422</v>
      </c>
      <c r="L73">
        <v>92.8</v>
      </c>
      <c r="M73" s="4"/>
      <c r="N73" s="3"/>
      <c r="P73" s="21">
        <f t="shared" si="4"/>
        <v>55.793999552850423</v>
      </c>
      <c r="Q73" s="21">
        <f t="shared" si="5"/>
        <v>59.383372504057974</v>
      </c>
      <c r="R73" s="27"/>
      <c r="S73">
        <f>USA!Z81*G73</f>
        <v>1757.9775999999999</v>
      </c>
      <c r="T73">
        <v>0</v>
      </c>
      <c r="U73">
        <v>0</v>
      </c>
      <c r="V73">
        <v>0</v>
      </c>
      <c r="X73" s="2">
        <v>0.52900000000000003</v>
      </c>
      <c r="Y73" s="3">
        <v>59.214347803219965</v>
      </c>
      <c r="Z73" s="3">
        <v>0.03</v>
      </c>
      <c r="AA73" s="4">
        <f t="shared" si="16"/>
        <v>3.4502504206821114</v>
      </c>
      <c r="AB73" s="3">
        <f t="shared" si="17"/>
        <v>62.664598223902075</v>
      </c>
      <c r="AD73" s="4"/>
      <c r="AE73" s="3">
        <v>59.214347803219965</v>
      </c>
      <c r="AM73">
        <v>1994</v>
      </c>
      <c r="AN73" s="2">
        <f t="shared" si="18"/>
        <v>118.4585977767525</v>
      </c>
      <c r="AO73" s="2">
        <f t="shared" si="19"/>
        <v>59.214347803219965</v>
      </c>
      <c r="AP73" s="2">
        <f t="shared" si="20"/>
        <v>3.4502504206821114</v>
      </c>
      <c r="AQ73" s="2">
        <f t="shared" si="21"/>
        <v>62.664598223902075</v>
      </c>
      <c r="AR73" s="2">
        <f t="shared" si="7"/>
        <v>55.793999552850423</v>
      </c>
      <c r="AT73" s="7">
        <v>101.21288154713685</v>
      </c>
      <c r="AV73" s="4">
        <f t="shared" si="8"/>
        <v>117.03905270356717</v>
      </c>
      <c r="AW73" s="4">
        <f t="shared" si="22"/>
        <v>115.56528152980934</v>
      </c>
      <c r="AX73" s="4">
        <f t="shared" si="23"/>
        <v>61.913658880187036</v>
      </c>
      <c r="AY73" s="3">
        <f t="shared" si="24"/>
        <v>55.125393823380129</v>
      </c>
      <c r="AZ73" s="3">
        <f t="shared" si="10"/>
        <v>53.651622649622297</v>
      </c>
      <c r="BA73" s="4">
        <f t="shared" si="11"/>
        <v>1736.9109278657133</v>
      </c>
      <c r="BB73">
        <v>0</v>
      </c>
      <c r="BC73">
        <v>0</v>
      </c>
      <c r="BD73" s="23">
        <v>0.5</v>
      </c>
      <c r="BE73">
        <v>0</v>
      </c>
      <c r="BG73" s="4">
        <f t="shared" si="12"/>
        <v>122.84846726089087</v>
      </c>
      <c r="BH73" s="4">
        <f t="shared" si="13"/>
        <v>121.3015431735267</v>
      </c>
    </row>
    <row r="74" spans="1:60">
      <c r="A74">
        <v>1995</v>
      </c>
      <c r="B74" s="3">
        <f t="shared" si="0"/>
        <v>167.44185210948723</v>
      </c>
      <c r="C74" s="3">
        <f t="shared" si="1"/>
        <v>69.875003486879606</v>
      </c>
      <c r="D74" s="1">
        <v>117</v>
      </c>
      <c r="E74" s="3">
        <v>100</v>
      </c>
      <c r="F74" s="3">
        <f t="shared" si="14"/>
        <v>117</v>
      </c>
      <c r="G74" s="3">
        <v>94.059600000000003</v>
      </c>
      <c r="H74" s="3">
        <f t="shared" si="15"/>
        <v>110.04973200000001</v>
      </c>
      <c r="I74" s="21">
        <f t="shared" si="2"/>
        <v>110.04973200000001</v>
      </c>
      <c r="J74" s="21">
        <f t="shared" si="3"/>
        <v>101.31240113990046</v>
      </c>
      <c r="K74" s="4">
        <f t="shared" si="25"/>
        <v>107.02300578034682</v>
      </c>
      <c r="L74">
        <v>89.1</v>
      </c>
      <c r="M74" s="4">
        <f>G74*N74/100</f>
        <v>117.5745</v>
      </c>
      <c r="N74" s="6">
        <v>125</v>
      </c>
      <c r="P74" s="21">
        <f t="shared" si="4"/>
        <v>45.780688512000012</v>
      </c>
      <c r="Q74" s="21">
        <f t="shared" si="5"/>
        <v>37.043357651900465</v>
      </c>
      <c r="R74" s="27"/>
      <c r="S74">
        <f>USA!Z82*G74</f>
        <v>1733.5184280000001</v>
      </c>
      <c r="T74">
        <v>0</v>
      </c>
      <c r="U74">
        <v>1</v>
      </c>
      <c r="V74">
        <v>0</v>
      </c>
      <c r="X74" s="2">
        <v>0.58399999999999996</v>
      </c>
      <c r="Y74" s="3">
        <v>61.063711487999996</v>
      </c>
      <c r="Z74" s="3">
        <v>0.03</v>
      </c>
      <c r="AA74" s="4">
        <f t="shared" si="16"/>
        <v>3.2053320000000003</v>
      </c>
      <c r="AB74" s="3">
        <f t="shared" si="17"/>
        <v>64.269043487999994</v>
      </c>
      <c r="AD74" s="4"/>
      <c r="AE74" s="3">
        <v>61.063711487999996</v>
      </c>
      <c r="AM74">
        <v>1995</v>
      </c>
      <c r="AN74" s="2">
        <f t="shared" si="18"/>
        <v>110.04973200000001</v>
      </c>
      <c r="AO74" s="2">
        <f t="shared" si="19"/>
        <v>61.063711487999996</v>
      </c>
      <c r="AP74" s="2">
        <f t="shared" si="20"/>
        <v>3.2053320000000003</v>
      </c>
      <c r="AQ74" s="2">
        <f t="shared" si="21"/>
        <v>64.269043487999994</v>
      </c>
      <c r="AR74" s="2">
        <f t="shared" si="7"/>
        <v>45.780688512000012</v>
      </c>
      <c r="AT74" s="7">
        <v>101.08741107548218</v>
      </c>
      <c r="AV74" s="4">
        <f t="shared" si="8"/>
        <v>108.86591201532072</v>
      </c>
      <c r="AW74" s="4">
        <f t="shared" si="22"/>
        <v>107.00358106760956</v>
      </c>
      <c r="AX74" s="4">
        <f t="shared" si="23"/>
        <v>63.577692616947289</v>
      </c>
      <c r="AY74" s="3">
        <f t="shared" si="24"/>
        <v>45.288219398373428</v>
      </c>
      <c r="AZ74" s="3">
        <f t="shared" si="10"/>
        <v>43.425888450662271</v>
      </c>
      <c r="BA74" s="4">
        <f t="shared" si="11"/>
        <v>1714.8707337114197</v>
      </c>
      <c r="BB74">
        <v>0</v>
      </c>
      <c r="BC74">
        <v>0</v>
      </c>
      <c r="BD74" s="23">
        <v>0.2</v>
      </c>
      <c r="BE74">
        <v>0</v>
      </c>
      <c r="BG74" s="4">
        <f t="shared" si="12"/>
        <v>114.26964008256651</v>
      </c>
      <c r="BH74" s="4">
        <f t="shared" si="13"/>
        <v>112.31486945537854</v>
      </c>
    </row>
    <row r="75" spans="1:60">
      <c r="A75">
        <v>1996</v>
      </c>
      <c r="B75" s="3">
        <f t="shared" si="0"/>
        <v>133.89280190528689</v>
      </c>
      <c r="C75" s="3">
        <f t="shared" si="1"/>
        <v>71.923179589087013</v>
      </c>
      <c r="D75" s="1">
        <v>93.557599999999994</v>
      </c>
      <c r="E75" s="3">
        <v>102.9312</v>
      </c>
      <c r="F75" s="3">
        <f t="shared" si="14"/>
        <v>96.299960371200001</v>
      </c>
      <c r="G75" s="3">
        <v>108.779</v>
      </c>
      <c r="H75" s="3">
        <f t="shared" si="15"/>
        <v>104.75413389218764</v>
      </c>
      <c r="I75" s="21">
        <f t="shared" si="2"/>
        <v>104.75413389218764</v>
      </c>
      <c r="J75" s="21">
        <f t="shared" si="3"/>
        <v>100.64824127157941</v>
      </c>
      <c r="K75" s="4">
        <f t="shared" si="25"/>
        <v>103.65976878612716</v>
      </c>
      <c r="L75">
        <v>86.3</v>
      </c>
      <c r="M75" s="4">
        <f t="shared" ref="M75:M87" si="26">G75*N75/100</f>
        <v>127.63402666666666</v>
      </c>
      <c r="N75" s="3">
        <f>N74+(N$77-N$74)/3</f>
        <v>117.33333333333333</v>
      </c>
      <c r="P75" s="21">
        <f t="shared" si="4"/>
        <v>45.463294109209428</v>
      </c>
      <c r="Q75" s="21">
        <f t="shared" si="5"/>
        <v>41.357401488601198</v>
      </c>
      <c r="R75" s="27"/>
      <c r="S75">
        <f>USA!Z83*G75</f>
        <v>2406.19148</v>
      </c>
      <c r="T75">
        <v>0</v>
      </c>
      <c r="U75">
        <v>1</v>
      </c>
      <c r="V75">
        <v>0</v>
      </c>
      <c r="X75" s="2">
        <v>0.56600000000000006</v>
      </c>
      <c r="Y75" s="3">
        <v>56.239748504564979</v>
      </c>
      <c r="Z75" s="3">
        <v>0.03</v>
      </c>
      <c r="AA75" s="4">
        <f t="shared" si="16"/>
        <v>3.0510912784132325</v>
      </c>
      <c r="AB75" s="3">
        <f t="shared" si="17"/>
        <v>59.29083978297821</v>
      </c>
      <c r="AD75" s="4"/>
      <c r="AE75" s="3">
        <v>56.239748504564979</v>
      </c>
      <c r="AM75">
        <v>1996</v>
      </c>
      <c r="AN75" s="2">
        <f t="shared" si="18"/>
        <v>104.75413389218764</v>
      </c>
      <c r="AO75" s="2">
        <f t="shared" si="19"/>
        <v>56.239748504564979</v>
      </c>
      <c r="AP75" s="2">
        <f t="shared" si="20"/>
        <v>3.0510912784132325</v>
      </c>
      <c r="AQ75" s="2">
        <f t="shared" si="21"/>
        <v>59.29083978297821</v>
      </c>
      <c r="AR75" s="2">
        <f t="shared" si="7"/>
        <v>45.463294109209428</v>
      </c>
      <c r="AT75" s="7">
        <v>101.22124625881261</v>
      </c>
      <c r="AV75" s="4">
        <f t="shared" si="8"/>
        <v>103.49026292794478</v>
      </c>
      <c r="AW75" s="4">
        <f t="shared" si="22"/>
        <v>99.866930454141809</v>
      </c>
      <c r="AX75" s="4">
        <f t="shared" si="23"/>
        <v>58.575488817216751</v>
      </c>
      <c r="AY75" s="3">
        <f t="shared" si="24"/>
        <v>44.914774110728032</v>
      </c>
      <c r="AZ75" s="3">
        <f t="shared" si="10"/>
        <v>41.291441636925057</v>
      </c>
      <c r="BA75" s="4">
        <f t="shared" si="11"/>
        <v>2377.1604963720847</v>
      </c>
      <c r="BB75">
        <v>0</v>
      </c>
      <c r="BC75">
        <v>0</v>
      </c>
      <c r="BD75">
        <v>0</v>
      </c>
      <c r="BE75">
        <v>0</v>
      </c>
      <c r="BG75" s="4">
        <f t="shared" si="12"/>
        <v>108.62716233123717</v>
      </c>
      <c r="BH75" s="4">
        <f t="shared" si="13"/>
        <v>104.82398014118053</v>
      </c>
    </row>
    <row r="76" spans="1:60">
      <c r="A76">
        <v>1997</v>
      </c>
      <c r="B76" s="3">
        <f t="shared" si="0"/>
        <v>117.24822312943918</v>
      </c>
      <c r="C76" s="3">
        <f t="shared" si="1"/>
        <v>73.604511922988308</v>
      </c>
      <c r="D76" s="1">
        <v>81.927199999999999</v>
      </c>
      <c r="E76" s="3">
        <v>105.3374</v>
      </c>
      <c r="F76" s="3">
        <f t="shared" si="14"/>
        <v>86.299982372800002</v>
      </c>
      <c r="G76" s="3">
        <v>120.991</v>
      </c>
      <c r="H76" s="3">
        <f t="shared" si="15"/>
        <v>104.41521167267445</v>
      </c>
      <c r="I76" s="21">
        <f>H76</f>
        <v>104.41521167267445</v>
      </c>
      <c r="J76" s="21">
        <f t="shared" si="3"/>
        <v>104.56726141152544</v>
      </c>
      <c r="K76" s="4">
        <f t="shared" si="25"/>
        <v>105.341387283237</v>
      </c>
      <c r="L76">
        <v>87.7</v>
      </c>
      <c r="M76" s="4">
        <f t="shared" si="26"/>
        <v>132.68679666666665</v>
      </c>
      <c r="N76" s="3">
        <f>N75+(N$77-N$74)/3</f>
        <v>109.66666666666666</v>
      </c>
      <c r="P76" s="21">
        <f t="shared" si="4"/>
        <v>41.766084669069784</v>
      </c>
      <c r="Q76" s="21">
        <f t="shared" si="5"/>
        <v>41.918134407920775</v>
      </c>
      <c r="R76" s="27"/>
      <c r="S76">
        <f>USA!Z84*G76</f>
        <v>2493.6245100000001</v>
      </c>
      <c r="T76">
        <v>0</v>
      </c>
      <c r="U76">
        <v>1</v>
      </c>
      <c r="V76">
        <v>0</v>
      </c>
      <c r="X76" s="2">
        <v>0.6</v>
      </c>
      <c r="Y76" s="3">
        <v>58.152778175594754</v>
      </c>
      <c r="Z76" s="3">
        <v>4.4999999999999998E-2</v>
      </c>
      <c r="AA76" s="4">
        <f t="shared" si="16"/>
        <v>4.4963488280099044</v>
      </c>
      <c r="AB76" s="3">
        <f t="shared" si="17"/>
        <v>62.649127003604661</v>
      </c>
      <c r="AD76" s="4"/>
      <c r="AE76" s="3">
        <v>58.152778175594754</v>
      </c>
      <c r="AM76">
        <v>1997</v>
      </c>
      <c r="AN76" s="2">
        <f t="shared" si="18"/>
        <v>104.41521167267445</v>
      </c>
      <c r="AO76" s="2">
        <f t="shared" si="19"/>
        <v>58.152778175594754</v>
      </c>
      <c r="AP76" s="2">
        <f t="shared" si="20"/>
        <v>4.4963488280099044</v>
      </c>
      <c r="AQ76" s="2">
        <f t="shared" si="21"/>
        <v>62.649127003604661</v>
      </c>
      <c r="AR76" s="2">
        <f t="shared" ref="AR76:AR96" si="27">AN76-AQ76</f>
        <v>41.766084669069784</v>
      </c>
      <c r="AT76" s="7">
        <v>103.01129237606412</v>
      </c>
      <c r="AV76" s="4">
        <f t="shared" ref="AV76:AV97" si="28">AN76/$AT76*100</f>
        <v>101.36287902445203</v>
      </c>
      <c r="AW76" s="4">
        <f t="shared" si="22"/>
        <v>102.41053533810866</v>
      </c>
      <c r="AX76" s="4">
        <f t="shared" si="23"/>
        <v>60.817727414671211</v>
      </c>
      <c r="AY76" s="3">
        <f t="shared" si="24"/>
        <v>40.545151609780817</v>
      </c>
      <c r="AZ76" s="3">
        <f t="shared" ref="AZ76:AZ97" si="29">AW$99+AW$100*BA76+AW$101*BB76+AW$102*BC76+AW$103*BD76+AW$104*BE76</f>
        <v>41.592807923437448</v>
      </c>
      <c r="BA76" s="4">
        <f t="shared" ref="BA76:BA96" si="30">S76/AT76*100</f>
        <v>2420.7292739290233</v>
      </c>
      <c r="BB76">
        <v>0</v>
      </c>
      <c r="BC76">
        <v>0</v>
      </c>
      <c r="BD76">
        <v>0</v>
      </c>
      <c r="BE76">
        <v>0</v>
      </c>
      <c r="BG76" s="4">
        <f t="shared" si="12"/>
        <v>106.39418243450557</v>
      </c>
      <c r="BH76" s="4">
        <f t="shared" si="13"/>
        <v>107.49384079106188</v>
      </c>
    </row>
    <row r="77" spans="1:60">
      <c r="A77">
        <v>1998</v>
      </c>
      <c r="B77" s="3">
        <f t="shared" si="0"/>
        <v>101.27521304632772</v>
      </c>
      <c r="C77" s="3">
        <f t="shared" si="1"/>
        <v>74.747038105002289</v>
      </c>
      <c r="D77" s="1">
        <v>69.737499999999997</v>
      </c>
      <c r="E77" s="3">
        <v>106.9725</v>
      </c>
      <c r="F77" s="3">
        <f t="shared" si="14"/>
        <v>74.599947187499993</v>
      </c>
      <c r="G77" s="3">
        <v>130.905</v>
      </c>
      <c r="H77" s="3">
        <f t="shared" si="15"/>
        <v>97.655060865796855</v>
      </c>
      <c r="I77" s="21">
        <f>K77</f>
        <v>99.095375722543352</v>
      </c>
      <c r="J77" s="21">
        <f t="shared" si="3"/>
        <v>97.489073389378731</v>
      </c>
      <c r="K77" s="4">
        <f t="shared" si="25"/>
        <v>99.095375722543352</v>
      </c>
      <c r="L77">
        <v>82.5</v>
      </c>
      <c r="M77" s="4">
        <f t="shared" si="26"/>
        <v>133.5231</v>
      </c>
      <c r="N77" s="6">
        <v>102</v>
      </c>
      <c r="P77" s="21">
        <f t="shared" si="4"/>
        <v>39.638150289017346</v>
      </c>
      <c r="Q77" s="21">
        <f t="shared" si="5"/>
        <v>38.031847955852726</v>
      </c>
      <c r="R77" s="27"/>
      <c r="S77">
        <f>USA!Z85*G77</f>
        <v>1887.6501000000001</v>
      </c>
      <c r="T77">
        <v>0</v>
      </c>
      <c r="U77">
        <v>1</v>
      </c>
      <c r="V77">
        <v>0</v>
      </c>
      <c r="X77" s="2">
        <v>0.6</v>
      </c>
      <c r="Y77" s="3">
        <v>54.738398018166798</v>
      </c>
      <c r="Z77" s="3">
        <v>0.05</v>
      </c>
      <c r="AA77" s="4">
        <f t="shared" si="16"/>
        <v>4.7188274153592067</v>
      </c>
      <c r="AB77" s="3">
        <f t="shared" si="17"/>
        <v>59.457225433526006</v>
      </c>
      <c r="AD77" s="4"/>
      <c r="AE77" s="3">
        <v>54.738398018166798</v>
      </c>
      <c r="AM77">
        <v>1998</v>
      </c>
      <c r="AN77" s="2">
        <f t="shared" si="18"/>
        <v>99.095375722543352</v>
      </c>
      <c r="AO77" s="2">
        <f t="shared" si="19"/>
        <v>54.738398018166798</v>
      </c>
      <c r="AP77" s="2">
        <f t="shared" si="20"/>
        <v>4.7188274153592067</v>
      </c>
      <c r="AQ77" s="2">
        <f t="shared" ref="AQ77:AQ96" si="31">AB77</f>
        <v>59.457225433526006</v>
      </c>
      <c r="AR77" s="2">
        <f t="shared" si="27"/>
        <v>39.638150289017346</v>
      </c>
      <c r="AT77" s="7">
        <v>103.69719780486959</v>
      </c>
      <c r="AV77" s="4">
        <f t="shared" si="28"/>
        <v>95.562250302090476</v>
      </c>
      <c r="AW77" s="4">
        <f t="shared" si="22"/>
        <v>94.777307893092242</v>
      </c>
      <c r="AX77" s="4">
        <f t="shared" si="23"/>
        <v>57.337350181254287</v>
      </c>
      <c r="AY77" s="3">
        <f t="shared" si="24"/>
        <v>38.224900120836189</v>
      </c>
      <c r="AZ77" s="3">
        <f t="shared" si="29"/>
        <v>37.439957711837955</v>
      </c>
      <c r="BA77" s="4">
        <f t="shared" si="30"/>
        <v>1820.3482253706152</v>
      </c>
      <c r="BB77">
        <v>0</v>
      </c>
      <c r="BC77">
        <v>0</v>
      </c>
      <c r="BD77">
        <v>0</v>
      </c>
      <c r="BE77">
        <v>0</v>
      </c>
      <c r="BG77" s="4">
        <f t="shared" si="12"/>
        <v>100.30563052613988</v>
      </c>
      <c r="BH77" s="4">
        <f t="shared" si="13"/>
        <v>99.481726285580649</v>
      </c>
    </row>
    <row r="78" spans="1:60">
      <c r="A78">
        <v>1999</v>
      </c>
      <c r="B78" s="3">
        <f t="shared" si="0"/>
        <v>113.66330253883174</v>
      </c>
      <c r="C78" s="3">
        <f t="shared" si="1"/>
        <v>75.889564287016256</v>
      </c>
      <c r="D78" s="19"/>
      <c r="E78" s="3">
        <v>108.60760000000001</v>
      </c>
      <c r="F78" s="3">
        <f t="shared" si="14"/>
        <v>0</v>
      </c>
      <c r="G78" s="3">
        <v>113.907</v>
      </c>
      <c r="H78" s="3">
        <f t="shared" si="15"/>
        <v>0</v>
      </c>
      <c r="I78" s="21">
        <f>K78</f>
        <v>98.254566473988447</v>
      </c>
      <c r="J78" s="21">
        <f t="shared" si="3"/>
        <v>97.64800533700479</v>
      </c>
      <c r="K78" s="4">
        <f>K$79*L78/L$79</f>
        <v>98.254566473988447</v>
      </c>
      <c r="L78">
        <v>81.8</v>
      </c>
      <c r="M78" s="4">
        <f t="shared" si="26"/>
        <v>118.46328</v>
      </c>
      <c r="N78" s="3">
        <f>(N77+N79)/2</f>
        <v>104</v>
      </c>
      <c r="P78" s="21">
        <f t="shared" si="4"/>
        <v>39.301826589595379</v>
      </c>
      <c r="Q78" s="21">
        <f t="shared" si="5"/>
        <v>38.695265452611721</v>
      </c>
      <c r="R78" s="27"/>
      <c r="S78">
        <f>USA!Z86*G78</f>
        <v>1991.0943600000001</v>
      </c>
      <c r="T78">
        <v>0</v>
      </c>
      <c r="U78">
        <v>1</v>
      </c>
      <c r="V78">
        <v>0</v>
      </c>
      <c r="X78" s="2">
        <v>0.6</v>
      </c>
      <c r="Y78" s="3">
        <v>54.273951004679333</v>
      </c>
      <c r="Z78" s="3">
        <v>0.05</v>
      </c>
      <c r="AA78" s="4">
        <f t="shared" si="16"/>
        <v>4.6787888797137356</v>
      </c>
      <c r="AB78" s="3">
        <f t="shared" si="17"/>
        <v>58.952739884393068</v>
      </c>
      <c r="AD78" s="4"/>
      <c r="AE78" s="3">
        <v>54.273951004679333</v>
      </c>
      <c r="AM78">
        <v>1999</v>
      </c>
      <c r="AN78" s="2">
        <f t="shared" si="18"/>
        <v>98.254566473988447</v>
      </c>
      <c r="AO78" s="2">
        <f t="shared" si="19"/>
        <v>54.273951004679333</v>
      </c>
      <c r="AP78" s="2">
        <f t="shared" si="20"/>
        <v>4.6787888797137356</v>
      </c>
      <c r="AQ78" s="2">
        <f t="shared" si="31"/>
        <v>58.952739884393068</v>
      </c>
      <c r="AR78" s="2">
        <f t="shared" si="27"/>
        <v>39.301826589595379</v>
      </c>
      <c r="AT78" s="7">
        <v>103.35424504003504</v>
      </c>
      <c r="AV78" s="4">
        <f t="shared" si="28"/>
        <v>95.065825729682231</v>
      </c>
      <c r="AW78" s="4">
        <f t="shared" si="22"/>
        <v>95.213539082348376</v>
      </c>
      <c r="AX78" s="4">
        <f t="shared" si="23"/>
        <v>57.039495437809343</v>
      </c>
      <c r="AY78" s="3">
        <f t="shared" si="24"/>
        <v>38.026330291872888</v>
      </c>
      <c r="AZ78" s="3">
        <f t="shared" si="29"/>
        <v>38.174043644539033</v>
      </c>
      <c r="BA78" s="4">
        <f t="shared" si="30"/>
        <v>1926.4756461901829</v>
      </c>
      <c r="BB78">
        <v>0</v>
      </c>
      <c r="BC78">
        <v>0</v>
      </c>
      <c r="BD78">
        <v>0</v>
      </c>
      <c r="BE78">
        <v>0</v>
      </c>
      <c r="BG78" s="4">
        <f t="shared" si="12"/>
        <v>99.784565151615212</v>
      </c>
      <c r="BH78" s="4">
        <f t="shared" si="13"/>
        <v>99.939610485201115</v>
      </c>
    </row>
    <row r="79" spans="1:60">
      <c r="A79">
        <v>2000</v>
      </c>
      <c r="B79" s="3">
        <f t="shared" si="0"/>
        <v>122.10694379837594</v>
      </c>
      <c r="C79" s="3">
        <f t="shared" si="1"/>
        <v>78.958238837304293</v>
      </c>
      <c r="D79" s="2">
        <f>F79/E79*100</f>
        <v>85.322231236837297</v>
      </c>
      <c r="E79" s="2">
        <v>112.9992628224058</v>
      </c>
      <c r="F79" s="2">
        <f>I79/G79*100</f>
        <v>96.413492321254594</v>
      </c>
      <c r="G79" s="3">
        <v>107.765</v>
      </c>
      <c r="H79" s="21">
        <f>(Q79+Y79)+Z79*(Q79+Y79)</f>
        <v>103.74097964073755</v>
      </c>
      <c r="I79" s="21">
        <f>K79</f>
        <v>103.9</v>
      </c>
      <c r="J79" s="21">
        <f t="shared" si="3"/>
        <v>103.74855203879767</v>
      </c>
      <c r="K79">
        <v>103.9</v>
      </c>
      <c r="L79">
        <v>86.5</v>
      </c>
      <c r="M79" s="4">
        <f t="shared" si="26"/>
        <v>114.23090000000001</v>
      </c>
      <c r="N79" s="6">
        <v>106</v>
      </c>
      <c r="P79" s="21">
        <f t="shared" ref="P79:P89" si="32">K79-AB79</f>
        <v>45.152380952380959</v>
      </c>
      <c r="Q79" s="21">
        <f t="shared" si="5"/>
        <v>45.000932991178615</v>
      </c>
      <c r="R79" s="27"/>
      <c r="S79">
        <f>USA!Z87*G79</f>
        <v>2974.3140000000003</v>
      </c>
      <c r="T79">
        <v>0</v>
      </c>
      <c r="U79">
        <v>1</v>
      </c>
      <c r="V79">
        <v>0</v>
      </c>
      <c r="X79" s="2">
        <f>AB79/K79</f>
        <v>0.56542462990971165</v>
      </c>
      <c r="Y79" s="3">
        <v>53.8</v>
      </c>
      <c r="Z79" s="3">
        <v>0.05</v>
      </c>
      <c r="AA79" s="4">
        <f t="shared" si="16"/>
        <v>4.9476190476190478</v>
      </c>
      <c r="AB79" s="3">
        <f t="shared" ref="AB79:AB95" si="33">Y79+AA79</f>
        <v>58.747619047619047</v>
      </c>
      <c r="AC79" s="24">
        <v>58.7</v>
      </c>
      <c r="AE79" s="3">
        <v>53.8</v>
      </c>
      <c r="AM79">
        <v>2000</v>
      </c>
      <c r="AN79" s="2">
        <f t="shared" si="18"/>
        <v>103.9</v>
      </c>
      <c r="AO79" s="2">
        <f t="shared" si="19"/>
        <v>53.8</v>
      </c>
      <c r="AP79" s="2">
        <f t="shared" si="20"/>
        <v>4.9476190476190478</v>
      </c>
      <c r="AQ79" s="2">
        <f t="shared" si="31"/>
        <v>58.747619047619047</v>
      </c>
      <c r="AR79" s="2">
        <f t="shared" si="27"/>
        <v>45.152380952380959</v>
      </c>
      <c r="AT79" s="7">
        <v>102.61815135256464</v>
      </c>
      <c r="AV79" s="4">
        <f t="shared" si="28"/>
        <v>101.24914416264559</v>
      </c>
      <c r="AW79" s="4">
        <f t="shared" si="22"/>
        <v>102.14582659206462</v>
      </c>
      <c r="AX79" s="4">
        <f t="shared" si="23"/>
        <v>57.248759866838917</v>
      </c>
      <c r="AY79" s="3">
        <f t="shared" si="24"/>
        <v>44.000384295806676</v>
      </c>
      <c r="AZ79" s="3">
        <f t="shared" si="29"/>
        <v>44.897066725225713</v>
      </c>
      <c r="BA79" s="4">
        <f t="shared" si="30"/>
        <v>2898.4287485175651</v>
      </c>
      <c r="BB79">
        <v>0</v>
      </c>
      <c r="BC79">
        <v>0</v>
      </c>
      <c r="BD79">
        <v>0</v>
      </c>
      <c r="BE79">
        <v>0</v>
      </c>
      <c r="BG79" s="4">
        <f t="shared" si="12"/>
        <v>106.27480216677188</v>
      </c>
      <c r="BH79" s="4">
        <f t="shared" si="13"/>
        <v>107.21599281663897</v>
      </c>
    </row>
    <row r="80" spans="1:60">
      <c r="A80">
        <v>2001</v>
      </c>
      <c r="B80" s="3">
        <f t="shared" si="0"/>
        <v>106.32484329207401</v>
      </c>
      <c r="C80" s="3">
        <f t="shared" si="1"/>
        <v>81.182199298191421</v>
      </c>
      <c r="D80" s="2">
        <f t="shared" ref="D80:D89" si="34">F80/E80*100</f>
        <v>74.29448795775599</v>
      </c>
      <c r="E80" s="2">
        <v>116.1820325539375</v>
      </c>
      <c r="F80" s="2">
        <f t="shared" ref="F80:F89" si="35">I80/G80*100</f>
        <v>86.316846184861234</v>
      </c>
      <c r="G80" s="3">
        <v>121.529</v>
      </c>
      <c r="H80" s="21">
        <f t="shared" ref="H80:H89" si="36">(Q80+Y80)+Z80*(Q80+Y80)</f>
        <v>102.63281728913813</v>
      </c>
      <c r="I80" s="21">
        <f t="shared" ref="I80:I89" si="37">K80</f>
        <v>104.9</v>
      </c>
      <c r="J80" s="21">
        <f t="shared" si="3"/>
        <v>102.74077837060774</v>
      </c>
      <c r="K80">
        <v>104.9</v>
      </c>
      <c r="L80">
        <v>88.1</v>
      </c>
      <c r="M80" s="4">
        <f t="shared" si="26"/>
        <v>119.706065</v>
      </c>
      <c r="N80" s="3">
        <f>(N79+N81)/2</f>
        <v>98.5</v>
      </c>
      <c r="P80" s="21">
        <f t="shared" si="32"/>
        <v>46.104761904761915</v>
      </c>
      <c r="Q80" s="21">
        <f t="shared" si="5"/>
        <v>43.945540275369652</v>
      </c>
      <c r="R80" s="27"/>
      <c r="S80">
        <f>USA!Z88*G80</f>
        <v>2809.7504800000002</v>
      </c>
      <c r="T80">
        <v>0</v>
      </c>
      <c r="U80">
        <v>1</v>
      </c>
      <c r="V80">
        <v>0</v>
      </c>
      <c r="Y80" s="3">
        <v>53.8</v>
      </c>
      <c r="Z80" s="3">
        <v>0.05</v>
      </c>
      <c r="AA80" s="4">
        <f t="shared" si="16"/>
        <v>4.9952380952380953</v>
      </c>
      <c r="AB80" s="3">
        <f t="shared" si="33"/>
        <v>58.795238095238091</v>
      </c>
      <c r="AC80" s="24">
        <v>58.8</v>
      </c>
      <c r="AE80" s="3">
        <v>53.8</v>
      </c>
      <c r="AM80">
        <v>2001</v>
      </c>
      <c r="AN80" s="2">
        <f t="shared" si="18"/>
        <v>104.9</v>
      </c>
      <c r="AO80" s="2">
        <f t="shared" si="19"/>
        <v>53.8</v>
      </c>
      <c r="AP80" s="2">
        <f t="shared" si="20"/>
        <v>4.9952380952380953</v>
      </c>
      <c r="AQ80" s="2">
        <f t="shared" si="31"/>
        <v>58.795238095238091</v>
      </c>
      <c r="AR80" s="2">
        <f t="shared" si="27"/>
        <v>46.104761904761915</v>
      </c>
      <c r="AT80" s="7">
        <v>101.84023413784254</v>
      </c>
      <c r="AV80" s="4">
        <f t="shared" si="28"/>
        <v>103.00447646066486</v>
      </c>
      <c r="AW80" s="4">
        <f t="shared" si="22"/>
        <v>101.66530718379107</v>
      </c>
      <c r="AX80" s="4">
        <f t="shared" si="23"/>
        <v>57.73281905033496</v>
      </c>
      <c r="AY80" s="3">
        <f t="shared" si="24"/>
        <v>45.271657410329901</v>
      </c>
      <c r="AZ80" s="3">
        <f t="shared" si="29"/>
        <v>43.932488133456104</v>
      </c>
      <c r="BA80" s="4">
        <f t="shared" si="30"/>
        <v>2758.9788100810465</v>
      </c>
      <c r="BB80">
        <v>0</v>
      </c>
      <c r="BC80">
        <v>0</v>
      </c>
      <c r="BD80">
        <v>0</v>
      </c>
      <c r="BE80">
        <v>0</v>
      </c>
      <c r="BG80" s="4">
        <f t="shared" si="12"/>
        <v>108.11726310065666</v>
      </c>
      <c r="BH80" s="4">
        <f t="shared" si="13"/>
        <v>106.71162208369202</v>
      </c>
    </row>
    <row r="81" spans="1:60">
      <c r="A81">
        <v>2002</v>
      </c>
      <c r="B81" s="3">
        <f t="shared" si="0"/>
        <v>100.75711743897422</v>
      </c>
      <c r="C81" s="3">
        <f t="shared" si="1"/>
        <v>82.47759894808965</v>
      </c>
      <c r="D81" s="2">
        <f t="shared" si="34"/>
        <v>70.404039323762618</v>
      </c>
      <c r="E81" s="2">
        <v>118.03591389240708</v>
      </c>
      <c r="F81" s="2">
        <f t="shared" si="35"/>
        <v>83.102051232972855</v>
      </c>
      <c r="G81" s="3">
        <v>125.38800000000001</v>
      </c>
      <c r="H81" s="21">
        <f t="shared" si="36"/>
        <v>104.28062269115675</v>
      </c>
      <c r="I81" s="21">
        <f t="shared" si="37"/>
        <v>104.2</v>
      </c>
      <c r="J81" s="21">
        <f t="shared" si="3"/>
        <v>104.27678351538738</v>
      </c>
      <c r="K81">
        <v>104.2</v>
      </c>
      <c r="L81">
        <v>85.6</v>
      </c>
      <c r="M81" s="4">
        <f t="shared" si="26"/>
        <v>114.10308000000001</v>
      </c>
      <c r="N81" s="6">
        <v>91</v>
      </c>
      <c r="P81" s="21">
        <f t="shared" si="32"/>
        <v>45.438095238095244</v>
      </c>
      <c r="Q81" s="21">
        <f t="shared" si="5"/>
        <v>45.51487875348262</v>
      </c>
      <c r="R81" s="27"/>
      <c r="S81">
        <f>USA!Z89*G81</f>
        <v>3054.4516800000001</v>
      </c>
      <c r="T81">
        <v>0</v>
      </c>
      <c r="U81">
        <v>1</v>
      </c>
      <c r="V81">
        <v>0</v>
      </c>
      <c r="Y81" s="3">
        <v>53.8</v>
      </c>
      <c r="Z81" s="3">
        <v>0.05</v>
      </c>
      <c r="AA81" s="4">
        <f t="shared" si="16"/>
        <v>4.961904761904762</v>
      </c>
      <c r="AB81" s="3">
        <f t="shared" si="33"/>
        <v>58.761904761904759</v>
      </c>
      <c r="AC81" s="24">
        <v>58.8</v>
      </c>
      <c r="AE81" s="3">
        <v>53.8</v>
      </c>
      <c r="AM81">
        <v>2002</v>
      </c>
      <c r="AN81" s="2">
        <f t="shared" si="18"/>
        <v>104.2</v>
      </c>
      <c r="AO81" s="2">
        <f t="shared" si="19"/>
        <v>53.8</v>
      </c>
      <c r="AP81" s="2">
        <f t="shared" si="20"/>
        <v>4.961904761904762</v>
      </c>
      <c r="AQ81" s="2">
        <f t="shared" si="31"/>
        <v>58.761904761904759</v>
      </c>
      <c r="AR81" s="2">
        <f t="shared" si="27"/>
        <v>45.438095238095244</v>
      </c>
      <c r="AT81" s="7">
        <v>100.92848174117982</v>
      </c>
      <c r="AV81" s="4">
        <f t="shared" si="28"/>
        <v>103.24142224511969</v>
      </c>
      <c r="AW81" s="4">
        <f t="shared" si="22"/>
        <v>104.0032490837321</v>
      </c>
      <c r="AX81" s="4">
        <f t="shared" si="23"/>
        <v>58.221330340223801</v>
      </c>
      <c r="AY81" s="3">
        <f t="shared" si="24"/>
        <v>45.020091904895892</v>
      </c>
      <c r="AZ81" s="3">
        <f t="shared" si="29"/>
        <v>45.781918743508292</v>
      </c>
      <c r="BA81" s="4">
        <f t="shared" si="30"/>
        <v>3026.3525491573441</v>
      </c>
      <c r="BB81">
        <v>0</v>
      </c>
      <c r="BC81">
        <v>0</v>
      </c>
      <c r="BD81">
        <v>0</v>
      </c>
      <c r="BE81">
        <v>0</v>
      </c>
      <c r="BG81" s="4">
        <f t="shared" si="12"/>
        <v>108.36597005591483</v>
      </c>
      <c r="BH81" s="4">
        <f t="shared" si="13"/>
        <v>109.16561134896925</v>
      </c>
    </row>
    <row r="82" spans="1:60">
      <c r="A82">
        <v>2003</v>
      </c>
      <c r="B82" s="3">
        <f t="shared" si="0"/>
        <v>108.67334727285633</v>
      </c>
      <c r="C82" s="3">
        <f t="shared" si="1"/>
        <v>84.37293294912061</v>
      </c>
      <c r="D82" s="2">
        <f t="shared" si="34"/>
        <v>75.93550519621715</v>
      </c>
      <c r="E82" s="2">
        <v>120.74837744367809</v>
      </c>
      <c r="F82" s="2">
        <f t="shared" si="35"/>
        <v>91.690890428092075</v>
      </c>
      <c r="G82" s="3">
        <v>115.93300000000001</v>
      </c>
      <c r="H82" s="21">
        <f t="shared" si="36"/>
        <v>105.649403010504</v>
      </c>
      <c r="I82" s="21">
        <f t="shared" si="37"/>
        <v>106.3</v>
      </c>
      <c r="J82" s="21">
        <f t="shared" si="3"/>
        <v>105.68038381952763</v>
      </c>
      <c r="K82">
        <v>106.3</v>
      </c>
      <c r="L82">
        <v>87.4</v>
      </c>
      <c r="M82" s="4">
        <f t="shared" si="26"/>
        <v>125.78730500000002</v>
      </c>
      <c r="N82" s="3">
        <f>(N81+N83)/2</f>
        <v>108.5</v>
      </c>
      <c r="P82" s="21">
        <f t="shared" si="32"/>
        <v>47.438095238095237</v>
      </c>
      <c r="Q82" s="21">
        <f t="shared" si="5"/>
        <v>46.818479057622866</v>
      </c>
      <c r="R82" s="27"/>
      <c r="S82">
        <f>USA!Z90*G82</f>
        <v>3257.7173000000003</v>
      </c>
      <c r="T82">
        <v>0</v>
      </c>
      <c r="U82">
        <v>1</v>
      </c>
      <c r="V82">
        <v>0</v>
      </c>
      <c r="Y82" s="3">
        <v>53.8</v>
      </c>
      <c r="Z82" s="3">
        <v>0.05</v>
      </c>
      <c r="AA82" s="4">
        <f t="shared" si="16"/>
        <v>5.0619047619047617</v>
      </c>
      <c r="AB82" s="3">
        <f t="shared" si="33"/>
        <v>58.861904761904761</v>
      </c>
      <c r="AC82" s="24">
        <v>58.9</v>
      </c>
      <c r="AE82" s="3">
        <v>53.8</v>
      </c>
      <c r="AM82">
        <v>2003</v>
      </c>
      <c r="AN82" s="2">
        <f t="shared" si="18"/>
        <v>106.3</v>
      </c>
      <c r="AO82" s="2">
        <f t="shared" si="19"/>
        <v>53.8</v>
      </c>
      <c r="AP82" s="2">
        <f t="shared" si="20"/>
        <v>5.0619047619047617</v>
      </c>
      <c r="AQ82" s="2">
        <f t="shared" si="31"/>
        <v>58.861904761904761</v>
      </c>
      <c r="AR82" s="2">
        <f t="shared" si="27"/>
        <v>47.438095238095237</v>
      </c>
      <c r="AT82" s="7">
        <v>100.67754073381468</v>
      </c>
      <c r="AV82" s="4">
        <f t="shared" si="28"/>
        <v>105.58462118284231</v>
      </c>
      <c r="AW82" s="4">
        <f t="shared" si="22"/>
        <v>105.69640204638924</v>
      </c>
      <c r="AX82" s="4">
        <f t="shared" si="23"/>
        <v>58.465775318779457</v>
      </c>
      <c r="AY82" s="3">
        <f t="shared" si="24"/>
        <v>47.118845864062855</v>
      </c>
      <c r="AZ82" s="3">
        <f t="shared" si="29"/>
        <v>47.230626727609788</v>
      </c>
      <c r="BA82" s="4">
        <f t="shared" si="30"/>
        <v>3235.7934811034047</v>
      </c>
      <c r="BB82">
        <v>0</v>
      </c>
      <c r="BC82">
        <v>0</v>
      </c>
      <c r="BD82">
        <v>0</v>
      </c>
      <c r="BE82">
        <v>0</v>
      </c>
      <c r="BG82" s="4">
        <f t="shared" si="12"/>
        <v>110.82547730018184</v>
      </c>
      <c r="BH82" s="4">
        <f t="shared" si="13"/>
        <v>110.94280657992762</v>
      </c>
    </row>
    <row r="83" spans="1:60">
      <c r="A83">
        <v>2004</v>
      </c>
      <c r="B83" s="3">
        <f t="shared" si="0"/>
        <v>119.82409387182844</v>
      </c>
      <c r="C83" s="3">
        <f t="shared" si="1"/>
        <v>86.62364207534489</v>
      </c>
      <c r="D83" s="2">
        <f t="shared" si="34"/>
        <v>83.727089771062012</v>
      </c>
      <c r="E83" s="2">
        <v>123.96942791081244</v>
      </c>
      <c r="F83" s="2">
        <f t="shared" si="35"/>
        <v>103.79599419555794</v>
      </c>
      <c r="G83" s="3">
        <v>108.193</v>
      </c>
      <c r="H83" s="21">
        <f t="shared" si="36"/>
        <v>109.97691035531933</v>
      </c>
      <c r="I83" s="21">
        <f t="shared" si="37"/>
        <v>112.3</v>
      </c>
      <c r="J83" s="21">
        <f t="shared" si="3"/>
        <v>110.0875336717327</v>
      </c>
      <c r="K83">
        <v>112.3</v>
      </c>
      <c r="L83">
        <v>91</v>
      </c>
      <c r="M83" s="4">
        <f t="shared" si="26"/>
        <v>136.32317999999998</v>
      </c>
      <c r="N83" s="6">
        <v>126</v>
      </c>
      <c r="P83" s="21">
        <f t="shared" si="32"/>
        <v>53.152380952380952</v>
      </c>
      <c r="Q83" s="21">
        <f t="shared" si="5"/>
        <v>50.939914624113655</v>
      </c>
      <c r="R83" s="27"/>
      <c r="S83">
        <f>USA!Z91*G83</f>
        <v>3900.3576499999995</v>
      </c>
      <c r="T83">
        <v>0</v>
      </c>
      <c r="U83">
        <v>1</v>
      </c>
      <c r="V83">
        <v>0</v>
      </c>
      <c r="Y83" s="3">
        <v>53.8</v>
      </c>
      <c r="Z83" s="3">
        <v>0.05</v>
      </c>
      <c r="AA83" s="4">
        <f t="shared" si="16"/>
        <v>5.3476190476190482</v>
      </c>
      <c r="AB83" s="3">
        <f t="shared" si="33"/>
        <v>59.147619047619045</v>
      </c>
      <c r="AC83" s="24">
        <v>59.1</v>
      </c>
      <c r="AE83" s="3">
        <v>53.8</v>
      </c>
      <c r="AM83">
        <v>2004</v>
      </c>
      <c r="AN83" s="2">
        <f t="shared" si="18"/>
        <v>112.3</v>
      </c>
      <c r="AO83" s="2">
        <f t="shared" si="19"/>
        <v>53.8</v>
      </c>
      <c r="AP83" s="2">
        <f t="shared" si="20"/>
        <v>5.3476190476190482</v>
      </c>
      <c r="AQ83" s="2">
        <f t="shared" si="31"/>
        <v>59.147619047619045</v>
      </c>
      <c r="AR83" s="2">
        <f t="shared" si="27"/>
        <v>53.152380952380952</v>
      </c>
      <c r="AT83" s="7">
        <v>100.66917603296615</v>
      </c>
      <c r="AV83" s="4">
        <f t="shared" si="28"/>
        <v>111.55351064284574</v>
      </c>
      <c r="AW83" s="4">
        <f t="shared" si="22"/>
        <v>110.40254544828525</v>
      </c>
      <c r="AX83" s="4">
        <f t="shared" si="23"/>
        <v>58.754448360886528</v>
      </c>
      <c r="AY83" s="3">
        <f t="shared" si="24"/>
        <v>52.799062281959209</v>
      </c>
      <c r="AZ83" s="3">
        <f t="shared" si="29"/>
        <v>51.648097087398725</v>
      </c>
      <c r="BA83" s="4">
        <f t="shared" si="30"/>
        <v>3874.4308870897571</v>
      </c>
      <c r="BB83">
        <v>0</v>
      </c>
      <c r="BC83">
        <v>0</v>
      </c>
      <c r="BD83">
        <v>0</v>
      </c>
      <c r="BE83">
        <v>0</v>
      </c>
      <c r="BG83" s="4">
        <f t="shared" si="12"/>
        <v>117.09064182836977</v>
      </c>
      <c r="BH83" s="4">
        <f t="shared" si="13"/>
        <v>115.88254669468387</v>
      </c>
    </row>
    <row r="84" spans="1:60">
      <c r="A84">
        <v>2005</v>
      </c>
      <c r="B84" s="3">
        <f t="shared" si="0"/>
        <v>126.15468673644637</v>
      </c>
      <c r="C84" s="3">
        <f t="shared" si="1"/>
        <v>89.539246597092159</v>
      </c>
      <c r="D84" s="2">
        <f t="shared" si="34"/>
        <v>88.150591755953926</v>
      </c>
      <c r="E84" s="2">
        <v>128.14202809149756</v>
      </c>
      <c r="F84" s="2">
        <f t="shared" si="35"/>
        <v>112.95795605073582</v>
      </c>
      <c r="G84" s="3">
        <v>110.218</v>
      </c>
      <c r="H84" s="21">
        <f t="shared" si="36"/>
        <v>121.29722993945514</v>
      </c>
      <c r="I84" s="21">
        <f t="shared" si="37"/>
        <v>124.5</v>
      </c>
      <c r="J84" s="21">
        <f t="shared" si="3"/>
        <v>121.44974279948109</v>
      </c>
      <c r="K84">
        <v>124.5</v>
      </c>
      <c r="L84">
        <v>100</v>
      </c>
      <c r="M84" s="4">
        <f t="shared" si="26"/>
        <v>129.50614999999999</v>
      </c>
      <c r="N84" s="3">
        <f>(N83+N85)/2</f>
        <v>117.5</v>
      </c>
      <c r="P84" s="21">
        <f t="shared" si="32"/>
        <v>64.771428571428572</v>
      </c>
      <c r="Q84" s="21">
        <f t="shared" si="5"/>
        <v>61.721171370909659</v>
      </c>
      <c r="R84" s="27"/>
      <c r="S84">
        <f>USA!Z92*G84</f>
        <v>5581.4395199999999</v>
      </c>
      <c r="T84">
        <v>0</v>
      </c>
      <c r="U84">
        <v>1</v>
      </c>
      <c r="V84">
        <v>0</v>
      </c>
      <c r="Y84" s="3">
        <v>53.8</v>
      </c>
      <c r="Z84" s="3">
        <v>0.05</v>
      </c>
      <c r="AA84" s="4">
        <f t="shared" si="16"/>
        <v>5.9285714285714288</v>
      </c>
      <c r="AB84" s="3">
        <f t="shared" si="33"/>
        <v>59.728571428571428</v>
      </c>
      <c r="AC84" s="24">
        <v>59.7</v>
      </c>
      <c r="AE84" s="3">
        <v>53.8</v>
      </c>
      <c r="AM84">
        <v>2005</v>
      </c>
      <c r="AN84" s="2">
        <f t="shared" si="18"/>
        <v>124.5</v>
      </c>
      <c r="AO84" s="2">
        <f t="shared" si="19"/>
        <v>53.8</v>
      </c>
      <c r="AP84" s="2">
        <f t="shared" si="20"/>
        <v>5.9285714285714288</v>
      </c>
      <c r="AQ84" s="2">
        <f t="shared" si="31"/>
        <v>59.728571428571428</v>
      </c>
      <c r="AR84" s="2">
        <f t="shared" si="27"/>
        <v>64.771428571428572</v>
      </c>
      <c r="AT84" s="7">
        <v>100.39314085027623</v>
      </c>
      <c r="AV84" s="4">
        <f t="shared" si="28"/>
        <v>124.01245637456061</v>
      </c>
      <c r="AW84" s="4">
        <f t="shared" si="22"/>
        <v>122.79900525931816</v>
      </c>
      <c r="AX84" s="4">
        <f t="shared" si="23"/>
        <v>59.494673563056566</v>
      </c>
      <c r="AY84" s="3">
        <f t="shared" si="24"/>
        <v>64.517782811504048</v>
      </c>
      <c r="AZ84" s="3">
        <f t="shared" si="29"/>
        <v>63.304331696261606</v>
      </c>
      <c r="BA84" s="4">
        <f t="shared" si="30"/>
        <v>5559.5825299698681</v>
      </c>
      <c r="BB84">
        <v>0</v>
      </c>
      <c r="BC84">
        <v>0</v>
      </c>
      <c r="BD84">
        <v>0</v>
      </c>
      <c r="BE84">
        <v>0</v>
      </c>
      <c r="BG84" s="4">
        <f t="shared" si="12"/>
        <v>130.16800661791871</v>
      </c>
      <c r="BH84" s="4">
        <f t="shared" si="13"/>
        <v>128.8943239781496</v>
      </c>
    </row>
    <row r="85" spans="1:60">
      <c r="A85">
        <v>2006</v>
      </c>
      <c r="B85" s="3">
        <f t="shared" si="0"/>
        <v>127.92064365375523</v>
      </c>
      <c r="C85" s="3">
        <f t="shared" si="1"/>
        <v>92.424281215596963</v>
      </c>
      <c r="D85" s="2">
        <f t="shared" si="34"/>
        <v>89.384554213500309</v>
      </c>
      <c r="E85" s="2">
        <v>132.27087886006535</v>
      </c>
      <c r="F85" s="2">
        <f t="shared" si="35"/>
        <v>118.22973542334843</v>
      </c>
      <c r="G85" s="3">
        <v>116.29900000000001</v>
      </c>
      <c r="H85" s="21">
        <f t="shared" si="36"/>
        <v>133.64699661387635</v>
      </c>
      <c r="I85" s="21">
        <f t="shared" si="37"/>
        <v>137.5</v>
      </c>
      <c r="J85" s="21">
        <f t="shared" si="3"/>
        <v>133.83047296559653</v>
      </c>
      <c r="K85">
        <v>137.5</v>
      </c>
      <c r="L85">
        <v>110.6</v>
      </c>
      <c r="M85" s="4">
        <f t="shared" si="26"/>
        <v>126.76591000000001</v>
      </c>
      <c r="N85" s="6">
        <v>109</v>
      </c>
      <c r="P85" s="21">
        <f t="shared" si="32"/>
        <v>75.152380952380952</v>
      </c>
      <c r="Q85" s="21">
        <f t="shared" si="5"/>
        <v>71.482853917977494</v>
      </c>
      <c r="R85" s="27"/>
      <c r="S85">
        <f>USA!Z93*G85</f>
        <v>7103.5429199999999</v>
      </c>
      <c r="T85">
        <v>0</v>
      </c>
      <c r="U85">
        <v>1</v>
      </c>
      <c r="V85">
        <v>0</v>
      </c>
      <c r="Y85" s="3">
        <v>55.8</v>
      </c>
      <c r="Z85" s="3">
        <v>0.05</v>
      </c>
      <c r="AA85" s="4">
        <f t="shared" si="16"/>
        <v>6.5476190476190474</v>
      </c>
      <c r="AB85" s="3">
        <f t="shared" si="33"/>
        <v>62.347619047619048</v>
      </c>
      <c r="AC85" s="24">
        <v>62.4</v>
      </c>
      <c r="AE85" s="3">
        <v>55.8</v>
      </c>
      <c r="AM85">
        <v>2006</v>
      </c>
      <c r="AN85" s="2">
        <f t="shared" si="18"/>
        <v>137.5</v>
      </c>
      <c r="AO85" s="2">
        <f t="shared" si="19"/>
        <v>55.8</v>
      </c>
      <c r="AP85" s="2">
        <f t="shared" si="20"/>
        <v>6.5476190476190474</v>
      </c>
      <c r="AQ85" s="2">
        <f t="shared" si="31"/>
        <v>62.347619047619048</v>
      </c>
      <c r="AR85" s="2">
        <f t="shared" si="27"/>
        <v>75.152380952380952</v>
      </c>
      <c r="AT85" s="7">
        <v>100.63571718235968</v>
      </c>
      <c r="AV85" s="4">
        <f t="shared" si="28"/>
        <v>136.63141064602283</v>
      </c>
      <c r="AW85" s="4">
        <f t="shared" si="22"/>
        <v>135.62732245208667</v>
      </c>
      <c r="AX85" s="4">
        <f t="shared" si="23"/>
        <v>61.953768297432966</v>
      </c>
      <c r="AY85" s="3">
        <f t="shared" si="24"/>
        <v>74.67764234858987</v>
      </c>
      <c r="AZ85" s="3">
        <f t="shared" si="29"/>
        <v>73.673554154653715</v>
      </c>
      <c r="BA85" s="4">
        <f t="shared" si="30"/>
        <v>7058.6697435939486</v>
      </c>
      <c r="BB85">
        <v>0</v>
      </c>
      <c r="BC85">
        <v>0</v>
      </c>
      <c r="BD85">
        <v>0</v>
      </c>
      <c r="BE85">
        <v>0</v>
      </c>
      <c r="BG85" s="4">
        <f t="shared" si="12"/>
        <v>143.41332221877846</v>
      </c>
      <c r="BH85" s="4">
        <f t="shared" si="13"/>
        <v>142.35939455300837</v>
      </c>
    </row>
    <row r="86" spans="1:60">
      <c r="A86">
        <v>2007</v>
      </c>
      <c r="B86" s="3">
        <f t="shared" si="0"/>
        <v>124.87333721943483</v>
      </c>
      <c r="C86" s="3">
        <f t="shared" si="1"/>
        <v>95.074004003893037</v>
      </c>
      <c r="D86" s="2">
        <f t="shared" si="34"/>
        <v>87.255248736263013</v>
      </c>
      <c r="E86" s="2">
        <v>136.06296852886032</v>
      </c>
      <c r="F86" s="2">
        <f t="shared" si="35"/>
        <v>118.72208162780034</v>
      </c>
      <c r="G86" s="3">
        <v>117.754</v>
      </c>
      <c r="H86" s="21">
        <f t="shared" si="36"/>
        <v>140.58904753753077</v>
      </c>
      <c r="I86" s="21">
        <f t="shared" si="37"/>
        <v>139.80000000000001</v>
      </c>
      <c r="J86" s="21">
        <f t="shared" si="3"/>
        <v>140.55147384526742</v>
      </c>
      <c r="K86">
        <v>139.80000000000001</v>
      </c>
      <c r="L86">
        <v>113.4</v>
      </c>
      <c r="M86" s="4">
        <f t="shared" si="26"/>
        <v>152.49143000000001</v>
      </c>
      <c r="N86" s="3">
        <f>(N85+N87)/2</f>
        <v>129.5</v>
      </c>
      <c r="P86" s="21">
        <f t="shared" si="32"/>
        <v>77.342857142857156</v>
      </c>
      <c r="Q86" s="21">
        <f t="shared" si="5"/>
        <v>78.094330988124554</v>
      </c>
      <c r="R86" s="27"/>
      <c r="S86">
        <f>USA!Z94*G86</f>
        <v>8134.44632</v>
      </c>
      <c r="T86">
        <v>0</v>
      </c>
      <c r="U86">
        <v>1</v>
      </c>
      <c r="V86">
        <v>0</v>
      </c>
      <c r="Y86" s="3">
        <v>55.8</v>
      </c>
      <c r="Z86" s="3">
        <v>0.05</v>
      </c>
      <c r="AA86" s="4">
        <f t="shared" si="16"/>
        <v>6.6571428571428575</v>
      </c>
      <c r="AB86" s="3">
        <f t="shared" si="33"/>
        <v>62.457142857142856</v>
      </c>
      <c r="AC86" s="24">
        <v>62.5</v>
      </c>
      <c r="AE86" s="3">
        <v>55.8</v>
      </c>
      <c r="AM86">
        <v>2007</v>
      </c>
      <c r="AN86" s="2">
        <f t="shared" si="18"/>
        <v>139.80000000000001</v>
      </c>
      <c r="AO86" s="2">
        <f t="shared" si="19"/>
        <v>55.8</v>
      </c>
      <c r="AP86" s="2">
        <f t="shared" si="20"/>
        <v>6.6571428571428575</v>
      </c>
      <c r="AQ86" s="2">
        <f t="shared" si="31"/>
        <v>62.457142857142856</v>
      </c>
      <c r="AR86" s="2">
        <f t="shared" si="27"/>
        <v>77.342857142857156</v>
      </c>
      <c r="AT86" s="7">
        <v>100.69427009187862</v>
      </c>
      <c r="AV86" s="4">
        <f t="shared" si="28"/>
        <v>138.83610246386345</v>
      </c>
      <c r="AW86" s="4">
        <f t="shared" si="22"/>
        <v>142.7532923118365</v>
      </c>
      <c r="AX86" s="4">
        <f t="shared" si="23"/>
        <v>62.026511339874403</v>
      </c>
      <c r="AY86" s="3">
        <f t="shared" si="24"/>
        <v>76.809591123989051</v>
      </c>
      <c r="AZ86" s="3">
        <f t="shared" si="29"/>
        <v>80.726780971962114</v>
      </c>
      <c r="BA86" s="4">
        <f t="shared" si="30"/>
        <v>8078.3606778992616</v>
      </c>
      <c r="BB86">
        <v>0</v>
      </c>
      <c r="BC86">
        <v>0</v>
      </c>
      <c r="BD86">
        <v>0</v>
      </c>
      <c r="BE86">
        <v>0</v>
      </c>
      <c r="BG86" s="4">
        <f t="shared" si="12"/>
        <v>145.72744732785918</v>
      </c>
      <c r="BH86" s="4">
        <f t="shared" si="13"/>
        <v>149.83907295774389</v>
      </c>
    </row>
    <row r="87" spans="1:60">
      <c r="A87">
        <v>2008</v>
      </c>
      <c r="B87" s="3">
        <f t="shared" si="0"/>
        <v>153.79586115213172</v>
      </c>
      <c r="C87" s="3">
        <f t="shared" si="1"/>
        <v>98.70291900542351</v>
      </c>
      <c r="D87" s="2">
        <f t="shared" si="34"/>
        <v>107.46486334272853</v>
      </c>
      <c r="E87" s="2">
        <v>141.25640655453694</v>
      </c>
      <c r="F87" s="2">
        <f t="shared" si="35"/>
        <v>151.80100426668216</v>
      </c>
      <c r="G87" s="3">
        <v>103.35899999999999</v>
      </c>
      <c r="H87" s="21">
        <f t="shared" si="36"/>
        <v>151.55064534849592</v>
      </c>
      <c r="I87" s="21">
        <f t="shared" si="37"/>
        <v>156.9</v>
      </c>
      <c r="J87" s="21">
        <f t="shared" si="3"/>
        <v>151.80537652237706</v>
      </c>
      <c r="K87">
        <v>156.9</v>
      </c>
      <c r="L87">
        <v>129.4</v>
      </c>
      <c r="M87" s="4">
        <f t="shared" si="26"/>
        <v>155.0385</v>
      </c>
      <c r="N87" s="6">
        <v>150</v>
      </c>
      <c r="P87" s="21">
        <f t="shared" si="32"/>
        <v>93.628571428571433</v>
      </c>
      <c r="Q87" s="21">
        <f t="shared" si="5"/>
        <v>88.533947950948502</v>
      </c>
      <c r="R87" s="27"/>
      <c r="S87">
        <f>USA!Z95*G87</f>
        <v>9762.2575500000003</v>
      </c>
      <c r="T87">
        <v>0</v>
      </c>
      <c r="U87">
        <v>1</v>
      </c>
      <c r="V87">
        <v>0</v>
      </c>
      <c r="Y87" s="3">
        <v>55.8</v>
      </c>
      <c r="Z87" s="3">
        <v>0.05</v>
      </c>
      <c r="AA87" s="4">
        <f t="shared" si="16"/>
        <v>7.4714285714285715</v>
      </c>
      <c r="AB87" s="3">
        <f t="shared" si="33"/>
        <v>63.271428571428572</v>
      </c>
      <c r="AC87" s="24">
        <v>61.2</v>
      </c>
      <c r="AE87" s="3">
        <v>55.8</v>
      </c>
      <c r="AM87">
        <v>2008</v>
      </c>
      <c r="AN87" s="2">
        <f t="shared" si="18"/>
        <v>156.9</v>
      </c>
      <c r="AO87" s="2">
        <f t="shared" si="19"/>
        <v>55.8</v>
      </c>
      <c r="AP87" s="2">
        <f t="shared" si="20"/>
        <v>7.4714285714285715</v>
      </c>
      <c r="AQ87" s="2">
        <f t="shared" si="31"/>
        <v>63.271428571428572</v>
      </c>
      <c r="AR87" s="2">
        <f t="shared" si="27"/>
        <v>93.628571428571433</v>
      </c>
      <c r="AT87" s="7">
        <v>102.08281084733649</v>
      </c>
      <c r="AV87" s="4">
        <f t="shared" si="28"/>
        <v>153.69874584923207</v>
      </c>
      <c r="AW87" s="4">
        <f t="shared" si="22"/>
        <v>152.97709005568268</v>
      </c>
      <c r="AX87" s="4">
        <f t="shared" si="23"/>
        <v>61.980492157538812</v>
      </c>
      <c r="AY87" s="3">
        <f t="shared" si="24"/>
        <v>91.718253691693263</v>
      </c>
      <c r="AZ87" s="3">
        <f t="shared" si="29"/>
        <v>90.996597898143875</v>
      </c>
      <c r="BA87" s="4">
        <f t="shared" si="30"/>
        <v>9563.0767501096034</v>
      </c>
      <c r="BB87">
        <v>0</v>
      </c>
      <c r="BC87">
        <v>0</v>
      </c>
      <c r="BD87">
        <v>0</v>
      </c>
      <c r="BE87">
        <v>0</v>
      </c>
      <c r="BG87" s="4">
        <f t="shared" si="12"/>
        <v>161.32782102502347</v>
      </c>
      <c r="BH87" s="4">
        <f t="shared" si="13"/>
        <v>160.57034472903854</v>
      </c>
    </row>
    <row r="88" spans="1:60">
      <c r="A88">
        <v>2009</v>
      </c>
      <c r="B88" s="3">
        <f t="shared" si="0"/>
        <v>130.57436359412216</v>
      </c>
      <c r="C88" s="3">
        <f>E88/E$89*100</f>
        <v>98.380597588111073</v>
      </c>
      <c r="D88" s="2">
        <f t="shared" si="34"/>
        <v>91.238841114363694</v>
      </c>
      <c r="E88" s="2">
        <v>140.7951236905254</v>
      </c>
      <c r="F88" s="2">
        <f t="shared" si="35"/>
        <v>128.45983920077032</v>
      </c>
      <c r="G88" s="3">
        <v>93.570099999999996</v>
      </c>
      <c r="H88" s="21">
        <f t="shared" si="36"/>
        <v>124.2857798034174</v>
      </c>
      <c r="I88" s="21">
        <f t="shared" si="37"/>
        <v>120.2</v>
      </c>
      <c r="J88" s="21">
        <f t="shared" si="3"/>
        <v>124.09121886039752</v>
      </c>
      <c r="K88">
        <v>120.2</v>
      </c>
      <c r="L88">
        <v>103</v>
      </c>
      <c r="M88" s="4"/>
      <c r="N88" s="3"/>
      <c r="P88" s="21">
        <f t="shared" si="32"/>
        <v>58.676190476190484</v>
      </c>
      <c r="Q88" s="21">
        <f t="shared" si="5"/>
        <v>62.567409336588</v>
      </c>
      <c r="R88" s="27"/>
      <c r="S88">
        <f>USA!Z96*G88</f>
        <v>5713.3903060000002</v>
      </c>
      <c r="T88">
        <v>0</v>
      </c>
      <c r="U88">
        <v>1</v>
      </c>
      <c r="V88">
        <v>0</v>
      </c>
      <c r="Y88" s="3">
        <v>55.8</v>
      </c>
      <c r="Z88" s="3">
        <v>0.05</v>
      </c>
      <c r="AA88" s="4">
        <f t="shared" si="16"/>
        <v>5.7238095238095239</v>
      </c>
      <c r="AB88" s="3">
        <f t="shared" si="33"/>
        <v>61.523809523809518</v>
      </c>
      <c r="AC88" s="24">
        <v>61.6</v>
      </c>
      <c r="AE88" s="3">
        <v>55.8</v>
      </c>
      <c r="AM88">
        <v>2009</v>
      </c>
      <c r="AN88" s="2">
        <f t="shared" si="18"/>
        <v>120.2</v>
      </c>
      <c r="AO88" s="2">
        <f t="shared" si="19"/>
        <v>55.8</v>
      </c>
      <c r="AP88" s="2">
        <f t="shared" si="20"/>
        <v>5.7238095238095239</v>
      </c>
      <c r="AQ88" s="2">
        <f t="shared" si="31"/>
        <v>61.523809523809518</v>
      </c>
      <c r="AR88" s="2">
        <f t="shared" si="27"/>
        <v>58.676190476190484</v>
      </c>
      <c r="AT88" s="7">
        <v>100.70263491143076</v>
      </c>
      <c r="AV88" s="4">
        <f t="shared" si="28"/>
        <v>119.36132565520001</v>
      </c>
      <c r="AW88" s="4">
        <f t="shared" si="22"/>
        <v>119.36132565520003</v>
      </c>
      <c r="AX88" s="4">
        <f t="shared" si="23"/>
        <v>61.094537971047615</v>
      </c>
      <c r="AY88" s="3">
        <f t="shared" si="24"/>
        <v>58.266787684152391</v>
      </c>
      <c r="AZ88" s="3">
        <f t="shared" si="29"/>
        <v>58.266787684152419</v>
      </c>
      <c r="BA88" s="4">
        <f t="shared" si="30"/>
        <v>5673.5261306965785</v>
      </c>
      <c r="BB88">
        <v>0</v>
      </c>
      <c r="BC88">
        <v>0</v>
      </c>
      <c r="BD88">
        <v>0</v>
      </c>
      <c r="BE88" s="23">
        <v>1</v>
      </c>
      <c r="BG88" s="4">
        <f t="shared" si="12"/>
        <v>125.28600982535512</v>
      </c>
      <c r="BH88" s="4">
        <f t="shared" si="13"/>
        <v>125.28600982535514</v>
      </c>
    </row>
    <row r="89" spans="1:60">
      <c r="A89">
        <v>2010</v>
      </c>
      <c r="B89" s="3">
        <f>I89/G89*100/C89*100</f>
        <v>152.59641702673451</v>
      </c>
      <c r="C89" s="3">
        <f>CPIs!AB49</f>
        <v>99.999998509883881</v>
      </c>
      <c r="D89" s="2">
        <f t="shared" si="34"/>
        <v>106.62675012942167</v>
      </c>
      <c r="E89" s="2">
        <v>143.11269411067286</v>
      </c>
      <c r="F89" s="2">
        <f t="shared" si="35"/>
        <v>152.59641475287071</v>
      </c>
      <c r="G89" s="3">
        <f>'Exchange Rates'!S49</f>
        <v>87.092478689771994</v>
      </c>
      <c r="H89" s="21">
        <f t="shared" si="36"/>
        <v>131.23469106235152</v>
      </c>
      <c r="I89" s="21">
        <f t="shared" si="37"/>
        <v>132.9</v>
      </c>
      <c r="J89" s="21">
        <f t="shared" si="3"/>
        <v>131.31399148795381</v>
      </c>
      <c r="K89">
        <v>132.9</v>
      </c>
      <c r="L89">
        <v>112.2</v>
      </c>
      <c r="P89" s="21">
        <f t="shared" si="32"/>
        <v>70.771428571428572</v>
      </c>
      <c r="Q89" s="21">
        <f t="shared" si="5"/>
        <v>69.185420059382395</v>
      </c>
      <c r="R89" s="27"/>
      <c r="S89">
        <f>USA!Z97*G89</f>
        <v>6745.3124745228415</v>
      </c>
      <c r="T89">
        <v>0</v>
      </c>
      <c r="U89">
        <v>1</v>
      </c>
      <c r="V89">
        <v>0</v>
      </c>
      <c r="X89" s="4">
        <v>6.3573562483978385</v>
      </c>
      <c r="Y89" s="3">
        <v>55.8</v>
      </c>
      <c r="Z89" s="3">
        <v>0.05</v>
      </c>
      <c r="AA89" s="4">
        <f>Z89*(I89*(1/(1+Z89)))</f>
        <v>6.3285714285714292</v>
      </c>
      <c r="AB89" s="3">
        <f t="shared" si="33"/>
        <v>62.128571428571426</v>
      </c>
      <c r="AC89" s="24">
        <v>62.2</v>
      </c>
      <c r="AD89" s="3">
        <f>AC89-AA89</f>
        <v>55.871428571428574</v>
      </c>
      <c r="AE89" s="3">
        <v>55.8</v>
      </c>
      <c r="AM89">
        <v>2010</v>
      </c>
      <c r="AN89" s="2">
        <f t="shared" si="18"/>
        <v>132.9</v>
      </c>
      <c r="AO89" s="2">
        <f t="shared" si="19"/>
        <v>55.8</v>
      </c>
      <c r="AP89" s="2">
        <f t="shared" si="20"/>
        <v>6.3285714285714292</v>
      </c>
      <c r="AQ89" s="2">
        <f t="shared" si="31"/>
        <v>62.128571428571426</v>
      </c>
      <c r="AR89" s="2">
        <f t="shared" si="27"/>
        <v>70.771428571428572</v>
      </c>
      <c r="AT89" s="7">
        <v>100</v>
      </c>
      <c r="AV89" s="4">
        <f t="shared" si="28"/>
        <v>132.9</v>
      </c>
      <c r="AW89" s="4">
        <f t="shared" si="22"/>
        <v>133.63462578573348</v>
      </c>
      <c r="AX89" s="4">
        <f t="shared" si="23"/>
        <v>62.128571428571419</v>
      </c>
      <c r="AY89" s="3">
        <f t="shared" si="24"/>
        <v>70.771428571428586</v>
      </c>
      <c r="AZ89" s="3">
        <f t="shared" si="29"/>
        <v>71.506054357162057</v>
      </c>
      <c r="BA89" s="4">
        <f t="shared" si="30"/>
        <v>6745.3124745228424</v>
      </c>
      <c r="BB89">
        <v>0</v>
      </c>
      <c r="BC89">
        <v>0</v>
      </c>
      <c r="BD89">
        <v>0</v>
      </c>
      <c r="BE89">
        <v>0</v>
      </c>
      <c r="BG89" s="4">
        <f t="shared" si="12"/>
        <v>139.49669722911889</v>
      </c>
      <c r="BH89" s="4">
        <f t="shared" si="13"/>
        <v>140.26778730292753</v>
      </c>
    </row>
    <row r="90" spans="1:60">
      <c r="A90">
        <v>2011</v>
      </c>
      <c r="B90" s="3">
        <f t="shared" ref="B90:B96" si="38">I90/G90*100/C90*100</f>
        <v>177.33125374920508</v>
      </c>
      <c r="C90" s="3">
        <f>CPIs!AB50</f>
        <v>103.13271097869961</v>
      </c>
      <c r="G90" s="3">
        <f>'Exchange Rates'!S50</f>
        <v>79.602181276575308</v>
      </c>
      <c r="I90" s="21">
        <v>145.58166666666665</v>
      </c>
      <c r="J90" s="21"/>
      <c r="P90" s="21"/>
      <c r="Q90" s="21"/>
      <c r="S90">
        <f>USA!Z98*G90</f>
        <v>8553.2543781680179</v>
      </c>
      <c r="X90" s="4">
        <v>6.9812385695574939</v>
      </c>
      <c r="Y90" s="3">
        <v>55.8</v>
      </c>
      <c r="Z90" s="3">
        <v>0.05</v>
      </c>
      <c r="AA90" s="4">
        <f t="shared" ref="AA90:AA97" si="39">Z90*(I90*(1/(1+Z90)))</f>
        <v>6.9324603174603174</v>
      </c>
      <c r="AB90" s="3">
        <f t="shared" si="33"/>
        <v>62.732460317460315</v>
      </c>
      <c r="AE90" s="3">
        <v>55.8</v>
      </c>
      <c r="AM90">
        <v>2011</v>
      </c>
      <c r="AN90" s="2">
        <f t="shared" ref="AN90:AN97" si="40">I90</f>
        <v>145.58166666666665</v>
      </c>
      <c r="AO90" s="2">
        <f t="shared" si="19"/>
        <v>55.8</v>
      </c>
      <c r="AP90" s="2">
        <f t="shared" si="20"/>
        <v>6.9324603174603174</v>
      </c>
      <c r="AQ90" s="2">
        <f t="shared" si="31"/>
        <v>62.732460317460315</v>
      </c>
      <c r="AR90" s="2">
        <f t="shared" si="27"/>
        <v>82.849206349206327</v>
      </c>
      <c r="AT90" s="7">
        <f>CPIs!S50</f>
        <v>99.732368469238281</v>
      </c>
      <c r="AV90" s="4">
        <f t="shared" si="28"/>
        <v>145.97233466040691</v>
      </c>
      <c r="AW90" s="4">
        <f t="shared" ref="AW90:AW95" si="41">AZ90+AX90</f>
        <v>147.07119878802166</v>
      </c>
      <c r="AX90" s="4">
        <f t="shared" si="23"/>
        <v>62.900802698583945</v>
      </c>
      <c r="AY90" s="3">
        <f t="shared" ref="AY90:AY96" si="42">AV90-AX90</f>
        <v>83.07153196182297</v>
      </c>
      <c r="AZ90" s="3">
        <f t="shared" si="29"/>
        <v>84.170396089437702</v>
      </c>
      <c r="BA90" s="4">
        <f t="shared" si="30"/>
        <v>8576.2070122762671</v>
      </c>
      <c r="BB90">
        <v>0</v>
      </c>
      <c r="BC90">
        <v>0</v>
      </c>
      <c r="BD90">
        <v>0</v>
      </c>
      <c r="BE90">
        <v>0</v>
      </c>
      <c r="BG90" s="4">
        <f t="shared" si="12"/>
        <v>153.21789745636116</v>
      </c>
      <c r="BH90" s="4">
        <f t="shared" si="13"/>
        <v>154.37130540599108</v>
      </c>
    </row>
    <row r="91" spans="1:60">
      <c r="A91">
        <v>2012</v>
      </c>
      <c r="B91" s="3">
        <f t="shared" si="38"/>
        <v>174.81213946353958</v>
      </c>
      <c r="C91" s="3">
        <f>CPIs!AB51</f>
        <v>105.21072267093371</v>
      </c>
      <c r="G91" s="3">
        <f>'Exchange Rates'!S51</f>
        <v>79.938256755673166</v>
      </c>
      <c r="I91" s="21">
        <v>147.02333333333334</v>
      </c>
      <c r="J91" s="21"/>
      <c r="P91" s="21"/>
      <c r="Q91" s="21"/>
      <c r="S91">
        <f>USA!Z99*G91</f>
        <v>8752.9080371328146</v>
      </c>
      <c r="X91" s="4">
        <v>7.0898617154488024</v>
      </c>
      <c r="Y91" s="3">
        <v>56.6</v>
      </c>
      <c r="Z91" s="3">
        <v>0.05</v>
      </c>
      <c r="AA91" s="4">
        <f t="shared" si="39"/>
        <v>7.0011111111111113</v>
      </c>
      <c r="AB91" s="3">
        <f t="shared" si="33"/>
        <v>63.601111111111109</v>
      </c>
      <c r="AE91" s="3">
        <v>56.6</v>
      </c>
      <c r="AM91">
        <v>2012</v>
      </c>
      <c r="AN91" s="2">
        <f t="shared" si="40"/>
        <v>147.02333333333334</v>
      </c>
      <c r="AO91" s="2">
        <f t="shared" si="19"/>
        <v>56.6</v>
      </c>
      <c r="AP91" s="2">
        <f t="shared" si="20"/>
        <v>7.0011111111111113</v>
      </c>
      <c r="AQ91" s="2">
        <f t="shared" si="31"/>
        <v>63.601111111111109</v>
      </c>
      <c r="AR91" s="2">
        <f t="shared" si="27"/>
        <v>83.422222222222231</v>
      </c>
      <c r="AT91" s="7">
        <f>CPIs!S51</f>
        <v>99.680564880371094</v>
      </c>
      <c r="AV91" s="4">
        <f t="shared" si="28"/>
        <v>147.49448250998515</v>
      </c>
      <c r="AW91" s="4">
        <f t="shared" si="41"/>
        <v>149.39158660648178</v>
      </c>
      <c r="AX91" s="4">
        <f t="shared" si="23"/>
        <v>63.804926454259402</v>
      </c>
      <c r="AY91" s="3">
        <f t="shared" si="42"/>
        <v>83.689556055725745</v>
      </c>
      <c r="AZ91" s="3">
        <f t="shared" si="29"/>
        <v>85.586660152222379</v>
      </c>
      <c r="BA91" s="4">
        <f t="shared" si="30"/>
        <v>8780.9574992250273</v>
      </c>
      <c r="BB91">
        <v>0</v>
      </c>
      <c r="BC91">
        <v>0</v>
      </c>
      <c r="BD91">
        <v>0</v>
      </c>
      <c r="BE91">
        <v>0</v>
      </c>
      <c r="BG91" s="4">
        <f t="shared" si="12"/>
        <v>154.81559947073717</v>
      </c>
      <c r="BH91" s="4">
        <f t="shared" si="13"/>
        <v>156.8068692657794</v>
      </c>
    </row>
    <row r="92" spans="1:60">
      <c r="A92">
        <v>2013</v>
      </c>
      <c r="B92" s="3">
        <f t="shared" si="38"/>
        <v>149.46161328656768</v>
      </c>
      <c r="C92" s="3">
        <f>CPIs!AB52</f>
        <v>106.69767516878358</v>
      </c>
      <c r="G92" s="3">
        <f>'Exchange Rates'!S52</f>
        <v>97.685864328805181</v>
      </c>
      <c r="I92" s="21">
        <v>155.78166666666664</v>
      </c>
      <c r="J92" s="21"/>
      <c r="S92">
        <f>USA!Z100*G92</f>
        <v>10348.474145002387</v>
      </c>
      <c r="X92" s="4">
        <v>7.6475955760796683</v>
      </c>
      <c r="Y92" s="3">
        <v>56.6</v>
      </c>
      <c r="Z92" s="3">
        <v>0.05</v>
      </c>
      <c r="AA92" s="4">
        <f t="shared" si="39"/>
        <v>7.4181746031746023</v>
      </c>
      <c r="AB92" s="3">
        <f t="shared" si="33"/>
        <v>64.0181746031746</v>
      </c>
      <c r="AE92" s="3">
        <v>56.6</v>
      </c>
      <c r="AM92">
        <v>2013</v>
      </c>
      <c r="AN92" s="2">
        <f t="shared" si="40"/>
        <v>155.78166666666664</v>
      </c>
      <c r="AO92" s="2">
        <f t="shared" si="19"/>
        <v>56.6</v>
      </c>
      <c r="AP92" s="2">
        <f t="shared" si="20"/>
        <v>7.4181746031746023</v>
      </c>
      <c r="AQ92" s="2">
        <f t="shared" si="31"/>
        <v>64.0181746031746</v>
      </c>
      <c r="AR92" s="2">
        <f t="shared" si="27"/>
        <v>91.763492063492038</v>
      </c>
      <c r="AT92" s="7">
        <f>CPIs!S52</f>
        <v>100.02590179443359</v>
      </c>
      <c r="AV92" s="4">
        <f t="shared" si="28"/>
        <v>155.74132686833303</v>
      </c>
      <c r="AW92" s="4">
        <f t="shared" si="41"/>
        <v>160.41227181586319</v>
      </c>
      <c r="AX92" s="4">
        <f t="shared" si="23"/>
        <v>64.001597041074803</v>
      </c>
      <c r="AY92" s="3">
        <f t="shared" si="42"/>
        <v>91.73972982725823</v>
      </c>
      <c r="AZ92" s="3">
        <f t="shared" si="29"/>
        <v>96.41067477478839</v>
      </c>
      <c r="BA92" s="4">
        <f t="shared" si="30"/>
        <v>10345.794398604738</v>
      </c>
      <c r="BB92">
        <v>0</v>
      </c>
      <c r="BC92">
        <v>0</v>
      </c>
      <c r="BD92">
        <v>0</v>
      </c>
      <c r="BE92">
        <v>0</v>
      </c>
      <c r="BG92" s="4">
        <f t="shared" si="12"/>
        <v>163.47178871492167</v>
      </c>
      <c r="BH92" s="4">
        <f t="shared" si="13"/>
        <v>168.37458324554242</v>
      </c>
    </row>
    <row r="93" spans="1:60">
      <c r="A93">
        <v>2014</v>
      </c>
      <c r="B93" s="3">
        <f t="shared" si="38"/>
        <v>141.58798773586281</v>
      </c>
      <c r="C93" s="3">
        <f>CPIs!AB53</f>
        <v>108.45811062912946</v>
      </c>
      <c r="G93" s="3">
        <f>'Exchange Rates'!S53</f>
        <v>106.1123470522803</v>
      </c>
      <c r="I93" s="21">
        <v>162.94999999999999</v>
      </c>
      <c r="J93" s="21"/>
      <c r="S93">
        <f>USA!Z101*G93</f>
        <v>10206.8467404987</v>
      </c>
      <c r="X93" s="4">
        <v>7.6323755805432816</v>
      </c>
      <c r="Y93" s="3">
        <v>56.6</v>
      </c>
      <c r="Z93" s="3">
        <v>7.0000000000000007E-2</v>
      </c>
      <c r="AA93" s="4">
        <f t="shared" si="39"/>
        <v>10.660280373831776</v>
      </c>
      <c r="AB93" s="3">
        <f t="shared" si="33"/>
        <v>67.260280373831776</v>
      </c>
      <c r="AE93" s="3">
        <v>56.6</v>
      </c>
      <c r="AM93">
        <v>2014</v>
      </c>
      <c r="AN93" s="2">
        <f t="shared" si="40"/>
        <v>162.94999999999999</v>
      </c>
      <c r="AO93" s="2">
        <f t="shared" si="19"/>
        <v>56.6</v>
      </c>
      <c r="AP93" s="2">
        <f t="shared" si="20"/>
        <v>10.660280373831776</v>
      </c>
      <c r="AQ93" s="2">
        <f t="shared" si="31"/>
        <v>67.260280373831776</v>
      </c>
      <c r="AR93" s="2">
        <f t="shared" si="27"/>
        <v>95.689719626168213</v>
      </c>
      <c r="AT93" s="7">
        <f>CPIs!S53</f>
        <v>102.78856658935547</v>
      </c>
      <c r="AV93" s="4">
        <f t="shared" si="28"/>
        <v>158.52930477276905</v>
      </c>
      <c r="AW93" s="4">
        <f t="shared" si="41"/>
        <v>158.96979114272347</v>
      </c>
      <c r="AX93" s="4">
        <f t="shared" si="23"/>
        <v>65.435566041638992</v>
      </c>
      <c r="AY93" s="3">
        <f t="shared" si="42"/>
        <v>93.09373873113006</v>
      </c>
      <c r="AZ93" s="3">
        <f t="shared" si="29"/>
        <v>93.534225101084473</v>
      </c>
      <c r="BA93" s="4">
        <f t="shared" si="30"/>
        <v>9929.9436495456466</v>
      </c>
      <c r="BB93">
        <v>0</v>
      </c>
      <c r="BC93">
        <v>0</v>
      </c>
      <c r="BD93">
        <v>0</v>
      </c>
      <c r="BE93">
        <v>0</v>
      </c>
      <c r="BG93" s="4">
        <f t="shared" si="12"/>
        <v>166.39815221843247</v>
      </c>
      <c r="BH93" s="4">
        <f t="shared" si="13"/>
        <v>166.86050281123221</v>
      </c>
    </row>
    <row r="94" spans="1:60">
      <c r="A94">
        <v>2015</v>
      </c>
      <c r="B94" s="3">
        <f t="shared" si="38"/>
        <v>104.59031565630721</v>
      </c>
      <c r="C94" s="3">
        <f>CPIs!AB54</f>
        <v>108.69337137051741</v>
      </c>
      <c r="G94" s="3">
        <f>'Exchange Rates'!S54</f>
        <v>120.93817678447832</v>
      </c>
      <c r="I94" s="21">
        <v>137.48583333333335</v>
      </c>
      <c r="J94" s="21"/>
      <c r="S94">
        <f>USA!Z102*G94</f>
        <v>5988.456394929558</v>
      </c>
      <c r="X94" s="4">
        <v>6.1789950058825589</v>
      </c>
      <c r="Y94" s="3">
        <v>56.6</v>
      </c>
      <c r="Z94" s="3">
        <v>0.08</v>
      </c>
      <c r="AA94" s="4">
        <f t="shared" si="39"/>
        <v>10.184135802469136</v>
      </c>
      <c r="AB94" s="3">
        <f t="shared" si="33"/>
        <v>66.784135802469137</v>
      </c>
      <c r="AE94" s="3">
        <v>56.6</v>
      </c>
      <c r="AM94">
        <v>2015</v>
      </c>
      <c r="AN94" s="2">
        <f t="shared" si="40"/>
        <v>137.48583333333335</v>
      </c>
      <c r="AO94" s="2">
        <f t="shared" si="19"/>
        <v>56.6</v>
      </c>
      <c r="AP94" s="2">
        <f t="shared" si="20"/>
        <v>10.184135802469136</v>
      </c>
      <c r="AQ94" s="2">
        <f t="shared" si="31"/>
        <v>66.784135802469137</v>
      </c>
      <c r="AR94" s="2">
        <f t="shared" si="27"/>
        <v>70.701697530864209</v>
      </c>
      <c r="AT94" s="7">
        <f>CPIs!S54</f>
        <v>103.60009765625</v>
      </c>
      <c r="AV94" s="4">
        <f t="shared" si="28"/>
        <v>132.70820823887425</v>
      </c>
      <c r="AW94" s="4">
        <f t="shared" si="41"/>
        <v>129.29483081475144</v>
      </c>
      <c r="AX94" s="4">
        <f t="shared" si="23"/>
        <v>64.463390781794473</v>
      </c>
      <c r="AY94" s="3">
        <f t="shared" si="42"/>
        <v>68.244817457079776</v>
      </c>
      <c r="AZ94" s="3">
        <f t="shared" si="29"/>
        <v>64.831440032956976</v>
      </c>
      <c r="BA94" s="4">
        <f t="shared" si="30"/>
        <v>5780.3578668424989</v>
      </c>
      <c r="BB94">
        <v>0</v>
      </c>
      <c r="BC94">
        <v>0</v>
      </c>
      <c r="BD94">
        <v>0</v>
      </c>
      <c r="BE94">
        <v>0</v>
      </c>
      <c r="BG94" s="4">
        <f t="shared" si="12"/>
        <v>139.29538558703612</v>
      </c>
      <c r="BH94" s="4">
        <f t="shared" si="13"/>
        <v>135.71257989056082</v>
      </c>
    </row>
    <row r="95" spans="1:60">
      <c r="A95">
        <v>2016</v>
      </c>
      <c r="B95" s="3">
        <f t="shared" si="38"/>
        <v>101.5712719658417</v>
      </c>
      <c r="C95" s="3">
        <f>CPIs!AB55</f>
        <v>110.08253978538585</v>
      </c>
      <c r="G95" s="3">
        <f>'Exchange Rates'!S55</f>
        <v>108.94752771581341</v>
      </c>
      <c r="I95" s="21">
        <v>121.81666666666666</v>
      </c>
      <c r="J95" s="21"/>
      <c r="S95">
        <f>USA!Z103*G95</f>
        <v>4432.4175860058958</v>
      </c>
      <c r="X95" s="4">
        <v>5.6377282475317863</v>
      </c>
      <c r="Y95" s="3">
        <v>56.6</v>
      </c>
      <c r="Z95" s="3">
        <v>0.08</v>
      </c>
      <c r="AA95" s="4">
        <f t="shared" si="39"/>
        <v>9.0234567901234559</v>
      </c>
      <c r="AB95" s="3">
        <f t="shared" si="33"/>
        <v>65.623456790123456</v>
      </c>
      <c r="AE95" s="3">
        <v>56.6</v>
      </c>
      <c r="AM95">
        <v>2016</v>
      </c>
      <c r="AN95" s="2">
        <f t="shared" si="40"/>
        <v>121.81666666666666</v>
      </c>
      <c r="AO95" s="2">
        <f t="shared" si="19"/>
        <v>56.6</v>
      </c>
      <c r="AP95" s="2">
        <f t="shared" si="20"/>
        <v>9.0234567901234559</v>
      </c>
      <c r="AQ95" s="2">
        <f t="shared" si="31"/>
        <v>65.623456790123456</v>
      </c>
      <c r="AR95" s="2">
        <f t="shared" si="27"/>
        <v>56.193209876543207</v>
      </c>
      <c r="AT95" s="7">
        <f>CPIs!S55</f>
        <v>103.47923278808594</v>
      </c>
      <c r="AV95" s="4">
        <f t="shared" si="28"/>
        <v>117.72088310331192</v>
      </c>
      <c r="AW95" s="4">
        <f t="shared" si="41"/>
        <v>117.89389763085906</v>
      </c>
      <c r="AX95" s="4">
        <f t="shared" si="23"/>
        <v>63.41703066596277</v>
      </c>
      <c r="AY95" s="3">
        <f t="shared" si="42"/>
        <v>54.30385243734915</v>
      </c>
      <c r="AZ95" s="3">
        <f t="shared" si="29"/>
        <v>54.476866964896288</v>
      </c>
      <c r="BA95" s="4">
        <f t="shared" si="30"/>
        <v>4283.3885279020169</v>
      </c>
      <c r="BB95">
        <v>0</v>
      </c>
      <c r="BC95">
        <v>0</v>
      </c>
      <c r="BD95">
        <v>0</v>
      </c>
      <c r="BE95">
        <v>0</v>
      </c>
      <c r="BG95" s="4">
        <f t="shared" si="12"/>
        <v>123.56414136799999</v>
      </c>
      <c r="BH95" s="4">
        <f t="shared" si="13"/>
        <v>123.74574373944832</v>
      </c>
    </row>
    <row r="96" spans="1:60">
      <c r="A96">
        <v>2017</v>
      </c>
      <c r="B96" s="3">
        <f t="shared" si="38"/>
        <v>105.89136817237051</v>
      </c>
      <c r="C96" s="3">
        <f>CPIs!AB56</f>
        <v>112.42729788281457</v>
      </c>
      <c r="G96" s="3">
        <f>'Exchange Rates'!S56</f>
        <v>112.137</v>
      </c>
      <c r="I96" s="21">
        <v>133.5</v>
      </c>
      <c r="J96" s="21"/>
      <c r="S96">
        <f>USA!Z104*G96</f>
        <v>5888.31387</v>
      </c>
      <c r="X96" s="4">
        <v>6.148742117563855</v>
      </c>
      <c r="Y96" s="3">
        <v>56.6</v>
      </c>
      <c r="Z96" s="3">
        <v>0.08</v>
      </c>
      <c r="AA96" s="4">
        <f t="shared" si="39"/>
        <v>9.8888888888888875</v>
      </c>
      <c r="AB96" s="3">
        <f>Y96+AA96</f>
        <v>66.488888888888894</v>
      </c>
      <c r="AE96" s="3">
        <v>56.6</v>
      </c>
      <c r="AM96">
        <v>2017</v>
      </c>
      <c r="AN96" s="2">
        <f t="shared" si="40"/>
        <v>133.5</v>
      </c>
      <c r="AO96" s="2">
        <f t="shared" si="19"/>
        <v>56.6</v>
      </c>
      <c r="AP96" s="2">
        <f t="shared" si="20"/>
        <v>9.8888888888888875</v>
      </c>
      <c r="AQ96" s="2">
        <f t="shared" si="31"/>
        <v>66.488888888888894</v>
      </c>
      <c r="AR96" s="2">
        <f t="shared" si="27"/>
        <v>67.011111111111106</v>
      </c>
      <c r="AT96" s="7">
        <f>CPIs!S56</f>
        <v>103.96558518218994</v>
      </c>
      <c r="AV96" s="4">
        <f t="shared" si="28"/>
        <v>128.40787628526667</v>
      </c>
      <c r="AW96" s="4">
        <f>AZ96+AX96</f>
        <v>127.97740135281842</v>
      </c>
      <c r="AX96" s="4">
        <f t="shared" si="23"/>
        <v>63.952786657597663</v>
      </c>
      <c r="AY96" s="3">
        <f t="shared" si="42"/>
        <v>64.455089627668997</v>
      </c>
      <c r="AZ96" s="3">
        <f t="shared" si="29"/>
        <v>64.024614695220762</v>
      </c>
      <c r="BA96" s="4">
        <f t="shared" si="30"/>
        <v>5663.71444904704</v>
      </c>
      <c r="BB96">
        <v>0</v>
      </c>
      <c r="BC96">
        <v>0</v>
      </c>
      <c r="BD96">
        <v>0</v>
      </c>
      <c r="BE96">
        <v>0</v>
      </c>
      <c r="BG96" s="4">
        <f t="shared" si="12"/>
        <v>134.7816</v>
      </c>
      <c r="BH96" s="4">
        <f t="shared" si="13"/>
        <v>134.32975777790475</v>
      </c>
    </row>
    <row r="97" spans="1:60">
      <c r="A97">
        <v>2018</v>
      </c>
      <c r="G97" s="3">
        <f>'Exchange Rates'!S57</f>
        <v>109.911</v>
      </c>
      <c r="I97" s="21">
        <v>149.69999999999999</v>
      </c>
      <c r="P97"/>
      <c r="S97">
        <f>USA!Z105*G97</f>
        <v>7716.1899407792216</v>
      </c>
      <c r="Y97" s="3">
        <v>56.6</v>
      </c>
      <c r="Z97" s="3">
        <v>0.08</v>
      </c>
      <c r="AA97" s="4">
        <f t="shared" si="39"/>
        <v>11.088888888888887</v>
      </c>
      <c r="AB97" s="3">
        <f>Y97+AA97</f>
        <v>67.688888888888883</v>
      </c>
      <c r="AM97">
        <v>2018</v>
      </c>
      <c r="AN97" s="2">
        <f t="shared" si="40"/>
        <v>149.69999999999999</v>
      </c>
      <c r="AO97" s="2">
        <f t="shared" ref="AO97" si="43">Y97</f>
        <v>56.6</v>
      </c>
      <c r="AP97" s="2">
        <f t="shared" ref="AP97" si="44">AA97</f>
        <v>11.088888888888887</v>
      </c>
      <c r="AQ97" s="2">
        <f t="shared" ref="AQ97" si="45">AB97</f>
        <v>67.688888888888883</v>
      </c>
      <c r="AR97" s="2">
        <f t="shared" ref="AR97" si="46">AN97-AQ97</f>
        <v>82.011111111111106</v>
      </c>
      <c r="AT97" s="7">
        <f>CPIs!S57</f>
        <v>104.96365479993896</v>
      </c>
      <c r="AV97" s="4">
        <f t="shared" si="28"/>
        <v>142.62079601299004</v>
      </c>
      <c r="AW97" s="4">
        <f>AZ97+AX97</f>
        <v>140.1855941465414</v>
      </c>
      <c r="AX97" s="4">
        <f t="shared" ref="AX97" si="47">AQ97/AT97*100</f>
        <v>64.487930625037876</v>
      </c>
      <c r="AY97" s="3">
        <f t="shared" ref="AY97" si="48">AV97-AX97</f>
        <v>78.132865387952165</v>
      </c>
      <c r="AZ97" s="3">
        <f t="shared" si="29"/>
        <v>75.697663521503529</v>
      </c>
      <c r="BA97" s="4">
        <f t="shared" ref="BA97" si="49">S97/AT97*100</f>
        <v>7351.2969374840295</v>
      </c>
      <c r="BB97">
        <v>0</v>
      </c>
      <c r="BC97">
        <v>0</v>
      </c>
      <c r="BD97">
        <v>0</v>
      </c>
      <c r="BE97">
        <v>0</v>
      </c>
      <c r="BG97" s="4">
        <f>AV97*$AT$97/$AT$89</f>
        <v>149.69999999999999</v>
      </c>
      <c r="BH97" s="4">
        <f>AW97*$AT$97/$AT$89</f>
        <v>147.14392311921915</v>
      </c>
    </row>
    <row r="98" spans="1:60">
      <c r="P98" s="13"/>
      <c r="Q98" s="13"/>
      <c r="AM98">
        <v>2019</v>
      </c>
      <c r="AT98" s="7">
        <f>AT97</f>
        <v>104.96365479993896</v>
      </c>
    </row>
    <row r="99" spans="1:60">
      <c r="P99" s="13"/>
      <c r="Q99" s="13"/>
      <c r="AM99">
        <v>2020</v>
      </c>
      <c r="AT99" s="7">
        <f t="shared" ref="AT99:AT109" si="50">AT98</f>
        <v>104.96365479993896</v>
      </c>
      <c r="AV99" s="13" t="s">
        <v>88</v>
      </c>
      <c r="AW99" s="13">
        <v>24.848565076999186</v>
      </c>
    </row>
    <row r="100" spans="1:60">
      <c r="AM100">
        <v>2021</v>
      </c>
      <c r="AT100" s="7">
        <f t="shared" si="50"/>
        <v>104.96365479993896</v>
      </c>
      <c r="AV100" s="13" t="s">
        <v>229</v>
      </c>
      <c r="AW100" s="13">
        <v>6.9170241491982743E-3</v>
      </c>
    </row>
    <row r="101" spans="1:60">
      <c r="AM101">
        <v>2022</v>
      </c>
      <c r="AT101" s="7">
        <f t="shared" si="50"/>
        <v>104.96365479993896</v>
      </c>
      <c r="AV101" s="3" t="s">
        <v>240</v>
      </c>
      <c r="AW101" s="13">
        <v>-16.700265145457472</v>
      </c>
    </row>
    <row r="102" spans="1:60">
      <c r="AM102">
        <v>2023</v>
      </c>
      <c r="AT102" s="7">
        <f t="shared" si="50"/>
        <v>104.96365479993896</v>
      </c>
      <c r="AV102" s="3" t="s">
        <v>275</v>
      </c>
      <c r="AW102" s="13">
        <v>17.884583851027326</v>
      </c>
    </row>
    <row r="103" spans="1:60">
      <c r="P103" s="13" t="str">
        <f>AV99</f>
        <v>Intercept</v>
      </c>
      <c r="Q103" s="13">
        <f>AW99</f>
        <v>24.848565076999186</v>
      </c>
      <c r="AM103">
        <v>2024</v>
      </c>
      <c r="AT103" s="7">
        <f t="shared" si="50"/>
        <v>104.96365479993896</v>
      </c>
      <c r="AV103" s="3" t="s">
        <v>2009</v>
      </c>
      <c r="AW103" s="13">
        <v>33.577605479139173</v>
      </c>
    </row>
    <row r="104" spans="1:60" ht="15.75" thickBot="1">
      <c r="P104" s="13" t="str">
        <f>AV100</f>
        <v>landed oil price</v>
      </c>
      <c r="Q104" s="13">
        <f>AW100</f>
        <v>6.9170241491982743E-3</v>
      </c>
      <c r="AM104">
        <v>2025</v>
      </c>
      <c r="AT104" s="7">
        <f t="shared" si="50"/>
        <v>104.96365479993896</v>
      </c>
      <c r="AV104" s="3" t="s">
        <v>2167</v>
      </c>
      <c r="AW104" s="14">
        <v>-5.8256946499824531</v>
      </c>
    </row>
    <row r="105" spans="1:60">
      <c r="J105" s="13" t="s">
        <v>88</v>
      </c>
      <c r="K105" s="13">
        <v>48.108961543504194</v>
      </c>
      <c r="L105" s="13">
        <v>3.3593473089258175</v>
      </c>
      <c r="P105" s="13"/>
      <c r="Q105" s="13"/>
      <c r="AM105">
        <v>2026</v>
      </c>
      <c r="AT105" s="7">
        <f t="shared" si="50"/>
        <v>104.96365479993896</v>
      </c>
    </row>
    <row r="106" spans="1:60">
      <c r="J106" s="13" t="s">
        <v>99</v>
      </c>
      <c r="K106" s="13">
        <v>6.4132847657181651E-3</v>
      </c>
      <c r="L106" s="13">
        <v>7.4003089212166617E-4</v>
      </c>
      <c r="P106" s="13"/>
      <c r="Q106" s="13"/>
      <c r="AM106">
        <v>2027</v>
      </c>
      <c r="AT106" s="7">
        <f t="shared" si="50"/>
        <v>104.96365479993896</v>
      </c>
    </row>
    <row r="107" spans="1:60">
      <c r="J107" s="13" t="s">
        <v>127</v>
      </c>
      <c r="K107" s="13">
        <v>-31.545155549740311</v>
      </c>
      <c r="L107" s="13">
        <v>0</v>
      </c>
      <c r="P107" s="13"/>
      <c r="Q107" s="13"/>
      <c r="AM107">
        <v>2028</v>
      </c>
      <c r="AT107" s="7">
        <f t="shared" si="50"/>
        <v>104.96365479993896</v>
      </c>
    </row>
    <row r="108" spans="1:60">
      <c r="J108" s="13" t="s">
        <v>136</v>
      </c>
      <c r="K108" s="13">
        <v>-22.183151216987834</v>
      </c>
      <c r="L108" s="13">
        <v>0</v>
      </c>
      <c r="P108" s="13"/>
      <c r="Q108" s="13"/>
      <c r="AM108">
        <v>2029</v>
      </c>
      <c r="AT108" s="7">
        <f t="shared" si="50"/>
        <v>104.96365479993896</v>
      </c>
    </row>
    <row r="109" spans="1:60" ht="15.75" thickBot="1">
      <c r="J109" s="14" t="s">
        <v>141</v>
      </c>
      <c r="K109" s="14">
        <v>0</v>
      </c>
      <c r="L109" s="14">
        <v>0</v>
      </c>
      <c r="AM109">
        <v>2030</v>
      </c>
      <c r="AT109" s="7">
        <f t="shared" si="50"/>
        <v>104.96365479993896</v>
      </c>
    </row>
    <row r="117" spans="1:63">
      <c r="W117"/>
    </row>
    <row r="118" spans="1:63">
      <c r="O118" s="12"/>
      <c r="P118" s="23"/>
      <c r="R118" s="12"/>
      <c r="S118" s="23"/>
      <c r="W118"/>
      <c r="X118" s="23"/>
      <c r="AN118"/>
      <c r="AO118"/>
      <c r="AP118"/>
      <c r="AQ118"/>
      <c r="AR118"/>
      <c r="AS118"/>
      <c r="AT118"/>
      <c r="AV118" s="32"/>
      <c r="AW118" s="32"/>
      <c r="AX118" s="2"/>
      <c r="AY118" s="23"/>
      <c r="BA118" s="23"/>
      <c r="BG118" s="9"/>
    </row>
    <row r="119" spans="1:63">
      <c r="O119" s="12"/>
      <c r="P119" s="23"/>
      <c r="R119" s="12"/>
      <c r="S119" s="23"/>
      <c r="W119"/>
      <c r="X119" s="23"/>
      <c r="Y119" s="23"/>
      <c r="Z119" s="23"/>
      <c r="AA119" s="23"/>
      <c r="AB119" s="23"/>
      <c r="AC119" s="23"/>
      <c r="AD119" s="23"/>
      <c r="AE119" s="23"/>
      <c r="AF119" s="23"/>
      <c r="AK119" t="s">
        <v>1960</v>
      </c>
      <c r="AL119" t="s">
        <v>1960</v>
      </c>
      <c r="AM119" t="s">
        <v>1960</v>
      </c>
      <c r="AN119"/>
      <c r="AO119"/>
      <c r="AP119"/>
      <c r="AQ119"/>
      <c r="AR119"/>
      <c r="AS119"/>
      <c r="AT119"/>
      <c r="AV119" s="12"/>
      <c r="AW119" s="12"/>
      <c r="AZ119" s="2"/>
      <c r="BA119" s="2"/>
      <c r="BB119" s="2"/>
      <c r="BC119" s="23"/>
      <c r="BE119" s="23"/>
      <c r="BK119" s="9"/>
    </row>
    <row r="120" spans="1:63">
      <c r="B120" s="76" t="s">
        <v>2551</v>
      </c>
      <c r="C120" s="76"/>
      <c r="D120" s="76"/>
      <c r="E120" s="76"/>
      <c r="F120" s="26" t="s">
        <v>269</v>
      </c>
      <c r="G120" s="76" t="s">
        <v>2575</v>
      </c>
      <c r="H120" s="76"/>
      <c r="I120" s="76"/>
      <c r="J120" s="76"/>
      <c r="K120" s="26" t="s">
        <v>2576</v>
      </c>
      <c r="L120" s="26"/>
      <c r="M120" s="26"/>
      <c r="N120" s="26"/>
      <c r="O120" s="12"/>
      <c r="P120" s="77" t="s">
        <v>111</v>
      </c>
      <c r="Q120" s="26" t="s">
        <v>2609</v>
      </c>
      <c r="R120" s="26"/>
      <c r="S120" s="26"/>
      <c r="T120" s="79">
        <v>0.08</v>
      </c>
      <c r="U120" s="76" t="s">
        <v>2577</v>
      </c>
      <c r="V120" s="76"/>
      <c r="W120" s="76"/>
      <c r="X120" s="76"/>
      <c r="Y120" s="26" t="s">
        <v>2068</v>
      </c>
      <c r="Z120" s="26"/>
      <c r="AA120" s="26"/>
      <c r="AB120" s="79"/>
      <c r="AC120" s="26" t="s">
        <v>2077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N120"/>
      <c r="AO120"/>
      <c r="AP120"/>
      <c r="AQ120"/>
      <c r="AR120"/>
      <c r="AS120"/>
      <c r="AT120"/>
      <c r="AV120" s="12"/>
      <c r="AW120" s="12"/>
      <c r="AZ120" s="2"/>
      <c r="BA120"/>
      <c r="BB120" s="23"/>
      <c r="BH120" s="9"/>
    </row>
    <row r="121" spans="1:63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2564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N121"/>
      <c r="AO121"/>
      <c r="AP121"/>
      <c r="AQ121"/>
      <c r="AR121"/>
      <c r="AS121"/>
      <c r="AT121"/>
      <c r="AV121" s="12"/>
      <c r="AW121" s="12"/>
      <c r="AZ121" s="2"/>
      <c r="BA121"/>
      <c r="BB121" s="23"/>
      <c r="BH121" s="9"/>
    </row>
    <row r="122" spans="1:63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1">AL122</f>
        <v>77.45</v>
      </c>
      <c r="E122" s="3">
        <f t="shared" si="51"/>
        <v>77.45</v>
      </c>
      <c r="F122" s="6">
        <f>'Exchange Rates'!S49</f>
        <v>87.092478689771994</v>
      </c>
      <c r="G122" s="9">
        <f>(B122*USA!$AU97/100)/$AT89*100*$F122</f>
        <v>6745.3124745228415</v>
      </c>
      <c r="H122" s="9">
        <f>(C122*USA!$AU97/100)/$AT89*100*$F122</f>
        <v>6745.3124745228415</v>
      </c>
      <c r="I122" s="9">
        <f>(D122*USA!$AU97/100)/$AT89*100*$F122</f>
        <v>6745.3124745228415</v>
      </c>
      <c r="J122" s="9">
        <f>(E122*USA!$AU97/100)/$AT89*100*$F122</f>
        <v>6745.3124745228415</v>
      </c>
      <c r="K122" s="6">
        <f>Q$103+Q$104*G122</f>
        <v>71.506054357162043</v>
      </c>
      <c r="L122" s="6">
        <f>Q$103+Q$104*H122</f>
        <v>71.506054357162043</v>
      </c>
      <c r="M122" s="6">
        <f>Q$103+Q$104*I122</f>
        <v>71.506054357162043</v>
      </c>
      <c r="N122" s="6">
        <f>Q$103+Q$104*J122</f>
        <v>71.506054357162043</v>
      </c>
      <c r="O122">
        <v>2010</v>
      </c>
      <c r="P122" s="24">
        <f t="shared" ref="P122:P130" si="52">Y89/AT89*100</f>
        <v>55.8</v>
      </c>
      <c r="Q122" s="3">
        <f t="shared" ref="Q122:T129" si="53">(K122+$P122)*$Z89</f>
        <v>6.3653027178581025</v>
      </c>
      <c r="R122" s="3">
        <f t="shared" si="53"/>
        <v>6.3653027178581025</v>
      </c>
      <c r="S122" s="3">
        <f t="shared" si="53"/>
        <v>6.3653027178581025</v>
      </c>
      <c r="T122" s="3">
        <f t="shared" si="53"/>
        <v>6.3653027178581025</v>
      </c>
      <c r="U122" s="3">
        <f t="shared" ref="U122:U130" si="54">AV89</f>
        <v>132.9</v>
      </c>
      <c r="V122" s="3">
        <f t="shared" ref="V122:V142" si="55">L122+$P122+R122</f>
        <v>133.67135707502015</v>
      </c>
      <c r="W122" s="3">
        <f t="shared" ref="W122:W142" si="56">M122+$P122+S122</f>
        <v>133.67135707502015</v>
      </c>
      <c r="X122" s="3">
        <f t="shared" ref="X122:X142" si="57">N122+$P122+T122</f>
        <v>133.67135707502015</v>
      </c>
      <c r="Y122" s="3">
        <f t="shared" ref="Y122:Y130" si="58">AV89*$AT$97/100</f>
        <v>139.49669722911889</v>
      </c>
      <c r="Z122" s="3">
        <f>V122*$AT$97/100</f>
        <v>140.30634180661795</v>
      </c>
      <c r="AA122" s="3">
        <f>W122*$AT$97/100</f>
        <v>140.30634180661795</v>
      </c>
      <c r="AB122" s="3">
        <f>X122*$AT$97/100</f>
        <v>140.30634180661795</v>
      </c>
      <c r="AC122" s="9">
        <f>U122*$AT$96/100</f>
        <v>138.17026270713043</v>
      </c>
      <c r="AD122" s="9">
        <f>AC122</f>
        <v>138.17026270713043</v>
      </c>
      <c r="AE122" s="9">
        <f t="shared" ref="AE122:AF122" si="59">AD122</f>
        <v>138.17026270713043</v>
      </c>
      <c r="AF122" s="9">
        <f t="shared" si="59"/>
        <v>138.17026270713043</v>
      </c>
      <c r="AK122" s="3">
        <f>USA!AJ135</f>
        <v>77.45</v>
      </c>
      <c r="AL122" s="3">
        <f>USA!AK135</f>
        <v>77.45</v>
      </c>
      <c r="AM122" s="3">
        <f>USA!AL135</f>
        <v>77.45</v>
      </c>
      <c r="AN122"/>
      <c r="AO122"/>
      <c r="AP122"/>
      <c r="AQ122"/>
      <c r="AR122"/>
      <c r="AS122"/>
      <c r="AT122"/>
      <c r="AV122" s="12"/>
      <c r="AW122" s="12"/>
      <c r="AZ122" s="2"/>
      <c r="BA122"/>
      <c r="BB122" s="23"/>
      <c r="BH122" s="9"/>
    </row>
    <row r="123" spans="1:63">
      <c r="A123">
        <v>2011</v>
      </c>
      <c r="B123" s="3">
        <f>USA!Z98/USA!AU98*100</f>
        <v>104.18614906980585</v>
      </c>
      <c r="C123" s="3">
        <f t="shared" ref="C123:C142" si="60">AK123</f>
        <v>104.18614906980586</v>
      </c>
      <c r="D123" s="3">
        <f t="shared" ref="D123:D142" si="61">AL123</f>
        <v>104.18614906980586</v>
      </c>
      <c r="E123" s="3">
        <f t="shared" ref="E123:E142" si="62">AM123</f>
        <v>104.18614906980586</v>
      </c>
      <c r="F123" s="6">
        <f>'Exchange Rates'!S50</f>
        <v>79.602181276575308</v>
      </c>
      <c r="G123" s="9">
        <f>(B123*USA!$AU98/100)/$AT90*100*$F123</f>
        <v>8576.2070122762652</v>
      </c>
      <c r="H123" s="9">
        <f>(C123*USA!$AU98/100)/$AT90*100*$F123</f>
        <v>8576.2070122762671</v>
      </c>
      <c r="I123" s="9">
        <f>(D123*USA!$AU98/100)/$AT90*100*$F123</f>
        <v>8576.2070122762671</v>
      </c>
      <c r="J123" s="9">
        <f>(E123*USA!$AU98/100)/$AT90*100*$F123</f>
        <v>8576.2070122762671</v>
      </c>
      <c r="K123" s="6">
        <f t="shared" ref="K123:K130" si="63">Q$103+Q$104*G123</f>
        <v>84.170396089437702</v>
      </c>
      <c r="L123" s="6">
        <f t="shared" ref="L123:L142" si="64">Q$103+Q$104*H123</f>
        <v>84.170396089437702</v>
      </c>
      <c r="M123" s="6">
        <f t="shared" ref="M123:M142" si="65">Q$103+Q$104*I123</f>
        <v>84.170396089437702</v>
      </c>
      <c r="N123" s="6">
        <f t="shared" ref="N123:N142" si="66">Q$103+Q$104*J123</f>
        <v>84.170396089437702</v>
      </c>
      <c r="O123">
        <v>2011</v>
      </c>
      <c r="P123" s="24">
        <f t="shared" si="52"/>
        <v>55.949739143326468</v>
      </c>
      <c r="Q123" s="3">
        <f t="shared" si="53"/>
        <v>7.0060067616382087</v>
      </c>
      <c r="R123" s="3">
        <f t="shared" si="53"/>
        <v>7.0060067616382087</v>
      </c>
      <c r="S123" s="3">
        <f t="shared" si="53"/>
        <v>7.0060067616382087</v>
      </c>
      <c r="T123" s="3">
        <f t="shared" si="53"/>
        <v>7.0060067616382087</v>
      </c>
      <c r="U123" s="3">
        <f t="shared" si="54"/>
        <v>145.97233466040691</v>
      </c>
      <c r="V123" s="3">
        <f t="shared" si="55"/>
        <v>147.12614199440239</v>
      </c>
      <c r="W123" s="3">
        <f t="shared" si="56"/>
        <v>147.12614199440239</v>
      </c>
      <c r="X123" s="3">
        <f t="shared" si="57"/>
        <v>147.12614199440239</v>
      </c>
      <c r="Y123" s="3">
        <f t="shared" si="58"/>
        <v>153.21789745636116</v>
      </c>
      <c r="Z123" s="3">
        <f t="shared" ref="Z123:Z142" si="67">V123*$AT$97/100</f>
        <v>154.42897580347255</v>
      </c>
      <c r="AA123" s="3">
        <f t="shared" ref="AA123:AA142" si="68">W123*$AT$97/100</f>
        <v>154.42897580347255</v>
      </c>
      <c r="AB123" s="3">
        <f t="shared" ref="AB123:AB142" si="69">X123*$AT$97/100</f>
        <v>154.42897580347255</v>
      </c>
      <c r="AC123" s="9">
        <f t="shared" ref="AC123:AC130" si="70">U123*$AT$96/100</f>
        <v>151.76099193379673</v>
      </c>
      <c r="AD123" s="9">
        <f t="shared" ref="AD123:AF123" si="71">AC123</f>
        <v>151.76099193379673</v>
      </c>
      <c r="AE123" s="9">
        <f t="shared" si="71"/>
        <v>151.76099193379673</v>
      </c>
      <c r="AF123" s="9">
        <f t="shared" si="71"/>
        <v>151.76099193379673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/>
      <c r="AO123"/>
      <c r="AP123"/>
      <c r="AQ123"/>
      <c r="AR123"/>
      <c r="AS123"/>
      <c r="AT123"/>
      <c r="AV123" s="12"/>
      <c r="AW123" s="12"/>
      <c r="AZ123" s="2"/>
      <c r="BA123"/>
      <c r="BB123" s="23"/>
      <c r="BH123" s="9"/>
    </row>
    <row r="124" spans="1:63">
      <c r="A124">
        <v>2012</v>
      </c>
      <c r="B124" s="3">
        <f>USA!Z99/USA!AU99*100</f>
        <v>104.07290773565181</v>
      </c>
      <c r="C124" s="3">
        <f t="shared" si="60"/>
        <v>104.07290773565181</v>
      </c>
      <c r="D124" s="3">
        <f t="shared" si="61"/>
        <v>104.07290773565181</v>
      </c>
      <c r="E124" s="3">
        <f t="shared" si="62"/>
        <v>104.07290773565181</v>
      </c>
      <c r="F124" s="6">
        <f>'Exchange Rates'!S51</f>
        <v>79.938256755673166</v>
      </c>
      <c r="G124" s="9">
        <f>(B124*USA!$AU99/100)/$AT91*100*$F124</f>
        <v>8780.9574992250291</v>
      </c>
      <c r="H124" s="9">
        <f>(C124*USA!$AU99/100)/$AT91*100*$F124</f>
        <v>8780.9574992250291</v>
      </c>
      <c r="I124" s="9">
        <f>(D124*USA!$AU99/100)/$AT91*100*$F124</f>
        <v>8780.9574992250291</v>
      </c>
      <c r="J124" s="9">
        <f>(E124*USA!$AU99/100)/$AT91*100*$F124</f>
        <v>8780.9574992250291</v>
      </c>
      <c r="K124" s="6">
        <f t="shared" si="63"/>
        <v>85.586660152222407</v>
      </c>
      <c r="L124" s="6">
        <f t="shared" si="64"/>
        <v>85.586660152222407</v>
      </c>
      <c r="M124" s="6">
        <f t="shared" si="65"/>
        <v>85.586660152222407</v>
      </c>
      <c r="N124" s="6">
        <f t="shared" si="66"/>
        <v>85.586660152222407</v>
      </c>
      <c r="O124">
        <v>2012</v>
      </c>
      <c r="P124" s="24">
        <f t="shared" si="52"/>
        <v>56.78137966806964</v>
      </c>
      <c r="Q124" s="3">
        <f t="shared" si="53"/>
        <v>7.1184019910146024</v>
      </c>
      <c r="R124" s="3">
        <f t="shared" si="53"/>
        <v>7.1184019910146024</v>
      </c>
      <c r="S124" s="3">
        <f t="shared" si="53"/>
        <v>7.1184019910146024</v>
      </c>
      <c r="T124" s="3">
        <f t="shared" si="53"/>
        <v>7.1184019910146024</v>
      </c>
      <c r="U124" s="3">
        <f t="shared" si="54"/>
        <v>147.49448250998515</v>
      </c>
      <c r="V124" s="3">
        <f t="shared" si="55"/>
        <v>149.48644181130663</v>
      </c>
      <c r="W124" s="3">
        <f t="shared" si="56"/>
        <v>149.48644181130663</v>
      </c>
      <c r="X124" s="3">
        <f t="shared" si="57"/>
        <v>149.48644181130663</v>
      </c>
      <c r="Y124" s="3">
        <f t="shared" si="58"/>
        <v>154.81559947073717</v>
      </c>
      <c r="Z124" s="3">
        <f t="shared" si="67"/>
        <v>156.90643275553151</v>
      </c>
      <c r="AA124" s="3">
        <f t="shared" si="68"/>
        <v>156.90643275553151</v>
      </c>
      <c r="AB124" s="3">
        <f t="shared" si="69"/>
        <v>156.90643275553151</v>
      </c>
      <c r="AC124" s="9">
        <f t="shared" si="70"/>
        <v>153.34350185294886</v>
      </c>
      <c r="AD124" s="9">
        <f t="shared" ref="AD124:AF124" si="72">AC124</f>
        <v>153.34350185294886</v>
      </c>
      <c r="AE124" s="9">
        <f t="shared" si="72"/>
        <v>153.34350185294886</v>
      </c>
      <c r="AF124" s="9">
        <f t="shared" si="72"/>
        <v>153.34350185294886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/>
      <c r="AO124"/>
      <c r="AP124"/>
      <c r="AQ124"/>
      <c r="AR124"/>
      <c r="AS124"/>
      <c r="AT124"/>
      <c r="AV124" s="12"/>
      <c r="AW124" s="12"/>
      <c r="AZ124" s="2"/>
      <c r="BA124"/>
      <c r="BB124" s="23"/>
      <c r="BH124" s="9"/>
    </row>
    <row r="125" spans="1:63">
      <c r="A125">
        <v>2013</v>
      </c>
      <c r="B125" s="3">
        <f>USA!Z100/USA!AU100*100</f>
        <v>99.286371359470479</v>
      </c>
      <c r="C125" s="3">
        <f t="shared" si="60"/>
        <v>99.286371359470493</v>
      </c>
      <c r="D125" s="3">
        <f t="shared" si="61"/>
        <v>99.286371359470493</v>
      </c>
      <c r="E125" s="3">
        <f t="shared" si="62"/>
        <v>99.286371359470493</v>
      </c>
      <c r="F125" s="6">
        <f>'Exchange Rates'!S52</f>
        <v>97.685864328805181</v>
      </c>
      <c r="G125" s="9">
        <f>(B125*USA!$AU100/100)/$AT92*100*$F125</f>
        <v>10345.794398604738</v>
      </c>
      <c r="H125" s="9">
        <f>(C125*USA!$AU100/100)/$AT92*100*$F125</f>
        <v>10345.794398604739</v>
      </c>
      <c r="I125" s="9">
        <f>(D125*USA!$AU100/100)/$AT92*100*$F125</f>
        <v>10345.794398604739</v>
      </c>
      <c r="J125" s="9">
        <f>(E125*USA!$AU100/100)/$AT92*100*$F125</f>
        <v>10345.794398604739</v>
      </c>
      <c r="K125" s="6">
        <f t="shared" si="63"/>
        <v>96.41067477478839</v>
      </c>
      <c r="L125" s="6">
        <f t="shared" si="64"/>
        <v>96.410674774788419</v>
      </c>
      <c r="M125" s="6">
        <f t="shared" si="65"/>
        <v>96.410674774788419</v>
      </c>
      <c r="N125" s="6">
        <f t="shared" si="66"/>
        <v>96.410674774788419</v>
      </c>
      <c r="O125">
        <v>2013</v>
      </c>
      <c r="P125" s="24">
        <f t="shared" si="52"/>
        <v>56.585343380677998</v>
      </c>
      <c r="Q125" s="3">
        <f t="shared" si="53"/>
        <v>7.6498009077733204</v>
      </c>
      <c r="R125" s="3">
        <f t="shared" si="53"/>
        <v>7.6498009077733204</v>
      </c>
      <c r="S125" s="3">
        <f t="shared" si="53"/>
        <v>7.6498009077733204</v>
      </c>
      <c r="T125" s="3">
        <f t="shared" si="53"/>
        <v>7.6498009077733204</v>
      </c>
      <c r="U125" s="3">
        <f t="shared" si="54"/>
        <v>155.74132686833303</v>
      </c>
      <c r="V125" s="3">
        <f t="shared" si="55"/>
        <v>160.64581906323971</v>
      </c>
      <c r="W125" s="3">
        <f t="shared" si="56"/>
        <v>160.64581906323971</v>
      </c>
      <c r="X125" s="3">
        <f t="shared" si="57"/>
        <v>160.64581906323971</v>
      </c>
      <c r="Y125" s="3">
        <f t="shared" si="58"/>
        <v>163.47178871492167</v>
      </c>
      <c r="Z125" s="3">
        <f t="shared" si="67"/>
        <v>168.61972297207348</v>
      </c>
      <c r="AA125" s="3">
        <f t="shared" si="68"/>
        <v>168.61972297207348</v>
      </c>
      <c r="AB125" s="3">
        <f t="shared" si="69"/>
        <v>168.61972297207348</v>
      </c>
      <c r="AC125" s="9">
        <f t="shared" si="70"/>
        <v>161.91738184916966</v>
      </c>
      <c r="AD125" s="9">
        <f t="shared" ref="AD125:AF125" si="73">AC125</f>
        <v>161.91738184916966</v>
      </c>
      <c r="AE125" s="9">
        <f t="shared" si="73"/>
        <v>161.91738184916966</v>
      </c>
      <c r="AF125" s="9">
        <f t="shared" si="73"/>
        <v>161.91738184916966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/>
      <c r="AO125"/>
      <c r="AP125"/>
      <c r="AQ125"/>
      <c r="AR125"/>
      <c r="AS125"/>
      <c r="AT125"/>
      <c r="AV125" s="12"/>
      <c r="AW125" s="12"/>
      <c r="AZ125" s="2"/>
      <c r="BA125"/>
      <c r="BB125" s="23"/>
      <c r="BH125" s="9"/>
    </row>
    <row r="126" spans="1:63">
      <c r="A126">
        <v>2014</v>
      </c>
      <c r="B126" s="3">
        <f>USA!Z101/USA!AU101*100</f>
        <v>88.687750298592292</v>
      </c>
      <c r="C126" s="3">
        <f t="shared" si="60"/>
        <v>88.687750298592292</v>
      </c>
      <c r="D126" s="3">
        <f t="shared" si="61"/>
        <v>88.687750298592292</v>
      </c>
      <c r="E126" s="3">
        <f t="shared" si="62"/>
        <v>88.687750298592292</v>
      </c>
      <c r="F126" s="6">
        <f>'Exchange Rates'!S53</f>
        <v>106.1123470522803</v>
      </c>
      <c r="G126" s="9">
        <f>(B126*USA!$AU101/100)/$AT93*100*$F126</f>
        <v>9929.9436495456448</v>
      </c>
      <c r="H126" s="9">
        <f>(C126*USA!$AU101/100)/$AT93*100*$F126</f>
        <v>9929.9436495456448</v>
      </c>
      <c r="I126" s="9">
        <f>(D126*USA!$AU101/100)/$AT93*100*$F126</f>
        <v>9929.9436495456448</v>
      </c>
      <c r="J126" s="9">
        <f>(E126*USA!$AU101/100)/$AT93*100*$F126</f>
        <v>9929.9436495456448</v>
      </c>
      <c r="K126" s="6">
        <f t="shared" si="63"/>
        <v>93.534225101084445</v>
      </c>
      <c r="L126" s="6">
        <f t="shared" si="64"/>
        <v>93.534225101084445</v>
      </c>
      <c r="M126" s="6">
        <f t="shared" si="65"/>
        <v>93.534225101084445</v>
      </c>
      <c r="N126" s="6">
        <f t="shared" si="66"/>
        <v>93.534225101084445</v>
      </c>
      <c r="O126">
        <v>2014</v>
      </c>
      <c r="P126" s="24">
        <f t="shared" si="52"/>
        <v>55.064490028467198</v>
      </c>
      <c r="Q126" s="3">
        <f t="shared" si="53"/>
        <v>10.401910059068616</v>
      </c>
      <c r="R126" s="3">
        <f t="shared" si="53"/>
        <v>10.401910059068616</v>
      </c>
      <c r="S126" s="3">
        <f t="shared" si="53"/>
        <v>10.401910059068616</v>
      </c>
      <c r="T126" s="3">
        <f t="shared" si="53"/>
        <v>10.401910059068616</v>
      </c>
      <c r="U126" s="3">
        <f t="shared" si="54"/>
        <v>158.52930477276905</v>
      </c>
      <c r="V126" s="3">
        <f t="shared" si="55"/>
        <v>159.00062518862026</v>
      </c>
      <c r="W126" s="3">
        <f t="shared" si="56"/>
        <v>159.00062518862026</v>
      </c>
      <c r="X126" s="3">
        <f t="shared" si="57"/>
        <v>159.00062518862026</v>
      </c>
      <c r="Y126" s="3">
        <f t="shared" si="58"/>
        <v>166.39815221843247</v>
      </c>
      <c r="Z126" s="3">
        <f t="shared" si="67"/>
        <v>166.89286735272816</v>
      </c>
      <c r="AA126" s="3">
        <f t="shared" si="68"/>
        <v>166.89286735272816</v>
      </c>
      <c r="AB126" s="3">
        <f t="shared" si="69"/>
        <v>166.89286735272816</v>
      </c>
      <c r="AC126" s="9">
        <f t="shared" si="70"/>
        <v>164.81591939226669</v>
      </c>
      <c r="AD126" s="9">
        <f t="shared" ref="AD126:AF126" si="74">AC126</f>
        <v>164.81591939226669</v>
      </c>
      <c r="AE126" s="9">
        <f t="shared" si="74"/>
        <v>164.81591939226669</v>
      </c>
      <c r="AF126" s="9">
        <f t="shared" si="74"/>
        <v>164.81591939226669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/>
      <c r="AO126"/>
      <c r="AP126"/>
      <c r="AQ126"/>
      <c r="AR126"/>
      <c r="AS126"/>
      <c r="AT126"/>
      <c r="AV126" s="12"/>
      <c r="AW126" s="12"/>
      <c r="AZ126" s="2"/>
      <c r="BA126"/>
      <c r="BB126" s="23"/>
      <c r="BH126" s="9"/>
    </row>
    <row r="127" spans="1:63">
      <c r="A127">
        <v>2015</v>
      </c>
      <c r="B127" s="3">
        <f>USA!Z102/USA!AU102*100</f>
        <v>45.556296925601828</v>
      </c>
      <c r="C127" s="3">
        <f t="shared" si="60"/>
        <v>45.556296925601814</v>
      </c>
      <c r="D127" s="3">
        <f t="shared" si="61"/>
        <v>45.556296925601814</v>
      </c>
      <c r="E127" s="3">
        <f t="shared" si="62"/>
        <v>45.556296925601814</v>
      </c>
      <c r="F127" s="6">
        <f>'Exchange Rates'!S54</f>
        <v>120.93817678447832</v>
      </c>
      <c r="G127" s="9">
        <f>(B127*USA!$AU102/100)/$AT94*100*$F127</f>
        <v>5780.3578668424998</v>
      </c>
      <c r="H127" s="9">
        <f>(C127*USA!$AU102/100)/$AT94*100*$F127</f>
        <v>5780.3578668424971</v>
      </c>
      <c r="I127" s="9">
        <f>(D127*USA!$AU102/100)/$AT94*100*$F127</f>
        <v>5780.3578668424971</v>
      </c>
      <c r="J127" s="9">
        <f>(E127*USA!$AU102/100)/$AT94*100*$F127</f>
        <v>5780.3578668424971</v>
      </c>
      <c r="K127" s="6">
        <f t="shared" si="63"/>
        <v>64.831440032956976</v>
      </c>
      <c r="L127" s="6">
        <f t="shared" si="64"/>
        <v>64.831440032956962</v>
      </c>
      <c r="M127" s="6">
        <f t="shared" si="65"/>
        <v>64.831440032956962</v>
      </c>
      <c r="N127" s="6">
        <f t="shared" si="66"/>
        <v>64.831440032956962</v>
      </c>
      <c r="O127">
        <v>2015</v>
      </c>
      <c r="P127" s="24">
        <f t="shared" si="52"/>
        <v>54.633153134470462</v>
      </c>
      <c r="Q127" s="3">
        <f t="shared" si="53"/>
        <v>9.5571674533941948</v>
      </c>
      <c r="R127" s="3">
        <f t="shared" si="53"/>
        <v>9.5571674533941948</v>
      </c>
      <c r="S127" s="3">
        <f t="shared" si="53"/>
        <v>9.5571674533941948</v>
      </c>
      <c r="T127" s="3">
        <f t="shared" si="53"/>
        <v>9.5571674533941948</v>
      </c>
      <c r="U127" s="3">
        <f t="shared" si="54"/>
        <v>132.70820823887425</v>
      </c>
      <c r="V127" s="3">
        <f t="shared" si="55"/>
        <v>129.02176062082162</v>
      </c>
      <c r="W127" s="3">
        <f t="shared" si="56"/>
        <v>129.02176062082162</v>
      </c>
      <c r="X127" s="3">
        <f t="shared" si="57"/>
        <v>129.02176062082162</v>
      </c>
      <c r="Y127" s="3">
        <f t="shared" si="58"/>
        <v>139.29538558703612</v>
      </c>
      <c r="Z127" s="3">
        <f t="shared" si="67"/>
        <v>135.42595543484279</v>
      </c>
      <c r="AA127" s="3">
        <f t="shared" si="68"/>
        <v>135.42595543484279</v>
      </c>
      <c r="AB127" s="3">
        <f t="shared" si="69"/>
        <v>135.42595543484279</v>
      </c>
      <c r="AC127" s="9">
        <f t="shared" si="70"/>
        <v>137.97086528034481</v>
      </c>
      <c r="AD127" s="9">
        <f t="shared" ref="AD127:AF127" si="75">AC127</f>
        <v>137.97086528034481</v>
      </c>
      <c r="AE127" s="9">
        <f t="shared" si="75"/>
        <v>137.97086528034481</v>
      </c>
      <c r="AF127" s="9">
        <f t="shared" si="75"/>
        <v>137.97086528034481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/>
      <c r="AO127"/>
      <c r="AP127"/>
      <c r="AQ127"/>
      <c r="AR127"/>
      <c r="AS127"/>
      <c r="AT127"/>
      <c r="AV127" s="12"/>
      <c r="AW127" s="12"/>
      <c r="AZ127" s="2"/>
      <c r="BA127"/>
      <c r="BB127" s="23"/>
      <c r="BH127" s="9"/>
    </row>
    <row r="128" spans="1:63">
      <c r="A128">
        <v>2016</v>
      </c>
      <c r="B128" s="3">
        <f>USA!Z103/USA!AU103*100</f>
        <v>36.957692605914716</v>
      </c>
      <c r="C128" s="3">
        <f t="shared" si="60"/>
        <v>36.957692605914716</v>
      </c>
      <c r="D128" s="3">
        <f t="shared" si="61"/>
        <v>36.957692605914716</v>
      </c>
      <c r="E128" s="3">
        <f t="shared" si="62"/>
        <v>36.957692605914716</v>
      </c>
      <c r="F128" s="6">
        <f>'Exchange Rates'!S55</f>
        <v>108.94752771581341</v>
      </c>
      <c r="G128" s="9">
        <f>(B128*USA!$AU103/100)/$AT95*100*$F128</f>
        <v>4283.3885279020178</v>
      </c>
      <c r="H128" s="9">
        <f>(C128*USA!$AU103/100)/$AT95*100*$F128</f>
        <v>4283.3885279020178</v>
      </c>
      <c r="I128" s="9">
        <f>(D128*USA!$AU103/100)/$AT95*100*$F128</f>
        <v>4283.3885279020178</v>
      </c>
      <c r="J128" s="9">
        <f>(E128*USA!$AU103/100)/$AT95*100*$F128</f>
        <v>4283.3885279020178</v>
      </c>
      <c r="K128" s="6">
        <f t="shared" si="63"/>
        <v>54.476866964896288</v>
      </c>
      <c r="L128" s="6">
        <f t="shared" si="64"/>
        <v>54.476866964896288</v>
      </c>
      <c r="M128" s="6">
        <f t="shared" si="65"/>
        <v>54.476866964896288</v>
      </c>
      <c r="N128" s="6">
        <f t="shared" si="66"/>
        <v>54.476866964896288</v>
      </c>
      <c r="O128">
        <v>2016</v>
      </c>
      <c r="P128" s="24">
        <f t="shared" si="52"/>
        <v>54.696965250902629</v>
      </c>
      <c r="Q128" s="3">
        <f t="shared" si="53"/>
        <v>8.7339065772639124</v>
      </c>
      <c r="R128" s="3">
        <f t="shared" si="53"/>
        <v>8.7339065772639124</v>
      </c>
      <c r="S128" s="3">
        <f t="shared" si="53"/>
        <v>8.7339065772639124</v>
      </c>
      <c r="T128" s="3">
        <f t="shared" si="53"/>
        <v>8.7339065772639124</v>
      </c>
      <c r="U128" s="3">
        <f t="shared" si="54"/>
        <v>117.72088310331192</v>
      </c>
      <c r="V128" s="3">
        <f t="shared" si="55"/>
        <v>117.90773879306282</v>
      </c>
      <c r="W128" s="3">
        <f t="shared" si="56"/>
        <v>117.90773879306282</v>
      </c>
      <c r="X128" s="3">
        <f t="shared" si="57"/>
        <v>117.90773879306282</v>
      </c>
      <c r="Y128" s="3">
        <f t="shared" si="58"/>
        <v>123.56414136799999</v>
      </c>
      <c r="Z128" s="3">
        <f t="shared" si="67"/>
        <v>123.76027192916418</v>
      </c>
      <c r="AA128" s="3">
        <f t="shared" si="68"/>
        <v>123.76027192916418</v>
      </c>
      <c r="AB128" s="3">
        <f t="shared" si="69"/>
        <v>123.76027192916418</v>
      </c>
      <c r="AC128" s="9">
        <f t="shared" si="70"/>
        <v>122.389205</v>
      </c>
      <c r="AD128" s="9">
        <f t="shared" ref="AD128:AF128" si="76">AC128</f>
        <v>122.389205</v>
      </c>
      <c r="AE128" s="9">
        <f t="shared" si="76"/>
        <v>122.389205</v>
      </c>
      <c r="AF128" s="9">
        <f t="shared" si="76"/>
        <v>122.389205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/>
      <c r="AO128"/>
      <c r="AP128"/>
      <c r="AQ128"/>
      <c r="AR128"/>
      <c r="AS128"/>
      <c r="AT128"/>
      <c r="AV128" s="12"/>
      <c r="AW128" s="12"/>
      <c r="AZ128" s="2"/>
      <c r="BA128"/>
      <c r="BB128" s="23"/>
      <c r="BH128" s="9"/>
    </row>
    <row r="129" spans="1:60">
      <c r="A129">
        <v>2017</v>
      </c>
      <c r="B129" s="3">
        <f>USA!Z104/USA!AU104*100</f>
        <v>46.705738720797434</v>
      </c>
      <c r="C129" s="3">
        <f t="shared" si="60"/>
        <v>46.705738720797434</v>
      </c>
      <c r="D129" s="3">
        <f t="shared" si="61"/>
        <v>46.705738720797434</v>
      </c>
      <c r="E129" s="3">
        <f t="shared" si="62"/>
        <v>46.705738720797434</v>
      </c>
      <c r="F129" s="6">
        <f>'Exchange Rates'!S56</f>
        <v>112.137</v>
      </c>
      <c r="G129" s="9">
        <f>(B129*USA!$AU104/100)/$AT96*100*$F129</f>
        <v>5663.7144490470391</v>
      </c>
      <c r="H129" s="9">
        <f>(C129*USA!$AU104/100)/$AT96*100*$F129</f>
        <v>5663.7144490470391</v>
      </c>
      <c r="I129" s="9">
        <f>(D129*USA!$AU104/100)/$AT96*100*$F129</f>
        <v>5663.7144490470391</v>
      </c>
      <c r="J129" s="9">
        <f>(E129*USA!$AU104/100)/$AT96*100*$F129</f>
        <v>5663.7144490470391</v>
      </c>
      <c r="K129" s="6">
        <f t="shared" si="63"/>
        <v>64.024614695220748</v>
      </c>
      <c r="L129" s="6">
        <f t="shared" si="64"/>
        <v>64.024614695220748</v>
      </c>
      <c r="M129" s="6">
        <f t="shared" si="65"/>
        <v>64.024614695220748</v>
      </c>
      <c r="N129" s="6">
        <f t="shared" si="66"/>
        <v>64.024614695220748</v>
      </c>
      <c r="O129">
        <v>2017</v>
      </c>
      <c r="P129" s="24">
        <f t="shared" si="52"/>
        <v>54.441092117948266</v>
      </c>
      <c r="Q129" s="3">
        <f t="shared" si="53"/>
        <v>9.4772565450535211</v>
      </c>
      <c r="R129" s="3">
        <f t="shared" si="53"/>
        <v>9.4772565450535211</v>
      </c>
      <c r="S129" s="3">
        <f t="shared" si="53"/>
        <v>9.4772565450535211</v>
      </c>
      <c r="T129" s="3">
        <f t="shared" si="53"/>
        <v>9.4772565450535211</v>
      </c>
      <c r="U129" s="3">
        <f t="shared" si="54"/>
        <v>128.40787628526667</v>
      </c>
      <c r="V129" s="3">
        <f t="shared" si="55"/>
        <v>127.94296335822254</v>
      </c>
      <c r="W129" s="3">
        <f t="shared" si="56"/>
        <v>127.94296335822254</v>
      </c>
      <c r="X129" s="3">
        <f t="shared" si="57"/>
        <v>127.94296335822254</v>
      </c>
      <c r="Y129" s="3">
        <f t="shared" si="58"/>
        <v>134.7816</v>
      </c>
      <c r="Z129" s="3">
        <f t="shared" si="67"/>
        <v>134.29361040013711</v>
      </c>
      <c r="AA129" s="3">
        <f t="shared" si="68"/>
        <v>134.29361040013711</v>
      </c>
      <c r="AB129" s="3">
        <f t="shared" si="69"/>
        <v>134.29361040013711</v>
      </c>
      <c r="AC129" s="9">
        <f t="shared" si="70"/>
        <v>133.5</v>
      </c>
      <c r="AD129" s="9">
        <f t="shared" ref="AD129:AF129" si="77">AC129</f>
        <v>133.5</v>
      </c>
      <c r="AE129" s="9">
        <f t="shared" si="77"/>
        <v>133.5</v>
      </c>
      <c r="AF129" s="9">
        <f t="shared" si="77"/>
        <v>133.5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/>
      <c r="AO129"/>
      <c r="AP129"/>
      <c r="AQ129"/>
      <c r="AR129"/>
      <c r="AS129"/>
      <c r="AT129"/>
      <c r="AV129" s="12"/>
      <c r="AW129" s="12"/>
      <c r="AZ129" s="2"/>
      <c r="BA129"/>
      <c r="BB129" s="23"/>
      <c r="BH129" s="9"/>
    </row>
    <row r="130" spans="1:60">
      <c r="A130">
        <v>2018</v>
      </c>
      <c r="B130" s="3">
        <f>USA!Z105/USA!AU105*100</f>
        <v>60.818458312139953</v>
      </c>
      <c r="C130" s="3">
        <f t="shared" si="60"/>
        <v>60.818458312139953</v>
      </c>
      <c r="D130" s="3">
        <f t="shared" si="61"/>
        <v>60.818458312139953</v>
      </c>
      <c r="E130" s="3">
        <f t="shared" si="62"/>
        <v>60.818458312139953</v>
      </c>
      <c r="F130" s="6">
        <f>'Exchange Rates'!S57</f>
        <v>109.911</v>
      </c>
      <c r="G130" s="9">
        <f>(B130*USA!$AU105/100)/$AT97*100*$F130</f>
        <v>7351.2969374840286</v>
      </c>
      <c r="H130" s="9">
        <f>(C130*USA!$AU105/100)/$AT97*100*$F130</f>
        <v>7351.2969374840286</v>
      </c>
      <c r="I130" s="9">
        <f>(D130*USA!$AU105/100)/$AT97*100*$F130</f>
        <v>7351.2969374840286</v>
      </c>
      <c r="J130" s="9">
        <f>(E130*USA!$AU105/100)/$AT97*100*$F130</f>
        <v>7351.2969374840286</v>
      </c>
      <c r="K130" s="6">
        <f t="shared" si="63"/>
        <v>75.697663521503529</v>
      </c>
      <c r="L130" s="6">
        <f t="shared" si="64"/>
        <v>75.697663521503529</v>
      </c>
      <c r="M130" s="6">
        <f t="shared" si="65"/>
        <v>75.697663521503529</v>
      </c>
      <c r="N130" s="6">
        <f t="shared" si="66"/>
        <v>75.697663521503529</v>
      </c>
      <c r="O130">
        <v>2018</v>
      </c>
      <c r="P130" s="24">
        <f t="shared" si="52"/>
        <v>53.923427216668252</v>
      </c>
      <c r="Q130" s="3">
        <f>(K130+P130)*$T$120</f>
        <v>10.369687259053743</v>
      </c>
      <c r="R130" s="3">
        <f t="shared" ref="R130:R142" si="78">(L130+P130)*$T$120</f>
        <v>10.369687259053743</v>
      </c>
      <c r="S130" s="3">
        <f t="shared" ref="S130:S142" si="79">(M130+P130)*$T$120</f>
        <v>10.369687259053743</v>
      </c>
      <c r="T130" s="3">
        <f t="shared" ref="T130:T142" si="80">(N130+P130)*$T$120</f>
        <v>10.369687259053743</v>
      </c>
      <c r="U130" s="3">
        <f t="shared" si="54"/>
        <v>142.62079601299004</v>
      </c>
      <c r="V130" s="3">
        <f t="shared" si="55"/>
        <v>139.99077799722551</v>
      </c>
      <c r="W130" s="3">
        <f t="shared" si="56"/>
        <v>139.99077799722551</v>
      </c>
      <c r="X130" s="3">
        <f t="shared" si="57"/>
        <v>139.99077799722551</v>
      </c>
      <c r="Y130" s="3">
        <f t="shared" si="58"/>
        <v>149.69999999999999</v>
      </c>
      <c r="Z130" s="3">
        <f t="shared" si="67"/>
        <v>146.9394369687567</v>
      </c>
      <c r="AA130" s="3">
        <f t="shared" si="68"/>
        <v>146.9394369687567</v>
      </c>
      <c r="AB130" s="3">
        <f t="shared" si="69"/>
        <v>146.9394369687567</v>
      </c>
      <c r="AC130" s="9">
        <f t="shared" si="70"/>
        <v>148.27654516640251</v>
      </c>
      <c r="AD130" s="9">
        <f t="shared" ref="AD130:AD142" si="81">V130*$AT$96/100</f>
        <v>145.54223154591588</v>
      </c>
      <c r="AE130" s="9">
        <f t="shared" ref="AE130:AE142" si="82">W130*$AT$96/100</f>
        <v>145.54223154591588</v>
      </c>
      <c r="AF130" s="9">
        <f t="shared" ref="AF130:AF142" si="83">X130*$AT$96/100</f>
        <v>145.54223154591588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/>
      <c r="AO130"/>
      <c r="AP130"/>
      <c r="AQ130"/>
      <c r="AR130"/>
      <c r="AS130"/>
      <c r="AT130"/>
      <c r="AV130" s="12"/>
      <c r="AW130" s="12"/>
      <c r="AZ130" s="2"/>
      <c r="BA130"/>
      <c r="BB130" s="23"/>
      <c r="BH130" s="9"/>
    </row>
    <row r="131" spans="1:60">
      <c r="A131">
        <v>2019</v>
      </c>
      <c r="B131" s="3"/>
      <c r="C131" s="3">
        <f>AK131</f>
        <v>90.611761513694489</v>
      </c>
      <c r="D131" s="3">
        <f t="shared" si="61"/>
        <v>56.019786702864394</v>
      </c>
      <c r="E131" s="3">
        <f t="shared" si="62"/>
        <v>25.889074718198426</v>
      </c>
      <c r="F131" s="6">
        <f>'Exchange Rates'!S58</f>
        <v>111.28</v>
      </c>
      <c r="G131" s="3"/>
      <c r="H131" s="9">
        <f>(C131*USA!$AU106/100)/$AT98*100*$F131</f>
        <v>11088.91589121604</v>
      </c>
      <c r="I131" s="9">
        <f>(D131*USA!$AU106/100)/$AT98*100*$F131</f>
        <v>6855.6078439998319</v>
      </c>
      <c r="J131" s="9">
        <f>(E131*USA!$AU106/100)/$AT98*100*$F131</f>
        <v>3168.2616832045833</v>
      </c>
      <c r="K131" s="6"/>
      <c r="L131" s="6">
        <f t="shared" si="64"/>
        <v>101.55086408496905</v>
      </c>
      <c r="M131" s="6">
        <f t="shared" si="65"/>
        <v>72.268970091379146</v>
      </c>
      <c r="N131" s="6">
        <f t="shared" si="66"/>
        <v>46.763507650704867</v>
      </c>
      <c r="O131">
        <v>2019</v>
      </c>
      <c r="P131" s="3">
        <f t="shared" ref="P131:P142" si="84">P130</f>
        <v>53.923427216668252</v>
      </c>
      <c r="Q131" s="3"/>
      <c r="R131" s="3">
        <f t="shared" si="78"/>
        <v>12.437943304130984</v>
      </c>
      <c r="S131" s="3">
        <f t="shared" si="79"/>
        <v>10.095391784643791</v>
      </c>
      <c r="T131" s="3">
        <f t="shared" si="80"/>
        <v>8.0549547893898499</v>
      </c>
      <c r="U131" s="3"/>
      <c r="V131" s="3">
        <f t="shared" si="55"/>
        <v>167.91223460576828</v>
      </c>
      <c r="W131" s="3">
        <f t="shared" si="56"/>
        <v>136.28778909269118</v>
      </c>
      <c r="X131" s="3">
        <f t="shared" si="57"/>
        <v>108.74188965676296</v>
      </c>
      <c r="Y131" s="3"/>
      <c r="Z131" s="3">
        <f t="shared" si="67"/>
        <v>176.24681829846227</v>
      </c>
      <c r="AA131" s="3">
        <f t="shared" si="68"/>
        <v>143.05264447772123</v>
      </c>
      <c r="AB131" s="3">
        <f t="shared" si="69"/>
        <v>114.1394616822552</v>
      </c>
      <c r="AC131" s="9"/>
      <c r="AD131" s="9">
        <f t="shared" si="81"/>
        <v>174.57093730037866</v>
      </c>
      <c r="AE131" s="9">
        <f t="shared" si="82"/>
        <v>141.69239746208524</v>
      </c>
      <c r="AF131" s="9">
        <f t="shared" si="83"/>
        <v>113.05414191982489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/>
      <c r="AO131"/>
      <c r="AP131"/>
      <c r="AQ131"/>
      <c r="AR131"/>
      <c r="AS131"/>
      <c r="AT131"/>
      <c r="AV131" s="12"/>
      <c r="AW131" s="12"/>
      <c r="AZ131" s="2"/>
      <c r="BA131"/>
      <c r="BB131" s="23"/>
      <c r="BH131" s="9"/>
    </row>
    <row r="132" spans="1:60">
      <c r="A132">
        <v>2020</v>
      </c>
      <c r="B132" s="3"/>
      <c r="C132" s="3">
        <f t="shared" si="60"/>
        <v>105.28223718734027</v>
      </c>
      <c r="D132" s="3">
        <f t="shared" si="61"/>
        <v>56.251630823658907</v>
      </c>
      <c r="E132" s="3">
        <f t="shared" si="62"/>
        <v>26.752043875471706</v>
      </c>
      <c r="F132" s="6">
        <f>'Exchange Rates'!S59</f>
        <v>111.28</v>
      </c>
      <c r="G132" s="3"/>
      <c r="H132" s="9">
        <f>(C132*USA!$AU107/100)/$AT99*100*$F132</f>
        <v>12884.264178365307</v>
      </c>
      <c r="I132" s="9">
        <f>(D132*USA!$AU107/100)/$AT99*100*$F132</f>
        <v>6883.9805399105589</v>
      </c>
      <c r="J132" s="9">
        <f>(E132*USA!$AU107/100)/$AT99*100*$F132</f>
        <v>3273.8704059780689</v>
      </c>
      <c r="K132" s="6"/>
      <c r="L132" s="6">
        <f t="shared" si="64"/>
        <v>113.96933154340229</v>
      </c>
      <c r="M132" s="6">
        <f t="shared" si="65"/>
        <v>72.465224714171498</v>
      </c>
      <c r="N132" s="6">
        <f t="shared" si="66"/>
        <v>47.494005736495048</v>
      </c>
      <c r="O132">
        <v>2020</v>
      </c>
      <c r="P132" s="3">
        <f t="shared" si="84"/>
        <v>53.923427216668252</v>
      </c>
      <c r="Q132" s="3"/>
      <c r="R132" s="3">
        <f t="shared" si="78"/>
        <v>13.431420700805644</v>
      </c>
      <c r="S132" s="3">
        <f t="shared" si="79"/>
        <v>10.111092154467181</v>
      </c>
      <c r="T132" s="3">
        <f t="shared" si="80"/>
        <v>8.113394636253064</v>
      </c>
      <c r="U132" s="3"/>
      <c r="V132" s="3">
        <f t="shared" si="55"/>
        <v>181.32417946087617</v>
      </c>
      <c r="W132" s="3">
        <f t="shared" si="56"/>
        <v>136.49974408530693</v>
      </c>
      <c r="X132" s="3">
        <f t="shared" si="57"/>
        <v>109.53082758941636</v>
      </c>
      <c r="Y132" s="3"/>
      <c r="Z132" s="3">
        <f t="shared" si="67"/>
        <v>190.3244857981359</v>
      </c>
      <c r="AA132" s="3">
        <f t="shared" si="68"/>
        <v>143.27512018450167</v>
      </c>
      <c r="AB132" s="3">
        <f t="shared" si="69"/>
        <v>114.96755977047131</v>
      </c>
      <c r="AC132" s="9"/>
      <c r="AD132" s="9">
        <f t="shared" si="81"/>
        <v>188.51474425330417</v>
      </c>
      <c r="AE132" s="9">
        <f t="shared" si="82"/>
        <v>141.91275771048106</v>
      </c>
      <c r="AF132" s="9">
        <f t="shared" si="83"/>
        <v>113.87436585823227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/>
      <c r="AO132"/>
      <c r="AP132"/>
      <c r="AQ132"/>
      <c r="AR132"/>
      <c r="AS132"/>
      <c r="AT132"/>
      <c r="AV132" s="12"/>
      <c r="AW132" s="12"/>
      <c r="AZ132" s="2"/>
      <c r="BA132"/>
      <c r="BB132" s="23"/>
      <c r="BH132" s="9"/>
    </row>
    <row r="133" spans="1:60">
      <c r="A133">
        <v>2021</v>
      </c>
      <c r="B133" s="3"/>
      <c r="C133" s="3">
        <f t="shared" si="60"/>
        <v>120.81568201825931</v>
      </c>
      <c r="D133" s="3">
        <f t="shared" si="61"/>
        <v>63.082289986431647</v>
      </c>
      <c r="E133" s="3">
        <f t="shared" si="62"/>
        <v>28.477982190018274</v>
      </c>
      <c r="F133" s="6">
        <f>'Exchange Rates'!S60</f>
        <v>111.28</v>
      </c>
      <c r="G133" s="3"/>
      <c r="H133" s="9">
        <f>(C133*USA!$AU108/100)/$AT100*100*$F133</f>
        <v>14785.221188288053</v>
      </c>
      <c r="I133" s="9">
        <f>(D133*USA!$AU108/100)/$AT100*100*$F133</f>
        <v>7719.9051888989061</v>
      </c>
      <c r="J133" s="9">
        <f>(E133*USA!$AU108/100)/$AT100*100*$F133</f>
        <v>3485.087851525042</v>
      </c>
      <c r="K133" s="6"/>
      <c r="L133" s="6">
        <f t="shared" si="64"/>
        <v>127.11829708762565</v>
      </c>
      <c r="M133" s="6">
        <f t="shared" si="65"/>
        <v>78.24733569813398</v>
      </c>
      <c r="N133" s="6">
        <f t="shared" si="66"/>
        <v>48.955001908075431</v>
      </c>
      <c r="O133">
        <v>2021</v>
      </c>
      <c r="P133" s="3">
        <f t="shared" si="84"/>
        <v>53.923427216668252</v>
      </c>
      <c r="Q133" s="3"/>
      <c r="R133" s="3">
        <f t="shared" si="78"/>
        <v>14.483337944343512</v>
      </c>
      <c r="S133" s="3">
        <f t="shared" si="79"/>
        <v>10.573661033184178</v>
      </c>
      <c r="T133" s="3">
        <f t="shared" si="80"/>
        <v>8.2302743299794958</v>
      </c>
      <c r="U133" s="3"/>
      <c r="V133" s="3">
        <f t="shared" si="55"/>
        <v>195.5250622486374</v>
      </c>
      <c r="W133" s="3">
        <f t="shared" si="56"/>
        <v>142.74442394798641</v>
      </c>
      <c r="X133" s="3">
        <f t="shared" si="57"/>
        <v>111.10870345472318</v>
      </c>
      <c r="Y133" s="3"/>
      <c r="Z133" s="3">
        <f t="shared" si="67"/>
        <v>205.23025138602551</v>
      </c>
      <c r="AA133" s="3">
        <f t="shared" si="68"/>
        <v>149.82976439892585</v>
      </c>
      <c r="AB133" s="3">
        <f t="shared" si="69"/>
        <v>116.62375594690349</v>
      </c>
      <c r="AC133" s="9"/>
      <c r="AD133" s="9">
        <f t="shared" si="81"/>
        <v>203.278775144637</v>
      </c>
      <c r="AE133" s="9">
        <f t="shared" si="82"/>
        <v>148.40507567247013</v>
      </c>
      <c r="AF133" s="9">
        <f t="shared" si="83"/>
        <v>115.51481373504704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/>
      <c r="AO133"/>
      <c r="AP133"/>
      <c r="AQ133"/>
      <c r="AR133"/>
      <c r="AS133"/>
      <c r="AT133"/>
      <c r="AV133" s="12"/>
      <c r="AW133" s="12"/>
      <c r="AZ133" s="2"/>
      <c r="BA133"/>
      <c r="BB133" s="23"/>
      <c r="BH133" s="9"/>
    </row>
    <row r="134" spans="1:60">
      <c r="A134">
        <v>2022</v>
      </c>
      <c r="B134" s="3"/>
      <c r="C134" s="3">
        <f t="shared" si="60"/>
        <v>127.71943527644558</v>
      </c>
      <c r="D134" s="3">
        <f t="shared" si="61"/>
        <v>68.168185410991157</v>
      </c>
      <c r="E134" s="3">
        <f t="shared" si="62"/>
        <v>29.340951347291547</v>
      </c>
      <c r="F134" s="6">
        <f>'Exchange Rates'!S61</f>
        <v>111.28</v>
      </c>
      <c r="G134" s="3"/>
      <c r="H134" s="9">
        <f>(C134*USA!$AU109/100)/$AT101*100*$F134</f>
        <v>15630.090970475947</v>
      </c>
      <c r="I134" s="9">
        <f>(D134*USA!$AU109/100)/$AT101*100*$F134</f>
        <v>8342.3085684639045</v>
      </c>
      <c r="J134" s="9">
        <f>(E134*USA!$AU109/100)/$AT101*100*$F134</f>
        <v>3590.6965742985271</v>
      </c>
      <c r="K134" s="6"/>
      <c r="L134" s="6">
        <f t="shared" si="64"/>
        <v>132.96228177394721</v>
      </c>
      <c r="M134" s="6">
        <f t="shared" si="65"/>
        <v>82.552514905127708</v>
      </c>
      <c r="N134" s="6">
        <f t="shared" si="66"/>
        <v>49.685499993865619</v>
      </c>
      <c r="O134">
        <v>2022</v>
      </c>
      <c r="P134" s="3">
        <f t="shared" si="84"/>
        <v>53.923427216668252</v>
      </c>
      <c r="Q134" s="3"/>
      <c r="R134" s="3">
        <f t="shared" si="78"/>
        <v>14.950856719249236</v>
      </c>
      <c r="S134" s="3">
        <f t="shared" si="79"/>
        <v>10.918075369743676</v>
      </c>
      <c r="T134" s="3">
        <f t="shared" si="80"/>
        <v>8.2887141768427099</v>
      </c>
      <c r="U134" s="3"/>
      <c r="V134" s="3">
        <f t="shared" si="55"/>
        <v>201.83656570986469</v>
      </c>
      <c r="W134" s="3">
        <f t="shared" si="56"/>
        <v>147.39401749153961</v>
      </c>
      <c r="X134" s="3">
        <f t="shared" si="57"/>
        <v>111.89764138737658</v>
      </c>
      <c r="Y134" s="3"/>
      <c r="Z134" s="3">
        <f t="shared" si="67"/>
        <v>211.85503609175433</v>
      </c>
      <c r="AA134" s="3">
        <f t="shared" si="68"/>
        <v>154.71014771558129</v>
      </c>
      <c r="AB134" s="3">
        <f t="shared" si="69"/>
        <v>117.4518540351196</v>
      </c>
      <c r="AC134" s="9"/>
      <c r="AD134" s="9">
        <f t="shared" si="81"/>
        <v>209.84056665189615</v>
      </c>
      <c r="AE134" s="9">
        <f t="shared" si="82"/>
        <v>153.23905280861857</v>
      </c>
      <c r="AF134" s="9">
        <f t="shared" si="83"/>
        <v>116.33503767345442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/>
      <c r="AO134"/>
      <c r="AP134"/>
      <c r="AQ134"/>
      <c r="AR134"/>
      <c r="AS134"/>
      <c r="AT134"/>
      <c r="AV134" s="12"/>
      <c r="AW134" s="12"/>
      <c r="AZ134" s="2"/>
      <c r="BA134"/>
      <c r="BB134" s="23"/>
      <c r="BH134" s="9"/>
    </row>
    <row r="135" spans="1:60">
      <c r="A135">
        <v>2023</v>
      </c>
      <c r="B135" s="3"/>
      <c r="C135" s="3">
        <f t="shared" si="60"/>
        <v>132.89725022008525</v>
      </c>
      <c r="D135" s="3">
        <f t="shared" si="61"/>
        <v>70.508542947524788</v>
      </c>
      <c r="E135" s="3">
        <f t="shared" si="62"/>
        <v>29.340951347291547</v>
      </c>
      <c r="F135" s="6">
        <f>'Exchange Rates'!S62</f>
        <v>111.28</v>
      </c>
      <c r="G135" s="3"/>
      <c r="H135" s="9">
        <f>(C135*USA!$AU110/100)/$AT102*100*$F135</f>
        <v>16263.743307116863</v>
      </c>
      <c r="I135" s="9">
        <f>(D135*USA!$AU110/100)/$AT102*100*$F135</f>
        <v>8628.7176112245688</v>
      </c>
      <c r="J135" s="9">
        <f>(E135*USA!$AU110/100)/$AT102*100*$F135</f>
        <v>3590.6965742985271</v>
      </c>
      <c r="K135" s="6"/>
      <c r="L135" s="6">
        <f t="shared" si="64"/>
        <v>137.34527028868834</v>
      </c>
      <c r="M135" s="6">
        <f t="shared" si="65"/>
        <v>84.533613170451986</v>
      </c>
      <c r="N135" s="6">
        <f t="shared" si="66"/>
        <v>49.685499993865619</v>
      </c>
      <c r="O135">
        <v>2023</v>
      </c>
      <c r="P135" s="3">
        <f t="shared" si="84"/>
        <v>53.923427216668252</v>
      </c>
      <c r="Q135" s="3"/>
      <c r="R135" s="3">
        <f t="shared" si="78"/>
        <v>15.301495800428526</v>
      </c>
      <c r="S135" s="3">
        <f t="shared" si="79"/>
        <v>11.076563230969619</v>
      </c>
      <c r="T135" s="3">
        <f t="shared" si="80"/>
        <v>8.2887141768427099</v>
      </c>
      <c r="U135" s="3"/>
      <c r="V135" s="3">
        <f t="shared" si="55"/>
        <v>206.5701933057851</v>
      </c>
      <c r="W135" s="3">
        <f t="shared" si="56"/>
        <v>149.53360361808984</v>
      </c>
      <c r="X135" s="3">
        <f t="shared" si="57"/>
        <v>111.89764138737658</v>
      </c>
      <c r="Y135" s="3"/>
      <c r="Z135" s="3">
        <f t="shared" si="67"/>
        <v>216.82362462105093</v>
      </c>
      <c r="AA135" s="3">
        <f t="shared" si="68"/>
        <v>156.95593551160084</v>
      </c>
      <c r="AB135" s="3">
        <f t="shared" si="69"/>
        <v>117.4518540351196</v>
      </c>
      <c r="AC135" s="9"/>
      <c r="AD135" s="9">
        <f t="shared" si="81"/>
        <v>214.76191028234044</v>
      </c>
      <c r="AE135" s="9">
        <f t="shared" si="82"/>
        <v>155.46348604556346</v>
      </c>
      <c r="AF135" s="9">
        <f t="shared" si="83"/>
        <v>116.33503767345442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/>
      <c r="AO135"/>
      <c r="AP135"/>
      <c r="AQ135"/>
      <c r="AR135"/>
      <c r="AS135"/>
      <c r="AT135"/>
      <c r="AV135" s="12"/>
      <c r="AW135" s="12"/>
      <c r="AZ135" s="2"/>
      <c r="BA135"/>
      <c r="BB135" s="23"/>
      <c r="BH135" s="9"/>
    </row>
    <row r="136" spans="1:60">
      <c r="A136">
        <v>2024</v>
      </c>
      <c r="B136" s="3"/>
      <c r="C136" s="3">
        <f t="shared" si="60"/>
        <v>137.21209600645167</v>
      </c>
      <c r="D136" s="3">
        <f t="shared" si="61"/>
        <v>71.127304204880986</v>
      </c>
      <c r="E136" s="3">
        <f t="shared" si="62"/>
        <v>29.340951347291547</v>
      </c>
      <c r="F136" s="6">
        <f>'Exchange Rates'!S63</f>
        <v>111.28</v>
      </c>
      <c r="G136" s="3"/>
      <c r="H136" s="9">
        <f>(C136*USA!$AU111/100)/$AT103*100*$F136</f>
        <v>16791.78692098429</v>
      </c>
      <c r="I136" s="9">
        <f>(D136*USA!$AU111/100)/$AT103*100*$F136</f>
        <v>8704.4405794678132</v>
      </c>
      <c r="J136" s="9">
        <f>(E136*USA!$AU111/100)/$AT103*100*$F136</f>
        <v>3590.6965742985271</v>
      </c>
      <c r="K136" s="6"/>
      <c r="L136" s="6">
        <f t="shared" si="64"/>
        <v>140.99776071763927</v>
      </c>
      <c r="M136" s="6">
        <f t="shared" si="65"/>
        <v>85.057390770439468</v>
      </c>
      <c r="N136" s="6">
        <f t="shared" si="66"/>
        <v>49.685499993865619</v>
      </c>
      <c r="O136">
        <v>2024</v>
      </c>
      <c r="P136" s="3">
        <f t="shared" si="84"/>
        <v>53.923427216668252</v>
      </c>
      <c r="Q136" s="3"/>
      <c r="R136" s="3">
        <f t="shared" si="78"/>
        <v>15.5936950347446</v>
      </c>
      <c r="S136" s="3">
        <f t="shared" si="79"/>
        <v>11.118465438968617</v>
      </c>
      <c r="T136" s="3">
        <f t="shared" si="80"/>
        <v>8.2887141768427099</v>
      </c>
      <c r="U136" s="3"/>
      <c r="V136" s="3">
        <f t="shared" si="55"/>
        <v>210.51488296905211</v>
      </c>
      <c r="W136" s="3">
        <f t="shared" si="56"/>
        <v>150.09928342607634</v>
      </c>
      <c r="X136" s="3">
        <f t="shared" si="57"/>
        <v>111.89764138737658</v>
      </c>
      <c r="Y136" s="3"/>
      <c r="Z136" s="3">
        <f t="shared" si="67"/>
        <v>220.96411506213136</v>
      </c>
      <c r="AA136" s="3">
        <f t="shared" si="68"/>
        <v>157.54969371252878</v>
      </c>
      <c r="AB136" s="3">
        <f t="shared" si="69"/>
        <v>117.4518540351196</v>
      </c>
      <c r="AC136" s="9"/>
      <c r="AD136" s="9">
        <f t="shared" si="81"/>
        <v>218.86302997437735</v>
      </c>
      <c r="AE136" s="9">
        <f t="shared" si="82"/>
        <v>156.05159836819411</v>
      </c>
      <c r="AF136" s="9">
        <f t="shared" si="83"/>
        <v>116.33503767345442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/>
      <c r="AO136"/>
      <c r="AP136"/>
      <c r="AQ136"/>
      <c r="AR136"/>
      <c r="AS136"/>
      <c r="AT136"/>
      <c r="AV136" s="12"/>
      <c r="AW136" s="12"/>
      <c r="AZ136" s="2"/>
      <c r="BA136"/>
      <c r="BB136" s="23"/>
      <c r="BH136" s="9"/>
    </row>
    <row r="137" spans="1:60">
      <c r="A137">
        <v>2025</v>
      </c>
      <c r="B137" s="3"/>
      <c r="C137" s="3">
        <f t="shared" si="60"/>
        <v>141.52694179281806</v>
      </c>
      <c r="D137" s="3">
        <f t="shared" si="61"/>
        <v>74.364924740814473</v>
      </c>
      <c r="E137" s="3">
        <f t="shared" si="62"/>
        <v>30.203920504564827</v>
      </c>
      <c r="F137" s="6">
        <f>'Exchange Rates'!S64</f>
        <v>111.28</v>
      </c>
      <c r="G137" s="3"/>
      <c r="H137" s="9">
        <f>(C137*USA!$AU112/100)/$AT104*100*$F137</f>
        <v>17319.830534851721</v>
      </c>
      <c r="I137" s="9">
        <f>(D137*USA!$AU112/100)/$AT104*100*$F137</f>
        <v>9100.6551680696957</v>
      </c>
      <c r="J137" s="9">
        <f>(E137*USA!$AU112/100)/$AT104*100*$F137</f>
        <v>3696.3052970720132</v>
      </c>
      <c r="K137" s="6"/>
      <c r="L137" s="6">
        <f t="shared" si="64"/>
        <v>144.65025114659019</v>
      </c>
      <c r="M137" s="6">
        <f t="shared" si="65"/>
        <v>87.798016648063353</v>
      </c>
      <c r="N137" s="6">
        <f t="shared" si="66"/>
        <v>50.415998079655807</v>
      </c>
      <c r="O137">
        <v>2025</v>
      </c>
      <c r="P137" s="3">
        <f t="shared" si="84"/>
        <v>53.923427216668252</v>
      </c>
      <c r="Q137" s="3"/>
      <c r="R137" s="3">
        <f t="shared" si="78"/>
        <v>15.885894269060675</v>
      </c>
      <c r="S137" s="3">
        <f t="shared" si="79"/>
        <v>11.33771550917853</v>
      </c>
      <c r="T137" s="3">
        <f t="shared" si="80"/>
        <v>8.3471540237059259</v>
      </c>
      <c r="U137" s="3"/>
      <c r="V137" s="3">
        <f t="shared" si="55"/>
        <v>214.45957263231912</v>
      </c>
      <c r="W137" s="3">
        <f t="shared" si="56"/>
        <v>153.05915937391015</v>
      </c>
      <c r="X137" s="3">
        <f t="shared" si="57"/>
        <v>112.68657932002999</v>
      </c>
      <c r="Y137" s="3"/>
      <c r="Z137" s="3">
        <f t="shared" si="67"/>
        <v>225.10460550321181</v>
      </c>
      <c r="AA137" s="3">
        <f t="shared" si="68"/>
        <v>160.65648768491945</v>
      </c>
      <c r="AB137" s="3">
        <f t="shared" si="69"/>
        <v>118.2799521233357</v>
      </c>
      <c r="AC137" s="9"/>
      <c r="AD137" s="9">
        <f t="shared" si="81"/>
        <v>222.96414966641424</v>
      </c>
      <c r="AE137" s="9">
        <f t="shared" si="82"/>
        <v>159.1288507180264</v>
      </c>
      <c r="AF137" s="9">
        <f t="shared" si="83"/>
        <v>117.1552616118618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/>
      <c r="AO137"/>
      <c r="AP137"/>
      <c r="AQ137"/>
      <c r="AR137"/>
      <c r="AS137"/>
      <c r="AT137"/>
      <c r="AV137" s="12"/>
      <c r="AW137" s="12"/>
      <c r="AZ137" s="2"/>
      <c r="BA137"/>
      <c r="BB137" s="23"/>
      <c r="BH137" s="9"/>
    </row>
    <row r="138" spans="1:60">
      <c r="A138">
        <v>2026</v>
      </c>
      <c r="B138" s="3"/>
      <c r="C138" s="3">
        <f t="shared" si="60"/>
        <v>145.84178757918448</v>
      </c>
      <c r="D138" s="3">
        <f t="shared" si="61"/>
        <v>80.055420065999314</v>
      </c>
      <c r="E138" s="3">
        <f t="shared" si="62"/>
        <v>31.066889661838108</v>
      </c>
      <c r="F138" s="6">
        <f>'Exchange Rates'!S65</f>
        <v>111.28</v>
      </c>
      <c r="G138" s="3"/>
      <c r="H138" s="9">
        <f>(C138*USA!$AU113/100)/$AT105*100*$F138</f>
        <v>17847.874148719155</v>
      </c>
      <c r="I138" s="9">
        <f>(D138*USA!$AU113/100)/$AT105*100*$F138</f>
        <v>9797.048472715871</v>
      </c>
      <c r="J138" s="9">
        <f>(E138*USA!$AU113/100)/$AT105*100*$F138</f>
        <v>3801.9140198454988</v>
      </c>
      <c r="K138" s="6"/>
      <c r="L138" s="6">
        <f t="shared" si="64"/>
        <v>148.30274157554118</v>
      </c>
      <c r="M138" s="6">
        <f t="shared" si="65"/>
        <v>92.614985953640939</v>
      </c>
      <c r="N138" s="6">
        <f t="shared" si="66"/>
        <v>51.146496165445988</v>
      </c>
      <c r="O138">
        <v>2026</v>
      </c>
      <c r="P138" s="3">
        <f t="shared" si="84"/>
        <v>53.923427216668252</v>
      </c>
      <c r="Q138" s="3"/>
      <c r="R138" s="3">
        <f t="shared" si="78"/>
        <v>16.178093503376754</v>
      </c>
      <c r="S138" s="3">
        <f t="shared" si="79"/>
        <v>11.723073053624734</v>
      </c>
      <c r="T138" s="3">
        <f t="shared" si="80"/>
        <v>8.40559387056914</v>
      </c>
      <c r="U138" s="3"/>
      <c r="V138" s="3">
        <f t="shared" si="55"/>
        <v>218.40426229558616</v>
      </c>
      <c r="W138" s="3">
        <f t="shared" si="56"/>
        <v>158.26148622393393</v>
      </c>
      <c r="X138" s="3">
        <f t="shared" si="57"/>
        <v>113.47551725268337</v>
      </c>
      <c r="Y138" s="3"/>
      <c r="Z138" s="3">
        <f t="shared" si="67"/>
        <v>229.2450959442923</v>
      </c>
      <c r="AA138" s="3">
        <f t="shared" si="68"/>
        <v>166.11704008134296</v>
      </c>
      <c r="AB138" s="3">
        <f t="shared" si="69"/>
        <v>119.10805021155176</v>
      </c>
      <c r="AC138" s="9"/>
      <c r="AD138" s="9">
        <f t="shared" si="81"/>
        <v>227.06526935845119</v>
      </c>
      <c r="AE138" s="9">
        <f t="shared" si="82"/>
        <v>164.53748027074383</v>
      </c>
      <c r="AF138" s="9">
        <f t="shared" si="83"/>
        <v>117.97548555026917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/>
      <c r="AO138"/>
      <c r="AP138"/>
      <c r="AQ138"/>
      <c r="AR138"/>
      <c r="AS138"/>
      <c r="AT138"/>
      <c r="AV138" s="12"/>
      <c r="AW138" s="12"/>
      <c r="AZ138" s="2"/>
      <c r="BA138"/>
      <c r="BB138" s="23"/>
      <c r="BH138" s="9"/>
    </row>
    <row r="139" spans="1:60">
      <c r="A139">
        <v>2027</v>
      </c>
      <c r="B139" s="3"/>
      <c r="C139" s="3">
        <f t="shared" si="60"/>
        <v>150.15663336555087</v>
      </c>
      <c r="D139" s="3">
        <f t="shared" si="61"/>
        <v>82.98815737026753</v>
      </c>
      <c r="E139" s="3">
        <f t="shared" si="62"/>
        <v>31.929858819111395</v>
      </c>
      <c r="F139" s="6">
        <f>'Exchange Rates'!S66</f>
        <v>111.28</v>
      </c>
      <c r="G139" s="3"/>
      <c r="H139" s="9">
        <f>(C139*USA!$AU114/100)/$AT106*100*$F139</f>
        <v>18375.917762586581</v>
      </c>
      <c r="I139" s="9">
        <f>(D139*USA!$AU114/100)/$AT106*100*$F139</f>
        <v>10155.951961123905</v>
      </c>
      <c r="J139" s="9">
        <f>(E139*USA!$AU114/100)/$AT106*100*$F139</f>
        <v>3907.5227426189867</v>
      </c>
      <c r="K139" s="6"/>
      <c r="L139" s="6">
        <f t="shared" si="64"/>
        <v>151.9552320044921</v>
      </c>
      <c r="M139" s="6">
        <f t="shared" si="65"/>
        <v>95.097530050190812</v>
      </c>
      <c r="N139" s="6">
        <f t="shared" si="66"/>
        <v>51.876994251236191</v>
      </c>
      <c r="O139">
        <v>2027</v>
      </c>
      <c r="P139" s="3">
        <f t="shared" si="84"/>
        <v>53.923427216668252</v>
      </c>
      <c r="Q139" s="3"/>
      <c r="R139" s="3">
        <f t="shared" si="78"/>
        <v>16.470292737692827</v>
      </c>
      <c r="S139" s="3">
        <f t="shared" si="79"/>
        <v>11.921676581348725</v>
      </c>
      <c r="T139" s="3">
        <f t="shared" si="80"/>
        <v>8.4640337174323559</v>
      </c>
      <c r="U139" s="3"/>
      <c r="V139" s="3">
        <f t="shared" si="55"/>
        <v>222.34895195885318</v>
      </c>
      <c r="W139" s="3">
        <f t="shared" si="56"/>
        <v>160.94263384820778</v>
      </c>
      <c r="X139" s="3">
        <f t="shared" si="57"/>
        <v>114.2644551853368</v>
      </c>
      <c r="Y139" s="3"/>
      <c r="Z139" s="3">
        <f t="shared" si="67"/>
        <v>233.38558638537276</v>
      </c>
      <c r="AA139" s="3">
        <f t="shared" si="68"/>
        <v>168.93127061836253</v>
      </c>
      <c r="AB139" s="3">
        <f t="shared" si="69"/>
        <v>119.93614829976788</v>
      </c>
      <c r="AC139" s="9"/>
      <c r="AD139" s="9">
        <f t="shared" si="81"/>
        <v>231.16638905048811</v>
      </c>
      <c r="AE139" s="9">
        <f t="shared" si="82"/>
        <v>167.32495108791852</v>
      </c>
      <c r="AF139" s="9">
        <f t="shared" si="83"/>
        <v>118.79570948867658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/>
      <c r="AO139"/>
      <c r="AP139"/>
      <c r="AQ139"/>
      <c r="AR139"/>
      <c r="AS139"/>
      <c r="AT139"/>
      <c r="AV139" s="12"/>
      <c r="AW139" s="12"/>
      <c r="AZ139" s="2"/>
      <c r="BA139"/>
      <c r="BB139" s="23"/>
      <c r="BH139" s="9"/>
    </row>
    <row r="140" spans="1:60">
      <c r="A140">
        <v>2028</v>
      </c>
      <c r="B140" s="3"/>
      <c r="C140" s="3">
        <f t="shared" si="60"/>
        <v>153.60850999464401</v>
      </c>
      <c r="D140" s="3">
        <f t="shared" si="61"/>
        <v>84.844653255379882</v>
      </c>
      <c r="E140" s="3">
        <f t="shared" si="62"/>
        <v>31.929858819111395</v>
      </c>
      <c r="F140" s="6">
        <f>'Exchange Rates'!S67</f>
        <v>111.28</v>
      </c>
      <c r="G140" s="3"/>
      <c r="H140" s="9">
        <f>(C140*USA!$AU115/100)/$AT107*100*$F140</f>
        <v>18798.352653680529</v>
      </c>
      <c r="I140" s="9">
        <f>(D140*USA!$AU115/100)/$AT107*100*$F140</f>
        <v>10383.146823893328</v>
      </c>
      <c r="J140" s="9">
        <f>(E140*USA!$AU115/100)/$AT107*100*$F140</f>
        <v>3907.5227426189867</v>
      </c>
      <c r="K140" s="6"/>
      <c r="L140" s="6">
        <f t="shared" si="64"/>
        <v>154.87722434765288</v>
      </c>
      <c r="M140" s="6">
        <f t="shared" si="65"/>
        <v>96.669042402540697</v>
      </c>
      <c r="N140" s="6">
        <f t="shared" si="66"/>
        <v>51.876994251236191</v>
      </c>
      <c r="O140">
        <v>2028</v>
      </c>
      <c r="P140" s="3">
        <f t="shared" si="84"/>
        <v>53.923427216668252</v>
      </c>
      <c r="Q140" s="3"/>
      <c r="R140" s="3">
        <f t="shared" si="78"/>
        <v>16.70405212514569</v>
      </c>
      <c r="S140" s="3">
        <f t="shared" si="79"/>
        <v>12.047397569536715</v>
      </c>
      <c r="T140" s="3">
        <f t="shared" si="80"/>
        <v>8.4640337174323559</v>
      </c>
      <c r="U140" s="3"/>
      <c r="V140" s="3">
        <f t="shared" si="55"/>
        <v>225.50470368946682</v>
      </c>
      <c r="W140" s="3">
        <f t="shared" si="56"/>
        <v>162.63986718874565</v>
      </c>
      <c r="X140" s="3">
        <f t="shared" si="57"/>
        <v>114.2644551853368</v>
      </c>
      <c r="Y140" s="3"/>
      <c r="Z140" s="3">
        <f t="shared" si="67"/>
        <v>236.69797873823717</v>
      </c>
      <c r="AA140" s="3">
        <f t="shared" si="68"/>
        <v>170.71274876307419</v>
      </c>
      <c r="AB140" s="3">
        <f t="shared" si="69"/>
        <v>119.93614829976788</v>
      </c>
      <c r="AC140" s="9"/>
      <c r="AD140" s="9">
        <f t="shared" si="81"/>
        <v>234.44728480411766</v>
      </c>
      <c r="AE140" s="9">
        <f t="shared" si="82"/>
        <v>169.08948966231594</v>
      </c>
      <c r="AF140" s="9">
        <f t="shared" si="83"/>
        <v>118.79570948867658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/>
      <c r="AO140"/>
      <c r="AP140"/>
      <c r="AQ140"/>
      <c r="AR140"/>
      <c r="AS140"/>
      <c r="AT140"/>
      <c r="AV140" s="12"/>
      <c r="AW140" s="12"/>
      <c r="AZ140" s="2"/>
      <c r="BA140"/>
      <c r="BB140" s="23"/>
      <c r="BH140" s="9"/>
    </row>
    <row r="141" spans="1:60">
      <c r="A141">
        <v>2029</v>
      </c>
      <c r="B141" s="3"/>
      <c r="C141" s="3">
        <f t="shared" si="60"/>
        <v>157.9233557810104</v>
      </c>
      <c r="D141" s="3">
        <f t="shared" si="61"/>
        <v>87.361009569245411</v>
      </c>
      <c r="E141" s="3">
        <f t="shared" si="62"/>
        <v>31.929858819111395</v>
      </c>
      <c r="F141" s="6">
        <f>'Exchange Rates'!S68</f>
        <v>111.28</v>
      </c>
      <c r="G141" s="3"/>
      <c r="H141" s="9">
        <f>(C141*USA!$AU116/100)/$AT108*100*$F141</f>
        <v>19326.396267547956</v>
      </c>
      <c r="I141" s="9">
        <f>(D141*USA!$AU116/100)/$AT108*100*$F141</f>
        <v>10691.094302792832</v>
      </c>
      <c r="J141" s="9">
        <f>(E141*USA!$AU116/100)/$AT108*100*$F141</f>
        <v>3907.5227426189867</v>
      </c>
      <c r="K141" s="6"/>
      <c r="L141" s="6">
        <f t="shared" si="64"/>
        <v>158.52971477660381</v>
      </c>
      <c r="M141" s="6">
        <f t="shared" si="65"/>
        <v>98.799122550773291</v>
      </c>
      <c r="N141" s="6">
        <f t="shared" si="66"/>
        <v>51.876994251236191</v>
      </c>
      <c r="O141">
        <v>2029</v>
      </c>
      <c r="P141" s="3">
        <f t="shared" si="84"/>
        <v>53.923427216668252</v>
      </c>
      <c r="Q141" s="3"/>
      <c r="R141" s="3">
        <f t="shared" si="78"/>
        <v>16.996251359461766</v>
      </c>
      <c r="S141" s="3">
        <f t="shared" si="79"/>
        <v>12.217803981395322</v>
      </c>
      <c r="T141" s="3">
        <f t="shared" si="80"/>
        <v>8.4640337174323559</v>
      </c>
      <c r="U141" s="3"/>
      <c r="V141" s="3">
        <f t="shared" si="55"/>
        <v>229.44939335273381</v>
      </c>
      <c r="W141" s="3">
        <f t="shared" si="56"/>
        <v>164.94035374883686</v>
      </c>
      <c r="X141" s="3">
        <f t="shared" si="57"/>
        <v>114.2644551853368</v>
      </c>
      <c r="Y141" s="3"/>
      <c r="Z141" s="3">
        <f t="shared" si="67"/>
        <v>240.83846917931763</v>
      </c>
      <c r="AA141" s="3">
        <f t="shared" si="68"/>
        <v>173.12742353472731</v>
      </c>
      <c r="AB141" s="3">
        <f t="shared" si="69"/>
        <v>119.93614829976788</v>
      </c>
      <c r="AC141" s="9"/>
      <c r="AD141" s="9">
        <f t="shared" si="81"/>
        <v>238.54840449615455</v>
      </c>
      <c r="AE141" s="9">
        <f t="shared" si="82"/>
        <v>171.48120397655239</v>
      </c>
      <c r="AF141" s="9">
        <f t="shared" si="83"/>
        <v>118.79570948867658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/>
      <c r="AO141"/>
      <c r="AP141"/>
      <c r="AQ141"/>
      <c r="AR141"/>
      <c r="AS141"/>
      <c r="AT141"/>
      <c r="AV141" s="12"/>
      <c r="AW141" s="12"/>
      <c r="AZ141" s="2"/>
      <c r="BA141"/>
      <c r="BB141" s="23"/>
      <c r="BC141" s="9"/>
      <c r="BH141" s="9"/>
    </row>
    <row r="142" spans="1:60">
      <c r="A142">
        <v>2030</v>
      </c>
      <c r="B142" s="3"/>
      <c r="C142" s="3">
        <f t="shared" si="60"/>
        <v>160.51226325283022</v>
      </c>
      <c r="D142" s="3">
        <f t="shared" si="61"/>
        <v>89.285088706337618</v>
      </c>
      <c r="E142" s="3">
        <f t="shared" si="62"/>
        <v>32.792827976384679</v>
      </c>
      <c r="F142" s="6">
        <f>'Exchange Rates'!S69</f>
        <v>111.28</v>
      </c>
      <c r="G142" s="3"/>
      <c r="H142" s="9">
        <f>(C142*USA!$AU117/100)/$AT109*100*$F142</f>
        <v>19643.222435868411</v>
      </c>
      <c r="I142" s="9">
        <f>(D142*USA!$AU117/100)/$AT109*100*$F142</f>
        <v>10926.559890955297</v>
      </c>
      <c r="J142" s="9">
        <f>(E142*USA!$AU117/100)/$AT109*100*$F142</f>
        <v>4013.1314653924724</v>
      </c>
      <c r="K142" s="6"/>
      <c r="L142" s="6">
        <f t="shared" si="64"/>
        <v>160.72120903397433</v>
      </c>
      <c r="M142" s="6">
        <f t="shared" si="65"/>
        <v>100.42784371039824</v>
      </c>
      <c r="N142" s="6">
        <f t="shared" si="66"/>
        <v>52.607492337026372</v>
      </c>
      <c r="O142">
        <v>2030</v>
      </c>
      <c r="P142" s="3">
        <f t="shared" si="84"/>
        <v>53.923427216668252</v>
      </c>
      <c r="Q142" s="3"/>
      <c r="R142" s="3">
        <f t="shared" si="78"/>
        <v>17.171570900051407</v>
      </c>
      <c r="S142" s="3">
        <f t="shared" si="79"/>
        <v>12.348101674165319</v>
      </c>
      <c r="T142" s="3">
        <f t="shared" si="80"/>
        <v>8.52247356429557</v>
      </c>
      <c r="U142" s="3"/>
      <c r="V142" s="3">
        <f t="shared" si="55"/>
        <v>231.81620715069397</v>
      </c>
      <c r="W142" s="3">
        <f t="shared" si="56"/>
        <v>166.6993726012318</v>
      </c>
      <c r="X142" s="3">
        <f t="shared" si="57"/>
        <v>115.05339311799018</v>
      </c>
      <c r="Y142" s="3"/>
      <c r="Z142" s="3">
        <f t="shared" si="67"/>
        <v>243.32276344396584</v>
      </c>
      <c r="AA142" s="3">
        <f t="shared" si="68"/>
        <v>174.97375401082098</v>
      </c>
      <c r="AB142" s="3">
        <f t="shared" si="69"/>
        <v>120.76424638798395</v>
      </c>
      <c r="AC142" s="9"/>
      <c r="AD142" s="9">
        <f t="shared" si="81"/>
        <v>241.00907631137662</v>
      </c>
      <c r="AE142" s="9">
        <f t="shared" si="82"/>
        <v>173.30997821990985</v>
      </c>
      <c r="AF142" s="9">
        <f t="shared" si="83"/>
        <v>119.61593342708395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/>
      <c r="AO142"/>
      <c r="AP142"/>
      <c r="AQ142"/>
      <c r="AR142"/>
      <c r="AS142"/>
      <c r="AT142"/>
      <c r="AV142" s="12"/>
      <c r="AW142" s="12"/>
      <c r="AZ142" s="2"/>
      <c r="BA142"/>
      <c r="BB142" s="23"/>
      <c r="BC142" s="9"/>
      <c r="BH142" s="9"/>
    </row>
    <row r="143" spans="1:60">
      <c r="J143"/>
      <c r="O143" s="12"/>
      <c r="P143"/>
      <c r="Q143"/>
      <c r="R143"/>
      <c r="W14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/>
      <c r="AO143"/>
      <c r="AP143"/>
      <c r="AQ143"/>
      <c r="AR143"/>
      <c r="AS143"/>
      <c r="AT143"/>
      <c r="AV143" s="12"/>
      <c r="AW143" s="12"/>
      <c r="AZ143" s="2"/>
      <c r="BA143"/>
      <c r="BB143" s="23"/>
      <c r="BC143" s="9"/>
      <c r="BH143" s="9"/>
    </row>
    <row r="144" spans="1:60">
      <c r="J144"/>
      <c r="O144" s="12"/>
      <c r="P144"/>
      <c r="Q144"/>
      <c r="R144"/>
      <c r="W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/>
      <c r="AO144"/>
      <c r="AP144"/>
      <c r="AQ144"/>
      <c r="AR144"/>
      <c r="AS144"/>
      <c r="AT144"/>
      <c r="AV144" s="12"/>
      <c r="AW144" s="32"/>
      <c r="AX144" s="2"/>
      <c r="AY144" s="2"/>
      <c r="AZ144" s="23"/>
      <c r="BA144"/>
      <c r="BB144" s="23"/>
      <c r="BC144" s="9"/>
      <c r="BH144" s="9"/>
    </row>
    <row r="145" spans="7:60">
      <c r="G145" s="12"/>
      <c r="J145"/>
      <c r="L145" s="23"/>
      <c r="M145" s="12"/>
      <c r="N145" s="12"/>
      <c r="O145" s="12"/>
      <c r="P145" s="23"/>
      <c r="Q145"/>
      <c r="R145"/>
      <c r="U145" s="23"/>
      <c r="W145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/>
      <c r="AO145"/>
      <c r="AP145"/>
      <c r="AQ145"/>
      <c r="AR145"/>
      <c r="AS145"/>
      <c r="AT145"/>
      <c r="AV145" s="12"/>
      <c r="AW145" s="32"/>
      <c r="AX145" s="2"/>
      <c r="AY145" s="2"/>
      <c r="AZ145" s="23"/>
      <c r="BA145"/>
      <c r="BB145" s="23"/>
      <c r="BC145" s="9"/>
      <c r="BH145" s="9"/>
    </row>
    <row r="146" spans="7:60">
      <c r="G146" s="12"/>
      <c r="J146"/>
      <c r="L146" s="23"/>
      <c r="M146" s="12"/>
      <c r="N146" s="12"/>
      <c r="O146" s="12"/>
      <c r="P146" s="23"/>
      <c r="Q146"/>
      <c r="R146"/>
      <c r="U146" s="23"/>
      <c r="W146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/>
      <c r="AO146"/>
      <c r="AP146"/>
      <c r="AQ146"/>
      <c r="AR146"/>
      <c r="AS146"/>
      <c r="AT146"/>
      <c r="AV146" s="12"/>
      <c r="AW146" s="32"/>
      <c r="AX146" s="2"/>
      <c r="AY146" s="2"/>
      <c r="AZ146" s="23"/>
      <c r="BA146"/>
      <c r="BB146" s="23"/>
      <c r="BC146" s="9"/>
      <c r="BH146" s="9"/>
    </row>
    <row r="147" spans="7:60">
      <c r="G147" s="12"/>
      <c r="J147"/>
      <c r="L147" s="23"/>
      <c r="M147" s="12"/>
      <c r="N147" s="12"/>
      <c r="O147" s="12"/>
      <c r="P147" s="23"/>
      <c r="Q147"/>
      <c r="R147">
        <v>187.50182650822154</v>
      </c>
      <c r="U147" s="23"/>
      <c r="W147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/>
      <c r="AO147"/>
      <c r="AP147"/>
      <c r="AQ147"/>
      <c r="AR147"/>
      <c r="AS147"/>
      <c r="AT147"/>
      <c r="AV147" s="12"/>
      <c r="AW147" s="32"/>
      <c r="AX147" s="2"/>
      <c r="AY147" s="2"/>
      <c r="AZ147" s="23"/>
      <c r="BA147"/>
      <c r="BB147" s="23"/>
      <c r="BC147" s="9"/>
      <c r="BH147" s="9"/>
    </row>
    <row r="148" spans="7:60">
      <c r="G148" s="12"/>
      <c r="J148"/>
      <c r="L148" s="23"/>
      <c r="M148" s="12"/>
      <c r="N148" s="12"/>
      <c r="O148" s="12"/>
      <c r="P148" s="23"/>
      <c r="Q148"/>
      <c r="R148">
        <v>136.28778909269118</v>
      </c>
      <c r="U148" s="23"/>
      <c r="W148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/>
      <c r="AO148"/>
      <c r="AP148"/>
      <c r="AQ148"/>
      <c r="AR148"/>
      <c r="AS148"/>
      <c r="AT148"/>
      <c r="AV148" s="12"/>
      <c r="AW148" s="32"/>
      <c r="AX148" s="2"/>
      <c r="AY148" s="2"/>
      <c r="AZ148" s="23"/>
      <c r="BA148"/>
      <c r="BB148" s="23"/>
      <c r="BC148" s="9"/>
      <c r="BH148" s="9"/>
    </row>
    <row r="149" spans="7:60">
      <c r="G149" s="12"/>
      <c r="J149"/>
      <c r="L149" s="23"/>
      <c r="M149" s="12"/>
      <c r="N149" s="12"/>
      <c r="O149" s="12"/>
      <c r="P149" s="23"/>
      <c r="Q149"/>
      <c r="R149">
        <f>R147/R148-1</f>
        <v>0.37577862078824231</v>
      </c>
      <c r="U149" s="23"/>
      <c r="W149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/>
      <c r="AO149"/>
      <c r="AP149"/>
      <c r="AQ149"/>
      <c r="AR149"/>
      <c r="AS149"/>
      <c r="AT149"/>
      <c r="AV149" s="12"/>
      <c r="AW149" s="32"/>
      <c r="AX149" s="2"/>
      <c r="AY149" s="2"/>
      <c r="AZ149" s="23"/>
      <c r="BA149"/>
      <c r="BB149" s="23"/>
      <c r="BC149" s="9"/>
      <c r="BH149" s="9"/>
    </row>
    <row r="150" spans="7:60">
      <c r="G150" s="12"/>
      <c r="J150"/>
      <c r="L150" s="23"/>
      <c r="M150" s="12"/>
      <c r="N150" s="12"/>
      <c r="O150" s="12"/>
      <c r="P150" s="23"/>
      <c r="Q150"/>
      <c r="R150"/>
      <c r="U150" s="23"/>
      <c r="W150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/>
      <c r="AO150"/>
      <c r="AP150"/>
      <c r="AQ150"/>
      <c r="AR150"/>
      <c r="AS150"/>
      <c r="AT150"/>
      <c r="AV150" s="12"/>
      <c r="AW150" s="32"/>
      <c r="AX150" s="2"/>
      <c r="AY150" s="2"/>
      <c r="AZ150" s="23"/>
      <c r="BA150"/>
      <c r="BB150" s="23"/>
      <c r="BC150" s="9"/>
      <c r="BH150" s="9"/>
    </row>
    <row r="151" spans="7:60">
      <c r="G151" s="12"/>
      <c r="J151"/>
      <c r="L151" s="23"/>
      <c r="M151" s="12"/>
      <c r="N151" s="12"/>
      <c r="O151" s="12"/>
      <c r="P151" s="23"/>
      <c r="Q151"/>
      <c r="R151"/>
      <c r="U151" s="23"/>
      <c r="W151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/>
      <c r="AO151"/>
      <c r="AP151"/>
      <c r="AQ151"/>
      <c r="AR151"/>
      <c r="AS151"/>
      <c r="AT151"/>
      <c r="AV151" s="12"/>
      <c r="AW151" s="32"/>
      <c r="AX151" s="2"/>
      <c r="AY151" s="2"/>
      <c r="AZ151" s="23"/>
      <c r="BA151"/>
      <c r="BB151" s="23"/>
      <c r="BC151" s="9"/>
      <c r="BH151" s="9"/>
    </row>
    <row r="152" spans="7:60">
      <c r="G152" s="12"/>
      <c r="J152"/>
      <c r="L152" s="23"/>
      <c r="M152" s="12"/>
      <c r="N152" s="12"/>
      <c r="O152" s="12"/>
      <c r="P152" s="23"/>
      <c r="Q152"/>
      <c r="R152"/>
      <c r="U152" s="23"/>
      <c r="W15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/>
      <c r="AO152"/>
      <c r="AP152"/>
      <c r="AQ152"/>
      <c r="AR152"/>
      <c r="AS152"/>
      <c r="AT152"/>
      <c r="AV152" s="12"/>
      <c r="AW152" s="32"/>
      <c r="AX152" s="2"/>
      <c r="AY152" s="2"/>
      <c r="AZ152" s="23"/>
      <c r="BA152"/>
      <c r="BB152" s="23"/>
      <c r="BC152" s="9"/>
      <c r="BH152" s="9"/>
    </row>
    <row r="153" spans="7:60">
      <c r="O153" s="12"/>
      <c r="P153" s="23"/>
      <c r="R153" s="12"/>
      <c r="S153" s="23"/>
      <c r="W153"/>
      <c r="X153" s="23"/>
      <c r="AN153"/>
      <c r="AO153"/>
      <c r="AS153" s="2"/>
      <c r="AT153" s="2"/>
      <c r="AV153" s="12"/>
      <c r="AW153" s="12"/>
      <c r="BA153"/>
      <c r="BC153" s="9"/>
    </row>
    <row r="154" spans="7:60">
      <c r="O154" s="12"/>
      <c r="P154" s="23"/>
      <c r="R154" s="12"/>
      <c r="S154" s="23"/>
      <c r="W154"/>
      <c r="X154" s="23"/>
      <c r="AN154"/>
      <c r="AS154" s="2"/>
      <c r="AV154" s="12"/>
      <c r="BA154"/>
      <c r="BB154" s="9"/>
    </row>
    <row r="156" spans="7:60">
      <c r="AK156" s="3"/>
      <c r="AL156" s="3" t="s">
        <v>2428</v>
      </c>
    </row>
    <row r="157" spans="7:60">
      <c r="AK157" s="3"/>
      <c r="AL157" s="3"/>
    </row>
    <row r="158" spans="7:60">
      <c r="AL158" t="s">
        <v>2416</v>
      </c>
    </row>
    <row r="159" spans="7:60">
      <c r="AK159" s="78">
        <v>43101</v>
      </c>
      <c r="AL159">
        <v>1.33</v>
      </c>
    </row>
    <row r="160" spans="7:60">
      <c r="AK160" s="78">
        <v>43132</v>
      </c>
      <c r="AL160">
        <v>1.35</v>
      </c>
    </row>
    <row r="161" spans="37:38">
      <c r="AK161" s="78">
        <v>43160</v>
      </c>
      <c r="AL161">
        <v>1.35</v>
      </c>
    </row>
    <row r="162" spans="37:38">
      <c r="AK162" s="78">
        <v>43191</v>
      </c>
      <c r="AL162">
        <v>1.32</v>
      </c>
    </row>
    <row r="163" spans="37:38">
      <c r="AK163" s="78">
        <v>43221</v>
      </c>
      <c r="AL163">
        <v>1.39</v>
      </c>
    </row>
    <row r="164" spans="37:38">
      <c r="AK164" s="78">
        <v>43252</v>
      </c>
      <c r="AL164">
        <v>1.38</v>
      </c>
    </row>
    <row r="165" spans="37:38">
      <c r="AK165" s="78">
        <v>43282</v>
      </c>
      <c r="AL165">
        <v>1.36</v>
      </c>
    </row>
    <row r="166" spans="37:38">
      <c r="AK166" s="78">
        <v>43313</v>
      </c>
      <c r="AL166">
        <v>1.36</v>
      </c>
    </row>
    <row r="167" spans="37:38">
      <c r="AK167" s="78">
        <v>43344</v>
      </c>
      <c r="AL167">
        <v>1.36</v>
      </c>
    </row>
    <row r="168" spans="37:38">
      <c r="AK168" s="78">
        <v>43374</v>
      </c>
      <c r="AL168">
        <v>1.41</v>
      </c>
    </row>
    <row r="169" spans="37:38">
      <c r="AK169" s="78">
        <v>43405</v>
      </c>
      <c r="AL169">
        <v>1.35</v>
      </c>
    </row>
    <row r="170" spans="37:38">
      <c r="AK170" s="78">
        <v>43435</v>
      </c>
      <c r="AL170">
        <v>1.33</v>
      </c>
    </row>
    <row r="172" spans="37:38">
      <c r="AK172">
        <v>2018</v>
      </c>
      <c r="AL172" s="3">
        <f>AVERAGE(AL159:AL170)</f>
        <v>1.3574999999999999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showGridLines="0" workbookViewId="0">
      <selection activeCell="A3" sqref="A3:G21"/>
    </sheetView>
  </sheetViews>
  <sheetFormatPr defaultRowHeight="15"/>
  <cols>
    <col min="1" max="1" width="18.28515625" customWidth="1"/>
    <col min="2" max="7" width="13.5703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0.99347676811415275</v>
      </c>
    </row>
    <row r="5" spans="1:7">
      <c r="A5" s="13" t="s">
        <v>80</v>
      </c>
      <c r="B5" s="13">
        <v>0.98699608878254208</v>
      </c>
    </row>
    <row r="6" spans="1:7">
      <c r="A6" s="13" t="s">
        <v>81</v>
      </c>
      <c r="B6" s="13">
        <v>0.98482877024629911</v>
      </c>
    </row>
    <row r="7" spans="1:7">
      <c r="A7" s="13" t="s">
        <v>82</v>
      </c>
      <c r="B7" s="13">
        <v>26.631428350642064</v>
      </c>
    </row>
    <row r="8" spans="1:7" ht="15.75" thickBot="1">
      <c r="A8" s="14" t="s">
        <v>83</v>
      </c>
      <c r="B8" s="14">
        <v>29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1291937.7777417137</v>
      </c>
      <c r="D12" s="13">
        <v>322984.44443542842</v>
      </c>
      <c r="E12" s="13">
        <v>455.39964351224904</v>
      </c>
      <c r="F12" s="13">
        <v>3.0032166208414166E-22</v>
      </c>
    </row>
    <row r="13" spans="1:7">
      <c r="A13" s="13" t="s">
        <v>86</v>
      </c>
      <c r="B13" s="13">
        <v>24</v>
      </c>
      <c r="C13" s="13">
        <v>17021.591423889167</v>
      </c>
      <c r="D13" s="13">
        <v>709.23297599538193</v>
      </c>
      <c r="E13" s="13"/>
      <c r="F13" s="13"/>
    </row>
    <row r="14" spans="1:7" ht="15.75" thickBot="1">
      <c r="A14" s="14" t="s">
        <v>87</v>
      </c>
      <c r="B14" s="14">
        <v>28</v>
      </c>
      <c r="C14" s="14">
        <v>1308959.3691656028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403.05548566989853</v>
      </c>
      <c r="C17" s="13">
        <v>20.759613524079302</v>
      </c>
      <c r="D17" s="13">
        <v>19.415365570384537</v>
      </c>
      <c r="E17" s="13">
        <v>3.507729579656558E-16</v>
      </c>
      <c r="F17" s="13">
        <v>360.20974917759753</v>
      </c>
      <c r="G17" s="13">
        <v>445.90122216219953</v>
      </c>
    </row>
    <row r="18" spans="1:7">
      <c r="A18" s="13" t="s">
        <v>229</v>
      </c>
      <c r="B18" s="13">
        <v>6.225482021697145E-3</v>
      </c>
      <c r="C18" s="13">
        <v>2.4216501882522837E-4</v>
      </c>
      <c r="D18" s="13">
        <v>25.707602410528601</v>
      </c>
      <c r="E18" s="13">
        <v>5.6183390419363368E-19</v>
      </c>
      <c r="F18" s="13">
        <v>5.7256779876671323E-3</v>
      </c>
      <c r="G18" s="13">
        <v>6.7252860557271577E-3</v>
      </c>
    </row>
    <row r="19" spans="1:7">
      <c r="A19" s="13" t="s">
        <v>2207</v>
      </c>
      <c r="B19" s="13">
        <v>94.115377413218738</v>
      </c>
      <c r="C19" s="13">
        <v>14.167445111263742</v>
      </c>
      <c r="D19" s="13">
        <v>6.6430733751982478</v>
      </c>
      <c r="E19" s="13">
        <v>7.1675561841583749E-7</v>
      </c>
      <c r="F19" s="13">
        <v>64.875207826137498</v>
      </c>
      <c r="G19" s="13">
        <v>123.35554700029998</v>
      </c>
    </row>
    <row r="20" spans="1:7">
      <c r="A20" s="13" t="s">
        <v>2167</v>
      </c>
      <c r="B20" s="13">
        <v>66.338697408261424</v>
      </c>
      <c r="C20" s="13">
        <v>20.690538660434846</v>
      </c>
      <c r="D20" s="13">
        <v>3.2062334624045601</v>
      </c>
      <c r="E20" s="13">
        <v>3.7831481745300294E-3</v>
      </c>
      <c r="F20" s="13">
        <v>23.635524427680892</v>
      </c>
      <c r="G20" s="13">
        <v>109.04187038884196</v>
      </c>
    </row>
    <row r="21" spans="1:7" ht="15.75" thickBot="1">
      <c r="A21" s="14" t="s">
        <v>2208</v>
      </c>
      <c r="B21" s="14">
        <v>-101.38829565849757</v>
      </c>
      <c r="C21" s="14">
        <v>17.691187263084981</v>
      </c>
      <c r="D21" s="14">
        <v>-5.7310057347059891</v>
      </c>
      <c r="E21" s="14">
        <v>6.6252674361176833E-6</v>
      </c>
      <c r="F21" s="14">
        <v>-137.90111160427071</v>
      </c>
      <c r="G21" s="14">
        <v>-64.875479712724427</v>
      </c>
    </row>
    <row r="35" spans="7:7">
      <c r="G35" t="s">
        <v>1906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R155"/>
  <sheetViews>
    <sheetView zoomScale="75" zoomScaleNormal="75" workbookViewId="0">
      <pane xSplit="1" ySplit="4" topLeftCell="AL52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D97"/>
    </sheetView>
  </sheetViews>
  <sheetFormatPr defaultRowHeight="15"/>
  <cols>
    <col min="1" max="1" width="6.7109375" customWidth="1"/>
    <col min="2" max="3" width="10.28515625" customWidth="1"/>
    <col min="4" max="4" width="10.28515625" style="3" customWidth="1"/>
    <col min="5" max="7" width="9.42578125" style="3" bestFit="1" customWidth="1"/>
    <col min="8" max="8" width="9.85546875" style="3" bestFit="1" customWidth="1"/>
    <col min="9" max="9" width="9.42578125" style="9" bestFit="1" customWidth="1"/>
    <col min="10" max="10" width="9.85546875" style="44" bestFit="1" customWidth="1"/>
    <col min="11" max="11" width="9.140625" style="9" customWidth="1"/>
    <col min="12" max="14" width="9.140625" style="3" customWidth="1"/>
    <col min="15" max="15" width="9.7109375" style="24" customWidth="1"/>
    <col min="16" max="16" width="11.5703125" style="44" customWidth="1"/>
    <col min="17" max="17" width="9" style="44" customWidth="1"/>
    <col min="18" max="18" width="9" style="45" customWidth="1"/>
    <col min="19" max="19" width="8.7109375" style="9" customWidth="1"/>
    <col min="20" max="22" width="9.42578125" style="3" bestFit="1" customWidth="1"/>
    <col min="23" max="23" width="10.28515625" style="24" customWidth="1"/>
    <col min="24" max="24" width="9.28515625" style="9" bestFit="1" customWidth="1"/>
    <col min="25" max="25" width="9.42578125" style="9" bestFit="1" customWidth="1"/>
    <col min="26" max="26" width="9.28515625" style="9" bestFit="1" customWidth="1"/>
    <col min="27" max="27" width="10" style="9" customWidth="1"/>
    <col min="28" max="28" width="8.85546875" style="9" customWidth="1"/>
    <col min="29" max="29" width="9.28515625" style="3" bestFit="1" customWidth="1"/>
    <col min="30" max="36" width="9.140625" style="3"/>
    <col min="40" max="40" width="8.7109375" style="2" customWidth="1"/>
    <col min="41" max="41" width="8.5703125" style="2" customWidth="1"/>
    <col min="42" max="42" width="8" style="2" customWidth="1"/>
    <col min="43" max="43" width="8.5703125" style="2" customWidth="1"/>
    <col min="44" max="44" width="9" style="2" customWidth="1"/>
    <col min="45" max="45" width="1.140625" style="12" customWidth="1"/>
    <col min="46" max="46" width="8.42578125" style="12" customWidth="1"/>
    <col min="47" max="47" width="1.140625" style="12" customWidth="1"/>
    <col min="48" max="49" width="9.42578125" customWidth="1"/>
    <col min="50" max="50" width="9.28515625" customWidth="1"/>
    <col min="51" max="51" width="9.140625" customWidth="1"/>
    <col min="52" max="52" width="9.28515625" customWidth="1"/>
    <col min="53" max="53" width="10.140625" style="9" customWidth="1"/>
    <col min="54" max="54" width="5.7109375" style="12" customWidth="1"/>
    <col min="55" max="55" width="5.42578125" style="12" customWidth="1"/>
    <col min="56" max="56" width="5.42578125" customWidth="1"/>
    <col min="57" max="57" width="5.7109375" style="12" customWidth="1"/>
    <col min="58" max="58" width="10.7109375" customWidth="1"/>
  </cols>
  <sheetData>
    <row r="1" spans="1:60">
      <c r="A1" s="23" t="s">
        <v>186</v>
      </c>
      <c r="B1" s="23"/>
      <c r="C1" s="23"/>
      <c r="G1" s="6"/>
      <c r="I1" s="2" t="s">
        <v>258</v>
      </c>
      <c r="AN1" s="2" t="s">
        <v>258</v>
      </c>
      <c r="AV1" s="2" t="s">
        <v>2042</v>
      </c>
      <c r="BG1" s="2"/>
    </row>
    <row r="2" spans="1:60">
      <c r="D2" s="3" t="s">
        <v>45</v>
      </c>
      <c r="F2" s="3" t="s">
        <v>46</v>
      </c>
      <c r="H2" s="3" t="s">
        <v>169</v>
      </c>
      <c r="I2" s="9" t="s">
        <v>169</v>
      </c>
      <c r="J2" s="9" t="s">
        <v>169</v>
      </c>
      <c r="K2" s="9" t="s">
        <v>169</v>
      </c>
      <c r="N2" s="24" t="s">
        <v>186</v>
      </c>
      <c r="P2" s="45" t="s">
        <v>186</v>
      </c>
      <c r="Q2" s="47" t="s">
        <v>142</v>
      </c>
      <c r="S2" s="45" t="s">
        <v>186</v>
      </c>
      <c r="X2" s="45" t="s">
        <v>186</v>
      </c>
      <c r="Y2" s="45" t="s">
        <v>186</v>
      </c>
      <c r="Z2" s="45" t="s">
        <v>186</v>
      </c>
      <c r="AA2" s="45" t="s">
        <v>186</v>
      </c>
      <c r="AB2" s="45" t="s">
        <v>186</v>
      </c>
      <c r="AC2" s="3" t="s">
        <v>113</v>
      </c>
    </row>
    <row r="3" spans="1:60">
      <c r="B3" t="s">
        <v>182</v>
      </c>
      <c r="C3" t="s">
        <v>218</v>
      </c>
      <c r="D3" s="24" t="s">
        <v>186</v>
      </c>
      <c r="F3" s="24" t="s">
        <v>186</v>
      </c>
      <c r="H3" s="24" t="s">
        <v>186</v>
      </c>
      <c r="I3" s="45" t="s">
        <v>186</v>
      </c>
      <c r="J3" s="45" t="s">
        <v>186</v>
      </c>
      <c r="K3" s="45" t="s">
        <v>186</v>
      </c>
      <c r="L3" s="3" t="s">
        <v>25</v>
      </c>
      <c r="M3" s="3" t="s">
        <v>169</v>
      </c>
      <c r="N3" s="3" t="s">
        <v>5</v>
      </c>
      <c r="P3" s="47" t="s">
        <v>133</v>
      </c>
      <c r="Q3" s="47" t="s">
        <v>133</v>
      </c>
      <c r="S3" s="9" t="s">
        <v>128</v>
      </c>
      <c r="X3" s="9" t="s">
        <v>61</v>
      </c>
      <c r="Y3" s="9" t="s">
        <v>61</v>
      </c>
      <c r="Z3" s="9" t="s">
        <v>61</v>
      </c>
      <c r="AA3" s="9" t="s">
        <v>61</v>
      </c>
      <c r="AB3" s="47" t="s">
        <v>61</v>
      </c>
      <c r="AC3" s="3" t="s">
        <v>61</v>
      </c>
      <c r="AM3" s="46" t="s">
        <v>2103</v>
      </c>
      <c r="AN3" s="46" t="s">
        <v>1854</v>
      </c>
      <c r="AO3" s="46" t="s">
        <v>1854</v>
      </c>
      <c r="AP3" s="46" t="s">
        <v>1854</v>
      </c>
      <c r="AQ3" s="46" t="s">
        <v>1854</v>
      </c>
      <c r="AR3" s="46" t="s">
        <v>1854</v>
      </c>
      <c r="AS3" s="3"/>
      <c r="AT3" s="46"/>
      <c r="AU3" s="3"/>
      <c r="AV3" s="46" t="s">
        <v>2126</v>
      </c>
      <c r="AW3" s="46" t="s">
        <v>2126</v>
      </c>
      <c r="AX3" s="46" t="s">
        <v>2126</v>
      </c>
      <c r="AY3" s="46" t="s">
        <v>2126</v>
      </c>
      <c r="AZ3" s="46" t="s">
        <v>2126</v>
      </c>
      <c r="BA3" s="46" t="s">
        <v>2127</v>
      </c>
      <c r="BB3" s="46" t="s">
        <v>2098</v>
      </c>
      <c r="BC3" s="46" t="s">
        <v>2098</v>
      </c>
      <c r="BD3" s="46" t="s">
        <v>2098</v>
      </c>
      <c r="BE3" s="44"/>
      <c r="BG3" s="46" t="s">
        <v>2451</v>
      </c>
      <c r="BH3" s="46" t="s">
        <v>2451</v>
      </c>
    </row>
    <row r="4" spans="1:60">
      <c r="A4" t="s">
        <v>2103</v>
      </c>
      <c r="B4" t="s">
        <v>227</v>
      </c>
      <c r="C4" t="s">
        <v>42</v>
      </c>
      <c r="D4" s="3" t="s">
        <v>6</v>
      </c>
      <c r="E4" s="3" t="s">
        <v>42</v>
      </c>
      <c r="F4" s="3" t="s">
        <v>6</v>
      </c>
      <c r="G4" s="3" t="s">
        <v>11</v>
      </c>
      <c r="H4" s="3" t="s">
        <v>6</v>
      </c>
      <c r="I4" s="46" t="s">
        <v>110</v>
      </c>
      <c r="J4" s="47" t="s">
        <v>135</v>
      </c>
      <c r="K4" s="46" t="s">
        <v>8</v>
      </c>
      <c r="L4" s="3" t="s">
        <v>9</v>
      </c>
      <c r="M4" s="35" t="s">
        <v>145</v>
      </c>
      <c r="N4" s="3" t="s">
        <v>10</v>
      </c>
      <c r="P4" s="47" t="s">
        <v>101</v>
      </c>
      <c r="Q4" s="47" t="s">
        <v>103</v>
      </c>
      <c r="S4" s="13" t="s">
        <v>229</v>
      </c>
      <c r="T4" s="3" t="s">
        <v>126</v>
      </c>
      <c r="U4" s="3" t="s">
        <v>126</v>
      </c>
      <c r="V4" s="3" t="s">
        <v>126</v>
      </c>
      <c r="X4" s="9" t="s">
        <v>109</v>
      </c>
      <c r="Y4" s="9" t="s">
        <v>111</v>
      </c>
      <c r="Z4" s="9" t="s">
        <v>152</v>
      </c>
      <c r="AA4" s="9" t="s">
        <v>112</v>
      </c>
      <c r="AB4" s="47" t="s">
        <v>87</v>
      </c>
      <c r="AC4" s="3" t="s">
        <v>87</v>
      </c>
      <c r="AM4" s="46"/>
      <c r="AN4" s="46" t="s">
        <v>131</v>
      </c>
      <c r="AO4" s="46" t="s">
        <v>111</v>
      </c>
      <c r="AP4" s="46" t="s">
        <v>112</v>
      </c>
      <c r="AQ4" s="46" t="s">
        <v>67</v>
      </c>
      <c r="AR4" s="46" t="s">
        <v>133</v>
      </c>
      <c r="AS4" s="3"/>
      <c r="AT4" s="139" t="s">
        <v>237</v>
      </c>
      <c r="AU4" s="3"/>
      <c r="AV4" s="46" t="s">
        <v>131</v>
      </c>
      <c r="AW4" s="46" t="s">
        <v>2097</v>
      </c>
      <c r="AX4" s="46" t="s">
        <v>67</v>
      </c>
      <c r="AY4" s="46" t="s">
        <v>133</v>
      </c>
      <c r="AZ4" s="46" t="s">
        <v>2097</v>
      </c>
      <c r="BA4" s="46" t="s">
        <v>1943</v>
      </c>
      <c r="BB4" s="46">
        <v>9807</v>
      </c>
      <c r="BC4" s="46" t="s">
        <v>293</v>
      </c>
      <c r="BD4" s="46">
        <v>6596</v>
      </c>
      <c r="BE4" s="44"/>
      <c r="BG4" s="46" t="s">
        <v>131</v>
      </c>
      <c r="BH4" s="46" t="s">
        <v>2097</v>
      </c>
    </row>
    <row r="5" spans="1:60">
      <c r="A5">
        <v>1926</v>
      </c>
      <c r="AM5">
        <v>1926</v>
      </c>
    </row>
    <row r="6" spans="1:60">
      <c r="A6">
        <v>1927</v>
      </c>
      <c r="AM6">
        <v>1927</v>
      </c>
    </row>
    <row r="7" spans="1:60">
      <c r="A7">
        <v>1928</v>
      </c>
      <c r="AM7">
        <v>1928</v>
      </c>
    </row>
    <row r="8" spans="1:60">
      <c r="A8">
        <v>1929</v>
      </c>
      <c r="AM8">
        <v>1929</v>
      </c>
    </row>
    <row r="9" spans="1:60">
      <c r="A9">
        <v>1930</v>
      </c>
      <c r="AM9">
        <v>1930</v>
      </c>
    </row>
    <row r="10" spans="1:60">
      <c r="A10">
        <v>1931</v>
      </c>
      <c r="AM10">
        <v>1931</v>
      </c>
    </row>
    <row r="11" spans="1:60">
      <c r="A11">
        <v>1932</v>
      </c>
      <c r="AM11">
        <v>1932</v>
      </c>
    </row>
    <row r="12" spans="1:60">
      <c r="A12">
        <v>1933</v>
      </c>
      <c r="AM12">
        <v>1933</v>
      </c>
    </row>
    <row r="13" spans="1:60">
      <c r="A13">
        <v>1934</v>
      </c>
      <c r="AM13">
        <v>1934</v>
      </c>
    </row>
    <row r="14" spans="1:60">
      <c r="A14">
        <v>1935</v>
      </c>
      <c r="AM14">
        <v>1935</v>
      </c>
    </row>
    <row r="15" spans="1:60">
      <c r="A15">
        <v>1936</v>
      </c>
      <c r="AM15">
        <v>1936</v>
      </c>
    </row>
    <row r="16" spans="1:60">
      <c r="A16">
        <v>1937</v>
      </c>
      <c r="AM16">
        <v>1937</v>
      </c>
    </row>
    <row r="17" spans="1:39">
      <c r="A17">
        <v>1938</v>
      </c>
      <c r="AM17">
        <v>1938</v>
      </c>
    </row>
    <row r="18" spans="1:39">
      <c r="A18">
        <v>1939</v>
      </c>
      <c r="AM18">
        <v>1939</v>
      </c>
    </row>
    <row r="19" spans="1:39">
      <c r="A19">
        <v>1940</v>
      </c>
      <c r="AM19">
        <v>1940</v>
      </c>
    </row>
    <row r="20" spans="1:39">
      <c r="A20">
        <v>1941</v>
      </c>
      <c r="AM20">
        <v>1941</v>
      </c>
    </row>
    <row r="21" spans="1:39">
      <c r="A21">
        <v>1942</v>
      </c>
      <c r="AM21">
        <v>1942</v>
      </c>
    </row>
    <row r="22" spans="1:39">
      <c r="A22">
        <v>1943</v>
      </c>
      <c r="AM22">
        <v>1943</v>
      </c>
    </row>
    <row r="23" spans="1:39">
      <c r="A23">
        <v>1944</v>
      </c>
      <c r="AM23">
        <v>1944</v>
      </c>
    </row>
    <row r="24" spans="1:39">
      <c r="A24">
        <v>1945</v>
      </c>
      <c r="AM24">
        <v>1945</v>
      </c>
    </row>
    <row r="25" spans="1:39">
      <c r="A25">
        <v>1946</v>
      </c>
      <c r="AM25">
        <v>1946</v>
      </c>
    </row>
    <row r="26" spans="1:39">
      <c r="A26">
        <v>1947</v>
      </c>
      <c r="AM26">
        <v>1947</v>
      </c>
    </row>
    <row r="27" spans="1:39">
      <c r="A27">
        <v>1948</v>
      </c>
      <c r="AM27">
        <v>1948</v>
      </c>
    </row>
    <row r="28" spans="1:39">
      <c r="A28">
        <v>1949</v>
      </c>
      <c r="AM28">
        <v>1949</v>
      </c>
    </row>
    <row r="29" spans="1:39">
      <c r="A29">
        <v>1950</v>
      </c>
      <c r="AM29">
        <v>1950</v>
      </c>
    </row>
    <row r="30" spans="1:39">
      <c r="A30">
        <v>1951</v>
      </c>
      <c r="AM30">
        <v>1951</v>
      </c>
    </row>
    <row r="31" spans="1:39">
      <c r="A31">
        <v>1952</v>
      </c>
      <c r="AM31">
        <v>1952</v>
      </c>
    </row>
    <row r="32" spans="1:39">
      <c r="A32">
        <v>1953</v>
      </c>
      <c r="AM32">
        <v>1953</v>
      </c>
    </row>
    <row r="33" spans="1:60">
      <c r="A33">
        <v>1954</v>
      </c>
      <c r="AM33">
        <v>1954</v>
      </c>
    </row>
    <row r="34" spans="1:60">
      <c r="A34">
        <v>1955</v>
      </c>
      <c r="AM34">
        <v>1955</v>
      </c>
    </row>
    <row r="35" spans="1:60">
      <c r="A35">
        <v>1956</v>
      </c>
      <c r="AM35">
        <v>1956</v>
      </c>
    </row>
    <row r="36" spans="1:60">
      <c r="A36">
        <v>1957</v>
      </c>
      <c r="AM36">
        <v>1957</v>
      </c>
    </row>
    <row r="37" spans="1:60">
      <c r="A37">
        <v>1958</v>
      </c>
      <c r="AM37">
        <v>1958</v>
      </c>
    </row>
    <row r="38" spans="1:60">
      <c r="A38">
        <v>1959</v>
      </c>
      <c r="AM38">
        <v>1959</v>
      </c>
    </row>
    <row r="39" spans="1:60">
      <c r="A39">
        <v>1960</v>
      </c>
      <c r="AM39">
        <v>1960</v>
      </c>
    </row>
    <row r="40" spans="1:60">
      <c r="A40">
        <v>1961</v>
      </c>
      <c r="AM40">
        <v>1961</v>
      </c>
    </row>
    <row r="41" spans="1:60">
      <c r="A41">
        <v>1962</v>
      </c>
      <c r="AM41">
        <v>1962</v>
      </c>
    </row>
    <row r="42" spans="1:60">
      <c r="A42">
        <v>1963</v>
      </c>
      <c r="AJ42" s="3" t="s">
        <v>174</v>
      </c>
      <c r="AM42" s="46" t="s">
        <v>2103</v>
      </c>
      <c r="AN42" s="46" t="s">
        <v>1854</v>
      </c>
      <c r="AO42" s="46" t="s">
        <v>1854</v>
      </c>
      <c r="AP42" s="46" t="s">
        <v>1854</v>
      </c>
      <c r="AQ42" s="46" t="s">
        <v>1854</v>
      </c>
      <c r="AR42" s="46" t="s">
        <v>1854</v>
      </c>
      <c r="AS42" s="3"/>
      <c r="AT42" s="46"/>
      <c r="AU42" s="3"/>
      <c r="AV42" s="46" t="s">
        <v>2126</v>
      </c>
      <c r="AW42" s="46" t="s">
        <v>2126</v>
      </c>
      <c r="AX42" s="46" t="s">
        <v>2126</v>
      </c>
      <c r="AY42" s="46" t="s">
        <v>2126</v>
      </c>
      <c r="AZ42" s="46" t="s">
        <v>2126</v>
      </c>
      <c r="BA42" s="46" t="s">
        <v>2127</v>
      </c>
      <c r="BB42" s="46" t="s">
        <v>2098</v>
      </c>
      <c r="BC42" s="46" t="s">
        <v>2098</v>
      </c>
      <c r="BD42" s="46" t="s">
        <v>2098</v>
      </c>
      <c r="BE42" s="44"/>
      <c r="BG42" s="46" t="s">
        <v>2451</v>
      </c>
      <c r="BH42" s="46" t="s">
        <v>2451</v>
      </c>
    </row>
    <row r="43" spans="1:60">
      <c r="A43">
        <v>1964</v>
      </c>
      <c r="AM43" s="46"/>
      <c r="AN43" s="46" t="s">
        <v>131</v>
      </c>
      <c r="AO43" s="46" t="s">
        <v>111</v>
      </c>
      <c r="AP43" s="46" t="s">
        <v>112</v>
      </c>
      <c r="AQ43" s="46" t="s">
        <v>67</v>
      </c>
      <c r="AR43" s="46" t="s">
        <v>133</v>
      </c>
      <c r="AS43" s="3"/>
      <c r="AT43" s="139" t="s">
        <v>237</v>
      </c>
      <c r="AU43" s="3"/>
      <c r="AV43" s="46" t="s">
        <v>131</v>
      </c>
      <c r="AW43" s="46" t="s">
        <v>2097</v>
      </c>
      <c r="AX43" s="46" t="s">
        <v>67</v>
      </c>
      <c r="AY43" s="46" t="s">
        <v>133</v>
      </c>
      <c r="AZ43" s="46" t="s">
        <v>2097</v>
      </c>
      <c r="BA43" s="46" t="s">
        <v>1943</v>
      </c>
      <c r="BB43" s="46">
        <v>9807</v>
      </c>
      <c r="BC43" s="46" t="s">
        <v>293</v>
      </c>
      <c r="BD43" s="46">
        <v>6596</v>
      </c>
      <c r="BE43" s="44"/>
      <c r="BG43" s="46" t="s">
        <v>131</v>
      </c>
      <c r="BH43" s="46" t="s">
        <v>2097</v>
      </c>
    </row>
    <row r="44" spans="1:60">
      <c r="A44">
        <v>1965</v>
      </c>
      <c r="B44" s="3">
        <f>I44/G44*100/C44*100</f>
        <v>74.231850610786594</v>
      </c>
      <c r="C44" s="3">
        <f t="shared" ref="C44:C87" si="0">E44/E$89*100</f>
        <v>14.459024846529534</v>
      </c>
      <c r="E44" s="3">
        <v>20.692699999999999</v>
      </c>
      <c r="F44" s="3">
        <f>D44*E44/100</f>
        <v>0</v>
      </c>
      <c r="G44" s="3">
        <v>275</v>
      </c>
      <c r="H44" s="3">
        <f>F44*G44</f>
        <v>0</v>
      </c>
      <c r="I44" s="48">
        <f t="shared" ref="I44:I67" si="1">AN44</f>
        <v>29.516304740593878</v>
      </c>
      <c r="P44" s="44">
        <f t="shared" ref="P44:P78" si="2">I44-AB44</f>
        <v>20.661413318415715</v>
      </c>
      <c r="Q44" s="44">
        <f t="shared" ref="Q44:Q89" si="3">Q$103+Q$104*S44+Q$105*T44+Q$106*U44+Q$107*V44</f>
        <v>109.57170811492666</v>
      </c>
      <c r="S44" s="9">
        <f>USA!Z52*G44</f>
        <v>907.5</v>
      </c>
      <c r="U44" s="3">
        <v>3</v>
      </c>
      <c r="X44" s="6">
        <v>0.3</v>
      </c>
      <c r="Y44" s="48">
        <f t="shared" ref="Y44:Y68" si="4">AB44-AA44</f>
        <v>6.1715909912150835</v>
      </c>
      <c r="Z44" s="6">
        <v>0.1</v>
      </c>
      <c r="AA44" s="48">
        <f t="shared" ref="AA44:AA78" si="5">Z44*(I44*(1/(1+Z44)))</f>
        <v>2.6833004309630799</v>
      </c>
      <c r="AB44" s="48">
        <f>I44*X44</f>
        <v>8.8548914221781629</v>
      </c>
      <c r="AM44">
        <v>1965</v>
      </c>
      <c r="AN44" s="3">
        <f t="shared" ref="AN44:AN67" si="6">AW44*AT44/100</f>
        <v>29.516304740593878</v>
      </c>
      <c r="AO44" s="3">
        <f>Y44</f>
        <v>6.1715909912150835</v>
      </c>
      <c r="AP44" s="3">
        <f>AA44</f>
        <v>2.6833004309630799</v>
      </c>
      <c r="AQ44" s="3">
        <f>AB44</f>
        <v>8.8548914221781629</v>
      </c>
      <c r="AR44" s="3">
        <f t="shared" ref="AR44:AR75" si="7">AN44-AQ44</f>
        <v>20.661413318415715</v>
      </c>
      <c r="AS44" s="7"/>
      <c r="AT44" s="7">
        <v>3.021998955151608</v>
      </c>
      <c r="AU44" s="7"/>
      <c r="AV44" s="3">
        <f t="shared" ref="AV44:AV75" si="8">AN44/$AT44*100</f>
        <v>976.71459119062138</v>
      </c>
      <c r="AW44" s="3">
        <f>AZ44+AX44</f>
        <v>976.71459119062138</v>
      </c>
      <c r="AX44" s="3">
        <f t="shared" ref="AX44:AX67" si="9">AX$69</f>
        <v>488.09747106560366</v>
      </c>
      <c r="AY44" s="3">
        <f t="shared" ref="AY44:AY68" si="10">AV44-AX44</f>
        <v>488.61712012501772</v>
      </c>
      <c r="AZ44" s="3">
        <f t="shared" ref="AZ44:AZ75" si="11">AW$99+AW$100*BA44+AW$101*BB44+AW$102*BC44+AW$103*BD44</f>
        <v>488.61712012501766</v>
      </c>
      <c r="BA44" s="9">
        <f t="shared" ref="BA44:BA75" si="12">S44/AT44*100</f>
        <v>30029.791984308362</v>
      </c>
      <c r="BB44" s="12">
        <v>0</v>
      </c>
      <c r="BC44" s="12">
        <v>0</v>
      </c>
      <c r="BD44" s="23">
        <v>1</v>
      </c>
      <c r="BG44" s="3">
        <f t="shared" ref="BG44:BG96" si="13">AV44*$AT$97/$AT$89</f>
        <v>1119.8135761832873</v>
      </c>
      <c r="BH44" s="3">
        <f t="shared" ref="BH44:BH96" si="14">AW44*$AT$97/$AT$89</f>
        <v>1119.8135761832873</v>
      </c>
    </row>
    <row r="45" spans="1:60">
      <c r="A45">
        <v>1966</v>
      </c>
      <c r="B45" s="3">
        <f t="shared" ref="B45:B88" si="15">I45/G45*100/C45*100</f>
        <v>79.513858329668224</v>
      </c>
      <c r="C45" s="3">
        <f t="shared" si="0"/>
        <v>14.891495218110531</v>
      </c>
      <c r="E45" s="3">
        <v>21.311620000000001</v>
      </c>
      <c r="F45" s="3">
        <f t="shared" ref="F45:F78" si="16">D45*E45/100</f>
        <v>0</v>
      </c>
      <c r="G45" s="3">
        <v>271.33999999999992</v>
      </c>
      <c r="H45" s="3">
        <f t="shared" ref="H45:H78" si="17">F45*G45</f>
        <v>0</v>
      </c>
      <c r="I45" s="48">
        <f t="shared" si="1"/>
        <v>32.128833261729881</v>
      </c>
      <c r="P45" s="44">
        <f t="shared" si="2"/>
        <v>22.233152617117078</v>
      </c>
      <c r="Q45" s="44">
        <f t="shared" si="3"/>
        <v>109.49081086161864</v>
      </c>
      <c r="S45" s="9">
        <f>USA!Z53*G45</f>
        <v>895.42199999999968</v>
      </c>
      <c r="U45" s="3">
        <v>3</v>
      </c>
      <c r="X45" s="6">
        <f>X44+(X$69-X$44)/25</f>
        <v>0.308</v>
      </c>
      <c r="Y45" s="48">
        <f t="shared" si="4"/>
        <v>6.9748776208191767</v>
      </c>
      <c r="Z45" s="6">
        <v>0.1</v>
      </c>
      <c r="AA45" s="48">
        <f t="shared" si="5"/>
        <v>2.9208030237936256</v>
      </c>
      <c r="AB45" s="48">
        <f t="shared" ref="AB45:AB68" si="18">I45*X45</f>
        <v>9.8956806446128027</v>
      </c>
      <c r="AM45">
        <v>1966</v>
      </c>
      <c r="AN45" s="3">
        <f t="shared" si="6"/>
        <v>32.128833261729881</v>
      </c>
      <c r="AO45" s="3">
        <f t="shared" ref="AO45:AO96" si="19">Y45</f>
        <v>6.9748776208191767</v>
      </c>
      <c r="AP45" s="3">
        <f t="shared" ref="AP45:AP96" si="20">AA45</f>
        <v>2.9208030237936256</v>
      </c>
      <c r="AQ45" s="3">
        <f t="shared" ref="AQ45:AQ76" si="21">AB45</f>
        <v>9.8956806446128027</v>
      </c>
      <c r="AR45" s="3">
        <f t="shared" si="7"/>
        <v>22.233152617117078</v>
      </c>
      <c r="AS45" s="7"/>
      <c r="AT45" s="7">
        <v>3.3623180432871553</v>
      </c>
      <c r="AU45" s="7"/>
      <c r="AV45" s="3">
        <f t="shared" si="8"/>
        <v>955.55604342292588</v>
      </c>
      <c r="AW45" s="3">
        <f t="shared" ref="AW45:AW96" si="22">AZ45+AX45</f>
        <v>955.55604342292577</v>
      </c>
      <c r="AX45" s="3">
        <f t="shared" si="9"/>
        <v>488.09747106560366</v>
      </c>
      <c r="AY45" s="3">
        <f t="shared" si="10"/>
        <v>467.45857235732223</v>
      </c>
      <c r="AZ45" s="3">
        <f t="shared" si="11"/>
        <v>467.45857235732205</v>
      </c>
      <c r="BA45" s="9">
        <f t="shared" si="12"/>
        <v>26631.091659746569</v>
      </c>
      <c r="BB45" s="12">
        <v>0</v>
      </c>
      <c r="BC45" s="12">
        <v>0</v>
      </c>
      <c r="BD45" s="23">
        <v>1</v>
      </c>
      <c r="BG45" s="3">
        <f t="shared" si="13"/>
        <v>1095.5550780956266</v>
      </c>
      <c r="BH45" s="3">
        <f t="shared" si="14"/>
        <v>1095.5550780956264</v>
      </c>
    </row>
    <row r="46" spans="1:60">
      <c r="A46">
        <v>1967</v>
      </c>
      <c r="B46" s="3">
        <f t="shared" si="15"/>
        <v>84.539953775451011</v>
      </c>
      <c r="C46" s="3">
        <f t="shared" si="0"/>
        <v>15.30482682623647</v>
      </c>
      <c r="E46" s="3">
        <v>21.90315</v>
      </c>
      <c r="F46" s="3">
        <f t="shared" si="16"/>
        <v>0</v>
      </c>
      <c r="G46" s="3">
        <v>270.52</v>
      </c>
      <c r="H46" s="3">
        <f t="shared" si="17"/>
        <v>0</v>
      </c>
      <c r="I46" s="48">
        <f t="shared" si="1"/>
        <v>35.001753721971902</v>
      </c>
      <c r="P46" s="44">
        <f t="shared" si="2"/>
        <v>23.941199545828781</v>
      </c>
      <c r="Q46" s="44">
        <f t="shared" si="3"/>
        <v>109.47268634038569</v>
      </c>
      <c r="S46" s="9">
        <f>USA!Z54*G46</f>
        <v>892.71599999999989</v>
      </c>
      <c r="U46" s="3">
        <v>3</v>
      </c>
      <c r="X46" s="6">
        <f t="shared" ref="X46:X67" si="23">X45+(X$69-X$44)/25</f>
        <v>0.316</v>
      </c>
      <c r="Y46" s="48">
        <f t="shared" si="4"/>
        <v>7.8785765650547663</v>
      </c>
      <c r="Z46" s="6">
        <v>0.1</v>
      </c>
      <c r="AA46" s="48">
        <f t="shared" si="5"/>
        <v>3.1819776110883549</v>
      </c>
      <c r="AB46" s="48">
        <f t="shared" si="18"/>
        <v>11.060554176143121</v>
      </c>
      <c r="AM46">
        <v>1967</v>
      </c>
      <c r="AN46" s="3">
        <f t="shared" si="6"/>
        <v>35.001753721971902</v>
      </c>
      <c r="AO46" s="3">
        <f t="shared" si="19"/>
        <v>7.8785765650547663</v>
      </c>
      <c r="AP46" s="3">
        <f t="shared" si="20"/>
        <v>3.1819776110883549</v>
      </c>
      <c r="AQ46" s="3">
        <f t="shared" si="21"/>
        <v>11.060554176143121</v>
      </c>
      <c r="AR46" s="3">
        <f t="shared" si="7"/>
        <v>23.941199545828781</v>
      </c>
      <c r="AS46" s="7"/>
      <c r="AT46" s="7">
        <v>3.7282202869570544</v>
      </c>
      <c r="AU46" s="7"/>
      <c r="AV46" s="3">
        <f t="shared" si="8"/>
        <v>938.83276812862562</v>
      </c>
      <c r="AW46" s="3">
        <f t="shared" si="22"/>
        <v>938.8327681286255</v>
      </c>
      <c r="AX46" s="3">
        <f t="shared" si="9"/>
        <v>488.09747106560366</v>
      </c>
      <c r="AY46" s="3">
        <f t="shared" si="10"/>
        <v>450.73529706302196</v>
      </c>
      <c r="AZ46" s="3">
        <f t="shared" si="11"/>
        <v>450.73529706302179</v>
      </c>
      <c r="BA46" s="9">
        <f t="shared" si="12"/>
        <v>23944.829738819648</v>
      </c>
      <c r="BB46" s="12">
        <v>0</v>
      </c>
      <c r="BC46" s="12">
        <v>0</v>
      </c>
      <c r="BD46" s="23">
        <v>1</v>
      </c>
      <c r="BG46" s="3">
        <f t="shared" si="13"/>
        <v>1076.3816666592522</v>
      </c>
      <c r="BH46" s="3">
        <f t="shared" si="14"/>
        <v>1076.381666659252</v>
      </c>
    </row>
    <row r="47" spans="1:60">
      <c r="A47">
        <v>1968</v>
      </c>
      <c r="B47" s="3">
        <f t="shared" si="15"/>
        <v>86.794209020539569</v>
      </c>
      <c r="C47" s="3">
        <f t="shared" si="0"/>
        <v>15.950346083448959</v>
      </c>
      <c r="E47" s="3">
        <v>22.826969999999999</v>
      </c>
      <c r="F47" s="3">
        <f t="shared" si="16"/>
        <v>0</v>
      </c>
      <c r="G47" s="3">
        <v>276.64999999999998</v>
      </c>
      <c r="H47" s="3">
        <f t="shared" si="17"/>
        <v>0</v>
      </c>
      <c r="I47" s="48">
        <f t="shared" si="1"/>
        <v>38.299361593578645</v>
      </c>
      <c r="P47" s="44">
        <f t="shared" si="2"/>
        <v>25.890368437259163</v>
      </c>
      <c r="Q47" s="44">
        <f t="shared" si="3"/>
        <v>109.60817818813929</v>
      </c>
      <c r="S47" s="9">
        <f>USA!Z55*G47</f>
        <v>912.94499999999982</v>
      </c>
      <c r="U47" s="3">
        <v>3</v>
      </c>
      <c r="X47" s="6">
        <f t="shared" si="23"/>
        <v>0.32400000000000001</v>
      </c>
      <c r="Y47" s="48">
        <f t="shared" si="4"/>
        <v>8.9272330114486955</v>
      </c>
      <c r="Z47" s="6">
        <v>0.1</v>
      </c>
      <c r="AA47" s="48">
        <f t="shared" si="5"/>
        <v>3.4817601448707856</v>
      </c>
      <c r="AB47" s="48">
        <f t="shared" si="18"/>
        <v>12.408993156319481</v>
      </c>
      <c r="AM47">
        <v>1968</v>
      </c>
      <c r="AN47" s="3">
        <f t="shared" si="6"/>
        <v>38.299361593578645</v>
      </c>
      <c r="AO47" s="3">
        <f t="shared" si="19"/>
        <v>8.9272330114486955</v>
      </c>
      <c r="AP47" s="3">
        <f t="shared" si="20"/>
        <v>3.4817601448707856</v>
      </c>
      <c r="AQ47" s="3">
        <f t="shared" si="21"/>
        <v>12.408993156319481</v>
      </c>
      <c r="AR47" s="3">
        <f t="shared" si="7"/>
        <v>25.890368437259163</v>
      </c>
      <c r="AS47" s="7"/>
      <c r="AT47" s="7">
        <v>4.129817465471552</v>
      </c>
      <c r="AU47" s="7"/>
      <c r="AV47" s="3">
        <f t="shared" si="8"/>
        <v>927.3863049345581</v>
      </c>
      <c r="AW47" s="3">
        <f t="shared" si="22"/>
        <v>927.38630493455798</v>
      </c>
      <c r="AX47" s="3">
        <f t="shared" si="9"/>
        <v>488.09747106560366</v>
      </c>
      <c r="AY47" s="3">
        <f t="shared" si="10"/>
        <v>439.28883386895444</v>
      </c>
      <c r="AZ47" s="3">
        <f t="shared" si="11"/>
        <v>439.28883386895438</v>
      </c>
      <c r="BA47" s="9">
        <f t="shared" si="12"/>
        <v>22106.182843017195</v>
      </c>
      <c r="BB47" s="12">
        <v>0</v>
      </c>
      <c r="BC47" s="12">
        <v>0</v>
      </c>
      <c r="BD47" s="23">
        <v>1</v>
      </c>
      <c r="BG47" s="3">
        <f t="shared" si="13"/>
        <v>1063.2581759285833</v>
      </c>
      <c r="BH47" s="3">
        <f t="shared" si="14"/>
        <v>1063.2581759285833</v>
      </c>
    </row>
    <row r="48" spans="1:60">
      <c r="A48">
        <v>1969</v>
      </c>
      <c r="B48" s="3">
        <f t="shared" si="15"/>
        <v>87.875517588215757</v>
      </c>
      <c r="C48" s="3">
        <f t="shared" si="0"/>
        <v>16.814008114047141</v>
      </c>
      <c r="E48" s="3">
        <v>24.06298</v>
      </c>
      <c r="F48" s="3">
        <f t="shared" si="16"/>
        <v>0</v>
      </c>
      <c r="G48" s="3">
        <v>288.16000000000003</v>
      </c>
      <c r="H48" s="3">
        <f t="shared" si="17"/>
        <v>0</v>
      </c>
      <c r="I48" s="48">
        <f t="shared" si="1"/>
        <v>42.576783008377404</v>
      </c>
      <c r="P48" s="44">
        <f t="shared" si="2"/>
        <v>28.441291049596103</v>
      </c>
      <c r="Q48" s="44">
        <f t="shared" si="3"/>
        <v>109.86258457764073</v>
      </c>
      <c r="S48" s="9">
        <f>USA!Z56*G48</f>
        <v>950.928</v>
      </c>
      <c r="U48" s="3">
        <v>3</v>
      </c>
      <c r="X48" s="6">
        <f t="shared" si="23"/>
        <v>0.33200000000000002</v>
      </c>
      <c r="Y48" s="48">
        <f t="shared" si="4"/>
        <v>10.264875321656081</v>
      </c>
      <c r="Z48" s="6">
        <v>0.1</v>
      </c>
      <c r="AA48" s="48">
        <f t="shared" si="5"/>
        <v>3.8706166371252189</v>
      </c>
      <c r="AB48" s="48">
        <f t="shared" si="18"/>
        <v>14.1354919587813</v>
      </c>
      <c r="AM48">
        <v>1969</v>
      </c>
      <c r="AN48" s="3">
        <f t="shared" si="6"/>
        <v>42.576783008377404</v>
      </c>
      <c r="AO48" s="3">
        <f t="shared" si="19"/>
        <v>10.264875321656081</v>
      </c>
      <c r="AP48" s="3">
        <f t="shared" si="20"/>
        <v>3.8706166371252189</v>
      </c>
      <c r="AQ48" s="3">
        <f t="shared" si="21"/>
        <v>14.1354919587813</v>
      </c>
      <c r="AR48" s="3">
        <f t="shared" si="7"/>
        <v>28.441291049596103</v>
      </c>
      <c r="AS48" s="7"/>
      <c r="AT48" s="7">
        <v>4.6414836782466296</v>
      </c>
      <c r="AU48" s="7"/>
      <c r="AV48" s="3">
        <f t="shared" si="8"/>
        <v>917.30976471862209</v>
      </c>
      <c r="AW48" s="3">
        <f t="shared" si="22"/>
        <v>917.30976471862209</v>
      </c>
      <c r="AX48" s="3">
        <f t="shared" si="9"/>
        <v>488.09747106560366</v>
      </c>
      <c r="AY48" s="3">
        <f t="shared" si="10"/>
        <v>429.21229365301843</v>
      </c>
      <c r="AZ48" s="3">
        <f t="shared" si="11"/>
        <v>429.21229365301849</v>
      </c>
      <c r="BA48" s="9">
        <f t="shared" si="12"/>
        <v>20487.586856261947</v>
      </c>
      <c r="BB48" s="12">
        <v>0</v>
      </c>
      <c r="BC48" s="12">
        <v>0</v>
      </c>
      <c r="BD48" s="23">
        <v>1</v>
      </c>
      <c r="BG48" s="3">
        <f t="shared" si="13"/>
        <v>1051.7053163352739</v>
      </c>
      <c r="BH48" s="3">
        <f t="shared" si="14"/>
        <v>1051.7053163352739</v>
      </c>
    </row>
    <row r="49" spans="1:60">
      <c r="A49">
        <v>1970</v>
      </c>
      <c r="B49" s="3">
        <f t="shared" si="15"/>
        <v>88.578853006569673</v>
      </c>
      <c r="C49" s="3">
        <f t="shared" si="0"/>
        <v>17.805240938511318</v>
      </c>
      <c r="E49" s="3">
        <v>25.481560000000002</v>
      </c>
      <c r="F49" s="3">
        <f t="shared" si="16"/>
        <v>0</v>
      </c>
      <c r="G49" s="3">
        <v>310.56</v>
      </c>
      <c r="H49" s="3">
        <f t="shared" si="17"/>
        <v>0</v>
      </c>
      <c r="I49" s="48">
        <f t="shared" si="1"/>
        <v>48.980523812918449</v>
      </c>
      <c r="P49" s="44">
        <f t="shared" si="2"/>
        <v>32.327145716526175</v>
      </c>
      <c r="Q49" s="44">
        <f t="shared" si="3"/>
        <v>110.46169846354037</v>
      </c>
      <c r="S49" s="9">
        <f>USA!Z57*G49</f>
        <v>1040.376</v>
      </c>
      <c r="U49" s="3">
        <v>3</v>
      </c>
      <c r="X49" s="6">
        <f t="shared" si="23"/>
        <v>0.34</v>
      </c>
      <c r="Y49" s="48">
        <f t="shared" si="4"/>
        <v>12.200603204308777</v>
      </c>
      <c r="Z49" s="6">
        <v>0.1</v>
      </c>
      <c r="AA49" s="48">
        <f t="shared" si="5"/>
        <v>4.4527748920834958</v>
      </c>
      <c r="AB49" s="48">
        <f t="shared" si="18"/>
        <v>16.653378096392274</v>
      </c>
      <c r="AM49">
        <v>1970</v>
      </c>
      <c r="AN49" s="3">
        <f t="shared" si="6"/>
        <v>48.980523812918449</v>
      </c>
      <c r="AO49" s="3">
        <f t="shared" si="19"/>
        <v>12.200603204308777</v>
      </c>
      <c r="AP49" s="3">
        <f t="shared" si="20"/>
        <v>4.4527748920834958</v>
      </c>
      <c r="AQ49" s="3">
        <f t="shared" si="21"/>
        <v>16.653378096392274</v>
      </c>
      <c r="AR49" s="3">
        <f t="shared" si="7"/>
        <v>32.327145716526175</v>
      </c>
      <c r="AS49" s="7"/>
      <c r="AT49" s="7">
        <v>5.3818161059714731</v>
      </c>
      <c r="AU49" s="7"/>
      <c r="AV49" s="3">
        <f t="shared" si="8"/>
        <v>910.1114354050743</v>
      </c>
      <c r="AW49" s="3">
        <f t="shared" si="22"/>
        <v>910.11143540507419</v>
      </c>
      <c r="AX49" s="3">
        <f t="shared" si="9"/>
        <v>488.09747106560366</v>
      </c>
      <c r="AY49" s="3">
        <f t="shared" si="10"/>
        <v>422.01396433947065</v>
      </c>
      <c r="AZ49" s="3">
        <f t="shared" si="11"/>
        <v>422.01396433947048</v>
      </c>
      <c r="BA49" s="9">
        <f t="shared" si="12"/>
        <v>19331.318267185598</v>
      </c>
      <c r="BB49" s="12">
        <v>0</v>
      </c>
      <c r="BC49" s="12">
        <v>0</v>
      </c>
      <c r="BD49" s="23">
        <v>1</v>
      </c>
      <c r="BG49" s="3">
        <f t="shared" si="13"/>
        <v>1043.4523558861802</v>
      </c>
      <c r="BH49" s="3">
        <f t="shared" si="14"/>
        <v>1043.4523558861799</v>
      </c>
    </row>
    <row r="50" spans="1:60">
      <c r="A50">
        <v>1971</v>
      </c>
      <c r="B50" s="3">
        <f t="shared" si="15"/>
        <v>86.808062942873008</v>
      </c>
      <c r="C50" s="3">
        <f t="shared" si="0"/>
        <v>18.563021376325832</v>
      </c>
      <c r="E50" s="3">
        <v>26.566040000000001</v>
      </c>
      <c r="F50" s="3">
        <f t="shared" si="16"/>
        <v>0</v>
      </c>
      <c r="G50" s="3">
        <v>347.14999999999992</v>
      </c>
      <c r="H50" s="3">
        <f t="shared" si="17"/>
        <v>0</v>
      </c>
      <c r="I50" s="48">
        <f t="shared" si="1"/>
        <v>55.940442802116522</v>
      </c>
      <c r="P50" s="44">
        <f t="shared" si="2"/>
        <v>36.473168706979969</v>
      </c>
      <c r="Q50" s="44">
        <f t="shared" si="3"/>
        <v>111.77099083662738</v>
      </c>
      <c r="S50" s="9">
        <f>USA!Z58*G50</f>
        <v>1235.8539999999998</v>
      </c>
      <c r="U50" s="3">
        <v>3</v>
      </c>
      <c r="X50" s="6">
        <f t="shared" si="23"/>
        <v>0.34800000000000003</v>
      </c>
      <c r="Y50" s="48">
        <f t="shared" si="4"/>
        <v>14.381779294944142</v>
      </c>
      <c r="Z50" s="6">
        <v>0.1</v>
      </c>
      <c r="AA50" s="48">
        <f t="shared" si="5"/>
        <v>5.0854948001924107</v>
      </c>
      <c r="AB50" s="48">
        <f t="shared" si="18"/>
        <v>19.467274095136553</v>
      </c>
      <c r="AM50">
        <v>1971</v>
      </c>
      <c r="AN50" s="3">
        <f t="shared" si="6"/>
        <v>55.940442802116522</v>
      </c>
      <c r="AO50" s="3">
        <f t="shared" si="19"/>
        <v>14.381779294944142</v>
      </c>
      <c r="AP50" s="3">
        <f t="shared" si="20"/>
        <v>5.0854948001924107</v>
      </c>
      <c r="AQ50" s="3">
        <f t="shared" si="21"/>
        <v>19.467274095136553</v>
      </c>
      <c r="AR50" s="3">
        <f t="shared" si="7"/>
        <v>36.473168706979969</v>
      </c>
      <c r="AS50" s="7"/>
      <c r="AT50" s="7">
        <v>6.1089914909436311</v>
      </c>
      <c r="AU50" s="7"/>
      <c r="AV50" s="3">
        <f t="shared" si="8"/>
        <v>915.70667408927147</v>
      </c>
      <c r="AW50" s="3">
        <f t="shared" si="22"/>
        <v>915.70667408927147</v>
      </c>
      <c r="AX50" s="3">
        <f t="shared" si="9"/>
        <v>488.09747106560366</v>
      </c>
      <c r="AY50" s="3">
        <f t="shared" si="10"/>
        <v>427.60920302366782</v>
      </c>
      <c r="AZ50" s="3">
        <f t="shared" si="11"/>
        <v>427.60920302366787</v>
      </c>
      <c r="BA50" s="9">
        <f t="shared" si="12"/>
        <v>20230.082196580413</v>
      </c>
      <c r="BB50" s="12">
        <v>0</v>
      </c>
      <c r="BC50" s="12">
        <v>0</v>
      </c>
      <c r="BD50" s="23">
        <v>1</v>
      </c>
      <c r="BG50" s="3">
        <f t="shared" si="13"/>
        <v>1049.8673560275338</v>
      </c>
      <c r="BH50" s="3">
        <f t="shared" si="14"/>
        <v>1049.8673560275338</v>
      </c>
    </row>
    <row r="51" spans="1:60">
      <c r="A51">
        <v>1972</v>
      </c>
      <c r="B51" s="3">
        <f t="shared" si="15"/>
        <v>83.078208696668909</v>
      </c>
      <c r="C51" s="3">
        <f t="shared" si="0"/>
        <v>19.17664269444656</v>
      </c>
      <c r="E51" s="3">
        <v>27.444210000000002</v>
      </c>
      <c r="F51" s="3">
        <f t="shared" si="16"/>
        <v>0</v>
      </c>
      <c r="G51" s="3">
        <v>392.88999999999987</v>
      </c>
      <c r="H51" s="3">
        <f t="shared" si="17"/>
        <v>0</v>
      </c>
      <c r="I51" s="48">
        <f t="shared" si="1"/>
        <v>62.593707395755224</v>
      </c>
      <c r="P51" s="44">
        <f t="shared" si="2"/>
        <v>40.310347562866362</v>
      </c>
      <c r="Q51" s="44">
        <f t="shared" si="3"/>
        <v>112.86163959503598</v>
      </c>
      <c r="S51" s="9">
        <f>USA!Z59*G51</f>
        <v>1398.6883999999995</v>
      </c>
      <c r="U51" s="3">
        <v>3</v>
      </c>
      <c r="X51" s="6">
        <f t="shared" si="23"/>
        <v>0.35600000000000004</v>
      </c>
      <c r="Y51" s="48">
        <f t="shared" si="4"/>
        <v>16.593022796911114</v>
      </c>
      <c r="Z51" s="6">
        <v>0.1</v>
      </c>
      <c r="AA51" s="48">
        <f t="shared" si="5"/>
        <v>5.6903370359777483</v>
      </c>
      <c r="AB51" s="48">
        <f t="shared" si="18"/>
        <v>22.283359832888863</v>
      </c>
      <c r="AM51">
        <v>1972</v>
      </c>
      <c r="AN51" s="3">
        <f t="shared" si="6"/>
        <v>62.593707395755224</v>
      </c>
      <c r="AO51" s="3">
        <f t="shared" si="19"/>
        <v>16.593022796911114</v>
      </c>
      <c r="AP51" s="3">
        <f t="shared" si="20"/>
        <v>5.6903370359777483</v>
      </c>
      <c r="AQ51" s="3">
        <f t="shared" si="21"/>
        <v>22.283359832888863</v>
      </c>
      <c r="AR51" s="3">
        <f t="shared" si="7"/>
        <v>40.310347562866362</v>
      </c>
      <c r="AS51" s="7"/>
      <c r="AT51" s="7">
        <v>6.8230702845217346</v>
      </c>
      <c r="AU51" s="7"/>
      <c r="AV51" s="3">
        <f t="shared" si="8"/>
        <v>917.38330085431255</v>
      </c>
      <c r="AW51" s="3">
        <f t="shared" si="22"/>
        <v>917.38330085431267</v>
      </c>
      <c r="AX51" s="3">
        <f t="shared" si="9"/>
        <v>488.09747106560366</v>
      </c>
      <c r="AY51" s="3">
        <f t="shared" si="10"/>
        <v>429.2858297887089</v>
      </c>
      <c r="AZ51" s="3">
        <f t="shared" si="11"/>
        <v>429.28582978870907</v>
      </c>
      <c r="BA51" s="9">
        <f t="shared" si="12"/>
        <v>20499.398975457585</v>
      </c>
      <c r="BB51" s="12">
        <v>0</v>
      </c>
      <c r="BC51" s="12">
        <v>0</v>
      </c>
      <c r="BD51" s="23">
        <v>1</v>
      </c>
      <c r="BG51" s="3">
        <f t="shared" si="13"/>
        <v>1051.7896262901254</v>
      </c>
      <c r="BH51" s="3">
        <f t="shared" si="14"/>
        <v>1051.7896262901256</v>
      </c>
    </row>
    <row r="52" spans="1:60">
      <c r="A52">
        <v>1973</v>
      </c>
      <c r="B52" s="3">
        <f t="shared" si="15"/>
        <v>80.382078594591675</v>
      </c>
      <c r="C52" s="3">
        <f t="shared" si="0"/>
        <v>20.369443941469338</v>
      </c>
      <c r="E52" s="3">
        <v>29.151260000000001</v>
      </c>
      <c r="F52" s="3">
        <f t="shared" si="16"/>
        <v>0</v>
      </c>
      <c r="G52" s="3">
        <v>398.31999999999988</v>
      </c>
      <c r="H52" s="3">
        <f t="shared" si="17"/>
        <v>0</v>
      </c>
      <c r="I52" s="48">
        <f t="shared" si="1"/>
        <v>65.218456928289015</v>
      </c>
      <c r="P52" s="44">
        <f t="shared" si="2"/>
        <v>41.478938606391807</v>
      </c>
      <c r="Q52" s="44">
        <f t="shared" si="3"/>
        <v>113.81816689632082</v>
      </c>
      <c r="S52" s="9">
        <f>USA!Z60*G52</f>
        <v>1541.4983999999995</v>
      </c>
      <c r="U52" s="3">
        <v>3</v>
      </c>
      <c r="X52" s="6">
        <f t="shared" si="23"/>
        <v>0.36400000000000005</v>
      </c>
      <c r="Y52" s="48">
        <f t="shared" si="4"/>
        <v>17.81056769205275</v>
      </c>
      <c r="Z52" s="6">
        <v>0.1</v>
      </c>
      <c r="AA52" s="48">
        <f t="shared" si="5"/>
        <v>5.9289506298444561</v>
      </c>
      <c r="AB52" s="48">
        <f t="shared" si="18"/>
        <v>23.739518321897204</v>
      </c>
      <c r="AM52">
        <v>1973</v>
      </c>
      <c r="AN52" s="3">
        <f t="shared" si="6"/>
        <v>65.218456928289015</v>
      </c>
      <c r="AO52" s="3">
        <f t="shared" si="19"/>
        <v>17.81056769205275</v>
      </c>
      <c r="AP52" s="3">
        <f t="shared" si="20"/>
        <v>5.9289506298444561</v>
      </c>
      <c r="AQ52" s="3">
        <f t="shared" si="21"/>
        <v>23.739518321897204</v>
      </c>
      <c r="AR52" s="3">
        <f t="shared" si="7"/>
        <v>41.478938606391807</v>
      </c>
      <c r="AS52" s="7"/>
      <c r="AT52" s="7">
        <v>7.0428431523844539</v>
      </c>
      <c r="AU52" s="7"/>
      <c r="AV52" s="3">
        <f t="shared" si="8"/>
        <v>926.02455453247433</v>
      </c>
      <c r="AW52" s="3">
        <f t="shared" si="22"/>
        <v>926.02455453247444</v>
      </c>
      <c r="AX52" s="3">
        <f t="shared" si="9"/>
        <v>488.09747106560366</v>
      </c>
      <c r="AY52" s="3">
        <f t="shared" si="10"/>
        <v>437.92708346687067</v>
      </c>
      <c r="AZ52" s="3">
        <f t="shared" si="11"/>
        <v>437.92708346687084</v>
      </c>
      <c r="BA52" s="9">
        <f t="shared" si="12"/>
        <v>21887.444695940776</v>
      </c>
      <c r="BB52" s="12">
        <v>0</v>
      </c>
      <c r="BC52" s="12">
        <v>0</v>
      </c>
      <c r="BD52" s="23">
        <v>1</v>
      </c>
      <c r="BG52" s="3">
        <f t="shared" si="13"/>
        <v>1061.6969147358254</v>
      </c>
      <c r="BH52" s="3">
        <f t="shared" si="14"/>
        <v>1061.6969147358257</v>
      </c>
    </row>
    <row r="53" spans="1:60">
      <c r="A53">
        <v>1974</v>
      </c>
      <c r="B53" s="3">
        <f t="shared" si="15"/>
        <v>109.38081569026473</v>
      </c>
      <c r="C53" s="3">
        <f t="shared" si="0"/>
        <v>22.617266903639468</v>
      </c>
      <c r="E53" s="3">
        <v>32.368180000000002</v>
      </c>
      <c r="F53" s="3">
        <f t="shared" si="16"/>
        <v>0</v>
      </c>
      <c r="G53" s="3">
        <v>404.47</v>
      </c>
      <c r="H53" s="3">
        <f t="shared" si="17"/>
        <v>0</v>
      </c>
      <c r="I53" s="48">
        <f t="shared" si="1"/>
        <v>100.06163521504473</v>
      </c>
      <c r="P53" s="44">
        <f t="shared" si="2"/>
        <v>62.838706915048085</v>
      </c>
      <c r="Q53" s="44">
        <f t="shared" si="3"/>
        <v>136.76111286253752</v>
      </c>
      <c r="S53" s="9">
        <f>USA!Z61*G53</f>
        <v>4966.8915999999999</v>
      </c>
      <c r="U53" s="3">
        <v>3</v>
      </c>
      <c r="X53" s="6">
        <f t="shared" si="23"/>
        <v>0.37200000000000005</v>
      </c>
      <c r="Y53" s="48">
        <f t="shared" si="4"/>
        <v>28.126416007719854</v>
      </c>
      <c r="Z53" s="6">
        <v>0.1</v>
      </c>
      <c r="AA53" s="48">
        <f t="shared" si="5"/>
        <v>9.0965122922767936</v>
      </c>
      <c r="AB53" s="48">
        <f t="shared" si="18"/>
        <v>37.222928299996646</v>
      </c>
      <c r="AM53">
        <v>1974</v>
      </c>
      <c r="AN53" s="3">
        <f t="shared" si="6"/>
        <v>100.06163521504473</v>
      </c>
      <c r="AO53" s="3">
        <f t="shared" si="19"/>
        <v>28.126416007719854</v>
      </c>
      <c r="AP53" s="3">
        <f t="shared" si="20"/>
        <v>9.0965122922767936</v>
      </c>
      <c r="AQ53" s="3">
        <f t="shared" si="21"/>
        <v>37.222928299996646</v>
      </c>
      <c r="AR53" s="3">
        <f t="shared" si="7"/>
        <v>62.838706915048085</v>
      </c>
      <c r="AS53" s="7"/>
      <c r="AT53" s="7">
        <v>8.7545498378262767</v>
      </c>
      <c r="AU53" s="7"/>
      <c r="AV53" s="3">
        <f t="shared" si="8"/>
        <v>1142.9672235424691</v>
      </c>
      <c r="AW53" s="3">
        <f t="shared" si="22"/>
        <v>1142.9672235424691</v>
      </c>
      <c r="AX53" s="3">
        <f t="shared" si="9"/>
        <v>488.09747106560366</v>
      </c>
      <c r="AY53" s="3">
        <f t="shared" si="10"/>
        <v>654.86975247686541</v>
      </c>
      <c r="AZ53" s="3">
        <f t="shared" si="11"/>
        <v>654.86975247686541</v>
      </c>
      <c r="BA53" s="9">
        <f t="shared" si="12"/>
        <v>56734.974293472769</v>
      </c>
      <c r="BB53" s="12">
        <v>0</v>
      </c>
      <c r="BC53" s="12">
        <v>0</v>
      </c>
      <c r="BD53" s="23">
        <v>1</v>
      </c>
      <c r="BG53" s="3">
        <f t="shared" si="13"/>
        <v>1310.4239719559801</v>
      </c>
      <c r="BH53" s="3">
        <f t="shared" si="14"/>
        <v>1310.4239719559801</v>
      </c>
    </row>
    <row r="54" spans="1:60">
      <c r="A54">
        <v>1975</v>
      </c>
      <c r="B54" s="3">
        <f t="shared" si="15"/>
        <v>104.44492518506495</v>
      </c>
      <c r="C54" s="3">
        <f t="shared" si="0"/>
        <v>24.682660206706046</v>
      </c>
      <c r="E54" s="3">
        <v>35.324019999999997</v>
      </c>
      <c r="F54" s="3">
        <f t="shared" si="16"/>
        <v>0</v>
      </c>
      <c r="G54" s="3">
        <v>484</v>
      </c>
      <c r="H54" s="3">
        <f t="shared" si="17"/>
        <v>0</v>
      </c>
      <c r="I54" s="48">
        <f t="shared" si="1"/>
        <v>124.77416417503714</v>
      </c>
      <c r="P54" s="44">
        <f t="shared" si="2"/>
        <v>77.359981788523015</v>
      </c>
      <c r="Q54" s="44">
        <f t="shared" si="3"/>
        <v>144.56676947762503</v>
      </c>
      <c r="S54" s="9">
        <f>USA!Z62*G54</f>
        <v>6132.28</v>
      </c>
      <c r="U54" s="3">
        <v>3</v>
      </c>
      <c r="X54" s="6">
        <f t="shared" si="23"/>
        <v>0.38000000000000006</v>
      </c>
      <c r="Y54" s="48">
        <f t="shared" si="4"/>
        <v>36.071076552419832</v>
      </c>
      <c r="Z54" s="6">
        <v>0.1</v>
      </c>
      <c r="AA54" s="48">
        <f t="shared" si="5"/>
        <v>11.343105834094287</v>
      </c>
      <c r="AB54" s="48">
        <f t="shared" si="18"/>
        <v>47.414182386514121</v>
      </c>
      <c r="AM54">
        <v>1975</v>
      </c>
      <c r="AN54" s="3">
        <f t="shared" si="6"/>
        <v>124.77416417503714</v>
      </c>
      <c r="AO54" s="3">
        <f t="shared" si="19"/>
        <v>36.071076552419832</v>
      </c>
      <c r="AP54" s="3">
        <f t="shared" si="20"/>
        <v>11.343105834094287</v>
      </c>
      <c r="AQ54" s="3">
        <f t="shared" si="21"/>
        <v>47.414182386514121</v>
      </c>
      <c r="AR54" s="3">
        <f t="shared" si="7"/>
        <v>77.359981788523015</v>
      </c>
      <c r="AS54" s="7"/>
      <c r="AT54" s="7">
        <v>10.965008888208612</v>
      </c>
      <c r="AU54" s="7"/>
      <c r="AV54" s="3">
        <f t="shared" si="8"/>
        <v>1137.9303514219212</v>
      </c>
      <c r="AW54" s="3">
        <f t="shared" si="22"/>
        <v>1137.9303514219212</v>
      </c>
      <c r="AX54" s="3">
        <f t="shared" si="9"/>
        <v>488.09747106560366</v>
      </c>
      <c r="AY54" s="3">
        <f t="shared" si="10"/>
        <v>649.83288035631745</v>
      </c>
      <c r="AZ54" s="3">
        <f t="shared" si="11"/>
        <v>649.83288035631745</v>
      </c>
      <c r="BA54" s="9">
        <f t="shared" si="12"/>
        <v>55925.900858999215</v>
      </c>
      <c r="BB54" s="12">
        <v>0</v>
      </c>
      <c r="BC54" s="12">
        <v>0</v>
      </c>
      <c r="BD54" s="23">
        <v>1</v>
      </c>
      <c r="BG54" s="3">
        <f t="shared" si="13"/>
        <v>1304.649144966641</v>
      </c>
      <c r="BH54" s="3">
        <f t="shared" si="14"/>
        <v>1304.649144966641</v>
      </c>
    </row>
    <row r="55" spans="1:60">
      <c r="A55">
        <v>1976</v>
      </c>
      <c r="B55" s="3">
        <f t="shared" si="15"/>
        <v>110.83619717142061</v>
      </c>
      <c r="C55" s="3">
        <f t="shared" si="0"/>
        <v>26.098712089869402</v>
      </c>
      <c r="E55" s="3">
        <v>37.350569999999998</v>
      </c>
      <c r="F55" s="3">
        <f t="shared" si="16"/>
        <v>0</v>
      </c>
      <c r="G55" s="3">
        <v>484</v>
      </c>
      <c r="H55" s="3">
        <f t="shared" si="17"/>
        <v>0</v>
      </c>
      <c r="I55" s="48">
        <f t="shared" si="1"/>
        <v>140.00580875706456</v>
      </c>
      <c r="P55" s="44">
        <f t="shared" si="2"/>
        <v>85.683554959323502</v>
      </c>
      <c r="Q55" s="44">
        <f t="shared" si="3"/>
        <v>146.67392926324374</v>
      </c>
      <c r="S55" s="9">
        <f>USA!Z63*G55</f>
        <v>6446.88</v>
      </c>
      <c r="U55" s="3">
        <v>3</v>
      </c>
      <c r="X55" s="6">
        <f t="shared" si="23"/>
        <v>0.38800000000000007</v>
      </c>
      <c r="Y55" s="48">
        <f t="shared" si="4"/>
        <v>41.594453001644276</v>
      </c>
      <c r="Z55" s="6">
        <v>0.1</v>
      </c>
      <c r="AA55" s="48">
        <f t="shared" si="5"/>
        <v>12.727800796096778</v>
      </c>
      <c r="AB55" s="48">
        <f t="shared" si="18"/>
        <v>54.322253797741055</v>
      </c>
      <c r="AM55">
        <v>1976</v>
      </c>
      <c r="AN55" s="3">
        <f t="shared" si="6"/>
        <v>140.00580875706456</v>
      </c>
      <c r="AO55" s="3">
        <f t="shared" si="19"/>
        <v>41.594453001644276</v>
      </c>
      <c r="AP55" s="3">
        <f t="shared" si="20"/>
        <v>12.727800796096778</v>
      </c>
      <c r="AQ55" s="3">
        <f t="shared" si="21"/>
        <v>54.322253797741055</v>
      </c>
      <c r="AR55" s="3">
        <f t="shared" si="7"/>
        <v>85.683554959323502</v>
      </c>
      <c r="AS55" s="7"/>
      <c r="AT55" s="7">
        <v>12.6456497920319</v>
      </c>
      <c r="AU55" s="7"/>
      <c r="AV55" s="3">
        <f t="shared" si="8"/>
        <v>1107.1460230164134</v>
      </c>
      <c r="AW55" s="3">
        <f t="shared" si="22"/>
        <v>1107.1460230164137</v>
      </c>
      <c r="AX55" s="3">
        <f t="shared" si="9"/>
        <v>488.09747106560366</v>
      </c>
      <c r="AY55" s="3">
        <f t="shared" si="10"/>
        <v>619.04855195080972</v>
      </c>
      <c r="AZ55" s="3">
        <f t="shared" si="11"/>
        <v>619.04855195080995</v>
      </c>
      <c r="BA55" s="9">
        <f t="shared" si="12"/>
        <v>50981.010118295526</v>
      </c>
      <c r="BB55" s="12">
        <v>0</v>
      </c>
      <c r="BC55" s="12">
        <v>0</v>
      </c>
      <c r="BD55" s="23">
        <v>1</v>
      </c>
      <c r="BG55" s="3">
        <f t="shared" si="13"/>
        <v>1269.354587894293</v>
      </c>
      <c r="BH55" s="3">
        <f t="shared" si="14"/>
        <v>1269.3545878942934</v>
      </c>
    </row>
    <row r="56" spans="1:60">
      <c r="A56">
        <v>1977</v>
      </c>
      <c r="B56" s="3">
        <f t="shared" si="15"/>
        <v>113.91093435376231</v>
      </c>
      <c r="C56" s="3">
        <f t="shared" si="0"/>
        <v>27.791594761847083</v>
      </c>
      <c r="E56" s="3">
        <v>39.773299999999999</v>
      </c>
      <c r="F56" s="3">
        <f t="shared" si="16"/>
        <v>0</v>
      </c>
      <c r="G56" s="3">
        <v>484</v>
      </c>
      <c r="H56" s="3">
        <f t="shared" si="17"/>
        <v>0</v>
      </c>
      <c r="I56" s="48">
        <f t="shared" si="1"/>
        <v>153.22309988275137</v>
      </c>
      <c r="P56" s="44">
        <f t="shared" si="2"/>
        <v>92.546752329181814</v>
      </c>
      <c r="Q56" s="44">
        <f t="shared" si="3"/>
        <v>150.04538492023369</v>
      </c>
      <c r="S56" s="9">
        <f>USA!Z64*G56</f>
        <v>6950.24</v>
      </c>
      <c r="U56" s="3">
        <v>3</v>
      </c>
      <c r="X56" s="6">
        <f t="shared" si="23"/>
        <v>0.39600000000000007</v>
      </c>
      <c r="Y56" s="48">
        <f t="shared" si="4"/>
        <v>46.746974836955793</v>
      </c>
      <c r="Z56" s="6">
        <v>0.1</v>
      </c>
      <c r="AA56" s="48">
        <f t="shared" si="5"/>
        <v>13.929372716613763</v>
      </c>
      <c r="AB56" s="48">
        <f t="shared" si="18"/>
        <v>60.676347553569556</v>
      </c>
      <c r="AM56">
        <v>1977</v>
      </c>
      <c r="AN56" s="3">
        <f t="shared" si="6"/>
        <v>153.22309988275137</v>
      </c>
      <c r="AO56" s="3">
        <f t="shared" si="19"/>
        <v>46.746974836955793</v>
      </c>
      <c r="AP56" s="3">
        <f t="shared" si="20"/>
        <v>13.929372716613763</v>
      </c>
      <c r="AQ56" s="3">
        <f t="shared" si="21"/>
        <v>60.676347553569556</v>
      </c>
      <c r="AR56" s="3">
        <f t="shared" si="7"/>
        <v>92.546752329181814</v>
      </c>
      <c r="AS56" s="7"/>
      <c r="AT56" s="7">
        <v>13.922439320889048</v>
      </c>
      <c r="AU56" s="7"/>
      <c r="AV56" s="3">
        <f t="shared" si="8"/>
        <v>1100.5478016546813</v>
      </c>
      <c r="AW56" s="3">
        <f t="shared" si="22"/>
        <v>1100.5478016546815</v>
      </c>
      <c r="AX56" s="3">
        <f t="shared" si="9"/>
        <v>488.09747106560366</v>
      </c>
      <c r="AY56" s="3">
        <f t="shared" si="10"/>
        <v>612.45033058907757</v>
      </c>
      <c r="AZ56" s="3">
        <f t="shared" si="11"/>
        <v>612.45033058907779</v>
      </c>
      <c r="BA56" s="9">
        <f t="shared" si="12"/>
        <v>49921.136948838765</v>
      </c>
      <c r="BB56" s="12">
        <v>0</v>
      </c>
      <c r="BC56" s="12">
        <v>0</v>
      </c>
      <c r="BD56" s="23">
        <v>1</v>
      </c>
      <c r="BG56" s="3">
        <f t="shared" si="13"/>
        <v>1261.7896575388213</v>
      </c>
      <c r="BH56" s="3">
        <f t="shared" si="14"/>
        <v>1261.7896575388215</v>
      </c>
    </row>
    <row r="57" spans="1:60">
      <c r="A57">
        <v>1978</v>
      </c>
      <c r="B57" s="3">
        <f t="shared" si="15"/>
        <v>116.75753403825837</v>
      </c>
      <c r="C57" s="3">
        <f t="shared" si="0"/>
        <v>29.916940817905406</v>
      </c>
      <c r="E57" s="3">
        <v>42.81494</v>
      </c>
      <c r="F57" s="3">
        <f t="shared" si="16"/>
        <v>0</v>
      </c>
      <c r="G57" s="3">
        <v>484</v>
      </c>
      <c r="H57" s="3">
        <f t="shared" si="17"/>
        <v>0</v>
      </c>
      <c r="I57" s="48">
        <f t="shared" si="1"/>
        <v>169.06256661597013</v>
      </c>
      <c r="P57" s="44">
        <f t="shared" si="2"/>
        <v>100.76128970311818</v>
      </c>
      <c r="Q57" s="44">
        <f t="shared" si="3"/>
        <v>149.9805492345223</v>
      </c>
      <c r="S57" s="9">
        <f>USA!Z65*G57</f>
        <v>6940.5599999999995</v>
      </c>
      <c r="U57" s="3">
        <v>3</v>
      </c>
      <c r="X57" s="6">
        <f t="shared" si="23"/>
        <v>0.40400000000000008</v>
      </c>
      <c r="Y57" s="48">
        <f t="shared" si="4"/>
        <v>52.931952675036484</v>
      </c>
      <c r="Z57" s="6">
        <v>0.1</v>
      </c>
      <c r="AA57" s="48">
        <f t="shared" si="5"/>
        <v>15.369324237815466</v>
      </c>
      <c r="AB57" s="48">
        <f t="shared" si="18"/>
        <v>68.301276912851947</v>
      </c>
      <c r="AM57">
        <v>1978</v>
      </c>
      <c r="AN57" s="3">
        <f>AW57*AT57/100</f>
        <v>169.06256661597013</v>
      </c>
      <c r="AO57" s="3">
        <f t="shared" si="19"/>
        <v>52.931952675036484</v>
      </c>
      <c r="AP57" s="3">
        <f t="shared" si="20"/>
        <v>15.369324237815466</v>
      </c>
      <c r="AQ57" s="3">
        <f t="shared" si="21"/>
        <v>68.301276912851947</v>
      </c>
      <c r="AR57" s="3">
        <f t="shared" si="7"/>
        <v>100.76128970311818</v>
      </c>
      <c r="AS57" s="7"/>
      <c r="AT57" s="7">
        <v>15.9356630295197</v>
      </c>
      <c r="AU57" s="7"/>
      <c r="AV57" s="3">
        <f t="shared" si="8"/>
        <v>1060.9070127976072</v>
      </c>
      <c r="AW57" s="3">
        <f t="shared" si="22"/>
        <v>1060.9070127976072</v>
      </c>
      <c r="AX57" s="3">
        <f t="shared" si="9"/>
        <v>488.09747106560366</v>
      </c>
      <c r="AY57" s="3">
        <f t="shared" si="10"/>
        <v>572.80954173200348</v>
      </c>
      <c r="AZ57" s="3">
        <f t="shared" si="11"/>
        <v>572.80954173200348</v>
      </c>
      <c r="BA57" s="9">
        <f t="shared" si="12"/>
        <v>43553.631795194829</v>
      </c>
      <c r="BB57" s="12">
        <v>0</v>
      </c>
      <c r="BC57" s="12">
        <v>0</v>
      </c>
      <c r="BD57" s="23">
        <v>1</v>
      </c>
      <c r="BG57" s="3">
        <f t="shared" si="13"/>
        <v>1216.3410751861661</v>
      </c>
      <c r="BH57" s="3">
        <f t="shared" si="14"/>
        <v>1216.3410751861661</v>
      </c>
    </row>
    <row r="58" spans="1:60">
      <c r="A58">
        <v>1979</v>
      </c>
      <c r="B58" s="3">
        <f t="shared" si="15"/>
        <v>132.51036038821655</v>
      </c>
      <c r="C58" s="3">
        <f t="shared" si="0"/>
        <v>33.287054161079702</v>
      </c>
      <c r="E58" s="3">
        <v>47.637999999999998</v>
      </c>
      <c r="F58" s="3">
        <f t="shared" si="16"/>
        <v>0</v>
      </c>
      <c r="G58" s="3">
        <v>484</v>
      </c>
      <c r="H58" s="3">
        <f t="shared" si="17"/>
        <v>0</v>
      </c>
      <c r="I58" s="48">
        <f t="shared" si="1"/>
        <v>213.48656988830294</v>
      </c>
      <c r="P58" s="44">
        <f t="shared" si="2"/>
        <v>125.53010309432211</v>
      </c>
      <c r="Q58" s="44">
        <f t="shared" si="3"/>
        <v>172.96479981919407</v>
      </c>
      <c r="S58" s="9">
        <f>USA!Z66*G58</f>
        <v>10372.119999999999</v>
      </c>
      <c r="U58" s="3">
        <v>3</v>
      </c>
      <c r="X58" s="6">
        <f t="shared" si="23"/>
        <v>0.41200000000000009</v>
      </c>
      <c r="Y58" s="48">
        <f t="shared" si="4"/>
        <v>68.548596804135101</v>
      </c>
      <c r="Z58" s="6">
        <v>0.1</v>
      </c>
      <c r="AA58" s="48">
        <f t="shared" si="5"/>
        <v>19.407869989845722</v>
      </c>
      <c r="AB58" s="48">
        <f t="shared" si="18"/>
        <v>87.956466793980823</v>
      </c>
      <c r="AM58">
        <v>1979</v>
      </c>
      <c r="AN58" s="3">
        <f t="shared" si="6"/>
        <v>213.48656988830294</v>
      </c>
      <c r="AO58" s="3">
        <f t="shared" si="19"/>
        <v>68.548596804135101</v>
      </c>
      <c r="AP58" s="3">
        <f t="shared" si="20"/>
        <v>19.407869989845722</v>
      </c>
      <c r="AQ58" s="3">
        <f t="shared" si="21"/>
        <v>87.956466793980823</v>
      </c>
      <c r="AR58" s="3">
        <f t="shared" si="7"/>
        <v>125.53010309432211</v>
      </c>
      <c r="AS58" s="7"/>
      <c r="AT58" s="7">
        <v>18.85563265116744</v>
      </c>
      <c r="AU58" s="7"/>
      <c r="AV58" s="3">
        <f t="shared" si="8"/>
        <v>1132.2164248627582</v>
      </c>
      <c r="AW58" s="3">
        <f t="shared" si="22"/>
        <v>1132.2164248627585</v>
      </c>
      <c r="AX58" s="3">
        <f t="shared" si="9"/>
        <v>488.09747106560366</v>
      </c>
      <c r="AY58" s="3">
        <f t="shared" si="10"/>
        <v>644.11895379715452</v>
      </c>
      <c r="AZ58" s="3">
        <f t="shared" si="11"/>
        <v>644.11895379715475</v>
      </c>
      <c r="BA58" s="9">
        <f t="shared" si="12"/>
        <v>55008.072080561098</v>
      </c>
      <c r="BB58" s="12">
        <v>0</v>
      </c>
      <c r="BC58" s="12">
        <v>0</v>
      </c>
      <c r="BD58" s="23">
        <v>1</v>
      </c>
      <c r="BG58" s="3">
        <f t="shared" si="13"/>
        <v>1298.0980679253273</v>
      </c>
      <c r="BH58" s="3">
        <f t="shared" si="14"/>
        <v>1298.0980679253275</v>
      </c>
    </row>
    <row r="59" spans="1:60">
      <c r="A59">
        <v>1980</v>
      </c>
      <c r="B59" s="3">
        <f t="shared" si="15"/>
        <v>139.17649951117482</v>
      </c>
      <c r="C59" s="3">
        <f t="shared" si="0"/>
        <v>37.784321185500851</v>
      </c>
      <c r="E59" s="3">
        <v>54.074159999999999</v>
      </c>
      <c r="F59" s="3">
        <f t="shared" si="16"/>
        <v>0</v>
      </c>
      <c r="G59" s="3">
        <v>607.42999999999995</v>
      </c>
      <c r="H59" s="3">
        <f t="shared" si="17"/>
        <v>0</v>
      </c>
      <c r="I59" s="48">
        <f t="shared" si="1"/>
        <v>319.42857988257578</v>
      </c>
      <c r="P59" s="44">
        <f t="shared" si="2"/>
        <v>185.26857633189391</v>
      </c>
      <c r="Q59" s="44">
        <f t="shared" si="3"/>
        <v>240.96818901706962</v>
      </c>
      <c r="S59" s="9">
        <f>USA!Z67*G59</f>
        <v>20525.059699999998</v>
      </c>
      <c r="U59" s="3">
        <v>3</v>
      </c>
      <c r="X59" s="6">
        <f t="shared" si="23"/>
        <v>0.4200000000000001</v>
      </c>
      <c r="Y59" s="48">
        <f t="shared" si="4"/>
        <v>105.12104174317497</v>
      </c>
      <c r="Z59" s="6">
        <v>0.1</v>
      </c>
      <c r="AA59" s="48">
        <f t="shared" si="5"/>
        <v>29.03896180750689</v>
      </c>
      <c r="AB59" s="48">
        <f t="shared" si="18"/>
        <v>134.16000355068186</v>
      </c>
      <c r="AM59">
        <v>1980</v>
      </c>
      <c r="AN59" s="3">
        <f t="shared" si="6"/>
        <v>319.42857988257578</v>
      </c>
      <c r="AO59" s="3">
        <f t="shared" si="19"/>
        <v>105.12104174317497</v>
      </c>
      <c r="AP59" s="3">
        <f t="shared" si="20"/>
        <v>29.03896180750689</v>
      </c>
      <c r="AQ59" s="3">
        <f t="shared" si="21"/>
        <v>134.16000355068186</v>
      </c>
      <c r="AR59" s="3">
        <f t="shared" si="7"/>
        <v>185.26857633189391</v>
      </c>
      <c r="AS59" s="7"/>
      <c r="AT59" s="7">
        <v>24.266746686868871</v>
      </c>
      <c r="AU59" s="7"/>
      <c r="AV59" s="3">
        <f t="shared" si="8"/>
        <v>1316.3222248305076</v>
      </c>
      <c r="AW59" s="3">
        <f t="shared" si="22"/>
        <v>1316.3222248305074</v>
      </c>
      <c r="AX59" s="3">
        <f t="shared" si="9"/>
        <v>488.09747106560366</v>
      </c>
      <c r="AY59" s="3">
        <f t="shared" si="10"/>
        <v>828.22475376490388</v>
      </c>
      <c r="AZ59" s="3">
        <f t="shared" si="11"/>
        <v>828.22475376490377</v>
      </c>
      <c r="BA59" s="9">
        <f t="shared" si="12"/>
        <v>84581.011063615049</v>
      </c>
      <c r="BB59" s="12">
        <v>0</v>
      </c>
      <c r="BC59" s="12">
        <v>0</v>
      </c>
      <c r="BD59" s="23">
        <v>1</v>
      </c>
      <c r="BG59" s="3">
        <f t="shared" si="13"/>
        <v>1509.1773085934276</v>
      </c>
      <c r="BH59" s="3">
        <f t="shared" si="14"/>
        <v>1509.1773085934274</v>
      </c>
    </row>
    <row r="60" spans="1:60">
      <c r="A60">
        <v>1981</v>
      </c>
      <c r="B60" s="3">
        <f t="shared" si="15"/>
        <v>136.31030883058008</v>
      </c>
      <c r="C60" s="3">
        <f t="shared" si="0"/>
        <v>41.681969842500045</v>
      </c>
      <c r="E60" s="3">
        <v>59.652189999999997</v>
      </c>
      <c r="F60" s="3">
        <f t="shared" si="16"/>
        <v>0</v>
      </c>
      <c r="G60" s="3">
        <v>681.03</v>
      </c>
      <c r="H60" s="3">
        <f t="shared" si="17"/>
        <v>0</v>
      </c>
      <c r="I60" s="48">
        <f t="shared" si="1"/>
        <v>386.93960163380672</v>
      </c>
      <c r="P60" s="44">
        <f t="shared" si="2"/>
        <v>221.32945213453741</v>
      </c>
      <c r="Q60" s="44">
        <f t="shared" si="3"/>
        <v>269.57655087765926</v>
      </c>
      <c r="S60" s="9">
        <f>USA!Z68*G60</f>
        <v>24796.302299999996</v>
      </c>
      <c r="U60" s="3">
        <v>3</v>
      </c>
      <c r="X60" s="6">
        <f t="shared" si="23"/>
        <v>0.4280000000000001</v>
      </c>
      <c r="Y60" s="48">
        <f t="shared" si="4"/>
        <v>130.43382207801415</v>
      </c>
      <c r="Z60" s="6">
        <v>0.1</v>
      </c>
      <c r="AA60" s="48">
        <f t="shared" si="5"/>
        <v>35.176327421255159</v>
      </c>
      <c r="AB60" s="48">
        <f t="shared" si="18"/>
        <v>165.61014949926931</v>
      </c>
      <c r="AM60">
        <v>1981</v>
      </c>
      <c r="AN60" s="3">
        <f t="shared" si="6"/>
        <v>386.93960163380672</v>
      </c>
      <c r="AO60" s="3">
        <f t="shared" si="19"/>
        <v>130.43382207801415</v>
      </c>
      <c r="AP60" s="3">
        <f t="shared" si="20"/>
        <v>35.176327421255159</v>
      </c>
      <c r="AQ60" s="3">
        <f t="shared" si="21"/>
        <v>165.61014949926931</v>
      </c>
      <c r="AR60" s="3">
        <f t="shared" si="7"/>
        <v>221.32945213453741</v>
      </c>
      <c r="AS60" s="7"/>
      <c r="AT60" s="7">
        <v>29.448097505835705</v>
      </c>
      <c r="AU60" s="7"/>
      <c r="AV60" s="3">
        <f t="shared" si="8"/>
        <v>1313.9714766195923</v>
      </c>
      <c r="AW60" s="3">
        <f t="shared" si="22"/>
        <v>1313.9714766195923</v>
      </c>
      <c r="AX60" s="3">
        <f t="shared" si="9"/>
        <v>488.09747106560366</v>
      </c>
      <c r="AY60" s="3">
        <f t="shared" si="10"/>
        <v>825.87400555398858</v>
      </c>
      <c r="AZ60" s="3">
        <f t="shared" si="11"/>
        <v>825.8740055539887</v>
      </c>
      <c r="BA60" s="9">
        <f t="shared" si="12"/>
        <v>84203.410067784964</v>
      </c>
      <c r="BB60" s="12">
        <v>0</v>
      </c>
      <c r="BC60" s="12">
        <v>0</v>
      </c>
      <c r="BD60" s="23">
        <v>1</v>
      </c>
      <c r="BG60" s="3">
        <f t="shared" si="13"/>
        <v>1506.4821509859605</v>
      </c>
      <c r="BH60" s="3">
        <f t="shared" si="14"/>
        <v>1506.4821509859605</v>
      </c>
    </row>
    <row r="61" spans="1:60">
      <c r="A61">
        <v>1982</v>
      </c>
      <c r="B61" s="3">
        <f t="shared" si="15"/>
        <v>123.77011313442048</v>
      </c>
      <c r="C61" s="3">
        <f t="shared" si="0"/>
        <v>44.24984128314113</v>
      </c>
      <c r="E61" s="3">
        <v>63.32714</v>
      </c>
      <c r="F61" s="3">
        <f t="shared" si="16"/>
        <v>0</v>
      </c>
      <c r="G61" s="3">
        <v>731.07999999999993</v>
      </c>
      <c r="H61" s="3">
        <f t="shared" si="17"/>
        <v>0</v>
      </c>
      <c r="I61" s="48">
        <f t="shared" si="1"/>
        <v>400.39846916007428</v>
      </c>
      <c r="P61" s="44">
        <f t="shared" si="2"/>
        <v>225.82473660628185</v>
      </c>
      <c r="Q61" s="44">
        <f t="shared" si="3"/>
        <v>266.06386126203137</v>
      </c>
      <c r="S61" s="9">
        <f>USA!Z69*G61</f>
        <v>24271.856</v>
      </c>
      <c r="U61" s="3">
        <v>3</v>
      </c>
      <c r="X61" s="6">
        <f t="shared" si="23"/>
        <v>0.43600000000000011</v>
      </c>
      <c r="Y61" s="48">
        <f t="shared" si="4"/>
        <v>138.17387172105842</v>
      </c>
      <c r="Z61" s="6">
        <v>0.1</v>
      </c>
      <c r="AA61" s="48">
        <f t="shared" si="5"/>
        <v>36.399860832734028</v>
      </c>
      <c r="AB61" s="48">
        <f t="shared" si="18"/>
        <v>174.57373255379244</v>
      </c>
      <c r="AM61">
        <v>1982</v>
      </c>
      <c r="AN61" s="3">
        <f t="shared" si="6"/>
        <v>400.39846916007428</v>
      </c>
      <c r="AO61" s="3">
        <f t="shared" si="19"/>
        <v>138.17387172105842</v>
      </c>
      <c r="AP61" s="3">
        <f t="shared" si="20"/>
        <v>36.399860832734028</v>
      </c>
      <c r="AQ61" s="3">
        <f t="shared" si="21"/>
        <v>174.57373255379244</v>
      </c>
      <c r="AR61" s="3">
        <f t="shared" si="7"/>
        <v>225.82473660628185</v>
      </c>
      <c r="AS61" s="7"/>
      <c r="AT61" s="7">
        <v>31.56566484741019</v>
      </c>
      <c r="AU61" s="7"/>
      <c r="AV61" s="3">
        <f t="shared" si="8"/>
        <v>1268.462017497867</v>
      </c>
      <c r="AW61" s="3">
        <f t="shared" si="22"/>
        <v>1268.462017497867</v>
      </c>
      <c r="AX61" s="3">
        <f t="shared" si="9"/>
        <v>488.09747106560366</v>
      </c>
      <c r="AY61" s="3">
        <f t="shared" si="10"/>
        <v>780.3645464322633</v>
      </c>
      <c r="AZ61" s="3">
        <f t="shared" si="11"/>
        <v>780.3645464322633</v>
      </c>
      <c r="BA61" s="9">
        <f t="shared" si="12"/>
        <v>76893.219633837012</v>
      </c>
      <c r="BB61" s="12">
        <v>0</v>
      </c>
      <c r="BC61" s="12">
        <v>0</v>
      </c>
      <c r="BD61" s="23">
        <v>1</v>
      </c>
      <c r="BG61" s="3">
        <f t="shared" si="13"/>
        <v>1454.3050763022056</v>
      </c>
      <c r="BH61" s="3">
        <f t="shared" si="14"/>
        <v>1454.3050763022056</v>
      </c>
    </row>
    <row r="62" spans="1:60">
      <c r="A62">
        <v>1983</v>
      </c>
      <c r="B62" s="3">
        <f t="shared" si="15"/>
        <v>112.23219460976526</v>
      </c>
      <c r="C62" s="3">
        <f t="shared" si="0"/>
        <v>45.671336429076113</v>
      </c>
      <c r="E62" s="3">
        <v>65.36148</v>
      </c>
      <c r="F62" s="3">
        <f t="shared" si="16"/>
        <v>0</v>
      </c>
      <c r="G62" s="3">
        <v>775.75</v>
      </c>
      <c r="H62" s="3">
        <f t="shared" si="17"/>
        <v>0</v>
      </c>
      <c r="I62" s="48">
        <f t="shared" si="1"/>
        <v>397.63349423406493</v>
      </c>
      <c r="P62" s="44">
        <f t="shared" si="2"/>
        <v>221.08422279414006</v>
      </c>
      <c r="Q62" s="44">
        <f t="shared" si="3"/>
        <v>253.91458141907157</v>
      </c>
      <c r="S62" s="9">
        <f>USA!Z70*G62</f>
        <v>22457.962499999998</v>
      </c>
      <c r="U62" s="3">
        <v>3</v>
      </c>
      <c r="X62" s="6">
        <f t="shared" si="23"/>
        <v>0.44400000000000012</v>
      </c>
      <c r="Y62" s="48">
        <f t="shared" si="4"/>
        <v>140.40077196410078</v>
      </c>
      <c r="Z62" s="6">
        <v>0.1</v>
      </c>
      <c r="AA62" s="48">
        <f t="shared" si="5"/>
        <v>36.148499475824082</v>
      </c>
      <c r="AB62" s="48">
        <f t="shared" si="18"/>
        <v>176.54927143992487</v>
      </c>
      <c r="AM62">
        <v>1983</v>
      </c>
      <c r="AN62" s="3">
        <f t="shared" si="6"/>
        <v>397.63349423406493</v>
      </c>
      <c r="AO62" s="3">
        <f t="shared" si="19"/>
        <v>140.40077196410078</v>
      </c>
      <c r="AP62" s="3">
        <f t="shared" si="20"/>
        <v>36.148499475824082</v>
      </c>
      <c r="AQ62" s="3">
        <f t="shared" si="21"/>
        <v>176.54927143992487</v>
      </c>
      <c r="AR62" s="3">
        <f t="shared" si="7"/>
        <v>221.08422279414006</v>
      </c>
      <c r="AS62" s="7"/>
      <c r="AT62" s="7">
        <v>32.645402504433889</v>
      </c>
      <c r="AU62" s="7"/>
      <c r="AV62" s="3">
        <f t="shared" si="8"/>
        <v>1218.0382648982761</v>
      </c>
      <c r="AW62" s="3">
        <f t="shared" si="22"/>
        <v>1218.0382648982761</v>
      </c>
      <c r="AX62" s="3">
        <f t="shared" si="9"/>
        <v>488.09747106560366</v>
      </c>
      <c r="AY62" s="3">
        <f t="shared" si="10"/>
        <v>729.9407938326724</v>
      </c>
      <c r="AZ62" s="3">
        <f t="shared" si="11"/>
        <v>729.94079383267251</v>
      </c>
      <c r="BA62" s="9">
        <f t="shared" si="12"/>
        <v>68793.64558899148</v>
      </c>
      <c r="BB62" s="12">
        <v>0</v>
      </c>
      <c r="BC62" s="12">
        <v>0</v>
      </c>
      <c r="BD62" s="23">
        <v>1</v>
      </c>
      <c r="BG62" s="3">
        <f t="shared" si="13"/>
        <v>1396.4937123352786</v>
      </c>
      <c r="BH62" s="3">
        <f t="shared" si="14"/>
        <v>1396.4937123352786</v>
      </c>
    </row>
    <row r="63" spans="1:60">
      <c r="A63">
        <v>1984</v>
      </c>
      <c r="B63" s="3">
        <f t="shared" si="15"/>
        <v>105.93582092484665</v>
      </c>
      <c r="C63" s="3">
        <f t="shared" si="0"/>
        <v>47.643090239969929</v>
      </c>
      <c r="E63" s="3">
        <v>68.183310000000006</v>
      </c>
      <c r="F63" s="3">
        <f t="shared" si="16"/>
        <v>0</v>
      </c>
      <c r="G63" s="3">
        <v>805.9799999999999</v>
      </c>
      <c r="H63" s="3">
        <f t="shared" si="17"/>
        <v>0</v>
      </c>
      <c r="I63" s="48">
        <f t="shared" si="1"/>
        <v>406.78696178324981</v>
      </c>
      <c r="P63" s="44">
        <f t="shared" si="2"/>
        <v>222.91925505722085</v>
      </c>
      <c r="Q63" s="44">
        <f t="shared" si="3"/>
        <v>257.45500570488468</v>
      </c>
      <c r="S63" s="9">
        <f>USA!Z71*G63</f>
        <v>22986.549599999998</v>
      </c>
      <c r="U63" s="3">
        <v>3</v>
      </c>
      <c r="X63" s="6">
        <f t="shared" si="23"/>
        <v>0.45200000000000012</v>
      </c>
      <c r="Y63" s="48">
        <f t="shared" si="4"/>
        <v>146.8870738366426</v>
      </c>
      <c r="Z63" s="6">
        <v>0.1</v>
      </c>
      <c r="AA63" s="48">
        <f t="shared" si="5"/>
        <v>36.980632889386349</v>
      </c>
      <c r="AB63" s="48">
        <f t="shared" si="18"/>
        <v>183.86770672602896</v>
      </c>
      <c r="AM63">
        <v>1984</v>
      </c>
      <c r="AN63" s="3">
        <f t="shared" si="6"/>
        <v>406.78696178324981</v>
      </c>
      <c r="AO63" s="3">
        <f t="shared" si="19"/>
        <v>146.8870738366426</v>
      </c>
      <c r="AP63" s="3">
        <f t="shared" si="20"/>
        <v>36.980632889386349</v>
      </c>
      <c r="AQ63" s="3">
        <f t="shared" si="21"/>
        <v>183.86770672602896</v>
      </c>
      <c r="AR63" s="3">
        <f t="shared" si="7"/>
        <v>222.91925505722085</v>
      </c>
      <c r="AS63" s="7"/>
      <c r="AT63" s="7">
        <v>33.387744919861639</v>
      </c>
      <c r="AU63" s="7"/>
      <c r="AV63" s="3">
        <f t="shared" si="8"/>
        <v>1218.3720786163701</v>
      </c>
      <c r="AW63" s="3">
        <f t="shared" si="22"/>
        <v>1218.3720786163701</v>
      </c>
      <c r="AX63" s="3">
        <f t="shared" si="9"/>
        <v>488.09747106560366</v>
      </c>
      <c r="AY63" s="3">
        <f t="shared" si="10"/>
        <v>730.2746075507664</v>
      </c>
      <c r="AZ63" s="3">
        <f t="shared" si="11"/>
        <v>730.27460755076652</v>
      </c>
      <c r="BA63" s="9">
        <f t="shared" si="12"/>
        <v>68847.266130650838</v>
      </c>
      <c r="BB63" s="12">
        <v>0</v>
      </c>
      <c r="BC63" s="12">
        <v>0</v>
      </c>
      <c r="BD63" s="23">
        <v>1</v>
      </c>
      <c r="BG63" s="3">
        <f t="shared" si="13"/>
        <v>1396.8764332824308</v>
      </c>
      <c r="BH63" s="3">
        <f t="shared" si="14"/>
        <v>1396.8764332824308</v>
      </c>
    </row>
    <row r="64" spans="1:60">
      <c r="A64">
        <v>1985</v>
      </c>
      <c r="B64" s="3">
        <f t="shared" si="15"/>
        <v>96.588601544939195</v>
      </c>
      <c r="C64" s="3">
        <f t="shared" si="0"/>
        <v>49.339718212134507</v>
      </c>
      <c r="E64" s="3">
        <v>70.611400000000003</v>
      </c>
      <c r="F64" s="3">
        <f t="shared" si="16"/>
        <v>0</v>
      </c>
      <c r="G64" s="3">
        <v>870.01999999999987</v>
      </c>
      <c r="H64" s="3">
        <f t="shared" si="17"/>
        <v>0</v>
      </c>
      <c r="I64" s="48">
        <f t="shared" si="1"/>
        <v>414.6214626064006</v>
      </c>
      <c r="P64" s="44">
        <f t="shared" si="2"/>
        <v>223.89558980745628</v>
      </c>
      <c r="Q64" s="44">
        <f t="shared" si="3"/>
        <v>258.9076720161122</v>
      </c>
      <c r="S64" s="9">
        <f>USA!Z72*G64</f>
        <v>23203.433399999998</v>
      </c>
      <c r="U64" s="3">
        <v>3</v>
      </c>
      <c r="X64" s="6">
        <f t="shared" si="23"/>
        <v>0.46000000000000013</v>
      </c>
      <c r="Y64" s="48">
        <f t="shared" si="4"/>
        <v>153.03301256199882</v>
      </c>
      <c r="Z64" s="6">
        <v>0.1</v>
      </c>
      <c r="AA64" s="48">
        <f t="shared" si="5"/>
        <v>37.692860236945506</v>
      </c>
      <c r="AB64" s="48">
        <f t="shared" si="18"/>
        <v>190.72587279894432</v>
      </c>
      <c r="AM64">
        <v>1985</v>
      </c>
      <c r="AN64" s="3">
        <f t="shared" si="6"/>
        <v>414.6214626064006</v>
      </c>
      <c r="AO64" s="3">
        <f t="shared" si="19"/>
        <v>153.03301256199882</v>
      </c>
      <c r="AP64" s="3">
        <f t="shared" si="20"/>
        <v>37.692860236945506</v>
      </c>
      <c r="AQ64" s="3">
        <f t="shared" si="21"/>
        <v>190.72587279894432</v>
      </c>
      <c r="AR64" s="3">
        <f t="shared" si="7"/>
        <v>223.89558980745628</v>
      </c>
      <c r="AS64" s="7"/>
      <c r="AT64" s="7">
        <v>34.208786293960451</v>
      </c>
      <c r="AU64" s="7"/>
      <c r="AV64" s="3">
        <f t="shared" si="8"/>
        <v>1212.0320757465806</v>
      </c>
      <c r="AW64" s="3">
        <f>AZ64+AX64</f>
        <v>1212.0320757465806</v>
      </c>
      <c r="AX64" s="3">
        <f t="shared" si="9"/>
        <v>488.09747106560366</v>
      </c>
      <c r="AY64" s="3">
        <f>AV64-AX64</f>
        <v>723.93460468097692</v>
      </c>
      <c r="AZ64" s="3">
        <f t="shared" si="11"/>
        <v>723.93460468097692</v>
      </c>
      <c r="BA64" s="9">
        <f t="shared" si="12"/>
        <v>67828.870631684928</v>
      </c>
      <c r="BB64" s="12">
        <v>0</v>
      </c>
      <c r="BC64" s="12">
        <v>0</v>
      </c>
      <c r="BD64" s="23">
        <v>1</v>
      </c>
      <c r="BG64" s="3">
        <f t="shared" si="13"/>
        <v>1389.6075531503375</v>
      </c>
      <c r="BH64" s="3">
        <f t="shared" si="14"/>
        <v>1389.6075531503375</v>
      </c>
    </row>
    <row r="65" spans="1:60">
      <c r="A65">
        <v>1986</v>
      </c>
      <c r="B65" s="3">
        <f t="shared" si="15"/>
        <v>81.307863719003819</v>
      </c>
      <c r="C65" s="3">
        <f t="shared" si="0"/>
        <v>50.256813657899102</v>
      </c>
      <c r="E65" s="3">
        <v>71.923879999999997</v>
      </c>
      <c r="F65" s="3">
        <f t="shared" si="16"/>
        <v>0</v>
      </c>
      <c r="G65" s="3">
        <v>881.44999999999993</v>
      </c>
      <c r="H65" s="3">
        <f t="shared" si="17"/>
        <v>0</v>
      </c>
      <c r="I65" s="48">
        <f t="shared" si="1"/>
        <v>360.18463546720699</v>
      </c>
      <c r="P65" s="44">
        <f t="shared" si="2"/>
        <v>191.61822606855407</v>
      </c>
      <c r="Q65" s="44">
        <f t="shared" si="3"/>
        <v>192.3465338927615</v>
      </c>
      <c r="S65" s="9">
        <f>USA!Z73*G65</f>
        <v>13265.8225</v>
      </c>
      <c r="U65" s="3">
        <v>3</v>
      </c>
      <c r="X65" s="6">
        <f t="shared" si="23"/>
        <v>0.46800000000000014</v>
      </c>
      <c r="Y65" s="48">
        <f t="shared" si="4"/>
        <v>135.82235162890683</v>
      </c>
      <c r="Z65" s="6">
        <v>0.1</v>
      </c>
      <c r="AA65" s="48">
        <f t="shared" si="5"/>
        <v>32.744057769746085</v>
      </c>
      <c r="AB65" s="48">
        <f t="shared" si="18"/>
        <v>168.56640939865292</v>
      </c>
      <c r="AM65">
        <v>1986</v>
      </c>
      <c r="AN65" s="3">
        <f t="shared" si="6"/>
        <v>360.18463546720699</v>
      </c>
      <c r="AO65" s="3">
        <f t="shared" si="19"/>
        <v>135.82235162890683</v>
      </c>
      <c r="AP65" s="3">
        <f t="shared" si="20"/>
        <v>32.744057769746085</v>
      </c>
      <c r="AQ65" s="3">
        <f t="shared" si="21"/>
        <v>168.56640939865292</v>
      </c>
      <c r="AR65" s="3">
        <f t="shared" si="7"/>
        <v>191.61822606855407</v>
      </c>
      <c r="AS65" s="7"/>
      <c r="AT65" s="7">
        <v>35.149521075287105</v>
      </c>
      <c r="AU65" s="7"/>
      <c r="AV65" s="3">
        <f t="shared" si="8"/>
        <v>1024.7213175272686</v>
      </c>
      <c r="AW65" s="3">
        <f>AZ65+AX65</f>
        <v>1024.7213175272686</v>
      </c>
      <c r="AX65" s="3">
        <f t="shared" si="9"/>
        <v>488.09747106560366</v>
      </c>
      <c r="AY65" s="3">
        <f t="shared" si="10"/>
        <v>536.62384646166493</v>
      </c>
      <c r="AZ65" s="3">
        <f t="shared" si="11"/>
        <v>536.62384646166493</v>
      </c>
      <c r="BA65" s="9">
        <f t="shared" si="12"/>
        <v>37741.118781066187</v>
      </c>
      <c r="BB65" s="12">
        <v>0</v>
      </c>
      <c r="BC65" s="12">
        <v>0</v>
      </c>
      <c r="BD65" s="23">
        <v>1</v>
      </c>
      <c r="BG65" s="3">
        <f t="shared" si="13"/>
        <v>1174.8537940573351</v>
      </c>
      <c r="BH65" s="3">
        <f t="shared" si="14"/>
        <v>1174.8537940573351</v>
      </c>
    </row>
    <row r="66" spans="1:60">
      <c r="A66">
        <v>1987</v>
      </c>
      <c r="B66" s="3">
        <f t="shared" si="15"/>
        <v>89.629148602815803</v>
      </c>
      <c r="C66" s="3">
        <f t="shared" si="0"/>
        <v>52.136856526716379</v>
      </c>
      <c r="E66" s="3">
        <v>74.614459999999994</v>
      </c>
      <c r="F66" s="3">
        <f t="shared" si="16"/>
        <v>0</v>
      </c>
      <c r="G66" s="3">
        <v>822.56999999999994</v>
      </c>
      <c r="H66" s="3">
        <f t="shared" si="17"/>
        <v>0</v>
      </c>
      <c r="I66" s="48">
        <f t="shared" si="1"/>
        <v>384.38548541773179</v>
      </c>
      <c r="P66" s="44">
        <f t="shared" si="2"/>
        <v>201.41799435889141</v>
      </c>
      <c r="Q66" s="44">
        <f t="shared" si="3"/>
        <v>209.2756237277477</v>
      </c>
      <c r="S66" s="9">
        <f>USA!Z74*G66</f>
        <v>15793.343999999997</v>
      </c>
      <c r="U66" s="3">
        <v>3</v>
      </c>
      <c r="X66" s="6">
        <f t="shared" si="23"/>
        <v>0.47600000000000015</v>
      </c>
      <c r="Y66" s="48">
        <f t="shared" si="4"/>
        <v>148.02335602086475</v>
      </c>
      <c r="Z66" s="6">
        <v>0.1</v>
      </c>
      <c r="AA66" s="48">
        <f t="shared" si="5"/>
        <v>34.94413503797562</v>
      </c>
      <c r="AB66" s="48">
        <f t="shared" si="18"/>
        <v>182.96749105884038</v>
      </c>
      <c r="AM66">
        <v>1987</v>
      </c>
      <c r="AN66" s="3">
        <f t="shared" si="6"/>
        <v>384.38548541773179</v>
      </c>
      <c r="AO66" s="3">
        <f t="shared" si="19"/>
        <v>148.02335602086475</v>
      </c>
      <c r="AP66" s="3">
        <f t="shared" si="20"/>
        <v>34.94413503797562</v>
      </c>
      <c r="AQ66" s="3">
        <f t="shared" si="21"/>
        <v>182.96749105884038</v>
      </c>
      <c r="AR66" s="3">
        <f t="shared" si="7"/>
        <v>201.41799435889141</v>
      </c>
      <c r="AS66" s="7"/>
      <c r="AT66" s="7">
        <v>36.221461959711704</v>
      </c>
      <c r="AU66" s="7"/>
      <c r="AV66" s="3">
        <f t="shared" si="8"/>
        <v>1061.2091964848767</v>
      </c>
      <c r="AW66" s="3">
        <f t="shared" si="22"/>
        <v>1061.2091964848764</v>
      </c>
      <c r="AX66" s="3">
        <f t="shared" si="9"/>
        <v>488.09747106560366</v>
      </c>
      <c r="AY66" s="3">
        <f>AV66-AX66</f>
        <v>573.11172541927294</v>
      </c>
      <c r="AZ66" s="3">
        <f t="shared" si="11"/>
        <v>573.11172541927272</v>
      </c>
      <c r="BA66" s="9">
        <f t="shared" si="12"/>
        <v>43602.171600822097</v>
      </c>
      <c r="BB66" s="12">
        <v>0</v>
      </c>
      <c r="BC66" s="12">
        <v>0</v>
      </c>
      <c r="BD66" s="23">
        <v>1</v>
      </c>
      <c r="BG66" s="3">
        <f t="shared" si="13"/>
        <v>1216.6875319695066</v>
      </c>
      <c r="BH66" s="3">
        <f t="shared" si="14"/>
        <v>1216.6875319695062</v>
      </c>
    </row>
    <row r="67" spans="1:60">
      <c r="A67">
        <v>1988</v>
      </c>
      <c r="B67" s="3">
        <f t="shared" si="15"/>
        <v>95.607123396045679</v>
      </c>
      <c r="C67" s="3">
        <f t="shared" si="0"/>
        <v>54.227069431021505</v>
      </c>
      <c r="E67" s="3">
        <v>77.605819999999994</v>
      </c>
      <c r="F67" s="3">
        <f t="shared" si="16"/>
        <v>0</v>
      </c>
      <c r="G67" s="3">
        <v>731.46999999999991</v>
      </c>
      <c r="H67" s="3">
        <f t="shared" si="17"/>
        <v>0</v>
      </c>
      <c r="I67" s="48">
        <f t="shared" si="1"/>
        <v>379.23019128574452</v>
      </c>
      <c r="P67" s="44">
        <f t="shared" si="2"/>
        <v>195.68277870344411</v>
      </c>
      <c r="Q67" s="44">
        <f t="shared" si="3"/>
        <v>181.73540634659759</v>
      </c>
      <c r="S67" s="9">
        <f>USA!Z75*G67</f>
        <v>11681.5759</v>
      </c>
      <c r="U67" s="3">
        <v>3</v>
      </c>
      <c r="X67" s="6">
        <f t="shared" si="23"/>
        <v>0.48400000000000015</v>
      </c>
      <c r="Y67" s="48">
        <f t="shared" si="4"/>
        <v>149.07194064723274</v>
      </c>
      <c r="Z67" s="6">
        <v>0.1</v>
      </c>
      <c r="AA67" s="48">
        <f t="shared" si="5"/>
        <v>34.475471935067688</v>
      </c>
      <c r="AB67" s="48">
        <f t="shared" si="18"/>
        <v>183.54741258230041</v>
      </c>
      <c r="AM67">
        <v>1988</v>
      </c>
      <c r="AN67" s="3">
        <f t="shared" si="6"/>
        <v>379.23019128574452</v>
      </c>
      <c r="AO67" s="3">
        <f t="shared" si="19"/>
        <v>149.07194064723274</v>
      </c>
      <c r="AP67" s="3">
        <f t="shared" si="20"/>
        <v>34.475471935067688</v>
      </c>
      <c r="AQ67" s="3">
        <f t="shared" si="21"/>
        <v>183.54741258230041</v>
      </c>
      <c r="AR67" s="3">
        <f t="shared" si="7"/>
        <v>195.68277870344411</v>
      </c>
      <c r="AS67" s="7"/>
      <c r="AT67" s="7">
        <v>38.809884215029278</v>
      </c>
      <c r="AU67" s="7"/>
      <c r="AV67" s="3">
        <f t="shared" si="8"/>
        <v>977.14847378721674</v>
      </c>
      <c r="AW67" s="3">
        <f t="shared" si="22"/>
        <v>977.14847378721674</v>
      </c>
      <c r="AX67" s="3">
        <f t="shared" si="9"/>
        <v>488.09747106560366</v>
      </c>
      <c r="AY67" s="3">
        <f t="shared" si="10"/>
        <v>489.05100272161309</v>
      </c>
      <c r="AZ67" s="3">
        <f t="shared" si="11"/>
        <v>489.05100272161303</v>
      </c>
      <c r="BA67" s="9">
        <f t="shared" si="12"/>
        <v>30099.486603148027</v>
      </c>
      <c r="BB67" s="12">
        <v>0</v>
      </c>
      <c r="BC67" s="12">
        <v>0</v>
      </c>
      <c r="BD67" s="23">
        <v>1</v>
      </c>
      <c r="BG67" s="3">
        <f t="shared" si="13"/>
        <v>1120.3110271546554</v>
      </c>
      <c r="BH67" s="3">
        <f t="shared" si="14"/>
        <v>1120.3110271546554</v>
      </c>
    </row>
    <row r="68" spans="1:60">
      <c r="A68">
        <v>1989</v>
      </c>
      <c r="B68" s="3">
        <f t="shared" si="15"/>
        <v>106.38942121289617</v>
      </c>
      <c r="C68" s="3">
        <f t="shared" si="0"/>
        <v>56.844608024141067</v>
      </c>
      <c r="E68" s="3">
        <v>81.351849999999999</v>
      </c>
      <c r="F68" s="3">
        <f t="shared" si="16"/>
        <v>0</v>
      </c>
      <c r="G68" s="3">
        <v>671.45999999999992</v>
      </c>
      <c r="H68" s="3">
        <f t="shared" si="17"/>
        <v>0</v>
      </c>
      <c r="I68" s="48">
        <f>AN68</f>
        <v>406.07651051530274</v>
      </c>
      <c r="P68" s="44">
        <f t="shared" si="2"/>
        <v>206.28686734177373</v>
      </c>
      <c r="Q68" s="44">
        <f t="shared" si="3"/>
        <v>191.82176604279448</v>
      </c>
      <c r="S68" s="9">
        <f>USA!Z76*G68</f>
        <v>13187.474399999999</v>
      </c>
      <c r="U68" s="3">
        <v>3</v>
      </c>
      <c r="X68" s="6">
        <f>X67+(X$69-X$44)/25</f>
        <v>0.49200000000000016</v>
      </c>
      <c r="Y68" s="48">
        <f t="shared" si="4"/>
        <v>162.87359676304695</v>
      </c>
      <c r="Z68" s="6">
        <v>0.1</v>
      </c>
      <c r="AA68" s="48">
        <f t="shared" si="5"/>
        <v>36.916046410482068</v>
      </c>
      <c r="AB68" s="48">
        <f t="shared" si="18"/>
        <v>199.78964317352902</v>
      </c>
      <c r="AN68" s="7">
        <f>AW68*AT68/100</f>
        <v>406.07651051530274</v>
      </c>
      <c r="AO68" s="7">
        <f t="shared" si="19"/>
        <v>162.87359676304695</v>
      </c>
      <c r="AP68" s="7">
        <f t="shared" si="20"/>
        <v>36.916046410482068</v>
      </c>
      <c r="AQ68" s="7">
        <f t="shared" si="21"/>
        <v>199.78964317352902</v>
      </c>
      <c r="AR68" s="7">
        <f t="shared" si="7"/>
        <v>206.28686734177373</v>
      </c>
      <c r="AS68" s="7"/>
      <c r="AT68" s="7">
        <v>41.02210971110069</v>
      </c>
      <c r="AU68" s="7"/>
      <c r="AV68" s="7">
        <f t="shared" si="8"/>
        <v>989.89670052346776</v>
      </c>
      <c r="AW68" s="7">
        <f t="shared" si="22"/>
        <v>989.89670052346764</v>
      </c>
      <c r="AX68" s="7">
        <f>AX$69</f>
        <v>488.09747106560366</v>
      </c>
      <c r="AY68" s="3">
        <f t="shared" si="10"/>
        <v>501.7992294578641</v>
      </c>
      <c r="AZ68" s="3">
        <f t="shared" si="11"/>
        <v>501.79922945786393</v>
      </c>
      <c r="BA68" s="9">
        <f t="shared" si="12"/>
        <v>32147.235948792353</v>
      </c>
      <c r="BB68" s="12">
        <v>0</v>
      </c>
      <c r="BC68" s="12">
        <v>0</v>
      </c>
      <c r="BD68" s="23">
        <v>1</v>
      </c>
      <c r="BG68" s="3">
        <f t="shared" si="13"/>
        <v>1134.9270035107725</v>
      </c>
      <c r="BH68" s="3">
        <f t="shared" si="14"/>
        <v>1134.9270035107722</v>
      </c>
    </row>
    <row r="69" spans="1:60">
      <c r="A69">
        <v>1990</v>
      </c>
      <c r="B69" s="3">
        <f t="shared" si="15"/>
        <v>102.53371633943435</v>
      </c>
      <c r="C69" s="3">
        <f t="shared" si="0"/>
        <v>59.913057002261802</v>
      </c>
      <c r="E69" s="3">
        <v>85.743189999999998</v>
      </c>
      <c r="F69" s="3">
        <f t="shared" si="16"/>
        <v>0</v>
      </c>
      <c r="G69" s="3">
        <v>707.76400000000001</v>
      </c>
      <c r="H69" s="3">
        <f t="shared" si="17"/>
        <v>0</v>
      </c>
      <c r="I69" s="44">
        <f>K69</f>
        <v>434.78709677419357</v>
      </c>
      <c r="J69" s="44">
        <f t="shared" ref="J69:J89" si="24">Q69+AB69</f>
        <v>437.17219767547522</v>
      </c>
      <c r="K69" s="9">
        <f t="shared" ref="K69:K77" si="25">K$79*L69/L$79</f>
        <v>434.78709677419357</v>
      </c>
      <c r="L69" s="3">
        <v>27</v>
      </c>
      <c r="P69" s="44">
        <f t="shared" si="2"/>
        <v>217.39354838709679</v>
      </c>
      <c r="Q69" s="44">
        <f t="shared" si="3"/>
        <v>219.7786492883784</v>
      </c>
      <c r="S69" s="9">
        <f>USA!Z77*G69</f>
        <v>17361.450919999999</v>
      </c>
      <c r="T69" s="3">
        <v>0</v>
      </c>
      <c r="U69" s="3">
        <v>3</v>
      </c>
      <c r="V69" s="3">
        <v>0</v>
      </c>
      <c r="X69" s="3">
        <f>AB69/I69</f>
        <v>0.5</v>
      </c>
      <c r="Y69" s="48">
        <f>AB69-AA69</f>
        <v>177.86744868035191</v>
      </c>
      <c r="Z69" s="3">
        <v>0.1</v>
      </c>
      <c r="AA69" s="9">
        <f t="shared" si="5"/>
        <v>39.526099706744873</v>
      </c>
      <c r="AB69" s="9">
        <f>K69*AD69</f>
        <v>217.39354838709679</v>
      </c>
      <c r="AD69" s="6">
        <v>0.5</v>
      </c>
      <c r="AM69">
        <v>1990</v>
      </c>
      <c r="AN69" s="7">
        <f t="shared" ref="AN69:AN89" si="26">I69</f>
        <v>434.78709677419357</v>
      </c>
      <c r="AO69" s="7">
        <f t="shared" si="19"/>
        <v>177.86744868035191</v>
      </c>
      <c r="AP69" s="7">
        <f t="shared" si="20"/>
        <v>39.526099706744873</v>
      </c>
      <c r="AQ69" s="7">
        <f t="shared" si="21"/>
        <v>217.39354838709679</v>
      </c>
      <c r="AR69" s="7">
        <f t="shared" si="7"/>
        <v>217.39354838709679</v>
      </c>
      <c r="AS69" s="7"/>
      <c r="AT69" s="7">
        <v>44.538962251225762</v>
      </c>
      <c r="AU69" s="7"/>
      <c r="AV69" s="7">
        <f t="shared" si="8"/>
        <v>976.19494213120731</v>
      </c>
      <c r="AW69" s="7">
        <f t="shared" si="22"/>
        <v>1032.4362347059182</v>
      </c>
      <c r="AX69" s="7">
        <f t="shared" ref="AX69:AX96" si="27">AQ69/$AT69*100</f>
        <v>488.09747106560366</v>
      </c>
      <c r="AY69" s="3">
        <f t="shared" ref="AY69:AY96" si="28">AV69-AX69</f>
        <v>488.09747106560366</v>
      </c>
      <c r="AZ69" s="3">
        <f t="shared" si="11"/>
        <v>544.3387636403146</v>
      </c>
      <c r="BA69" s="9">
        <f t="shared" si="12"/>
        <v>38980.366947193957</v>
      </c>
      <c r="BB69" s="12">
        <v>0</v>
      </c>
      <c r="BC69" s="12">
        <v>0</v>
      </c>
      <c r="BD69" s="23">
        <v>1</v>
      </c>
      <c r="BG69" s="3">
        <f t="shared" si="13"/>
        <v>1119.2177930580722</v>
      </c>
      <c r="BH69" s="3">
        <f t="shared" si="14"/>
        <v>1183.6990279400911</v>
      </c>
    </row>
    <row r="70" spans="1:60">
      <c r="A70">
        <v>1991</v>
      </c>
      <c r="B70" s="3">
        <f t="shared" si="15"/>
        <v>107.241965402844</v>
      </c>
      <c r="C70" s="3">
        <f t="shared" si="0"/>
        <v>62.450351141377027</v>
      </c>
      <c r="E70" s="3">
        <v>89.374380000000002</v>
      </c>
      <c r="F70" s="3">
        <f t="shared" si="16"/>
        <v>0</v>
      </c>
      <c r="G70" s="3">
        <v>733.35299999999995</v>
      </c>
      <c r="H70" s="3">
        <f t="shared" si="17"/>
        <v>0</v>
      </c>
      <c r="I70" s="44">
        <f t="shared" ref="I70:I77" si="29">K70</f>
        <v>491.14838709677417</v>
      </c>
      <c r="J70" s="44">
        <f t="shared" si="24"/>
        <v>479.26511877040906</v>
      </c>
      <c r="K70" s="9">
        <f t="shared" si="25"/>
        <v>491.14838709677417</v>
      </c>
      <c r="L70" s="3">
        <v>30.5</v>
      </c>
      <c r="M70" s="9">
        <f>G70*N70/100</f>
        <v>396.01061999999996</v>
      </c>
      <c r="N70" s="6">
        <v>54</v>
      </c>
      <c r="P70" s="44">
        <f t="shared" si="2"/>
        <v>241.95354838709679</v>
      </c>
      <c r="Q70" s="44">
        <f t="shared" si="3"/>
        <v>230.07028006073168</v>
      </c>
      <c r="S70" s="9">
        <f>USA!Z78*G70</f>
        <v>15796.423619999998</v>
      </c>
      <c r="T70" s="3">
        <v>0</v>
      </c>
      <c r="U70" s="3">
        <v>2</v>
      </c>
      <c r="V70" s="3">
        <v>0</v>
      </c>
      <c r="X70" s="3">
        <f t="shared" ref="X70:X88" si="30">AB70/I70</f>
        <v>0.50737179487179485</v>
      </c>
      <c r="Y70" s="48">
        <f t="shared" ref="Y70:Y75" si="31">AB70-AA70</f>
        <v>204.54498533724336</v>
      </c>
      <c r="Z70" s="3">
        <v>0.1</v>
      </c>
      <c r="AA70" s="9">
        <f t="shared" si="5"/>
        <v>44.649853372434016</v>
      </c>
      <c r="AB70" s="9">
        <f t="shared" ref="AB70:AB78" si="32">K70*AD70</f>
        <v>249.19483870967738</v>
      </c>
      <c r="AD70" s="6">
        <f>AD69+(AD$79-AD$69)/10</f>
        <v>0.50737179487179485</v>
      </c>
      <c r="AM70">
        <v>1991</v>
      </c>
      <c r="AN70" s="3">
        <f t="shared" si="26"/>
        <v>491.14838709677417</v>
      </c>
      <c r="AO70" s="3">
        <f t="shared" si="19"/>
        <v>204.54498533724336</v>
      </c>
      <c r="AP70" s="3">
        <f t="shared" si="20"/>
        <v>44.649853372434016</v>
      </c>
      <c r="AQ70" s="3">
        <f t="shared" si="21"/>
        <v>249.19483870967738</v>
      </c>
      <c r="AR70" s="3">
        <f t="shared" si="7"/>
        <v>241.95354838709679</v>
      </c>
      <c r="AS70" s="7"/>
      <c r="AT70" s="7">
        <v>48.696250366457051</v>
      </c>
      <c r="AU70" s="7"/>
      <c r="AV70" s="3">
        <f t="shared" si="8"/>
        <v>1008.5959050249319</v>
      </c>
      <c r="AW70" s="3">
        <f t="shared" si="22"/>
        <v>1015.3467594808578</v>
      </c>
      <c r="AX70" s="3">
        <f t="shared" si="27"/>
        <v>511.73311463284199</v>
      </c>
      <c r="AY70" s="3">
        <f t="shared" si="28"/>
        <v>496.86279039208989</v>
      </c>
      <c r="AZ70" s="3">
        <f t="shared" si="11"/>
        <v>503.61364484801584</v>
      </c>
      <c r="BA70" s="9">
        <f t="shared" si="12"/>
        <v>32438.685732733313</v>
      </c>
      <c r="BB70" s="12">
        <v>0</v>
      </c>
      <c r="BC70" s="12">
        <v>0</v>
      </c>
      <c r="BD70" s="23">
        <v>1</v>
      </c>
      <c r="BG70" s="3">
        <f t="shared" si="13"/>
        <v>1156.3658386151417</v>
      </c>
      <c r="BH70" s="3">
        <f t="shared" si="14"/>
        <v>1164.105764422299</v>
      </c>
    </row>
    <row r="71" spans="1:60">
      <c r="A71">
        <v>1992</v>
      </c>
      <c r="B71" s="3">
        <f t="shared" si="15"/>
        <v>105.47711577359318</v>
      </c>
      <c r="C71" s="3">
        <f t="shared" si="0"/>
        <v>64.341860498266513</v>
      </c>
      <c r="E71" s="3">
        <v>92.081370000000007</v>
      </c>
      <c r="F71" s="3">
        <f t="shared" si="16"/>
        <v>0</v>
      </c>
      <c r="G71" s="3">
        <v>780.65099999999995</v>
      </c>
      <c r="H71" s="3">
        <f t="shared" si="17"/>
        <v>0</v>
      </c>
      <c r="I71" s="44">
        <f t="shared" si="29"/>
        <v>529.79612903225802</v>
      </c>
      <c r="J71" s="44">
        <f t="shared" si="24"/>
        <v>525.35771092111975</v>
      </c>
      <c r="K71" s="9">
        <f t="shared" si="25"/>
        <v>529.79612903225802</v>
      </c>
      <c r="L71" s="3">
        <v>32.9</v>
      </c>
      <c r="M71" s="9">
        <f>G71*N71/100</f>
        <v>470.34222750000004</v>
      </c>
      <c r="N71" s="3">
        <f>N70+(N$74-N$70)/4</f>
        <v>60.25</v>
      </c>
      <c r="P71" s="44">
        <f t="shared" si="2"/>
        <v>257.0869677419355</v>
      </c>
      <c r="Q71" s="44">
        <f t="shared" si="3"/>
        <v>252.64854963079722</v>
      </c>
      <c r="S71" s="9">
        <f>USA!Z79*G71</f>
        <v>16065.797579999999</v>
      </c>
      <c r="T71" s="3">
        <v>0</v>
      </c>
      <c r="U71" s="3">
        <v>1</v>
      </c>
      <c r="V71" s="3">
        <v>0</v>
      </c>
      <c r="X71" s="3">
        <f t="shared" si="30"/>
        <v>0.51474358974358969</v>
      </c>
      <c r="Y71" s="48">
        <f t="shared" si="31"/>
        <v>224.54587683284453</v>
      </c>
      <c r="Z71" s="3">
        <v>0.1</v>
      </c>
      <c r="AA71" s="9">
        <f t="shared" si="5"/>
        <v>48.163284457477999</v>
      </c>
      <c r="AB71" s="9">
        <f t="shared" si="32"/>
        <v>272.70916129032253</v>
      </c>
      <c r="AD71" s="6">
        <f t="shared" ref="AD71:AD78" si="33">AD70+(AD$79-AD$69)/10</f>
        <v>0.51474358974358969</v>
      </c>
      <c r="AM71">
        <v>1992</v>
      </c>
      <c r="AN71" s="3">
        <f t="shared" si="26"/>
        <v>529.79612903225802</v>
      </c>
      <c r="AO71" s="3">
        <f t="shared" si="19"/>
        <v>224.54587683284453</v>
      </c>
      <c r="AP71" s="3">
        <f t="shared" si="20"/>
        <v>48.163284457477999</v>
      </c>
      <c r="AQ71" s="3">
        <f t="shared" si="21"/>
        <v>272.70916129032253</v>
      </c>
      <c r="AR71" s="3">
        <f t="shared" si="7"/>
        <v>257.0869677419355</v>
      </c>
      <c r="AS71" s="7"/>
      <c r="AT71" s="7">
        <v>51.721415806335024</v>
      </c>
      <c r="AU71" s="7"/>
      <c r="AV71" s="3">
        <f t="shared" si="8"/>
        <v>1024.3264241180473</v>
      </c>
      <c r="AW71" s="3">
        <f t="shared" si="22"/>
        <v>1022.3096733580869</v>
      </c>
      <c r="AX71" s="3">
        <f t="shared" si="27"/>
        <v>527.26546061973841</v>
      </c>
      <c r="AY71" s="3">
        <f t="shared" si="28"/>
        <v>497.06096349830887</v>
      </c>
      <c r="AZ71" s="3">
        <f t="shared" si="11"/>
        <v>495.04421273834851</v>
      </c>
      <c r="BA71" s="9">
        <f t="shared" si="12"/>
        <v>31062.176720290405</v>
      </c>
      <c r="BB71" s="12">
        <v>0</v>
      </c>
      <c r="BC71" s="12">
        <v>0</v>
      </c>
      <c r="BD71" s="23">
        <v>1</v>
      </c>
      <c r="BG71" s="3">
        <f t="shared" si="13"/>
        <v>1174.4010446003497</v>
      </c>
      <c r="BH71" s="3">
        <f t="shared" si="14"/>
        <v>1172.088818591697</v>
      </c>
    </row>
    <row r="72" spans="1:60">
      <c r="A72">
        <v>1993</v>
      </c>
      <c r="B72" s="3">
        <f t="shared" si="15"/>
        <v>106.00256680519414</v>
      </c>
      <c r="C72" s="3">
        <f t="shared" si="0"/>
        <v>66.241014180537462</v>
      </c>
      <c r="E72" s="3">
        <v>94.799300000000002</v>
      </c>
      <c r="F72" s="3">
        <f t="shared" si="16"/>
        <v>0</v>
      </c>
      <c r="G72" s="3">
        <v>802.67100000000005</v>
      </c>
      <c r="H72" s="3">
        <f t="shared" si="17"/>
        <v>0</v>
      </c>
      <c r="I72" s="44">
        <f>K72</f>
        <v>563.61290322580646</v>
      </c>
      <c r="J72" s="44">
        <f t="shared" si="24"/>
        <v>559.16999127621386</v>
      </c>
      <c r="K72" s="9">
        <f t="shared" si="25"/>
        <v>563.61290322580646</v>
      </c>
      <c r="L72" s="3">
        <v>35</v>
      </c>
      <c r="M72" s="9">
        <f>G72*N72/100</f>
        <v>533.77621499999998</v>
      </c>
      <c r="N72" s="3">
        <f>N71+(N$74-N$70)/4</f>
        <v>66.5</v>
      </c>
      <c r="P72" s="44">
        <f t="shared" si="2"/>
        <v>269.341935483871</v>
      </c>
      <c r="Q72" s="44">
        <f t="shared" si="3"/>
        <v>264.8990235342784</v>
      </c>
      <c r="S72" s="9">
        <f>USA!Z80*G72</f>
        <v>14793.22653</v>
      </c>
      <c r="T72" s="3">
        <v>0</v>
      </c>
      <c r="U72" s="3">
        <v>0</v>
      </c>
      <c r="V72" s="3">
        <v>0</v>
      </c>
      <c r="X72" s="3">
        <f t="shared" si="30"/>
        <v>0.52211538461538454</v>
      </c>
      <c r="Y72" s="48">
        <f t="shared" si="31"/>
        <v>243.03343108504396</v>
      </c>
      <c r="Z72" s="3">
        <v>0.1</v>
      </c>
      <c r="AA72" s="9">
        <f t="shared" si="5"/>
        <v>51.2375366568915</v>
      </c>
      <c r="AB72" s="9">
        <f t="shared" si="32"/>
        <v>294.27096774193546</v>
      </c>
      <c r="AD72" s="6">
        <f t="shared" si="33"/>
        <v>0.52211538461538454</v>
      </c>
      <c r="AM72">
        <v>1993</v>
      </c>
      <c r="AN72" s="3">
        <f t="shared" si="26"/>
        <v>563.61290322580646</v>
      </c>
      <c r="AO72" s="3">
        <f t="shared" si="19"/>
        <v>243.03343108504396</v>
      </c>
      <c r="AP72" s="3">
        <f t="shared" si="20"/>
        <v>51.2375366568915</v>
      </c>
      <c r="AQ72" s="3">
        <f t="shared" si="21"/>
        <v>294.27096774193546</v>
      </c>
      <c r="AR72" s="3">
        <f t="shared" si="7"/>
        <v>269.341935483871</v>
      </c>
      <c r="AS72" s="7"/>
      <c r="AT72" s="7">
        <v>54.204702695876485</v>
      </c>
      <c r="AU72" s="7"/>
      <c r="AV72" s="3">
        <f t="shared" si="8"/>
        <v>1039.7859875517447</v>
      </c>
      <c r="AW72" s="3">
        <f t="shared" si="22"/>
        <v>1014.4576202349685</v>
      </c>
      <c r="AX72" s="3">
        <f t="shared" si="27"/>
        <v>542.88826080826664</v>
      </c>
      <c r="AY72" s="3">
        <f t="shared" si="28"/>
        <v>496.89772674347807</v>
      </c>
      <c r="AZ72" s="3">
        <f t="shared" si="11"/>
        <v>471.56935942670191</v>
      </c>
      <c r="BA72" s="9">
        <f t="shared" si="12"/>
        <v>27291.407930045461</v>
      </c>
      <c r="BB72" s="12">
        <v>0</v>
      </c>
      <c r="BC72" s="12">
        <v>0</v>
      </c>
      <c r="BD72" s="23">
        <v>1</v>
      </c>
      <c r="BG72" s="3">
        <f t="shared" si="13"/>
        <v>1192.1255970653824</v>
      </c>
      <c r="BH72" s="3">
        <f t="shared" si="14"/>
        <v>1163.0863569027999</v>
      </c>
    </row>
    <row r="73" spans="1:60">
      <c r="A73">
        <v>1994</v>
      </c>
      <c r="B73" s="3">
        <f t="shared" si="15"/>
        <v>105.27337774394034</v>
      </c>
      <c r="C73" s="3">
        <f t="shared" si="0"/>
        <v>67.968212466727536</v>
      </c>
      <c r="E73" s="3">
        <v>97.271140000000003</v>
      </c>
      <c r="F73" s="3">
        <f t="shared" si="16"/>
        <v>0</v>
      </c>
      <c r="G73" s="3">
        <v>803.44600000000003</v>
      </c>
      <c r="H73" s="3">
        <f t="shared" si="17"/>
        <v>0</v>
      </c>
      <c r="I73" s="44">
        <f t="shared" si="29"/>
        <v>574.88516129032269</v>
      </c>
      <c r="J73" s="44">
        <f t="shared" si="24"/>
        <v>562.76988933054656</v>
      </c>
      <c r="K73" s="9">
        <f t="shared" si="25"/>
        <v>574.88516129032269</v>
      </c>
      <c r="L73" s="3">
        <v>35.700000000000003</v>
      </c>
      <c r="M73" s="9">
        <f>G73*N73/100</f>
        <v>584.50696500000004</v>
      </c>
      <c r="N73" s="3">
        <f>N72+(N$74-N$70)/4</f>
        <v>72.75</v>
      </c>
      <c r="P73" s="44">
        <f t="shared" si="2"/>
        <v>270.49083870967752</v>
      </c>
      <c r="Q73" s="44">
        <f t="shared" si="3"/>
        <v>258.3755667499014</v>
      </c>
      <c r="S73" s="9">
        <f>USA!Z81*G73</f>
        <v>13819.271199999999</v>
      </c>
      <c r="T73" s="3">
        <v>0</v>
      </c>
      <c r="U73" s="3">
        <v>0</v>
      </c>
      <c r="V73" s="3">
        <v>0</v>
      </c>
      <c r="X73" s="3">
        <f t="shared" si="30"/>
        <v>0.52948717948717938</v>
      </c>
      <c r="Y73" s="48">
        <f t="shared" si="31"/>
        <v>252.13203519061582</v>
      </c>
      <c r="Z73" s="3">
        <v>0.1</v>
      </c>
      <c r="AA73" s="9">
        <f t="shared" si="5"/>
        <v>52.262287390029343</v>
      </c>
      <c r="AB73" s="9">
        <f t="shared" si="32"/>
        <v>304.39432258064517</v>
      </c>
      <c r="AD73" s="6">
        <f t="shared" si="33"/>
        <v>0.52948717948717938</v>
      </c>
      <c r="AM73">
        <v>1994</v>
      </c>
      <c r="AN73" s="3">
        <f t="shared" si="26"/>
        <v>574.88516129032269</v>
      </c>
      <c r="AO73" s="3">
        <f t="shared" si="19"/>
        <v>252.13203519061582</v>
      </c>
      <c r="AP73" s="3">
        <f t="shared" si="20"/>
        <v>52.262287390029343</v>
      </c>
      <c r="AQ73" s="3">
        <f t="shared" si="21"/>
        <v>304.39432258064517</v>
      </c>
      <c r="AR73" s="3">
        <f t="shared" si="7"/>
        <v>270.49083870967752</v>
      </c>
      <c r="AS73" s="7"/>
      <c r="AT73" s="7">
        <v>57.60107017219417</v>
      </c>
      <c r="AU73" s="7"/>
      <c r="AV73" s="3">
        <f t="shared" si="8"/>
        <v>998.04597305526738</v>
      </c>
      <c r="AW73" s="3">
        <f t="shared" si="22"/>
        <v>979.47742135268095</v>
      </c>
      <c r="AX73" s="3">
        <f t="shared" si="27"/>
        <v>528.45254727157101</v>
      </c>
      <c r="AY73" s="3">
        <f t="shared" si="28"/>
        <v>469.59342578369638</v>
      </c>
      <c r="AZ73" s="3">
        <f t="shared" si="11"/>
        <v>451.02487408110994</v>
      </c>
      <c r="BA73" s="9">
        <f t="shared" si="12"/>
        <v>23991.344533510059</v>
      </c>
      <c r="BB73" s="12">
        <v>0</v>
      </c>
      <c r="BC73" s="12">
        <v>0</v>
      </c>
      <c r="BD73" s="23">
        <v>1</v>
      </c>
      <c r="BG73" s="3">
        <f t="shared" si="13"/>
        <v>1144.2702303852707</v>
      </c>
      <c r="BH73" s="3">
        <f t="shared" si="14"/>
        <v>1122.9811900922714</v>
      </c>
    </row>
    <row r="74" spans="1:60">
      <c r="A74">
        <v>1995</v>
      </c>
      <c r="B74" s="3">
        <f t="shared" si="15"/>
        <v>109.3613839232505</v>
      </c>
      <c r="C74" s="3">
        <f t="shared" si="0"/>
        <v>69.875003486879606</v>
      </c>
      <c r="E74" s="3">
        <v>100</v>
      </c>
      <c r="F74" s="3">
        <f t="shared" si="16"/>
        <v>0</v>
      </c>
      <c r="G74" s="3">
        <v>771.27300000000002</v>
      </c>
      <c r="H74" s="3">
        <f t="shared" si="17"/>
        <v>0</v>
      </c>
      <c r="I74" s="44">
        <f t="shared" si="29"/>
        <v>589.37806451612903</v>
      </c>
      <c r="J74" s="44">
        <f t="shared" si="24"/>
        <v>577.43608469922196</v>
      </c>
      <c r="K74" s="9">
        <f t="shared" si="25"/>
        <v>589.37806451612903</v>
      </c>
      <c r="L74" s="3">
        <v>36.6</v>
      </c>
      <c r="M74" s="9">
        <f>G74*N74/100</f>
        <v>609.30567000000008</v>
      </c>
      <c r="N74" s="6">
        <v>79</v>
      </c>
      <c r="P74" s="44">
        <f t="shared" si="2"/>
        <v>272.96516129032267</v>
      </c>
      <c r="Q74" s="44">
        <f t="shared" si="3"/>
        <v>261.02318147341566</v>
      </c>
      <c r="S74" s="9">
        <f>USA!Z82*G74</f>
        <v>14214.561390000001</v>
      </c>
      <c r="T74" s="3">
        <v>0</v>
      </c>
      <c r="U74" s="3">
        <v>0</v>
      </c>
      <c r="V74" s="3">
        <v>0</v>
      </c>
      <c r="X74" s="3">
        <f t="shared" si="30"/>
        <v>0.53685897435897423</v>
      </c>
      <c r="Y74" s="48">
        <f t="shared" si="31"/>
        <v>262.83307917888555</v>
      </c>
      <c r="Z74" s="3">
        <v>0.1</v>
      </c>
      <c r="AA74" s="9">
        <f t="shared" si="5"/>
        <v>53.57982404692082</v>
      </c>
      <c r="AB74" s="9">
        <f t="shared" si="32"/>
        <v>316.41290322580636</v>
      </c>
      <c r="AD74" s="6">
        <f t="shared" si="33"/>
        <v>0.53685897435897423</v>
      </c>
      <c r="AM74">
        <v>1995</v>
      </c>
      <c r="AN74" s="3">
        <f t="shared" si="26"/>
        <v>589.37806451612903</v>
      </c>
      <c r="AO74" s="3">
        <f t="shared" si="19"/>
        <v>262.83307917888555</v>
      </c>
      <c r="AP74" s="3">
        <f t="shared" si="20"/>
        <v>53.57982404692082</v>
      </c>
      <c r="AQ74" s="3">
        <f t="shared" si="21"/>
        <v>316.41290322580636</v>
      </c>
      <c r="AR74" s="3">
        <f t="shared" si="7"/>
        <v>272.96516129032267</v>
      </c>
      <c r="AS74" s="7"/>
      <c r="AT74" s="7">
        <v>60.182060652501953</v>
      </c>
      <c r="AU74" s="7"/>
      <c r="AV74" s="3">
        <f t="shared" si="8"/>
        <v>979.32516455238192</v>
      </c>
      <c r="AW74" s="3">
        <f t="shared" si="22"/>
        <v>974.46801340548757</v>
      </c>
      <c r="AX74" s="3">
        <f t="shared" si="27"/>
        <v>525.75950340552538</v>
      </c>
      <c r="AY74" s="3">
        <f t="shared" si="28"/>
        <v>453.56566114685654</v>
      </c>
      <c r="AZ74" s="3">
        <f t="shared" si="11"/>
        <v>448.70850999996219</v>
      </c>
      <c r="BA74" s="9">
        <f t="shared" si="12"/>
        <v>23619.266664989242</v>
      </c>
      <c r="BB74" s="12">
        <v>0</v>
      </c>
      <c r="BC74" s="12">
        <v>0</v>
      </c>
      <c r="BD74" s="23">
        <v>1</v>
      </c>
      <c r="BG74" s="3">
        <f t="shared" si="13"/>
        <v>1122.8066260655035</v>
      </c>
      <c r="BH74" s="3">
        <f t="shared" si="14"/>
        <v>1117.2378510672349</v>
      </c>
    </row>
    <row r="75" spans="1:60">
      <c r="A75">
        <v>1996</v>
      </c>
      <c r="B75" s="3">
        <f t="shared" si="15"/>
        <v>117.17242672602109</v>
      </c>
      <c r="C75" s="3">
        <f t="shared" si="0"/>
        <v>71.923179589087013</v>
      </c>
      <c r="E75" s="3">
        <v>102.9312</v>
      </c>
      <c r="F75" s="3">
        <f t="shared" si="16"/>
        <v>0</v>
      </c>
      <c r="G75" s="3">
        <v>804.45299999999997</v>
      </c>
      <c r="H75" s="3">
        <f t="shared" si="17"/>
        <v>0</v>
      </c>
      <c r="I75" s="44">
        <f>K75</f>
        <v>677.94580645161295</v>
      </c>
      <c r="J75" s="44">
        <f t="shared" si="24"/>
        <v>653.96022751335886</v>
      </c>
      <c r="K75" s="9">
        <f t="shared" si="25"/>
        <v>677.94580645161295</v>
      </c>
      <c r="L75" s="3">
        <v>42.1</v>
      </c>
      <c r="M75" s="9">
        <f t="shared" ref="M75:M87" si="34">G75*N75/100</f>
        <v>673.05900999999994</v>
      </c>
      <c r="N75" s="3">
        <f>N74+(N$77-N$74)/3</f>
        <v>83.666666666666671</v>
      </c>
      <c r="P75" s="44">
        <f t="shared" si="2"/>
        <v>308.98683870967756</v>
      </c>
      <c r="Q75" s="44">
        <f t="shared" si="3"/>
        <v>285.00125977142346</v>
      </c>
      <c r="S75" s="9">
        <f>USA!Z83*G75</f>
        <v>17794.500360000002</v>
      </c>
      <c r="T75" s="3">
        <v>0</v>
      </c>
      <c r="U75" s="3">
        <v>0</v>
      </c>
      <c r="V75" s="3">
        <v>0</v>
      </c>
      <c r="X75" s="3">
        <f t="shared" si="30"/>
        <v>0.54423076923076907</v>
      </c>
      <c r="Y75" s="48">
        <f t="shared" si="31"/>
        <v>307.32753079178877</v>
      </c>
      <c r="Z75" s="3">
        <v>0.1</v>
      </c>
      <c r="AA75" s="9">
        <f t="shared" si="5"/>
        <v>61.631436950146636</v>
      </c>
      <c r="AB75" s="9">
        <f t="shared" si="32"/>
        <v>368.9589677419354</v>
      </c>
      <c r="AD75" s="6">
        <f t="shared" si="33"/>
        <v>0.54423076923076907</v>
      </c>
      <c r="AM75">
        <v>1996</v>
      </c>
      <c r="AN75" s="3">
        <f t="shared" si="26"/>
        <v>677.94580645161295</v>
      </c>
      <c r="AO75" s="3">
        <f t="shared" si="19"/>
        <v>307.32753079178877</v>
      </c>
      <c r="AP75" s="3">
        <f t="shared" si="20"/>
        <v>61.631436950146636</v>
      </c>
      <c r="AQ75" s="3">
        <f t="shared" si="21"/>
        <v>368.9589677419354</v>
      </c>
      <c r="AR75" s="3">
        <f t="shared" si="7"/>
        <v>308.98683870967756</v>
      </c>
      <c r="AS75" s="7"/>
      <c r="AT75" s="7">
        <v>63.145826131555104</v>
      </c>
      <c r="AU75" s="7"/>
      <c r="AV75" s="3">
        <f t="shared" si="8"/>
        <v>1073.619347443823</v>
      </c>
      <c r="AW75" s="3">
        <f t="shared" si="22"/>
        <v>1061.3980213394038</v>
      </c>
      <c r="AX75" s="3">
        <f t="shared" si="27"/>
        <v>584.29668332038807</v>
      </c>
      <c r="AY75" s="3">
        <f t="shared" si="28"/>
        <v>489.32266412343495</v>
      </c>
      <c r="AZ75" s="3">
        <f t="shared" si="11"/>
        <v>477.10133801901566</v>
      </c>
      <c r="BA75" s="9">
        <f t="shared" si="12"/>
        <v>28180.010382519602</v>
      </c>
      <c r="BB75" s="12">
        <v>0</v>
      </c>
      <c r="BC75" s="12">
        <v>0</v>
      </c>
      <c r="BD75" s="23">
        <v>1</v>
      </c>
      <c r="BG75" s="3">
        <f t="shared" si="13"/>
        <v>1230.9159008826518</v>
      </c>
      <c r="BH75" s="3">
        <f t="shared" si="14"/>
        <v>1216.9040216559795</v>
      </c>
    </row>
    <row r="76" spans="1:60">
      <c r="A76">
        <v>1997</v>
      </c>
      <c r="B76" s="3">
        <f t="shared" si="15"/>
        <v>119.13125871298622</v>
      </c>
      <c r="C76" s="3">
        <f t="shared" si="0"/>
        <v>73.604511922988308</v>
      </c>
      <c r="E76" s="3">
        <v>105.3374</v>
      </c>
      <c r="F76" s="3">
        <f t="shared" si="16"/>
        <v>0</v>
      </c>
      <c r="G76" s="3">
        <v>951.28899999999999</v>
      </c>
      <c r="H76" s="3">
        <f t="shared" si="17"/>
        <v>0</v>
      </c>
      <c r="I76" s="44">
        <f t="shared" si="29"/>
        <v>834.14709677419353</v>
      </c>
      <c r="J76" s="44">
        <f t="shared" si="24"/>
        <v>757.25262719933801</v>
      </c>
      <c r="K76" s="9">
        <f t="shared" si="25"/>
        <v>834.14709677419353</v>
      </c>
      <c r="L76" s="3">
        <v>51.8</v>
      </c>
      <c r="M76" s="9">
        <f t="shared" si="34"/>
        <v>840.30528333333336</v>
      </c>
      <c r="N76" s="3">
        <f>N75+(N$77-N$74)/3</f>
        <v>88.333333333333343</v>
      </c>
      <c r="P76" s="44">
        <f t="shared" si="2"/>
        <v>374.02941935483886</v>
      </c>
      <c r="Q76" s="44">
        <f t="shared" si="3"/>
        <v>297.13494977998334</v>
      </c>
      <c r="S76" s="9">
        <f>USA!Z84*G76</f>
        <v>19606.066289999999</v>
      </c>
      <c r="T76" s="3">
        <v>0</v>
      </c>
      <c r="U76" s="3">
        <v>0</v>
      </c>
      <c r="V76" s="3">
        <v>0</v>
      </c>
      <c r="X76" s="3">
        <f t="shared" si="30"/>
        <v>0.55160256410256392</v>
      </c>
      <c r="Y76" s="48">
        <v>414</v>
      </c>
      <c r="Z76" s="3">
        <v>0.1</v>
      </c>
      <c r="AA76" s="9">
        <f t="shared" si="5"/>
        <v>75.83155425219941</v>
      </c>
      <c r="AB76" s="9">
        <f t="shared" si="32"/>
        <v>460.11767741935466</v>
      </c>
      <c r="AD76" s="6">
        <f t="shared" si="33"/>
        <v>0.55160256410256392</v>
      </c>
      <c r="AF76" s="9">
        <v>447.91657478005897</v>
      </c>
      <c r="AM76">
        <v>1997</v>
      </c>
      <c r="AN76" s="3">
        <f t="shared" si="26"/>
        <v>834.14709677419353</v>
      </c>
      <c r="AO76" s="3">
        <f t="shared" si="19"/>
        <v>414</v>
      </c>
      <c r="AP76" s="3">
        <f t="shared" si="20"/>
        <v>75.83155425219941</v>
      </c>
      <c r="AQ76" s="3">
        <f t="shared" si="21"/>
        <v>460.11767741935466</v>
      </c>
      <c r="AR76" s="3">
        <f t="shared" ref="AR76:AR96" si="35">AN76-AQ76</f>
        <v>374.02941935483886</v>
      </c>
      <c r="AS76" s="7"/>
      <c r="AT76" s="7">
        <v>65.949147826628078</v>
      </c>
      <c r="AU76" s="7"/>
      <c r="AV76" s="3">
        <f t="shared" ref="AV76:AV96" si="36">AN76/$AT76*100</f>
        <v>1264.8337761195341</v>
      </c>
      <c r="AW76" s="3">
        <f t="shared" si="22"/>
        <v>1285.8188113680803</v>
      </c>
      <c r="AX76" s="3">
        <f t="shared" si="27"/>
        <v>697.68555407106328</v>
      </c>
      <c r="AY76" s="3">
        <f t="shared" si="28"/>
        <v>567.14822204847087</v>
      </c>
      <c r="AZ76" s="3">
        <f t="shared" ref="AZ76:AZ97" si="37">AW$99+AW$100*BA76+AW$101*BB76+AW$102*BC76+AW$103*BD76</f>
        <v>588.13325729701694</v>
      </c>
      <c r="BA76" s="9">
        <f t="shared" ref="BA76:BA96" si="38">S76/AT76*100</f>
        <v>29729.066919169076</v>
      </c>
      <c r="BB76" s="12">
        <v>0</v>
      </c>
      <c r="BC76" s="12">
        <v>0</v>
      </c>
      <c r="BD76">
        <v>0</v>
      </c>
      <c r="BG76" s="3">
        <f t="shared" si="13"/>
        <v>1450.1452593098388</v>
      </c>
      <c r="BH76" s="3">
        <f t="shared" si="14"/>
        <v>1474.2048234649735</v>
      </c>
    </row>
    <row r="77" spans="1:60">
      <c r="A77">
        <v>1998</v>
      </c>
      <c r="B77" s="3">
        <f t="shared" si="15"/>
        <v>106.07022165884304</v>
      </c>
      <c r="C77" s="3">
        <f t="shared" si="0"/>
        <v>74.747038105002289</v>
      </c>
      <c r="E77" s="3">
        <v>106.9725</v>
      </c>
      <c r="F77" s="3">
        <f t="shared" si="16"/>
        <v>0</v>
      </c>
      <c r="G77" s="3">
        <v>1401.44</v>
      </c>
      <c r="H77" s="3">
        <f t="shared" si="17"/>
        <v>0</v>
      </c>
      <c r="I77" s="44">
        <f t="shared" si="29"/>
        <v>1111.1225806451612</v>
      </c>
      <c r="J77" s="44">
        <f t="shared" si="24"/>
        <v>968.97328584193428</v>
      </c>
      <c r="K77" s="9">
        <f t="shared" si="25"/>
        <v>1111.1225806451612</v>
      </c>
      <c r="L77" s="3">
        <v>69</v>
      </c>
      <c r="M77" s="9">
        <f t="shared" si="34"/>
        <v>1303.3391999999999</v>
      </c>
      <c r="N77" s="6">
        <v>93</v>
      </c>
      <c r="P77" s="44">
        <f t="shared" si="2"/>
        <v>490.03354838709697</v>
      </c>
      <c r="Q77" s="44">
        <f t="shared" si="3"/>
        <v>347.88425358387002</v>
      </c>
      <c r="S77" s="9">
        <f>USA!Z85*G77</f>
        <v>20208.764800000001</v>
      </c>
      <c r="T77" s="3">
        <v>1</v>
      </c>
      <c r="U77" s="3">
        <v>0</v>
      </c>
      <c r="V77" s="3">
        <v>0</v>
      </c>
      <c r="X77" s="3">
        <f t="shared" si="30"/>
        <v>0.55897435897435876</v>
      </c>
      <c r="Y77" s="48">
        <v>559</v>
      </c>
      <c r="Z77" s="3">
        <v>0.1</v>
      </c>
      <c r="AA77" s="9">
        <f t="shared" si="5"/>
        <v>101.01114369501465</v>
      </c>
      <c r="AB77" s="9">
        <f t="shared" si="32"/>
        <v>621.08903225806421</v>
      </c>
      <c r="AD77" s="6">
        <f t="shared" si="33"/>
        <v>0.55897435897435876</v>
      </c>
      <c r="AF77" s="9">
        <v>616.94498533724379</v>
      </c>
      <c r="AM77">
        <v>1998</v>
      </c>
      <c r="AN77" s="3">
        <f t="shared" si="26"/>
        <v>1111.1225806451612</v>
      </c>
      <c r="AO77" s="3">
        <f t="shared" si="19"/>
        <v>559</v>
      </c>
      <c r="AP77" s="3">
        <f t="shared" si="20"/>
        <v>101.01114369501465</v>
      </c>
      <c r="AQ77" s="3">
        <f t="shared" ref="AQ77:AQ96" si="39">AB77</f>
        <v>621.08903225806421</v>
      </c>
      <c r="AR77" s="3">
        <f t="shared" si="35"/>
        <v>490.03354838709697</v>
      </c>
      <c r="AS77" s="7"/>
      <c r="AT77" s="7">
        <v>70.903782658953261</v>
      </c>
      <c r="AU77" s="7"/>
      <c r="AV77" s="3">
        <f t="shared" si="36"/>
        <v>1567.0850538252009</v>
      </c>
      <c r="AW77" s="3">
        <f t="shared" si="22"/>
        <v>1550.5678839356528</v>
      </c>
      <c r="AX77" s="3">
        <f t="shared" si="27"/>
        <v>875.96036342024013</v>
      </c>
      <c r="AY77" s="3">
        <f t="shared" si="28"/>
        <v>691.1246904049608</v>
      </c>
      <c r="AZ77" s="3">
        <f t="shared" si="37"/>
        <v>674.6075205154126</v>
      </c>
      <c r="BA77" s="9">
        <f t="shared" si="38"/>
        <v>28501.67373608828</v>
      </c>
      <c r="BB77" s="23">
        <v>1</v>
      </c>
      <c r="BC77" s="12">
        <v>0</v>
      </c>
      <c r="BD77">
        <v>0</v>
      </c>
      <c r="BG77" s="3">
        <f t="shared" si="13"/>
        <v>1796.6795357978758</v>
      </c>
      <c r="BH77" s="3">
        <f t="shared" si="14"/>
        <v>1777.7424263809942</v>
      </c>
    </row>
    <row r="78" spans="1:60">
      <c r="A78">
        <v>1999</v>
      </c>
      <c r="B78" s="3">
        <f t="shared" si="15"/>
        <v>124.58625842788511</v>
      </c>
      <c r="C78" s="3">
        <f t="shared" si="0"/>
        <v>75.889564287016256</v>
      </c>
      <c r="D78" s="30"/>
      <c r="E78" s="3">
        <v>108.60760000000001</v>
      </c>
      <c r="F78" s="3">
        <f t="shared" si="16"/>
        <v>0</v>
      </c>
      <c r="G78" s="3">
        <v>1188.82</v>
      </c>
      <c r="H78" s="3">
        <f t="shared" si="17"/>
        <v>0</v>
      </c>
      <c r="I78" s="44">
        <f>K78</f>
        <v>1124.0051612903226</v>
      </c>
      <c r="J78" s="44">
        <f t="shared" si="24"/>
        <v>988.29017255533472</v>
      </c>
      <c r="K78" s="9">
        <f>K$79*L78/L$79</f>
        <v>1124.0051612903226</v>
      </c>
      <c r="L78" s="3">
        <v>69.8</v>
      </c>
      <c r="M78" s="9">
        <f t="shared" si="34"/>
        <v>1099.6585</v>
      </c>
      <c r="N78" s="3">
        <f>(N77+N79)/2</f>
        <v>92.5</v>
      </c>
      <c r="P78" s="44">
        <f t="shared" si="2"/>
        <v>487.4291612903229</v>
      </c>
      <c r="Q78" s="44">
        <f t="shared" si="3"/>
        <v>351.71417255533498</v>
      </c>
      <c r="S78" s="9">
        <f>USA!Z86*G78</f>
        <v>20780.5736</v>
      </c>
      <c r="T78" s="3">
        <v>1</v>
      </c>
      <c r="U78" s="3">
        <v>0</v>
      </c>
      <c r="V78" s="3">
        <v>0</v>
      </c>
      <c r="X78" s="3">
        <f t="shared" si="30"/>
        <v>0.56634615384615361</v>
      </c>
      <c r="Y78" s="48">
        <v>668</v>
      </c>
      <c r="Z78" s="3">
        <v>0.1</v>
      </c>
      <c r="AA78" s="9">
        <f t="shared" si="5"/>
        <v>102.18228739002933</v>
      </c>
      <c r="AB78" s="9">
        <f t="shared" si="32"/>
        <v>636.57599999999968</v>
      </c>
      <c r="AD78" s="6">
        <f t="shared" si="33"/>
        <v>0.56634615384615361</v>
      </c>
      <c r="AF78" s="9">
        <v>644.63268035190663</v>
      </c>
      <c r="AM78">
        <v>1999</v>
      </c>
      <c r="AN78" s="3">
        <f t="shared" si="26"/>
        <v>1124.0051612903226</v>
      </c>
      <c r="AO78" s="3">
        <f t="shared" si="19"/>
        <v>668</v>
      </c>
      <c r="AP78" s="3">
        <f t="shared" si="20"/>
        <v>102.18228739002933</v>
      </c>
      <c r="AQ78" s="3">
        <f t="shared" si="39"/>
        <v>636.57599999999968</v>
      </c>
      <c r="AR78" s="3">
        <f t="shared" si="35"/>
        <v>487.4291612903229</v>
      </c>
      <c r="AS78" s="7"/>
      <c r="AT78" s="7">
        <v>71.480503604245129</v>
      </c>
      <c r="AU78" s="7"/>
      <c r="AV78" s="3">
        <f t="shared" si="36"/>
        <v>1572.4639651581433</v>
      </c>
      <c r="AW78" s="3">
        <f t="shared" si="22"/>
        <v>1568.7149187714235</v>
      </c>
      <c r="AX78" s="3">
        <f t="shared" si="27"/>
        <v>890.55891872898667</v>
      </c>
      <c r="AY78" s="3">
        <f t="shared" si="28"/>
        <v>681.90504642915664</v>
      </c>
      <c r="AZ78" s="3">
        <f t="shared" si="37"/>
        <v>678.15600004243674</v>
      </c>
      <c r="BA78" s="9">
        <f t="shared" si="38"/>
        <v>29071.666471535424</v>
      </c>
      <c r="BB78" s="23">
        <v>1</v>
      </c>
      <c r="BC78" s="12">
        <v>0</v>
      </c>
      <c r="BD78">
        <v>0</v>
      </c>
      <c r="BG78" s="3">
        <f t="shared" si="13"/>
        <v>1802.8465143503026</v>
      </c>
      <c r="BH78" s="3">
        <f t="shared" si="14"/>
        <v>1798.548193142188</v>
      </c>
    </row>
    <row r="79" spans="1:60">
      <c r="A79">
        <v>2000</v>
      </c>
      <c r="B79" s="3">
        <f t="shared" si="15"/>
        <v>139.75581510830659</v>
      </c>
      <c r="C79" s="3">
        <f t="shared" si="0"/>
        <v>78.958238837304293</v>
      </c>
      <c r="D79" s="2">
        <f>F79/E79*100</f>
        <v>97.654380680046231</v>
      </c>
      <c r="E79" s="2">
        <v>112.9992628224058</v>
      </c>
      <c r="F79" s="2">
        <f>I79/G79*100</f>
        <v>110.34873028223811</v>
      </c>
      <c r="G79" s="3">
        <v>1130.96</v>
      </c>
      <c r="H79" s="7">
        <f>(Q79+Y79)+Z79*(Q79+Y79)</f>
        <v>1126.6081463520459</v>
      </c>
      <c r="I79" s="44">
        <f>K79</f>
        <v>1248</v>
      </c>
      <c r="J79" s="44">
        <f t="shared" si="24"/>
        <v>1137.5995561775417</v>
      </c>
      <c r="K79" s="9">
        <v>1248</v>
      </c>
      <c r="L79" s="3">
        <v>77.5</v>
      </c>
      <c r="M79" s="9">
        <f t="shared" si="34"/>
        <v>1040.4832000000001</v>
      </c>
      <c r="N79" s="6">
        <v>92</v>
      </c>
      <c r="P79" s="44">
        <f t="shared" ref="P79:P89" si="40">K79-AB79</f>
        <v>532</v>
      </c>
      <c r="Q79" s="44">
        <f t="shared" si="3"/>
        <v>421.59955617754173</v>
      </c>
      <c r="S79" s="9">
        <f>USA!Z87*G79</f>
        <v>31214.496000000003</v>
      </c>
      <c r="T79" s="3">
        <v>1</v>
      </c>
      <c r="U79" s="3">
        <v>0</v>
      </c>
      <c r="V79" s="3">
        <v>0</v>
      </c>
      <c r="X79" s="3">
        <f t="shared" si="30"/>
        <v>0.57371794871794868</v>
      </c>
      <c r="Y79" s="44">
        <v>603</v>
      </c>
      <c r="Z79" s="3">
        <f>AA79/(K79-(AA79))</f>
        <v>9.9559471365638766E-2</v>
      </c>
      <c r="AA79" s="9">
        <v>113</v>
      </c>
      <c r="AB79" s="9">
        <f t="shared" ref="AB79:AB96" si="41">Y79+AA79</f>
        <v>716</v>
      </c>
      <c r="AD79" s="3">
        <f t="shared" ref="AD79:AD89" si="42">AB79/K79</f>
        <v>0.57371794871794868</v>
      </c>
      <c r="AF79" s="9">
        <v>739</v>
      </c>
      <c r="AM79">
        <v>2000</v>
      </c>
      <c r="AN79" s="3">
        <f t="shared" si="26"/>
        <v>1248</v>
      </c>
      <c r="AO79" s="3">
        <f t="shared" si="19"/>
        <v>603</v>
      </c>
      <c r="AP79" s="3">
        <f t="shared" si="20"/>
        <v>113</v>
      </c>
      <c r="AQ79" s="3">
        <f t="shared" si="39"/>
        <v>716</v>
      </c>
      <c r="AR79" s="3">
        <f t="shared" si="35"/>
        <v>532</v>
      </c>
      <c r="AS79" s="7"/>
      <c r="AT79" s="7">
        <v>73.100775768008745</v>
      </c>
      <c r="AU79" s="7"/>
      <c r="AV79" s="3">
        <f t="shared" si="36"/>
        <v>1707.2322241293712</v>
      </c>
      <c r="AW79" s="3">
        <f t="shared" si="22"/>
        <v>1742.4726729480753</v>
      </c>
      <c r="AX79" s="3">
        <f t="shared" si="27"/>
        <v>979.4697696126841</v>
      </c>
      <c r="AY79" s="3">
        <f t="shared" si="28"/>
        <v>727.76245451668706</v>
      </c>
      <c r="AZ79" s="3">
        <f t="shared" si="37"/>
        <v>763.00290333539124</v>
      </c>
      <c r="BA79" s="9">
        <f t="shared" si="38"/>
        <v>42700.635762145321</v>
      </c>
      <c r="BB79" s="23">
        <v>1</v>
      </c>
      <c r="BC79" s="12">
        <v>0</v>
      </c>
      <c r="BD79">
        <v>0</v>
      </c>
      <c r="BG79" s="3">
        <f t="shared" si="13"/>
        <v>1957.359744106192</v>
      </c>
      <c r="BH79" s="3">
        <f t="shared" si="14"/>
        <v>1997.7632902126059</v>
      </c>
    </row>
    <row r="80" spans="1:60">
      <c r="A80">
        <v>2001</v>
      </c>
      <c r="B80" s="3">
        <f t="shared" si="15"/>
        <v>122.13110285767527</v>
      </c>
      <c r="C80" s="3">
        <f t="shared" si="0"/>
        <v>81.182199298191421</v>
      </c>
      <c r="D80" s="2">
        <f t="shared" ref="D80:D89" si="43">F80/E80*100</f>
        <v>85.339112380365108</v>
      </c>
      <c r="E80" s="2">
        <v>116.1820325539375</v>
      </c>
      <c r="F80" s="2">
        <f t="shared" ref="F80:F89" si="44">I80/G80*100</f>
        <v>99.148715326997106</v>
      </c>
      <c r="G80" s="3">
        <v>1290.99</v>
      </c>
      <c r="H80" s="7">
        <f t="shared" ref="H80:H89" si="45">(Q80+Y80)+Z80*(Q80+Y80)</f>
        <v>1123.2382859619324</v>
      </c>
      <c r="I80" s="44">
        <f t="shared" ref="I80:I89" si="46">K80</f>
        <v>1280</v>
      </c>
      <c r="J80" s="44">
        <f t="shared" si="24"/>
        <v>1137.4448162966323</v>
      </c>
      <c r="K80" s="9">
        <v>1280</v>
      </c>
      <c r="L80" s="3">
        <v>80.8</v>
      </c>
      <c r="M80" s="9">
        <f t="shared" si="34"/>
        <v>1297.4449500000001</v>
      </c>
      <c r="N80" s="3">
        <f>(N79+N81)/2</f>
        <v>100.5</v>
      </c>
      <c r="P80" s="44">
        <f t="shared" si="40"/>
        <v>555</v>
      </c>
      <c r="Q80" s="44">
        <f t="shared" si="3"/>
        <v>412.44481629663227</v>
      </c>
      <c r="S80" s="9">
        <f>USA!Z88*G80</f>
        <v>29847.6888</v>
      </c>
      <c r="T80" s="3">
        <v>1</v>
      </c>
      <c r="U80" s="3">
        <v>0</v>
      </c>
      <c r="V80" s="3">
        <v>0</v>
      </c>
      <c r="X80" s="3">
        <f t="shared" si="30"/>
        <v>0.56640625</v>
      </c>
      <c r="Y80" s="44">
        <v>609</v>
      </c>
      <c r="Z80" s="3">
        <f t="shared" ref="Z80:Z89" si="47">AA80/(K80-(AA80))</f>
        <v>9.9656357388316158E-2</v>
      </c>
      <c r="AA80" s="9">
        <v>116</v>
      </c>
      <c r="AB80" s="9">
        <f t="shared" si="41"/>
        <v>725</v>
      </c>
      <c r="AD80" s="3">
        <f t="shared" si="42"/>
        <v>0.56640625</v>
      </c>
      <c r="AF80" s="9">
        <v>744</v>
      </c>
      <c r="AM80">
        <v>2001</v>
      </c>
      <c r="AN80" s="3">
        <f t="shared" si="26"/>
        <v>1280</v>
      </c>
      <c r="AO80" s="3">
        <f t="shared" si="19"/>
        <v>609</v>
      </c>
      <c r="AP80" s="3">
        <f t="shared" si="20"/>
        <v>116</v>
      </c>
      <c r="AQ80" s="3">
        <f t="shared" si="39"/>
        <v>725</v>
      </c>
      <c r="AR80" s="3">
        <f t="shared" si="35"/>
        <v>555</v>
      </c>
      <c r="AS80" s="7"/>
      <c r="AT80" s="7">
        <v>76.072352274296364</v>
      </c>
      <c r="AU80" s="7"/>
      <c r="AV80" s="3">
        <f t="shared" si="36"/>
        <v>1682.6086767826841</v>
      </c>
      <c r="AW80" s="3">
        <f t="shared" si="22"/>
        <v>1694.4734609171553</v>
      </c>
      <c r="AX80" s="3">
        <f t="shared" si="27"/>
        <v>953.04007083394208</v>
      </c>
      <c r="AY80" s="3">
        <f t="shared" si="28"/>
        <v>729.56860594874206</v>
      </c>
      <c r="AZ80" s="3">
        <f t="shared" si="37"/>
        <v>741.43339008321323</v>
      </c>
      <c r="BA80" s="9">
        <f t="shared" si="38"/>
        <v>39235.92199749167</v>
      </c>
      <c r="BB80" s="23">
        <v>1</v>
      </c>
      <c r="BC80" s="12">
        <v>0</v>
      </c>
      <c r="BD80">
        <v>0</v>
      </c>
      <c r="BG80" s="3">
        <f t="shared" si="13"/>
        <v>1929.128587470148</v>
      </c>
      <c r="BH80" s="3">
        <f t="shared" si="14"/>
        <v>1942.7316875692966</v>
      </c>
    </row>
    <row r="81" spans="1:70">
      <c r="A81">
        <v>2002</v>
      </c>
      <c r="B81" s="3">
        <f t="shared" si="15"/>
        <v>125.59733931285453</v>
      </c>
      <c r="C81" s="3">
        <f t="shared" si="0"/>
        <v>82.47759894808965</v>
      </c>
      <c r="D81" s="2">
        <f t="shared" si="43"/>
        <v>87.761145224285102</v>
      </c>
      <c r="E81" s="2">
        <v>118.03591389240708</v>
      </c>
      <c r="F81" s="2">
        <f t="shared" si="44"/>
        <v>103.58966980792749</v>
      </c>
      <c r="G81" s="3">
        <v>1251.0899999999999</v>
      </c>
      <c r="H81" s="7">
        <f t="shared" si="45"/>
        <v>1101.3880778757052</v>
      </c>
      <c r="I81" s="44">
        <f t="shared" si="46"/>
        <v>1296</v>
      </c>
      <c r="J81" s="44">
        <f t="shared" si="24"/>
        <v>1118.6568826938333</v>
      </c>
      <c r="K81" s="9">
        <v>1296</v>
      </c>
      <c r="L81" s="3">
        <v>80.2</v>
      </c>
      <c r="M81" s="9">
        <f t="shared" si="34"/>
        <v>1363.6881000000001</v>
      </c>
      <c r="N81" s="6">
        <v>109</v>
      </c>
      <c r="P81" s="44">
        <f t="shared" si="40"/>
        <v>594</v>
      </c>
      <c r="Q81" s="44">
        <f t="shared" si="3"/>
        <v>416.65688269383315</v>
      </c>
      <c r="S81" s="9">
        <f>USA!Z89*G81</f>
        <v>30476.552399999997</v>
      </c>
      <c r="T81" s="3">
        <v>1</v>
      </c>
      <c r="U81" s="3">
        <v>0</v>
      </c>
      <c r="V81" s="3">
        <v>0</v>
      </c>
      <c r="X81" s="3">
        <f t="shared" si="30"/>
        <v>0.54166666666666663</v>
      </c>
      <c r="Y81" s="44">
        <v>587</v>
      </c>
      <c r="Z81" s="3">
        <f t="shared" si="47"/>
        <v>9.7375105842506346E-2</v>
      </c>
      <c r="AA81" s="9">
        <v>115</v>
      </c>
      <c r="AB81" s="9">
        <f t="shared" si="41"/>
        <v>702</v>
      </c>
      <c r="AD81" s="3">
        <f t="shared" si="42"/>
        <v>0.54166666666666663</v>
      </c>
      <c r="AF81" s="9">
        <v>744</v>
      </c>
      <c r="AM81">
        <v>2002</v>
      </c>
      <c r="AN81" s="3">
        <f t="shared" si="26"/>
        <v>1296</v>
      </c>
      <c r="AO81" s="3">
        <f t="shared" si="19"/>
        <v>587</v>
      </c>
      <c r="AP81" s="3">
        <f t="shared" si="20"/>
        <v>115</v>
      </c>
      <c r="AQ81" s="3">
        <f t="shared" si="39"/>
        <v>702</v>
      </c>
      <c r="AR81" s="3">
        <f t="shared" si="35"/>
        <v>594</v>
      </c>
      <c r="AS81" s="7"/>
      <c r="AT81" s="7">
        <v>78.173988696831429</v>
      </c>
      <c r="AU81" s="7"/>
      <c r="AV81" s="3">
        <f t="shared" si="36"/>
        <v>1657.8404423318493</v>
      </c>
      <c r="AW81" s="3">
        <f t="shared" si="22"/>
        <v>1637.8715538304668</v>
      </c>
      <c r="AX81" s="3">
        <f t="shared" si="27"/>
        <v>897.99690626308507</v>
      </c>
      <c r="AY81" s="3">
        <f t="shared" si="28"/>
        <v>759.84353606876425</v>
      </c>
      <c r="AZ81" s="3">
        <f t="shared" si="37"/>
        <v>739.87464756738166</v>
      </c>
      <c r="BA81" s="9">
        <f t="shared" si="38"/>
        <v>38985.540981146434</v>
      </c>
      <c r="BB81" s="23">
        <v>1</v>
      </c>
      <c r="BC81" s="12">
        <v>0</v>
      </c>
      <c r="BD81">
        <v>0</v>
      </c>
      <c r="BG81" s="3">
        <f t="shared" si="13"/>
        <v>1900.7315455437802</v>
      </c>
      <c r="BH81" s="3">
        <f t="shared" si="14"/>
        <v>1877.8370043473803</v>
      </c>
    </row>
    <row r="82" spans="1:70">
      <c r="A82">
        <v>2003</v>
      </c>
      <c r="B82" s="3">
        <f t="shared" si="15"/>
        <v>128.70546588168557</v>
      </c>
      <c r="C82" s="3">
        <f t="shared" si="0"/>
        <v>84.37293294912061</v>
      </c>
      <c r="D82" s="2">
        <f t="shared" si="43"/>
        <v>89.932948772632429</v>
      </c>
      <c r="E82" s="2">
        <v>120.74837744367809</v>
      </c>
      <c r="F82" s="2">
        <f t="shared" si="44"/>
        <v>108.59257643020787</v>
      </c>
      <c r="G82" s="3">
        <v>1191.6099999999999</v>
      </c>
      <c r="H82" s="7">
        <f t="shared" si="45"/>
        <v>1066.328177722294</v>
      </c>
      <c r="I82" s="44">
        <f t="shared" si="46"/>
        <v>1294</v>
      </c>
      <c r="J82" s="44">
        <f t="shared" si="24"/>
        <v>1087.0895958279889</v>
      </c>
      <c r="K82" s="9">
        <v>1294</v>
      </c>
      <c r="L82" s="3">
        <v>85</v>
      </c>
      <c r="M82" s="9">
        <f t="shared" si="34"/>
        <v>1453.7641999999998</v>
      </c>
      <c r="N82" s="3">
        <f>(N81+N83)/2</f>
        <v>122</v>
      </c>
      <c r="P82" s="44">
        <f t="shared" si="40"/>
        <v>597</v>
      </c>
      <c r="Q82" s="44">
        <f t="shared" si="3"/>
        <v>390.089595827989</v>
      </c>
      <c r="S82" s="9">
        <f>USA!Z90*G82</f>
        <v>33484.241000000002</v>
      </c>
      <c r="T82" s="3">
        <v>0</v>
      </c>
      <c r="U82" s="3">
        <v>0</v>
      </c>
      <c r="V82" s="3">
        <v>0</v>
      </c>
      <c r="X82" s="3">
        <f t="shared" si="30"/>
        <v>0.53863987635239563</v>
      </c>
      <c r="Y82" s="44">
        <v>579</v>
      </c>
      <c r="Z82" s="3">
        <f t="shared" si="47"/>
        <v>0.10034013605442177</v>
      </c>
      <c r="AA82" s="9">
        <v>118</v>
      </c>
      <c r="AB82" s="9">
        <f t="shared" si="41"/>
        <v>697</v>
      </c>
      <c r="AD82" s="3">
        <f t="shared" si="42"/>
        <v>0.53863987635239563</v>
      </c>
      <c r="AF82" s="9">
        <v>744</v>
      </c>
      <c r="AM82">
        <v>2003</v>
      </c>
      <c r="AN82" s="3">
        <f t="shared" si="26"/>
        <v>1294</v>
      </c>
      <c r="AO82" s="3">
        <f t="shared" si="19"/>
        <v>579</v>
      </c>
      <c r="AP82" s="3">
        <f t="shared" si="20"/>
        <v>118</v>
      </c>
      <c r="AQ82" s="3">
        <f t="shared" si="39"/>
        <v>697</v>
      </c>
      <c r="AR82" s="3">
        <f t="shared" si="35"/>
        <v>597</v>
      </c>
      <c r="AS82" s="7"/>
      <c r="AT82" s="7">
        <v>80.921619908911723</v>
      </c>
      <c r="AU82" s="7"/>
      <c r="AV82" s="3">
        <f t="shared" si="36"/>
        <v>1599.0782209458644</v>
      </c>
      <c r="AW82" s="3">
        <f t="shared" si="22"/>
        <v>1616.0999470224745</v>
      </c>
      <c r="AX82" s="3">
        <f t="shared" si="27"/>
        <v>861.32729520808925</v>
      </c>
      <c r="AY82" s="3">
        <f t="shared" si="28"/>
        <v>737.75092573777511</v>
      </c>
      <c r="AZ82" s="3">
        <f t="shared" si="37"/>
        <v>754.7726518143852</v>
      </c>
      <c r="BA82" s="9">
        <f t="shared" si="38"/>
        <v>41378.609372490399</v>
      </c>
      <c r="BB82" s="23">
        <v>1</v>
      </c>
      <c r="BC82" s="12">
        <v>0</v>
      </c>
      <c r="BD82">
        <v>0</v>
      </c>
      <c r="BG82" s="3">
        <f t="shared" si="13"/>
        <v>1833.3600392017895</v>
      </c>
      <c r="BH82" s="3">
        <f t="shared" si="14"/>
        <v>1852.8756276066124</v>
      </c>
    </row>
    <row r="83" spans="1:70">
      <c r="A83">
        <v>2004</v>
      </c>
      <c r="B83" s="3">
        <f t="shared" si="15"/>
        <v>137.58445478640579</v>
      </c>
      <c r="C83" s="3">
        <f t="shared" si="0"/>
        <v>86.62364207534489</v>
      </c>
      <c r="D83" s="2">
        <f t="shared" si="43"/>
        <v>96.137142579405349</v>
      </c>
      <c r="E83" s="2">
        <v>123.96942791081244</v>
      </c>
      <c r="F83" s="2">
        <f t="shared" si="44"/>
        <v>119.18066566549088</v>
      </c>
      <c r="G83" s="3">
        <v>1145.32</v>
      </c>
      <c r="H83" s="7">
        <f t="shared" si="45"/>
        <v>1103.6191844998491</v>
      </c>
      <c r="I83" s="44">
        <f t="shared" si="46"/>
        <v>1365</v>
      </c>
      <c r="J83" s="44">
        <f t="shared" si="24"/>
        <v>1127.3636688383244</v>
      </c>
      <c r="K83" s="9">
        <v>1365</v>
      </c>
      <c r="L83" s="3">
        <v>92.5</v>
      </c>
      <c r="M83" s="9">
        <f t="shared" si="34"/>
        <v>1546.1819999999998</v>
      </c>
      <c r="N83" s="6">
        <v>135</v>
      </c>
      <c r="P83" s="44">
        <f t="shared" si="40"/>
        <v>680</v>
      </c>
      <c r="Q83" s="44">
        <f t="shared" si="3"/>
        <v>442.36366883832443</v>
      </c>
      <c r="S83" s="9">
        <f>USA!Z91*G83</f>
        <v>41288.785999999993</v>
      </c>
      <c r="T83" s="3">
        <v>0</v>
      </c>
      <c r="U83" s="3">
        <v>0</v>
      </c>
      <c r="V83" s="3">
        <v>0</v>
      </c>
      <c r="X83" s="3">
        <f t="shared" si="30"/>
        <v>0.50183150183150182</v>
      </c>
      <c r="Y83" s="44">
        <v>561</v>
      </c>
      <c r="Z83" s="3">
        <f t="shared" si="47"/>
        <v>9.9919419822723607E-2</v>
      </c>
      <c r="AA83" s="9">
        <v>124</v>
      </c>
      <c r="AB83" s="9">
        <f t="shared" si="41"/>
        <v>685</v>
      </c>
      <c r="AD83" s="3">
        <f t="shared" si="42"/>
        <v>0.50183150183150182</v>
      </c>
      <c r="AF83" s="9">
        <v>744</v>
      </c>
      <c r="AM83">
        <v>2004</v>
      </c>
      <c r="AN83" s="3">
        <f t="shared" si="26"/>
        <v>1365</v>
      </c>
      <c r="AO83" s="3">
        <f t="shared" si="19"/>
        <v>561</v>
      </c>
      <c r="AP83" s="3">
        <f t="shared" si="20"/>
        <v>124</v>
      </c>
      <c r="AQ83" s="3">
        <f t="shared" si="39"/>
        <v>685</v>
      </c>
      <c r="AR83" s="3">
        <f t="shared" si="35"/>
        <v>680</v>
      </c>
      <c r="AS83" s="7"/>
      <c r="AT83" s="7">
        <v>83.82428974407118</v>
      </c>
      <c r="AU83" s="7"/>
      <c r="AV83" s="3">
        <f t="shared" si="36"/>
        <v>1628.4062819590372</v>
      </c>
      <c r="AW83" s="3">
        <f t="shared" si="22"/>
        <v>1621.0009579361795</v>
      </c>
      <c r="AX83" s="3">
        <f t="shared" si="27"/>
        <v>817.18557006735568</v>
      </c>
      <c r="AY83" s="3">
        <f t="shared" si="28"/>
        <v>811.2207118916815</v>
      </c>
      <c r="AZ83" s="3">
        <f t="shared" si="37"/>
        <v>803.81538786882368</v>
      </c>
      <c r="BA83" s="9">
        <f t="shared" si="38"/>
        <v>49256.350547151887</v>
      </c>
      <c r="BB83" s="23">
        <v>1</v>
      </c>
      <c r="BC83" s="12">
        <v>0</v>
      </c>
      <c r="BD83">
        <v>0</v>
      </c>
      <c r="BG83" s="3">
        <f t="shared" si="13"/>
        <v>1866.9849703555751</v>
      </c>
      <c r="BH83" s="3">
        <f t="shared" si="14"/>
        <v>1858.4946882899376</v>
      </c>
    </row>
    <row r="84" spans="1:70">
      <c r="A84">
        <v>2005</v>
      </c>
      <c r="B84" s="3">
        <f t="shared" si="15"/>
        <v>155.72700246096912</v>
      </c>
      <c r="C84" s="3">
        <f t="shared" si="0"/>
        <v>89.539246597092159</v>
      </c>
      <c r="D84" s="2">
        <f t="shared" si="43"/>
        <v>108.81424839961524</v>
      </c>
      <c r="E84" s="2">
        <v>128.14202809149756</v>
      </c>
      <c r="F84" s="2">
        <f t="shared" si="44"/>
        <v>139.43678475178692</v>
      </c>
      <c r="G84" s="3">
        <v>1024.1199999999999</v>
      </c>
      <c r="H84" s="7">
        <f t="shared" si="45"/>
        <v>1171.8601918454233</v>
      </c>
      <c r="I84" s="44">
        <f t="shared" si="46"/>
        <v>1428</v>
      </c>
      <c r="J84" s="44">
        <f t="shared" si="24"/>
        <v>1195.1782416073945</v>
      </c>
      <c r="K84" s="9">
        <v>1428</v>
      </c>
      <c r="L84" s="3">
        <v>100</v>
      </c>
      <c r="M84" s="9">
        <f t="shared" si="34"/>
        <v>1536.1799999999996</v>
      </c>
      <c r="N84" s="3">
        <f>(N83+N85)/2</f>
        <v>150</v>
      </c>
      <c r="P84" s="44">
        <f t="shared" si="40"/>
        <v>746</v>
      </c>
      <c r="Q84" s="44">
        <f t="shared" si="3"/>
        <v>513.17824160739451</v>
      </c>
      <c r="S84" s="9">
        <f>USA!Z92*G84</f>
        <v>51861.436799999996</v>
      </c>
      <c r="T84" s="3">
        <v>0</v>
      </c>
      <c r="U84" s="3">
        <v>0</v>
      </c>
      <c r="V84" s="3">
        <v>0</v>
      </c>
      <c r="X84" s="3">
        <f t="shared" si="30"/>
        <v>0.47759103641456585</v>
      </c>
      <c r="Y84" s="44">
        <v>552</v>
      </c>
      <c r="Z84" s="3">
        <f t="shared" si="47"/>
        <v>0.10015408320493066</v>
      </c>
      <c r="AA84" s="9">
        <v>130</v>
      </c>
      <c r="AB84" s="9">
        <f t="shared" si="41"/>
        <v>682</v>
      </c>
      <c r="AD84" s="3">
        <f t="shared" si="42"/>
        <v>0.47759103641456585</v>
      </c>
      <c r="AF84" s="9">
        <v>744</v>
      </c>
      <c r="AM84">
        <v>2005</v>
      </c>
      <c r="AN84" s="3">
        <f t="shared" si="26"/>
        <v>1428</v>
      </c>
      <c r="AO84" s="3">
        <f t="shared" si="19"/>
        <v>552</v>
      </c>
      <c r="AP84" s="3">
        <f t="shared" si="20"/>
        <v>130</v>
      </c>
      <c r="AQ84" s="3">
        <f t="shared" si="39"/>
        <v>682</v>
      </c>
      <c r="AR84" s="3">
        <f t="shared" si="35"/>
        <v>746</v>
      </c>
      <c r="AS84" s="7"/>
      <c r="AT84" s="7">
        <v>86.132644711529196</v>
      </c>
      <c r="AU84" s="7"/>
      <c r="AV84" s="3">
        <f t="shared" si="36"/>
        <v>1657.9079915432533</v>
      </c>
      <c r="AW84" s="3">
        <f t="shared" si="22"/>
        <v>1663.8161527792759</v>
      </c>
      <c r="AX84" s="3">
        <f t="shared" si="27"/>
        <v>791.80199596113368</v>
      </c>
      <c r="AY84" s="3">
        <f t="shared" si="28"/>
        <v>866.10599558211959</v>
      </c>
      <c r="AZ84" s="3">
        <f t="shared" si="37"/>
        <v>872.01415681814206</v>
      </c>
      <c r="BA84" s="9">
        <f t="shared" si="38"/>
        <v>60211.127817671819</v>
      </c>
      <c r="BB84" s="23">
        <v>1</v>
      </c>
      <c r="BC84" s="12">
        <v>0</v>
      </c>
      <c r="BD84">
        <v>0</v>
      </c>
      <c r="BG84" s="3">
        <f t="shared" si="13"/>
        <v>1900.808991426818</v>
      </c>
      <c r="BH84" s="3">
        <f t="shared" si="14"/>
        <v>1907.5827605729437</v>
      </c>
    </row>
    <row r="85" spans="1:70">
      <c r="A85">
        <v>2006</v>
      </c>
      <c r="B85" s="3">
        <f t="shared" si="15"/>
        <v>168.73310537647757</v>
      </c>
      <c r="C85" s="3">
        <f t="shared" si="0"/>
        <v>92.424281215596963</v>
      </c>
      <c r="D85" s="2">
        <f t="shared" si="43"/>
        <v>117.90226326533393</v>
      </c>
      <c r="E85" s="2">
        <v>132.27087886006535</v>
      </c>
      <c r="F85" s="2">
        <f t="shared" si="44"/>
        <v>155.95035981696518</v>
      </c>
      <c r="G85" s="3">
        <v>954.79100000000005</v>
      </c>
      <c r="H85" s="7">
        <f t="shared" si="45"/>
        <v>1205.7467973273849</v>
      </c>
      <c r="I85" s="44">
        <f t="shared" si="46"/>
        <v>1489</v>
      </c>
      <c r="J85" s="44">
        <f t="shared" si="24"/>
        <v>1231.4279137550566</v>
      </c>
      <c r="K85" s="9">
        <v>1489</v>
      </c>
      <c r="L85" s="3">
        <v>106.5</v>
      </c>
      <c r="M85" s="9">
        <f t="shared" si="34"/>
        <v>1575.40515</v>
      </c>
      <c r="N85" s="6">
        <v>165</v>
      </c>
      <c r="P85" s="44">
        <f t="shared" si="40"/>
        <v>814</v>
      </c>
      <c r="Q85" s="44">
        <f t="shared" si="3"/>
        <v>556.42791375505658</v>
      </c>
      <c r="S85" s="9">
        <f>USA!Z93*G85</f>
        <v>58318.634279999998</v>
      </c>
      <c r="T85" s="3">
        <v>0</v>
      </c>
      <c r="U85" s="3">
        <v>0</v>
      </c>
      <c r="V85" s="3">
        <v>0</v>
      </c>
      <c r="X85" s="3">
        <f t="shared" si="30"/>
        <v>0.45332437877770315</v>
      </c>
      <c r="Y85" s="44">
        <v>540</v>
      </c>
      <c r="Z85" s="3">
        <f t="shared" si="47"/>
        <v>9.9704579025110776E-2</v>
      </c>
      <c r="AA85" s="9">
        <v>135</v>
      </c>
      <c r="AB85" s="9">
        <f t="shared" si="41"/>
        <v>675</v>
      </c>
      <c r="AD85" s="3">
        <f t="shared" si="42"/>
        <v>0.45332437877770315</v>
      </c>
      <c r="AF85" s="9">
        <v>744</v>
      </c>
      <c r="AM85">
        <v>2006</v>
      </c>
      <c r="AN85" s="3">
        <f t="shared" si="26"/>
        <v>1489</v>
      </c>
      <c r="AO85" s="3">
        <f t="shared" si="19"/>
        <v>540</v>
      </c>
      <c r="AP85" s="3">
        <f t="shared" si="20"/>
        <v>135</v>
      </c>
      <c r="AQ85" s="3">
        <f t="shared" si="39"/>
        <v>675</v>
      </c>
      <c r="AR85" s="3">
        <f t="shared" si="35"/>
        <v>814</v>
      </c>
      <c r="AS85" s="7"/>
      <c r="AT85" s="7">
        <v>88.027562895182839</v>
      </c>
      <c r="AU85" s="7"/>
      <c r="AV85" s="3">
        <f t="shared" si="36"/>
        <v>1691.5156469491251</v>
      </c>
      <c r="AW85" s="3">
        <f t="shared" si="22"/>
        <v>1676.4169708915579</v>
      </c>
      <c r="AX85" s="3">
        <f t="shared" si="27"/>
        <v>766.80527984597677</v>
      </c>
      <c r="AY85" s="3">
        <f t="shared" si="28"/>
        <v>924.71036710314831</v>
      </c>
      <c r="AZ85" s="3">
        <f t="shared" si="37"/>
        <v>909.61169104558121</v>
      </c>
      <c r="BA85" s="9">
        <f t="shared" si="38"/>
        <v>66250.424710089734</v>
      </c>
      <c r="BB85" s="23">
        <v>1</v>
      </c>
      <c r="BC85" s="12">
        <v>0</v>
      </c>
      <c r="BD85">
        <v>0</v>
      </c>
      <c r="BG85" s="3">
        <f t="shared" si="13"/>
        <v>1939.3405226710768</v>
      </c>
      <c r="BH85" s="3">
        <f t="shared" si="14"/>
        <v>1922.029731387569</v>
      </c>
    </row>
    <row r="86" spans="1:70">
      <c r="A86">
        <v>2007</v>
      </c>
      <c r="B86" s="3">
        <f t="shared" si="15"/>
        <v>172.6124902025494</v>
      </c>
      <c r="C86" s="3">
        <f t="shared" si="0"/>
        <v>95.074004003893037</v>
      </c>
      <c r="D86" s="2">
        <f t="shared" si="43"/>
        <v>120.61298354782109</v>
      </c>
      <c r="E86" s="2">
        <v>136.06296852886032</v>
      </c>
      <c r="F86" s="2">
        <f t="shared" si="44"/>
        <v>164.10960584639128</v>
      </c>
      <c r="G86" s="3">
        <v>929.25699999999995</v>
      </c>
      <c r="H86" s="7">
        <f t="shared" si="45"/>
        <v>1239.7769492189489</v>
      </c>
      <c r="I86" s="44">
        <f t="shared" si="46"/>
        <v>1525</v>
      </c>
      <c r="J86" s="44">
        <f t="shared" si="24"/>
        <v>1265.774328929484</v>
      </c>
      <c r="K86" s="9">
        <v>1525</v>
      </c>
      <c r="L86" s="3">
        <v>109.7</v>
      </c>
      <c r="M86" s="9">
        <f t="shared" si="34"/>
        <v>1695.8940250000001</v>
      </c>
      <c r="N86" s="3">
        <f>(N85+N87)/2</f>
        <v>182.5</v>
      </c>
      <c r="P86" s="44">
        <f t="shared" si="40"/>
        <v>855</v>
      </c>
      <c r="Q86" s="44">
        <f t="shared" si="3"/>
        <v>595.77432892948411</v>
      </c>
      <c r="S86" s="9">
        <f>USA!Z94*G86</f>
        <v>64193.073559999997</v>
      </c>
      <c r="T86" s="3">
        <v>0</v>
      </c>
      <c r="U86" s="3">
        <v>0</v>
      </c>
      <c r="V86" s="3">
        <v>0</v>
      </c>
      <c r="X86" s="3">
        <f t="shared" si="30"/>
        <v>0.43934426229508194</v>
      </c>
      <c r="Y86" s="44">
        <v>531</v>
      </c>
      <c r="Z86" s="3">
        <f t="shared" si="47"/>
        <v>0.10028860028860029</v>
      </c>
      <c r="AA86" s="9">
        <v>139</v>
      </c>
      <c r="AB86" s="9">
        <f t="shared" si="41"/>
        <v>670</v>
      </c>
      <c r="AD86" s="3">
        <f t="shared" si="42"/>
        <v>0.43934426229508194</v>
      </c>
      <c r="AF86" s="9">
        <v>745</v>
      </c>
      <c r="AM86">
        <v>2007</v>
      </c>
      <c r="AN86" s="3">
        <f t="shared" si="26"/>
        <v>1525</v>
      </c>
      <c r="AO86" s="3">
        <f t="shared" si="19"/>
        <v>531</v>
      </c>
      <c r="AP86" s="3">
        <f t="shared" si="20"/>
        <v>139</v>
      </c>
      <c r="AQ86" s="3">
        <f t="shared" si="39"/>
        <v>670</v>
      </c>
      <c r="AR86" s="3">
        <f t="shared" si="35"/>
        <v>855</v>
      </c>
      <c r="AS86" s="7"/>
      <c r="AT86" s="7">
        <v>90.267011383780783</v>
      </c>
      <c r="AU86" s="7"/>
      <c r="AV86" s="3">
        <f t="shared" si="36"/>
        <v>1689.4322484171805</v>
      </c>
      <c r="AW86" s="3">
        <f t="shared" si="22"/>
        <v>1682.1362330094496</v>
      </c>
      <c r="AX86" s="3">
        <f t="shared" si="27"/>
        <v>742.24236487836788</v>
      </c>
      <c r="AY86" s="3">
        <f t="shared" si="28"/>
        <v>947.18988353881264</v>
      </c>
      <c r="AZ86" s="3">
        <f t="shared" si="37"/>
        <v>939.89386813108172</v>
      </c>
      <c r="BA86" s="9">
        <f t="shared" si="38"/>
        <v>71114.654817888702</v>
      </c>
      <c r="BB86" s="23">
        <v>1</v>
      </c>
      <c r="BC86" s="12">
        <v>0</v>
      </c>
      <c r="BD86">
        <v>0</v>
      </c>
      <c r="BG86" s="3">
        <f t="shared" si="13"/>
        <v>1936.9518842891848</v>
      </c>
      <c r="BH86" s="3">
        <f t="shared" si="14"/>
        <v>1928.5869257032175</v>
      </c>
    </row>
    <row r="87" spans="1:70">
      <c r="A87">
        <v>2008</v>
      </c>
      <c r="B87" s="3">
        <f t="shared" si="15"/>
        <v>155.82545623075467</v>
      </c>
      <c r="C87" s="3">
        <f t="shared" si="0"/>
        <v>98.70291900542351</v>
      </c>
      <c r="D87" s="2">
        <f t="shared" si="43"/>
        <v>108.88304297468588</v>
      </c>
      <c r="E87" s="2">
        <v>141.25640655453694</v>
      </c>
      <c r="F87" s="2">
        <f t="shared" si="44"/>
        <v>153.80427385327346</v>
      </c>
      <c r="G87" s="3">
        <v>1102.05</v>
      </c>
      <c r="H87" s="7">
        <f t="shared" si="45"/>
        <v>1503.6011529211091</v>
      </c>
      <c r="I87" s="44">
        <f t="shared" si="46"/>
        <v>1695</v>
      </c>
      <c r="J87" s="44">
        <f t="shared" si="24"/>
        <v>1520.9907826852091</v>
      </c>
      <c r="K87" s="9">
        <v>1695</v>
      </c>
      <c r="L87" s="3">
        <v>130.6</v>
      </c>
      <c r="M87" s="9">
        <f t="shared" si="34"/>
        <v>2204.1</v>
      </c>
      <c r="N87" s="6">
        <v>200</v>
      </c>
      <c r="P87" s="44">
        <f t="shared" si="40"/>
        <v>1037</v>
      </c>
      <c r="Q87" s="44">
        <f t="shared" si="3"/>
        <v>862.99078268520907</v>
      </c>
      <c r="S87" s="9">
        <f>USA!Z95*G87</f>
        <v>104088.6225</v>
      </c>
      <c r="T87" s="3">
        <v>0</v>
      </c>
      <c r="U87" s="3">
        <v>0</v>
      </c>
      <c r="V87" s="3">
        <v>0</v>
      </c>
      <c r="X87" s="3">
        <f t="shared" si="30"/>
        <v>0.3882005899705015</v>
      </c>
      <c r="Y87" s="48">
        <v>504</v>
      </c>
      <c r="Z87" s="3">
        <f t="shared" si="47"/>
        <v>9.9935107073329005E-2</v>
      </c>
      <c r="AA87" s="9">
        <v>154</v>
      </c>
      <c r="AB87" s="9">
        <f t="shared" si="41"/>
        <v>658</v>
      </c>
      <c r="AD87" s="3">
        <f t="shared" si="42"/>
        <v>0.3882005899705015</v>
      </c>
      <c r="AF87" s="9">
        <v>745</v>
      </c>
      <c r="AM87">
        <v>2008</v>
      </c>
      <c r="AN87" s="3">
        <f t="shared" si="26"/>
        <v>1695</v>
      </c>
      <c r="AO87" s="3">
        <f t="shared" si="19"/>
        <v>504</v>
      </c>
      <c r="AP87" s="3">
        <f t="shared" si="20"/>
        <v>154</v>
      </c>
      <c r="AQ87" s="3">
        <f t="shared" si="39"/>
        <v>658</v>
      </c>
      <c r="AR87" s="3">
        <f t="shared" si="35"/>
        <v>1037</v>
      </c>
      <c r="AS87" s="7"/>
      <c r="AT87" s="7">
        <v>94.48751049327764</v>
      </c>
      <c r="AU87" s="7"/>
      <c r="AV87" s="3">
        <f t="shared" si="36"/>
        <v>1793.8878812143023</v>
      </c>
      <c r="AW87" s="3">
        <f t="shared" si="22"/>
        <v>1785.2506998510225</v>
      </c>
      <c r="AX87" s="3">
        <f t="shared" si="27"/>
        <v>696.38833382832513</v>
      </c>
      <c r="AY87" s="3">
        <f t="shared" si="28"/>
        <v>1097.4995473859772</v>
      </c>
      <c r="AZ87" s="3">
        <f t="shared" si="37"/>
        <v>1088.8623660226974</v>
      </c>
      <c r="BA87" s="9">
        <f t="shared" si="38"/>
        <v>110161.24983778193</v>
      </c>
      <c r="BB87" s="12">
        <v>0</v>
      </c>
      <c r="BC87" s="12">
        <v>0</v>
      </c>
      <c r="BD87">
        <v>0</v>
      </c>
      <c r="BG87" s="3">
        <f t="shared" si="13"/>
        <v>2056.7113685541276</v>
      </c>
      <c r="BH87" s="3">
        <f t="shared" si="14"/>
        <v>2046.8087490603739</v>
      </c>
    </row>
    <row r="88" spans="1:70">
      <c r="A88">
        <v>2009</v>
      </c>
      <c r="B88" s="3">
        <f t="shared" si="15"/>
        <v>125.93021144894006</v>
      </c>
      <c r="C88" s="3">
        <f>E88/E$89*100</f>
        <v>98.380597588111073</v>
      </c>
      <c r="D88" s="2">
        <f t="shared" si="43"/>
        <v>87.993739640981715</v>
      </c>
      <c r="E88" s="2">
        <v>140.7951236905254</v>
      </c>
      <c r="F88" s="2">
        <f t="shared" si="44"/>
        <v>123.89089456743909</v>
      </c>
      <c r="G88" s="3">
        <v>1276.93</v>
      </c>
      <c r="H88" s="7">
        <f t="shared" si="45"/>
        <v>1300.4154879596033</v>
      </c>
      <c r="I88" s="44">
        <f t="shared" si="46"/>
        <v>1582</v>
      </c>
      <c r="J88" s="44">
        <f t="shared" si="24"/>
        <v>1326.0464422793359</v>
      </c>
      <c r="K88" s="9">
        <v>1582</v>
      </c>
      <c r="L88" s="3">
        <v>116.8</v>
      </c>
      <c r="M88" s="9"/>
      <c r="P88" s="44">
        <f t="shared" si="40"/>
        <v>944</v>
      </c>
      <c r="Q88" s="44">
        <f t="shared" si="3"/>
        <v>688.04644227933591</v>
      </c>
      <c r="S88" s="9">
        <f>USA!Z96*G88</f>
        <v>77969.34580000001</v>
      </c>
      <c r="T88" s="3">
        <v>0</v>
      </c>
      <c r="U88" s="3">
        <v>0</v>
      </c>
      <c r="V88" s="3">
        <v>0</v>
      </c>
      <c r="X88" s="3">
        <f t="shared" si="30"/>
        <v>0.40328697850821743</v>
      </c>
      <c r="Y88" s="44">
        <v>494</v>
      </c>
      <c r="Z88" s="3">
        <f>AA88/(K88-(AA88))</f>
        <v>0.10013908205841446</v>
      </c>
      <c r="AA88" s="9">
        <v>144</v>
      </c>
      <c r="AB88" s="9">
        <f t="shared" si="41"/>
        <v>638</v>
      </c>
      <c r="AD88" s="3">
        <f t="shared" si="42"/>
        <v>0.40328697850821743</v>
      </c>
      <c r="AF88" s="9">
        <v>745</v>
      </c>
      <c r="AM88">
        <v>2009</v>
      </c>
      <c r="AN88" s="3">
        <f t="shared" si="26"/>
        <v>1582</v>
      </c>
      <c r="AO88" s="3">
        <f t="shared" si="19"/>
        <v>494</v>
      </c>
      <c r="AP88" s="3">
        <f t="shared" si="20"/>
        <v>144</v>
      </c>
      <c r="AQ88" s="3">
        <f t="shared" si="39"/>
        <v>638</v>
      </c>
      <c r="AR88" s="3">
        <f t="shared" si="35"/>
        <v>944</v>
      </c>
      <c r="AS88" s="7"/>
      <c r="AT88" s="7">
        <v>97.157622658681021</v>
      </c>
      <c r="AU88" s="7"/>
      <c r="AV88" s="3">
        <f t="shared" si="36"/>
        <v>1628.2819162400003</v>
      </c>
      <c r="AW88" s="3">
        <f t="shared" si="22"/>
        <v>1625.6562753155645</v>
      </c>
      <c r="AX88" s="3">
        <f t="shared" si="27"/>
        <v>656.66489416000013</v>
      </c>
      <c r="AY88" s="3">
        <f t="shared" si="28"/>
        <v>971.6170220800002</v>
      </c>
      <c r="AZ88" s="3">
        <f t="shared" si="37"/>
        <v>968.99138115556434</v>
      </c>
      <c r="BA88" s="9">
        <f t="shared" si="38"/>
        <v>80250.363961569674</v>
      </c>
      <c r="BB88" s="12">
        <v>0</v>
      </c>
      <c r="BC88" s="23">
        <v>1</v>
      </c>
      <c r="BD88">
        <v>0</v>
      </c>
      <c r="BG88" s="3">
        <f t="shared" si="13"/>
        <v>1866.8423837475268</v>
      </c>
      <c r="BH88" s="3">
        <f t="shared" si="14"/>
        <v>1863.8320587458479</v>
      </c>
    </row>
    <row r="89" spans="1:70">
      <c r="A89">
        <v>2010</v>
      </c>
      <c r="B89" s="3">
        <f>I89/G89*100/C89*100</f>
        <v>147.61217113918229</v>
      </c>
      <c r="C89" s="3">
        <f>CPIs!AB49</f>
        <v>99.999998509883881</v>
      </c>
      <c r="D89" s="2">
        <f t="shared" si="43"/>
        <v>103.14400819359679</v>
      </c>
      <c r="E89" s="2">
        <v>143.11269411067286</v>
      </c>
      <c r="F89" s="2">
        <f t="shared" si="44"/>
        <v>147.61216893958954</v>
      </c>
      <c r="G89" s="3">
        <f>'Exchange Rates'!T49</f>
        <v>1157.7636263168861</v>
      </c>
      <c r="H89" s="7">
        <f t="shared" si="45"/>
        <v>1424.6155654324739</v>
      </c>
      <c r="I89" s="44">
        <f t="shared" si="46"/>
        <v>1709</v>
      </c>
      <c r="J89" s="44">
        <f t="shared" si="24"/>
        <v>1450.4081853025539</v>
      </c>
      <c r="K89" s="9">
        <v>1709</v>
      </c>
      <c r="L89" s="3">
        <v>127.4</v>
      </c>
      <c r="M89" s="9"/>
      <c r="P89" s="44">
        <f t="shared" si="40"/>
        <v>1025</v>
      </c>
      <c r="Q89" s="44">
        <f t="shared" si="3"/>
        <v>766.40818530255387</v>
      </c>
      <c r="S89" s="9">
        <f>USA!Z97*G89</f>
        <v>89668.792858242829</v>
      </c>
      <c r="T89" s="3">
        <v>0</v>
      </c>
      <c r="U89" s="3">
        <v>0</v>
      </c>
      <c r="V89" s="3">
        <v>0</v>
      </c>
      <c r="X89" s="3">
        <f>AB89/I89</f>
        <v>0.40023405500292569</v>
      </c>
      <c r="Y89" s="44">
        <v>529</v>
      </c>
      <c r="Z89" s="3">
        <f t="shared" si="47"/>
        <v>9.9742599742599747E-2</v>
      </c>
      <c r="AA89" s="9">
        <v>155</v>
      </c>
      <c r="AB89" s="9">
        <f t="shared" si="41"/>
        <v>684</v>
      </c>
      <c r="AD89" s="3">
        <f t="shared" si="42"/>
        <v>0.40023405500292569</v>
      </c>
      <c r="AF89" s="9">
        <v>746</v>
      </c>
      <c r="AM89">
        <v>2010</v>
      </c>
      <c r="AN89" s="3">
        <f t="shared" si="26"/>
        <v>1709</v>
      </c>
      <c r="AO89" s="3">
        <f t="shared" si="19"/>
        <v>529</v>
      </c>
      <c r="AP89" s="3">
        <f t="shared" si="20"/>
        <v>155</v>
      </c>
      <c r="AQ89" s="3">
        <f t="shared" si="39"/>
        <v>684</v>
      </c>
      <c r="AR89" s="3">
        <f t="shared" si="35"/>
        <v>1025</v>
      </c>
      <c r="AS89" s="7"/>
      <c r="AT89" s="7">
        <v>100</v>
      </c>
      <c r="AU89" s="7"/>
      <c r="AV89" s="3">
        <f t="shared" si="36"/>
        <v>1709</v>
      </c>
      <c r="AW89" s="3">
        <f t="shared" si="22"/>
        <v>1711.6256409244361</v>
      </c>
      <c r="AX89" s="3">
        <f t="shared" si="27"/>
        <v>684</v>
      </c>
      <c r="AY89" s="3">
        <f>AV89-AX89</f>
        <v>1025</v>
      </c>
      <c r="AZ89" s="3">
        <f t="shared" si="37"/>
        <v>1027.6256409244361</v>
      </c>
      <c r="BA89" s="9">
        <f t="shared" si="38"/>
        <v>89668.792858242829</v>
      </c>
      <c r="BB89" s="12">
        <v>0</v>
      </c>
      <c r="BC89" s="23">
        <v>1</v>
      </c>
      <c r="BD89">
        <v>0</v>
      </c>
      <c r="BG89" s="3">
        <f t="shared" si="13"/>
        <v>1959.3865177793143</v>
      </c>
      <c r="BH89" s="3">
        <f t="shared" si="14"/>
        <v>1962.3968427809932</v>
      </c>
    </row>
    <row r="90" spans="1:70">
      <c r="A90">
        <v>2011</v>
      </c>
      <c r="B90" s="3">
        <f t="shared" ref="B90:B96" si="48">I90/G90*100/C90*100</f>
        <v>160.91845961546318</v>
      </c>
      <c r="C90" s="3">
        <f>CPIs!AB50</f>
        <v>103.13271097869961</v>
      </c>
      <c r="G90" s="3">
        <f>'Exchange Rates'!T50</f>
        <v>1104.4858705487623</v>
      </c>
      <c r="I90" s="9">
        <v>1833</v>
      </c>
      <c r="S90" s="9">
        <f>USA!Z98*G90</f>
        <v>118677.00679046451</v>
      </c>
      <c r="Y90" s="44">
        <v>529</v>
      </c>
      <c r="Z90" s="7">
        <v>0.1</v>
      </c>
      <c r="AA90" s="9">
        <f>Z90*(I90*(1/(1+Z90)))</f>
        <v>166.63636363636363</v>
      </c>
      <c r="AB90" s="9">
        <f t="shared" si="41"/>
        <v>695.63636363636363</v>
      </c>
      <c r="AF90" s="9">
        <v>746</v>
      </c>
      <c r="AM90">
        <v>2011</v>
      </c>
      <c r="AN90" s="3">
        <f t="shared" ref="AN90:AN96" si="49">I90</f>
        <v>1833</v>
      </c>
      <c r="AO90" s="3">
        <f t="shared" si="19"/>
        <v>529</v>
      </c>
      <c r="AP90" s="3">
        <f t="shared" si="20"/>
        <v>166.63636363636363</v>
      </c>
      <c r="AQ90" s="3">
        <f t="shared" si="39"/>
        <v>695.63636363636363</v>
      </c>
      <c r="AR90" s="3">
        <f t="shared" si="35"/>
        <v>1137.3636363636365</v>
      </c>
      <c r="AS90" s="7"/>
      <c r="AT90" s="7">
        <f>CPIs!T50</f>
        <v>104.02584838867188</v>
      </c>
      <c r="AU90" s="7"/>
      <c r="AV90" s="3">
        <f t="shared" si="36"/>
        <v>1762.0620532229264</v>
      </c>
      <c r="AW90" s="3">
        <f t="shared" si="22"/>
        <v>1781.9992366880724</v>
      </c>
      <c r="AX90" s="3">
        <f>AQ90/$AT90*100</f>
        <v>668.71491500579441</v>
      </c>
      <c r="AY90" s="3">
        <f t="shared" si="28"/>
        <v>1093.3471382171319</v>
      </c>
      <c r="AZ90" s="3">
        <f t="shared" si="37"/>
        <v>1113.284321682278</v>
      </c>
      <c r="BA90" s="9">
        <f t="shared" si="38"/>
        <v>114084.15180335901</v>
      </c>
      <c r="BB90" s="12">
        <v>0</v>
      </c>
      <c r="BC90" s="12">
        <v>0</v>
      </c>
      <c r="BD90">
        <v>0</v>
      </c>
      <c r="BG90" s="3">
        <f t="shared" si="13"/>
        <v>2020.222721226178</v>
      </c>
      <c r="BH90" s="3">
        <f t="shared" si="14"/>
        <v>2043.0809122642706</v>
      </c>
    </row>
    <row r="91" spans="1:70">
      <c r="A91">
        <v>2012</v>
      </c>
      <c r="B91" s="3">
        <f t="shared" si="48"/>
        <v>166.02881605030842</v>
      </c>
      <c r="C91" s="3">
        <f>CPIs!AB51</f>
        <v>105.21072267093371</v>
      </c>
      <c r="G91" s="3">
        <f>'Exchange Rates'!T51</f>
        <v>1120.3335738914282</v>
      </c>
      <c r="I91" s="9">
        <v>1957</v>
      </c>
      <c r="S91" s="9">
        <f>USA!Z99*G91</f>
        <v>122671.88629289284</v>
      </c>
      <c r="Y91" s="44">
        <v>529</v>
      </c>
      <c r="Z91" s="7">
        <v>0.1</v>
      </c>
      <c r="AA91" s="9">
        <f t="shared" ref="AA91:AA96" si="50">Z91*(I91*(1/(1+Z91)))</f>
        <v>177.90909090909091</v>
      </c>
      <c r="AB91" s="9">
        <f t="shared" si="41"/>
        <v>706.90909090909088</v>
      </c>
      <c r="AF91" s="9">
        <v>746</v>
      </c>
      <c r="AM91">
        <v>2012</v>
      </c>
      <c r="AN91" s="3">
        <f t="shared" si="49"/>
        <v>1957</v>
      </c>
      <c r="AO91" s="3">
        <f t="shared" si="19"/>
        <v>529</v>
      </c>
      <c r="AP91" s="3">
        <f t="shared" si="20"/>
        <v>177.90909090909091</v>
      </c>
      <c r="AQ91" s="3">
        <f t="shared" si="39"/>
        <v>706.90909090909088</v>
      </c>
      <c r="AR91" s="3">
        <f t="shared" si="35"/>
        <v>1250.090909090909</v>
      </c>
      <c r="AS91" s="7"/>
      <c r="AT91" s="7">
        <f>CPIs!T51</f>
        <v>106.30112457275391</v>
      </c>
      <c r="AU91" s="7"/>
      <c r="AV91" s="3">
        <f t="shared" si="36"/>
        <v>1840.9965161380801</v>
      </c>
      <c r="AW91" s="3">
        <f t="shared" si="22"/>
        <v>1786.4846069551329</v>
      </c>
      <c r="AX91" s="3">
        <f t="shared" si="27"/>
        <v>665.00622053652205</v>
      </c>
      <c r="AY91" s="3">
        <f t="shared" si="28"/>
        <v>1175.990295601558</v>
      </c>
      <c r="AZ91" s="3">
        <f t="shared" si="37"/>
        <v>1121.4783864186109</v>
      </c>
      <c r="BA91" s="9">
        <f t="shared" si="38"/>
        <v>115400.3655050089</v>
      </c>
      <c r="BB91" s="12">
        <v>0</v>
      </c>
      <c r="BC91" s="12">
        <v>0</v>
      </c>
      <c r="BD91">
        <v>0</v>
      </c>
      <c r="BG91" s="3">
        <f t="shared" si="13"/>
        <v>2110.721915154852</v>
      </c>
      <c r="BH91" s="3">
        <f t="shared" si="14"/>
        <v>2048.2234365641689</v>
      </c>
      <c r="BR91" t="s">
        <v>2415</v>
      </c>
    </row>
    <row r="92" spans="1:70">
      <c r="A92">
        <v>2013</v>
      </c>
      <c r="B92" s="3">
        <f t="shared" si="48"/>
        <v>157.32573018053554</v>
      </c>
      <c r="C92" s="3">
        <f>CPIs!AB52</f>
        <v>106.69767516878358</v>
      </c>
      <c r="G92" s="3">
        <f>'Exchange Rates'!T52</f>
        <v>1094.9411917885509</v>
      </c>
      <c r="I92" s="9">
        <v>1838</v>
      </c>
      <c r="R92" s="52"/>
      <c r="S92" s="9">
        <f>USA!Z100*G92</f>
        <v>115993.96382860986</v>
      </c>
      <c r="Y92" s="44">
        <v>529</v>
      </c>
      <c r="Z92" s="7">
        <v>0.1</v>
      </c>
      <c r="AA92" s="9">
        <f t="shared" si="50"/>
        <v>167.09090909090909</v>
      </c>
      <c r="AB92" s="9">
        <f t="shared" si="41"/>
        <v>696.09090909090912</v>
      </c>
      <c r="AF92" s="9">
        <v>746</v>
      </c>
      <c r="AM92">
        <v>2013</v>
      </c>
      <c r="AN92" s="3">
        <f t="shared" si="49"/>
        <v>1838</v>
      </c>
      <c r="AO92" s="3">
        <f t="shared" si="19"/>
        <v>529</v>
      </c>
      <c r="AP92" s="3">
        <f t="shared" si="20"/>
        <v>167.09090909090909</v>
      </c>
      <c r="AQ92" s="3">
        <f t="shared" si="39"/>
        <v>696.09090909090912</v>
      </c>
      <c r="AR92" s="3">
        <f t="shared" si="35"/>
        <v>1141.909090909091</v>
      </c>
      <c r="AS92" s="7"/>
      <c r="AT92" s="7">
        <f>CPIs!T52</f>
        <v>107.68450164794922</v>
      </c>
      <c r="AU92" s="7"/>
      <c r="AV92" s="3">
        <f t="shared" si="36"/>
        <v>1706.8380053509802</v>
      </c>
      <c r="AW92" s="3">
        <f t="shared" si="22"/>
        <v>1720.0595334462737</v>
      </c>
      <c r="AX92" s="3">
        <f t="shared" si="27"/>
        <v>646.41698520983562</v>
      </c>
      <c r="AY92" s="3">
        <f t="shared" si="28"/>
        <v>1060.4210201411447</v>
      </c>
      <c r="AZ92" s="3">
        <f t="shared" si="37"/>
        <v>1073.642548236438</v>
      </c>
      <c r="BA92" s="9">
        <f t="shared" si="38"/>
        <v>107716.48849509151</v>
      </c>
      <c r="BB92" s="12">
        <v>0</v>
      </c>
      <c r="BC92" s="12">
        <v>0</v>
      </c>
      <c r="BD92">
        <v>0</v>
      </c>
      <c r="BG92" s="3">
        <f t="shared" si="13"/>
        <v>1956.9077681205663</v>
      </c>
      <c r="BH92" s="3">
        <f t="shared" si="14"/>
        <v>1972.066389474784</v>
      </c>
    </row>
    <row r="93" spans="1:70">
      <c r="A93">
        <v>2014</v>
      </c>
      <c r="B93" s="3">
        <f t="shared" si="48"/>
        <v>150.63902326929866</v>
      </c>
      <c r="C93" s="3">
        <f>CPIs!AB53</f>
        <v>108.45811062912946</v>
      </c>
      <c r="G93" s="3">
        <f>'Exchange Rates'!T53</f>
        <v>1052.146829810901</v>
      </c>
      <c r="I93" s="9">
        <v>1719</v>
      </c>
      <c r="R93" s="52"/>
      <c r="S93" s="9">
        <f>USA!Z101*G93</f>
        <v>101205.01278791248</v>
      </c>
      <c r="Y93" s="44">
        <v>529</v>
      </c>
      <c r="Z93" s="7">
        <v>0.1</v>
      </c>
      <c r="AA93" s="9">
        <f t="shared" si="50"/>
        <v>156.27272727272728</v>
      </c>
      <c r="AB93" s="9">
        <f t="shared" si="41"/>
        <v>685.27272727272725</v>
      </c>
      <c r="AF93" s="9">
        <v>746</v>
      </c>
      <c r="AM93">
        <v>2014</v>
      </c>
      <c r="AN93" s="3">
        <f t="shared" si="49"/>
        <v>1719</v>
      </c>
      <c r="AO93" s="3">
        <f t="shared" si="19"/>
        <v>529</v>
      </c>
      <c r="AP93" s="3">
        <f t="shared" si="20"/>
        <v>156.27272727272728</v>
      </c>
      <c r="AQ93" s="3">
        <f t="shared" si="39"/>
        <v>685.27272727272725</v>
      </c>
      <c r="AR93" s="3">
        <f t="shared" si="35"/>
        <v>1033.7272727272727</v>
      </c>
      <c r="AS93" s="7"/>
      <c r="AT93" s="7">
        <f>CPIs!T53</f>
        <v>109.05716705322266</v>
      </c>
      <c r="AU93" s="7"/>
      <c r="AV93" s="3">
        <f t="shared" si="36"/>
        <v>1576.2375334406811</v>
      </c>
      <c r="AW93" s="3">
        <f t="shared" si="22"/>
        <v>1609.1410190008673</v>
      </c>
      <c r="AX93" s="3">
        <f t="shared" si="27"/>
        <v>628.36101999449227</v>
      </c>
      <c r="AY93" s="3">
        <f t="shared" si="28"/>
        <v>947.87651344618882</v>
      </c>
      <c r="AZ93" s="3">
        <f t="shared" si="37"/>
        <v>980.77999900637496</v>
      </c>
      <c r="BA93" s="9">
        <f t="shared" si="38"/>
        <v>92799.964938133649</v>
      </c>
      <c r="BB93" s="12">
        <v>0</v>
      </c>
      <c r="BC93" s="12">
        <v>0</v>
      </c>
      <c r="BD93">
        <v>0</v>
      </c>
      <c r="BG93" s="3">
        <f t="shared" si="13"/>
        <v>1807.172950170504</v>
      </c>
      <c r="BH93" s="3">
        <f t="shared" si="14"/>
        <v>1844.8971432627075</v>
      </c>
      <c r="BR93" t="s">
        <v>2416</v>
      </c>
    </row>
    <row r="94" spans="1:70">
      <c r="A94">
        <v>2015</v>
      </c>
      <c r="B94" s="3">
        <f t="shared" si="48"/>
        <v>123.94508217367006</v>
      </c>
      <c r="C94" s="3">
        <f>CPIs!AB54</f>
        <v>108.69337137051741</v>
      </c>
      <c r="G94" s="3">
        <f>'Exchange Rates'!T54</f>
        <v>1132.7189711759586</v>
      </c>
      <c r="I94" s="9">
        <v>1526</v>
      </c>
      <c r="R94" s="52"/>
      <c r="S94" s="9">
        <f>USA!Z102*G94</f>
        <v>56088.477162054311</v>
      </c>
      <c r="Y94" s="44">
        <v>529</v>
      </c>
      <c r="Z94" s="7">
        <v>0.1</v>
      </c>
      <c r="AA94" s="9">
        <f t="shared" si="50"/>
        <v>138.72727272727272</v>
      </c>
      <c r="AB94" s="9">
        <f t="shared" si="41"/>
        <v>667.72727272727275</v>
      </c>
      <c r="AF94" s="9">
        <v>746</v>
      </c>
      <c r="AM94">
        <v>2015</v>
      </c>
      <c r="AN94" s="3">
        <f t="shared" si="49"/>
        <v>1526</v>
      </c>
      <c r="AO94" s="3">
        <f t="shared" si="19"/>
        <v>529</v>
      </c>
      <c r="AP94" s="3">
        <f t="shared" si="20"/>
        <v>138.72727272727272</v>
      </c>
      <c r="AQ94" s="3">
        <f t="shared" si="39"/>
        <v>667.72727272727275</v>
      </c>
      <c r="AR94" s="3">
        <f t="shared" si="35"/>
        <v>858.27272727272725</v>
      </c>
      <c r="AS94" s="7"/>
      <c r="AT94" s="7">
        <f>CPIs!T54</f>
        <v>109.82733917236328</v>
      </c>
      <c r="AU94" s="7"/>
      <c r="AV94" s="3">
        <f t="shared" si="36"/>
        <v>1389.4536747403959</v>
      </c>
      <c r="AW94" s="3">
        <f t="shared" si="22"/>
        <v>1328.9680012486285</v>
      </c>
      <c r="AX94" s="3">
        <f t="shared" si="27"/>
        <v>607.97910407293034</v>
      </c>
      <c r="AY94" s="3">
        <f t="shared" si="28"/>
        <v>781.47457066746551</v>
      </c>
      <c r="AZ94" s="3">
        <f t="shared" si="37"/>
        <v>720.98889717569818</v>
      </c>
      <c r="BA94" s="9">
        <f t="shared" si="38"/>
        <v>51069.685913112145</v>
      </c>
      <c r="BB94" s="12">
        <v>0</v>
      </c>
      <c r="BC94" s="12">
        <v>0</v>
      </c>
      <c r="BD94">
        <v>0</v>
      </c>
      <c r="BG94" s="3">
        <f t="shared" si="13"/>
        <v>1593.0232869311037</v>
      </c>
      <c r="BH94" s="3">
        <f t="shared" si="14"/>
        <v>1523.6758245796873</v>
      </c>
      <c r="BQ94" s="78">
        <v>43101</v>
      </c>
      <c r="BR94">
        <v>1.46</v>
      </c>
    </row>
    <row r="95" spans="1:70">
      <c r="A95">
        <v>2016</v>
      </c>
      <c r="B95" s="3">
        <f t="shared" si="48"/>
        <v>109.11846738227948</v>
      </c>
      <c r="C95" s="3">
        <f>CPIs!AB55</f>
        <v>110.08253978538585</v>
      </c>
      <c r="G95" s="3">
        <f>'Exchange Rates'!T55</f>
        <v>1159.6699884540794</v>
      </c>
      <c r="I95" s="9">
        <v>1393</v>
      </c>
      <c r="S95" s="9">
        <f>USA!Z103*G95</f>
        <v>47179.975154599488</v>
      </c>
      <c r="Y95" s="44">
        <v>529</v>
      </c>
      <c r="Z95" s="7">
        <v>0.1</v>
      </c>
      <c r="AA95" s="9">
        <f t="shared" si="50"/>
        <v>126.63636363636363</v>
      </c>
      <c r="AB95" s="9">
        <f t="shared" si="41"/>
        <v>655.63636363636363</v>
      </c>
      <c r="AF95" s="9">
        <v>746</v>
      </c>
      <c r="AM95">
        <v>2016</v>
      </c>
      <c r="AN95" s="3">
        <f t="shared" si="49"/>
        <v>1393</v>
      </c>
      <c r="AO95" s="3">
        <f t="shared" si="19"/>
        <v>529</v>
      </c>
      <c r="AP95" s="3">
        <f t="shared" si="20"/>
        <v>126.63636363636363</v>
      </c>
      <c r="AQ95" s="3">
        <f t="shared" si="39"/>
        <v>655.63636363636363</v>
      </c>
      <c r="AR95" s="3">
        <f t="shared" si="35"/>
        <v>737.36363636363637</v>
      </c>
      <c r="AS95" s="7"/>
      <c r="AT95" s="7">
        <f>CPIs!T55</f>
        <v>110.89450836181641</v>
      </c>
      <c r="AU95" s="7"/>
      <c r="AV95" s="3">
        <f t="shared" si="36"/>
        <v>1256.1487674890514</v>
      </c>
      <c r="AW95" s="3">
        <f t="shared" si="22"/>
        <v>1259.1433702457284</v>
      </c>
      <c r="AX95" s="3">
        <f t="shared" si="27"/>
        <v>591.22527645572279</v>
      </c>
      <c r="AY95" s="3">
        <f t="shared" si="28"/>
        <v>664.92349103332856</v>
      </c>
      <c r="AZ95" s="3">
        <f t="shared" si="37"/>
        <v>667.91809379000551</v>
      </c>
      <c r="BA95" s="9">
        <f t="shared" si="38"/>
        <v>42544.915750620399</v>
      </c>
      <c r="BB95" s="12">
        <v>0</v>
      </c>
      <c r="BC95" s="12">
        <v>0</v>
      </c>
      <c r="BD95">
        <v>0</v>
      </c>
      <c r="BG95" s="3">
        <f t="shared" si="13"/>
        <v>1440.18780535</v>
      </c>
      <c r="BH95" s="3">
        <f t="shared" si="14"/>
        <v>1443.6211489822631</v>
      </c>
      <c r="BQ95" s="78">
        <v>43132</v>
      </c>
      <c r="BR95">
        <v>1.44</v>
      </c>
    </row>
    <row r="96" spans="1:70">
      <c r="A96">
        <v>2017</v>
      </c>
      <c r="B96" s="3">
        <f t="shared" si="48"/>
        <v>117.17945754865565</v>
      </c>
      <c r="C96" s="3">
        <f>CPIs!AB56</f>
        <v>112.42729788281457</v>
      </c>
      <c r="G96" s="3">
        <f>'Exchange Rates'!T56</f>
        <v>1130.242</v>
      </c>
      <c r="I96" s="9">
        <v>1489</v>
      </c>
      <c r="S96" s="9">
        <f>USA!Z104*G96</f>
        <v>59349.007419999994</v>
      </c>
      <c r="Y96" s="44">
        <v>529</v>
      </c>
      <c r="Z96" s="7">
        <v>0.1</v>
      </c>
      <c r="AA96" s="9">
        <f t="shared" si="50"/>
        <v>135.36363636363635</v>
      </c>
      <c r="AB96" s="9">
        <f t="shared" si="41"/>
        <v>664.36363636363637</v>
      </c>
      <c r="AF96" s="9">
        <v>746</v>
      </c>
      <c r="AM96">
        <v>2017</v>
      </c>
      <c r="AN96" s="3">
        <f t="shared" si="49"/>
        <v>1489</v>
      </c>
      <c r="AO96" s="3">
        <f t="shared" si="19"/>
        <v>529</v>
      </c>
      <c r="AP96" s="3">
        <f t="shared" si="20"/>
        <v>135.36363636363635</v>
      </c>
      <c r="AQ96" s="3">
        <f t="shared" si="39"/>
        <v>664.36363636363637</v>
      </c>
      <c r="AR96" s="3">
        <f t="shared" si="35"/>
        <v>824.63636363636363</v>
      </c>
      <c r="AS96" s="7"/>
      <c r="AT96" s="7">
        <f>CPIs!T56</f>
        <v>113.05695127487184</v>
      </c>
      <c r="AU96" s="7"/>
      <c r="AV96" s="3">
        <f t="shared" si="36"/>
        <v>1317.0353376855535</v>
      </c>
      <c r="AW96" s="3">
        <f t="shared" si="22"/>
        <v>1317.4971041678841</v>
      </c>
      <c r="AX96" s="3">
        <f t="shared" si="27"/>
        <v>587.63625665828351</v>
      </c>
      <c r="AY96" s="3">
        <f t="shared" si="28"/>
        <v>729.39908102726997</v>
      </c>
      <c r="AZ96" s="3">
        <f t="shared" si="37"/>
        <v>729.86084750960049</v>
      </c>
      <c r="BA96" s="9">
        <f t="shared" si="38"/>
        <v>52494.788467899343</v>
      </c>
      <c r="BB96" s="12">
        <v>0</v>
      </c>
      <c r="BC96" s="12">
        <v>0</v>
      </c>
      <c r="BD96">
        <v>0</v>
      </c>
      <c r="BG96" s="3">
        <f t="shared" si="13"/>
        <v>1509.9948999999999</v>
      </c>
      <c r="BH96" s="3">
        <f t="shared" si="14"/>
        <v>1510.5243201403398</v>
      </c>
      <c r="BQ96" s="78">
        <v>43160</v>
      </c>
      <c r="BR96">
        <v>1.46</v>
      </c>
    </row>
    <row r="97" spans="1:70">
      <c r="A97">
        <v>2018</v>
      </c>
      <c r="G97" s="3">
        <f>'Exchange Rates'!T57</f>
        <v>1103.0450000000001</v>
      </c>
      <c r="I97" s="9">
        <f>BR107*G97</f>
        <v>1578.7331562499999</v>
      </c>
      <c r="P97" s="9"/>
      <c r="S97" s="9">
        <f>USA!Z105*G97</f>
        <v>77438.152079653693</v>
      </c>
      <c r="Y97" s="44">
        <v>529</v>
      </c>
      <c r="Z97" s="7">
        <v>0.1</v>
      </c>
      <c r="AA97" s="9">
        <f t="shared" ref="AA97" si="51">Z97*(I97*(1/(1+Z97)))</f>
        <v>143.52119602272725</v>
      </c>
      <c r="AB97" s="9">
        <f t="shared" ref="AB97" si="52">Y97+AA97</f>
        <v>672.52119602272728</v>
      </c>
      <c r="AM97">
        <v>2018</v>
      </c>
      <c r="AN97" s="3">
        <f t="shared" ref="AN97" si="53">I97</f>
        <v>1578.7331562499999</v>
      </c>
      <c r="AO97" s="3">
        <f t="shared" ref="AO97" si="54">Y97</f>
        <v>529</v>
      </c>
      <c r="AP97" s="3">
        <f t="shared" ref="AP97" si="55">AA97</f>
        <v>143.52119602272725</v>
      </c>
      <c r="AQ97" s="3">
        <f t="shared" ref="AQ97" si="56">AB97</f>
        <v>672.52119602272728</v>
      </c>
      <c r="AR97" s="3">
        <f t="shared" ref="AR97" si="57">AN97-AQ97</f>
        <v>906.21196022727258</v>
      </c>
      <c r="AT97" s="7">
        <f>CPIs!T57</f>
        <v>114.65105428784753</v>
      </c>
      <c r="AV97" s="3">
        <f t="shared" ref="AV97" si="58">AN97/$AT97*100</f>
        <v>1376.9896544399576</v>
      </c>
      <c r="AW97" s="3">
        <f t="shared" ref="AW97" si="59">AZ97+AX97</f>
        <v>1410.120816869774</v>
      </c>
      <c r="AX97" s="3">
        <f t="shared" ref="AX97" si="60">AQ97/$AT97*100</f>
        <v>586.58090865372128</v>
      </c>
      <c r="AY97" s="3">
        <f t="shared" ref="AY97" si="61">AV97-AX97</f>
        <v>790.4087457862363</v>
      </c>
      <c r="AZ97" s="3">
        <f t="shared" si="37"/>
        <v>823.53990821605271</v>
      </c>
      <c r="BA97" s="9">
        <f t="shared" ref="BA97" si="62">S97/AT97*100</f>
        <v>67542.468371232215</v>
      </c>
      <c r="BB97" s="12">
        <v>0</v>
      </c>
      <c r="BC97" s="12">
        <v>0</v>
      </c>
      <c r="BD97">
        <v>0</v>
      </c>
      <c r="BG97" s="3">
        <f>AV97*$AT$97/$AT$89</f>
        <v>1578.7331562499999</v>
      </c>
      <c r="BH97" s="3">
        <f>AW97*$AT$97/$AT$89</f>
        <v>1616.7183832736036</v>
      </c>
      <c r="BQ97" s="78">
        <v>43191</v>
      </c>
      <c r="BR97">
        <v>1.45</v>
      </c>
    </row>
    <row r="98" spans="1:70">
      <c r="P98" s="51"/>
      <c r="Q98" s="51"/>
      <c r="AM98">
        <v>2019</v>
      </c>
      <c r="AT98" s="7">
        <f>AT97</f>
        <v>114.65105428784753</v>
      </c>
      <c r="BQ98" s="78">
        <v>43221</v>
      </c>
      <c r="BR98">
        <v>1.4850000000000001</v>
      </c>
    </row>
    <row r="99" spans="1:70">
      <c r="P99" s="51"/>
      <c r="Q99" s="51"/>
      <c r="AM99">
        <v>2020</v>
      </c>
      <c r="AT99" s="7">
        <f t="shared" ref="AT99:AT109" si="63">AT98</f>
        <v>114.65105428784753</v>
      </c>
      <c r="AV99" s="13" t="s">
        <v>88</v>
      </c>
      <c r="AW99" s="13">
        <v>403.05548566989853</v>
      </c>
      <c r="BQ99" s="78">
        <v>43252</v>
      </c>
      <c r="BR99">
        <v>1.44</v>
      </c>
    </row>
    <row r="100" spans="1:70">
      <c r="AM100">
        <v>2021</v>
      </c>
      <c r="AT100" s="7">
        <f t="shared" si="63"/>
        <v>114.65105428784753</v>
      </c>
      <c r="AV100" s="152" t="s">
        <v>1943</v>
      </c>
      <c r="AW100" s="13">
        <v>6.225482021697145E-3</v>
      </c>
      <c r="BQ100" s="78">
        <v>43282</v>
      </c>
      <c r="BR100">
        <v>1.44</v>
      </c>
    </row>
    <row r="101" spans="1:70">
      <c r="AM101">
        <v>2022</v>
      </c>
      <c r="AT101" s="7">
        <f t="shared" si="63"/>
        <v>114.65105428784753</v>
      </c>
      <c r="AV101" s="152" t="s">
        <v>2207</v>
      </c>
      <c r="AW101" s="13">
        <v>94.115377413218738</v>
      </c>
      <c r="BQ101" s="78">
        <v>43313</v>
      </c>
      <c r="BR101">
        <v>1.46</v>
      </c>
    </row>
    <row r="102" spans="1:70">
      <c r="AM102">
        <v>2023</v>
      </c>
      <c r="AT102" s="7">
        <f t="shared" si="63"/>
        <v>114.65105428784753</v>
      </c>
      <c r="AV102" s="152" t="s">
        <v>2167</v>
      </c>
      <c r="AW102" s="13">
        <v>66.338697408261424</v>
      </c>
      <c r="BQ102" s="78">
        <v>43344</v>
      </c>
      <c r="BR102">
        <v>1.48</v>
      </c>
    </row>
    <row r="103" spans="1:70" ht="15.75" thickBot="1">
      <c r="P103" s="13" t="s">
        <v>88</v>
      </c>
      <c r="Q103" s="13">
        <v>165.81545060495932</v>
      </c>
      <c r="AM103">
        <v>2024</v>
      </c>
      <c r="AT103" s="7">
        <f t="shared" si="63"/>
        <v>114.65105428784753</v>
      </c>
      <c r="AV103" s="152" t="s">
        <v>2208</v>
      </c>
      <c r="AW103" s="14">
        <v>-101.38829565849757</v>
      </c>
      <c r="BQ103" s="78">
        <v>43374</v>
      </c>
      <c r="BR103">
        <v>1.48</v>
      </c>
    </row>
    <row r="104" spans="1:70">
      <c r="P104" s="13" t="s">
        <v>99</v>
      </c>
      <c r="Q104" s="13">
        <v>6.697901416461244E-3</v>
      </c>
      <c r="AM104">
        <v>2025</v>
      </c>
      <c r="AT104" s="7">
        <f t="shared" si="63"/>
        <v>114.65105428784753</v>
      </c>
      <c r="BQ104" s="78">
        <v>43405</v>
      </c>
      <c r="BR104">
        <v>1.34</v>
      </c>
    </row>
    <row r="105" spans="1:70">
      <c r="P105" s="13" t="s">
        <v>127</v>
      </c>
      <c r="Q105" s="13">
        <v>46.712488600058521</v>
      </c>
      <c r="AM105">
        <v>2026</v>
      </c>
      <c r="AT105" s="7">
        <f t="shared" si="63"/>
        <v>114.65105428784753</v>
      </c>
      <c r="BQ105" s="78">
        <v>43435</v>
      </c>
      <c r="BR105">
        <v>1.24</v>
      </c>
    </row>
    <row r="106" spans="1:70">
      <c r="P106" s="13" t="s">
        <v>136</v>
      </c>
      <c r="Q106" s="13">
        <v>-20.774029341823748</v>
      </c>
      <c r="AM106">
        <v>2027</v>
      </c>
      <c r="AT106" s="7">
        <f t="shared" si="63"/>
        <v>114.65105428784753</v>
      </c>
    </row>
    <row r="107" spans="1:70" ht="15.75" thickBot="1">
      <c r="P107" s="14" t="s">
        <v>141</v>
      </c>
      <c r="Q107" s="14">
        <v>0</v>
      </c>
      <c r="AM107">
        <v>2028</v>
      </c>
      <c r="AT107" s="7">
        <f t="shared" si="63"/>
        <v>114.65105428784753</v>
      </c>
      <c r="BQ107">
        <v>2018</v>
      </c>
      <c r="BR107" s="3">
        <f>AVERAGE(BR94:BR105)</f>
        <v>1.4312499999999997</v>
      </c>
    </row>
    <row r="108" spans="1:70">
      <c r="AM108">
        <v>2029</v>
      </c>
      <c r="AT108" s="7">
        <f t="shared" si="63"/>
        <v>114.65105428784753</v>
      </c>
    </row>
    <row r="109" spans="1:70">
      <c r="AM109">
        <v>2030</v>
      </c>
      <c r="AT109" s="7">
        <f t="shared" si="63"/>
        <v>114.65105428784753</v>
      </c>
    </row>
    <row r="111" spans="1:70">
      <c r="R111" s="13" t="str">
        <f>AV99</f>
        <v>Intercept</v>
      </c>
      <c r="S111" s="13">
        <f>AW99</f>
        <v>403.05548566989853</v>
      </c>
    </row>
    <row r="112" spans="1:70">
      <c r="R112" s="13" t="str">
        <f>AV100</f>
        <v>landed oil</v>
      </c>
      <c r="S112" s="13">
        <f>AW100</f>
        <v>6.225482021697145E-3</v>
      </c>
    </row>
    <row r="118" spans="1:62">
      <c r="O118" s="7"/>
      <c r="P118" s="24"/>
      <c r="R118" s="44"/>
      <c r="S118" s="45"/>
      <c r="T118" s="9"/>
      <c r="W118" s="3"/>
      <c r="X118" s="24"/>
      <c r="AC118" s="9"/>
      <c r="AD118" s="9"/>
      <c r="AE118" s="9"/>
      <c r="AF118" s="9"/>
      <c r="AG118" s="9"/>
      <c r="AK118" s="3"/>
      <c r="AL118" s="3"/>
      <c r="AM118" s="3"/>
      <c r="AN118" s="3"/>
      <c r="AO118" s="3"/>
      <c r="AP118" s="3"/>
      <c r="AQ118" s="3"/>
      <c r="AR118" s="3"/>
      <c r="AS118"/>
      <c r="AT118"/>
      <c r="AV118" s="32"/>
      <c r="AW118" s="32"/>
      <c r="AX118" s="2"/>
      <c r="AY118" s="23"/>
      <c r="BA118" s="23"/>
      <c r="BB118"/>
      <c r="BC118"/>
      <c r="BE118"/>
      <c r="BG118" s="44"/>
      <c r="BH118" s="12"/>
      <c r="BI118" s="12"/>
    </row>
    <row r="119" spans="1:62">
      <c r="B119" s="3"/>
      <c r="C119" s="3"/>
      <c r="F119" s="9"/>
      <c r="G119" s="44"/>
      <c r="H119" s="9"/>
      <c r="I119" s="3"/>
      <c r="J119" s="3"/>
      <c r="K119" s="3"/>
      <c r="L119" s="24"/>
      <c r="M119" s="44"/>
      <c r="N119" s="44"/>
      <c r="O119" s="44"/>
      <c r="P119" s="45"/>
      <c r="Q119" s="9"/>
      <c r="R119" s="3"/>
      <c r="S119" s="3"/>
      <c r="U119" s="24"/>
      <c r="V119" s="9"/>
      <c r="W119" s="9"/>
      <c r="AC119" s="9"/>
      <c r="AD119" s="9"/>
      <c r="AE119" s="9"/>
      <c r="AF119" s="9"/>
      <c r="AG119" s="9"/>
      <c r="AH119" s="9"/>
      <c r="AI119" s="9"/>
      <c r="AJ119" s="9"/>
      <c r="AK119" t="s">
        <v>1960</v>
      </c>
      <c r="AL119" t="s">
        <v>1960</v>
      </c>
      <c r="AM119" t="s">
        <v>1960</v>
      </c>
      <c r="AN119" s="3"/>
      <c r="AO119" s="3"/>
      <c r="AP119" s="3"/>
      <c r="AQ119" s="3"/>
      <c r="AR119" s="3"/>
      <c r="AS119" s="3"/>
      <c r="AT119" s="3"/>
      <c r="AU119" s="7"/>
      <c r="AV119" s="12"/>
      <c r="AW119" s="32"/>
      <c r="AX119" s="2"/>
      <c r="AY119" s="2"/>
      <c r="AZ119" s="23"/>
      <c r="BA119"/>
      <c r="BB119" s="23"/>
      <c r="BC119"/>
      <c r="BE119"/>
      <c r="BG119" s="12"/>
      <c r="BH119" s="9"/>
      <c r="BI119" s="12"/>
      <c r="BJ119" s="12"/>
    </row>
    <row r="120" spans="1:62">
      <c r="B120" s="76" t="s">
        <v>2551</v>
      </c>
      <c r="C120" s="76"/>
      <c r="D120" s="76"/>
      <c r="E120" s="76"/>
      <c r="F120" s="26" t="s">
        <v>269</v>
      </c>
      <c r="G120" s="76" t="s">
        <v>2578</v>
      </c>
      <c r="H120" s="76"/>
      <c r="I120" s="76"/>
      <c r="J120" s="76"/>
      <c r="K120" s="26" t="s">
        <v>2610</v>
      </c>
      <c r="L120" s="26"/>
      <c r="M120" s="26"/>
      <c r="N120" s="26"/>
      <c r="O120" s="12"/>
      <c r="P120" s="77" t="s">
        <v>111</v>
      </c>
      <c r="Q120" s="26" t="s">
        <v>2611</v>
      </c>
      <c r="R120" s="26"/>
      <c r="S120" s="26"/>
      <c r="T120" s="79">
        <v>0.1</v>
      </c>
      <c r="U120" s="76" t="s">
        <v>2579</v>
      </c>
      <c r="V120" s="76"/>
      <c r="W120" s="76"/>
      <c r="X120" s="76"/>
      <c r="Y120" s="26" t="s">
        <v>2069</v>
      </c>
      <c r="Z120" s="26"/>
      <c r="AA120" s="26"/>
      <c r="AB120" s="79"/>
      <c r="AC120" s="26" t="s">
        <v>2078</v>
      </c>
      <c r="AD120" s="26"/>
      <c r="AE120" s="26"/>
      <c r="AF120" s="79"/>
      <c r="AG120" s="9"/>
      <c r="AH120" s="9"/>
      <c r="AI120" s="9"/>
      <c r="AJ120" s="9"/>
      <c r="AK120" s="3" t="s">
        <v>1957</v>
      </c>
      <c r="AL120" s="3" t="s">
        <v>1957</v>
      </c>
      <c r="AM120" s="3" t="s">
        <v>1957</v>
      </c>
      <c r="AN120" s="3"/>
      <c r="AO120" s="3"/>
      <c r="AP120" s="3"/>
      <c r="AQ120" s="3"/>
      <c r="AR120" s="3"/>
      <c r="AS120" s="3"/>
      <c r="AT120" s="3"/>
      <c r="AU120" s="7"/>
      <c r="AV120" s="12"/>
      <c r="AW120" s="32"/>
      <c r="AX120" s="2"/>
      <c r="AY120" s="2"/>
      <c r="AZ120" s="23"/>
      <c r="BA120"/>
      <c r="BB120" s="23"/>
      <c r="BC120"/>
      <c r="BE120"/>
      <c r="BG120" s="12"/>
      <c r="BH120" s="9"/>
      <c r="BI120" s="12"/>
      <c r="BJ120" s="12"/>
    </row>
    <row r="121" spans="1:62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2580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G121" s="9"/>
      <c r="AH121" s="9"/>
      <c r="AI121" s="9"/>
      <c r="AJ121" s="9"/>
      <c r="AK121" s="3" t="s">
        <v>268</v>
      </c>
      <c r="AL121" s="3" t="s">
        <v>267</v>
      </c>
      <c r="AM121" s="3" t="s">
        <v>266</v>
      </c>
      <c r="AN121" s="3"/>
      <c r="AO121" s="3"/>
      <c r="AP121" s="3"/>
      <c r="AQ121" s="3"/>
      <c r="AR121" s="3"/>
      <c r="AS121" s="3"/>
      <c r="AT121" s="3"/>
      <c r="AU121" s="7"/>
      <c r="AV121" s="12"/>
      <c r="AW121" s="32"/>
      <c r="AX121" s="2"/>
      <c r="AY121" s="2"/>
      <c r="AZ121" s="23"/>
      <c r="BA121"/>
      <c r="BB121" s="23"/>
      <c r="BC121"/>
      <c r="BE121"/>
      <c r="BG121" s="12"/>
      <c r="BH121" s="9"/>
      <c r="BI121" s="12"/>
      <c r="BJ121" s="12"/>
    </row>
    <row r="122" spans="1:62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64">AL122</f>
        <v>77.45</v>
      </c>
      <c r="E122" s="3">
        <f t="shared" si="64"/>
        <v>77.45</v>
      </c>
      <c r="F122" s="48">
        <f>'Exchange Rates'!T49</f>
        <v>1157.7636263168861</v>
      </c>
      <c r="G122" s="9">
        <f>(B122*USA!$AU97/100)/$AT89*100*$F122</f>
        <v>89668.792858242829</v>
      </c>
      <c r="H122" s="9">
        <f>(C122*USA!$AU97/100)/$AT89*100*$F122</f>
        <v>89668.792858242829</v>
      </c>
      <c r="I122" s="9">
        <f>(D122*USA!$AU97/100)/$AT89*100*$F122</f>
        <v>89668.792858242829</v>
      </c>
      <c r="J122" s="9">
        <f>(E122*USA!$AU97/100)/$AT89*100*$F122</f>
        <v>89668.792858242829</v>
      </c>
      <c r="K122" s="48">
        <f>S$111+S$112*G122</f>
        <v>961.28694351617457</v>
      </c>
      <c r="L122" s="48">
        <f>S$111+S$112*H122</f>
        <v>961.28694351617457</v>
      </c>
      <c r="M122" s="48">
        <f>S$111+S$112*I122</f>
        <v>961.28694351617457</v>
      </c>
      <c r="N122" s="48">
        <f>S$111+S$112*J122</f>
        <v>961.28694351617457</v>
      </c>
      <c r="O122" s="44">
        <v>2010</v>
      </c>
      <c r="P122" s="45">
        <f t="shared" ref="P122:P130" si="65">Y89/AT89*100</f>
        <v>529</v>
      </c>
      <c r="Q122" s="9">
        <f t="shared" ref="Q122:Q130" si="66">(K122+P122)*$T$120</f>
        <v>149.02869435161747</v>
      </c>
      <c r="R122" s="9">
        <f t="shared" ref="R122:R142" si="67">(L122+P122)*$T$120</f>
        <v>149.02869435161747</v>
      </c>
      <c r="S122" s="9">
        <f t="shared" ref="S122:S142" si="68">(M122+P122)*$T$120</f>
        <v>149.02869435161747</v>
      </c>
      <c r="T122" s="9">
        <f t="shared" ref="T122:T142" si="69">(N122+P122)*$T$120</f>
        <v>149.02869435161747</v>
      </c>
      <c r="U122" s="9">
        <f t="shared" ref="U122:U130" si="70">AV89</f>
        <v>1709</v>
      </c>
      <c r="V122" s="9">
        <f t="shared" ref="V122:V142" si="71">L122+$P122+R122</f>
        <v>1639.3156378677922</v>
      </c>
      <c r="W122" s="9">
        <f t="shared" ref="W122:W142" si="72">M122+$P122+S122</f>
        <v>1639.3156378677922</v>
      </c>
      <c r="X122" s="9">
        <f t="shared" ref="X122:X142" si="73">N122+$P122+T122</f>
        <v>1639.3156378677922</v>
      </c>
      <c r="Y122" s="9">
        <f t="shared" ref="Y122:Y130" si="74">AV89*$AT$97/100</f>
        <v>1959.3865177793143</v>
      </c>
      <c r="Z122" s="9">
        <f t="shared" ref="Z122:Z142" si="75">V122*$AT$97/100</f>
        <v>1879.4926619209766</v>
      </c>
      <c r="AA122" s="9">
        <f t="shared" ref="AA122:AA142" si="76">W122*$AT$97/100</f>
        <v>1879.4926619209766</v>
      </c>
      <c r="AB122" s="9">
        <f t="shared" ref="AB122:AB142" si="77">X122*$AT$97/100</f>
        <v>1879.4926619209766</v>
      </c>
      <c r="AC122" s="9">
        <f t="shared" ref="AC122:AC130" si="78">U122*$AT$96/100</f>
        <v>1932.1432972875596</v>
      </c>
      <c r="AD122" s="9">
        <f>AC122</f>
        <v>1932.1432972875596</v>
      </c>
      <c r="AE122" s="9">
        <f t="shared" ref="AE122:AF122" si="79">AD122</f>
        <v>1932.1432972875596</v>
      </c>
      <c r="AF122" s="9">
        <f t="shared" si="79"/>
        <v>1932.1432972875596</v>
      </c>
      <c r="AG122" s="9"/>
      <c r="AH122" s="9"/>
      <c r="AI122" s="9"/>
      <c r="AJ122" s="9"/>
      <c r="AK122" s="3">
        <f>USA!AJ135</f>
        <v>77.45</v>
      </c>
      <c r="AL122" s="3">
        <f>USA!AK135</f>
        <v>77.45</v>
      </c>
      <c r="AM122" s="3">
        <f>USA!AL135</f>
        <v>77.45</v>
      </c>
      <c r="AN122" s="3"/>
      <c r="AO122" s="3"/>
      <c r="AP122" s="3"/>
      <c r="AQ122" s="3"/>
      <c r="AR122" s="3"/>
      <c r="AS122" s="3"/>
      <c r="AT122" s="3"/>
      <c r="AU122" s="7"/>
      <c r="AV122" s="12"/>
      <c r="AW122" s="32"/>
      <c r="AX122" s="2"/>
      <c r="AY122" s="2"/>
      <c r="AZ122" s="23"/>
      <c r="BA122"/>
      <c r="BB122" s="23"/>
      <c r="BC122"/>
      <c r="BE122"/>
      <c r="BG122" s="12"/>
      <c r="BH122" s="9"/>
      <c r="BI122" s="12"/>
      <c r="BJ122" s="12"/>
    </row>
    <row r="123" spans="1:62">
      <c r="A123">
        <v>2011</v>
      </c>
      <c r="B123" s="3">
        <f>USA!Z98/USA!AU98*100</f>
        <v>104.18614906980585</v>
      </c>
      <c r="C123" s="3">
        <f t="shared" ref="C123:C142" si="80">AK123</f>
        <v>104.18614906980586</v>
      </c>
      <c r="D123" s="3">
        <f t="shared" ref="D123:D142" si="81">AL123</f>
        <v>104.18614906980586</v>
      </c>
      <c r="E123" s="3">
        <f t="shared" ref="E123:E142" si="82">AM123</f>
        <v>104.18614906980586</v>
      </c>
      <c r="F123" s="48">
        <f>'Exchange Rates'!T50</f>
        <v>1104.4858705487623</v>
      </c>
      <c r="G123" s="9">
        <f>(B123*USA!$AU98/100)/$AT90*100*$F123</f>
        <v>114084.15180335898</v>
      </c>
      <c r="H123" s="9">
        <f>(C123*USA!$AU98/100)/$AT90*100*$F123</f>
        <v>114084.15180335901</v>
      </c>
      <c r="I123" s="9">
        <f>(D123*USA!$AU98/100)/$AT90*100*$F123</f>
        <v>114084.15180335901</v>
      </c>
      <c r="J123" s="9">
        <f>(E123*USA!$AU98/100)/$AT90*100*$F123</f>
        <v>114084.15180335901</v>
      </c>
      <c r="K123" s="48">
        <f t="shared" ref="K123:K129" si="83">S$111+S$112*G123</f>
        <v>1113.2843216822778</v>
      </c>
      <c r="L123" s="48">
        <f t="shared" ref="L123:L142" si="84">S$111+S$112*H123</f>
        <v>1113.284321682278</v>
      </c>
      <c r="M123" s="48">
        <f t="shared" ref="M123:M142" si="85">S$111+S$112*I123</f>
        <v>1113.284321682278</v>
      </c>
      <c r="N123" s="48">
        <f t="shared" ref="N123:N142" si="86">S$111+S$112*J123</f>
        <v>1113.284321682278</v>
      </c>
      <c r="O123" s="44">
        <v>2011</v>
      </c>
      <c r="P123" s="45">
        <f t="shared" si="65"/>
        <v>508.52745562189199</v>
      </c>
      <c r="Q123" s="9">
        <f t="shared" si="66"/>
        <v>162.18117773041698</v>
      </c>
      <c r="R123" s="9">
        <f t="shared" si="67"/>
        <v>162.18117773041701</v>
      </c>
      <c r="S123" s="9">
        <f t="shared" si="68"/>
        <v>162.18117773041701</v>
      </c>
      <c r="T123" s="9">
        <f t="shared" si="69"/>
        <v>162.18117773041701</v>
      </c>
      <c r="U123" s="9">
        <f t="shared" si="70"/>
        <v>1762.0620532229264</v>
      </c>
      <c r="V123" s="9">
        <f t="shared" si="71"/>
        <v>1783.9929550345869</v>
      </c>
      <c r="W123" s="9">
        <f t="shared" si="72"/>
        <v>1783.9929550345869</v>
      </c>
      <c r="X123" s="9">
        <f t="shared" si="73"/>
        <v>1783.9929550345869</v>
      </c>
      <c r="Y123" s="9">
        <f t="shared" si="74"/>
        <v>2020.222721226178</v>
      </c>
      <c r="Z123" s="9">
        <f t="shared" si="75"/>
        <v>2045.3667313680794</v>
      </c>
      <c r="AA123" s="9">
        <f t="shared" si="76"/>
        <v>2045.3667313680794</v>
      </c>
      <c r="AB123" s="9">
        <f t="shared" si="77"/>
        <v>2045.3667313680794</v>
      </c>
      <c r="AC123" s="9">
        <f t="shared" si="78"/>
        <v>1992.1336369452501</v>
      </c>
      <c r="AD123" s="9">
        <f t="shared" ref="AD123:AF123" si="87">AC123</f>
        <v>1992.1336369452501</v>
      </c>
      <c r="AE123" s="9">
        <f t="shared" si="87"/>
        <v>1992.1336369452501</v>
      </c>
      <c r="AF123" s="9">
        <f t="shared" si="87"/>
        <v>1992.1336369452501</v>
      </c>
      <c r="AG123" s="9"/>
      <c r="AH123" s="9"/>
      <c r="AI123" s="9"/>
      <c r="AJ123" s="9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 s="3"/>
      <c r="AO123" s="3"/>
      <c r="AP123" s="3"/>
      <c r="AQ123" s="3"/>
      <c r="AR123" s="3"/>
      <c r="AS123" s="3"/>
      <c r="AT123" s="3"/>
      <c r="AU123" s="7"/>
      <c r="AV123" s="12"/>
      <c r="AW123" s="32"/>
      <c r="AX123" s="2"/>
      <c r="AY123" s="2"/>
      <c r="AZ123" s="23"/>
      <c r="BA123"/>
      <c r="BB123" s="23"/>
      <c r="BC123"/>
      <c r="BE123"/>
      <c r="BG123" s="12"/>
      <c r="BH123" s="9"/>
      <c r="BI123" s="12"/>
      <c r="BJ123" s="12"/>
    </row>
    <row r="124" spans="1:62">
      <c r="A124">
        <v>2012</v>
      </c>
      <c r="B124" s="3">
        <f>USA!Z99/USA!AU99*100</f>
        <v>104.07290773565181</v>
      </c>
      <c r="C124" s="3">
        <f t="shared" si="80"/>
        <v>104.07290773565181</v>
      </c>
      <c r="D124" s="3">
        <f t="shared" si="81"/>
        <v>104.07290773565181</v>
      </c>
      <c r="E124" s="3">
        <f t="shared" si="82"/>
        <v>104.07290773565181</v>
      </c>
      <c r="F124" s="48">
        <f>'Exchange Rates'!T51</f>
        <v>1120.3335738914282</v>
      </c>
      <c r="G124" s="9">
        <f>(B124*USA!$AU99/100)/$AT91*100*$F124</f>
        <v>115400.36550500893</v>
      </c>
      <c r="H124" s="9">
        <f>(C124*USA!$AU99/100)/$AT91*100*$F124</f>
        <v>115400.36550500893</v>
      </c>
      <c r="I124" s="9">
        <f>(D124*USA!$AU99/100)/$AT91*100*$F124</f>
        <v>115400.36550500893</v>
      </c>
      <c r="J124" s="9">
        <f>(E124*USA!$AU99/100)/$AT91*100*$F124</f>
        <v>115400.36550500893</v>
      </c>
      <c r="K124" s="48">
        <f t="shared" si="83"/>
        <v>1121.4783864186111</v>
      </c>
      <c r="L124" s="48">
        <f t="shared" si="84"/>
        <v>1121.4783864186111</v>
      </c>
      <c r="M124" s="48">
        <f t="shared" si="85"/>
        <v>1121.4783864186111</v>
      </c>
      <c r="N124" s="48">
        <f t="shared" si="86"/>
        <v>1121.4783864186111</v>
      </c>
      <c r="O124" s="44">
        <v>2012</v>
      </c>
      <c r="P124" s="45">
        <f t="shared" si="65"/>
        <v>497.64290088760566</v>
      </c>
      <c r="Q124" s="9">
        <f t="shared" si="66"/>
        <v>161.9121287306217</v>
      </c>
      <c r="R124" s="9">
        <f t="shared" si="67"/>
        <v>161.9121287306217</v>
      </c>
      <c r="S124" s="9">
        <f t="shared" si="68"/>
        <v>161.9121287306217</v>
      </c>
      <c r="T124" s="9">
        <f t="shared" si="69"/>
        <v>161.9121287306217</v>
      </c>
      <c r="U124" s="9">
        <f t="shared" si="70"/>
        <v>1840.9965161380801</v>
      </c>
      <c r="V124" s="9">
        <f t="shared" si="71"/>
        <v>1781.0334160368384</v>
      </c>
      <c r="W124" s="9">
        <f t="shared" si="72"/>
        <v>1781.0334160368384</v>
      </c>
      <c r="X124" s="9">
        <f t="shared" si="73"/>
        <v>1781.0334160368384</v>
      </c>
      <c r="Y124" s="9">
        <f t="shared" si="74"/>
        <v>2110.721915154852</v>
      </c>
      <c r="Z124" s="9">
        <f t="shared" si="75"/>
        <v>2041.9735887051011</v>
      </c>
      <c r="AA124" s="9">
        <f t="shared" si="76"/>
        <v>2041.9735887051011</v>
      </c>
      <c r="AB124" s="9">
        <f t="shared" si="77"/>
        <v>2041.9735887051011</v>
      </c>
      <c r="AC124" s="9">
        <f t="shared" si="78"/>
        <v>2081.3745342223174</v>
      </c>
      <c r="AD124" s="9">
        <f t="shared" ref="AD124:AF124" si="88">AC124</f>
        <v>2081.3745342223174</v>
      </c>
      <c r="AE124" s="9">
        <f t="shared" si="88"/>
        <v>2081.3745342223174</v>
      </c>
      <c r="AF124" s="9">
        <f t="shared" si="88"/>
        <v>2081.3745342223174</v>
      </c>
      <c r="AG124" s="9"/>
      <c r="AH124" s="9"/>
      <c r="AI124" s="9"/>
      <c r="AJ124" s="9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 s="3"/>
      <c r="AO124" s="3"/>
      <c r="AP124" s="3"/>
      <c r="AQ124" s="3"/>
      <c r="AR124" s="3"/>
      <c r="AS124" s="3"/>
      <c r="AT124" s="3"/>
      <c r="AU124" s="7"/>
      <c r="AV124" s="12"/>
      <c r="AW124" s="32"/>
      <c r="AX124" s="2"/>
      <c r="AY124" s="2"/>
      <c r="AZ124" s="23"/>
      <c r="BA124"/>
      <c r="BB124" s="23"/>
      <c r="BC124"/>
      <c r="BE124"/>
      <c r="BG124" s="12"/>
      <c r="BH124" s="9"/>
      <c r="BI124" s="12"/>
      <c r="BJ124" s="12"/>
    </row>
    <row r="125" spans="1:62">
      <c r="A125">
        <v>2013</v>
      </c>
      <c r="B125" s="3">
        <f>USA!Z100/USA!AU100*100</f>
        <v>99.286371359470479</v>
      </c>
      <c r="C125" s="3">
        <f t="shared" si="80"/>
        <v>99.286371359470493</v>
      </c>
      <c r="D125" s="3">
        <f t="shared" si="81"/>
        <v>99.286371359470493</v>
      </c>
      <c r="E125" s="3">
        <f t="shared" si="82"/>
        <v>99.286371359470493</v>
      </c>
      <c r="F125" s="48">
        <f>'Exchange Rates'!T52</f>
        <v>1094.9411917885509</v>
      </c>
      <c r="G125" s="9">
        <f>(B125*USA!$AU100/100)/$AT92*100*$F125</f>
        <v>107716.48849509151</v>
      </c>
      <c r="H125" s="9">
        <f>(C125*USA!$AU100/100)/$AT92*100*$F125</f>
        <v>107716.48849509153</v>
      </c>
      <c r="I125" s="9">
        <f>(D125*USA!$AU100/100)/$AT92*100*$F125</f>
        <v>107716.48849509153</v>
      </c>
      <c r="J125" s="9">
        <f>(E125*USA!$AU100/100)/$AT92*100*$F125</f>
        <v>107716.48849509153</v>
      </c>
      <c r="K125" s="48">
        <f t="shared" si="83"/>
        <v>1073.642548236438</v>
      </c>
      <c r="L125" s="48">
        <f t="shared" si="84"/>
        <v>1073.6425482364382</v>
      </c>
      <c r="M125" s="48">
        <f t="shared" si="85"/>
        <v>1073.6425482364382</v>
      </c>
      <c r="N125" s="48">
        <f t="shared" si="86"/>
        <v>1073.6425482364382</v>
      </c>
      <c r="O125" s="44">
        <v>2013</v>
      </c>
      <c r="P125" s="45">
        <f t="shared" si="65"/>
        <v>491.24989381429191</v>
      </c>
      <c r="Q125" s="9">
        <f t="shared" si="66"/>
        <v>156.48924420507299</v>
      </c>
      <c r="R125" s="9">
        <f t="shared" si="67"/>
        <v>156.48924420507302</v>
      </c>
      <c r="S125" s="9">
        <f t="shared" si="68"/>
        <v>156.48924420507302</v>
      </c>
      <c r="T125" s="9">
        <f t="shared" si="69"/>
        <v>156.48924420507302</v>
      </c>
      <c r="U125" s="9">
        <f t="shared" si="70"/>
        <v>1706.8380053509802</v>
      </c>
      <c r="V125" s="9">
        <f t="shared" si="71"/>
        <v>1721.3816862558031</v>
      </c>
      <c r="W125" s="9">
        <f t="shared" si="72"/>
        <v>1721.3816862558031</v>
      </c>
      <c r="X125" s="9">
        <f t="shared" si="73"/>
        <v>1721.3816862558031</v>
      </c>
      <c r="Y125" s="9">
        <f t="shared" si="74"/>
        <v>1956.9077681205663</v>
      </c>
      <c r="Z125" s="9">
        <f t="shared" si="75"/>
        <v>1973.582251610206</v>
      </c>
      <c r="AA125" s="9">
        <f t="shared" si="76"/>
        <v>1973.582251610206</v>
      </c>
      <c r="AB125" s="9">
        <f t="shared" si="77"/>
        <v>1973.582251610206</v>
      </c>
      <c r="AC125" s="9">
        <f t="shared" si="78"/>
        <v>1929.6990120506518</v>
      </c>
      <c r="AD125" s="9">
        <f t="shared" ref="AD125:AF125" si="89">AC125</f>
        <v>1929.6990120506518</v>
      </c>
      <c r="AE125" s="9">
        <f t="shared" si="89"/>
        <v>1929.6990120506518</v>
      </c>
      <c r="AF125" s="9">
        <f t="shared" si="89"/>
        <v>1929.6990120506518</v>
      </c>
      <c r="AG125" s="9"/>
      <c r="AH125" s="9"/>
      <c r="AI125" s="9"/>
      <c r="AJ125" s="9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 s="3"/>
      <c r="AO125" s="3"/>
      <c r="AP125" s="3"/>
      <c r="AQ125" s="3"/>
      <c r="AR125" s="3"/>
      <c r="AS125" s="3"/>
      <c r="AT125" s="3"/>
      <c r="AU125" s="7"/>
      <c r="AV125" s="12"/>
      <c r="AW125" s="32"/>
      <c r="AX125" s="2"/>
      <c r="AY125" s="2"/>
      <c r="AZ125" s="23"/>
      <c r="BA125"/>
      <c r="BB125" s="23"/>
      <c r="BC125"/>
      <c r="BE125"/>
      <c r="BG125" s="12"/>
      <c r="BH125" s="9"/>
      <c r="BI125" s="12"/>
      <c r="BJ125" s="12"/>
    </row>
    <row r="126" spans="1:62">
      <c r="A126">
        <v>2014</v>
      </c>
      <c r="B126" s="3">
        <f>USA!Z101/USA!AU101*100</f>
        <v>88.687750298592292</v>
      </c>
      <c r="C126" s="3">
        <f t="shared" si="80"/>
        <v>88.687750298592292</v>
      </c>
      <c r="D126" s="3">
        <f t="shared" si="81"/>
        <v>88.687750298592292</v>
      </c>
      <c r="E126" s="3">
        <f t="shared" si="82"/>
        <v>88.687750298592292</v>
      </c>
      <c r="F126" s="48">
        <f>'Exchange Rates'!T53</f>
        <v>1052.146829810901</v>
      </c>
      <c r="G126" s="9">
        <f>(B126*USA!$AU101/100)/$AT93*100*$F126</f>
        <v>92799.964938133664</v>
      </c>
      <c r="H126" s="9">
        <f>(C126*USA!$AU101/100)/$AT93*100*$F126</f>
        <v>92799.964938133664</v>
      </c>
      <c r="I126" s="9">
        <f>(D126*USA!$AU101/100)/$AT93*100*$F126</f>
        <v>92799.964938133664</v>
      </c>
      <c r="J126" s="9">
        <f>(E126*USA!$AU101/100)/$AT93*100*$F126</f>
        <v>92799.964938133664</v>
      </c>
      <c r="K126" s="48">
        <f t="shared" si="83"/>
        <v>980.77999900637508</v>
      </c>
      <c r="L126" s="48">
        <f t="shared" si="84"/>
        <v>980.77999900637508</v>
      </c>
      <c r="M126" s="48">
        <f t="shared" si="85"/>
        <v>980.77999900637508</v>
      </c>
      <c r="N126" s="48">
        <f t="shared" si="86"/>
        <v>980.77999900637508</v>
      </c>
      <c r="O126" s="44">
        <v>2014</v>
      </c>
      <c r="P126" s="45">
        <f t="shared" si="65"/>
        <v>485.0666987726122</v>
      </c>
      <c r="Q126" s="9">
        <f t="shared" si="66"/>
        <v>146.58466977789871</v>
      </c>
      <c r="R126" s="9">
        <f t="shared" si="67"/>
        <v>146.58466977789871</v>
      </c>
      <c r="S126" s="9">
        <f t="shared" si="68"/>
        <v>146.58466977789871</v>
      </c>
      <c r="T126" s="9">
        <f t="shared" si="69"/>
        <v>146.58466977789871</v>
      </c>
      <c r="U126" s="9">
        <f t="shared" si="70"/>
        <v>1576.2375334406811</v>
      </c>
      <c r="V126" s="9">
        <f t="shared" si="71"/>
        <v>1612.4313675568858</v>
      </c>
      <c r="W126" s="9">
        <f t="shared" si="72"/>
        <v>1612.4313675568858</v>
      </c>
      <c r="X126" s="9">
        <f t="shared" si="73"/>
        <v>1612.4313675568858</v>
      </c>
      <c r="Y126" s="9">
        <f t="shared" si="74"/>
        <v>1807.172950170504</v>
      </c>
      <c r="Z126" s="9">
        <f t="shared" si="75"/>
        <v>1848.6695625719274</v>
      </c>
      <c r="AA126" s="9">
        <f t="shared" si="76"/>
        <v>1848.6695625719274</v>
      </c>
      <c r="AB126" s="9">
        <f t="shared" si="77"/>
        <v>1848.6695625719274</v>
      </c>
      <c r="AC126" s="9">
        <f t="shared" si="78"/>
        <v>1782.0461001582726</v>
      </c>
      <c r="AD126" s="9">
        <f t="shared" ref="AD126:AF126" si="90">AC126</f>
        <v>1782.0461001582726</v>
      </c>
      <c r="AE126" s="9">
        <f t="shared" si="90"/>
        <v>1782.0461001582726</v>
      </c>
      <c r="AF126" s="9">
        <f t="shared" si="90"/>
        <v>1782.0461001582726</v>
      </c>
      <c r="AG126" s="9"/>
      <c r="AH126" s="9"/>
      <c r="AI126" s="9"/>
      <c r="AJ126" s="9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 s="3"/>
      <c r="AO126" s="3"/>
      <c r="AP126" s="3"/>
      <c r="AQ126" s="3"/>
      <c r="AR126" s="3"/>
      <c r="AS126" s="3"/>
      <c r="AT126" s="3"/>
      <c r="AU126" s="7"/>
      <c r="AV126" s="12"/>
      <c r="AW126" s="32"/>
      <c r="AX126" s="2"/>
      <c r="AY126" s="2"/>
      <c r="AZ126" s="23"/>
      <c r="BA126"/>
      <c r="BB126" s="23"/>
      <c r="BC126"/>
      <c r="BE126"/>
      <c r="BG126" s="12"/>
      <c r="BH126" s="9"/>
      <c r="BI126" s="12"/>
      <c r="BJ126" s="12"/>
    </row>
    <row r="127" spans="1:62">
      <c r="A127">
        <v>2015</v>
      </c>
      <c r="B127" s="3">
        <f>USA!Z102/USA!AU102*100</f>
        <v>45.556296925601828</v>
      </c>
      <c r="C127" s="3">
        <f t="shared" si="80"/>
        <v>45.556296925601814</v>
      </c>
      <c r="D127" s="3">
        <f t="shared" si="81"/>
        <v>45.556296925601814</v>
      </c>
      <c r="E127" s="3">
        <f t="shared" si="82"/>
        <v>45.556296925601814</v>
      </c>
      <c r="F127" s="48">
        <f>'Exchange Rates'!T54</f>
        <v>1132.7189711759586</v>
      </c>
      <c r="G127" s="9">
        <f>(B127*USA!$AU102/100)/$AT94*100*$F127</f>
        <v>51069.685913112153</v>
      </c>
      <c r="H127" s="9">
        <f>(C127*USA!$AU102/100)/$AT94*100*$F127</f>
        <v>51069.685913112138</v>
      </c>
      <c r="I127" s="9">
        <f>(D127*USA!$AU102/100)/$AT94*100*$F127</f>
        <v>51069.685913112138</v>
      </c>
      <c r="J127" s="9">
        <f>(E127*USA!$AU102/100)/$AT94*100*$F127</f>
        <v>51069.685913112138</v>
      </c>
      <c r="K127" s="48">
        <f t="shared" si="83"/>
        <v>720.98889717569818</v>
      </c>
      <c r="L127" s="48">
        <f t="shared" si="84"/>
        <v>720.98889717569807</v>
      </c>
      <c r="M127" s="48">
        <f t="shared" si="85"/>
        <v>720.98889717569807</v>
      </c>
      <c r="N127" s="48">
        <f t="shared" si="86"/>
        <v>720.98889717569807</v>
      </c>
      <c r="O127" s="44">
        <v>2015</v>
      </c>
      <c r="P127" s="45">
        <f t="shared" si="65"/>
        <v>481.66513364198522</v>
      </c>
      <c r="Q127" s="9">
        <f t="shared" si="66"/>
        <v>120.26540308176834</v>
      </c>
      <c r="R127" s="9">
        <f t="shared" si="67"/>
        <v>120.26540308176833</v>
      </c>
      <c r="S127" s="9">
        <f t="shared" si="68"/>
        <v>120.26540308176833</v>
      </c>
      <c r="T127" s="9">
        <f t="shared" si="69"/>
        <v>120.26540308176833</v>
      </c>
      <c r="U127" s="9">
        <f t="shared" si="70"/>
        <v>1389.4536747403959</v>
      </c>
      <c r="V127" s="9">
        <f t="shared" si="71"/>
        <v>1322.9194338994514</v>
      </c>
      <c r="W127" s="9">
        <f t="shared" si="72"/>
        <v>1322.9194338994514</v>
      </c>
      <c r="X127" s="9">
        <f t="shared" si="73"/>
        <v>1322.9194338994514</v>
      </c>
      <c r="Y127" s="9">
        <f t="shared" si="74"/>
        <v>1593.0232869311037</v>
      </c>
      <c r="Z127" s="9">
        <f t="shared" si="75"/>
        <v>1516.7410783445455</v>
      </c>
      <c r="AA127" s="9">
        <f t="shared" si="76"/>
        <v>1516.7410783445455</v>
      </c>
      <c r="AB127" s="9">
        <f t="shared" si="77"/>
        <v>1516.7410783445455</v>
      </c>
      <c r="AC127" s="9">
        <f t="shared" si="78"/>
        <v>1570.8739640381655</v>
      </c>
      <c r="AD127" s="9">
        <f t="shared" ref="AD127:AF127" si="91">AC127</f>
        <v>1570.8739640381655</v>
      </c>
      <c r="AE127" s="9">
        <f t="shared" si="91"/>
        <v>1570.8739640381655</v>
      </c>
      <c r="AF127" s="9">
        <f t="shared" si="91"/>
        <v>1570.8739640381655</v>
      </c>
      <c r="AG127" s="9"/>
      <c r="AH127" s="9"/>
      <c r="AI127" s="9"/>
      <c r="AJ127" s="9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 s="3"/>
      <c r="AO127" s="3"/>
      <c r="AP127" s="3"/>
      <c r="AQ127" s="3"/>
      <c r="AR127" s="3"/>
      <c r="AS127" s="3"/>
      <c r="AT127" s="3"/>
      <c r="AU127" s="7"/>
      <c r="AV127" s="12"/>
      <c r="AW127" s="32"/>
      <c r="AX127" s="2"/>
      <c r="AY127" s="2"/>
      <c r="AZ127" s="23"/>
      <c r="BA127"/>
      <c r="BB127" s="23"/>
      <c r="BC127"/>
      <c r="BE127"/>
      <c r="BG127" s="12"/>
      <c r="BH127" s="9"/>
      <c r="BI127" s="12"/>
      <c r="BJ127" s="12"/>
    </row>
    <row r="128" spans="1:62">
      <c r="A128">
        <v>2016</v>
      </c>
      <c r="B128" s="3">
        <f>USA!Z103/USA!AU103*100</f>
        <v>36.957692605914716</v>
      </c>
      <c r="C128" s="3">
        <f t="shared" si="80"/>
        <v>36.957692605914716</v>
      </c>
      <c r="D128" s="3">
        <f t="shared" si="81"/>
        <v>36.957692605914716</v>
      </c>
      <c r="E128" s="3">
        <f t="shared" si="82"/>
        <v>36.957692605914716</v>
      </c>
      <c r="F128" s="48">
        <f>'Exchange Rates'!T55</f>
        <v>1159.6699884540794</v>
      </c>
      <c r="G128" s="9">
        <f>(B128*USA!$AU103/100)/$AT95*100*$F128</f>
        <v>42544.915750620406</v>
      </c>
      <c r="H128" s="9">
        <f>(C128*USA!$AU103/100)/$AT95*100*$F128</f>
        <v>42544.915750620406</v>
      </c>
      <c r="I128" s="9">
        <f>(D128*USA!$AU103/100)/$AT95*100*$F128</f>
        <v>42544.915750620406</v>
      </c>
      <c r="J128" s="9">
        <f>(E128*USA!$AU103/100)/$AT95*100*$F128</f>
        <v>42544.915750620406</v>
      </c>
      <c r="K128" s="48">
        <f t="shared" si="83"/>
        <v>667.91809379000551</v>
      </c>
      <c r="L128" s="48">
        <f t="shared" si="84"/>
        <v>667.91809379000551</v>
      </c>
      <c r="M128" s="48">
        <f t="shared" si="85"/>
        <v>667.91809379000551</v>
      </c>
      <c r="N128" s="48">
        <f t="shared" si="86"/>
        <v>667.91809379000551</v>
      </c>
      <c r="O128" s="44">
        <v>2016</v>
      </c>
      <c r="P128" s="45">
        <f t="shared" si="65"/>
        <v>477.02993395671808</v>
      </c>
      <c r="Q128" s="9">
        <f t="shared" si="66"/>
        <v>114.49480277467238</v>
      </c>
      <c r="R128" s="9">
        <f t="shared" si="67"/>
        <v>114.49480277467238</v>
      </c>
      <c r="S128" s="9">
        <f t="shared" si="68"/>
        <v>114.49480277467238</v>
      </c>
      <c r="T128" s="9">
        <f t="shared" si="69"/>
        <v>114.49480277467238</v>
      </c>
      <c r="U128" s="9">
        <f t="shared" si="70"/>
        <v>1256.1487674890514</v>
      </c>
      <c r="V128" s="9">
        <f t="shared" si="71"/>
        <v>1259.442830521396</v>
      </c>
      <c r="W128" s="9">
        <f t="shared" si="72"/>
        <v>1259.442830521396</v>
      </c>
      <c r="X128" s="9">
        <f t="shared" si="73"/>
        <v>1259.442830521396</v>
      </c>
      <c r="Y128" s="9">
        <f t="shared" si="74"/>
        <v>1440.18780535</v>
      </c>
      <c r="Z128" s="9">
        <f t="shared" si="75"/>
        <v>1443.964483345489</v>
      </c>
      <c r="AA128" s="9">
        <f t="shared" si="76"/>
        <v>1443.964483345489</v>
      </c>
      <c r="AB128" s="9">
        <f t="shared" si="77"/>
        <v>1443.964483345489</v>
      </c>
      <c r="AC128" s="9">
        <f t="shared" si="78"/>
        <v>1420.1634999999997</v>
      </c>
      <c r="AD128" s="9">
        <f t="shared" ref="AD128:AF128" si="92">AC128</f>
        <v>1420.1634999999997</v>
      </c>
      <c r="AE128" s="9">
        <f t="shared" si="92"/>
        <v>1420.1634999999997</v>
      </c>
      <c r="AF128" s="9">
        <f t="shared" si="92"/>
        <v>1420.1634999999997</v>
      </c>
      <c r="AG128" s="9"/>
      <c r="AH128" s="9"/>
      <c r="AI128" s="9"/>
      <c r="AJ128" s="9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 s="3"/>
      <c r="AO128" s="3"/>
      <c r="AP128" s="3"/>
      <c r="AQ128" s="3"/>
      <c r="AR128" s="3"/>
      <c r="AS128" s="3"/>
      <c r="AT128" s="3"/>
      <c r="AU128" s="7"/>
      <c r="AV128" s="12"/>
      <c r="AW128" s="32"/>
      <c r="AX128" s="2"/>
      <c r="AY128" s="2"/>
      <c r="AZ128" s="23"/>
      <c r="BA128"/>
      <c r="BB128" s="23"/>
      <c r="BC128"/>
      <c r="BE128"/>
      <c r="BG128" s="12"/>
      <c r="BH128" s="9"/>
      <c r="BI128" s="12"/>
      <c r="BJ128" s="12"/>
    </row>
    <row r="129" spans="1:62">
      <c r="A129">
        <v>2017</v>
      </c>
      <c r="B129" s="3">
        <f>USA!Z104/USA!AU104*100</f>
        <v>46.705738720797434</v>
      </c>
      <c r="C129" s="3">
        <f t="shared" si="80"/>
        <v>46.705738720797434</v>
      </c>
      <c r="D129" s="3">
        <f t="shared" si="81"/>
        <v>46.705738720797434</v>
      </c>
      <c r="E129" s="3">
        <f t="shared" si="82"/>
        <v>46.705738720797434</v>
      </c>
      <c r="F129" s="48">
        <f>'Exchange Rates'!T56</f>
        <v>1130.242</v>
      </c>
      <c r="G129" s="9">
        <f>(B129*USA!$AU104/100)/$AT96*100*$F129</f>
        <v>52494.788467899336</v>
      </c>
      <c r="H129" s="9">
        <f>(C129*USA!$AU104/100)/$AT96*100*$F129</f>
        <v>52494.788467899336</v>
      </c>
      <c r="I129" s="9">
        <f>(D129*USA!$AU104/100)/$AT96*100*$F129</f>
        <v>52494.788467899336</v>
      </c>
      <c r="J129" s="9">
        <f>(E129*USA!$AU104/100)/$AT96*100*$F129</f>
        <v>52494.788467899336</v>
      </c>
      <c r="K129" s="48">
        <f t="shared" si="83"/>
        <v>729.86084750960049</v>
      </c>
      <c r="L129" s="48">
        <f t="shared" si="84"/>
        <v>729.86084750960049</v>
      </c>
      <c r="M129" s="48">
        <f t="shared" si="85"/>
        <v>729.86084750960049</v>
      </c>
      <c r="N129" s="48">
        <f t="shared" si="86"/>
        <v>729.86084750960049</v>
      </c>
      <c r="O129" s="44">
        <v>2017</v>
      </c>
      <c r="P129" s="45">
        <f t="shared" si="65"/>
        <v>467.90577141414229</v>
      </c>
      <c r="Q129" s="9">
        <f t="shared" si="66"/>
        <v>119.77666189237428</v>
      </c>
      <c r="R129" s="9">
        <f t="shared" si="67"/>
        <v>119.77666189237428</v>
      </c>
      <c r="S129" s="9">
        <f t="shared" si="68"/>
        <v>119.77666189237428</v>
      </c>
      <c r="T129" s="9">
        <f t="shared" si="69"/>
        <v>119.77666189237428</v>
      </c>
      <c r="U129" s="9">
        <f t="shared" si="70"/>
        <v>1317.0353376855535</v>
      </c>
      <c r="V129" s="9">
        <f t="shared" si="71"/>
        <v>1317.543280816117</v>
      </c>
      <c r="W129" s="9">
        <f t="shared" si="72"/>
        <v>1317.543280816117</v>
      </c>
      <c r="X129" s="9">
        <f t="shared" si="73"/>
        <v>1317.543280816117</v>
      </c>
      <c r="Y129" s="9">
        <f t="shared" si="74"/>
        <v>1509.9948999999999</v>
      </c>
      <c r="Z129" s="9">
        <f t="shared" si="75"/>
        <v>1510.5772621543738</v>
      </c>
      <c r="AA129" s="9">
        <f t="shared" si="76"/>
        <v>1510.5772621543738</v>
      </c>
      <c r="AB129" s="9">
        <f t="shared" si="77"/>
        <v>1510.5772621543738</v>
      </c>
      <c r="AC129" s="9">
        <f t="shared" si="78"/>
        <v>1489</v>
      </c>
      <c r="AD129" s="9">
        <f t="shared" ref="AD129:AF129" si="93">AC129</f>
        <v>1489</v>
      </c>
      <c r="AE129" s="9">
        <f t="shared" si="93"/>
        <v>1489</v>
      </c>
      <c r="AF129" s="9">
        <f t="shared" si="93"/>
        <v>1489</v>
      </c>
      <c r="AG129" s="9"/>
      <c r="AH129" s="9"/>
      <c r="AI129" s="9"/>
      <c r="AJ129" s="9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 s="3"/>
      <c r="AO129" s="3"/>
      <c r="AP129" s="3"/>
      <c r="AQ129" s="3"/>
      <c r="AR129" s="3"/>
      <c r="AS129" s="3"/>
      <c r="AT129" s="3"/>
      <c r="AU129" s="7"/>
      <c r="AV129" s="12"/>
      <c r="AW129" s="32"/>
      <c r="AX129" s="2"/>
      <c r="AY129" s="2"/>
      <c r="AZ129" s="23"/>
      <c r="BA129"/>
      <c r="BB129" s="23"/>
      <c r="BC129"/>
      <c r="BE129"/>
      <c r="BG129" s="12"/>
      <c r="BH129" s="9"/>
      <c r="BI129" s="12"/>
      <c r="BJ129" s="12"/>
    </row>
    <row r="130" spans="1:62">
      <c r="A130">
        <v>2018</v>
      </c>
      <c r="B130" s="3">
        <f>USA!Z105/USA!AU105*100</f>
        <v>60.818458312139953</v>
      </c>
      <c r="C130" s="3">
        <f t="shared" si="80"/>
        <v>60.818458312139953</v>
      </c>
      <c r="D130" s="3">
        <f t="shared" si="81"/>
        <v>60.818458312139953</v>
      </c>
      <c r="E130" s="3">
        <f t="shared" si="82"/>
        <v>60.818458312139953</v>
      </c>
      <c r="F130" s="48">
        <f>'Exchange Rates'!T57</f>
        <v>1103.0450000000001</v>
      </c>
      <c r="G130" s="9">
        <f>(B130*USA!$AU105/100)/$AT97*100*$F130</f>
        <v>67542.468371232215</v>
      </c>
      <c r="H130" s="9">
        <f>(C130*USA!$AU105/100)/$AT97*100*$F130</f>
        <v>67542.468371232215</v>
      </c>
      <c r="I130" s="9">
        <f>(D130*USA!$AU105/100)/$AT97*100*$F130</f>
        <v>67542.468371232215</v>
      </c>
      <c r="J130" s="9">
        <f>(E130*USA!$AU105/100)/$AT97*100*$F130</f>
        <v>67542.468371232215</v>
      </c>
      <c r="K130" s="48">
        <f>S$111+S$112*G130</f>
        <v>823.53990821605271</v>
      </c>
      <c r="L130" s="48">
        <f t="shared" si="84"/>
        <v>823.53990821605271</v>
      </c>
      <c r="M130" s="48">
        <f>S$111+S$112*I130</f>
        <v>823.53990821605271</v>
      </c>
      <c r="N130" s="48">
        <f t="shared" si="86"/>
        <v>823.53990821605271</v>
      </c>
      <c r="O130" s="44">
        <v>2018</v>
      </c>
      <c r="P130" s="45">
        <f t="shared" si="65"/>
        <v>461.40003097736144</v>
      </c>
      <c r="Q130" s="9">
        <f t="shared" si="66"/>
        <v>128.49399391934142</v>
      </c>
      <c r="R130" s="9">
        <f t="shared" si="67"/>
        <v>128.49399391934142</v>
      </c>
      <c r="S130" s="9">
        <f t="shared" si="68"/>
        <v>128.49399391934142</v>
      </c>
      <c r="T130" s="9">
        <f t="shared" si="69"/>
        <v>128.49399391934142</v>
      </c>
      <c r="U130" s="9">
        <f t="shared" si="70"/>
        <v>1376.9896544399576</v>
      </c>
      <c r="V130" s="9">
        <f t="shared" si="71"/>
        <v>1413.4339331127555</v>
      </c>
      <c r="W130" s="9">
        <f t="shared" si="72"/>
        <v>1413.4339331127555</v>
      </c>
      <c r="X130" s="9">
        <f t="shared" si="73"/>
        <v>1413.4339331127555</v>
      </c>
      <c r="Y130" s="9">
        <f t="shared" si="74"/>
        <v>1578.7331562499999</v>
      </c>
      <c r="Z130" s="9">
        <f t="shared" si="75"/>
        <v>1620.5169059759637</v>
      </c>
      <c r="AA130" s="9">
        <f t="shared" si="76"/>
        <v>1620.5169059759637</v>
      </c>
      <c r="AB130" s="9">
        <f t="shared" si="77"/>
        <v>1620.5169059759637</v>
      </c>
      <c r="AC130" s="9">
        <f t="shared" si="78"/>
        <v>1556.7825226802088</v>
      </c>
      <c r="AD130" s="9">
        <f t="shared" ref="AD130:AD142" si="94">V130*$AT$96/100</f>
        <v>1597.9853130617928</v>
      </c>
      <c r="AE130" s="9">
        <f t="shared" ref="AE130:AE142" si="95">W130*$AT$96/100</f>
        <v>1597.9853130617928</v>
      </c>
      <c r="AF130" s="9">
        <f t="shared" ref="AF130:AF142" si="96">X130*$AT$96/100</f>
        <v>1597.9853130617928</v>
      </c>
      <c r="AG130" s="9"/>
      <c r="AH130" s="9"/>
      <c r="AI130" s="9"/>
      <c r="AJ130" s="9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 s="3"/>
      <c r="AO130" s="3"/>
      <c r="AP130" s="3"/>
      <c r="AQ130" s="3"/>
      <c r="AR130" s="3"/>
      <c r="AS130" s="3"/>
      <c r="AT130" s="3"/>
      <c r="AU130" s="7"/>
      <c r="AV130" s="12"/>
      <c r="AW130" s="32"/>
      <c r="AX130" s="2"/>
      <c r="AY130" s="2"/>
      <c r="AZ130" s="23"/>
      <c r="BA130"/>
      <c r="BB130" s="23"/>
      <c r="BC130"/>
      <c r="BE130"/>
      <c r="BG130" s="12"/>
      <c r="BH130" s="9"/>
      <c r="BI130" s="12"/>
      <c r="BJ130" s="12"/>
    </row>
    <row r="131" spans="1:62">
      <c r="A131">
        <v>2019</v>
      </c>
      <c r="B131" s="3"/>
      <c r="C131" s="3">
        <f>AK131</f>
        <v>90.611761513694489</v>
      </c>
      <c r="D131" s="3">
        <f t="shared" si="81"/>
        <v>56.019786702864394</v>
      </c>
      <c r="E131" s="3">
        <f t="shared" si="82"/>
        <v>25.889074718198426</v>
      </c>
      <c r="F131" s="48">
        <f>'Exchange Rates'!T58</f>
        <v>1124.3</v>
      </c>
      <c r="H131" s="9">
        <f>(C131*USA!$AU106/100)/$AT98*100*$F131</f>
        <v>102568.75279568481</v>
      </c>
      <c r="I131" s="9">
        <f>(D131*USA!$AU106/100)/$AT98*100*$F131</f>
        <v>63412.073201167077</v>
      </c>
      <c r="J131" s="9">
        <f>(E131*USA!$AU106/100)/$AT98*100*$F131</f>
        <v>29305.357941624225</v>
      </c>
      <c r="K131" s="48"/>
      <c r="L131" s="48">
        <f t="shared" si="84"/>
        <v>1041.5954121873331</v>
      </c>
      <c r="M131" s="48">
        <f t="shared" si="85"/>
        <v>797.8262073423075</v>
      </c>
      <c r="N131" s="48">
        <f t="shared" si="86"/>
        <v>585.49546467487983</v>
      </c>
      <c r="O131" s="44">
        <v>2019</v>
      </c>
      <c r="P131" s="9">
        <f t="shared" ref="P131:P142" si="97">P130</f>
        <v>461.40003097736144</v>
      </c>
      <c r="Q131" s="9"/>
      <c r="R131" s="9">
        <f t="shared" si="67"/>
        <v>150.29954431646945</v>
      </c>
      <c r="S131" s="9">
        <f t="shared" si="68"/>
        <v>125.9226238319669</v>
      </c>
      <c r="T131" s="9">
        <f t="shared" si="69"/>
        <v>104.68954956522413</v>
      </c>
      <c r="U131" s="9"/>
      <c r="V131" s="9">
        <f t="shared" si="71"/>
        <v>1653.2949874811638</v>
      </c>
      <c r="W131" s="9">
        <f t="shared" si="72"/>
        <v>1385.1488621516357</v>
      </c>
      <c r="X131" s="9">
        <f t="shared" si="73"/>
        <v>1151.5850452174652</v>
      </c>
      <c r="Z131" s="9">
        <f t="shared" si="75"/>
        <v>1895.5201336352911</v>
      </c>
      <c r="AA131" s="9">
        <f t="shared" si="76"/>
        <v>1588.0877739129742</v>
      </c>
      <c r="AB131" s="9">
        <f t="shared" si="77"/>
        <v>1320.3043953630095</v>
      </c>
      <c r="AC131" s="9"/>
      <c r="AD131" s="9">
        <f t="shared" si="94"/>
        <v>1869.164908426478</v>
      </c>
      <c r="AE131" s="9">
        <f t="shared" si="95"/>
        <v>1566.0070741672164</v>
      </c>
      <c r="AF131" s="9">
        <f t="shared" si="96"/>
        <v>1301.9469434602206</v>
      </c>
      <c r="AG131" s="9"/>
      <c r="AH131" s="9"/>
      <c r="AI131" s="9"/>
      <c r="AJ131" s="9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 s="3"/>
      <c r="AO131" s="3"/>
      <c r="AP131" s="3"/>
      <c r="AQ131" s="3"/>
      <c r="AR131" s="3"/>
      <c r="AS131" s="3"/>
      <c r="AT131" s="3"/>
      <c r="AU131" s="7"/>
      <c r="AV131" s="12"/>
      <c r="AW131" s="32"/>
      <c r="AX131" s="2"/>
      <c r="AY131" s="2"/>
      <c r="AZ131" s="23"/>
      <c r="BA131"/>
      <c r="BB131" s="23"/>
      <c r="BC131"/>
      <c r="BE131"/>
      <c r="BG131" s="12"/>
      <c r="BH131" s="9"/>
      <c r="BI131" s="12"/>
      <c r="BJ131" s="12"/>
    </row>
    <row r="132" spans="1:62">
      <c r="A132">
        <v>2020</v>
      </c>
      <c r="B132" s="3"/>
      <c r="C132" s="3">
        <f t="shared" si="80"/>
        <v>105.28223718734027</v>
      </c>
      <c r="D132" s="3">
        <f t="shared" si="81"/>
        <v>56.251630823658907</v>
      </c>
      <c r="E132" s="3">
        <f t="shared" si="82"/>
        <v>26.752043875471706</v>
      </c>
      <c r="F132" s="48">
        <f>'Exchange Rates'!T59</f>
        <v>1124.3</v>
      </c>
      <c r="H132" s="9">
        <f>(C132*USA!$AU107/100)/$AT99*100*$F132</f>
        <v>119175.12229593855</v>
      </c>
      <c r="I132" s="9">
        <f>(D132*USA!$AU107/100)/$AT99*100*$F132</f>
        <v>63674.511122201337</v>
      </c>
      <c r="J132" s="9">
        <f>(E132*USA!$AU107/100)/$AT99*100*$F132</f>
        <v>30282.203206345035</v>
      </c>
      <c r="K132" s="48"/>
      <c r="L132" s="48">
        <f t="shared" si="84"/>
        <v>1144.9780669568227</v>
      </c>
      <c r="M132" s="48">
        <f t="shared" si="85"/>
        <v>799.46000990151788</v>
      </c>
      <c r="N132" s="48">
        <f t="shared" si="86"/>
        <v>591.57679730837913</v>
      </c>
      <c r="O132" s="44">
        <v>2020</v>
      </c>
      <c r="P132" s="9">
        <f t="shared" si="97"/>
        <v>461.40003097736144</v>
      </c>
      <c r="Q132" s="9"/>
      <c r="R132" s="9">
        <f t="shared" si="67"/>
        <v>160.63780979341843</v>
      </c>
      <c r="S132" s="9">
        <f t="shared" si="68"/>
        <v>126.08600408788794</v>
      </c>
      <c r="T132" s="9">
        <f t="shared" si="69"/>
        <v>105.29768282857407</v>
      </c>
      <c r="U132" s="9"/>
      <c r="V132" s="9">
        <f t="shared" si="71"/>
        <v>1767.0159077276026</v>
      </c>
      <c r="W132" s="9">
        <f t="shared" si="72"/>
        <v>1386.9460449667672</v>
      </c>
      <c r="X132" s="9">
        <f t="shared" si="73"/>
        <v>1158.2745111143147</v>
      </c>
      <c r="Z132" s="9">
        <f t="shared" si="75"/>
        <v>2025.9023676436755</v>
      </c>
      <c r="AA132" s="9">
        <f t="shared" si="76"/>
        <v>1590.1482629580025</v>
      </c>
      <c r="AB132" s="9">
        <f t="shared" si="77"/>
        <v>1327.9739385399735</v>
      </c>
      <c r="AC132" s="9"/>
      <c r="AD132" s="9">
        <f t="shared" si="94"/>
        <v>1997.7343138188298</v>
      </c>
      <c r="AE132" s="9">
        <f t="shared" si="95"/>
        <v>1568.03891426684</v>
      </c>
      <c r="AF132" s="9">
        <f t="shared" si="96"/>
        <v>1309.5098496597707</v>
      </c>
      <c r="AG132" s="9"/>
      <c r="AH132" s="9"/>
      <c r="AI132" s="9"/>
      <c r="AJ132" s="9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 s="3"/>
      <c r="AO132" s="3"/>
      <c r="AP132" s="3"/>
      <c r="AQ132" s="3"/>
      <c r="AR132" s="3"/>
      <c r="AS132" s="3"/>
      <c r="AT132" s="3"/>
      <c r="AU132" s="7"/>
      <c r="AV132" s="12"/>
      <c r="AW132" s="32"/>
      <c r="AX132" s="2"/>
      <c r="AY132" s="2"/>
      <c r="AZ132" s="23"/>
      <c r="BA132"/>
      <c r="BB132" s="23"/>
      <c r="BC132"/>
      <c r="BE132"/>
      <c r="BG132" s="12"/>
      <c r="BH132" s="9"/>
      <c r="BI132" s="12"/>
      <c r="BJ132" s="12"/>
    </row>
    <row r="133" spans="1:62">
      <c r="A133">
        <v>2021</v>
      </c>
      <c r="B133" s="3"/>
      <c r="C133" s="3">
        <f t="shared" si="80"/>
        <v>120.81568201825931</v>
      </c>
      <c r="D133" s="3">
        <f t="shared" si="81"/>
        <v>63.082289986431647</v>
      </c>
      <c r="E133" s="3">
        <f t="shared" si="82"/>
        <v>28.477982190018274</v>
      </c>
      <c r="F133" s="48">
        <f>'Exchange Rates'!T60</f>
        <v>1124.3</v>
      </c>
      <c r="H133" s="9">
        <f>(C133*USA!$AU108/100)/$AT100*100*$F133</f>
        <v>136758.33706091307</v>
      </c>
      <c r="I133" s="9">
        <f>(D133*USA!$AU108/100)/$AT100*100*$F133</f>
        <v>71406.533758050107</v>
      </c>
      <c r="J133" s="9">
        <f>(E133*USA!$AU108/100)/$AT100*100*$F133</f>
        <v>32235.893735786663</v>
      </c>
      <c r="K133" s="48"/>
      <c r="L133" s="48">
        <f t="shared" si="84"/>
        <v>1254.4420543598112</v>
      </c>
      <c r="M133" s="48">
        <f t="shared" si="85"/>
        <v>847.5955778123498</v>
      </c>
      <c r="N133" s="48">
        <f t="shared" si="86"/>
        <v>603.73946257537796</v>
      </c>
      <c r="O133" s="44">
        <v>2021</v>
      </c>
      <c r="P133" s="9">
        <f t="shared" si="97"/>
        <v>461.40003097736144</v>
      </c>
      <c r="Q133" s="9"/>
      <c r="R133" s="9">
        <f t="shared" si="67"/>
        <v>171.58420853371729</v>
      </c>
      <c r="S133" s="9">
        <f t="shared" si="68"/>
        <v>130.89956087897113</v>
      </c>
      <c r="T133" s="9">
        <f t="shared" si="69"/>
        <v>106.51394935527395</v>
      </c>
      <c r="U133" s="9"/>
      <c r="V133" s="9">
        <f t="shared" si="71"/>
        <v>1887.4262938708898</v>
      </c>
      <c r="W133" s="9">
        <f t="shared" si="72"/>
        <v>1439.8951696686825</v>
      </c>
      <c r="X133" s="9">
        <f t="shared" si="73"/>
        <v>1171.6534429080134</v>
      </c>
      <c r="Z133" s="9">
        <f t="shared" si="75"/>
        <v>2163.9541448290224</v>
      </c>
      <c r="AA133" s="9">
        <f t="shared" si="76"/>
        <v>1650.8549926649355</v>
      </c>
      <c r="AB133" s="9">
        <f t="shared" si="77"/>
        <v>1343.313024893901</v>
      </c>
      <c r="AC133" s="9"/>
      <c r="AD133" s="9">
        <f t="shared" si="94"/>
        <v>2133.8666254107311</v>
      </c>
      <c r="AE133" s="9">
        <f t="shared" si="95"/>
        <v>1627.9015803815555</v>
      </c>
      <c r="AF133" s="9">
        <f t="shared" si="96"/>
        <v>1324.635662058871</v>
      </c>
      <c r="AG133" s="9"/>
      <c r="AH133" s="9"/>
      <c r="AI133" s="9"/>
      <c r="AJ133" s="9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 s="3"/>
      <c r="AO133" s="3"/>
      <c r="AP133" s="3"/>
      <c r="AQ133" s="3"/>
      <c r="AR133" s="3"/>
      <c r="AS133" s="3"/>
      <c r="AT133" s="3"/>
      <c r="AU133" s="7"/>
      <c r="AV133" s="12"/>
      <c r="AW133" s="32"/>
      <c r="AX133" s="2"/>
      <c r="AY133" s="2"/>
      <c r="AZ133" s="23"/>
      <c r="BA133"/>
      <c r="BB133" s="23"/>
      <c r="BC133"/>
      <c r="BE133"/>
      <c r="BG133" s="12"/>
      <c r="BH133" s="9"/>
      <c r="BI133" s="12"/>
      <c r="BJ133" s="12"/>
    </row>
    <row r="134" spans="1:62">
      <c r="A134">
        <v>2022</v>
      </c>
      <c r="B134" s="3"/>
      <c r="C134" s="3">
        <f t="shared" si="80"/>
        <v>127.71943527644558</v>
      </c>
      <c r="D134" s="3">
        <f t="shared" si="81"/>
        <v>68.168185410991157</v>
      </c>
      <c r="E134" s="3">
        <f t="shared" si="82"/>
        <v>29.340951347291547</v>
      </c>
      <c r="F134" s="48">
        <f>'Exchange Rates'!T61</f>
        <v>1124.3</v>
      </c>
      <c r="H134" s="9">
        <f>(C134*USA!$AU109/100)/$AT101*100*$F134</f>
        <v>144573.09917867955</v>
      </c>
      <c r="I134" s="9">
        <f>(D134*USA!$AU109/100)/$AT101*100*$F134</f>
        <v>77163.556266298212</v>
      </c>
      <c r="J134" s="9">
        <f>(E134*USA!$AU109/100)/$AT101*100*$F134</f>
        <v>33212.739000507463</v>
      </c>
      <c r="K134" s="48"/>
      <c r="L134" s="48">
        <f t="shared" si="84"/>
        <v>1303.0927154278063</v>
      </c>
      <c r="M134" s="48">
        <f t="shared" si="85"/>
        <v>883.43581793595411</v>
      </c>
      <c r="N134" s="48">
        <f t="shared" si="86"/>
        <v>609.82079520887737</v>
      </c>
      <c r="O134" s="44">
        <v>2022</v>
      </c>
      <c r="P134" s="9">
        <f t="shared" si="97"/>
        <v>461.40003097736144</v>
      </c>
      <c r="Q134" s="9"/>
      <c r="R134" s="9">
        <f t="shared" si="67"/>
        <v>176.44927464051679</v>
      </c>
      <c r="S134" s="9">
        <f t="shared" si="68"/>
        <v>134.48358489133156</v>
      </c>
      <c r="T134" s="9">
        <f t="shared" si="69"/>
        <v>107.12208261862389</v>
      </c>
      <c r="U134" s="9"/>
      <c r="V134" s="9">
        <f t="shared" si="71"/>
        <v>1940.9420210456844</v>
      </c>
      <c r="W134" s="9">
        <f t="shared" si="72"/>
        <v>1479.3194338046471</v>
      </c>
      <c r="X134" s="9">
        <f t="shared" si="73"/>
        <v>1178.3429088048626</v>
      </c>
      <c r="Z134" s="9">
        <f t="shared" si="75"/>
        <v>2225.3104902447326</v>
      </c>
      <c r="AA134" s="9">
        <f t="shared" si="76"/>
        <v>1696.0553271420445</v>
      </c>
      <c r="AB134" s="9">
        <f t="shared" si="77"/>
        <v>1350.9825680708645</v>
      </c>
      <c r="AC134" s="9"/>
      <c r="AD134" s="9">
        <f t="shared" si="94"/>
        <v>2194.3698750071321</v>
      </c>
      <c r="AE134" s="9">
        <f t="shared" si="95"/>
        <v>1672.4734514762299</v>
      </c>
      <c r="AF134" s="9">
        <f t="shared" si="96"/>
        <v>1332.1985682584211</v>
      </c>
      <c r="AG134" s="9"/>
      <c r="AH134" s="9"/>
      <c r="AI134" s="9"/>
      <c r="AJ134" s="9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 s="3"/>
      <c r="AO134" s="3"/>
      <c r="AP134" s="3"/>
      <c r="AQ134" s="3"/>
      <c r="AR134" s="3"/>
      <c r="AS134" s="3"/>
      <c r="AT134" s="3"/>
      <c r="AU134" s="7"/>
      <c r="AV134" s="12"/>
      <c r="AW134" s="32"/>
      <c r="AX134" s="2"/>
      <c r="AY134" s="2"/>
      <c r="AZ134" s="23"/>
      <c r="BA134"/>
      <c r="BB134" s="23"/>
      <c r="BC134"/>
      <c r="BE134"/>
      <c r="BG134" s="12"/>
      <c r="BH134" s="9"/>
      <c r="BI134" s="12"/>
      <c r="BJ134" s="12"/>
    </row>
    <row r="135" spans="1:62">
      <c r="A135">
        <v>2023</v>
      </c>
      <c r="B135" s="3"/>
      <c r="C135" s="3">
        <f t="shared" si="80"/>
        <v>132.89725022008525</v>
      </c>
      <c r="D135" s="3">
        <f t="shared" si="81"/>
        <v>70.508542947524788</v>
      </c>
      <c r="E135" s="3">
        <f t="shared" si="82"/>
        <v>29.340951347291547</v>
      </c>
      <c r="F135" s="48">
        <f>'Exchange Rates'!T62</f>
        <v>1124.3</v>
      </c>
      <c r="H135" s="9">
        <f>(C135*USA!$AU110/100)/$AT102*100*$F135</f>
        <v>150434.1707670044</v>
      </c>
      <c r="I135" s="9">
        <f>(D135*USA!$AU110/100)/$AT102*100*$F135</f>
        <v>79812.743850869723</v>
      </c>
      <c r="J135" s="9">
        <f>(E135*USA!$AU110/100)/$AT102*100*$F135</f>
        <v>33212.739000507463</v>
      </c>
      <c r="K135" s="48"/>
      <c r="L135" s="48">
        <f t="shared" si="84"/>
        <v>1339.5807112288026</v>
      </c>
      <c r="M135" s="48">
        <f t="shared" si="85"/>
        <v>899.92828761580733</v>
      </c>
      <c r="N135" s="48">
        <f t="shared" si="86"/>
        <v>609.82079520887737</v>
      </c>
      <c r="O135" s="44">
        <v>2023</v>
      </c>
      <c r="P135" s="9">
        <f t="shared" si="97"/>
        <v>461.40003097736144</v>
      </c>
      <c r="Q135" s="9"/>
      <c r="R135" s="9">
        <f t="shared" si="67"/>
        <v>180.09807422061641</v>
      </c>
      <c r="S135" s="9">
        <f t="shared" si="68"/>
        <v>136.13283185931687</v>
      </c>
      <c r="T135" s="9">
        <f t="shared" si="69"/>
        <v>107.12208261862389</v>
      </c>
      <c r="U135" s="9"/>
      <c r="V135" s="9">
        <f t="shared" si="71"/>
        <v>1981.0788164267803</v>
      </c>
      <c r="W135" s="9">
        <f t="shared" si="72"/>
        <v>1497.4611504524855</v>
      </c>
      <c r="X135" s="9">
        <f t="shared" si="73"/>
        <v>1178.3429088048626</v>
      </c>
      <c r="Z135" s="9">
        <f t="shared" si="75"/>
        <v>2271.3277493065152</v>
      </c>
      <c r="AA135" s="9">
        <f t="shared" si="76"/>
        <v>1716.8549965447053</v>
      </c>
      <c r="AB135" s="9">
        <f t="shared" si="77"/>
        <v>1350.9825680708645</v>
      </c>
      <c r="AC135" s="9"/>
      <c r="AD135" s="9">
        <f t="shared" si="94"/>
        <v>2239.7473122044325</v>
      </c>
      <c r="AE135" s="9">
        <f t="shared" si="95"/>
        <v>1692.9839232272018</v>
      </c>
      <c r="AF135" s="9">
        <f t="shared" si="96"/>
        <v>1332.1985682584211</v>
      </c>
      <c r="AG135" s="9"/>
      <c r="AH135" s="9"/>
      <c r="AI135" s="9"/>
      <c r="AJ135" s="9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 s="3"/>
      <c r="AO135" s="3"/>
      <c r="AP135" s="3"/>
      <c r="AQ135" s="3"/>
      <c r="AR135" s="3"/>
      <c r="AS135" s="3"/>
      <c r="AT135" s="3"/>
      <c r="AU135" s="7"/>
      <c r="AV135" s="12"/>
      <c r="AW135" s="32"/>
      <c r="AX135" s="2"/>
      <c r="AY135" s="2"/>
      <c r="AZ135" s="23"/>
      <c r="BA135"/>
      <c r="BB135" s="23"/>
      <c r="BC135"/>
      <c r="BE135"/>
      <c r="BG135" s="12"/>
      <c r="BH135" s="9"/>
      <c r="BI135" s="12"/>
      <c r="BJ135" s="12"/>
    </row>
    <row r="136" spans="1:62">
      <c r="A136">
        <v>2024</v>
      </c>
      <c r="B136" s="3"/>
      <c r="C136" s="3">
        <f t="shared" si="80"/>
        <v>137.21209600645167</v>
      </c>
      <c r="D136" s="3">
        <f t="shared" si="81"/>
        <v>71.127304204880986</v>
      </c>
      <c r="E136" s="3">
        <f t="shared" si="82"/>
        <v>29.340951347291547</v>
      </c>
      <c r="F136" s="48">
        <f>'Exchange Rates'!T63</f>
        <v>1124.3</v>
      </c>
      <c r="H136" s="9">
        <f>(C136*USA!$AU111/100)/$AT103*100*$F136</f>
        <v>155318.39709060846</v>
      </c>
      <c r="I136" s="9">
        <f>(D136*USA!$AU111/100)/$AT103*100*$F136</f>
        <v>80513.155909802314</v>
      </c>
      <c r="J136" s="9">
        <f>(E136*USA!$AU111/100)/$AT103*100*$F136</f>
        <v>33212.739000507463</v>
      </c>
      <c r="K136" s="48"/>
      <c r="L136" s="48">
        <f t="shared" si="84"/>
        <v>1369.9873743962996</v>
      </c>
      <c r="M136" s="48">
        <f t="shared" si="85"/>
        <v>904.28869029647205</v>
      </c>
      <c r="N136" s="48">
        <f t="shared" si="86"/>
        <v>609.82079520887737</v>
      </c>
      <c r="O136" s="44">
        <v>2024</v>
      </c>
      <c r="P136" s="9">
        <f t="shared" si="97"/>
        <v>461.40003097736144</v>
      </c>
      <c r="Q136" s="9"/>
      <c r="R136" s="9">
        <f t="shared" si="67"/>
        <v>183.13874053736612</v>
      </c>
      <c r="S136" s="9">
        <f t="shared" si="68"/>
        <v>136.56887212738334</v>
      </c>
      <c r="T136" s="9">
        <f t="shared" si="69"/>
        <v>107.12208261862389</v>
      </c>
      <c r="U136" s="9"/>
      <c r="V136" s="9">
        <f t="shared" si="71"/>
        <v>2014.5261459110272</v>
      </c>
      <c r="W136" s="9">
        <f t="shared" si="72"/>
        <v>1502.2575934012168</v>
      </c>
      <c r="X136" s="9">
        <f t="shared" si="73"/>
        <v>1178.3429088048626</v>
      </c>
      <c r="Z136" s="9">
        <f t="shared" si="75"/>
        <v>2309.6754651913343</v>
      </c>
      <c r="AA136" s="9">
        <f t="shared" si="76"/>
        <v>1722.354168953741</v>
      </c>
      <c r="AB136" s="9">
        <f t="shared" si="77"/>
        <v>1350.9825680708645</v>
      </c>
      <c r="AC136" s="9"/>
      <c r="AD136" s="9">
        <f t="shared" si="94"/>
        <v>2277.5618432021838</v>
      </c>
      <c r="AE136" s="9">
        <f t="shared" si="95"/>
        <v>1698.4066353946757</v>
      </c>
      <c r="AF136" s="9">
        <f t="shared" si="96"/>
        <v>1332.1985682584211</v>
      </c>
      <c r="AG136" s="9"/>
      <c r="AH136" s="9"/>
      <c r="AI136" s="9"/>
      <c r="AJ136" s="9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 s="3"/>
      <c r="AO136" s="3"/>
      <c r="AP136" s="3"/>
      <c r="AQ136" s="3"/>
      <c r="AR136" s="3"/>
      <c r="AS136" s="3"/>
      <c r="AT136" s="3"/>
      <c r="AU136" s="7"/>
      <c r="AV136" s="12"/>
      <c r="AW136" s="32"/>
      <c r="AX136" s="2"/>
      <c r="AY136" s="2"/>
      <c r="AZ136" s="23"/>
      <c r="BA136"/>
      <c r="BB136" s="23"/>
      <c r="BC136"/>
      <c r="BE136"/>
      <c r="BG136" s="12"/>
      <c r="BH136" s="9"/>
      <c r="BI136" s="12"/>
      <c r="BJ136" s="12"/>
    </row>
    <row r="137" spans="1:62">
      <c r="A137">
        <v>2025</v>
      </c>
      <c r="B137" s="3"/>
      <c r="C137" s="3">
        <f t="shared" si="80"/>
        <v>141.52694179281806</v>
      </c>
      <c r="D137" s="3">
        <f t="shared" si="81"/>
        <v>74.364924740814473</v>
      </c>
      <c r="E137" s="3">
        <f t="shared" si="82"/>
        <v>30.203920504564827</v>
      </c>
      <c r="F137" s="48">
        <f>'Exchange Rates'!T64</f>
        <v>1124.3</v>
      </c>
      <c r="H137" s="9">
        <f>(C137*USA!$AU112/100)/$AT104*100*$F137</f>
        <v>160202.62341421246</v>
      </c>
      <c r="I137" s="9">
        <f>(D137*USA!$AU112/100)/$AT104*100*$F137</f>
        <v>84178.007964865901</v>
      </c>
      <c r="J137" s="9">
        <f>(E137*USA!$AU112/100)/$AT104*100*$F137</f>
        <v>34189.584265228266</v>
      </c>
      <c r="K137" s="48"/>
      <c r="L137" s="48">
        <f t="shared" si="84"/>
        <v>1400.3940375637962</v>
      </c>
      <c r="M137" s="48">
        <f t="shared" si="85"/>
        <v>927.10416087745023</v>
      </c>
      <c r="N137" s="48">
        <f t="shared" si="86"/>
        <v>615.90212784237667</v>
      </c>
      <c r="O137" s="44">
        <v>2025</v>
      </c>
      <c r="P137" s="9">
        <f t="shared" si="97"/>
        <v>461.40003097736144</v>
      </c>
      <c r="Q137" s="9"/>
      <c r="R137" s="9">
        <f t="shared" si="67"/>
        <v>186.17940685411577</v>
      </c>
      <c r="S137" s="9">
        <f t="shared" si="68"/>
        <v>138.85041918548117</v>
      </c>
      <c r="T137" s="9">
        <f t="shared" si="69"/>
        <v>107.73021588197381</v>
      </c>
      <c r="U137" s="9"/>
      <c r="V137" s="9">
        <f t="shared" si="71"/>
        <v>2047.9734753952735</v>
      </c>
      <c r="W137" s="9">
        <f t="shared" si="72"/>
        <v>1527.3546110402929</v>
      </c>
      <c r="X137" s="9">
        <f t="shared" si="73"/>
        <v>1185.0323747017119</v>
      </c>
      <c r="Z137" s="9">
        <f t="shared" si="75"/>
        <v>2348.0231810761529</v>
      </c>
      <c r="AA137" s="9">
        <f t="shared" si="76"/>
        <v>1751.1281642717486</v>
      </c>
      <c r="AB137" s="9">
        <f t="shared" si="77"/>
        <v>1358.6521112478285</v>
      </c>
      <c r="AC137" s="9"/>
      <c r="AD137" s="9">
        <f t="shared" si="94"/>
        <v>2315.3763741999337</v>
      </c>
      <c r="AE137" s="9">
        <f t="shared" si="95"/>
        <v>1726.7805583983322</v>
      </c>
      <c r="AF137" s="9">
        <f t="shared" si="96"/>
        <v>1339.761474457971</v>
      </c>
      <c r="AG137" s="9"/>
      <c r="AH137" s="9"/>
      <c r="AI137" s="9"/>
      <c r="AJ137" s="9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 s="3"/>
      <c r="AO137" s="3"/>
      <c r="AP137" s="3"/>
      <c r="AQ137" s="3"/>
      <c r="AR137" s="3"/>
      <c r="AS137" s="3"/>
      <c r="AT137" s="3"/>
      <c r="AU137" s="7"/>
      <c r="AV137" s="12"/>
      <c r="AW137" s="32"/>
      <c r="AX137" s="2"/>
      <c r="AY137" s="2"/>
      <c r="AZ137" s="23"/>
      <c r="BA137"/>
      <c r="BB137" s="23"/>
      <c r="BC137"/>
      <c r="BE137"/>
      <c r="BG137" s="12"/>
      <c r="BH137" s="9"/>
      <c r="BI137" s="12"/>
      <c r="BJ137" s="12"/>
    </row>
    <row r="138" spans="1:62">
      <c r="A138">
        <v>2026</v>
      </c>
      <c r="B138" s="3"/>
      <c r="C138" s="3">
        <f t="shared" si="80"/>
        <v>145.84178757918448</v>
      </c>
      <c r="D138" s="3">
        <f t="shared" si="81"/>
        <v>80.055420065999314</v>
      </c>
      <c r="E138" s="3">
        <f t="shared" si="82"/>
        <v>31.066889661838108</v>
      </c>
      <c r="F138" s="48">
        <f>'Exchange Rates'!T65</f>
        <v>1124.3</v>
      </c>
      <c r="H138" s="9">
        <f>(C138*USA!$AU113/100)/$AT105*100*$F138</f>
        <v>165086.84973781652</v>
      </c>
      <c r="I138" s="9">
        <f>(D138*USA!$AU113/100)/$AT105*100*$F138</f>
        <v>90619.412464056353</v>
      </c>
      <c r="J138" s="9">
        <f>(E138*USA!$AU113/100)/$AT105*100*$F138</f>
        <v>35166.42952994907</v>
      </c>
      <c r="K138" s="48"/>
      <c r="L138" s="48">
        <f t="shared" si="84"/>
        <v>1430.8007007312931</v>
      </c>
      <c r="M138" s="48">
        <f t="shared" si="85"/>
        <v>967.20500878163955</v>
      </c>
      <c r="N138" s="48">
        <f t="shared" si="86"/>
        <v>621.98346047587609</v>
      </c>
      <c r="O138" s="44">
        <v>2026</v>
      </c>
      <c r="P138" s="9">
        <f t="shared" si="97"/>
        <v>461.40003097736144</v>
      </c>
      <c r="Q138" s="9"/>
      <c r="R138" s="9">
        <f t="shared" si="67"/>
        <v>189.22007317086548</v>
      </c>
      <c r="S138" s="9">
        <f t="shared" si="68"/>
        <v>142.86050397590012</v>
      </c>
      <c r="T138" s="9">
        <f t="shared" si="69"/>
        <v>108.33834914532378</v>
      </c>
      <c r="U138" s="9"/>
      <c r="V138" s="9">
        <f t="shared" si="71"/>
        <v>2081.4208048795199</v>
      </c>
      <c r="W138" s="9">
        <f t="shared" si="72"/>
        <v>1571.4655437349013</v>
      </c>
      <c r="X138" s="9">
        <f t="shared" si="73"/>
        <v>1191.7218405985614</v>
      </c>
      <c r="Z138" s="9">
        <f t="shared" si="75"/>
        <v>2386.3708969609711</v>
      </c>
      <c r="AA138" s="9">
        <f t="shared" si="76"/>
        <v>1801.7018136623199</v>
      </c>
      <c r="AB138" s="9">
        <f t="shared" si="77"/>
        <v>1366.3216544247925</v>
      </c>
      <c r="AC138" s="9"/>
      <c r="AD138" s="9">
        <f t="shared" si="94"/>
        <v>2353.1909051976841</v>
      </c>
      <c r="AE138" s="9">
        <f t="shared" si="95"/>
        <v>1776.6510340817672</v>
      </c>
      <c r="AF138" s="9">
        <f t="shared" si="96"/>
        <v>1347.3243806575213</v>
      </c>
      <c r="AG138" s="9"/>
      <c r="AH138" s="9"/>
      <c r="AI138" s="9"/>
      <c r="AJ138" s="9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 s="3"/>
      <c r="AO138" s="3"/>
      <c r="AP138" s="3"/>
      <c r="AQ138" s="3"/>
      <c r="AR138" s="3"/>
      <c r="AS138" s="3"/>
      <c r="AT138" s="3"/>
      <c r="AU138" s="7"/>
      <c r="AV138" s="12"/>
      <c r="AW138" s="32"/>
      <c r="AX138" s="2"/>
      <c r="AY138" s="2"/>
      <c r="AZ138" s="23"/>
      <c r="BA138"/>
      <c r="BB138" s="23"/>
      <c r="BC138"/>
      <c r="BE138"/>
      <c r="BG138" s="12"/>
      <c r="BH138" s="9"/>
      <c r="BI138" s="12"/>
      <c r="BJ138" s="12"/>
    </row>
    <row r="139" spans="1:62">
      <c r="A139">
        <v>2027</v>
      </c>
      <c r="B139" s="3"/>
      <c r="C139" s="3">
        <f t="shared" si="80"/>
        <v>150.15663336555087</v>
      </c>
      <c r="D139" s="3">
        <f t="shared" si="81"/>
        <v>82.98815737026753</v>
      </c>
      <c r="E139" s="3">
        <f t="shared" si="82"/>
        <v>31.929858819111395</v>
      </c>
      <c r="F139" s="48">
        <f>'Exchange Rates'!T66</f>
        <v>1124.3</v>
      </c>
      <c r="H139" s="9">
        <f>(C139*USA!$AU114/100)/$AT106*100*$F139</f>
        <v>169971.07606142052</v>
      </c>
      <c r="I139" s="9">
        <f>(D139*USA!$AU114/100)/$AT106*100*$F139</f>
        <v>93939.149356388007</v>
      </c>
      <c r="J139" s="9">
        <f>(E139*USA!$AU114/100)/$AT106*100*$F139</f>
        <v>36143.274794669887</v>
      </c>
      <c r="K139" s="48"/>
      <c r="L139" s="48">
        <f t="shared" si="84"/>
        <v>1461.2073638987899</v>
      </c>
      <c r="M139" s="48">
        <f t="shared" si="85"/>
        <v>987.87197112161505</v>
      </c>
      <c r="N139" s="48">
        <f t="shared" si="86"/>
        <v>628.0647931093755</v>
      </c>
      <c r="O139" s="44">
        <v>2027</v>
      </c>
      <c r="P139" s="9">
        <f t="shared" si="97"/>
        <v>461.40003097736144</v>
      </c>
      <c r="Q139" s="9"/>
      <c r="R139" s="9">
        <f t="shared" si="67"/>
        <v>192.26073948761515</v>
      </c>
      <c r="S139" s="9">
        <f t="shared" si="68"/>
        <v>144.92720020989765</v>
      </c>
      <c r="T139" s="9">
        <f t="shared" si="69"/>
        <v>108.94648240867369</v>
      </c>
      <c r="U139" s="9"/>
      <c r="V139" s="9">
        <f t="shared" si="71"/>
        <v>2114.8681343637663</v>
      </c>
      <c r="W139" s="9">
        <f t="shared" si="72"/>
        <v>1594.199202308874</v>
      </c>
      <c r="X139" s="9">
        <f t="shared" si="73"/>
        <v>1198.4113064954106</v>
      </c>
      <c r="Z139" s="9">
        <f t="shared" si="75"/>
        <v>2424.7186128457902</v>
      </c>
      <c r="AA139" s="9">
        <f t="shared" si="76"/>
        <v>1827.7661928955795</v>
      </c>
      <c r="AB139" s="9">
        <f t="shared" si="77"/>
        <v>1373.9911976017561</v>
      </c>
      <c r="AC139" s="9"/>
      <c r="AD139" s="9">
        <f t="shared" si="94"/>
        <v>2391.0054361954344</v>
      </c>
      <c r="AE139" s="9">
        <f t="shared" si="95"/>
        <v>1802.3530153787392</v>
      </c>
      <c r="AF139" s="9">
        <f t="shared" si="96"/>
        <v>1354.8872868570716</v>
      </c>
      <c r="AG139" s="9"/>
      <c r="AH139" s="9"/>
      <c r="AI139" s="9"/>
      <c r="AJ139" s="9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 s="3"/>
      <c r="AO139" s="3"/>
      <c r="AP139" s="3"/>
      <c r="AQ139" s="3"/>
      <c r="AR139" s="3"/>
      <c r="AS139" s="3"/>
      <c r="AT139" s="3"/>
      <c r="AU139" s="7"/>
      <c r="AV139" s="12"/>
      <c r="AW139" s="32"/>
      <c r="AX139" s="2"/>
      <c r="AY139" s="2"/>
      <c r="AZ139" s="23"/>
      <c r="BA139"/>
      <c r="BB139" s="23"/>
      <c r="BC139"/>
      <c r="BE139"/>
      <c r="BG139" s="12"/>
      <c r="BH139" s="9"/>
      <c r="BI139" s="12"/>
      <c r="BJ139" s="12"/>
    </row>
    <row r="140" spans="1:62">
      <c r="A140">
        <v>2028</v>
      </c>
      <c r="B140" s="3"/>
      <c r="C140" s="3">
        <f t="shared" si="80"/>
        <v>153.60850999464401</v>
      </c>
      <c r="D140" s="3">
        <f t="shared" si="81"/>
        <v>84.844653255379882</v>
      </c>
      <c r="E140" s="3">
        <f t="shared" si="82"/>
        <v>31.929858819111395</v>
      </c>
      <c r="F140" s="48">
        <f>'Exchange Rates'!T67</f>
        <v>1124.3</v>
      </c>
      <c r="H140" s="9">
        <f>(C140*USA!$AU115/100)/$AT107*100*$F140</f>
        <v>173878.45712030379</v>
      </c>
      <c r="I140" s="9">
        <f>(D140*USA!$AU115/100)/$AT107*100*$F140</f>
        <v>96040.625636346609</v>
      </c>
      <c r="J140" s="9">
        <f>(E140*USA!$AU115/100)/$AT107*100*$F140</f>
        <v>36143.274794669887</v>
      </c>
      <c r="K140" s="48"/>
      <c r="L140" s="48">
        <f t="shared" si="84"/>
        <v>1485.5326944327876</v>
      </c>
      <c r="M140" s="48">
        <f t="shared" si="85"/>
        <v>1000.9546739215202</v>
      </c>
      <c r="N140" s="48">
        <f t="shared" si="86"/>
        <v>628.0647931093755</v>
      </c>
      <c r="O140" s="44">
        <v>2028</v>
      </c>
      <c r="P140" s="9">
        <f t="shared" si="97"/>
        <v>461.40003097736144</v>
      </c>
      <c r="Q140" s="9"/>
      <c r="R140" s="9">
        <f t="shared" si="67"/>
        <v>194.69327254101492</v>
      </c>
      <c r="S140" s="9">
        <f t="shared" si="68"/>
        <v>146.23547048988817</v>
      </c>
      <c r="T140" s="9">
        <f t="shared" si="69"/>
        <v>108.94648240867369</v>
      </c>
      <c r="U140" s="9"/>
      <c r="V140" s="9">
        <f t="shared" si="71"/>
        <v>2141.6259979511638</v>
      </c>
      <c r="W140" s="9">
        <f t="shared" si="72"/>
        <v>1608.5901753887699</v>
      </c>
      <c r="X140" s="9">
        <f t="shared" si="73"/>
        <v>1198.4113064954106</v>
      </c>
      <c r="Z140" s="9">
        <f t="shared" si="75"/>
        <v>2455.3967855536453</v>
      </c>
      <c r="AA140" s="9">
        <f t="shared" si="76"/>
        <v>1844.2655952539603</v>
      </c>
      <c r="AB140" s="9">
        <f t="shared" si="77"/>
        <v>1373.9911976017561</v>
      </c>
      <c r="AC140" s="9"/>
      <c r="AD140" s="9">
        <f t="shared" si="94"/>
        <v>2421.2570609936347</v>
      </c>
      <c r="AE140" s="9">
        <f t="shared" si="95"/>
        <v>1818.6230108016568</v>
      </c>
      <c r="AF140" s="9">
        <f t="shared" si="96"/>
        <v>1354.8872868570716</v>
      </c>
      <c r="AG140" s="9"/>
      <c r="AH140" s="9"/>
      <c r="AI140" s="9"/>
      <c r="AJ140" s="9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 s="3"/>
      <c r="AO140" s="3"/>
      <c r="AP140" s="3"/>
      <c r="AQ140" s="3"/>
      <c r="AR140" s="3"/>
      <c r="AS140" s="3"/>
      <c r="AT140" s="3"/>
      <c r="AU140" s="7"/>
      <c r="AV140" s="12"/>
      <c r="AW140" s="32"/>
      <c r="AX140" s="2"/>
      <c r="AY140" s="2"/>
      <c r="AZ140" s="23"/>
      <c r="BA140"/>
      <c r="BB140" s="23"/>
      <c r="BC140"/>
      <c r="BE140"/>
      <c r="BG140" s="12"/>
      <c r="BH140" s="9"/>
      <c r="BI140" s="12"/>
      <c r="BJ140" s="12"/>
    </row>
    <row r="141" spans="1:62">
      <c r="A141">
        <v>2029</v>
      </c>
      <c r="B141" s="3"/>
      <c r="C141" s="3">
        <f t="shared" si="80"/>
        <v>157.9233557810104</v>
      </c>
      <c r="D141" s="3">
        <f t="shared" si="81"/>
        <v>87.361009569245411</v>
      </c>
      <c r="E141" s="3">
        <f t="shared" si="82"/>
        <v>31.929858819111395</v>
      </c>
      <c r="F141" s="48">
        <f>'Exchange Rates'!T68</f>
        <v>1124.3</v>
      </c>
      <c r="H141" s="9">
        <f>(C141*USA!$AU116/100)/$AT108*100*$F141</f>
        <v>178762.68344390782</v>
      </c>
      <c r="I141" s="9">
        <f>(D141*USA!$AU116/100)/$AT108*100*$F141</f>
        <v>98889.036531258156</v>
      </c>
      <c r="J141" s="9">
        <f>(E141*USA!$AU116/100)/$AT108*100*$F141</f>
        <v>36143.274794669887</v>
      </c>
      <c r="K141" s="48"/>
      <c r="L141" s="48">
        <f t="shared" si="84"/>
        <v>1515.9393576002844</v>
      </c>
      <c r="M141" s="48">
        <f t="shared" si="85"/>
        <v>1018.6874047381984</v>
      </c>
      <c r="N141" s="48">
        <f t="shared" si="86"/>
        <v>628.0647931093755</v>
      </c>
      <c r="O141" s="44">
        <v>2029</v>
      </c>
      <c r="P141" s="9">
        <f t="shared" si="97"/>
        <v>461.40003097736144</v>
      </c>
      <c r="Q141" s="9"/>
      <c r="R141" s="9">
        <f t="shared" si="67"/>
        <v>197.7339388577646</v>
      </c>
      <c r="S141" s="9">
        <f t="shared" si="68"/>
        <v>148.00874357155598</v>
      </c>
      <c r="T141" s="9">
        <f t="shared" si="69"/>
        <v>108.94648240867369</v>
      </c>
      <c r="U141" s="9"/>
      <c r="V141" s="9">
        <f t="shared" si="71"/>
        <v>2175.0733274354106</v>
      </c>
      <c r="W141" s="9">
        <f t="shared" si="72"/>
        <v>1628.0961792871158</v>
      </c>
      <c r="X141" s="9">
        <f t="shared" si="73"/>
        <v>1198.4113064954106</v>
      </c>
      <c r="Z141" s="9">
        <f t="shared" si="75"/>
        <v>2493.7445014384643</v>
      </c>
      <c r="AA141" s="9">
        <f t="shared" si="76"/>
        <v>1866.6294343728428</v>
      </c>
      <c r="AB141" s="9">
        <f t="shared" si="77"/>
        <v>1373.9911976017561</v>
      </c>
      <c r="AC141" s="9"/>
      <c r="AD141" s="9">
        <f t="shared" si="94"/>
        <v>2459.071591991386</v>
      </c>
      <c r="AE141" s="9">
        <f t="shared" si="95"/>
        <v>1840.6759041246844</v>
      </c>
      <c r="AF141" s="9">
        <f t="shared" si="96"/>
        <v>1354.8872868570716</v>
      </c>
      <c r="AG141" s="9"/>
      <c r="AH141" s="9"/>
      <c r="AI141" s="9"/>
      <c r="AJ141" s="9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 s="3"/>
      <c r="AO141" s="3"/>
      <c r="AP141" s="3"/>
      <c r="AQ141" s="3"/>
      <c r="AR141" s="3"/>
      <c r="AS141" s="3"/>
      <c r="AT141" s="3"/>
      <c r="AU141" s="7"/>
      <c r="AV141" s="12"/>
      <c r="AW141" s="32"/>
      <c r="AX141" s="2"/>
      <c r="AY141" s="2"/>
      <c r="AZ141" s="23"/>
      <c r="BA141"/>
      <c r="BB141" s="23"/>
      <c r="BC141"/>
      <c r="BE141"/>
      <c r="BG141" s="12"/>
      <c r="BH141" s="9"/>
      <c r="BI141" s="12"/>
      <c r="BJ141" s="12"/>
    </row>
    <row r="142" spans="1:62">
      <c r="A142">
        <v>2030</v>
      </c>
      <c r="B142" s="3"/>
      <c r="C142" s="3">
        <f t="shared" si="80"/>
        <v>160.51226325283022</v>
      </c>
      <c r="D142" s="3">
        <f t="shared" si="81"/>
        <v>89.285088706337618</v>
      </c>
      <c r="E142" s="3">
        <f t="shared" si="82"/>
        <v>32.792827976384679</v>
      </c>
      <c r="F142" s="48">
        <f>'Exchange Rates'!T69</f>
        <v>1124.3</v>
      </c>
      <c r="H142" s="9">
        <f>(C142*USA!$AU117/100)/$AT109*100*$F142</f>
        <v>181693.21923807022</v>
      </c>
      <c r="I142" s="9">
        <f>(D142*USA!$AU117/100)/$AT109*100*$F142</f>
        <v>101067.01424711924</v>
      </c>
      <c r="J142" s="9">
        <f>(E142*USA!$AU117/100)/$AT109*100*$F142</f>
        <v>37120.120059390698</v>
      </c>
      <c r="K142" s="48"/>
      <c r="L142" s="48">
        <f t="shared" si="84"/>
        <v>1534.1833555007825</v>
      </c>
      <c r="M142" s="48">
        <f t="shared" si="85"/>
        <v>1032.2463658519487</v>
      </c>
      <c r="N142" s="48">
        <f t="shared" si="86"/>
        <v>634.14612574287491</v>
      </c>
      <c r="O142" s="44">
        <v>2030</v>
      </c>
      <c r="P142" s="9">
        <f t="shared" si="97"/>
        <v>461.40003097736144</v>
      </c>
      <c r="Q142" s="9"/>
      <c r="R142" s="9">
        <f t="shared" si="67"/>
        <v>199.5583386478144</v>
      </c>
      <c r="S142" s="9">
        <f t="shared" si="68"/>
        <v>149.36463968293103</v>
      </c>
      <c r="T142" s="9">
        <f t="shared" si="69"/>
        <v>109.55461567202366</v>
      </c>
      <c r="U142" s="9"/>
      <c r="V142" s="9">
        <f t="shared" si="71"/>
        <v>2195.1417251259581</v>
      </c>
      <c r="W142" s="9">
        <f t="shared" si="72"/>
        <v>1643.0110365122412</v>
      </c>
      <c r="X142" s="9">
        <f t="shared" si="73"/>
        <v>1205.1007723922601</v>
      </c>
      <c r="Z142" s="9">
        <f t="shared" si="75"/>
        <v>2516.753130969355</v>
      </c>
      <c r="AA142" s="9">
        <f t="shared" si="76"/>
        <v>1883.729475426976</v>
      </c>
      <c r="AB142" s="9">
        <f t="shared" si="77"/>
        <v>1381.6607407787201</v>
      </c>
      <c r="AC142" s="9"/>
      <c r="AD142" s="9">
        <f t="shared" si="94"/>
        <v>2481.7603105900357</v>
      </c>
      <c r="AE142" s="9">
        <f t="shared" si="95"/>
        <v>1857.5381869904113</v>
      </c>
      <c r="AF142" s="9">
        <f t="shared" si="96"/>
        <v>1362.4501930566216</v>
      </c>
      <c r="AG142" s="9"/>
      <c r="AH142" s="9"/>
      <c r="AI142" s="9"/>
      <c r="AJ142" s="9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 s="3"/>
      <c r="AO142" s="3"/>
      <c r="AP142" s="3"/>
      <c r="AQ142" s="3"/>
      <c r="AR142" s="3"/>
      <c r="AS142" s="3"/>
      <c r="AT142" s="3"/>
      <c r="AU142" s="7"/>
      <c r="AV142" s="12"/>
      <c r="AW142" s="32"/>
      <c r="AX142" s="2"/>
      <c r="AY142" s="2"/>
      <c r="AZ142" s="23"/>
      <c r="BA142"/>
      <c r="BB142" s="23"/>
      <c r="BC142"/>
      <c r="BE142"/>
      <c r="BG142" s="12"/>
      <c r="BH142" s="9"/>
      <c r="BI142" s="12"/>
      <c r="BJ142" s="12"/>
    </row>
    <row r="143" spans="1:62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 s="9"/>
      <c r="AH143" s="9"/>
      <c r="AI143" s="9"/>
      <c r="AJ143" s="9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 s="3"/>
      <c r="AO143" s="3"/>
      <c r="AP143" s="3"/>
      <c r="AQ143" s="3"/>
      <c r="AR143" s="3"/>
      <c r="AS143" s="3"/>
      <c r="AT143" s="3"/>
      <c r="AU143" s="7"/>
      <c r="AV143" s="12"/>
      <c r="AW143" s="32"/>
      <c r="AX143" s="2"/>
      <c r="AY143" s="2"/>
      <c r="AZ143" s="23"/>
      <c r="BA143"/>
      <c r="BB143" s="23"/>
      <c r="BC143"/>
      <c r="BE143"/>
      <c r="BG143" s="12"/>
      <c r="BH143" s="9"/>
      <c r="BI143" s="12"/>
      <c r="BJ143" s="12"/>
    </row>
    <row r="144" spans="1:62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 s="3"/>
      <c r="AO144" s="3"/>
      <c r="AP144" s="3"/>
      <c r="AQ144" s="3"/>
      <c r="AR144" s="3"/>
      <c r="AS144" s="3"/>
      <c r="AT144"/>
      <c r="AV144" s="12"/>
      <c r="AW144" s="32"/>
      <c r="AX144" s="2"/>
      <c r="AY144" s="2"/>
      <c r="AZ144" s="23"/>
      <c r="BA144"/>
      <c r="BB144" s="23"/>
      <c r="BC144"/>
      <c r="BE144"/>
      <c r="BG144" s="12"/>
      <c r="BH144" s="9"/>
      <c r="BI144" s="12"/>
      <c r="BJ144" s="12"/>
    </row>
    <row r="145" spans="2:65">
      <c r="B145" s="3"/>
      <c r="C145" s="3"/>
      <c r="F145" s="9"/>
      <c r="G145" s="44"/>
      <c r="H145" s="9"/>
      <c r="I145" s="3"/>
      <c r="J145" s="3"/>
      <c r="K145" s="3"/>
      <c r="L145" s="24"/>
      <c r="M145" s="44"/>
      <c r="N145" s="44"/>
      <c r="O145" s="44"/>
      <c r="P145" s="45"/>
      <c r="Q145" s="9"/>
      <c r="R145" s="3"/>
      <c r="S145" s="3"/>
      <c r="U145" s="24"/>
      <c r="V145" s="9"/>
      <c r="W145" s="9"/>
      <c r="AC145" s="9"/>
      <c r="AD145" s="9"/>
      <c r="AE145" s="9"/>
      <c r="AF145" s="9"/>
      <c r="AG145" s="9"/>
      <c r="AH145" s="9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 s="3"/>
      <c r="AO145" s="3"/>
      <c r="AP145" s="3"/>
      <c r="AQ145" s="3"/>
      <c r="AR145" s="3"/>
      <c r="AS145" s="3"/>
      <c r="AT145"/>
      <c r="AV145" s="12"/>
      <c r="AW145" s="32"/>
      <c r="AX145" s="2"/>
      <c r="AY145" s="2"/>
      <c r="AZ145" s="23"/>
      <c r="BA145"/>
      <c r="BB145" s="23"/>
      <c r="BC145"/>
      <c r="BE145"/>
      <c r="BG145" s="12"/>
      <c r="BH145" s="9"/>
      <c r="BI145" s="12"/>
      <c r="BJ145" s="12"/>
    </row>
    <row r="146" spans="2:65">
      <c r="B146" s="3"/>
      <c r="C146" s="3"/>
      <c r="F146" s="9"/>
      <c r="G146" s="44"/>
      <c r="H146" s="9"/>
      <c r="I146" s="3"/>
      <c r="J146" s="3"/>
      <c r="K146" s="3"/>
      <c r="L146" s="24"/>
      <c r="M146" s="44"/>
      <c r="N146" s="44"/>
      <c r="O146" s="44"/>
      <c r="P146" s="45"/>
      <c r="Q146" s="9"/>
      <c r="R146" s="3"/>
      <c r="S146" s="3"/>
      <c r="U146" s="24"/>
      <c r="V146" s="9"/>
      <c r="W146" s="9"/>
      <c r="AC146" s="9"/>
      <c r="AD146" s="9"/>
      <c r="AE146" s="9"/>
      <c r="AF146" s="9"/>
      <c r="AG146" s="9"/>
      <c r="AH146" s="9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 s="3"/>
      <c r="AO146" s="3"/>
      <c r="AP146" s="3"/>
      <c r="AQ146" s="3"/>
      <c r="AR146" s="3"/>
      <c r="AS146" s="3"/>
      <c r="AT146"/>
      <c r="AV146" s="12"/>
      <c r="AW146" s="32"/>
      <c r="AX146" s="2"/>
      <c r="AY146" s="2"/>
      <c r="AZ146" s="23"/>
      <c r="BA146"/>
      <c r="BB146" s="23"/>
      <c r="BC146"/>
      <c r="BE146"/>
      <c r="BG146" s="12"/>
      <c r="BH146" s="9"/>
      <c r="BI146" s="12"/>
      <c r="BJ146" s="12"/>
    </row>
    <row r="147" spans="2:65">
      <c r="B147" s="3"/>
      <c r="C147" s="3"/>
      <c r="F147" s="9"/>
      <c r="G147" s="44"/>
      <c r="H147" s="9"/>
      <c r="I147" s="3"/>
      <c r="J147" s="3"/>
      <c r="K147" s="3"/>
      <c r="L147" s="24"/>
      <c r="M147" s="44"/>
      <c r="N147" s="44"/>
      <c r="O147" s="44"/>
      <c r="P147" s="45"/>
      <c r="Q147" s="9"/>
      <c r="R147" s="3">
        <v>1819.3966559912856</v>
      </c>
      <c r="S147" s="3"/>
      <c r="U147" s="24"/>
      <c r="V147" s="9"/>
      <c r="W147" s="9"/>
      <c r="AC147" s="9"/>
      <c r="AD147" s="9"/>
      <c r="AE147" s="9"/>
      <c r="AF147" s="9"/>
      <c r="AG147" s="9"/>
      <c r="AH147" s="9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 s="3"/>
      <c r="AO147" s="3"/>
      <c r="AP147" s="3"/>
      <c r="AQ147" s="3"/>
      <c r="AR147" s="3"/>
      <c r="AS147" s="3"/>
      <c r="AT147"/>
      <c r="AV147" s="12"/>
      <c r="AW147" s="32"/>
      <c r="AX147" s="2"/>
      <c r="AY147" s="2"/>
      <c r="AZ147" s="23"/>
      <c r="BA147"/>
      <c r="BB147" s="23"/>
      <c r="BC147"/>
      <c r="BE147"/>
      <c r="BG147" s="12"/>
      <c r="BH147" s="9"/>
      <c r="BI147" s="12"/>
      <c r="BJ147" s="12"/>
    </row>
    <row r="148" spans="2:65">
      <c r="B148" s="3"/>
      <c r="C148" s="3"/>
      <c r="F148" s="9"/>
      <c r="G148" s="44"/>
      <c r="H148" s="9"/>
      <c r="I148" s="3"/>
      <c r="J148" s="3"/>
      <c r="K148" s="3"/>
      <c r="L148" s="24"/>
      <c r="M148" s="44"/>
      <c r="N148" s="44"/>
      <c r="O148" s="44"/>
      <c r="P148" s="45"/>
      <c r="Q148" s="9"/>
      <c r="R148" s="3">
        <v>1385.1488621516357</v>
      </c>
      <c r="S148" s="3"/>
      <c r="U148" s="24"/>
      <c r="V148" s="9"/>
      <c r="W148" s="9"/>
      <c r="AC148" s="9"/>
      <c r="AD148" s="9"/>
      <c r="AE148" s="9"/>
      <c r="AF148" s="9"/>
      <c r="AG148" s="9"/>
      <c r="AH148" s="9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 s="3"/>
      <c r="AO148" s="3"/>
      <c r="AP148" s="3"/>
      <c r="AQ148" s="3"/>
      <c r="AR148" s="3"/>
      <c r="AS148" s="3"/>
      <c r="AT148"/>
      <c r="AV148" s="12"/>
      <c r="AW148" s="32"/>
      <c r="AX148" s="2"/>
      <c r="AY148" s="2"/>
      <c r="AZ148" s="23"/>
      <c r="BA148"/>
      <c r="BB148" s="23"/>
      <c r="BC148"/>
      <c r="BE148"/>
      <c r="BG148" s="12"/>
      <c r="BH148" s="9"/>
      <c r="BI148" s="12"/>
      <c r="BJ148" s="12"/>
    </row>
    <row r="149" spans="2:65">
      <c r="B149" s="3"/>
      <c r="C149" s="3"/>
      <c r="F149" s="9"/>
      <c r="G149" s="44"/>
      <c r="H149" s="9"/>
      <c r="I149" s="3"/>
      <c r="J149" s="3"/>
      <c r="K149" s="3"/>
      <c r="L149" s="24"/>
      <c r="M149" s="44"/>
      <c r="N149" s="44"/>
      <c r="O149" s="44"/>
      <c r="P149" s="45"/>
      <c r="Q149" s="9"/>
      <c r="R149" s="69">
        <f>R147/R148-1</f>
        <v>0.3135026174479949</v>
      </c>
      <c r="S149" s="3"/>
      <c r="U149" s="24"/>
      <c r="V149" s="9"/>
      <c r="W149" s="9"/>
      <c r="AC149" s="9"/>
      <c r="AD149" s="9"/>
      <c r="AE149" s="9"/>
      <c r="AF149" s="9"/>
      <c r="AG149" s="9"/>
      <c r="AH149" s="9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 s="3"/>
      <c r="AO149" s="3"/>
      <c r="AP149" s="3"/>
      <c r="AQ149" s="3"/>
      <c r="AR149" s="3"/>
      <c r="AS149" s="3"/>
      <c r="AT149"/>
      <c r="AV149" s="12"/>
      <c r="AW149" s="32"/>
      <c r="AX149" s="2"/>
      <c r="AY149" s="2"/>
      <c r="AZ149" s="23"/>
      <c r="BA149"/>
      <c r="BB149" s="23"/>
      <c r="BC149"/>
      <c r="BE149"/>
      <c r="BG149" s="12"/>
      <c r="BH149" s="9"/>
      <c r="BI149" s="12"/>
      <c r="BJ149" s="12"/>
    </row>
    <row r="150" spans="2:65">
      <c r="B150" s="3"/>
      <c r="C150" s="3"/>
      <c r="F150" s="9"/>
      <c r="G150" s="44"/>
      <c r="H150" s="9"/>
      <c r="I150" s="3"/>
      <c r="J150" s="3"/>
      <c r="K150" s="3"/>
      <c r="L150" s="24"/>
      <c r="M150" s="44"/>
      <c r="N150" s="44"/>
      <c r="O150" s="44"/>
      <c r="P150" s="45"/>
      <c r="Q150" s="9"/>
      <c r="R150" s="3"/>
      <c r="S150" s="3"/>
      <c r="U150" s="24"/>
      <c r="V150" s="9"/>
      <c r="W150" s="9"/>
      <c r="AC150" s="9"/>
      <c r="AD150" s="9"/>
      <c r="AE150" s="9"/>
      <c r="AF150" s="9"/>
      <c r="AG150" s="9"/>
      <c r="AH150" s="9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 s="3"/>
      <c r="AO150" s="3"/>
      <c r="AP150" s="3"/>
      <c r="AQ150" s="3"/>
      <c r="AR150" s="3"/>
      <c r="AS150" s="3"/>
      <c r="AT150"/>
      <c r="AV150" s="12"/>
      <c r="AW150" s="32"/>
      <c r="AX150" s="2"/>
      <c r="AY150" s="2"/>
      <c r="AZ150" s="23"/>
      <c r="BA150"/>
      <c r="BB150" s="23"/>
      <c r="BC150"/>
      <c r="BE150"/>
      <c r="BG150" s="12"/>
      <c r="BH150" s="9"/>
      <c r="BI150" s="12"/>
      <c r="BJ150" s="12"/>
    </row>
    <row r="151" spans="2:65">
      <c r="O151" s="7"/>
      <c r="P151" s="24"/>
      <c r="R151" s="7">
        <v>0.31</v>
      </c>
      <c r="S151" s="45"/>
      <c r="T151" s="9"/>
      <c r="W151" s="3"/>
      <c r="X151" s="24"/>
      <c r="Y151" s="24"/>
      <c r="Z151" s="24"/>
      <c r="AA151" s="24"/>
      <c r="AB151" s="24"/>
      <c r="AC151" s="24"/>
      <c r="AD151" s="24"/>
      <c r="AE151" s="24"/>
      <c r="AF151" s="24"/>
      <c r="AG151" s="9"/>
      <c r="AH151" s="9"/>
      <c r="AI151" s="9"/>
      <c r="AJ151" s="9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 s="3"/>
      <c r="AO151" s="3"/>
      <c r="AP151" s="3"/>
      <c r="AQ151" s="3"/>
      <c r="AR151" s="3"/>
      <c r="AS151" s="3"/>
      <c r="AT151" s="3"/>
      <c r="AU151" s="7"/>
      <c r="AV151" s="7"/>
      <c r="AW151" s="12"/>
      <c r="AZ151" s="2"/>
      <c r="BA151" s="2"/>
      <c r="BB151" s="2"/>
      <c r="BC151" s="23"/>
      <c r="BE151" s="23"/>
      <c r="BG151" s="12"/>
      <c r="BK151" s="9"/>
      <c r="BL151" s="12"/>
      <c r="BM151" s="12"/>
    </row>
    <row r="152" spans="2:65">
      <c r="O152" s="7"/>
      <c r="P152" s="24"/>
      <c r="R152" s="44"/>
      <c r="S152" s="45"/>
      <c r="T152" s="9"/>
      <c r="W152" s="3"/>
      <c r="X152" s="24"/>
      <c r="Y152" s="24"/>
      <c r="Z152" s="24"/>
      <c r="AA152" s="24"/>
      <c r="AB152" s="24"/>
      <c r="AC152" s="24"/>
      <c r="AD152" s="24"/>
      <c r="AE152" s="24"/>
      <c r="AF152" s="24"/>
      <c r="AG152" s="9"/>
      <c r="AH152" s="9"/>
      <c r="AI152" s="9"/>
      <c r="AJ152" s="9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 s="3"/>
      <c r="AO152" s="3"/>
      <c r="AP152" s="3"/>
      <c r="AQ152" s="3"/>
      <c r="AR152" s="3"/>
      <c r="AS152" s="3"/>
      <c r="AT152" s="3"/>
      <c r="AU152" s="7"/>
      <c r="AV152" s="7"/>
      <c r="AW152" s="12"/>
      <c r="AZ152" s="2"/>
      <c r="BA152" s="2"/>
      <c r="BB152" s="2"/>
      <c r="BC152" s="23"/>
      <c r="BE152" s="23"/>
      <c r="BG152" s="12"/>
      <c r="BK152" s="9"/>
      <c r="BL152" s="12"/>
      <c r="BM152" s="12"/>
    </row>
    <row r="153" spans="2:65">
      <c r="O153" s="7"/>
      <c r="P153" s="24"/>
      <c r="R153" s="44"/>
      <c r="S153" s="45"/>
      <c r="T153" s="9"/>
      <c r="W153" s="3"/>
      <c r="X153" s="24"/>
      <c r="AC153" s="9"/>
      <c r="AD153" s="9"/>
      <c r="AE153" s="9"/>
      <c r="AF153" s="9"/>
      <c r="AG153" s="9"/>
      <c r="AK153" s="3"/>
      <c r="AL153" s="3"/>
      <c r="AM153" s="3"/>
      <c r="AN153" s="3"/>
      <c r="AO153" s="3"/>
      <c r="AP153" s="3"/>
      <c r="AQ153" s="3"/>
      <c r="AR153" s="3"/>
      <c r="AS153"/>
      <c r="AT153"/>
      <c r="AV153" s="32"/>
      <c r="AW153" s="32"/>
      <c r="AX153" s="2"/>
      <c r="AY153" s="23"/>
      <c r="BA153" s="23"/>
      <c r="BB153"/>
      <c r="BC153"/>
      <c r="BE153"/>
      <c r="BG153" s="44"/>
      <c r="BH153" s="12"/>
      <c r="BI153" s="12"/>
    </row>
    <row r="154" spans="2:65">
      <c r="O154" s="7"/>
      <c r="P154" s="24"/>
      <c r="R154" s="44"/>
      <c r="S154" s="45"/>
      <c r="T154" s="9"/>
      <c r="W154" s="3"/>
      <c r="X154" s="24"/>
      <c r="AC154" s="9"/>
      <c r="AD154" s="9"/>
      <c r="AE154" s="9"/>
      <c r="AF154" s="9"/>
      <c r="AG154" s="9"/>
      <c r="AK154" s="3"/>
      <c r="AL154" s="3"/>
      <c r="AM154" s="3"/>
      <c r="AN154" s="3"/>
      <c r="AO154" s="3"/>
      <c r="AP154" s="3"/>
      <c r="AQ154" s="3"/>
      <c r="AR154"/>
      <c r="AS154"/>
      <c r="AU154" s="32"/>
      <c r="AV154" s="32"/>
      <c r="AW154" s="2"/>
      <c r="AX154" s="23"/>
      <c r="AZ154" s="23"/>
      <c r="BA154"/>
      <c r="BB154"/>
      <c r="BC154"/>
      <c r="BE154"/>
      <c r="BF154" s="44"/>
      <c r="BG154" s="12"/>
      <c r="BH154" s="12"/>
    </row>
    <row r="155" spans="2:65">
      <c r="AC155" s="9"/>
      <c r="AD155" s="9"/>
      <c r="AE155" s="9"/>
      <c r="AF155" s="9"/>
      <c r="AK155" s="3"/>
      <c r="AL155" s="3"/>
      <c r="AM155" s="3"/>
      <c r="AN155" s="3"/>
      <c r="AO155" s="3"/>
      <c r="AP155" s="3"/>
      <c r="AQ155"/>
      <c r="AR155"/>
      <c r="AT155" s="32"/>
      <c r="AU155" s="32"/>
      <c r="AV155" s="2"/>
      <c r="AW155" s="23"/>
      <c r="AY155" s="23"/>
      <c r="BA155"/>
      <c r="BB155"/>
      <c r="BC155"/>
      <c r="BE155" s="44"/>
      <c r="BF155" s="12"/>
      <c r="BG155" s="12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>
      <selection activeCell="A3" sqref="A3:G22"/>
    </sheetView>
  </sheetViews>
  <sheetFormatPr defaultRowHeight="15"/>
  <cols>
    <col min="1" max="1" width="18.14062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0.98186725420622101</v>
      </c>
    </row>
    <row r="5" spans="1:7">
      <c r="A5" s="13" t="s">
        <v>80</v>
      </c>
      <c r="B5" s="13">
        <v>0.96406330488246372</v>
      </c>
    </row>
    <row r="6" spans="1:7">
      <c r="A6" s="13" t="s">
        <v>81</v>
      </c>
      <c r="B6" s="13">
        <v>0.96031989914105376</v>
      </c>
    </row>
    <row r="7" spans="1:7">
      <c r="A7" s="13" t="s">
        <v>82</v>
      </c>
      <c r="B7" s="13">
        <v>2.832931180648425E-2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5</v>
      </c>
      <c r="C12" s="13">
        <v>1.0334291411831984</v>
      </c>
      <c r="D12" s="13">
        <v>0.20668582823663967</v>
      </c>
      <c r="E12" s="13">
        <v>257.5364177646768</v>
      </c>
      <c r="F12" s="13">
        <v>1.9487098147338012E-33</v>
      </c>
    </row>
    <row r="13" spans="1:7">
      <c r="A13" s="13" t="s">
        <v>86</v>
      </c>
      <c r="B13" s="13">
        <v>48</v>
      </c>
      <c r="C13" s="13">
        <v>3.8522395556592377E-2</v>
      </c>
      <c r="D13" s="13">
        <v>8.0254990742900786E-4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1.0719515367397907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0.20855598404621289</v>
      </c>
      <c r="C17" s="13">
        <v>1.0317731340223856E-2</v>
      </c>
      <c r="D17" s="13">
        <v>20.213356712744957</v>
      </c>
      <c r="E17" s="13">
        <v>4.0137663292218127E-25</v>
      </c>
      <c r="F17" s="13">
        <v>0.18781079479372997</v>
      </c>
      <c r="G17" s="13">
        <v>0.22930117329869582</v>
      </c>
    </row>
    <row r="18" spans="1:7">
      <c r="A18" s="13" t="s">
        <v>229</v>
      </c>
      <c r="B18" s="13">
        <v>5.7971049016590052E-3</v>
      </c>
      <c r="C18" s="13">
        <v>2.195479593789759E-4</v>
      </c>
      <c r="D18" s="13">
        <v>26.404731422040907</v>
      </c>
      <c r="E18" s="13">
        <v>3.0762589678466456E-30</v>
      </c>
      <c r="F18" s="13">
        <v>5.3556741435661637E-3</v>
      </c>
      <c r="G18" s="13">
        <v>6.2385356597518468E-3</v>
      </c>
    </row>
    <row r="19" spans="1:7">
      <c r="A19" s="13" t="s">
        <v>2002</v>
      </c>
      <c r="B19" s="13">
        <v>0.22695163932075951</v>
      </c>
      <c r="C19" s="13">
        <v>1.3855944752147242E-2</v>
      </c>
      <c r="D19" s="13">
        <v>16.379369532747958</v>
      </c>
      <c r="E19" s="13">
        <v>2.7618662358182603E-21</v>
      </c>
      <c r="F19" s="13">
        <v>0.19909239520237121</v>
      </c>
      <c r="G19" s="13">
        <v>0.25481088343914782</v>
      </c>
    </row>
    <row r="20" spans="1:7">
      <c r="A20" s="13" t="s">
        <v>2010</v>
      </c>
      <c r="B20" s="13">
        <v>3.7966998402211745E-2</v>
      </c>
      <c r="C20" s="13">
        <v>1.1565800100628767E-2</v>
      </c>
      <c r="D20" s="13">
        <v>3.2826953666740009</v>
      </c>
      <c r="E20" s="13">
        <v>1.9219630706366982E-3</v>
      </c>
      <c r="F20" s="13">
        <v>1.4712398720153713E-2</v>
      </c>
      <c r="G20" s="13">
        <v>6.1221598084269774E-2</v>
      </c>
    </row>
    <row r="21" spans="1:7">
      <c r="A21" s="13" t="s">
        <v>2092</v>
      </c>
      <c r="B21" s="13">
        <v>-0.16421987425487602</v>
      </c>
      <c r="C21" s="13">
        <v>2.0279268592017868E-2</v>
      </c>
      <c r="D21" s="13">
        <v>-8.0979189909992453</v>
      </c>
      <c r="E21" s="13">
        <v>1.5669817452949912E-10</v>
      </c>
      <c r="F21" s="13">
        <v>-0.20499407654518456</v>
      </c>
      <c r="G21" s="13">
        <v>-0.12344567196456749</v>
      </c>
    </row>
    <row r="22" spans="1:7" ht="15.75" thickBot="1">
      <c r="A22" s="14" t="s">
        <v>2167</v>
      </c>
      <c r="B22" s="14">
        <v>-4.1686982845597541E-2</v>
      </c>
      <c r="C22" s="14">
        <v>2.8939070586412156E-2</v>
      </c>
      <c r="D22" s="14">
        <v>-1.4405086964047473</v>
      </c>
      <c r="E22" s="14">
        <v>0.15621493243102949</v>
      </c>
      <c r="F22" s="14">
        <v>-9.9872884019978875E-2</v>
      </c>
      <c r="G22" s="14">
        <v>1.6498918328783786E-2</v>
      </c>
    </row>
    <row r="44" spans="8:8">
      <c r="H44" t="s">
        <v>1907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K172"/>
  <sheetViews>
    <sheetView zoomScale="75" zoomScaleNormal="75" workbookViewId="0">
      <pane xSplit="1" ySplit="4" topLeftCell="AL50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E97"/>
    </sheetView>
  </sheetViews>
  <sheetFormatPr defaultRowHeight="15"/>
  <cols>
    <col min="1" max="1" width="6.7109375" customWidth="1"/>
    <col min="2" max="3" width="11.5703125" customWidth="1"/>
    <col min="4" max="5" width="11.5703125" style="2" customWidth="1"/>
    <col min="6" max="6" width="10.7109375" style="2" customWidth="1"/>
    <col min="7" max="9" width="9.28515625" style="2" bestFit="1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8.7109375" style="37" customWidth="1"/>
    <col min="16" max="17" width="9.42578125" style="32" customWidth="1"/>
    <col min="18" max="18" width="9.42578125" style="37" customWidth="1"/>
    <col min="19" max="22" width="9.42578125" style="2" customWidth="1"/>
    <col min="23" max="23" width="9.42578125" style="37" customWidth="1"/>
    <col min="24" max="28" width="9.42578125" style="2" customWidth="1"/>
    <col min="29" max="29" width="9.28515625" style="2" bestFit="1" customWidth="1"/>
    <col min="30" max="34" width="9.140625" style="2"/>
    <col min="40" max="40" width="7.42578125" style="2" customWidth="1"/>
    <col min="41" max="41" width="7.85546875" style="2" customWidth="1"/>
    <col min="42" max="42" width="7.42578125" style="2" customWidth="1"/>
    <col min="43" max="43" width="7.5703125" style="2" customWidth="1"/>
    <col min="44" max="44" width="8.42578125" style="32" customWidth="1"/>
    <col min="45" max="45" width="2.140625" style="12" customWidth="1"/>
    <col min="46" max="46" width="8.7109375" style="12" customWidth="1"/>
    <col min="47" max="47" width="2.140625" style="12" customWidth="1"/>
    <col min="48" max="48" width="11.42578125" style="7" customWidth="1"/>
    <col min="49" max="49" width="9.140625" style="7"/>
    <col min="50" max="50" width="8.42578125" style="3" customWidth="1"/>
    <col min="51" max="51" width="7.85546875" customWidth="1"/>
    <col min="52" max="52" width="9.5703125" customWidth="1"/>
    <col min="53" max="53" width="10.140625" style="9" customWidth="1"/>
    <col min="54" max="54" width="5.5703125" customWidth="1"/>
    <col min="55" max="55" width="5.85546875" customWidth="1"/>
    <col min="56" max="56" width="5.5703125" customWidth="1"/>
    <col min="57" max="57" width="5.85546875" customWidth="1"/>
  </cols>
  <sheetData>
    <row r="1" spans="1:60">
      <c r="A1" s="23" t="s">
        <v>187</v>
      </c>
      <c r="B1" s="23"/>
      <c r="C1" s="23"/>
      <c r="G1" s="39" t="s">
        <v>198</v>
      </c>
      <c r="BG1" s="7"/>
      <c r="BH1" s="7"/>
    </row>
    <row r="2" spans="1:60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N2" s="23" t="s">
        <v>187</v>
      </c>
      <c r="P2" s="23" t="s">
        <v>187</v>
      </c>
      <c r="Q2" s="38" t="s">
        <v>142</v>
      </c>
      <c r="S2" s="23" t="s">
        <v>187</v>
      </c>
      <c r="X2" s="23" t="s">
        <v>187</v>
      </c>
      <c r="Y2" s="23" t="s">
        <v>187</v>
      </c>
      <c r="Z2" s="23" t="s">
        <v>187</v>
      </c>
      <c r="AA2" s="23" t="s">
        <v>187</v>
      </c>
      <c r="AB2" s="23" t="s">
        <v>187</v>
      </c>
      <c r="AC2" s="2" t="s">
        <v>113</v>
      </c>
      <c r="BG2" s="7"/>
      <c r="BH2" s="7"/>
    </row>
    <row r="3" spans="1:60">
      <c r="B3" t="s">
        <v>182</v>
      </c>
      <c r="C3" t="s">
        <v>218</v>
      </c>
      <c r="D3" s="23" t="s">
        <v>187</v>
      </c>
      <c r="F3" s="23" t="s">
        <v>187</v>
      </c>
      <c r="H3" s="23" t="s">
        <v>187</v>
      </c>
      <c r="I3" s="23" t="s">
        <v>187</v>
      </c>
      <c r="J3" s="23" t="s">
        <v>187</v>
      </c>
      <c r="K3" s="23" t="s">
        <v>187</v>
      </c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2" t="s">
        <v>61</v>
      </c>
      <c r="Z3" s="2" t="s">
        <v>61</v>
      </c>
      <c r="AA3" s="2" t="s">
        <v>61</v>
      </c>
      <c r="AB3" s="38" t="s">
        <v>61</v>
      </c>
      <c r="AC3" s="2" t="s">
        <v>61</v>
      </c>
      <c r="AM3" s="46" t="s">
        <v>2103</v>
      </c>
      <c r="AN3" s="46" t="s">
        <v>1703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3"/>
      <c r="AT3" s="46"/>
      <c r="AU3" s="3"/>
      <c r="AV3" s="46" t="s">
        <v>2115</v>
      </c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2102</v>
      </c>
      <c r="BB3" s="46" t="s">
        <v>2098</v>
      </c>
      <c r="BC3" s="46" t="s">
        <v>2098</v>
      </c>
      <c r="BD3" s="46" t="s">
        <v>2098</v>
      </c>
      <c r="BE3" s="46" t="s">
        <v>2098</v>
      </c>
      <c r="BG3" s="46" t="s">
        <v>2444</v>
      </c>
      <c r="BH3" s="46" t="s">
        <v>2444</v>
      </c>
    </row>
    <row r="4" spans="1:60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126</v>
      </c>
      <c r="U4" s="2" t="s">
        <v>126</v>
      </c>
      <c r="V4" s="2" t="s">
        <v>126</v>
      </c>
      <c r="X4" s="2" t="s">
        <v>109</v>
      </c>
      <c r="Y4" s="2" t="s">
        <v>111</v>
      </c>
      <c r="Z4" s="2" t="s">
        <v>152</v>
      </c>
      <c r="AA4" s="2" t="s">
        <v>112</v>
      </c>
      <c r="AB4" s="38" t="s">
        <v>87</v>
      </c>
      <c r="AC4" s="2" t="s">
        <v>87</v>
      </c>
      <c r="AM4" s="46"/>
      <c r="AN4" s="46" t="s">
        <v>131</v>
      </c>
      <c r="AO4" s="46" t="s">
        <v>111</v>
      </c>
      <c r="AP4" s="46" t="s">
        <v>112</v>
      </c>
      <c r="AQ4" s="46" t="s">
        <v>67</v>
      </c>
      <c r="AR4" s="46" t="s">
        <v>133</v>
      </c>
      <c r="AS4" s="3"/>
      <c r="AT4" s="139" t="s">
        <v>237</v>
      </c>
      <c r="AU4" s="3"/>
      <c r="AV4" s="46" t="s">
        <v>131</v>
      </c>
      <c r="AW4" s="46" t="s">
        <v>2097</v>
      </c>
      <c r="AX4" s="46" t="s">
        <v>67</v>
      </c>
      <c r="AY4" s="46" t="s">
        <v>133</v>
      </c>
      <c r="AZ4" s="46" t="s">
        <v>2097</v>
      </c>
      <c r="BA4" s="46" t="s">
        <v>1943</v>
      </c>
      <c r="BB4" s="46">
        <v>6588</v>
      </c>
      <c r="BC4" s="46" t="s">
        <v>2128</v>
      </c>
      <c r="BD4" s="46">
        <v>6671</v>
      </c>
      <c r="BE4" s="46" t="s">
        <v>293</v>
      </c>
      <c r="BG4" s="46" t="s">
        <v>131</v>
      </c>
      <c r="BH4" s="46" t="s">
        <v>2097</v>
      </c>
    </row>
    <row r="5" spans="1:60">
      <c r="A5">
        <v>1926</v>
      </c>
      <c r="AM5">
        <v>1926</v>
      </c>
      <c r="BG5" s="7"/>
      <c r="BH5" s="7"/>
    </row>
    <row r="6" spans="1:60">
      <c r="A6">
        <v>1927</v>
      </c>
      <c r="AM6">
        <v>1927</v>
      </c>
      <c r="BG6" s="7"/>
      <c r="BH6" s="7"/>
    </row>
    <row r="7" spans="1:60">
      <c r="A7">
        <v>1928</v>
      </c>
      <c r="AM7">
        <v>1928</v>
      </c>
      <c r="BG7" s="7"/>
      <c r="BH7" s="7"/>
    </row>
    <row r="8" spans="1:60">
      <c r="A8">
        <v>1929</v>
      </c>
      <c r="AM8">
        <v>1929</v>
      </c>
      <c r="BG8" s="7"/>
      <c r="BH8" s="7"/>
    </row>
    <row r="9" spans="1:60">
      <c r="A9">
        <v>1930</v>
      </c>
      <c r="AM9">
        <v>1930</v>
      </c>
      <c r="BG9" s="7"/>
      <c r="BH9" s="7"/>
    </row>
    <row r="10" spans="1:60">
      <c r="A10">
        <v>1931</v>
      </c>
      <c r="AM10">
        <v>1931</v>
      </c>
      <c r="BG10" s="7"/>
      <c r="BH10" s="7"/>
    </row>
    <row r="11" spans="1:60">
      <c r="A11">
        <v>1932</v>
      </c>
      <c r="AM11">
        <v>1932</v>
      </c>
      <c r="BG11" s="7"/>
      <c r="BH11" s="7"/>
    </row>
    <row r="12" spans="1:60">
      <c r="A12">
        <v>1933</v>
      </c>
      <c r="AM12">
        <v>1933</v>
      </c>
      <c r="BG12" s="7"/>
      <c r="BH12" s="7"/>
    </row>
    <row r="13" spans="1:60">
      <c r="A13">
        <v>1934</v>
      </c>
      <c r="AM13">
        <v>1934</v>
      </c>
      <c r="BG13" s="7"/>
      <c r="BH13" s="7"/>
    </row>
    <row r="14" spans="1:60">
      <c r="A14">
        <v>1935</v>
      </c>
      <c r="AM14">
        <v>1935</v>
      </c>
      <c r="BG14" s="7"/>
      <c r="BH14" s="7"/>
    </row>
    <row r="15" spans="1:60">
      <c r="A15">
        <v>1936</v>
      </c>
      <c r="AM15">
        <v>1936</v>
      </c>
      <c r="BG15" s="7"/>
      <c r="BH15" s="7"/>
    </row>
    <row r="16" spans="1:60">
      <c r="A16">
        <v>1937</v>
      </c>
      <c r="AM16">
        <v>1937</v>
      </c>
      <c r="BG16" s="7"/>
      <c r="BH16" s="7"/>
    </row>
    <row r="17" spans="1:60">
      <c r="A17">
        <v>1938</v>
      </c>
      <c r="AM17">
        <v>1938</v>
      </c>
      <c r="BG17" s="7"/>
      <c r="BH17" s="7"/>
    </row>
    <row r="18" spans="1:60">
      <c r="A18">
        <v>1939</v>
      </c>
      <c r="AM18">
        <v>1939</v>
      </c>
      <c r="BG18" s="7"/>
      <c r="BH18" s="7"/>
    </row>
    <row r="19" spans="1:60">
      <c r="A19">
        <v>1940</v>
      </c>
      <c r="AM19">
        <v>1940</v>
      </c>
      <c r="BG19" s="7"/>
      <c r="BH19" s="7"/>
    </row>
    <row r="20" spans="1:60">
      <c r="A20">
        <v>1941</v>
      </c>
      <c r="AM20">
        <v>1941</v>
      </c>
      <c r="BG20" s="7"/>
      <c r="BH20" s="7"/>
    </row>
    <row r="21" spans="1:60">
      <c r="A21">
        <v>1942</v>
      </c>
      <c r="AM21">
        <v>1942</v>
      </c>
      <c r="BG21" s="7"/>
      <c r="BH21" s="7"/>
    </row>
    <row r="22" spans="1:60">
      <c r="A22">
        <v>1943</v>
      </c>
      <c r="AM22">
        <v>1943</v>
      </c>
      <c r="BG22" s="7"/>
      <c r="BH22" s="7"/>
    </row>
    <row r="23" spans="1:60">
      <c r="A23">
        <v>1944</v>
      </c>
      <c r="AM23">
        <v>1944</v>
      </c>
      <c r="BG23" s="7"/>
      <c r="BH23" s="7"/>
    </row>
    <row r="24" spans="1:60">
      <c r="A24">
        <v>1945</v>
      </c>
      <c r="AM24">
        <v>1945</v>
      </c>
      <c r="BG24" s="7"/>
      <c r="BH24" s="7"/>
    </row>
    <row r="25" spans="1:60">
      <c r="A25">
        <v>1946</v>
      </c>
      <c r="AM25">
        <v>1946</v>
      </c>
      <c r="BG25" s="7"/>
      <c r="BH25" s="7"/>
    </row>
    <row r="26" spans="1:60">
      <c r="A26">
        <v>1947</v>
      </c>
      <c r="AM26">
        <v>1947</v>
      </c>
      <c r="BG26" s="7"/>
      <c r="BH26" s="7"/>
    </row>
    <row r="27" spans="1:60">
      <c r="A27">
        <v>1948</v>
      </c>
      <c r="AM27">
        <v>1948</v>
      </c>
      <c r="BG27" s="7"/>
      <c r="BH27" s="7"/>
    </row>
    <row r="28" spans="1:60">
      <c r="A28">
        <v>1949</v>
      </c>
      <c r="AM28">
        <v>1949</v>
      </c>
      <c r="BG28" s="7"/>
      <c r="BH28" s="7"/>
    </row>
    <row r="29" spans="1:60">
      <c r="A29">
        <v>1950</v>
      </c>
      <c r="AM29">
        <v>1950</v>
      </c>
      <c r="BG29" s="7"/>
      <c r="BH29" s="7"/>
    </row>
    <row r="30" spans="1:60">
      <c r="A30">
        <v>1951</v>
      </c>
      <c r="AM30">
        <v>1951</v>
      </c>
      <c r="BG30" s="7"/>
      <c r="BH30" s="7"/>
    </row>
    <row r="31" spans="1:60">
      <c r="A31">
        <v>1952</v>
      </c>
      <c r="AM31">
        <v>1952</v>
      </c>
      <c r="BG31" s="7"/>
      <c r="BH31" s="7"/>
    </row>
    <row r="32" spans="1:60">
      <c r="A32">
        <v>1953</v>
      </c>
      <c r="AM32">
        <v>1953</v>
      </c>
      <c r="BG32" s="7"/>
      <c r="BH32" s="7"/>
    </row>
    <row r="33" spans="1:61">
      <c r="A33">
        <v>1954</v>
      </c>
      <c r="AM33">
        <v>1954</v>
      </c>
      <c r="BG33" s="7"/>
      <c r="BH33" s="7"/>
    </row>
    <row r="34" spans="1:61">
      <c r="A34">
        <v>1955</v>
      </c>
      <c r="AM34">
        <v>1955</v>
      </c>
      <c r="BG34" s="7"/>
      <c r="BH34" s="7"/>
    </row>
    <row r="35" spans="1:61">
      <c r="A35">
        <v>1956</v>
      </c>
      <c r="AM35">
        <v>1956</v>
      </c>
      <c r="BG35" s="7"/>
      <c r="BH35" s="7"/>
    </row>
    <row r="36" spans="1:61">
      <c r="A36">
        <v>1957</v>
      </c>
      <c r="AM36">
        <v>1957</v>
      </c>
      <c r="BG36" s="7"/>
      <c r="BH36" s="7"/>
    </row>
    <row r="37" spans="1:61">
      <c r="A37">
        <v>1958</v>
      </c>
      <c r="AM37">
        <v>1958</v>
      </c>
      <c r="BG37" s="7"/>
      <c r="BH37" s="7"/>
    </row>
    <row r="38" spans="1:61">
      <c r="A38">
        <v>1959</v>
      </c>
      <c r="AM38">
        <v>1959</v>
      </c>
      <c r="BG38" s="7"/>
      <c r="BH38" s="7"/>
    </row>
    <row r="39" spans="1:61">
      <c r="A39">
        <v>1960</v>
      </c>
      <c r="AM39">
        <v>1960</v>
      </c>
      <c r="BG39" s="7"/>
      <c r="BH39" s="7"/>
    </row>
    <row r="40" spans="1:61">
      <c r="A40">
        <v>1961</v>
      </c>
      <c r="AM40">
        <v>1961</v>
      </c>
      <c r="BG40" s="7"/>
      <c r="BH40" s="7"/>
      <c r="BI40" t="s">
        <v>174</v>
      </c>
    </row>
    <row r="41" spans="1:61">
      <c r="A41">
        <v>1962</v>
      </c>
      <c r="AM41">
        <v>1962</v>
      </c>
      <c r="AV41" s="22"/>
      <c r="AW41" s="22"/>
      <c r="AX41" s="1"/>
      <c r="AY41" s="1"/>
      <c r="AZ41" s="1"/>
      <c r="BG41" s="22"/>
      <c r="BH41" s="22"/>
    </row>
    <row r="42" spans="1:61">
      <c r="A42">
        <v>1963</v>
      </c>
      <c r="AM42" s="46" t="s">
        <v>2103</v>
      </c>
      <c r="AN42" s="46" t="s">
        <v>1703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3"/>
      <c r="AT42" s="46"/>
      <c r="AU42" s="3"/>
      <c r="AV42" s="46" t="s">
        <v>2115</v>
      </c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2102</v>
      </c>
      <c r="BB42" s="46" t="s">
        <v>2098</v>
      </c>
      <c r="BC42" s="46" t="s">
        <v>2098</v>
      </c>
      <c r="BD42" s="46" t="s">
        <v>2098</v>
      </c>
      <c r="BE42" s="46" t="s">
        <v>2098</v>
      </c>
      <c r="BG42" s="46" t="s">
        <v>2444</v>
      </c>
      <c r="BH42" s="46" t="s">
        <v>2444</v>
      </c>
    </row>
    <row r="43" spans="1:61">
      <c r="A43">
        <v>1964</v>
      </c>
      <c r="AM43" s="46"/>
      <c r="AN43" s="46" t="s">
        <v>131</v>
      </c>
      <c r="AO43" s="46" t="s">
        <v>111</v>
      </c>
      <c r="AP43" s="46" t="s">
        <v>112</v>
      </c>
      <c r="AQ43" s="46" t="s">
        <v>67</v>
      </c>
      <c r="AR43" s="46" t="s">
        <v>133</v>
      </c>
      <c r="AS43" s="3"/>
      <c r="AT43" s="139" t="s">
        <v>237</v>
      </c>
      <c r="AU43" s="3"/>
      <c r="AV43" s="46" t="s">
        <v>131</v>
      </c>
      <c r="AW43" s="46" t="s">
        <v>2097</v>
      </c>
      <c r="AX43" s="46" t="s">
        <v>67</v>
      </c>
      <c r="AY43" s="46" t="s">
        <v>133</v>
      </c>
      <c r="AZ43" s="46" t="s">
        <v>2097</v>
      </c>
      <c r="BA43" s="46" t="s">
        <v>1943</v>
      </c>
      <c r="BB43" s="46">
        <v>6588</v>
      </c>
      <c r="BC43" s="46" t="s">
        <v>2128</v>
      </c>
      <c r="BD43" s="46">
        <v>6671</v>
      </c>
      <c r="BE43" s="46" t="s">
        <v>293</v>
      </c>
      <c r="BG43" s="46" t="s">
        <v>131</v>
      </c>
      <c r="BH43" s="46" t="s">
        <v>2097</v>
      </c>
    </row>
    <row r="44" spans="1:61">
      <c r="A44">
        <v>1965</v>
      </c>
      <c r="B44" s="3">
        <f t="shared" ref="B44:B88" si="0">I44/G44*100/C44*100</f>
        <v>96.133662465738723</v>
      </c>
      <c r="C44" s="3">
        <f t="shared" ref="C44:C87" si="1">E44/E$89*100</f>
        <v>14.459024846529534</v>
      </c>
      <c r="D44" s="2">
        <v>67.173400000000001</v>
      </c>
      <c r="E44" s="2">
        <v>20.692699999999999</v>
      </c>
      <c r="F44" s="2">
        <f>D44*E44/100</f>
        <v>13.899990141799998</v>
      </c>
      <c r="G44" s="2">
        <v>1.6426843822463031</v>
      </c>
      <c r="H44" s="2">
        <f>F44*G44/100</f>
        <v>0.22833296719312432</v>
      </c>
      <c r="I44" s="32">
        <f t="shared" ref="I44:I73" si="2">H44</f>
        <v>0.22833296719312432</v>
      </c>
      <c r="J44" s="32">
        <f t="shared" ref="J44:J89" si="3">Q44+AB44</f>
        <v>0.23936336845055919</v>
      </c>
      <c r="P44" s="32">
        <f t="shared" ref="P44:P78" si="4">I44-AB44</f>
        <v>8.8593191270932237E-2</v>
      </c>
      <c r="Q44" s="32">
        <f t="shared" ref="Q44:Q88" si="5">Q$92+Q$93*S44+Q$94*T44+Q$95*U44+Q$96*V44</f>
        <v>9.9623592528367111E-2</v>
      </c>
      <c r="S44" s="2">
        <f>USA!Z52*G44</f>
        <v>5.4208584614127995</v>
      </c>
      <c r="T44" s="2">
        <v>1</v>
      </c>
      <c r="U44" s="2">
        <v>0</v>
      </c>
      <c r="V44" s="2">
        <v>0</v>
      </c>
      <c r="X44" s="2">
        <v>0.61199999999999999</v>
      </c>
      <c r="Y44" s="2">
        <f t="shared" ref="Y44:Y68" si="6">AB44-AA44</f>
        <v>0.13973977592219208</v>
      </c>
      <c r="Z44" s="2">
        <v>0</v>
      </c>
      <c r="AA44" s="2">
        <f>Z44*(I44*(1/(1+Z44)))</f>
        <v>0</v>
      </c>
      <c r="AB44" s="2">
        <f>I44*X44</f>
        <v>0.13973977592219208</v>
      </c>
      <c r="AG44" s="2">
        <v>0.18</v>
      </c>
      <c r="AM44">
        <v>1965</v>
      </c>
      <c r="AN44" s="1">
        <f>I44</f>
        <v>0.22833296719312432</v>
      </c>
      <c r="AO44" s="1">
        <f>Y44</f>
        <v>0.13973977592219208</v>
      </c>
      <c r="AP44" s="1">
        <f>AA44</f>
        <v>0</v>
      </c>
      <c r="AQ44" s="1">
        <f>AB44</f>
        <v>0.13973977592219208</v>
      </c>
      <c r="AR44" s="22">
        <f t="shared" ref="AR44:AR75" si="7">AN44-AQ44</f>
        <v>8.8593191270932237E-2</v>
      </c>
      <c r="AT44" s="7">
        <v>19.80943053113025</v>
      </c>
      <c r="AV44" s="22">
        <f t="shared" ref="AV44:AV75" si="8">AN44/$AT44*100</f>
        <v>1.1526478100130249</v>
      </c>
      <c r="AW44" s="22">
        <f>AZ44+AX44</f>
        <v>1.163395103298061</v>
      </c>
      <c r="AX44" s="1">
        <f t="shared" ref="AX44:AX89" si="9">AQ44/$AT44*100</f>
        <v>0.70542045972797118</v>
      </c>
      <c r="AY44" s="1">
        <f t="shared" ref="AY44:AY51" si="10">AV44-AX44</f>
        <v>0.44722735028505367</v>
      </c>
      <c r="AZ44" s="1">
        <f t="shared" ref="AZ44:AZ75" si="11">AW$99+AW$100*BA44+AW$101*BB44+AW$102*BC44+AW$103*BD44+AW$104*BE44</f>
        <v>0.45797464357008982</v>
      </c>
      <c r="BA44" s="3">
        <f t="shared" ref="BA44:BA75" si="12">S44/AT44*100</f>
        <v>27.365039357865406</v>
      </c>
      <c r="BB44" s="23">
        <v>0.4</v>
      </c>
      <c r="BC44" s="12">
        <v>0</v>
      </c>
      <c r="BD44" s="12">
        <v>0</v>
      </c>
      <c r="BE44" s="12">
        <v>0</v>
      </c>
      <c r="BG44" s="22">
        <f t="shared" ref="BG44:BG96" si="13">AV44*$AT$97/$AT$89</f>
        <v>1.3001282765579227</v>
      </c>
      <c r="BH44" s="22">
        <f t="shared" ref="BH44:BH96" si="14">AW44*$AT$97/$AT$89</f>
        <v>1.3122506783661374</v>
      </c>
    </row>
    <row r="45" spans="1:61">
      <c r="A45">
        <v>1966</v>
      </c>
      <c r="B45" s="3">
        <f t="shared" si="0"/>
        <v>98.714127453248253</v>
      </c>
      <c r="C45" s="3">
        <f t="shared" si="1"/>
        <v>14.891495218110531</v>
      </c>
      <c r="D45" s="2">
        <v>68.976500000000001</v>
      </c>
      <c r="E45" s="2">
        <v>21.311620000000001</v>
      </c>
      <c r="F45" s="2">
        <f t="shared" ref="F45:F78" si="15">D45*E45/100</f>
        <v>14.700009569300001</v>
      </c>
      <c r="G45" s="2">
        <v>1.6426843822463031</v>
      </c>
      <c r="H45" s="2">
        <f t="shared" ref="H45:H78" si="16">F45*G45/100</f>
        <v>0.24147476138360313</v>
      </c>
      <c r="I45" s="32">
        <f t="shared" si="2"/>
        <v>0.24147476138360313</v>
      </c>
      <c r="J45" s="32">
        <f t="shared" si="3"/>
        <v>0.25247711648418791</v>
      </c>
      <c r="P45" s="32">
        <f t="shared" si="4"/>
        <v>8.8621237427782357E-2</v>
      </c>
      <c r="Q45" s="32">
        <f t="shared" si="5"/>
        <v>9.9623592528367111E-2</v>
      </c>
      <c r="S45" s="2">
        <f>USA!Z53*G45</f>
        <v>5.4208584614127995</v>
      </c>
      <c r="T45" s="2">
        <v>1</v>
      </c>
      <c r="U45" s="2">
        <v>0</v>
      </c>
      <c r="V45" s="2">
        <v>0</v>
      </c>
      <c r="X45" s="2">
        <f>(X44+X46)/2</f>
        <v>0.63300000000000001</v>
      </c>
      <c r="Y45" s="2">
        <f t="shared" si="6"/>
        <v>0.15285352395582077</v>
      </c>
      <c r="Z45" s="2">
        <v>0</v>
      </c>
      <c r="AA45" s="2">
        <f t="shared" ref="AA45:AA96" si="17">Z45*(I45*(1/(1+Z45)))</f>
        <v>0</v>
      </c>
      <c r="AB45" s="2">
        <f t="shared" ref="AB45:AB68" si="18">I45*X45</f>
        <v>0.15285352395582077</v>
      </c>
      <c r="AG45" s="2">
        <v>0.18</v>
      </c>
      <c r="AM45">
        <v>1966</v>
      </c>
      <c r="AN45" s="1">
        <f t="shared" ref="AN45:AN89" si="19">I45</f>
        <v>0.24147476138360313</v>
      </c>
      <c r="AO45" s="1">
        <f t="shared" ref="AO45:AO96" si="20">Y45</f>
        <v>0.15285352395582077</v>
      </c>
      <c r="AP45" s="1">
        <f t="shared" ref="AP45:AP96" si="21">AA45</f>
        <v>0</v>
      </c>
      <c r="AQ45" s="1">
        <f t="shared" ref="AQ45:AQ76" si="22">AB45</f>
        <v>0.15285352395582077</v>
      </c>
      <c r="AR45" s="22">
        <f t="shared" si="7"/>
        <v>8.8621237427782357E-2</v>
      </c>
      <c r="AT45" s="7">
        <v>20.950877849631027</v>
      </c>
      <c r="AV45" s="22">
        <f t="shared" si="8"/>
        <v>1.15257586396484</v>
      </c>
      <c r="AW45" s="22">
        <f t="shared" ref="AW45:AW89" si="23">AZ45+AX45</f>
        <v>1.1542792565481503</v>
      </c>
      <c r="AX45" s="1">
        <f t="shared" si="9"/>
        <v>0.72958052188974376</v>
      </c>
      <c r="AY45" s="1">
        <f t="shared" si="10"/>
        <v>0.42299534207509626</v>
      </c>
      <c r="AZ45" s="1">
        <f t="shared" si="11"/>
        <v>0.42469873465840657</v>
      </c>
      <c r="BA45" s="3">
        <f t="shared" si="12"/>
        <v>25.874135204832328</v>
      </c>
      <c r="BB45" s="23">
        <v>0.4</v>
      </c>
      <c r="BC45" s="12">
        <v>0</v>
      </c>
      <c r="BD45" s="23">
        <v>0.15</v>
      </c>
      <c r="BE45" s="12">
        <v>0</v>
      </c>
      <c r="BG45" s="22">
        <f t="shared" si="13"/>
        <v>1.3000471250641021</v>
      </c>
      <c r="BH45" s="22">
        <f t="shared" si="14"/>
        <v>1.3019684655155412</v>
      </c>
    </row>
    <row r="46" spans="1:61">
      <c r="A46">
        <v>1967</v>
      </c>
      <c r="B46" s="3">
        <f t="shared" si="0"/>
        <v>98.661748207203743</v>
      </c>
      <c r="C46" s="3">
        <f t="shared" si="1"/>
        <v>15.30482682623647</v>
      </c>
      <c r="D46" s="2">
        <v>68.939899999999994</v>
      </c>
      <c r="E46" s="2">
        <v>21.90315</v>
      </c>
      <c r="F46" s="2">
        <f t="shared" si="15"/>
        <v>15.100009706849999</v>
      </c>
      <c r="G46" s="2">
        <v>1.6426843822463031</v>
      </c>
      <c r="H46" s="2">
        <f t="shared" si="16"/>
        <v>0.2480455011721007</v>
      </c>
      <c r="I46" s="32">
        <f t="shared" si="2"/>
        <v>0.2480455011721007</v>
      </c>
      <c r="J46" s="32">
        <f t="shared" si="3"/>
        <v>0.26184535029492095</v>
      </c>
      <c r="P46" s="32">
        <f t="shared" si="4"/>
        <v>8.5823743405546826E-2</v>
      </c>
      <c r="Q46" s="32">
        <f t="shared" si="5"/>
        <v>9.9623592528367111E-2</v>
      </c>
      <c r="S46" s="2">
        <f>USA!Z54*G46</f>
        <v>5.4208584614127995</v>
      </c>
      <c r="T46" s="2">
        <v>1</v>
      </c>
      <c r="U46" s="2">
        <v>0</v>
      </c>
      <c r="V46" s="2">
        <v>0</v>
      </c>
      <c r="X46" s="2">
        <v>0.65400000000000003</v>
      </c>
      <c r="Y46" s="2">
        <f t="shared" si="6"/>
        <v>0.16222175776655387</v>
      </c>
      <c r="Z46" s="2">
        <v>0</v>
      </c>
      <c r="AA46" s="2">
        <f t="shared" si="17"/>
        <v>0</v>
      </c>
      <c r="AB46" s="2">
        <f t="shared" si="18"/>
        <v>0.16222175776655387</v>
      </c>
      <c r="AG46" s="2">
        <v>0.18</v>
      </c>
      <c r="AM46">
        <v>1967</v>
      </c>
      <c r="AN46" s="1">
        <f t="shared" si="19"/>
        <v>0.2480455011721007</v>
      </c>
      <c r="AO46" s="1">
        <f t="shared" si="20"/>
        <v>0.16222175776655387</v>
      </c>
      <c r="AP46" s="1">
        <f t="shared" si="21"/>
        <v>0</v>
      </c>
      <c r="AQ46" s="1">
        <f t="shared" si="22"/>
        <v>0.16222175776655387</v>
      </c>
      <c r="AR46" s="22">
        <f t="shared" si="7"/>
        <v>8.5823743405546826E-2</v>
      </c>
      <c r="AT46" s="7">
        <v>21.674800026741462</v>
      </c>
      <c r="AV46" s="22">
        <f t="shared" si="8"/>
        <v>1.1443958000353982</v>
      </c>
      <c r="AW46" s="22">
        <f t="shared" si="23"/>
        <v>1.1352798892104863</v>
      </c>
      <c r="AX46" s="1">
        <f t="shared" si="9"/>
        <v>0.74843485322315062</v>
      </c>
      <c r="AY46" s="1">
        <f t="shared" si="10"/>
        <v>0.39596094681224758</v>
      </c>
      <c r="AZ46" s="1">
        <f t="shared" si="11"/>
        <v>0.38684503598733561</v>
      </c>
      <c r="BA46" s="3">
        <f t="shared" si="12"/>
        <v>25.009958360514378</v>
      </c>
      <c r="BB46" s="23">
        <v>0.4</v>
      </c>
      <c r="BC46" s="12">
        <v>0</v>
      </c>
      <c r="BD46" s="23">
        <v>0.35</v>
      </c>
      <c r="BE46" s="12">
        <v>0</v>
      </c>
      <c r="BG46" s="22">
        <f t="shared" si="13"/>
        <v>1.2908204277795265</v>
      </c>
      <c r="BH46" s="22">
        <f t="shared" si="14"/>
        <v>1.2805381426555786</v>
      </c>
    </row>
    <row r="47" spans="1:61">
      <c r="A47">
        <v>1968</v>
      </c>
      <c r="B47" s="3">
        <f t="shared" si="0"/>
        <v>97.803501380622052</v>
      </c>
      <c r="C47" s="3">
        <f t="shared" si="1"/>
        <v>15.950346083448959</v>
      </c>
      <c r="D47" s="2">
        <v>68.340199999999996</v>
      </c>
      <c r="E47" s="2">
        <v>22.826969999999999</v>
      </c>
      <c r="F47" s="2">
        <f t="shared" si="15"/>
        <v>15.59999695194</v>
      </c>
      <c r="G47" s="2">
        <v>1.6426843822463031</v>
      </c>
      <c r="H47" s="2">
        <f t="shared" si="16"/>
        <v>0.25625871356041768</v>
      </c>
      <c r="I47" s="32">
        <f t="shared" si="2"/>
        <v>0.25625871356041768</v>
      </c>
      <c r="J47" s="32">
        <f t="shared" si="3"/>
        <v>0.28438612500542826</v>
      </c>
      <c r="P47" s="32">
        <f t="shared" si="4"/>
        <v>7.1496181083356536E-2</v>
      </c>
      <c r="Q47" s="32">
        <f t="shared" si="5"/>
        <v>9.9623592528367111E-2</v>
      </c>
      <c r="S47" s="2">
        <f>USA!Z55*G47</f>
        <v>5.4208584614127995</v>
      </c>
      <c r="T47" s="2">
        <v>1</v>
      </c>
      <c r="U47" s="2">
        <v>0</v>
      </c>
      <c r="V47" s="2">
        <v>0</v>
      </c>
      <c r="X47" s="2">
        <v>0.72099999999999997</v>
      </c>
      <c r="Y47" s="2">
        <f t="shared" si="6"/>
        <v>0.18476253247706115</v>
      </c>
      <c r="Z47" s="2">
        <v>0</v>
      </c>
      <c r="AA47" s="2">
        <f t="shared" si="17"/>
        <v>0</v>
      </c>
      <c r="AB47" s="2">
        <f t="shared" si="18"/>
        <v>0.18476253247706115</v>
      </c>
      <c r="AG47" s="2">
        <v>0.18</v>
      </c>
      <c r="AM47">
        <v>1968</v>
      </c>
      <c r="AN47" s="1">
        <f t="shared" si="19"/>
        <v>0.25625871356041768</v>
      </c>
      <c r="AO47" s="1">
        <f t="shared" si="20"/>
        <v>0.18476253247706115</v>
      </c>
      <c r="AP47" s="1">
        <f t="shared" si="21"/>
        <v>0</v>
      </c>
      <c r="AQ47" s="1">
        <f t="shared" si="22"/>
        <v>0.18476253247706115</v>
      </c>
      <c r="AR47" s="22">
        <f t="shared" si="7"/>
        <v>7.1496181083356536E-2</v>
      </c>
      <c r="AT47" s="7">
        <v>22.481274685648458</v>
      </c>
      <c r="AV47" s="22">
        <f t="shared" si="8"/>
        <v>1.1398762621054024</v>
      </c>
      <c r="AW47" s="22">
        <f t="shared" si="23"/>
        <v>1.15422877404849</v>
      </c>
      <c r="AX47" s="1">
        <f t="shared" si="9"/>
        <v>0.82185078497799513</v>
      </c>
      <c r="AY47" s="1">
        <f t="shared" si="10"/>
        <v>0.31802547712740725</v>
      </c>
      <c r="AZ47" s="1">
        <f t="shared" si="11"/>
        <v>0.33237798907049498</v>
      </c>
      <c r="BA47" s="3">
        <f t="shared" si="12"/>
        <v>24.112771794356277</v>
      </c>
      <c r="BB47" s="23">
        <v>0.4</v>
      </c>
      <c r="BC47" s="12">
        <v>0</v>
      </c>
      <c r="BD47" s="23">
        <v>0.65</v>
      </c>
      <c r="BE47" s="12">
        <v>0</v>
      </c>
      <c r="BG47" s="22">
        <f t="shared" si="13"/>
        <v>1.2857226181895383</v>
      </c>
      <c r="BH47" s="22">
        <f t="shared" si="14"/>
        <v>1.3019115238159955</v>
      </c>
    </row>
    <row r="48" spans="1:61">
      <c r="A48">
        <v>1969</v>
      </c>
      <c r="B48" s="3">
        <f t="shared" si="0"/>
        <v>93.374449723284968</v>
      </c>
      <c r="C48" s="3">
        <f t="shared" si="1"/>
        <v>16.814008114047141</v>
      </c>
      <c r="D48" s="2">
        <v>65.245400000000004</v>
      </c>
      <c r="E48" s="2">
        <v>24.06298</v>
      </c>
      <c r="F48" s="2">
        <f t="shared" si="15"/>
        <v>15.699987552920001</v>
      </c>
      <c r="G48" s="2">
        <v>1.6426843822463031</v>
      </c>
      <c r="H48" s="2">
        <f t="shared" si="16"/>
        <v>0.2579012435464304</v>
      </c>
      <c r="I48" s="32">
        <f t="shared" si="2"/>
        <v>0.2579012435464304</v>
      </c>
      <c r="J48" s="32">
        <f t="shared" si="3"/>
        <v>0.29201792021400419</v>
      </c>
      <c r="P48" s="32">
        <f t="shared" si="4"/>
        <v>6.5506915860793324E-2</v>
      </c>
      <c r="Q48" s="32">
        <f t="shared" si="5"/>
        <v>9.9623592528367111E-2</v>
      </c>
      <c r="S48" s="2">
        <f>USA!Z56*G48</f>
        <v>5.4208584614127995</v>
      </c>
      <c r="T48" s="2">
        <v>1</v>
      </c>
      <c r="U48" s="2">
        <v>0</v>
      </c>
      <c r="V48" s="2">
        <v>0</v>
      </c>
      <c r="X48" s="2">
        <v>0.746</v>
      </c>
      <c r="Y48" s="2">
        <f t="shared" si="6"/>
        <v>0.15305346002601211</v>
      </c>
      <c r="Z48" s="2">
        <v>0.18</v>
      </c>
      <c r="AA48" s="2">
        <f t="shared" si="17"/>
        <v>3.9340867659624974E-2</v>
      </c>
      <c r="AB48" s="2">
        <f t="shared" si="18"/>
        <v>0.19239432768563708</v>
      </c>
      <c r="AG48" s="2">
        <v>0.18</v>
      </c>
      <c r="AM48">
        <v>1969</v>
      </c>
      <c r="AN48" s="1">
        <f t="shared" si="19"/>
        <v>0.2579012435464304</v>
      </c>
      <c r="AO48" s="1">
        <f t="shared" si="20"/>
        <v>0.15305346002601211</v>
      </c>
      <c r="AP48" s="1">
        <f t="shared" si="21"/>
        <v>3.9340867659624974E-2</v>
      </c>
      <c r="AQ48" s="1">
        <f t="shared" si="22"/>
        <v>0.19239432768563708</v>
      </c>
      <c r="AR48" s="22">
        <f t="shared" si="7"/>
        <v>6.5506915860793324E-2</v>
      </c>
      <c r="AT48" s="7">
        <v>24.149788131765938</v>
      </c>
      <c r="AV48" s="22">
        <f t="shared" si="8"/>
        <v>1.0679234208568251</v>
      </c>
      <c r="AW48" s="22">
        <f t="shared" si="23"/>
        <v>1.0619141834609063</v>
      </c>
      <c r="AX48" s="1">
        <f t="shared" si="9"/>
        <v>0.79667087195919173</v>
      </c>
      <c r="AY48" s="1">
        <f t="shared" si="10"/>
        <v>0.27125254889763339</v>
      </c>
      <c r="AZ48" s="1">
        <f t="shared" si="11"/>
        <v>0.26524331150171465</v>
      </c>
      <c r="BA48" s="3">
        <f t="shared" si="12"/>
        <v>22.446815814016844</v>
      </c>
      <c r="BB48" s="23">
        <v>0.4</v>
      </c>
      <c r="BC48" s="12">
        <v>0</v>
      </c>
      <c r="BD48" s="23">
        <v>1</v>
      </c>
      <c r="BE48" s="12">
        <v>0</v>
      </c>
      <c r="BG48" s="22">
        <f t="shared" si="13"/>
        <v>1.2045634621374381</v>
      </c>
      <c r="BH48" s="22">
        <f t="shared" si="14"/>
        <v>1.1977853470956066</v>
      </c>
    </row>
    <row r="49" spans="1:60">
      <c r="A49">
        <v>1970</v>
      </c>
      <c r="B49" s="3">
        <f t="shared" si="0"/>
        <v>98.285648047080912</v>
      </c>
      <c r="C49" s="3">
        <f t="shared" si="1"/>
        <v>17.805240938511318</v>
      </c>
      <c r="D49" s="2">
        <v>68.677099999999996</v>
      </c>
      <c r="E49" s="2">
        <v>25.481560000000002</v>
      </c>
      <c r="F49" s="2">
        <f t="shared" si="15"/>
        <v>17.499996442760001</v>
      </c>
      <c r="G49" s="2">
        <v>1.6426843822463031</v>
      </c>
      <c r="H49" s="2">
        <f t="shared" si="16"/>
        <v>0.28746970845887715</v>
      </c>
      <c r="I49" s="32">
        <f t="shared" si="2"/>
        <v>0.28746970845887715</v>
      </c>
      <c r="J49" s="32">
        <f t="shared" si="3"/>
        <v>0.31442764376043331</v>
      </c>
      <c r="P49" s="32">
        <f t="shared" si="4"/>
        <v>7.3304775657013682E-2</v>
      </c>
      <c r="Q49" s="32">
        <f t="shared" si="5"/>
        <v>0.10026271095856984</v>
      </c>
      <c r="S49" s="2">
        <f>USA!Z57*G49</f>
        <v>5.5029926805251153</v>
      </c>
      <c r="T49" s="2">
        <v>1</v>
      </c>
      <c r="U49" s="2">
        <v>0</v>
      </c>
      <c r="V49" s="2">
        <v>0</v>
      </c>
      <c r="X49" s="2">
        <v>0.745</v>
      </c>
      <c r="Y49" s="2">
        <f t="shared" si="6"/>
        <v>0.17031362134203476</v>
      </c>
      <c r="Z49" s="2">
        <v>0.18</v>
      </c>
      <c r="AA49" s="2">
        <f t="shared" si="17"/>
        <v>4.3851311459828721E-2</v>
      </c>
      <c r="AB49" s="2">
        <f t="shared" si="18"/>
        <v>0.21416493280186347</v>
      </c>
      <c r="AG49" s="2">
        <v>0.18</v>
      </c>
      <c r="AM49">
        <v>1970</v>
      </c>
      <c r="AN49" s="1">
        <f t="shared" si="19"/>
        <v>0.28746970845887715</v>
      </c>
      <c r="AO49" s="1">
        <f t="shared" si="20"/>
        <v>0.17031362134203476</v>
      </c>
      <c r="AP49" s="1">
        <f t="shared" si="21"/>
        <v>4.3851311459828721E-2</v>
      </c>
      <c r="AQ49" s="1">
        <f t="shared" si="22"/>
        <v>0.21416493280186347</v>
      </c>
      <c r="AR49" s="22">
        <f t="shared" si="7"/>
        <v>7.3304775657013682E-2</v>
      </c>
      <c r="AT49" s="7">
        <v>25.03582429699204</v>
      </c>
      <c r="AV49" s="22">
        <f t="shared" si="8"/>
        <v>1.1482334475937968</v>
      </c>
      <c r="AW49" s="22">
        <f t="shared" si="23"/>
        <v>1.1426067747505848</v>
      </c>
      <c r="AX49" s="1">
        <f t="shared" si="9"/>
        <v>0.85543391845737859</v>
      </c>
      <c r="AY49" s="1">
        <f t="shared" si="10"/>
        <v>0.29279952913641816</v>
      </c>
      <c r="AZ49" s="1">
        <f t="shared" si="11"/>
        <v>0.28717285629320616</v>
      </c>
      <c r="BA49" s="3">
        <f t="shared" si="12"/>
        <v>21.980473321928045</v>
      </c>
      <c r="BB49" s="23">
        <v>0.4</v>
      </c>
      <c r="BC49" s="12">
        <v>0</v>
      </c>
      <c r="BD49" s="23">
        <v>0.85</v>
      </c>
      <c r="BE49" s="12">
        <v>0</v>
      </c>
      <c r="BG49" s="22">
        <f t="shared" si="13"/>
        <v>1.295149099610414</v>
      </c>
      <c r="BH49" s="22">
        <f t="shared" si="14"/>
        <v>1.2888024979834023</v>
      </c>
    </row>
    <row r="50" spans="1:60">
      <c r="A50">
        <v>1971</v>
      </c>
      <c r="B50" s="3">
        <f t="shared" si="0"/>
        <v>116.89902815580912</v>
      </c>
      <c r="C50" s="3">
        <f t="shared" si="1"/>
        <v>18.563021376325832</v>
      </c>
      <c r="D50" s="2">
        <v>81.683199999999999</v>
      </c>
      <c r="E50" s="2">
        <v>26.566040000000001</v>
      </c>
      <c r="F50" s="2">
        <f t="shared" si="15"/>
        <v>21.699991585279999</v>
      </c>
      <c r="G50" s="2">
        <v>1.5893334422405849</v>
      </c>
      <c r="H50" s="2">
        <f t="shared" si="16"/>
        <v>0.34488522322824794</v>
      </c>
      <c r="I50" s="32">
        <f t="shared" si="2"/>
        <v>0.34488522322824794</v>
      </c>
      <c r="J50" s="32">
        <f t="shared" si="3"/>
        <v>0.35185576602213142</v>
      </c>
      <c r="P50" s="32">
        <f t="shared" si="4"/>
        <v>9.4498551164539923E-2</v>
      </c>
      <c r="Q50" s="32">
        <f t="shared" si="5"/>
        <v>0.10146909395842343</v>
      </c>
      <c r="S50" s="2">
        <f>USA!Z58*G50</f>
        <v>5.6580270543764826</v>
      </c>
      <c r="T50" s="2">
        <v>1</v>
      </c>
      <c r="U50" s="2">
        <v>0</v>
      </c>
      <c r="V50" s="2">
        <v>0</v>
      </c>
      <c r="X50" s="2">
        <v>0.72599999999999998</v>
      </c>
      <c r="Y50" s="2">
        <f t="shared" si="6"/>
        <v>0.19777706174075493</v>
      </c>
      <c r="Z50" s="2">
        <v>0.18</v>
      </c>
      <c r="AA50" s="2">
        <f t="shared" si="17"/>
        <v>5.2609610322953082E-2</v>
      </c>
      <c r="AB50" s="2">
        <f t="shared" si="18"/>
        <v>0.25038667206370802</v>
      </c>
      <c r="AG50" s="2">
        <v>0.18</v>
      </c>
      <c r="AM50">
        <v>1971</v>
      </c>
      <c r="AN50" s="1">
        <f t="shared" si="19"/>
        <v>0.34488522322824794</v>
      </c>
      <c r="AO50" s="1">
        <f t="shared" si="20"/>
        <v>0.19777706174075493</v>
      </c>
      <c r="AP50" s="1">
        <f t="shared" si="21"/>
        <v>5.2609610322953082E-2</v>
      </c>
      <c r="AQ50" s="1">
        <f t="shared" si="22"/>
        <v>0.25038667206370802</v>
      </c>
      <c r="AR50" s="22">
        <f t="shared" si="7"/>
        <v>9.4498551164539923E-2</v>
      </c>
      <c r="AT50" s="7">
        <v>26.907924875791053</v>
      </c>
      <c r="AV50" s="22">
        <f t="shared" si="8"/>
        <v>1.2817235993494978</v>
      </c>
      <c r="AW50" s="22">
        <f t="shared" si="23"/>
        <v>1.2942888463519679</v>
      </c>
      <c r="AX50" s="1">
        <f t="shared" si="9"/>
        <v>0.93053133312773539</v>
      </c>
      <c r="AY50" s="1">
        <f t="shared" si="10"/>
        <v>0.35119226622176236</v>
      </c>
      <c r="AZ50" s="1">
        <f t="shared" si="11"/>
        <v>0.36375751322423255</v>
      </c>
      <c r="BA50" s="3">
        <f t="shared" si="12"/>
        <v>21.027363055658689</v>
      </c>
      <c r="BB50" s="23">
        <v>0.4</v>
      </c>
      <c r="BC50" s="12">
        <v>0</v>
      </c>
      <c r="BD50" s="23">
        <v>0.35</v>
      </c>
      <c r="BE50" s="12">
        <v>0</v>
      </c>
      <c r="BG50" s="22">
        <f t="shared" si="13"/>
        <v>1.4457192212312011</v>
      </c>
      <c r="BH50" s="22">
        <f t="shared" si="14"/>
        <v>1.4598921826405162</v>
      </c>
    </row>
    <row r="51" spans="1:60">
      <c r="A51">
        <v>1972</v>
      </c>
      <c r="B51" s="3">
        <f t="shared" si="0"/>
        <v>121.08478823315814</v>
      </c>
      <c r="C51" s="3">
        <f t="shared" si="1"/>
        <v>19.17664269444656</v>
      </c>
      <c r="D51" s="2">
        <v>84.608000000000004</v>
      </c>
      <c r="E51" s="2">
        <v>27.444210000000002</v>
      </c>
      <c r="F51" s="2">
        <f t="shared" si="15"/>
        <v>23.219997196800005</v>
      </c>
      <c r="G51" s="2">
        <v>1.4564076035413009</v>
      </c>
      <c r="H51" s="2">
        <f t="shared" si="16"/>
        <v>0.33817780471627223</v>
      </c>
      <c r="I51" s="32">
        <f t="shared" si="2"/>
        <v>0.33817780471627223</v>
      </c>
      <c r="J51" s="32">
        <f t="shared" si="3"/>
        <v>0.35383265687236254</v>
      </c>
      <c r="P51" s="32">
        <f t="shared" si="4"/>
        <v>0.13358023286292753</v>
      </c>
      <c r="Q51" s="32">
        <f t="shared" si="5"/>
        <v>0.14923508501901783</v>
      </c>
      <c r="S51" s="2">
        <f>USA!Z59*G51</f>
        <v>5.184811068607031</v>
      </c>
      <c r="T51" s="2">
        <v>0</v>
      </c>
      <c r="U51" s="2">
        <v>0</v>
      </c>
      <c r="V51" s="2">
        <v>0</v>
      </c>
      <c r="X51" s="2">
        <v>0.60499999999999998</v>
      </c>
      <c r="Y51" s="2">
        <f t="shared" si="6"/>
        <v>0.15301112706611675</v>
      </c>
      <c r="Z51" s="2">
        <v>0.18</v>
      </c>
      <c r="AA51" s="2">
        <f t="shared" si="17"/>
        <v>5.1586444787227966E-2</v>
      </c>
      <c r="AB51" s="2">
        <f t="shared" si="18"/>
        <v>0.20459757185334471</v>
      </c>
      <c r="AG51" s="2">
        <v>0.18</v>
      </c>
      <c r="AM51">
        <v>1972</v>
      </c>
      <c r="AN51" s="1">
        <f t="shared" si="19"/>
        <v>0.33817780471627223</v>
      </c>
      <c r="AO51" s="1">
        <f t="shared" si="20"/>
        <v>0.15301112706611675</v>
      </c>
      <c r="AP51" s="1">
        <f t="shared" si="21"/>
        <v>5.1586444787227966E-2</v>
      </c>
      <c r="AQ51" s="1">
        <f t="shared" si="22"/>
        <v>0.20459757185334471</v>
      </c>
      <c r="AR51" s="22">
        <f t="shared" si="7"/>
        <v>0.13358023286292753</v>
      </c>
      <c r="AT51" s="7">
        <v>29.007495899840777</v>
      </c>
      <c r="AV51" s="22">
        <f t="shared" si="8"/>
        <v>1.1658290184163347</v>
      </c>
      <c r="AW51" s="22">
        <f t="shared" si="23"/>
        <v>1.1082808737875962</v>
      </c>
      <c r="AX51" s="1">
        <f t="shared" si="9"/>
        <v>0.70532655614188244</v>
      </c>
      <c r="AY51" s="1">
        <f t="shared" si="10"/>
        <v>0.46050246227445224</v>
      </c>
      <c r="AZ51" s="1">
        <f t="shared" si="11"/>
        <v>0.40295431764571366</v>
      </c>
      <c r="BA51" s="3">
        <f t="shared" si="12"/>
        <v>17.874038788144723</v>
      </c>
      <c r="BB51" s="23">
        <v>0.4</v>
      </c>
      <c r="BC51" s="12">
        <v>0</v>
      </c>
      <c r="BD51" s="12">
        <v>0</v>
      </c>
      <c r="BE51" s="12">
        <v>0</v>
      </c>
      <c r="BG51" s="22">
        <f t="shared" si="13"/>
        <v>1.3149960111907177</v>
      </c>
      <c r="BH51" s="22">
        <f t="shared" si="14"/>
        <v>1.2500846224340583</v>
      </c>
    </row>
    <row r="52" spans="1:60">
      <c r="A52">
        <v>1973</v>
      </c>
      <c r="B52" s="3">
        <f t="shared" si="0"/>
        <v>164.95312235890265</v>
      </c>
      <c r="C52" s="3">
        <f t="shared" si="1"/>
        <v>20.369443941469338</v>
      </c>
      <c r="D52" s="2">
        <v>115.261</v>
      </c>
      <c r="E52" s="2">
        <v>29.151260000000001</v>
      </c>
      <c r="F52" s="2">
        <f t="shared" si="15"/>
        <v>33.600033788600001</v>
      </c>
      <c r="G52" s="2">
        <v>1.2685652830907881</v>
      </c>
      <c r="H52" s="2">
        <f t="shared" si="16"/>
        <v>0.42623836374895402</v>
      </c>
      <c r="I52" s="32">
        <f t="shared" si="2"/>
        <v>0.42623836374895402</v>
      </c>
      <c r="J52" s="32">
        <f t="shared" si="3"/>
        <v>0.43821239900348763</v>
      </c>
      <c r="P52" s="32">
        <f t="shared" si="4"/>
        <v>0.13511756130841845</v>
      </c>
      <c r="Q52" s="32">
        <f t="shared" si="5"/>
        <v>0.14709159656295206</v>
      </c>
      <c r="S52" s="2">
        <f>USA!Z60*G52</f>
        <v>4.9093476455613496</v>
      </c>
      <c r="T52" s="2">
        <v>0</v>
      </c>
      <c r="U52" s="2">
        <v>0</v>
      </c>
      <c r="V52" s="2">
        <v>0</v>
      </c>
      <c r="X52" s="2">
        <v>0.68299999999999994</v>
      </c>
      <c r="Y52" s="2">
        <f t="shared" si="6"/>
        <v>0.22610139102120358</v>
      </c>
      <c r="Z52" s="2">
        <v>0.18</v>
      </c>
      <c r="AA52" s="2">
        <f t="shared" si="17"/>
        <v>6.5019411419331971E-2</v>
      </c>
      <c r="AB52" s="2">
        <f t="shared" si="18"/>
        <v>0.29112080244053556</v>
      </c>
      <c r="AG52" s="2">
        <v>0.18</v>
      </c>
      <c r="AM52">
        <v>1973</v>
      </c>
      <c r="AN52" s="1">
        <f t="shared" si="19"/>
        <v>0.42623836374895402</v>
      </c>
      <c r="AO52" s="1">
        <f t="shared" si="20"/>
        <v>0.22610139102120358</v>
      </c>
      <c r="AP52" s="1">
        <f t="shared" si="21"/>
        <v>6.5019411419331971E-2</v>
      </c>
      <c r="AQ52" s="1">
        <f t="shared" si="22"/>
        <v>0.29112080244053556</v>
      </c>
      <c r="AR52" s="22">
        <f t="shared" si="7"/>
        <v>0.13511756130841845</v>
      </c>
      <c r="AT52" s="7">
        <v>31.334537266442517</v>
      </c>
      <c r="AV52" s="22">
        <f t="shared" si="8"/>
        <v>1.3602829367626588</v>
      </c>
      <c r="AW52" s="22">
        <f t="shared" si="23"/>
        <v>1.3192361934941754</v>
      </c>
      <c r="AX52" s="1">
        <f t="shared" si="9"/>
        <v>0.92907324580889583</v>
      </c>
      <c r="AY52" s="1">
        <f>AV52-AX52</f>
        <v>0.43120969095376294</v>
      </c>
      <c r="AZ52" s="1">
        <f t="shared" si="11"/>
        <v>0.39016294768527948</v>
      </c>
      <c r="BA52" s="3">
        <f t="shared" si="12"/>
        <v>15.667528784026366</v>
      </c>
      <c r="BB52" s="23">
        <v>0.4</v>
      </c>
      <c r="BC52" s="12">
        <v>0</v>
      </c>
      <c r="BD52" s="12">
        <v>0</v>
      </c>
      <c r="BE52" s="12">
        <v>0</v>
      </c>
      <c r="BG52" s="22">
        <f t="shared" si="13"/>
        <v>1.5343301699279686</v>
      </c>
      <c r="BH52" s="22">
        <f t="shared" si="14"/>
        <v>1.4880315250857372</v>
      </c>
    </row>
    <row r="53" spans="1:60">
      <c r="A53">
        <v>1974</v>
      </c>
      <c r="B53" s="3">
        <f t="shared" si="0"/>
        <v>194.18818351183094</v>
      </c>
      <c r="C53" s="3">
        <f t="shared" si="1"/>
        <v>22.617266903639468</v>
      </c>
      <c r="D53" s="2">
        <v>135.68899999999999</v>
      </c>
      <c r="E53" s="2">
        <v>32.368180000000002</v>
      </c>
      <c r="F53" s="2">
        <f t="shared" si="15"/>
        <v>43.920059760200004</v>
      </c>
      <c r="G53" s="2">
        <v>1.219933657332408</v>
      </c>
      <c r="H53" s="2">
        <f t="shared" si="16"/>
        <v>0.53579559133518717</v>
      </c>
      <c r="I53" s="32">
        <f t="shared" si="2"/>
        <v>0.53579559133518717</v>
      </c>
      <c r="J53" s="32">
        <f t="shared" si="3"/>
        <v>0.56408419940578713</v>
      </c>
      <c r="P53" s="32">
        <f t="shared" si="4"/>
        <v>0.19717277761134888</v>
      </c>
      <c r="Q53" s="32">
        <f t="shared" si="5"/>
        <v>0.22546138568194884</v>
      </c>
      <c r="S53" s="2">
        <f>USA!Z61*G53</f>
        <v>14.98078531204197</v>
      </c>
      <c r="T53" s="2">
        <v>0</v>
      </c>
      <c r="U53" s="2">
        <v>0</v>
      </c>
      <c r="V53" s="2">
        <v>0</v>
      </c>
      <c r="X53" s="2">
        <v>0.63200000000000001</v>
      </c>
      <c r="Y53" s="2">
        <f t="shared" si="6"/>
        <v>0.25689128284219959</v>
      </c>
      <c r="Z53" s="2">
        <v>0.18</v>
      </c>
      <c r="AA53" s="2">
        <f t="shared" si="17"/>
        <v>8.1731530881638717E-2</v>
      </c>
      <c r="AB53" s="2">
        <f t="shared" si="18"/>
        <v>0.33862281372383829</v>
      </c>
      <c r="AG53" s="2">
        <v>0.18</v>
      </c>
      <c r="AM53">
        <v>1974</v>
      </c>
      <c r="AN53" s="1">
        <f t="shared" si="19"/>
        <v>0.53579559133518717</v>
      </c>
      <c r="AO53" s="1">
        <f t="shared" si="20"/>
        <v>0.25689128284219959</v>
      </c>
      <c r="AP53" s="1">
        <f t="shared" si="21"/>
        <v>8.1731530881638717E-2</v>
      </c>
      <c r="AQ53" s="1">
        <f t="shared" si="22"/>
        <v>0.33862281372383829</v>
      </c>
      <c r="AR53" s="22">
        <f t="shared" si="7"/>
        <v>0.19717277761134888</v>
      </c>
      <c r="AT53" s="7">
        <v>34.339963400687417</v>
      </c>
      <c r="AV53" s="22">
        <f t="shared" si="8"/>
        <v>1.5602683820113263</v>
      </c>
      <c r="AW53" s="22">
        <f t="shared" si="23"/>
        <v>1.5383245580856382</v>
      </c>
      <c r="AX53" s="1">
        <f t="shared" si="9"/>
        <v>0.98608961743115819</v>
      </c>
      <c r="AY53" s="1">
        <f t="shared" ref="AY53:AY89" si="24">AV53-AX53</f>
        <v>0.57417876458016814</v>
      </c>
      <c r="AZ53" s="1">
        <f t="shared" si="11"/>
        <v>0.55223494065447998</v>
      </c>
      <c r="BA53" s="3">
        <f t="shared" si="12"/>
        <v>43.624930921569025</v>
      </c>
      <c r="BB53" s="23">
        <v>0.4</v>
      </c>
      <c r="BC53" s="12">
        <v>0</v>
      </c>
      <c r="BD53" s="12">
        <v>0</v>
      </c>
      <c r="BE53" s="12">
        <v>0</v>
      </c>
      <c r="BG53" s="22">
        <f t="shared" si="13"/>
        <v>1.7599036104959778</v>
      </c>
      <c r="BH53" s="22">
        <f t="shared" si="14"/>
        <v>1.7351520899241624</v>
      </c>
    </row>
    <row r="54" spans="1:60">
      <c r="A54">
        <v>1975</v>
      </c>
      <c r="B54" s="3">
        <f t="shared" si="0"/>
        <v>156.42503691684766</v>
      </c>
      <c r="C54" s="3">
        <f t="shared" si="1"/>
        <v>24.682660206706046</v>
      </c>
      <c r="D54" s="2">
        <v>109.30200000000001</v>
      </c>
      <c r="E54" s="2">
        <v>35.324019999999997</v>
      </c>
      <c r="F54" s="2">
        <f t="shared" si="15"/>
        <v>38.609860340399997</v>
      </c>
      <c r="G54" s="2">
        <v>1.1476056286898</v>
      </c>
      <c r="H54" s="2">
        <f t="shared" si="16"/>
        <v>0.44308893049570114</v>
      </c>
      <c r="I54" s="32">
        <f t="shared" si="2"/>
        <v>0.44308893049570114</v>
      </c>
      <c r="J54" s="32">
        <f t="shared" si="3"/>
        <v>0.48788609217277296</v>
      </c>
      <c r="P54" s="32">
        <f t="shared" si="4"/>
        <v>0.17723557219828046</v>
      </c>
      <c r="Q54" s="32">
        <f t="shared" si="5"/>
        <v>0.22203273387535227</v>
      </c>
      <c r="S54" s="2">
        <f>USA!Z62*G54</f>
        <v>14.540163315499766</v>
      </c>
      <c r="T54" s="2">
        <v>0</v>
      </c>
      <c r="U54" s="2">
        <v>0</v>
      </c>
      <c r="V54" s="2">
        <v>0</v>
      </c>
      <c r="X54" s="2">
        <v>0.6</v>
      </c>
      <c r="Y54" s="2">
        <f t="shared" si="6"/>
        <v>0.19826352144214424</v>
      </c>
      <c r="Z54" s="2">
        <v>0.18</v>
      </c>
      <c r="AA54" s="2">
        <f t="shared" si="17"/>
        <v>6.7589836855276447E-2</v>
      </c>
      <c r="AB54" s="2">
        <f t="shared" si="18"/>
        <v>0.26585335829742068</v>
      </c>
      <c r="AG54" s="2">
        <v>0.18</v>
      </c>
      <c r="AM54">
        <v>1975</v>
      </c>
      <c r="AN54" s="1">
        <f t="shared" si="19"/>
        <v>0.44308893049570114</v>
      </c>
      <c r="AO54" s="1">
        <f t="shared" si="20"/>
        <v>0.19826352144214424</v>
      </c>
      <c r="AP54" s="1">
        <f t="shared" si="21"/>
        <v>6.7589836855276447E-2</v>
      </c>
      <c r="AQ54" s="1">
        <f t="shared" si="22"/>
        <v>0.26585335829742068</v>
      </c>
      <c r="AR54" s="22">
        <f t="shared" si="7"/>
        <v>0.17723557219828046</v>
      </c>
      <c r="AT54" s="7">
        <v>37.848642293159976</v>
      </c>
      <c r="AV54" s="22">
        <f t="shared" si="8"/>
        <v>1.1706864596719666</v>
      </c>
      <c r="AW54" s="22">
        <f t="shared" si="23"/>
        <v>1.2244536033172355</v>
      </c>
      <c r="AX54" s="1">
        <f t="shared" si="9"/>
        <v>0.70241187580317987</v>
      </c>
      <c r="AY54" s="1">
        <f t="shared" si="24"/>
        <v>0.46827458386878673</v>
      </c>
      <c r="AZ54" s="1">
        <f t="shared" si="11"/>
        <v>0.52204172751405564</v>
      </c>
      <c r="BA54" s="3">
        <f t="shared" si="12"/>
        <v>38.416604756592477</v>
      </c>
      <c r="BB54" s="23">
        <v>0.4</v>
      </c>
      <c r="BC54" s="12">
        <v>0</v>
      </c>
      <c r="BD54" s="12">
        <v>0</v>
      </c>
      <c r="BE54" s="12">
        <v>0</v>
      </c>
      <c r="BG54" s="22">
        <f t="shared" si="13"/>
        <v>1.3204749585962525</v>
      </c>
      <c r="BH54" s="22">
        <f t="shared" si="14"/>
        <v>1.3811215699858803</v>
      </c>
    </row>
    <row r="55" spans="1:60">
      <c r="A55">
        <v>1976</v>
      </c>
      <c r="B55" s="3">
        <f t="shared" si="0"/>
        <v>168.89730820859282</v>
      </c>
      <c r="C55" s="3">
        <f t="shared" si="1"/>
        <v>26.098712089869402</v>
      </c>
      <c r="D55" s="2">
        <v>118.017</v>
      </c>
      <c r="E55" s="2">
        <v>37.350569999999998</v>
      </c>
      <c r="F55" s="2">
        <f t="shared" si="15"/>
        <v>44.080022196899996</v>
      </c>
      <c r="G55" s="2">
        <v>1.199767664529362</v>
      </c>
      <c r="H55" s="2">
        <f t="shared" si="16"/>
        <v>0.52885785283577147</v>
      </c>
      <c r="I55" s="32">
        <f t="shared" si="2"/>
        <v>0.52885785283577147</v>
      </c>
      <c r="J55" s="32">
        <f t="shared" si="3"/>
        <v>0.55902014711019277</v>
      </c>
      <c r="P55" s="32">
        <f t="shared" si="4"/>
        <v>0.20308141548893627</v>
      </c>
      <c r="Q55" s="32">
        <f t="shared" si="5"/>
        <v>0.23324370976335757</v>
      </c>
      <c r="S55" s="2">
        <f>USA!Z63*G55</f>
        <v>15.980905291531103</v>
      </c>
      <c r="T55" s="2">
        <v>0</v>
      </c>
      <c r="U55" s="2">
        <v>0</v>
      </c>
      <c r="V55" s="2">
        <v>0</v>
      </c>
      <c r="X55" s="2">
        <v>0.61599999999999999</v>
      </c>
      <c r="Y55" s="2">
        <f t="shared" si="6"/>
        <v>0.24510320555832771</v>
      </c>
      <c r="Z55" s="2">
        <v>0.18</v>
      </c>
      <c r="AA55" s="2">
        <f t="shared" si="17"/>
        <v>8.0673231788507507E-2</v>
      </c>
      <c r="AB55" s="2">
        <f t="shared" si="18"/>
        <v>0.3257764373468352</v>
      </c>
      <c r="AG55" s="2">
        <v>0.18</v>
      </c>
      <c r="AM55">
        <v>1976</v>
      </c>
      <c r="AN55" s="1">
        <f t="shared" si="19"/>
        <v>0.52885785283577147</v>
      </c>
      <c r="AO55" s="1">
        <f t="shared" si="20"/>
        <v>0.24510320555832771</v>
      </c>
      <c r="AP55" s="1">
        <f t="shared" si="21"/>
        <v>8.0673231788507507E-2</v>
      </c>
      <c r="AQ55" s="1">
        <f t="shared" si="22"/>
        <v>0.3257764373468352</v>
      </c>
      <c r="AR55" s="22">
        <f t="shared" si="7"/>
        <v>0.20308141548893627</v>
      </c>
      <c r="AT55" s="7">
        <v>41.190922288361641</v>
      </c>
      <c r="AV55" s="22">
        <f t="shared" si="8"/>
        <v>1.2839184544920921</v>
      </c>
      <c r="AW55" s="22">
        <f t="shared" si="23"/>
        <v>1.3151415756682234</v>
      </c>
      <c r="AX55" s="1">
        <f t="shared" si="9"/>
        <v>0.79089376796712862</v>
      </c>
      <c r="AY55" s="1">
        <f t="shared" si="24"/>
        <v>0.49302468652496345</v>
      </c>
      <c r="AZ55" s="1">
        <f t="shared" si="11"/>
        <v>0.52424780770109469</v>
      </c>
      <c r="BA55" s="3">
        <f t="shared" si="12"/>
        <v>38.797153362226254</v>
      </c>
      <c r="BB55" s="23">
        <v>0.4</v>
      </c>
      <c r="BC55" s="12">
        <v>0</v>
      </c>
      <c r="BD55" s="12">
        <v>0</v>
      </c>
      <c r="BE55" s="12">
        <v>0</v>
      </c>
      <c r="BG55" s="22">
        <f t="shared" si="13"/>
        <v>1.4481949065264375</v>
      </c>
      <c r="BH55" s="22">
        <f t="shared" si="14"/>
        <v>1.4834130038245394</v>
      </c>
    </row>
    <row r="56" spans="1:60">
      <c r="A56">
        <v>1977</v>
      </c>
      <c r="B56" s="3">
        <f t="shared" si="0"/>
        <v>165.44543002664335</v>
      </c>
      <c r="C56" s="3">
        <f t="shared" si="1"/>
        <v>27.791594761847083</v>
      </c>
      <c r="D56" s="2">
        <v>115.605</v>
      </c>
      <c r="E56" s="2">
        <v>39.773299999999999</v>
      </c>
      <c r="F56" s="2">
        <f t="shared" si="15"/>
        <v>45.979923464999999</v>
      </c>
      <c r="G56" s="2">
        <v>1.1136900953392239</v>
      </c>
      <c r="H56" s="2">
        <f t="shared" si="16"/>
        <v>0.51207385347426071</v>
      </c>
      <c r="I56" s="32">
        <f t="shared" si="2"/>
        <v>0.51207385347426071</v>
      </c>
      <c r="J56" s="32">
        <f t="shared" si="3"/>
        <v>0.54723590342530581</v>
      </c>
      <c r="P56" s="32">
        <f t="shared" si="4"/>
        <v>0.19817258129453891</v>
      </c>
      <c r="Q56" s="32">
        <f t="shared" si="5"/>
        <v>0.23333463124558398</v>
      </c>
      <c r="S56" s="2">
        <f>USA!Z64*G56</f>
        <v>15.992589769071255</v>
      </c>
      <c r="T56" s="2">
        <v>0</v>
      </c>
      <c r="U56" s="2">
        <v>0</v>
      </c>
      <c r="V56" s="2">
        <v>0</v>
      </c>
      <c r="X56" s="2">
        <v>0.61299999999999999</v>
      </c>
      <c r="Y56" s="2">
        <f t="shared" si="6"/>
        <v>0.23578831148025831</v>
      </c>
      <c r="Z56" s="2">
        <v>0.18</v>
      </c>
      <c r="AA56" s="2">
        <f t="shared" si="17"/>
        <v>7.811296069946351E-2</v>
      </c>
      <c r="AB56" s="2">
        <f t="shared" si="18"/>
        <v>0.3139012721797218</v>
      </c>
      <c r="AG56" s="2">
        <v>0.18</v>
      </c>
      <c r="AM56">
        <v>1977</v>
      </c>
      <c r="AN56" s="1">
        <f t="shared" si="19"/>
        <v>0.51207385347426071</v>
      </c>
      <c r="AO56" s="1">
        <f t="shared" si="20"/>
        <v>0.23578831148025831</v>
      </c>
      <c r="AP56" s="1">
        <f t="shared" si="21"/>
        <v>7.811296069946351E-2</v>
      </c>
      <c r="AQ56" s="1">
        <f t="shared" si="22"/>
        <v>0.3139012721797218</v>
      </c>
      <c r="AR56" s="22">
        <f t="shared" si="7"/>
        <v>0.19817258129453891</v>
      </c>
      <c r="AT56" s="7">
        <v>43.826851330723876</v>
      </c>
      <c r="AV56" s="22">
        <f t="shared" si="8"/>
        <v>1.1684021049335165</v>
      </c>
      <c r="AW56" s="22">
        <f t="shared" si="23"/>
        <v>1.2271057593306365</v>
      </c>
      <c r="AX56" s="1">
        <f t="shared" si="9"/>
        <v>0.71623049032424568</v>
      </c>
      <c r="AY56" s="1">
        <f t="shared" si="24"/>
        <v>0.4521716146092708</v>
      </c>
      <c r="AZ56" s="1">
        <f t="shared" si="11"/>
        <v>0.5108752690063908</v>
      </c>
      <c r="BA56" s="3">
        <f t="shared" si="12"/>
        <v>36.490391811149784</v>
      </c>
      <c r="BB56" s="23">
        <v>0.4</v>
      </c>
      <c r="BC56" s="12">
        <v>0</v>
      </c>
      <c r="BD56" s="12">
        <v>0</v>
      </c>
      <c r="BE56" s="12">
        <v>0</v>
      </c>
      <c r="BG56" s="22">
        <f t="shared" si="13"/>
        <v>1.3178983222955991</v>
      </c>
      <c r="BH56" s="22">
        <f t="shared" si="14"/>
        <v>1.3841130674727204</v>
      </c>
    </row>
    <row r="57" spans="1:60">
      <c r="A57">
        <v>1978</v>
      </c>
      <c r="B57" s="3">
        <f t="shared" si="0"/>
        <v>166.46153015482915</v>
      </c>
      <c r="C57" s="3">
        <f t="shared" si="1"/>
        <v>29.916940817905406</v>
      </c>
      <c r="D57" s="2">
        <v>116.315</v>
      </c>
      <c r="E57" s="2">
        <v>42.81494</v>
      </c>
      <c r="F57" s="2">
        <f t="shared" si="15"/>
        <v>49.800197460999996</v>
      </c>
      <c r="G57" s="2">
        <v>0.98178979992830273</v>
      </c>
      <c r="H57" s="2">
        <f t="shared" si="16"/>
        <v>0.48893325901625156</v>
      </c>
      <c r="I57" s="32">
        <f t="shared" si="2"/>
        <v>0.48893325901625156</v>
      </c>
      <c r="J57" s="32">
        <f t="shared" si="3"/>
        <v>0.49517942184855457</v>
      </c>
      <c r="P57" s="32">
        <f t="shared" si="4"/>
        <v>0.21219703441305315</v>
      </c>
      <c r="Q57" s="32">
        <f t="shared" si="5"/>
        <v>0.21844319724535616</v>
      </c>
      <c r="S57" s="2">
        <f>USA!Z65*G57</f>
        <v>14.078865730971861</v>
      </c>
      <c r="T57" s="2">
        <v>0</v>
      </c>
      <c r="U57" s="2">
        <v>0</v>
      </c>
      <c r="V57" s="2">
        <v>0</v>
      </c>
      <c r="X57" s="2">
        <v>0.56600000000000006</v>
      </c>
      <c r="Y57" s="2">
        <f t="shared" si="6"/>
        <v>0.20215318509224478</v>
      </c>
      <c r="Z57" s="2">
        <v>0.18</v>
      </c>
      <c r="AA57" s="2">
        <f t="shared" si="17"/>
        <v>7.458303951095363E-2</v>
      </c>
      <c r="AB57" s="2">
        <f t="shared" si="18"/>
        <v>0.27673622460319841</v>
      </c>
      <c r="AG57" s="2">
        <v>0.18</v>
      </c>
      <c r="AM57">
        <v>1978</v>
      </c>
      <c r="AN57" s="1">
        <f t="shared" si="19"/>
        <v>0.48893325901625156</v>
      </c>
      <c r="AO57" s="1">
        <f t="shared" si="20"/>
        <v>0.20215318509224478</v>
      </c>
      <c r="AP57" s="1">
        <f t="shared" si="21"/>
        <v>7.458303951095363E-2</v>
      </c>
      <c r="AQ57" s="1">
        <f t="shared" si="22"/>
        <v>0.27673622460319841</v>
      </c>
      <c r="AR57" s="22">
        <f t="shared" si="7"/>
        <v>0.21219703441305315</v>
      </c>
      <c r="AT57" s="7">
        <v>45.629018908007964</v>
      </c>
      <c r="AV57" s="22">
        <f t="shared" si="8"/>
        <v>1.0715401529933903</v>
      </c>
      <c r="AW57" s="22">
        <f t="shared" si="23"/>
        <v>1.0846984439905678</v>
      </c>
      <c r="AX57" s="1">
        <f t="shared" si="9"/>
        <v>0.6064917265942591</v>
      </c>
      <c r="AY57" s="1">
        <f t="shared" si="24"/>
        <v>0.46504842639913124</v>
      </c>
      <c r="AZ57" s="1">
        <f t="shared" si="11"/>
        <v>0.47820671739630866</v>
      </c>
      <c r="BA57" s="3">
        <f t="shared" si="12"/>
        <v>30.855070014448632</v>
      </c>
      <c r="BB57" s="23">
        <v>0.4</v>
      </c>
      <c r="BC57" s="12">
        <v>0</v>
      </c>
      <c r="BD57" s="12">
        <v>0</v>
      </c>
      <c r="BE57" s="12">
        <v>0</v>
      </c>
      <c r="BG57" s="22">
        <f t="shared" si="13"/>
        <v>1.208642952575572</v>
      </c>
      <c r="BH57" s="22">
        <f t="shared" si="14"/>
        <v>1.2234848375364384</v>
      </c>
    </row>
    <row r="58" spans="1:60">
      <c r="A58">
        <v>1979</v>
      </c>
      <c r="B58" s="3">
        <f t="shared" si="0"/>
        <v>178.14525050202445</v>
      </c>
      <c r="C58" s="3">
        <f t="shared" si="1"/>
        <v>33.287054161079702</v>
      </c>
      <c r="D58" s="2">
        <v>124.479</v>
      </c>
      <c r="E58" s="2">
        <v>47.637999999999998</v>
      </c>
      <c r="F58" s="2">
        <f t="shared" si="15"/>
        <v>59.299306019999996</v>
      </c>
      <c r="G58" s="2">
        <v>0.91027857567465775</v>
      </c>
      <c r="H58" s="2">
        <f t="shared" si="16"/>
        <v>0.5397888782238125</v>
      </c>
      <c r="I58" s="32">
        <f t="shared" si="2"/>
        <v>0.5397888782238125</v>
      </c>
      <c r="J58" s="32">
        <f t="shared" si="3"/>
        <v>0.55001056828281292</v>
      </c>
      <c r="P58" s="32">
        <f t="shared" si="4"/>
        <v>0.250462039495849</v>
      </c>
      <c r="Q58" s="32">
        <f t="shared" si="5"/>
        <v>0.26068372955484947</v>
      </c>
      <c r="S58" s="2">
        <f>USA!Z66*G58</f>
        <v>19.507269876707916</v>
      </c>
      <c r="T58" s="2">
        <v>0</v>
      </c>
      <c r="U58" s="2">
        <v>0</v>
      </c>
      <c r="V58" s="2">
        <v>0</v>
      </c>
      <c r="X58" s="2">
        <v>0.53600000000000003</v>
      </c>
      <c r="Y58" s="2">
        <f t="shared" si="6"/>
        <v>0.20698616238873785</v>
      </c>
      <c r="Z58" s="2">
        <v>0.18</v>
      </c>
      <c r="AA58" s="2">
        <f t="shared" si="17"/>
        <v>8.2340676339225635E-2</v>
      </c>
      <c r="AB58" s="2">
        <f t="shared" si="18"/>
        <v>0.2893268387279635</v>
      </c>
      <c r="AG58" s="2">
        <v>0.18</v>
      </c>
      <c r="AM58">
        <v>1979</v>
      </c>
      <c r="AN58" s="1">
        <f t="shared" si="19"/>
        <v>0.5397888782238125</v>
      </c>
      <c r="AO58" s="1">
        <f t="shared" si="20"/>
        <v>0.20698616238873785</v>
      </c>
      <c r="AP58" s="1">
        <f t="shared" si="21"/>
        <v>8.2340676339225635E-2</v>
      </c>
      <c r="AQ58" s="1">
        <f t="shared" si="22"/>
        <v>0.2893268387279635</v>
      </c>
      <c r="AR58" s="22">
        <f t="shared" si="7"/>
        <v>0.250462039495849</v>
      </c>
      <c r="AT58" s="7">
        <v>47.545116473851188</v>
      </c>
      <c r="AV58" s="22">
        <f t="shared" si="8"/>
        <v>1.1353192888289274</v>
      </c>
      <c r="AW58" s="22">
        <f t="shared" si="23"/>
        <v>1.1457170009826556</v>
      </c>
      <c r="AX58" s="1">
        <f t="shared" si="9"/>
        <v>0.60853113881230503</v>
      </c>
      <c r="AY58" s="1">
        <f t="shared" si="24"/>
        <v>0.52678815001662238</v>
      </c>
      <c r="AZ58" s="1">
        <f t="shared" si="11"/>
        <v>0.53718586217035047</v>
      </c>
      <c r="BA58" s="3">
        <f t="shared" si="12"/>
        <v>41.028966429047458</v>
      </c>
      <c r="BB58" s="23">
        <v>0.4</v>
      </c>
      <c r="BC58" s="12">
        <v>0</v>
      </c>
      <c r="BD58" s="12">
        <v>0</v>
      </c>
      <c r="BE58" s="12">
        <v>0</v>
      </c>
      <c r="BG58" s="22">
        <f t="shared" si="13"/>
        <v>1.2805825834271445</v>
      </c>
      <c r="BH58" s="22">
        <f t="shared" si="14"/>
        <v>1.2923106754472207</v>
      </c>
    </row>
    <row r="59" spans="1:60">
      <c r="A59">
        <v>1980</v>
      </c>
      <c r="B59" s="3">
        <f t="shared" si="0"/>
        <v>191.08406917657044</v>
      </c>
      <c r="C59" s="3">
        <f t="shared" si="1"/>
        <v>37.784321185500851</v>
      </c>
      <c r="D59" s="2">
        <v>133.52000000000001</v>
      </c>
      <c r="E59" s="2">
        <v>54.074159999999999</v>
      </c>
      <c r="F59" s="2">
        <f t="shared" si="15"/>
        <v>72.199818432000001</v>
      </c>
      <c r="G59" s="2">
        <v>0.90216952321312693</v>
      </c>
      <c r="H59" s="2">
        <f t="shared" si="16"/>
        <v>0.65136475770871771</v>
      </c>
      <c r="I59" s="32">
        <f t="shared" si="2"/>
        <v>0.65136475770871771</v>
      </c>
      <c r="J59" s="32">
        <f t="shared" si="3"/>
        <v>0.68220456589314171</v>
      </c>
      <c r="P59" s="32">
        <f t="shared" si="4"/>
        <v>0.31526054273101939</v>
      </c>
      <c r="Q59" s="32">
        <f t="shared" si="5"/>
        <v>0.34610035091544333</v>
      </c>
      <c r="S59" s="2">
        <f>USA!Z67*G59</f>
        <v>30.484308189371557</v>
      </c>
      <c r="T59" s="2">
        <v>0</v>
      </c>
      <c r="U59" s="2">
        <v>0</v>
      </c>
      <c r="V59" s="2">
        <v>0</v>
      </c>
      <c r="X59" s="2">
        <v>0.51600000000000001</v>
      </c>
      <c r="Y59" s="2">
        <f>AB59-AA59</f>
        <v>0.23674348922552105</v>
      </c>
      <c r="Z59" s="2">
        <v>0.18</v>
      </c>
      <c r="AA59" s="2">
        <f t="shared" si="17"/>
        <v>9.9360725752177276E-2</v>
      </c>
      <c r="AB59" s="2">
        <f>I59*X59</f>
        <v>0.33610421497769832</v>
      </c>
      <c r="AG59" s="2">
        <v>0.18</v>
      </c>
      <c r="AM59">
        <v>1980</v>
      </c>
      <c r="AN59" s="1">
        <f t="shared" si="19"/>
        <v>0.65136475770871771</v>
      </c>
      <c r="AO59" s="1">
        <f t="shared" si="20"/>
        <v>0.23674348922552105</v>
      </c>
      <c r="AP59" s="1">
        <f t="shared" si="21"/>
        <v>9.9360725752177276E-2</v>
      </c>
      <c r="AQ59" s="1">
        <f t="shared" si="22"/>
        <v>0.33610421497769832</v>
      </c>
      <c r="AR59" s="22">
        <f t="shared" si="7"/>
        <v>0.31526054273101939</v>
      </c>
      <c r="AT59" s="7">
        <v>50.641944813719576</v>
      </c>
      <c r="AV59" s="22">
        <f t="shared" si="8"/>
        <v>1.2862159226006944</v>
      </c>
      <c r="AW59" s="22">
        <f t="shared" si="23"/>
        <v>1.3119852441919697</v>
      </c>
      <c r="AX59" s="1">
        <f t="shared" si="9"/>
        <v>0.66368741606195825</v>
      </c>
      <c r="AY59" s="1">
        <f t="shared" si="24"/>
        <v>0.62252850653873615</v>
      </c>
      <c r="AZ59" s="1">
        <f t="shared" si="11"/>
        <v>0.64829782813001147</v>
      </c>
      <c r="BA59" s="3">
        <f t="shared" si="12"/>
        <v>60.195769142564515</v>
      </c>
      <c r="BB59" s="23">
        <v>0.4</v>
      </c>
      <c r="BC59" s="12">
        <v>0</v>
      </c>
      <c r="BD59" s="12">
        <v>0</v>
      </c>
      <c r="BE59" s="12">
        <v>0</v>
      </c>
      <c r="BG59" s="22">
        <f t="shared" si="13"/>
        <v>1.4507863340436165</v>
      </c>
      <c r="BH59" s="22">
        <f t="shared" si="14"/>
        <v>1.4798528219833742</v>
      </c>
    </row>
    <row r="60" spans="1:60">
      <c r="A60">
        <v>1981</v>
      </c>
      <c r="B60" s="3">
        <f t="shared" si="0"/>
        <v>162.42002767314372</v>
      </c>
      <c r="C60" s="3">
        <f t="shared" si="1"/>
        <v>41.681969842500045</v>
      </c>
      <c r="D60" s="2">
        <v>113.491</v>
      </c>
      <c r="E60" s="2">
        <v>59.652189999999997</v>
      </c>
      <c r="F60" s="2">
        <f t="shared" si="15"/>
        <v>67.699866952899995</v>
      </c>
      <c r="G60" s="2">
        <v>1.132272395188114</v>
      </c>
      <c r="H60" s="2">
        <f t="shared" si="16"/>
        <v>0.76654690508676726</v>
      </c>
      <c r="I60" s="32">
        <f t="shared" si="2"/>
        <v>0.76654690508676726</v>
      </c>
      <c r="J60" s="32">
        <f t="shared" si="3"/>
        <v>0.78459716128531709</v>
      </c>
      <c r="P60" s="32">
        <f t="shared" si="4"/>
        <v>0.41163568803159406</v>
      </c>
      <c r="Q60" s="32">
        <f t="shared" si="5"/>
        <v>0.42968594423014395</v>
      </c>
      <c r="S60" s="2">
        <f>USA!Z68*G60</f>
        <v>41.226037908799228</v>
      </c>
      <c r="T60" s="2">
        <v>0</v>
      </c>
      <c r="U60" s="2">
        <v>0</v>
      </c>
      <c r="V60" s="2">
        <v>0</v>
      </c>
      <c r="X60" s="2">
        <v>0.46299999999999997</v>
      </c>
      <c r="Y60" s="2">
        <f t="shared" si="6"/>
        <v>0.23798033322837819</v>
      </c>
      <c r="Z60" s="2">
        <v>0.18</v>
      </c>
      <c r="AA60" s="2">
        <f t="shared" si="17"/>
        <v>0.11693088382679501</v>
      </c>
      <c r="AB60" s="2">
        <f t="shared" si="18"/>
        <v>0.3549112170551732</v>
      </c>
      <c r="AG60" s="2">
        <v>0.18</v>
      </c>
      <c r="AM60">
        <v>1981</v>
      </c>
      <c r="AN60" s="1">
        <f t="shared" si="19"/>
        <v>0.76654690508676726</v>
      </c>
      <c r="AO60" s="1">
        <f t="shared" si="20"/>
        <v>0.23798033322837819</v>
      </c>
      <c r="AP60" s="1">
        <f t="shared" si="21"/>
        <v>0.11693088382679501</v>
      </c>
      <c r="AQ60" s="1">
        <f t="shared" si="22"/>
        <v>0.3549112170551732</v>
      </c>
      <c r="AR60" s="22">
        <f t="shared" si="7"/>
        <v>0.41163568803159406</v>
      </c>
      <c r="AT60" s="7">
        <v>54.054670025354774</v>
      </c>
      <c r="AV60" s="22">
        <f t="shared" si="8"/>
        <v>1.418095614545815</v>
      </c>
      <c r="AW60" s="22">
        <f t="shared" si="23"/>
        <v>1.4207396178763552</v>
      </c>
      <c r="AX60" s="1">
        <f t="shared" si="9"/>
        <v>0.65657826953471232</v>
      </c>
      <c r="AY60" s="1">
        <f t="shared" si="24"/>
        <v>0.76151734501110269</v>
      </c>
      <c r="AZ60" s="1">
        <f t="shared" si="11"/>
        <v>0.76416134834164273</v>
      </c>
      <c r="BA60" s="3">
        <f t="shared" si="12"/>
        <v>76.267301029609143</v>
      </c>
      <c r="BB60" s="23">
        <v>0.5</v>
      </c>
      <c r="BC60" s="12">
        <v>0</v>
      </c>
      <c r="BD60" s="12">
        <v>0</v>
      </c>
      <c r="BE60" s="12">
        <v>0</v>
      </c>
      <c r="BG60" s="22">
        <f t="shared" si="13"/>
        <v>1.5995399386677922</v>
      </c>
      <c r="BH60" s="22">
        <f t="shared" si="14"/>
        <v>1.6025222403418047</v>
      </c>
    </row>
    <row r="61" spans="1:60">
      <c r="A61">
        <v>1982</v>
      </c>
      <c r="B61" s="3">
        <f t="shared" si="0"/>
        <v>147.34453647552544</v>
      </c>
      <c r="C61" s="3">
        <f t="shared" si="1"/>
        <v>44.24984128314113</v>
      </c>
      <c r="D61" s="2">
        <v>102.95699999999999</v>
      </c>
      <c r="E61" s="2">
        <v>63.32714</v>
      </c>
      <c r="F61" s="2">
        <f t="shared" si="15"/>
        <v>65.199723529799996</v>
      </c>
      <c r="G61" s="2">
        <v>1.21168847080605</v>
      </c>
      <c r="H61" s="2">
        <f t="shared" si="16"/>
        <v>0.79001753300800603</v>
      </c>
      <c r="I61" s="32">
        <f t="shared" si="2"/>
        <v>0.79001753300800603</v>
      </c>
      <c r="J61" s="32">
        <f t="shared" si="3"/>
        <v>0.81850906845868465</v>
      </c>
      <c r="P61" s="32">
        <f t="shared" si="4"/>
        <v>0.39342873143798701</v>
      </c>
      <c r="Q61" s="32">
        <f t="shared" si="5"/>
        <v>0.42192026688866568</v>
      </c>
      <c r="S61" s="2">
        <f>USA!Z69*G61</f>
        <v>40.228057230760861</v>
      </c>
      <c r="T61" s="2">
        <v>0</v>
      </c>
      <c r="U61" s="2">
        <v>0</v>
      </c>
      <c r="V61" s="2">
        <v>0</v>
      </c>
      <c r="X61" s="2">
        <v>0.502</v>
      </c>
      <c r="Y61" s="2">
        <f t="shared" si="6"/>
        <v>0.27607765246710286</v>
      </c>
      <c r="Z61" s="2">
        <v>0.18</v>
      </c>
      <c r="AA61" s="2">
        <f t="shared" si="17"/>
        <v>0.12051114910291617</v>
      </c>
      <c r="AB61" s="2">
        <f t="shared" si="18"/>
        <v>0.39658880157001902</v>
      </c>
      <c r="AG61" s="2">
        <v>0.18</v>
      </c>
      <c r="AM61">
        <v>1982</v>
      </c>
      <c r="AN61" s="1">
        <f t="shared" si="19"/>
        <v>0.79001753300800603</v>
      </c>
      <c r="AO61" s="1">
        <f t="shared" si="20"/>
        <v>0.27607765246710286</v>
      </c>
      <c r="AP61" s="1">
        <f t="shared" si="21"/>
        <v>0.12051114910291617</v>
      </c>
      <c r="AQ61" s="1">
        <f t="shared" si="22"/>
        <v>0.39658880157001902</v>
      </c>
      <c r="AR61" s="22">
        <f t="shared" si="7"/>
        <v>0.39342873143798701</v>
      </c>
      <c r="AT61" s="7">
        <v>57.249892381943319</v>
      </c>
      <c r="AV61" s="22">
        <f t="shared" si="8"/>
        <v>1.3799458831073339</v>
      </c>
      <c r="AW61" s="22">
        <f t="shared" si="23"/>
        <v>1.4221125953437135</v>
      </c>
      <c r="AX61" s="1">
        <f t="shared" si="9"/>
        <v>0.69273283331988167</v>
      </c>
      <c r="AY61" s="1">
        <f t="shared" si="24"/>
        <v>0.68721304978745223</v>
      </c>
      <c r="AZ61" s="1">
        <f t="shared" si="11"/>
        <v>0.72937976202383181</v>
      </c>
      <c r="BA61" s="3">
        <f t="shared" si="12"/>
        <v>70.267480962896684</v>
      </c>
      <c r="BB61" s="23">
        <v>0.5</v>
      </c>
      <c r="BC61" s="12">
        <v>0</v>
      </c>
      <c r="BD61" s="12">
        <v>0</v>
      </c>
      <c r="BE61" s="12">
        <v>0</v>
      </c>
      <c r="BG61" s="22">
        <f t="shared" si="13"/>
        <v>1.556508976256386</v>
      </c>
      <c r="BH61" s="22">
        <f t="shared" si="14"/>
        <v>1.6040708892984787</v>
      </c>
    </row>
    <row r="62" spans="1:60">
      <c r="A62">
        <v>1983</v>
      </c>
      <c r="B62" s="3">
        <f t="shared" si="0"/>
        <v>133.12500230138312</v>
      </c>
      <c r="C62" s="3">
        <f t="shared" si="1"/>
        <v>45.671336429076113</v>
      </c>
      <c r="D62" s="2">
        <v>93.021100000000004</v>
      </c>
      <c r="E62" s="2">
        <v>65.36148</v>
      </c>
      <c r="F62" s="2">
        <f t="shared" si="15"/>
        <v>60.799967672279998</v>
      </c>
      <c r="G62" s="2">
        <v>1.295147728149348</v>
      </c>
      <c r="H62" s="2">
        <f t="shared" si="16"/>
        <v>0.78744940002307251</v>
      </c>
      <c r="I62" s="32">
        <f t="shared" si="2"/>
        <v>0.78744940002307251</v>
      </c>
      <c r="J62" s="32">
        <f t="shared" si="3"/>
        <v>0.75106458169890611</v>
      </c>
      <c r="P62" s="32">
        <f t="shared" si="4"/>
        <v>0.43703441701280527</v>
      </c>
      <c r="Q62" s="32">
        <f t="shared" si="5"/>
        <v>0.40064959868863892</v>
      </c>
      <c r="S62" s="2">
        <f>USA!Z70*G62</f>
        <v>37.494526729923621</v>
      </c>
      <c r="T62" s="2">
        <v>0</v>
      </c>
      <c r="U62" s="2">
        <v>0</v>
      </c>
      <c r="V62" s="2">
        <v>0</v>
      </c>
      <c r="X62" s="2">
        <v>0.44500000000000001</v>
      </c>
      <c r="Y62" s="2">
        <f t="shared" si="6"/>
        <v>0.23029558300674771</v>
      </c>
      <c r="Z62" s="2">
        <v>0.18</v>
      </c>
      <c r="AA62" s="2">
        <f t="shared" si="17"/>
        <v>0.12011940000351953</v>
      </c>
      <c r="AB62" s="2">
        <f t="shared" si="18"/>
        <v>0.35041498301026724</v>
      </c>
      <c r="AG62" s="2">
        <v>0.18</v>
      </c>
      <c r="AM62">
        <v>1983</v>
      </c>
      <c r="AN62" s="1">
        <f t="shared" si="19"/>
        <v>0.78744940002307251</v>
      </c>
      <c r="AO62" s="1">
        <f t="shared" si="20"/>
        <v>0.23029558300674771</v>
      </c>
      <c r="AP62" s="1">
        <f t="shared" si="21"/>
        <v>0.12011940000351953</v>
      </c>
      <c r="AQ62" s="1">
        <f t="shared" si="22"/>
        <v>0.35041498301026724</v>
      </c>
      <c r="AR62" s="22">
        <f t="shared" si="7"/>
        <v>0.43703441701280527</v>
      </c>
      <c r="AT62" s="7">
        <v>58.819020904803502</v>
      </c>
      <c r="AV62" s="22">
        <f t="shared" si="8"/>
        <v>1.3387665892935066</v>
      </c>
      <c r="AW62" s="22">
        <f t="shared" si="23"/>
        <v>1.3440606669863737</v>
      </c>
      <c r="AX62" s="1">
        <f t="shared" si="9"/>
        <v>0.59575113223561038</v>
      </c>
      <c r="AY62" s="1">
        <f t="shared" si="24"/>
        <v>0.74301545705789618</v>
      </c>
      <c r="AZ62" s="1">
        <f t="shared" si="11"/>
        <v>0.74830953475076334</v>
      </c>
      <c r="BA62" s="3">
        <f t="shared" si="12"/>
        <v>63.745581196611859</v>
      </c>
      <c r="BB62" s="23">
        <v>0.75</v>
      </c>
      <c r="BC62" s="12">
        <v>0</v>
      </c>
      <c r="BD62" s="12">
        <v>0</v>
      </c>
      <c r="BE62" s="12">
        <v>0</v>
      </c>
      <c r="BG62" s="22">
        <f t="shared" si="13"/>
        <v>1.510060821120917</v>
      </c>
      <c r="BH62" s="22">
        <f t="shared" si="14"/>
        <v>1.5160322722849231</v>
      </c>
    </row>
    <row r="63" spans="1:60">
      <c r="A63">
        <v>1984</v>
      </c>
      <c r="B63" s="3">
        <f t="shared" si="0"/>
        <v>118.17058444298247</v>
      </c>
      <c r="C63" s="3">
        <f t="shared" si="1"/>
        <v>47.643090239969929</v>
      </c>
      <c r="D63" s="2">
        <v>82.571700000000007</v>
      </c>
      <c r="E63" s="2">
        <v>68.183310000000006</v>
      </c>
      <c r="F63" s="2">
        <f t="shared" si="15"/>
        <v>56.300118183270008</v>
      </c>
      <c r="G63" s="2">
        <v>1.4560355037641071</v>
      </c>
      <c r="H63" s="2">
        <f t="shared" si="16"/>
        <v>0.81974970940956315</v>
      </c>
      <c r="I63" s="32">
        <f t="shared" si="2"/>
        <v>0.81974970940956315</v>
      </c>
      <c r="J63" s="32">
        <f t="shared" si="3"/>
        <v>0.83914220895506286</v>
      </c>
      <c r="P63" s="32">
        <f t="shared" si="4"/>
        <v>0.50824481983392911</v>
      </c>
      <c r="Q63" s="32">
        <f t="shared" si="5"/>
        <v>0.52763731937942893</v>
      </c>
      <c r="S63" s="2">
        <f>USA!Z71*G63</f>
        <v>41.526132567352334</v>
      </c>
      <c r="T63" s="2">
        <v>0</v>
      </c>
      <c r="U63" s="2">
        <v>1</v>
      </c>
      <c r="V63" s="2">
        <v>0</v>
      </c>
      <c r="X63" s="2">
        <v>0.38</v>
      </c>
      <c r="Y63" s="2">
        <f t="shared" si="6"/>
        <v>0.18062048219091384</v>
      </c>
      <c r="Z63" s="2">
        <v>0.19</v>
      </c>
      <c r="AA63" s="2">
        <f t="shared" si="17"/>
        <v>0.13088440738472015</v>
      </c>
      <c r="AB63" s="2">
        <f t="shared" si="18"/>
        <v>0.31150488957563399</v>
      </c>
      <c r="AG63" s="2">
        <v>0.19</v>
      </c>
      <c r="AM63">
        <v>1984</v>
      </c>
      <c r="AN63" s="1">
        <f t="shared" si="19"/>
        <v>0.81974970940956315</v>
      </c>
      <c r="AO63" s="1">
        <f t="shared" si="20"/>
        <v>0.18062048219091384</v>
      </c>
      <c r="AP63" s="1">
        <f t="shared" si="21"/>
        <v>0.13088440738472015</v>
      </c>
      <c r="AQ63" s="1">
        <f t="shared" si="22"/>
        <v>0.31150488957563399</v>
      </c>
      <c r="AR63" s="22">
        <f t="shared" si="7"/>
        <v>0.50824481983392911</v>
      </c>
      <c r="AT63" s="7">
        <v>60.761012050224444</v>
      </c>
      <c r="AV63" s="22">
        <f t="shared" si="8"/>
        <v>1.3491376817949745</v>
      </c>
      <c r="AW63" s="22">
        <f t="shared" si="23"/>
        <v>1.3443737162692779</v>
      </c>
      <c r="AX63" s="1">
        <f t="shared" si="9"/>
        <v>0.51267231908209032</v>
      </c>
      <c r="AY63" s="1">
        <f t="shared" si="24"/>
        <v>0.83646536271288419</v>
      </c>
      <c r="AZ63" s="1">
        <f t="shared" si="11"/>
        <v>0.83170139718718761</v>
      </c>
      <c r="BA63" s="3">
        <f t="shared" si="12"/>
        <v>68.34338528302861</v>
      </c>
      <c r="BB63" s="23">
        <v>1</v>
      </c>
      <c r="BC63" s="12">
        <v>0</v>
      </c>
      <c r="BD63" s="12">
        <v>0</v>
      </c>
      <c r="BE63" s="12">
        <v>0</v>
      </c>
      <c r="BG63" s="22">
        <f t="shared" si="13"/>
        <v>1.5217588875231809</v>
      </c>
      <c r="BH63" s="22">
        <f t="shared" si="14"/>
        <v>1.5163853760006671</v>
      </c>
    </row>
    <row r="64" spans="1:60">
      <c r="A64">
        <v>1985</v>
      </c>
      <c r="B64" s="3">
        <f t="shared" si="0"/>
        <v>112.28278509457526</v>
      </c>
      <c r="C64" s="3">
        <f t="shared" si="1"/>
        <v>49.339718212134507</v>
      </c>
      <c r="D64" s="2">
        <v>78.457599999999999</v>
      </c>
      <c r="E64" s="2">
        <v>70.611400000000003</v>
      </c>
      <c r="F64" s="2">
        <f t="shared" si="15"/>
        <v>55.400009766399997</v>
      </c>
      <c r="G64" s="2">
        <v>1.5071856097217871</v>
      </c>
      <c r="H64" s="2">
        <f t="shared" si="16"/>
        <v>0.83498097498364532</v>
      </c>
      <c r="I64" s="32">
        <f t="shared" si="2"/>
        <v>0.83498097498364532</v>
      </c>
      <c r="J64" s="32">
        <f t="shared" si="3"/>
        <v>0.83458479071821168</v>
      </c>
      <c r="P64" s="32">
        <f t="shared" si="4"/>
        <v>0.51768820448986008</v>
      </c>
      <c r="Q64" s="32">
        <f t="shared" si="5"/>
        <v>0.51729202022442644</v>
      </c>
      <c r="S64" s="2">
        <f>USA!Z72*G64</f>
        <v>40.196640211280062</v>
      </c>
      <c r="T64" s="2">
        <v>0</v>
      </c>
      <c r="U64" s="2">
        <v>1</v>
      </c>
      <c r="V64" s="2">
        <v>0</v>
      </c>
      <c r="X64" s="2">
        <v>0.38</v>
      </c>
      <c r="Y64" s="2">
        <f t="shared" si="6"/>
        <v>0.18397648037034606</v>
      </c>
      <c r="Z64" s="2">
        <v>0.19</v>
      </c>
      <c r="AA64" s="2">
        <f t="shared" si="17"/>
        <v>0.13331629012343918</v>
      </c>
      <c r="AB64" s="2">
        <f t="shared" si="18"/>
        <v>0.31729277049378524</v>
      </c>
      <c r="AG64" s="2">
        <v>0.19</v>
      </c>
      <c r="AM64">
        <v>1985</v>
      </c>
      <c r="AN64" s="1">
        <f t="shared" si="19"/>
        <v>0.83498097498364532</v>
      </c>
      <c r="AO64" s="1">
        <f t="shared" si="20"/>
        <v>0.18397648037034606</v>
      </c>
      <c r="AP64" s="1">
        <f t="shared" si="21"/>
        <v>0.13331629012343918</v>
      </c>
      <c r="AQ64" s="1">
        <f t="shared" si="22"/>
        <v>0.31729277049378524</v>
      </c>
      <c r="AR64" s="22">
        <f t="shared" si="7"/>
        <v>0.51768820448986008</v>
      </c>
      <c r="AT64" s="7">
        <v>62.133352369459239</v>
      </c>
      <c r="AV64" s="22">
        <f t="shared" si="8"/>
        <v>1.3438530887866083</v>
      </c>
      <c r="AW64" s="22">
        <f t="shared" si="23"/>
        <v>1.3212105341330118</v>
      </c>
      <c r="AX64" s="1">
        <f t="shared" si="9"/>
        <v>0.51066417373891115</v>
      </c>
      <c r="AY64" s="1">
        <f t="shared" si="24"/>
        <v>0.8331889150476971</v>
      </c>
      <c r="AZ64" s="1">
        <f t="shared" si="11"/>
        <v>0.81054636039410055</v>
      </c>
      <c r="BA64" s="3">
        <f t="shared" si="12"/>
        <v>64.694143609476555</v>
      </c>
      <c r="BB64" s="23">
        <v>1</v>
      </c>
      <c r="BC64" s="12">
        <v>0</v>
      </c>
      <c r="BD64" s="12">
        <v>0</v>
      </c>
      <c r="BE64" s="12">
        <v>0</v>
      </c>
      <c r="BG64" s="22">
        <f t="shared" si="13"/>
        <v>1.5157981346023042</v>
      </c>
      <c r="BH64" s="22">
        <f t="shared" si="14"/>
        <v>1.4902584812034778</v>
      </c>
    </row>
    <row r="65" spans="1:60">
      <c r="A65">
        <v>1986</v>
      </c>
      <c r="B65" s="3">
        <f t="shared" si="0"/>
        <v>120.97859861412796</v>
      </c>
      <c r="C65" s="3">
        <f t="shared" si="1"/>
        <v>50.256813657899102</v>
      </c>
      <c r="D65" s="2">
        <v>84.533799999999999</v>
      </c>
      <c r="E65" s="2">
        <v>71.923879999999997</v>
      </c>
      <c r="F65" s="2">
        <f t="shared" si="15"/>
        <v>60.79998887144</v>
      </c>
      <c r="G65" s="2">
        <v>1.1117706050251619</v>
      </c>
      <c r="H65" s="2">
        <f t="shared" si="16"/>
        <v>0.67595640413123959</v>
      </c>
      <c r="I65" s="32">
        <f t="shared" si="2"/>
        <v>0.67595640413123959</v>
      </c>
      <c r="J65" s="32">
        <f t="shared" si="3"/>
        <v>0.65240515092361617</v>
      </c>
      <c r="P65" s="32">
        <f t="shared" si="4"/>
        <v>0.35825689418955697</v>
      </c>
      <c r="Q65" s="32">
        <f t="shared" si="5"/>
        <v>0.33470564098193356</v>
      </c>
      <c r="S65" s="2">
        <f>USA!Z73*G65</f>
        <v>16.732147605628686</v>
      </c>
      <c r="T65" s="2">
        <v>0</v>
      </c>
      <c r="U65" s="2">
        <v>1</v>
      </c>
      <c r="V65" s="2">
        <v>0</v>
      </c>
      <c r="X65" s="2">
        <v>0.47</v>
      </c>
      <c r="Y65" s="2">
        <f t="shared" si="6"/>
        <v>0.20977369751736705</v>
      </c>
      <c r="Z65" s="2">
        <v>0.19</v>
      </c>
      <c r="AA65" s="2">
        <f t="shared" si="17"/>
        <v>0.10792581242431556</v>
      </c>
      <c r="AB65" s="2">
        <f t="shared" si="18"/>
        <v>0.31769950994168261</v>
      </c>
      <c r="AC65" s="2">
        <f>I65*X65</f>
        <v>0.31769950994168261</v>
      </c>
      <c r="AG65" s="2">
        <v>0.19</v>
      </c>
      <c r="AM65">
        <v>1986</v>
      </c>
      <c r="AN65" s="1">
        <f t="shared" si="19"/>
        <v>0.67595640413123959</v>
      </c>
      <c r="AO65" s="1">
        <f t="shared" si="20"/>
        <v>0.20977369751736705</v>
      </c>
      <c r="AP65" s="1">
        <f t="shared" si="21"/>
        <v>0.10792581242431556</v>
      </c>
      <c r="AQ65" s="1">
        <f t="shared" si="22"/>
        <v>0.31769950994168261</v>
      </c>
      <c r="AR65" s="22">
        <f t="shared" si="7"/>
        <v>0.35825689418955697</v>
      </c>
      <c r="AT65" s="7">
        <v>62.185138791351989</v>
      </c>
      <c r="AV65" s="22">
        <f t="shared" si="8"/>
        <v>1.087006344714059</v>
      </c>
      <c r="AW65" s="22">
        <f t="shared" si="23"/>
        <v>1.1023832352924798</v>
      </c>
      <c r="AX65" s="1">
        <f t="shared" si="9"/>
        <v>0.51089298201560773</v>
      </c>
      <c r="AY65" s="1">
        <f t="shared" si="24"/>
        <v>0.57611336269845126</v>
      </c>
      <c r="AZ65" s="1">
        <f t="shared" si="11"/>
        <v>0.5914902532768721</v>
      </c>
      <c r="BA65" s="3">
        <f t="shared" si="12"/>
        <v>26.90698763537311</v>
      </c>
      <c r="BB65" s="23">
        <v>1</v>
      </c>
      <c r="BC65" s="12">
        <v>0</v>
      </c>
      <c r="BD65" s="12">
        <v>0</v>
      </c>
      <c r="BE65" s="12">
        <v>0</v>
      </c>
      <c r="BG65" s="22">
        <f t="shared" si="13"/>
        <v>1.226088032514153</v>
      </c>
      <c r="BH65" s="22">
        <f t="shared" si="14"/>
        <v>1.2434323852929225</v>
      </c>
    </row>
    <row r="66" spans="1:60">
      <c r="A66">
        <v>1987</v>
      </c>
      <c r="B66" s="3">
        <f t="shared" si="0"/>
        <v>150.75777423006497</v>
      </c>
      <c r="C66" s="3">
        <f t="shared" si="1"/>
        <v>52.136856526716379</v>
      </c>
      <c r="D66" s="2">
        <v>105.342</v>
      </c>
      <c r="E66" s="2">
        <v>74.614459999999994</v>
      </c>
      <c r="F66" s="2">
        <f t="shared" si="15"/>
        <v>78.600364453199987</v>
      </c>
      <c r="G66" s="2">
        <v>0.91922258373379417</v>
      </c>
      <c r="H66" s="2">
        <f t="shared" si="16"/>
        <v>0.72251230095088359</v>
      </c>
      <c r="I66" s="32">
        <f t="shared" si="2"/>
        <v>0.72251230095088359</v>
      </c>
      <c r="J66" s="32">
        <f t="shared" si="3"/>
        <v>0.65252088964874932</v>
      </c>
      <c r="P66" s="32">
        <f t="shared" si="4"/>
        <v>0.41183201154200366</v>
      </c>
      <c r="Q66" s="32">
        <f t="shared" si="5"/>
        <v>0.3418406002398694</v>
      </c>
      <c r="S66" s="2">
        <f>USA!Z74*G66</f>
        <v>17.649073607688848</v>
      </c>
      <c r="T66" s="2">
        <v>0</v>
      </c>
      <c r="U66" s="2">
        <v>1</v>
      </c>
      <c r="V66" s="2">
        <v>0</v>
      </c>
      <c r="X66" s="2">
        <v>0.43</v>
      </c>
      <c r="Y66" s="2">
        <f t="shared" si="6"/>
        <v>0.19026157258373266</v>
      </c>
      <c r="Z66" s="2">
        <v>0.2</v>
      </c>
      <c r="AA66" s="2">
        <f t="shared" si="17"/>
        <v>0.12041871682514727</v>
      </c>
      <c r="AB66" s="2">
        <f t="shared" si="18"/>
        <v>0.31068028940887993</v>
      </c>
      <c r="AC66" s="2">
        <f t="shared" ref="AC66:AC77" si="25">I66*X66</f>
        <v>0.31068028940887993</v>
      </c>
      <c r="AG66" s="2">
        <v>0.2</v>
      </c>
      <c r="AM66">
        <v>1987</v>
      </c>
      <c r="AN66" s="1">
        <f t="shared" si="19"/>
        <v>0.72251230095088359</v>
      </c>
      <c r="AO66" s="1">
        <f t="shared" si="20"/>
        <v>0.19026157258373266</v>
      </c>
      <c r="AP66" s="1">
        <f t="shared" si="21"/>
        <v>0.12041871682514727</v>
      </c>
      <c r="AQ66" s="1">
        <f t="shared" si="22"/>
        <v>0.31068028940887993</v>
      </c>
      <c r="AR66" s="22">
        <f t="shared" si="7"/>
        <v>0.41183201154200366</v>
      </c>
      <c r="AT66" s="7">
        <v>61.755311443102975</v>
      </c>
      <c r="AV66" s="22">
        <f t="shared" si="8"/>
        <v>1.1699597719890957</v>
      </c>
      <c r="AW66" s="22">
        <f t="shared" si="23"/>
        <v>1.1042660036242837</v>
      </c>
      <c r="AX66" s="1">
        <f t="shared" si="9"/>
        <v>0.50308270195531113</v>
      </c>
      <c r="AY66" s="1">
        <f t="shared" si="24"/>
        <v>0.6668770700337846</v>
      </c>
      <c r="AZ66" s="1">
        <f t="shared" si="11"/>
        <v>0.6011833016689726</v>
      </c>
      <c r="BA66" s="3">
        <f t="shared" si="12"/>
        <v>28.579037487244268</v>
      </c>
      <c r="BB66" s="23">
        <v>1</v>
      </c>
      <c r="BC66" s="12">
        <v>0</v>
      </c>
      <c r="BD66" s="12">
        <v>0</v>
      </c>
      <c r="BE66" s="12">
        <v>0</v>
      </c>
      <c r="BG66" s="22">
        <f t="shared" si="13"/>
        <v>1.3196552917417983</v>
      </c>
      <c r="BH66" s="22">
        <f t="shared" si="14"/>
        <v>1.2455560524921498</v>
      </c>
    </row>
    <row r="67" spans="1:60">
      <c r="A67">
        <v>1988</v>
      </c>
      <c r="B67" s="3">
        <f t="shared" si="0"/>
        <v>147.15848997318159</v>
      </c>
      <c r="C67" s="3">
        <f t="shared" si="1"/>
        <v>54.227069431021505</v>
      </c>
      <c r="D67" s="2">
        <v>102.827</v>
      </c>
      <c r="E67" s="2">
        <v>77.605819999999994</v>
      </c>
      <c r="F67" s="2">
        <f t="shared" si="15"/>
        <v>79.799736531400001</v>
      </c>
      <c r="G67" s="2">
        <v>0.89693289951944677</v>
      </c>
      <c r="H67" s="2">
        <f t="shared" si="16"/>
        <v>0.7157500906799652</v>
      </c>
      <c r="I67" s="32">
        <f t="shared" si="2"/>
        <v>0.7157500906799652</v>
      </c>
      <c r="J67" s="32">
        <f t="shared" si="3"/>
        <v>0.76688960449053867</v>
      </c>
      <c r="P67" s="32">
        <f t="shared" si="4"/>
        <v>0.26482753355158711</v>
      </c>
      <c r="Q67" s="32">
        <f t="shared" si="5"/>
        <v>0.31596704736216064</v>
      </c>
      <c r="S67" s="2">
        <f>USA!Z75*G67</f>
        <v>14.324018405325566</v>
      </c>
      <c r="T67" s="2">
        <v>0</v>
      </c>
      <c r="U67" s="2">
        <v>1</v>
      </c>
      <c r="V67" s="2">
        <v>0</v>
      </c>
      <c r="X67" s="2">
        <v>0.63</v>
      </c>
      <c r="Y67" s="2">
        <f t="shared" si="6"/>
        <v>0.33163087534838387</v>
      </c>
      <c r="Z67" s="2">
        <v>0.2</v>
      </c>
      <c r="AA67" s="2">
        <f t="shared" si="17"/>
        <v>0.11929168177999422</v>
      </c>
      <c r="AB67" s="2">
        <f t="shared" si="18"/>
        <v>0.45092255712837809</v>
      </c>
      <c r="AC67" s="2">
        <f t="shared" si="25"/>
        <v>0.45092255712837809</v>
      </c>
      <c r="AG67" s="2">
        <v>0.2</v>
      </c>
      <c r="AM67">
        <v>1988</v>
      </c>
      <c r="AN67" s="1">
        <f t="shared" si="19"/>
        <v>0.7157500906799652</v>
      </c>
      <c r="AO67" s="1">
        <f t="shared" si="20"/>
        <v>0.33163087534838387</v>
      </c>
      <c r="AP67" s="1">
        <f t="shared" si="21"/>
        <v>0.11929168177999422</v>
      </c>
      <c r="AQ67" s="1">
        <f t="shared" si="22"/>
        <v>0.45092255712837809</v>
      </c>
      <c r="AR67" s="22">
        <f t="shared" si="7"/>
        <v>0.26482753355158711</v>
      </c>
      <c r="AT67" s="7">
        <v>62.211031984908331</v>
      </c>
      <c r="AV67" s="22">
        <f t="shared" si="8"/>
        <v>1.1505195587393533</v>
      </c>
      <c r="AW67" s="22">
        <f t="shared" si="23"/>
        <v>1.1803367978543786</v>
      </c>
      <c r="AX67" s="1">
        <f t="shared" si="9"/>
        <v>0.72482732200579258</v>
      </c>
      <c r="AY67" s="1">
        <f t="shared" si="24"/>
        <v>0.42569223673356071</v>
      </c>
      <c r="AZ67" s="1">
        <f t="shared" si="11"/>
        <v>0.45550947584858614</v>
      </c>
      <c r="BA67" s="3">
        <f t="shared" si="12"/>
        <v>23.024884732342016</v>
      </c>
      <c r="BB67" s="23">
        <v>0.5</v>
      </c>
      <c r="BC67" s="12">
        <v>0</v>
      </c>
      <c r="BD67" s="12">
        <v>0</v>
      </c>
      <c r="BE67" s="12">
        <v>0</v>
      </c>
      <c r="BG67" s="22">
        <f t="shared" si="13"/>
        <v>1.2977277170492123</v>
      </c>
      <c r="BH67" s="22">
        <f t="shared" si="14"/>
        <v>1.3313600506775523</v>
      </c>
    </row>
    <row r="68" spans="1:60">
      <c r="A68">
        <v>1989</v>
      </c>
      <c r="B68" s="3">
        <f t="shared" si="0"/>
        <v>145.18496592139536</v>
      </c>
      <c r="C68" s="3">
        <f t="shared" si="1"/>
        <v>56.844608024141067</v>
      </c>
      <c r="D68" s="2">
        <v>101.44799999999999</v>
      </c>
      <c r="E68" s="2">
        <v>81.351849999999999</v>
      </c>
      <c r="F68" s="2">
        <f t="shared" si="15"/>
        <v>82.529824787999985</v>
      </c>
      <c r="G68" s="2">
        <v>0.96234985547100116</v>
      </c>
      <c r="H68" s="2">
        <f t="shared" si="16"/>
        <v>0.79422564956778829</v>
      </c>
      <c r="I68" s="32">
        <f t="shared" si="2"/>
        <v>0.79422564956778829</v>
      </c>
      <c r="J68" s="32">
        <f t="shared" si="3"/>
        <v>0.78015154303819401</v>
      </c>
      <c r="P68" s="32">
        <f t="shared" si="4"/>
        <v>0.27003672085304797</v>
      </c>
      <c r="Q68" s="32">
        <f t="shared" si="5"/>
        <v>0.25596261432345369</v>
      </c>
      <c r="S68" s="2">
        <f>USA!Z76*G68</f>
        <v>18.900551161450462</v>
      </c>
      <c r="T68" s="2">
        <v>0</v>
      </c>
      <c r="U68" s="2">
        <v>0</v>
      </c>
      <c r="V68" s="2">
        <v>0</v>
      </c>
      <c r="X68" s="2">
        <v>0.66</v>
      </c>
      <c r="Y68" s="2">
        <f t="shared" si="6"/>
        <v>0.40019589481597173</v>
      </c>
      <c r="Z68" s="2">
        <v>0.185</v>
      </c>
      <c r="AA68" s="2">
        <f t="shared" si="17"/>
        <v>0.12399303389876862</v>
      </c>
      <c r="AB68" s="2">
        <f t="shared" si="18"/>
        <v>0.52418892871474032</v>
      </c>
      <c r="AC68" s="2">
        <f t="shared" si="25"/>
        <v>0.52418892871474032</v>
      </c>
      <c r="AG68" s="2">
        <v>0.185</v>
      </c>
      <c r="AM68">
        <v>1989</v>
      </c>
      <c r="AN68" s="1">
        <f t="shared" si="19"/>
        <v>0.79422564956778829</v>
      </c>
      <c r="AO68" s="1">
        <f t="shared" si="20"/>
        <v>0.40019589481597173</v>
      </c>
      <c r="AP68" s="1">
        <f t="shared" si="21"/>
        <v>0.12399303389876862</v>
      </c>
      <c r="AQ68" s="1">
        <f t="shared" si="22"/>
        <v>0.52418892871474032</v>
      </c>
      <c r="AR68" s="22">
        <f t="shared" si="7"/>
        <v>0.27003672085304797</v>
      </c>
      <c r="AT68" s="7">
        <v>62.884255510746534</v>
      </c>
      <c r="AV68" s="22">
        <f t="shared" si="8"/>
        <v>1.2629960283652559</v>
      </c>
      <c r="AW68" s="22">
        <f t="shared" si="23"/>
        <v>1.216371694591655</v>
      </c>
      <c r="AX68" s="1">
        <f t="shared" si="9"/>
        <v>0.83357737872106896</v>
      </c>
      <c r="AY68" s="1">
        <f t="shared" si="24"/>
        <v>0.42941864964418697</v>
      </c>
      <c r="AZ68" s="1">
        <f t="shared" si="11"/>
        <v>0.3827943158705861</v>
      </c>
      <c r="BA68" s="3">
        <f t="shared" si="12"/>
        <v>30.056094340212823</v>
      </c>
      <c r="BB68">
        <v>0</v>
      </c>
      <c r="BC68" s="12">
        <v>0</v>
      </c>
      <c r="BD68" s="12">
        <v>0</v>
      </c>
      <c r="BE68" s="12">
        <v>0</v>
      </c>
      <c r="BG68" s="22">
        <f t="shared" si="13"/>
        <v>1.4245954708745479</v>
      </c>
      <c r="BH68" s="22">
        <f t="shared" si="14"/>
        <v>1.3720055867936087</v>
      </c>
    </row>
    <row r="69" spans="1:60">
      <c r="A69">
        <v>1990</v>
      </c>
      <c r="B69" s="3">
        <f t="shared" si="0"/>
        <v>146.1624256221713</v>
      </c>
      <c r="C69" s="3">
        <f t="shared" si="1"/>
        <v>59.913057002261802</v>
      </c>
      <c r="D69" s="2">
        <v>102.131</v>
      </c>
      <c r="E69" s="2">
        <v>85.743189999999998</v>
      </c>
      <c r="F69" s="2">
        <f t="shared" si="15"/>
        <v>87.570377378899991</v>
      </c>
      <c r="G69" s="2">
        <v>0.82630654668717751</v>
      </c>
      <c r="H69" s="2">
        <f t="shared" si="16"/>
        <v>0.72359976124051784</v>
      </c>
      <c r="I69" s="32">
        <f t="shared" si="2"/>
        <v>0.72359976124051784</v>
      </c>
      <c r="J69" s="32">
        <f t="shared" si="3"/>
        <v>0.74458043164163135</v>
      </c>
      <c r="P69" s="32">
        <f t="shared" si="4"/>
        <v>0.24563270990760999</v>
      </c>
      <c r="Q69" s="32">
        <f t="shared" si="5"/>
        <v>0.2666133803087235</v>
      </c>
      <c r="S69" s="2">
        <f>USA!Z77*G69</f>
        <v>20.269299590236464</v>
      </c>
      <c r="T69" s="2">
        <v>0</v>
      </c>
      <c r="U69" s="2">
        <v>0</v>
      </c>
      <c r="V69" s="2">
        <v>0</v>
      </c>
      <c r="X69" s="2">
        <v>0.66</v>
      </c>
      <c r="Y69" s="32">
        <v>0.36499999999999999</v>
      </c>
      <c r="Z69" s="2">
        <v>0.185</v>
      </c>
      <c r="AA69" s="2">
        <f t="shared" si="17"/>
        <v>0.11296705133290783</v>
      </c>
      <c r="AB69" s="2">
        <f t="shared" ref="AB69:AB96" si="26">Y69+AA69</f>
        <v>0.47796705133290784</v>
      </c>
      <c r="AC69" s="2">
        <f t="shared" si="25"/>
        <v>0.47757584241874179</v>
      </c>
      <c r="AG69" s="2">
        <v>0.185</v>
      </c>
      <c r="AM69">
        <v>1990</v>
      </c>
      <c r="AN69" s="1">
        <f t="shared" si="19"/>
        <v>0.72359976124051784</v>
      </c>
      <c r="AO69" s="1">
        <f t="shared" si="20"/>
        <v>0.36499999999999999</v>
      </c>
      <c r="AP69" s="1">
        <f t="shared" si="21"/>
        <v>0.11296705133290783</v>
      </c>
      <c r="AQ69" s="1">
        <f t="shared" si="22"/>
        <v>0.47796705133290784</v>
      </c>
      <c r="AR69" s="22">
        <f t="shared" si="7"/>
        <v>0.24563270990760999</v>
      </c>
      <c r="AT69" s="7">
        <v>64.427491107967654</v>
      </c>
      <c r="AV69" s="22">
        <f t="shared" si="8"/>
        <v>1.1231226744929561</v>
      </c>
      <c r="AW69" s="22">
        <f t="shared" si="23"/>
        <v>1.1328047745862213</v>
      </c>
      <c r="AX69" s="1">
        <f t="shared" si="9"/>
        <v>0.7418681732180602</v>
      </c>
      <c r="AY69" s="1">
        <f t="shared" si="24"/>
        <v>0.38125450127489591</v>
      </c>
      <c r="AZ69" s="1">
        <f t="shared" si="11"/>
        <v>0.39093660136816111</v>
      </c>
      <c r="BA69" s="3">
        <f t="shared" si="12"/>
        <v>31.460637752088083</v>
      </c>
      <c r="BB69">
        <v>0</v>
      </c>
      <c r="BC69" s="12">
        <v>0</v>
      </c>
      <c r="BD69" s="12">
        <v>0</v>
      </c>
      <c r="BE69" s="12">
        <v>0</v>
      </c>
      <c r="BG69" s="22">
        <f t="shared" si="13"/>
        <v>1.2668254209715208</v>
      </c>
      <c r="BH69" s="22">
        <f t="shared" si="14"/>
        <v>1.2777463388775514</v>
      </c>
    </row>
    <row r="70" spans="1:60">
      <c r="A70">
        <v>1991</v>
      </c>
      <c r="B70" s="3">
        <f t="shared" si="0"/>
        <v>157.99784542512393</v>
      </c>
      <c r="C70" s="3">
        <f t="shared" si="1"/>
        <v>62.450351141377027</v>
      </c>
      <c r="D70" s="2">
        <v>110.401</v>
      </c>
      <c r="E70" s="2">
        <v>89.374380000000002</v>
      </c>
      <c r="F70" s="2">
        <f t="shared" si="15"/>
        <v>98.670209263800004</v>
      </c>
      <c r="G70" s="2">
        <v>0.84841925661724982</v>
      </c>
      <c r="H70" s="2">
        <f t="shared" si="16"/>
        <v>0.83713705593861676</v>
      </c>
      <c r="I70" s="32">
        <f t="shared" si="2"/>
        <v>0.83713705593861676</v>
      </c>
      <c r="J70" s="32">
        <f t="shared" si="3"/>
        <v>0.79678685652788084</v>
      </c>
      <c r="P70" s="32">
        <f t="shared" si="4"/>
        <v>0.29144477294398041</v>
      </c>
      <c r="Q70" s="32">
        <f t="shared" si="5"/>
        <v>0.25109457353324449</v>
      </c>
      <c r="S70" s="2">
        <f>USA!Z78*G70</f>
        <v>18.274950787535559</v>
      </c>
      <c r="T70" s="2">
        <v>0</v>
      </c>
      <c r="U70" s="2">
        <v>0</v>
      </c>
      <c r="V70" s="2">
        <v>0</v>
      </c>
      <c r="X70" s="2">
        <v>0.66</v>
      </c>
      <c r="Y70" s="32">
        <v>0.41499999999999998</v>
      </c>
      <c r="Z70" s="2">
        <v>0.185</v>
      </c>
      <c r="AA70" s="2">
        <f t="shared" si="17"/>
        <v>0.13069228299463637</v>
      </c>
      <c r="AB70" s="2">
        <f t="shared" si="26"/>
        <v>0.54569228299463635</v>
      </c>
      <c r="AC70" s="2">
        <f t="shared" si="25"/>
        <v>0.55251045691948708</v>
      </c>
      <c r="AG70" s="2">
        <v>0.185</v>
      </c>
      <c r="AM70">
        <v>1991</v>
      </c>
      <c r="AN70" s="1">
        <f t="shared" si="19"/>
        <v>0.83713705593861676</v>
      </c>
      <c r="AO70" s="1">
        <f t="shared" si="20"/>
        <v>0.41499999999999998</v>
      </c>
      <c r="AP70" s="1">
        <f t="shared" si="21"/>
        <v>0.13069228299463637</v>
      </c>
      <c r="AQ70" s="1">
        <f t="shared" si="22"/>
        <v>0.54569228299463635</v>
      </c>
      <c r="AR70" s="22">
        <f t="shared" si="7"/>
        <v>0.29144477294398041</v>
      </c>
      <c r="AT70" s="7">
        <v>66.462242064964229</v>
      </c>
      <c r="AV70" s="22">
        <f t="shared" si="8"/>
        <v>1.2595678838525313</v>
      </c>
      <c r="AW70" s="22">
        <f t="shared" si="23"/>
        <v>1.1890135634725723</v>
      </c>
      <c r="AX70" s="1">
        <f t="shared" si="9"/>
        <v>0.82105608544057773</v>
      </c>
      <c r="AY70" s="1">
        <f t="shared" si="24"/>
        <v>0.43851179841195354</v>
      </c>
      <c r="AZ70" s="1">
        <f t="shared" si="11"/>
        <v>0.36795747803199441</v>
      </c>
      <c r="BA70" s="3">
        <f t="shared" si="12"/>
        <v>27.496741337243051</v>
      </c>
      <c r="BB70">
        <v>0</v>
      </c>
      <c r="BC70" s="12">
        <v>0</v>
      </c>
      <c r="BD70" s="12">
        <v>0</v>
      </c>
      <c r="BE70" s="12">
        <v>0</v>
      </c>
      <c r="BG70" s="22">
        <f t="shared" si="13"/>
        <v>1.4207286977124403</v>
      </c>
      <c r="BH70" s="22">
        <f t="shared" si="14"/>
        <v>1.3411470022782774</v>
      </c>
    </row>
    <row r="71" spans="1:60">
      <c r="A71">
        <v>1992</v>
      </c>
      <c r="B71" s="3">
        <f t="shared" si="0"/>
        <v>154.42575258012155</v>
      </c>
      <c r="C71" s="3">
        <f t="shared" si="1"/>
        <v>64.341860498266513</v>
      </c>
      <c r="D71" s="2">
        <v>107.905</v>
      </c>
      <c r="E71" s="2">
        <v>92.081370000000007</v>
      </c>
      <c r="F71" s="2">
        <f t="shared" si="15"/>
        <v>99.360402298500006</v>
      </c>
      <c r="G71" s="2">
        <v>0.79795889658802654</v>
      </c>
      <c r="H71" s="2">
        <f t="shared" si="16"/>
        <v>0.79285516982653481</v>
      </c>
      <c r="I71" s="32">
        <f t="shared" si="2"/>
        <v>0.79285516982653481</v>
      </c>
      <c r="J71" s="32">
        <f t="shared" si="3"/>
        <v>0.8164550710977978</v>
      </c>
      <c r="P71" s="32">
        <f t="shared" si="4"/>
        <v>0.21307609268062011</v>
      </c>
      <c r="Q71" s="32">
        <f t="shared" si="5"/>
        <v>0.23667599395188305</v>
      </c>
      <c r="S71" s="2">
        <f>USA!Z79*G71</f>
        <v>16.421994091781585</v>
      </c>
      <c r="T71" s="2">
        <v>0</v>
      </c>
      <c r="U71" s="2">
        <v>0</v>
      </c>
      <c r="V71" s="2">
        <v>0</v>
      </c>
      <c r="X71" s="2">
        <v>0.66</v>
      </c>
      <c r="Y71" s="32">
        <v>0.45600000000000002</v>
      </c>
      <c r="Z71" s="2">
        <v>0.185</v>
      </c>
      <c r="AA71" s="2">
        <f t="shared" si="17"/>
        <v>0.12377907714591471</v>
      </c>
      <c r="AB71" s="2">
        <f t="shared" si="26"/>
        <v>0.5797790771459147</v>
      </c>
      <c r="AC71" s="2">
        <f t="shared" si="25"/>
        <v>0.52328441208551302</v>
      </c>
      <c r="AG71" s="2">
        <v>0.185</v>
      </c>
      <c r="AM71">
        <v>1992</v>
      </c>
      <c r="AN71" s="1">
        <f t="shared" si="19"/>
        <v>0.79285516982653481</v>
      </c>
      <c r="AO71" s="1">
        <f t="shared" si="20"/>
        <v>0.45600000000000002</v>
      </c>
      <c r="AP71" s="1">
        <f t="shared" si="21"/>
        <v>0.12377907714591471</v>
      </c>
      <c r="AQ71" s="1">
        <f t="shared" si="22"/>
        <v>0.5797790771459147</v>
      </c>
      <c r="AR71" s="22">
        <f t="shared" si="7"/>
        <v>0.21307609268062011</v>
      </c>
      <c r="AT71" s="7">
        <v>68.578121375518435</v>
      </c>
      <c r="AV71" s="22">
        <f t="shared" si="8"/>
        <v>1.1561342800352279</v>
      </c>
      <c r="AW71" s="22">
        <f t="shared" si="23"/>
        <v>1.1928044382935414</v>
      </c>
      <c r="AX71" s="1">
        <f t="shared" si="9"/>
        <v>0.84542863746758878</v>
      </c>
      <c r="AY71" s="1">
        <f t="shared" si="24"/>
        <v>0.31070564256763911</v>
      </c>
      <c r="AZ71" s="1">
        <f t="shared" si="11"/>
        <v>0.34737580082595265</v>
      </c>
      <c r="BA71" s="3">
        <f t="shared" si="12"/>
        <v>23.946404133555106</v>
      </c>
      <c r="BB71">
        <v>0</v>
      </c>
      <c r="BC71" s="12">
        <v>0</v>
      </c>
      <c r="BD71" s="12">
        <v>0</v>
      </c>
      <c r="BE71" s="12">
        <v>0</v>
      </c>
      <c r="BG71" s="22">
        <f t="shared" si="13"/>
        <v>1.3040608379369154</v>
      </c>
      <c r="BH71" s="22">
        <f t="shared" si="14"/>
        <v>1.3454229168332859</v>
      </c>
    </row>
    <row r="72" spans="1:60">
      <c r="A72">
        <v>1993</v>
      </c>
      <c r="B72" s="3">
        <f t="shared" si="0"/>
        <v>142.70611094670443</v>
      </c>
      <c r="C72" s="3">
        <f t="shared" si="1"/>
        <v>66.241014180537462</v>
      </c>
      <c r="D72" s="2">
        <v>99.715900000000005</v>
      </c>
      <c r="E72" s="2">
        <v>94.799300000000002</v>
      </c>
      <c r="F72" s="2">
        <f t="shared" si="15"/>
        <v>94.529975188700007</v>
      </c>
      <c r="G72" s="2">
        <v>0.84281053314637588</v>
      </c>
      <c r="H72" s="2">
        <f t="shared" si="16"/>
        <v>0.79670858787101939</v>
      </c>
      <c r="I72" s="32">
        <f t="shared" si="2"/>
        <v>0.79670858787101939</v>
      </c>
      <c r="J72" s="32">
        <f t="shared" si="3"/>
        <v>0.80541709506444492</v>
      </c>
      <c r="P72" s="32">
        <f t="shared" si="4"/>
        <v>0.22104986201788879</v>
      </c>
      <c r="Q72" s="32">
        <f t="shared" si="5"/>
        <v>0.22975836921131432</v>
      </c>
      <c r="S72" s="2">
        <f>USA!Z80*G72</f>
        <v>15.532998125887707</v>
      </c>
      <c r="T72" s="2">
        <v>0</v>
      </c>
      <c r="U72" s="2">
        <v>0</v>
      </c>
      <c r="V72" s="2">
        <v>0</v>
      </c>
      <c r="X72" s="2">
        <v>0.68</v>
      </c>
      <c r="Y72" s="32">
        <v>0.45700000000000002</v>
      </c>
      <c r="Z72" s="2">
        <v>0.17499999999999999</v>
      </c>
      <c r="AA72" s="2">
        <f t="shared" si="17"/>
        <v>0.11865872585313054</v>
      </c>
      <c r="AB72" s="2">
        <f t="shared" si="26"/>
        <v>0.5756587258531306</v>
      </c>
      <c r="AC72" s="2">
        <f t="shared" si="25"/>
        <v>0.5417618397522932</v>
      </c>
      <c r="AG72" s="2">
        <v>0.17499999999999999</v>
      </c>
      <c r="AM72">
        <v>1993</v>
      </c>
      <c r="AN72" s="1">
        <f t="shared" si="19"/>
        <v>0.79670858787101939</v>
      </c>
      <c r="AO72" s="1">
        <f t="shared" si="20"/>
        <v>0.45700000000000002</v>
      </c>
      <c r="AP72" s="1">
        <f t="shared" si="21"/>
        <v>0.11865872585313054</v>
      </c>
      <c r="AQ72" s="1">
        <f t="shared" si="22"/>
        <v>0.5756587258531306</v>
      </c>
      <c r="AR72" s="22">
        <f t="shared" si="7"/>
        <v>0.22104986201788879</v>
      </c>
      <c r="AT72" s="7">
        <v>70.350304844042725</v>
      </c>
      <c r="AV72" s="22">
        <f t="shared" si="8"/>
        <v>1.1324877548678951</v>
      </c>
      <c r="AW72" s="22">
        <f t="shared" si="23"/>
        <v>1.1548278543699508</v>
      </c>
      <c r="AX72" s="1">
        <f t="shared" si="9"/>
        <v>0.81827467148762112</v>
      </c>
      <c r="AY72" s="1">
        <f t="shared" si="24"/>
        <v>0.31421308338027398</v>
      </c>
      <c r="AZ72" s="1">
        <f t="shared" si="11"/>
        <v>0.33655318288232983</v>
      </c>
      <c r="BA72" s="3">
        <f t="shared" si="12"/>
        <v>22.079503650086945</v>
      </c>
      <c r="BB72">
        <v>0</v>
      </c>
      <c r="BC72" s="12">
        <v>0</v>
      </c>
      <c r="BD72" s="12">
        <v>0</v>
      </c>
      <c r="BE72" s="12">
        <v>0</v>
      </c>
      <c r="BG72" s="22">
        <f t="shared" si="13"/>
        <v>1.2773887567120001</v>
      </c>
      <c r="BH72" s="22">
        <f t="shared" si="14"/>
        <v>1.3025872560380103</v>
      </c>
    </row>
    <row r="73" spans="1:60">
      <c r="A73">
        <v>1994</v>
      </c>
      <c r="B73" s="3">
        <f t="shared" si="0"/>
        <v>156.80857893706425</v>
      </c>
      <c r="C73" s="3">
        <f t="shared" si="1"/>
        <v>67.968212466727536</v>
      </c>
      <c r="D73" s="2">
        <v>109.57</v>
      </c>
      <c r="E73" s="2">
        <v>97.271140000000003</v>
      </c>
      <c r="F73" s="2">
        <f t="shared" si="15"/>
        <v>106.579988098</v>
      </c>
      <c r="G73" s="2">
        <v>0.8258754554818919</v>
      </c>
      <c r="H73" s="2">
        <f t="shared" si="16"/>
        <v>0.88021796215690373</v>
      </c>
      <c r="I73" s="32">
        <f t="shared" si="2"/>
        <v>0.88021796215690373</v>
      </c>
      <c r="J73" s="32">
        <f t="shared" si="3"/>
        <v>0.85852143951215276</v>
      </c>
      <c r="P73" s="32">
        <f t="shared" si="4"/>
        <v>0.24112166992076911</v>
      </c>
      <c r="Q73" s="32">
        <f t="shared" si="5"/>
        <v>0.21942514727601814</v>
      </c>
      <c r="S73" s="2">
        <f>USA!Z81*G73</f>
        <v>14.205057834288541</v>
      </c>
      <c r="T73" s="2">
        <v>0</v>
      </c>
      <c r="U73" s="2">
        <v>0</v>
      </c>
      <c r="V73" s="2">
        <v>0</v>
      </c>
      <c r="X73" s="2">
        <v>0.69</v>
      </c>
      <c r="Y73" s="32">
        <v>0.50800000000000001</v>
      </c>
      <c r="Z73" s="2">
        <v>0.17499999999999999</v>
      </c>
      <c r="AA73" s="2">
        <f t="shared" si="17"/>
        <v>0.13109629223613459</v>
      </c>
      <c r="AB73" s="2">
        <f t="shared" si="26"/>
        <v>0.63909629223613462</v>
      </c>
      <c r="AC73" s="2">
        <f t="shared" si="25"/>
        <v>0.60735039388826351</v>
      </c>
      <c r="AG73" s="2">
        <v>0.17499999999999999</v>
      </c>
      <c r="AM73">
        <v>1994</v>
      </c>
      <c r="AN73" s="1">
        <f t="shared" si="19"/>
        <v>0.88021796215690373</v>
      </c>
      <c r="AO73" s="1">
        <f t="shared" si="20"/>
        <v>0.50800000000000001</v>
      </c>
      <c r="AP73" s="1">
        <f t="shared" si="21"/>
        <v>0.13109629223613459</v>
      </c>
      <c r="AQ73" s="1">
        <f t="shared" si="22"/>
        <v>0.63909629223613462</v>
      </c>
      <c r="AR73" s="22">
        <f t="shared" si="7"/>
        <v>0.24112166992076911</v>
      </c>
      <c r="AT73" s="7">
        <v>72.321187628830899</v>
      </c>
      <c r="AV73" s="22">
        <f t="shared" si="8"/>
        <v>1.2170955580464005</v>
      </c>
      <c r="AW73" s="22">
        <f t="shared" si="23"/>
        <v>1.2061121999898154</v>
      </c>
      <c r="AX73" s="1">
        <f t="shared" si="9"/>
        <v>0.88369164444052684</v>
      </c>
      <c r="AY73" s="1">
        <f t="shared" si="24"/>
        <v>0.33340391360587363</v>
      </c>
      <c r="AZ73" s="1">
        <f t="shared" si="11"/>
        <v>0.32242055554928867</v>
      </c>
      <c r="BA73" s="3">
        <f t="shared" si="12"/>
        <v>19.641626886981157</v>
      </c>
      <c r="BB73">
        <v>0</v>
      </c>
      <c r="BC73" s="12">
        <v>0</v>
      </c>
      <c r="BD73" s="12">
        <v>0</v>
      </c>
      <c r="BE73" s="12">
        <v>0</v>
      </c>
      <c r="BG73" s="22">
        <f t="shared" si="13"/>
        <v>1.3728220680619601</v>
      </c>
      <c r="BH73" s="22">
        <f t="shared" si="14"/>
        <v>1.3604333971627673</v>
      </c>
    </row>
    <row r="74" spans="1:60">
      <c r="A74">
        <v>1995</v>
      </c>
      <c r="B74" s="3">
        <f t="shared" si="0"/>
        <v>166.32557309542401</v>
      </c>
      <c r="C74" s="3">
        <f t="shared" si="1"/>
        <v>69.875003486879606</v>
      </c>
      <c r="D74" s="2">
        <v>116.22</v>
      </c>
      <c r="E74" s="2">
        <v>100</v>
      </c>
      <c r="F74" s="2">
        <f t="shared" si="15"/>
        <v>116.22</v>
      </c>
      <c r="G74" s="2">
        <v>0.72862581737161425</v>
      </c>
      <c r="H74" s="2">
        <f t="shared" si="16"/>
        <v>0.84680892494929016</v>
      </c>
      <c r="I74" s="32">
        <f>H74</f>
        <v>0.84680892494929016</v>
      </c>
      <c r="J74" s="32">
        <f t="shared" si="3"/>
        <v>0.8475035001023844</v>
      </c>
      <c r="M74" s="2">
        <f>G74*N74/100</f>
        <v>0.8816372390196533</v>
      </c>
      <c r="N74" s="39">
        <v>121</v>
      </c>
      <c r="P74" s="32">
        <f t="shared" si="4"/>
        <v>0.21268844676535326</v>
      </c>
      <c r="Q74" s="32">
        <f t="shared" si="5"/>
        <v>0.21338302191844749</v>
      </c>
      <c r="S74" s="2">
        <f>USA!Z82*G74</f>
        <v>13.428573814158851</v>
      </c>
      <c r="T74" s="2">
        <v>0</v>
      </c>
      <c r="U74" s="2">
        <v>0</v>
      </c>
      <c r="V74" s="2">
        <v>0</v>
      </c>
      <c r="X74" s="2">
        <v>0.74</v>
      </c>
      <c r="Y74" s="32">
        <v>0.50800000000000001</v>
      </c>
      <c r="Z74" s="2">
        <v>0.17499999999999999</v>
      </c>
      <c r="AA74" s="2">
        <f t="shared" si="17"/>
        <v>0.12612047818393685</v>
      </c>
      <c r="AB74" s="2">
        <f t="shared" si="26"/>
        <v>0.63412047818393691</v>
      </c>
      <c r="AC74" s="2">
        <f t="shared" si="25"/>
        <v>0.62663860446247477</v>
      </c>
      <c r="AG74" s="2">
        <v>0.17499999999999999</v>
      </c>
      <c r="AM74">
        <v>1995</v>
      </c>
      <c r="AN74" s="1">
        <f t="shared" si="19"/>
        <v>0.84680892494929016</v>
      </c>
      <c r="AO74" s="1">
        <f t="shared" si="20"/>
        <v>0.50800000000000001</v>
      </c>
      <c r="AP74" s="1">
        <f t="shared" si="21"/>
        <v>0.12612047818393685</v>
      </c>
      <c r="AQ74" s="1">
        <f t="shared" si="22"/>
        <v>0.63412047818393691</v>
      </c>
      <c r="AR74" s="22">
        <f t="shared" si="7"/>
        <v>0.21268844676535326</v>
      </c>
      <c r="AT74" s="7">
        <v>73.712083173546105</v>
      </c>
      <c r="AV74" s="22">
        <f t="shared" si="8"/>
        <v>1.1488061230824014</v>
      </c>
      <c r="AW74" s="22">
        <f t="shared" si="23"/>
        <v>1.1744319959722993</v>
      </c>
      <c r="AX74" s="1">
        <f t="shared" si="9"/>
        <v>0.86026666305302701</v>
      </c>
      <c r="AY74" s="1">
        <f t="shared" si="24"/>
        <v>0.28853946002937436</v>
      </c>
      <c r="AZ74" s="1">
        <f t="shared" si="11"/>
        <v>0.31416533291927229</v>
      </c>
      <c r="BA74" s="3">
        <f t="shared" si="12"/>
        <v>18.217601831361776</v>
      </c>
      <c r="BB74">
        <v>0</v>
      </c>
      <c r="BC74" s="12">
        <v>0</v>
      </c>
      <c r="BD74" s="12">
        <v>0</v>
      </c>
      <c r="BE74" s="12">
        <v>0</v>
      </c>
      <c r="BG74" s="22">
        <f t="shared" si="13"/>
        <v>1.2957950485200103</v>
      </c>
      <c r="BH74" s="22">
        <f t="shared" si="14"/>
        <v>1.3246997335991926</v>
      </c>
    </row>
    <row r="75" spans="1:60">
      <c r="A75">
        <v>1996</v>
      </c>
      <c r="B75" s="3">
        <f t="shared" si="0"/>
        <v>164.55787058885915</v>
      </c>
      <c r="C75" s="3">
        <f t="shared" si="1"/>
        <v>71.923179589087013</v>
      </c>
      <c r="D75" s="2">
        <v>117.515</v>
      </c>
      <c r="E75" s="2">
        <v>102.9312</v>
      </c>
      <c r="F75" s="2">
        <f t="shared" si="15"/>
        <v>120.95959968000001</v>
      </c>
      <c r="G75" s="2">
        <v>0.76502806630636511</v>
      </c>
      <c r="H75" s="2">
        <f t="shared" si="16"/>
        <v>0.92537488644382426</v>
      </c>
      <c r="I75" s="32">
        <f>K75</f>
        <v>0.90545090180360732</v>
      </c>
      <c r="J75" s="32">
        <f t="shared" si="3"/>
        <v>0.89442439941028917</v>
      </c>
      <c r="K75" s="2">
        <f>K$79*L75/L$79</f>
        <v>0.90545090180360732</v>
      </c>
      <c r="L75" s="2">
        <v>77.900000000000006</v>
      </c>
      <c r="M75" s="2">
        <f t="shared" ref="M75:M87" si="27">G75*N75/100</f>
        <v>0.90783330535022</v>
      </c>
      <c r="N75" s="2">
        <f>N74+(N$77-N$74)/3</f>
        <v>118.66666666666667</v>
      </c>
      <c r="P75" s="32">
        <f t="shared" si="4"/>
        <v>0.25159651217328283</v>
      </c>
      <c r="Q75" s="32">
        <f t="shared" si="5"/>
        <v>0.24057000977996471</v>
      </c>
      <c r="S75" s="2">
        <f>USA!Z83*G75</f>
        <v>16.922420826696797</v>
      </c>
      <c r="T75" s="2">
        <v>0</v>
      </c>
      <c r="U75" s="2">
        <v>0</v>
      </c>
      <c r="V75" s="2">
        <v>0</v>
      </c>
      <c r="X75" s="2">
        <v>0.74299999999999999</v>
      </c>
      <c r="Y75" s="32">
        <v>0.51900000000000002</v>
      </c>
      <c r="Z75" s="2">
        <v>0.17499999999999999</v>
      </c>
      <c r="AA75" s="2">
        <f t="shared" si="17"/>
        <v>0.13485438963032448</v>
      </c>
      <c r="AB75" s="2">
        <f t="shared" si="26"/>
        <v>0.6538543896303245</v>
      </c>
      <c r="AC75" s="2">
        <f t="shared" si="25"/>
        <v>0.67275002004008022</v>
      </c>
      <c r="AG75" s="2">
        <v>0.17499999999999999</v>
      </c>
      <c r="AM75">
        <v>1996</v>
      </c>
      <c r="AN75" s="1">
        <f t="shared" si="19"/>
        <v>0.90545090180360732</v>
      </c>
      <c r="AO75" s="1">
        <f t="shared" si="20"/>
        <v>0.51900000000000002</v>
      </c>
      <c r="AP75" s="1">
        <f t="shared" si="21"/>
        <v>0.13485438963032448</v>
      </c>
      <c r="AQ75" s="1">
        <f t="shared" si="22"/>
        <v>0.6538543896303245</v>
      </c>
      <c r="AR75" s="22">
        <f t="shared" si="7"/>
        <v>0.25159651217328283</v>
      </c>
      <c r="AT75" s="7">
        <v>75.171003043408575</v>
      </c>
      <c r="AV75" s="22">
        <f t="shared" si="8"/>
        <v>1.2045215111480443</v>
      </c>
      <c r="AW75" s="22">
        <f t="shared" si="23"/>
        <v>1.2088824502481839</v>
      </c>
      <c r="AX75" s="1">
        <f t="shared" si="9"/>
        <v>0.86982262196600857</v>
      </c>
      <c r="AY75" s="1">
        <f t="shared" si="24"/>
        <v>0.33469888918203572</v>
      </c>
      <c r="AZ75" s="1">
        <f t="shared" si="11"/>
        <v>0.33905982828217524</v>
      </c>
      <c r="BA75" s="3">
        <f t="shared" si="12"/>
        <v>22.511899724052771</v>
      </c>
      <c r="BB75">
        <v>0</v>
      </c>
      <c r="BC75" s="12">
        <v>0</v>
      </c>
      <c r="BD75" s="12">
        <v>0</v>
      </c>
      <c r="BE75" s="12">
        <v>0</v>
      </c>
      <c r="BG75" s="22">
        <f t="shared" si="13"/>
        <v>1.358639180816346</v>
      </c>
      <c r="BH75" s="22">
        <f t="shared" si="14"/>
        <v>1.3635580989691292</v>
      </c>
    </row>
    <row r="76" spans="1:60">
      <c r="A76">
        <v>1997</v>
      </c>
      <c r="B76" s="3">
        <f t="shared" si="0"/>
        <v>147.31268082642529</v>
      </c>
      <c r="C76" s="3">
        <f t="shared" si="1"/>
        <v>73.604511922988308</v>
      </c>
      <c r="D76" s="2">
        <v>110.217</v>
      </c>
      <c r="E76" s="2">
        <v>105.3374</v>
      </c>
      <c r="F76" s="2">
        <f t="shared" si="15"/>
        <v>116.09972215800001</v>
      </c>
      <c r="G76" s="2">
        <v>0.88544772225020529</v>
      </c>
      <c r="H76" s="2">
        <f t="shared" si="16"/>
        <v>1.0280023453868281</v>
      </c>
      <c r="I76" s="32">
        <f>K76</f>
        <v>0.96008016032064114</v>
      </c>
      <c r="J76" s="32">
        <f t="shared" si="3"/>
        <v>0.94588390598795913</v>
      </c>
      <c r="K76" s="2">
        <f>K$79*L76/L$79</f>
        <v>0.96008016032064114</v>
      </c>
      <c r="L76" s="2">
        <v>82.6</v>
      </c>
      <c r="M76" s="2">
        <f t="shared" si="27"/>
        <v>1.0300708502177389</v>
      </c>
      <c r="N76" s="2">
        <f>N75+(N$77-N$74)/3</f>
        <v>116.33333333333334</v>
      </c>
      <c r="P76" s="32">
        <f t="shared" si="4"/>
        <v>0.26508949814522642</v>
      </c>
      <c r="Q76" s="32">
        <f t="shared" si="5"/>
        <v>0.25089324381254446</v>
      </c>
      <c r="S76" s="2">
        <f>USA!Z84*G76</f>
        <v>18.249077555576729</v>
      </c>
      <c r="T76" s="2">
        <v>0</v>
      </c>
      <c r="U76" s="2">
        <v>0</v>
      </c>
      <c r="V76" s="2">
        <v>0</v>
      </c>
      <c r="X76" s="2">
        <v>0.7340000000000001</v>
      </c>
      <c r="Y76" s="32">
        <v>0.55200000000000005</v>
      </c>
      <c r="Z76" s="2">
        <v>0.17499999999999999</v>
      </c>
      <c r="AA76" s="2">
        <f t="shared" si="17"/>
        <v>0.14299066217541462</v>
      </c>
      <c r="AB76" s="2">
        <f t="shared" si="26"/>
        <v>0.69499066217541472</v>
      </c>
      <c r="AC76" s="2">
        <f t="shared" si="25"/>
        <v>0.70469883767535069</v>
      </c>
      <c r="AG76" s="2">
        <v>0.17499999999999999</v>
      </c>
      <c r="AM76">
        <v>1997</v>
      </c>
      <c r="AN76" s="1">
        <f t="shared" si="19"/>
        <v>0.96008016032064114</v>
      </c>
      <c r="AO76" s="1">
        <f t="shared" si="20"/>
        <v>0.55200000000000005</v>
      </c>
      <c r="AP76" s="1">
        <f t="shared" si="21"/>
        <v>0.14299066217541462</v>
      </c>
      <c r="AQ76" s="1">
        <f t="shared" si="22"/>
        <v>0.69499066217541472</v>
      </c>
      <c r="AR76" s="22">
        <f t="shared" ref="AR76:AR96" si="28">AN76-AQ76</f>
        <v>0.26508949814522642</v>
      </c>
      <c r="AT76" s="7">
        <v>76.80685261204836</v>
      </c>
      <c r="AV76" s="22">
        <f t="shared" ref="AV76:AV96" si="29">AN76/$AT76*100</f>
        <v>1.2499928426569031</v>
      </c>
      <c r="AW76" s="22">
        <f t="shared" si="23"/>
        <v>1.2511484766306422</v>
      </c>
      <c r="AX76" s="1">
        <f t="shared" si="9"/>
        <v>0.90485502079588476</v>
      </c>
      <c r="AY76" s="1">
        <f t="shared" si="24"/>
        <v>0.34513782186101838</v>
      </c>
      <c r="AZ76" s="1">
        <f t="shared" ref="AZ76:AZ97" si="30">AW$99+AW$100*BA76+AW$101*BB76+AW$102*BC76+AW$103*BD76+AW$104*BE76</f>
        <v>0.34629345583475757</v>
      </c>
      <c r="BA76" s="3">
        <f t="shared" ref="BA76:BA96" si="31">S76/AT76*100</f>
        <v>23.759699733763178</v>
      </c>
      <c r="BB76">
        <v>0</v>
      </c>
      <c r="BC76" s="12">
        <v>0</v>
      </c>
      <c r="BD76" s="12">
        <v>0</v>
      </c>
      <c r="BE76" s="12">
        <v>0</v>
      </c>
      <c r="BG76" s="22">
        <f t="shared" si="13"/>
        <v>1.409928536813768</v>
      </c>
      <c r="BH76" s="22">
        <f t="shared" si="14"/>
        <v>1.4112320333315744</v>
      </c>
    </row>
    <row r="77" spans="1:60">
      <c r="A77">
        <v>1998</v>
      </c>
      <c r="B77" s="3">
        <f t="shared" si="0"/>
        <v>140.26889320878897</v>
      </c>
      <c r="C77" s="3">
        <f t="shared" si="1"/>
        <v>74.747038105002289</v>
      </c>
      <c r="D77" s="2">
        <v>114.67400000000001</v>
      </c>
      <c r="E77" s="2">
        <v>106.9725</v>
      </c>
      <c r="F77" s="2">
        <f t="shared" si="15"/>
        <v>122.66964465000001</v>
      </c>
      <c r="G77" s="2">
        <v>0.90017742806449119</v>
      </c>
      <c r="H77" s="2">
        <f t="shared" si="16"/>
        <v>1.1042444522262209</v>
      </c>
      <c r="I77" s="32">
        <f>K77</f>
        <v>0.94380761523046086</v>
      </c>
      <c r="J77" s="32">
        <f t="shared" si="3"/>
        <v>0.92646393154939055</v>
      </c>
      <c r="K77" s="2">
        <f>K$79*L77/L$79</f>
        <v>0.94380761523046086</v>
      </c>
      <c r="L77" s="2">
        <v>81.2</v>
      </c>
      <c r="M77" s="2">
        <f t="shared" si="27"/>
        <v>1.0262022679935199</v>
      </c>
      <c r="N77" s="39">
        <v>114</v>
      </c>
      <c r="P77" s="32">
        <f t="shared" si="4"/>
        <v>0.22724052360039226</v>
      </c>
      <c r="Q77" s="32">
        <f t="shared" si="5"/>
        <v>0.2098968399193219</v>
      </c>
      <c r="S77" s="2">
        <f>USA!Z85*G77</f>
        <v>12.980558512689964</v>
      </c>
      <c r="T77" s="2">
        <v>0</v>
      </c>
      <c r="U77" s="2">
        <v>0</v>
      </c>
      <c r="V77" s="2">
        <v>0</v>
      </c>
      <c r="X77" s="2">
        <v>0.75</v>
      </c>
      <c r="Y77" s="32">
        <v>0.57599999999999996</v>
      </c>
      <c r="Z77" s="2">
        <v>0.17499999999999999</v>
      </c>
      <c r="AA77" s="2">
        <f t="shared" si="17"/>
        <v>0.14056709163006864</v>
      </c>
      <c r="AB77" s="2">
        <f t="shared" si="26"/>
        <v>0.7165670916300686</v>
      </c>
      <c r="AC77" s="2">
        <f t="shared" si="25"/>
        <v>0.70785571142284565</v>
      </c>
      <c r="AG77" s="2">
        <v>0.17499999999999999</v>
      </c>
      <c r="AM77">
        <v>1998</v>
      </c>
      <c r="AN77" s="1">
        <f t="shared" si="19"/>
        <v>0.94380761523046086</v>
      </c>
      <c r="AO77" s="1">
        <f t="shared" si="20"/>
        <v>0.57599999999999996</v>
      </c>
      <c r="AP77" s="1">
        <f t="shared" si="21"/>
        <v>0.14056709163006864</v>
      </c>
      <c r="AQ77" s="1">
        <f t="shared" ref="AQ77:AQ96" si="32">AB77</f>
        <v>0.7165670916300686</v>
      </c>
      <c r="AR77" s="22">
        <f t="shared" si="28"/>
        <v>0.22724052360039226</v>
      </c>
      <c r="AT77" s="7">
        <v>78.331823484056585</v>
      </c>
      <c r="AV77" s="22">
        <f t="shared" si="29"/>
        <v>1.2048840091442024</v>
      </c>
      <c r="AW77" s="22">
        <f t="shared" si="23"/>
        <v>1.219405362742751</v>
      </c>
      <c r="AX77" s="1">
        <f t="shared" si="9"/>
        <v>0.91478413211702692</v>
      </c>
      <c r="AY77" s="1">
        <f t="shared" si="24"/>
        <v>0.29009987702717543</v>
      </c>
      <c r="AZ77" s="1">
        <f t="shared" si="30"/>
        <v>0.30462123062572422</v>
      </c>
      <c r="BA77" s="3">
        <f t="shared" si="31"/>
        <v>16.571245166189684</v>
      </c>
      <c r="BB77">
        <v>0</v>
      </c>
      <c r="BC77" s="12">
        <v>0</v>
      </c>
      <c r="BD77" s="12">
        <v>0</v>
      </c>
      <c r="BE77" s="12">
        <v>0</v>
      </c>
      <c r="BG77" s="22">
        <f t="shared" si="13"/>
        <v>1.3590480601729948</v>
      </c>
      <c r="BH77" s="22">
        <f t="shared" si="14"/>
        <v>1.3754274106245052</v>
      </c>
    </row>
    <row r="78" spans="1:60">
      <c r="A78">
        <v>1999</v>
      </c>
      <c r="B78" s="3">
        <f t="shared" si="0"/>
        <v>139.51421524725401</v>
      </c>
      <c r="C78" s="3">
        <f t="shared" si="1"/>
        <v>75.889564287016256</v>
      </c>
      <c r="D78" s="38">
        <v>113.52800000000001</v>
      </c>
      <c r="E78" s="2">
        <v>108.60760000000001</v>
      </c>
      <c r="F78" s="2">
        <f t="shared" si="15"/>
        <v>123.30003612800002</v>
      </c>
      <c r="G78" s="2">
        <v>0.93862699999999999</v>
      </c>
      <c r="H78" s="2">
        <f t="shared" si="16"/>
        <v>1.1573274301071628</v>
      </c>
      <c r="I78" s="32">
        <f>K78</f>
        <v>0.99378757515030058</v>
      </c>
      <c r="J78" s="32">
        <f t="shared" si="3"/>
        <v>0.97157179048368159</v>
      </c>
      <c r="K78" s="2">
        <f>K$79*L78/L$79</f>
        <v>0.99378757515030058</v>
      </c>
      <c r="L78" s="2">
        <v>85.5</v>
      </c>
      <c r="M78" s="2">
        <f t="shared" si="27"/>
        <v>1.018410295</v>
      </c>
      <c r="N78" s="2">
        <f>(N77+N79)/2</f>
        <v>108.5</v>
      </c>
      <c r="P78" s="32">
        <f t="shared" si="4"/>
        <v>0.2587766597023835</v>
      </c>
      <c r="Q78" s="32">
        <f t="shared" si="5"/>
        <v>0.23656087503576445</v>
      </c>
      <c r="S78" s="2">
        <f>USA!Z86*G78</f>
        <v>16.40719996</v>
      </c>
      <c r="T78" s="2">
        <v>0</v>
      </c>
      <c r="U78" s="2">
        <v>0</v>
      </c>
      <c r="V78" s="2">
        <v>0</v>
      </c>
      <c r="Y78" s="32">
        <v>0.58699999999999997</v>
      </c>
      <c r="Z78" s="2">
        <v>0.17499999999999999</v>
      </c>
      <c r="AA78" s="2">
        <f t="shared" si="17"/>
        <v>0.14801091544791709</v>
      </c>
      <c r="AB78" s="2">
        <f t="shared" si="26"/>
        <v>0.73501091544791708</v>
      </c>
      <c r="AG78" s="2">
        <v>0.17499999999999999</v>
      </c>
      <c r="AM78">
        <v>1999</v>
      </c>
      <c r="AN78" s="1">
        <f t="shared" si="19"/>
        <v>0.99378757515030058</v>
      </c>
      <c r="AO78" s="1">
        <f t="shared" si="20"/>
        <v>0.58699999999999997</v>
      </c>
      <c r="AP78" s="1">
        <f t="shared" si="21"/>
        <v>0.14801091544791709</v>
      </c>
      <c r="AQ78" s="1">
        <f t="shared" si="32"/>
        <v>0.73501091544791708</v>
      </c>
      <c r="AR78" s="22">
        <f t="shared" si="28"/>
        <v>0.2587766597023835</v>
      </c>
      <c r="AT78" s="7">
        <v>80.049660739336048</v>
      </c>
      <c r="AV78" s="22">
        <f t="shared" si="29"/>
        <v>1.2414638187991192</v>
      </c>
      <c r="AW78" s="22">
        <f t="shared" si="23"/>
        <v>1.2455687172564769</v>
      </c>
      <c r="AX78" s="1">
        <f t="shared" si="9"/>
        <v>0.91819366710536965</v>
      </c>
      <c r="AY78" s="1">
        <f t="shared" si="24"/>
        <v>0.32327015169374951</v>
      </c>
      <c r="AZ78" s="1">
        <f t="shared" si="30"/>
        <v>0.32737505015110735</v>
      </c>
      <c r="BA78" s="3">
        <f t="shared" si="31"/>
        <v>20.496276696819997</v>
      </c>
      <c r="BB78">
        <v>0</v>
      </c>
      <c r="BC78" s="12">
        <v>0</v>
      </c>
      <c r="BD78" s="12">
        <v>0</v>
      </c>
      <c r="BE78" s="12">
        <v>0</v>
      </c>
      <c r="BG78" s="22">
        <f t="shared" si="13"/>
        <v>1.4003082304264971</v>
      </c>
      <c r="BH78" s="22">
        <f t="shared" si="14"/>
        <v>1.4049383477185688</v>
      </c>
    </row>
    <row r="79" spans="1:60">
      <c r="A79">
        <v>2000</v>
      </c>
      <c r="B79" s="3">
        <f t="shared" si="0"/>
        <v>135.35388297684835</v>
      </c>
      <c r="C79" s="3">
        <f t="shared" si="1"/>
        <v>78.958238837304293</v>
      </c>
      <c r="D79" s="2">
        <f>F79/E79*100</f>
        <v>94.578530449699727</v>
      </c>
      <c r="E79" s="2">
        <v>112.9992628224058</v>
      </c>
      <c r="F79" s="2">
        <f>I79/G79*100</f>
        <v>106.87304219642529</v>
      </c>
      <c r="G79" s="2">
        <v>1.0853999999999999</v>
      </c>
      <c r="H79" s="32">
        <f>(Q79+Y79)+Z79*(Q79+Y79)</f>
        <v>1.1033220287179775</v>
      </c>
      <c r="I79" s="32">
        <f>K79</f>
        <v>1.1599999999999999</v>
      </c>
      <c r="J79" s="32">
        <f t="shared" si="3"/>
        <v>1.1117634286961511</v>
      </c>
      <c r="K79" s="2">
        <v>1.1599999999999999</v>
      </c>
      <c r="L79" s="2">
        <v>99.8</v>
      </c>
      <c r="M79" s="2">
        <f t="shared" si="27"/>
        <v>1.1179619999999999</v>
      </c>
      <c r="N79" s="39">
        <v>103</v>
      </c>
      <c r="P79" s="32">
        <f t="shared" ref="P79:P89" si="33">K79-AB79</f>
        <v>0.39023404255319138</v>
      </c>
      <c r="Q79" s="32">
        <f t="shared" si="5"/>
        <v>0.3419974712493426</v>
      </c>
      <c r="S79" s="2">
        <f>USA!Z87*G79</f>
        <v>29.957039999999999</v>
      </c>
      <c r="T79" s="2">
        <v>0</v>
      </c>
      <c r="U79" s="2">
        <v>0</v>
      </c>
      <c r="V79" s="2">
        <v>0</v>
      </c>
      <c r="Y79" s="32">
        <v>0.59699999999999998</v>
      </c>
      <c r="Z79" s="2">
        <v>0.17499999999999999</v>
      </c>
      <c r="AA79" s="2">
        <f t="shared" si="17"/>
        <v>0.1727659574468085</v>
      </c>
      <c r="AB79" s="2">
        <f t="shared" si="26"/>
        <v>0.76976595744680854</v>
      </c>
      <c r="AC79" s="37">
        <v>0.77</v>
      </c>
      <c r="AG79" s="2">
        <v>0.17499999999999999</v>
      </c>
      <c r="AM79">
        <v>2000</v>
      </c>
      <c r="AN79" s="1">
        <f t="shared" si="19"/>
        <v>1.1599999999999999</v>
      </c>
      <c r="AO79" s="1">
        <f t="shared" si="20"/>
        <v>0.59699999999999998</v>
      </c>
      <c r="AP79" s="1">
        <f t="shared" si="21"/>
        <v>0.1727659574468085</v>
      </c>
      <c r="AQ79" s="1">
        <f t="shared" si="32"/>
        <v>0.76976595744680854</v>
      </c>
      <c r="AR79" s="22">
        <f t="shared" si="28"/>
        <v>0.39023404255319138</v>
      </c>
      <c r="AT79" s="7">
        <v>81.904144012799591</v>
      </c>
      <c r="AV79" s="22">
        <f t="shared" si="29"/>
        <v>1.4162897542995145</v>
      </c>
      <c r="AW79" s="22">
        <f t="shared" si="23"/>
        <v>1.3983939558176948</v>
      </c>
      <c r="AX79" s="1">
        <f t="shared" si="9"/>
        <v>0.93983761960385448</v>
      </c>
      <c r="AY79" s="1">
        <f t="shared" si="24"/>
        <v>0.47645213469566006</v>
      </c>
      <c r="AZ79" s="1">
        <f t="shared" si="30"/>
        <v>0.45855633621384029</v>
      </c>
      <c r="BA79" s="3">
        <f t="shared" si="31"/>
        <v>36.575731742362699</v>
      </c>
      <c r="BB79">
        <v>0</v>
      </c>
      <c r="BC79" s="23">
        <v>1</v>
      </c>
      <c r="BD79" s="12">
        <v>0</v>
      </c>
      <c r="BE79" s="12">
        <v>0</v>
      </c>
      <c r="BG79" s="22">
        <f t="shared" si="13"/>
        <v>1.5975030198888456</v>
      </c>
      <c r="BH79" s="22">
        <f t="shared" si="14"/>
        <v>1.5773174667340331</v>
      </c>
    </row>
    <row r="80" spans="1:60">
      <c r="A80">
        <v>2001</v>
      </c>
      <c r="B80" s="3">
        <f t="shared" si="0"/>
        <v>126.54053241484438</v>
      </c>
      <c r="C80" s="3">
        <f t="shared" si="1"/>
        <v>81.182199298191421</v>
      </c>
      <c r="D80" s="2">
        <f t="shared" ref="D80:D89" si="34">F80/E80*100</f>
        <v>88.420201437188524</v>
      </c>
      <c r="E80" s="2">
        <v>116.1820325539375</v>
      </c>
      <c r="F80" s="2">
        <f t="shared" ref="F80:F89" si="35">I80/G80*100</f>
        <v>102.72838721801148</v>
      </c>
      <c r="G80" s="2">
        <v>1.11751</v>
      </c>
      <c r="H80" s="32">
        <f t="shared" ref="H80:H89" si="36">(Q80+Y80)+Z80*(Q80+Y80)</f>
        <v>1.0959144561123773</v>
      </c>
      <c r="I80" s="32">
        <f t="shared" ref="I80:I89" si="37">K80</f>
        <v>1.1479999999999999</v>
      </c>
      <c r="J80" s="32">
        <f t="shared" si="3"/>
        <v>1.1042306353885523</v>
      </c>
      <c r="K80" s="2">
        <v>1.1479999999999999</v>
      </c>
      <c r="L80" s="2">
        <v>99.2</v>
      </c>
      <c r="M80" s="2">
        <f t="shared" si="27"/>
        <v>1.20132325</v>
      </c>
      <c r="N80" s="2">
        <f>(N79+N81)/2</f>
        <v>107.5</v>
      </c>
      <c r="P80" s="32">
        <f t="shared" si="33"/>
        <v>0.35370588235294109</v>
      </c>
      <c r="Q80" s="32">
        <f t="shared" si="5"/>
        <v>0.30993651774149356</v>
      </c>
      <c r="S80" s="2">
        <f>USA!Z88*G80</f>
        <v>25.836831200000002</v>
      </c>
      <c r="T80" s="2">
        <v>0</v>
      </c>
      <c r="U80" s="2">
        <v>0</v>
      </c>
      <c r="V80" s="2">
        <v>0</v>
      </c>
      <c r="Y80" s="32">
        <v>0.61099999999999999</v>
      </c>
      <c r="Z80" s="2">
        <v>0.19</v>
      </c>
      <c r="AA80" s="2">
        <f t="shared" si="17"/>
        <v>0.1832941176470588</v>
      </c>
      <c r="AB80" s="2">
        <f t="shared" si="26"/>
        <v>0.79429411764705882</v>
      </c>
      <c r="AC80" s="37">
        <v>0.79</v>
      </c>
      <c r="AG80" s="2">
        <v>0.19</v>
      </c>
      <c r="AM80">
        <v>2001</v>
      </c>
      <c r="AN80" s="1">
        <f t="shared" si="19"/>
        <v>1.1479999999999999</v>
      </c>
      <c r="AO80" s="1">
        <f t="shared" si="20"/>
        <v>0.61099999999999999</v>
      </c>
      <c r="AP80" s="1">
        <f t="shared" si="21"/>
        <v>0.1832941176470588</v>
      </c>
      <c r="AQ80" s="1">
        <f t="shared" si="32"/>
        <v>0.79429411764705882</v>
      </c>
      <c r="AR80" s="22">
        <f t="shared" si="28"/>
        <v>0.35370588235294109</v>
      </c>
      <c r="AT80" s="7">
        <v>85.313270503577627</v>
      </c>
      <c r="AV80" s="22">
        <f t="shared" si="29"/>
        <v>1.345628872534969</v>
      </c>
      <c r="AW80" s="22">
        <f t="shared" si="23"/>
        <v>1.3531186303087717</v>
      </c>
      <c r="AX80" s="1">
        <f t="shared" si="9"/>
        <v>0.93103231532279607</v>
      </c>
      <c r="AY80" s="1">
        <f t="shared" si="24"/>
        <v>0.41459655721217292</v>
      </c>
      <c r="AZ80" s="1">
        <f t="shared" si="30"/>
        <v>0.4220863149859756</v>
      </c>
      <c r="BA80" s="3">
        <f t="shared" si="31"/>
        <v>30.284656827118745</v>
      </c>
      <c r="BB80">
        <v>0</v>
      </c>
      <c r="BC80" s="23">
        <v>1</v>
      </c>
      <c r="BD80" s="12">
        <v>0</v>
      </c>
      <c r="BE80" s="12">
        <v>0</v>
      </c>
      <c r="BG80" s="22">
        <f t="shared" si="13"/>
        <v>1.5178011286168154</v>
      </c>
      <c r="BH80" s="22">
        <f t="shared" si="14"/>
        <v>1.526249195564672</v>
      </c>
    </row>
    <row r="81" spans="1:60">
      <c r="A81">
        <v>2002</v>
      </c>
      <c r="B81" s="3">
        <f t="shared" si="0"/>
        <v>130.53910758274517</v>
      </c>
      <c r="C81" s="3">
        <f t="shared" si="1"/>
        <v>82.47759894808965</v>
      </c>
      <c r="D81" s="2">
        <f t="shared" si="34"/>
        <v>91.214205975184711</v>
      </c>
      <c r="E81" s="2">
        <v>118.03591389240708</v>
      </c>
      <c r="F81" s="2">
        <f t="shared" si="35"/>
        <v>107.66552162251186</v>
      </c>
      <c r="G81" s="2">
        <v>1.0625500000000001</v>
      </c>
      <c r="H81" s="32">
        <f t="shared" si="36"/>
        <v>1.1189586210660489</v>
      </c>
      <c r="I81" s="32">
        <f t="shared" si="37"/>
        <v>1.1439999999999999</v>
      </c>
      <c r="J81" s="32">
        <f t="shared" si="3"/>
        <v>1.122956824425251</v>
      </c>
      <c r="K81" s="2">
        <v>1.1439999999999999</v>
      </c>
      <c r="L81" s="2">
        <v>98.2</v>
      </c>
      <c r="M81" s="2">
        <f t="shared" si="27"/>
        <v>1.1900560000000002</v>
      </c>
      <c r="N81" s="39">
        <v>112</v>
      </c>
      <c r="P81" s="32">
        <f t="shared" si="33"/>
        <v>0.33134453781512596</v>
      </c>
      <c r="Q81" s="32">
        <f t="shared" si="5"/>
        <v>0.31030136224037719</v>
      </c>
      <c r="S81" s="2">
        <f>USA!Z89*G81</f>
        <v>25.883718000000002</v>
      </c>
      <c r="T81" s="2">
        <v>0</v>
      </c>
      <c r="U81" s="2">
        <v>0</v>
      </c>
      <c r="V81" s="2">
        <v>0</v>
      </c>
      <c r="Y81" s="32">
        <v>0.63</v>
      </c>
      <c r="Z81" s="2">
        <v>0.19</v>
      </c>
      <c r="AA81" s="2">
        <f t="shared" si="17"/>
        <v>0.18265546218487394</v>
      </c>
      <c r="AB81" s="2">
        <f t="shared" si="26"/>
        <v>0.81265546218487394</v>
      </c>
      <c r="AC81" s="37">
        <v>0.81100000000000005</v>
      </c>
      <c r="AG81" s="2">
        <v>0.19</v>
      </c>
      <c r="AM81">
        <v>2002</v>
      </c>
      <c r="AN81" s="1">
        <f t="shared" si="19"/>
        <v>1.1439999999999999</v>
      </c>
      <c r="AO81" s="1">
        <f t="shared" si="20"/>
        <v>0.63</v>
      </c>
      <c r="AP81" s="1">
        <f t="shared" si="21"/>
        <v>0.18265546218487394</v>
      </c>
      <c r="AQ81" s="1">
        <f t="shared" si="32"/>
        <v>0.81265546218487394</v>
      </c>
      <c r="AR81" s="22">
        <f t="shared" si="28"/>
        <v>0.33134453781512596</v>
      </c>
      <c r="AT81" s="7">
        <v>88.117249821360843</v>
      </c>
      <c r="AV81" s="22">
        <f t="shared" si="29"/>
        <v>1.2982702051178616</v>
      </c>
      <c r="AW81" s="22">
        <f t="shared" si="23"/>
        <v>1.339051508506055</v>
      </c>
      <c r="AX81" s="1">
        <f t="shared" si="9"/>
        <v>0.92224333354974397</v>
      </c>
      <c r="AY81" s="1">
        <f t="shared" si="24"/>
        <v>0.37602687156811765</v>
      </c>
      <c r="AZ81" s="1">
        <f t="shared" si="30"/>
        <v>0.41680817495631095</v>
      </c>
      <c r="BA81" s="3">
        <f t="shared" si="31"/>
        <v>29.374178214224557</v>
      </c>
      <c r="BB81">
        <v>0</v>
      </c>
      <c r="BC81" s="23">
        <v>1</v>
      </c>
      <c r="BD81" s="12">
        <v>0</v>
      </c>
      <c r="BE81" s="12">
        <v>0</v>
      </c>
      <c r="BG81" s="22">
        <f t="shared" si="13"/>
        <v>1.4643829534255679</v>
      </c>
      <c r="BH81" s="22">
        <f t="shared" si="14"/>
        <v>1.5103821955438335</v>
      </c>
    </row>
    <row r="82" spans="1:60">
      <c r="A82">
        <v>2003</v>
      </c>
      <c r="B82" s="3">
        <f t="shared" si="0"/>
        <v>155.03505307423833</v>
      </c>
      <c r="C82" s="3">
        <f t="shared" si="1"/>
        <v>84.37293294912061</v>
      </c>
      <c r="D82" s="2">
        <f t="shared" si="34"/>
        <v>108.33074874150968</v>
      </c>
      <c r="E82" s="2">
        <v>120.74837744367809</v>
      </c>
      <c r="F82" s="2">
        <f t="shared" si="35"/>
        <v>130.80762137796066</v>
      </c>
      <c r="G82" s="2">
        <v>0.88603399999999999</v>
      </c>
      <c r="H82" s="32">
        <f t="shared" si="36"/>
        <v>1.0931668987147356</v>
      </c>
      <c r="I82" s="32">
        <f t="shared" si="37"/>
        <v>1.159</v>
      </c>
      <c r="J82" s="32">
        <f t="shared" si="3"/>
        <v>1.1036780661468366</v>
      </c>
      <c r="K82" s="2">
        <v>1.159</v>
      </c>
      <c r="L82" s="2">
        <v>99.4</v>
      </c>
      <c r="M82" s="2">
        <f t="shared" si="27"/>
        <v>1.2138665799999999</v>
      </c>
      <c r="N82" s="2">
        <f>(N81+N83)/2</f>
        <v>137</v>
      </c>
      <c r="P82" s="32">
        <f t="shared" si="33"/>
        <v>0.35794957983193276</v>
      </c>
      <c r="Q82" s="32">
        <f t="shared" si="5"/>
        <v>0.30262764597876934</v>
      </c>
      <c r="S82" s="2">
        <f>USA!Z90*G82</f>
        <v>24.897555400000002</v>
      </c>
      <c r="T82" s="2">
        <v>0</v>
      </c>
      <c r="U82" s="2">
        <v>0</v>
      </c>
      <c r="V82" s="2">
        <v>0</v>
      </c>
      <c r="Y82" s="32">
        <v>0.61599999999999999</v>
      </c>
      <c r="Z82" s="2">
        <v>0.19</v>
      </c>
      <c r="AA82" s="2">
        <f t="shared" si="17"/>
        <v>0.18505042016806725</v>
      </c>
      <c r="AB82" s="2">
        <f t="shared" si="26"/>
        <v>0.80105042016806727</v>
      </c>
      <c r="AC82" s="37">
        <v>0.82299999999999995</v>
      </c>
      <c r="AG82" s="2">
        <v>0.19</v>
      </c>
      <c r="AM82">
        <v>2003</v>
      </c>
      <c r="AN82" s="1">
        <f t="shared" si="19"/>
        <v>1.159</v>
      </c>
      <c r="AO82" s="1">
        <f t="shared" si="20"/>
        <v>0.61599999999999999</v>
      </c>
      <c r="AP82" s="1">
        <f t="shared" si="21"/>
        <v>0.18505042016806725</v>
      </c>
      <c r="AQ82" s="1">
        <f t="shared" si="32"/>
        <v>0.80105042016806727</v>
      </c>
      <c r="AR82" s="22">
        <f t="shared" si="28"/>
        <v>0.35794957983193276</v>
      </c>
      <c r="AT82" s="7">
        <v>89.978761089564514</v>
      </c>
      <c r="AV82" s="22">
        <f t="shared" si="29"/>
        <v>1.2880817494767858</v>
      </c>
      <c r="AW82" s="22">
        <f t="shared" si="23"/>
        <v>1.2971977741092058</v>
      </c>
      <c r="AX82" s="1">
        <f t="shared" si="9"/>
        <v>0.89026611443416592</v>
      </c>
      <c r="AY82" s="1">
        <f t="shared" si="24"/>
        <v>0.39781563504261985</v>
      </c>
      <c r="AZ82" s="1">
        <f t="shared" si="30"/>
        <v>0.40693165967503975</v>
      </c>
      <c r="BA82" s="3">
        <f t="shared" si="31"/>
        <v>27.670480342818983</v>
      </c>
      <c r="BB82">
        <v>0</v>
      </c>
      <c r="BC82" s="23">
        <v>1</v>
      </c>
      <c r="BD82" s="12">
        <v>0</v>
      </c>
      <c r="BE82" s="12">
        <v>0</v>
      </c>
      <c r="BG82" s="22">
        <f t="shared" si="13"/>
        <v>1.4528908921399364</v>
      </c>
      <c r="BH82" s="22">
        <f t="shared" si="14"/>
        <v>1.4631733056329821</v>
      </c>
    </row>
    <row r="83" spans="1:60">
      <c r="A83">
        <v>2004</v>
      </c>
      <c r="B83" s="3">
        <f t="shared" si="0"/>
        <v>179.46308843831602</v>
      </c>
      <c r="C83" s="3">
        <f t="shared" si="1"/>
        <v>86.62364207534489</v>
      </c>
      <c r="D83" s="2">
        <f t="shared" si="34"/>
        <v>125.39983930393515</v>
      </c>
      <c r="E83" s="2">
        <v>123.96942791081244</v>
      </c>
      <c r="F83" s="2">
        <f t="shared" si="35"/>
        <v>155.45746338616652</v>
      </c>
      <c r="G83" s="2">
        <v>0.805365</v>
      </c>
      <c r="H83" s="32">
        <f t="shared" si="36"/>
        <v>1.157644295018436</v>
      </c>
      <c r="I83" s="32">
        <f t="shared" si="37"/>
        <v>1.252</v>
      </c>
      <c r="J83" s="32">
        <f t="shared" si="3"/>
        <v>1.1727094916121312</v>
      </c>
      <c r="K83" s="2">
        <v>1.252</v>
      </c>
      <c r="L83" s="2">
        <v>107.3</v>
      </c>
      <c r="M83" s="2">
        <f t="shared" si="27"/>
        <v>1.3046913</v>
      </c>
      <c r="N83" s="39">
        <v>162</v>
      </c>
      <c r="P83" s="32">
        <f t="shared" si="33"/>
        <v>0.41410084033613437</v>
      </c>
      <c r="Q83" s="32">
        <f t="shared" si="5"/>
        <v>0.33481033194826559</v>
      </c>
      <c r="S83" s="2">
        <f>USA!Z91*G83</f>
        <v>29.033408249999997</v>
      </c>
      <c r="T83" s="2">
        <v>0</v>
      </c>
      <c r="U83" s="2">
        <v>0</v>
      </c>
      <c r="V83" s="2">
        <v>0</v>
      </c>
      <c r="Y83" s="32">
        <v>0.63800000000000001</v>
      </c>
      <c r="Z83" s="2">
        <v>0.19</v>
      </c>
      <c r="AA83" s="2">
        <f t="shared" si="17"/>
        <v>0.19989915966386557</v>
      </c>
      <c r="AB83" s="2">
        <f t="shared" si="26"/>
        <v>0.83789915966386563</v>
      </c>
      <c r="AC83" s="37">
        <v>0.86699999999999999</v>
      </c>
      <c r="AG83" s="2">
        <v>0.19</v>
      </c>
      <c r="AM83">
        <v>2004</v>
      </c>
      <c r="AN83" s="1">
        <f t="shared" si="19"/>
        <v>1.252</v>
      </c>
      <c r="AO83" s="1">
        <f t="shared" si="20"/>
        <v>0.63800000000000001</v>
      </c>
      <c r="AP83" s="1">
        <f t="shared" si="21"/>
        <v>0.19989915966386557</v>
      </c>
      <c r="AQ83" s="1">
        <f t="shared" si="32"/>
        <v>0.83789915966386563</v>
      </c>
      <c r="AR83" s="22">
        <f t="shared" si="28"/>
        <v>0.41410084033613437</v>
      </c>
      <c r="AT83" s="7">
        <v>91.093013077517142</v>
      </c>
      <c r="AV83" s="22">
        <f t="shared" si="29"/>
        <v>1.3744193519371122</v>
      </c>
      <c r="AW83" s="22">
        <f t="shared" si="23"/>
        <v>1.3511179880890407</v>
      </c>
      <c r="AX83" s="1">
        <f t="shared" si="9"/>
        <v>0.91982813100148653</v>
      </c>
      <c r="AY83" s="1">
        <f t="shared" si="24"/>
        <v>0.45459122093562565</v>
      </c>
      <c r="AZ83" s="1">
        <f t="shared" si="30"/>
        <v>0.43128985708755418</v>
      </c>
      <c r="BA83" s="3">
        <f t="shared" si="31"/>
        <v>31.872266894161825</v>
      </c>
      <c r="BB83">
        <v>0</v>
      </c>
      <c r="BC83" s="23">
        <v>1</v>
      </c>
      <c r="BD83" s="12">
        <v>0</v>
      </c>
      <c r="BE83" s="12">
        <v>0</v>
      </c>
      <c r="BG83" s="22">
        <f t="shared" si="13"/>
        <v>1.5502753293581173</v>
      </c>
      <c r="BH83" s="22">
        <f t="shared" si="14"/>
        <v>1.5239925725974899</v>
      </c>
    </row>
    <row r="84" spans="1:60">
      <c r="A84">
        <v>2005</v>
      </c>
      <c r="B84" s="3">
        <f t="shared" si="0"/>
        <v>187.7769980503445</v>
      </c>
      <c r="C84" s="3">
        <f t="shared" si="1"/>
        <v>89.539246597092159</v>
      </c>
      <c r="D84" s="2">
        <f t="shared" si="34"/>
        <v>131.20918393523607</v>
      </c>
      <c r="E84" s="2">
        <v>128.14202809149756</v>
      </c>
      <c r="F84" s="2">
        <f t="shared" si="35"/>
        <v>168.13410933691492</v>
      </c>
      <c r="G84" s="2">
        <v>0.80411999999999995</v>
      </c>
      <c r="H84" s="32">
        <f t="shared" si="36"/>
        <v>1.3015663328192426</v>
      </c>
      <c r="I84" s="32">
        <f t="shared" si="37"/>
        <v>1.3520000000000001</v>
      </c>
      <c r="J84" s="32">
        <f t="shared" si="3"/>
        <v>1.3096187670749937</v>
      </c>
      <c r="K84" s="2">
        <v>1.3520000000000001</v>
      </c>
      <c r="L84" s="2">
        <v>117.2</v>
      </c>
      <c r="M84" s="2">
        <f t="shared" si="27"/>
        <v>1.3348391999999998</v>
      </c>
      <c r="N84" s="2">
        <f>(N83+N85)/2</f>
        <v>166</v>
      </c>
      <c r="P84" s="32">
        <f t="shared" si="33"/>
        <v>0.46813445378151264</v>
      </c>
      <c r="Q84" s="32">
        <f t="shared" si="5"/>
        <v>0.42575322085650635</v>
      </c>
      <c r="S84" s="2">
        <f>USA!Z92*G84</f>
        <v>40.720636800000001</v>
      </c>
      <c r="T84" s="2">
        <v>0</v>
      </c>
      <c r="U84" s="2">
        <v>0</v>
      </c>
      <c r="V84" s="2">
        <v>0</v>
      </c>
      <c r="Y84" s="32">
        <v>0.66800000000000004</v>
      </c>
      <c r="Z84" s="2">
        <v>0.19</v>
      </c>
      <c r="AA84" s="2">
        <f t="shared" si="17"/>
        <v>0.21586554621848744</v>
      </c>
      <c r="AB84" s="2">
        <f t="shared" si="26"/>
        <v>0.88386554621848745</v>
      </c>
      <c r="AC84" s="37">
        <v>0.89200000000000002</v>
      </c>
      <c r="AG84" s="2">
        <v>0.19</v>
      </c>
      <c r="AM84">
        <v>2005</v>
      </c>
      <c r="AN84" s="1">
        <f t="shared" si="19"/>
        <v>1.3520000000000001</v>
      </c>
      <c r="AO84" s="1">
        <f t="shared" si="20"/>
        <v>0.66800000000000004</v>
      </c>
      <c r="AP84" s="1">
        <f t="shared" si="21"/>
        <v>0.21586554621848744</v>
      </c>
      <c r="AQ84" s="1">
        <f t="shared" si="32"/>
        <v>0.88386554621848745</v>
      </c>
      <c r="AR84" s="22">
        <f t="shared" si="28"/>
        <v>0.46813445378151264</v>
      </c>
      <c r="AT84" s="7">
        <v>92.617983901775361</v>
      </c>
      <c r="AV84" s="22">
        <f t="shared" si="29"/>
        <v>1.4597596957345171</v>
      </c>
      <c r="AW84" s="22">
        <f t="shared" si="23"/>
        <v>1.455712928321319</v>
      </c>
      <c r="AX84" s="1">
        <f t="shared" si="9"/>
        <v>0.95431309232109607</v>
      </c>
      <c r="AY84" s="1">
        <f t="shared" si="24"/>
        <v>0.50544660341342107</v>
      </c>
      <c r="AZ84" s="1">
        <f t="shared" si="30"/>
        <v>0.50139983600022298</v>
      </c>
      <c r="BA84" s="3">
        <f t="shared" si="31"/>
        <v>43.96623105420398</v>
      </c>
      <c r="BB84">
        <v>0</v>
      </c>
      <c r="BC84" s="23">
        <v>1</v>
      </c>
      <c r="BD84" s="12">
        <v>0</v>
      </c>
      <c r="BE84" s="12">
        <v>0</v>
      </c>
      <c r="BG84" s="22">
        <f t="shared" si="13"/>
        <v>1.646534909377557</v>
      </c>
      <c r="BH84" s="22">
        <f t="shared" si="14"/>
        <v>1.6419703609553529</v>
      </c>
    </row>
    <row r="85" spans="1:60">
      <c r="A85">
        <v>2006</v>
      </c>
      <c r="B85" s="3">
        <f t="shared" si="0"/>
        <v>192.05924221548244</v>
      </c>
      <c r="C85" s="3">
        <f t="shared" si="1"/>
        <v>92.424281215596963</v>
      </c>
      <c r="D85" s="2">
        <f t="shared" si="34"/>
        <v>134.20140219494289</v>
      </c>
      <c r="E85" s="2">
        <v>132.27087886006535</v>
      </c>
      <c r="F85" s="2">
        <f t="shared" si="35"/>
        <v>177.50937412578202</v>
      </c>
      <c r="G85" s="2">
        <v>0.79714099999999999</v>
      </c>
      <c r="H85" s="32">
        <f t="shared" si="36"/>
        <v>1.3848756652218495</v>
      </c>
      <c r="I85" s="32">
        <f t="shared" si="37"/>
        <v>1.415</v>
      </c>
      <c r="J85" s="32">
        <f t="shared" si="3"/>
        <v>1.3896854329595376</v>
      </c>
      <c r="K85" s="2">
        <v>1.415</v>
      </c>
      <c r="L85" s="2">
        <v>122.7</v>
      </c>
      <c r="M85" s="2">
        <f t="shared" si="27"/>
        <v>1.3551397000000001</v>
      </c>
      <c r="N85" s="39">
        <v>170</v>
      </c>
      <c r="P85" s="32">
        <f t="shared" si="33"/>
        <v>0.51307563025210079</v>
      </c>
      <c r="Q85" s="32">
        <f t="shared" si="5"/>
        <v>0.48776106321163826</v>
      </c>
      <c r="S85" s="2">
        <f>USA!Z93*G85</f>
        <v>48.689372280000001</v>
      </c>
      <c r="T85" s="2">
        <v>0</v>
      </c>
      <c r="U85" s="2">
        <v>0</v>
      </c>
      <c r="V85" s="2">
        <v>0</v>
      </c>
      <c r="Y85" s="32">
        <v>0.67600000000000005</v>
      </c>
      <c r="Z85" s="2">
        <v>0.19</v>
      </c>
      <c r="AA85" s="2">
        <f t="shared" si="17"/>
        <v>0.22592436974789917</v>
      </c>
      <c r="AB85" s="2">
        <f t="shared" si="26"/>
        <v>0.90192436974789925</v>
      </c>
      <c r="AC85" s="37">
        <v>0.90200000000000002</v>
      </c>
      <c r="AG85" s="2">
        <v>0.19</v>
      </c>
      <c r="AM85">
        <v>2006</v>
      </c>
      <c r="AN85" s="1">
        <f t="shared" si="19"/>
        <v>1.415</v>
      </c>
      <c r="AO85" s="1">
        <f t="shared" si="20"/>
        <v>0.67600000000000005</v>
      </c>
      <c r="AP85" s="1">
        <f t="shared" si="21"/>
        <v>0.22592436974789917</v>
      </c>
      <c r="AQ85" s="1">
        <f t="shared" si="32"/>
        <v>0.90192436974789925</v>
      </c>
      <c r="AR85" s="22">
        <f t="shared" si="28"/>
        <v>0.51307563025210079</v>
      </c>
      <c r="AT85" s="7">
        <v>93.699440569343949</v>
      </c>
      <c r="AV85" s="22">
        <f t="shared" si="29"/>
        <v>1.5101477569151589</v>
      </c>
      <c r="AW85" s="22">
        <f t="shared" si="23"/>
        <v>1.5103317749615588</v>
      </c>
      <c r="AX85" s="1">
        <f t="shared" si="9"/>
        <v>0.96257177659498827</v>
      </c>
      <c r="AY85" s="1">
        <f t="shared" si="24"/>
        <v>0.54757598032017063</v>
      </c>
      <c r="AZ85" s="1">
        <f t="shared" si="30"/>
        <v>0.54775999836657041</v>
      </c>
      <c r="BA85" s="3">
        <f t="shared" si="31"/>
        <v>51.963354299822697</v>
      </c>
      <c r="BB85">
        <v>0</v>
      </c>
      <c r="BC85" s="23">
        <v>1</v>
      </c>
      <c r="BD85" s="12">
        <v>0</v>
      </c>
      <c r="BE85" s="12">
        <v>0</v>
      </c>
      <c r="BG85" s="22">
        <f t="shared" si="13"/>
        <v>1.7033700871072943</v>
      </c>
      <c r="BH85" s="22">
        <f t="shared" si="14"/>
        <v>1.7035776501317006</v>
      </c>
    </row>
    <row r="86" spans="1:60">
      <c r="A86">
        <v>2007</v>
      </c>
      <c r="B86" s="3">
        <f t="shared" si="0"/>
        <v>210.03479712484062</v>
      </c>
      <c r="C86" s="3">
        <f t="shared" si="1"/>
        <v>95.074004003893037</v>
      </c>
      <c r="D86" s="2">
        <f t="shared" si="34"/>
        <v>146.76182181464287</v>
      </c>
      <c r="E86" s="2">
        <v>136.06296852886032</v>
      </c>
      <c r="F86" s="2">
        <f t="shared" si="35"/>
        <v>199.68849142803961</v>
      </c>
      <c r="G86" s="2">
        <v>0.73063800000000001</v>
      </c>
      <c r="H86" s="32">
        <f t="shared" si="36"/>
        <v>1.414476919111153</v>
      </c>
      <c r="I86" s="32">
        <f t="shared" si="37"/>
        <v>1.4590000000000001</v>
      </c>
      <c r="J86" s="32">
        <f t="shared" si="3"/>
        <v>1.4215856463118932</v>
      </c>
      <c r="K86" s="2">
        <v>1.4590000000000001</v>
      </c>
      <c r="L86" s="2">
        <v>126.6</v>
      </c>
      <c r="M86" s="2">
        <f t="shared" si="27"/>
        <v>1.4247441000000001</v>
      </c>
      <c r="N86" s="2">
        <f>(N85+N87)/2</f>
        <v>195</v>
      </c>
      <c r="P86" s="32">
        <f t="shared" si="33"/>
        <v>0.53905042016806726</v>
      </c>
      <c r="Q86" s="32">
        <f t="shared" si="5"/>
        <v>0.50163606647996051</v>
      </c>
      <c r="S86" s="2">
        <f>USA!Z94*G86</f>
        <v>50.472473039999997</v>
      </c>
      <c r="T86" s="2">
        <v>0</v>
      </c>
      <c r="U86" s="2">
        <v>0</v>
      </c>
      <c r="V86" s="2">
        <v>0</v>
      </c>
      <c r="Y86" s="32">
        <v>0.68700000000000006</v>
      </c>
      <c r="Z86" s="2">
        <v>0.19</v>
      </c>
      <c r="AA86" s="2">
        <f t="shared" si="17"/>
        <v>0.23294957983193279</v>
      </c>
      <c r="AB86" s="2">
        <f t="shared" si="26"/>
        <v>0.91994957983193282</v>
      </c>
      <c r="AC86" s="37">
        <v>0.92</v>
      </c>
      <c r="AG86" s="2">
        <v>0.19</v>
      </c>
      <c r="AM86">
        <v>2007</v>
      </c>
      <c r="AN86" s="1">
        <f t="shared" si="19"/>
        <v>1.4590000000000001</v>
      </c>
      <c r="AO86" s="1">
        <f t="shared" si="20"/>
        <v>0.68700000000000006</v>
      </c>
      <c r="AP86" s="1">
        <f t="shared" si="21"/>
        <v>0.23294957983193279</v>
      </c>
      <c r="AQ86" s="1">
        <f t="shared" si="32"/>
        <v>0.91994957983193282</v>
      </c>
      <c r="AR86" s="22">
        <f t="shared" si="28"/>
        <v>0.53905042016806726</v>
      </c>
      <c r="AT86" s="7">
        <v>95.211918199126188</v>
      </c>
      <c r="AV86" s="22">
        <f t="shared" si="29"/>
        <v>1.5323711858726001</v>
      </c>
      <c r="AW86" s="22">
        <f t="shared" si="23"/>
        <v>1.5200440117748739</v>
      </c>
      <c r="AX86" s="1">
        <f t="shared" si="9"/>
        <v>0.96621263097330989</v>
      </c>
      <c r="AY86" s="1">
        <f t="shared" si="24"/>
        <v>0.56615855489929023</v>
      </c>
      <c r="AZ86" s="1">
        <f t="shared" si="30"/>
        <v>0.55383138080156402</v>
      </c>
      <c r="BA86" s="3">
        <f t="shared" si="31"/>
        <v>53.010667146146432</v>
      </c>
      <c r="BB86">
        <v>0</v>
      </c>
      <c r="BC86" s="23">
        <v>1</v>
      </c>
      <c r="BD86" s="12">
        <v>0</v>
      </c>
      <c r="BE86" s="12">
        <v>0</v>
      </c>
      <c r="BG86" s="22">
        <f t="shared" si="13"/>
        <v>1.7284369879755823</v>
      </c>
      <c r="BH86" s="22">
        <f t="shared" si="14"/>
        <v>1.7145325607296524</v>
      </c>
    </row>
    <row r="87" spans="1:60">
      <c r="A87">
        <v>2008</v>
      </c>
      <c r="B87" s="3">
        <f t="shared" si="0"/>
        <v>228.10240903413126</v>
      </c>
      <c r="C87" s="3">
        <f t="shared" si="1"/>
        <v>98.70291900542351</v>
      </c>
      <c r="D87" s="2">
        <f t="shared" si="34"/>
        <v>159.38656626625558</v>
      </c>
      <c r="E87" s="2">
        <v>141.25640655453694</v>
      </c>
      <c r="F87" s="2">
        <f t="shared" si="35"/>
        <v>225.14373603837842</v>
      </c>
      <c r="G87" s="2">
        <v>0.68267500000000003</v>
      </c>
      <c r="H87" s="32">
        <f t="shared" si="36"/>
        <v>1.5095550918689429</v>
      </c>
      <c r="I87" s="32">
        <f t="shared" si="37"/>
        <v>1.5369999999999999</v>
      </c>
      <c r="J87" s="32">
        <f t="shared" si="3"/>
        <v>1.513937051990708</v>
      </c>
      <c r="K87" s="2">
        <v>1.5369999999999999</v>
      </c>
      <c r="L87" s="2">
        <v>134.69999999999999</v>
      </c>
      <c r="M87" s="2">
        <f t="shared" si="27"/>
        <v>1.5018850000000001</v>
      </c>
      <c r="N87" s="39">
        <v>220</v>
      </c>
      <c r="P87" s="32">
        <f t="shared" si="33"/>
        <v>0.5945966386554622</v>
      </c>
      <c r="Q87" s="32">
        <f t="shared" si="5"/>
        <v>0.57153369064617043</v>
      </c>
      <c r="S87" s="2">
        <f>USA!Z95*G87</f>
        <v>64.478653750000007</v>
      </c>
      <c r="T87" s="2">
        <v>0</v>
      </c>
      <c r="U87" s="2">
        <v>0</v>
      </c>
      <c r="V87" s="2">
        <v>1</v>
      </c>
      <c r="Y87" s="32">
        <v>0.69699999999999995</v>
      </c>
      <c r="Z87" s="2">
        <v>0.19</v>
      </c>
      <c r="AA87" s="2">
        <f t="shared" si="17"/>
        <v>0.2454033613445378</v>
      </c>
      <c r="AB87" s="2">
        <f t="shared" si="26"/>
        <v>0.94240336134453773</v>
      </c>
      <c r="AC87" s="37">
        <v>0.94299999999999995</v>
      </c>
      <c r="AG87" s="2">
        <v>0.19</v>
      </c>
      <c r="AM87">
        <v>2008</v>
      </c>
      <c r="AN87" s="1">
        <f t="shared" si="19"/>
        <v>1.5369999999999999</v>
      </c>
      <c r="AO87" s="1">
        <f t="shared" si="20"/>
        <v>0.69699999999999995</v>
      </c>
      <c r="AP87" s="1">
        <f t="shared" si="21"/>
        <v>0.2454033613445378</v>
      </c>
      <c r="AQ87" s="1">
        <f t="shared" si="32"/>
        <v>0.94240336134453773</v>
      </c>
      <c r="AR87" s="22">
        <f t="shared" si="28"/>
        <v>0.5945966386554622</v>
      </c>
      <c r="AT87" s="7">
        <v>97.579410151106558</v>
      </c>
      <c r="AV87" s="22">
        <f t="shared" si="29"/>
        <v>1.5751273733053719</v>
      </c>
      <c r="AW87" s="22">
        <f t="shared" si="23"/>
        <v>1.557398817808834</v>
      </c>
      <c r="AX87" s="1">
        <f t="shared" si="9"/>
        <v>0.96578095715600176</v>
      </c>
      <c r="AY87" s="1">
        <f t="shared" si="24"/>
        <v>0.60934641614937013</v>
      </c>
      <c r="AZ87" s="1">
        <f t="shared" si="30"/>
        <v>0.59161786065283217</v>
      </c>
      <c r="BA87" s="3">
        <f t="shared" si="31"/>
        <v>66.078134362722224</v>
      </c>
      <c r="BB87">
        <v>0</v>
      </c>
      <c r="BC87">
        <v>0</v>
      </c>
      <c r="BD87" s="12">
        <v>0</v>
      </c>
      <c r="BE87" s="12">
        <v>0</v>
      </c>
      <c r="BG87" s="22">
        <f t="shared" si="13"/>
        <v>1.7766637991457079</v>
      </c>
      <c r="BH87" s="22">
        <f t="shared" si="14"/>
        <v>1.7566668875970584</v>
      </c>
    </row>
    <row r="88" spans="1:60">
      <c r="A88">
        <v>2009</v>
      </c>
      <c r="B88" s="3">
        <f t="shared" si="0"/>
        <v>189.6391791322921</v>
      </c>
      <c r="C88" s="3">
        <f>E88/E$89*100</f>
        <v>98.380597588111073</v>
      </c>
      <c r="D88" s="2">
        <f t="shared" si="34"/>
        <v>132.51038303117895</v>
      </c>
      <c r="E88" s="2">
        <v>140.7951236905254</v>
      </c>
      <c r="F88" s="2">
        <f t="shared" si="35"/>
        <v>186.56815769153738</v>
      </c>
      <c r="G88" s="2">
        <f>'Exchange Rates'!U48</f>
        <v>0.71984416666666673</v>
      </c>
      <c r="H88" s="32">
        <f t="shared" si="36"/>
        <v>1.333776862558147</v>
      </c>
      <c r="I88" s="32">
        <f t="shared" si="37"/>
        <v>1.343</v>
      </c>
      <c r="J88" s="32">
        <f t="shared" si="3"/>
        <v>1.3352494643345774</v>
      </c>
      <c r="K88" s="2">
        <v>1.343</v>
      </c>
      <c r="L88" s="2">
        <v>121.9</v>
      </c>
      <c r="P88" s="32">
        <f t="shared" si="33"/>
        <v>0.4195714285714286</v>
      </c>
      <c r="Q88" s="32">
        <f t="shared" si="5"/>
        <v>0.41182089290600593</v>
      </c>
      <c r="S88" s="2">
        <f>USA!Z96*G88</f>
        <v>43.953684816666673</v>
      </c>
      <c r="T88" s="2">
        <v>0</v>
      </c>
      <c r="U88" s="2">
        <v>0</v>
      </c>
      <c r="V88" s="2">
        <v>1</v>
      </c>
      <c r="Y88" s="32">
        <v>0.70899999999999996</v>
      </c>
      <c r="Z88" s="2">
        <v>0.19</v>
      </c>
      <c r="AA88" s="2">
        <f>Z88*(I88*(1/(1+Z88)))</f>
        <v>0.21442857142857144</v>
      </c>
      <c r="AB88" s="2">
        <f t="shared" si="26"/>
        <v>0.92342857142857138</v>
      </c>
      <c r="AC88" s="37">
        <v>0.92300000000000004</v>
      </c>
      <c r="AG88" s="2">
        <v>0.19</v>
      </c>
      <c r="AM88">
        <v>2009</v>
      </c>
      <c r="AN88" s="1">
        <f t="shared" si="19"/>
        <v>1.343</v>
      </c>
      <c r="AO88" s="1">
        <f t="shared" si="20"/>
        <v>0.70899999999999996</v>
      </c>
      <c r="AP88" s="1">
        <f t="shared" si="21"/>
        <v>0.21442857142857144</v>
      </c>
      <c r="AQ88" s="1">
        <f t="shared" si="32"/>
        <v>0.92342857142857138</v>
      </c>
      <c r="AR88" s="22">
        <f t="shared" si="28"/>
        <v>0.4195714285714286</v>
      </c>
      <c r="AT88" s="7">
        <v>98.740512431465078</v>
      </c>
      <c r="AV88" s="22">
        <f t="shared" si="29"/>
        <v>1.3601306767899999</v>
      </c>
      <c r="AW88" s="22">
        <f t="shared" si="23"/>
        <v>1.3601306767899999</v>
      </c>
      <c r="AX88" s="1">
        <f t="shared" si="9"/>
        <v>0.93520739227428562</v>
      </c>
      <c r="AY88" s="1">
        <f t="shared" si="24"/>
        <v>0.42492328451571426</v>
      </c>
      <c r="AZ88" s="1">
        <f t="shared" si="30"/>
        <v>0.42492328451571432</v>
      </c>
      <c r="BA88" s="3">
        <f t="shared" si="31"/>
        <v>44.514337361956208</v>
      </c>
      <c r="BB88">
        <v>0</v>
      </c>
      <c r="BC88">
        <v>0</v>
      </c>
      <c r="BD88" s="12">
        <v>0</v>
      </c>
      <c r="BE88" s="23">
        <v>1</v>
      </c>
      <c r="BG88" s="22">
        <f t="shared" si="13"/>
        <v>1.5341584284002252</v>
      </c>
      <c r="BH88" s="22">
        <f t="shared" si="14"/>
        <v>1.5341584284002252</v>
      </c>
    </row>
    <row r="89" spans="1:60">
      <c r="A89">
        <v>2010</v>
      </c>
      <c r="B89" s="3">
        <f>I89/G89*100/C89*100</f>
        <v>198.10951556071595</v>
      </c>
      <c r="C89" s="3">
        <f>CPIs!AB49</f>
        <v>99.999998509883881</v>
      </c>
      <c r="D89" s="2">
        <f t="shared" si="34"/>
        <v>138.42902884313725</v>
      </c>
      <c r="E89" s="2">
        <v>143.11269411067286</v>
      </c>
      <c r="F89" s="2">
        <f t="shared" si="35"/>
        <v>198.10951260865411</v>
      </c>
      <c r="G89" s="2">
        <f>'Exchange Rates'!U49</f>
        <v>0.75867129256384003</v>
      </c>
      <c r="H89" s="32">
        <f t="shared" si="36"/>
        <v>1.4839627777008118</v>
      </c>
      <c r="I89" s="32">
        <f t="shared" si="37"/>
        <v>1.5029999999999999</v>
      </c>
      <c r="J89" s="32">
        <f t="shared" si="3"/>
        <v>1.4870023342023626</v>
      </c>
      <c r="K89" s="2">
        <v>1.5029999999999999</v>
      </c>
      <c r="L89" s="2">
        <v>136</v>
      </c>
      <c r="P89" s="32">
        <f t="shared" si="33"/>
        <v>0.54302521008403359</v>
      </c>
      <c r="Q89" s="32">
        <f>Q$92+Q$93*S89+Q$94*T89+Q$95*U89+Q$96*V89</f>
        <v>0.52702754428639642</v>
      </c>
      <c r="S89" s="2">
        <f>USA!Z97*G89</f>
        <v>58.759091609069415</v>
      </c>
      <c r="T89" s="2">
        <v>0</v>
      </c>
      <c r="U89" s="2">
        <v>0</v>
      </c>
      <c r="V89" s="2">
        <v>1</v>
      </c>
      <c r="Y89" s="32">
        <v>0.72</v>
      </c>
      <c r="Z89" s="2">
        <v>0.19</v>
      </c>
      <c r="AA89" s="2">
        <f t="shared" si="17"/>
        <v>0.23997478991596638</v>
      </c>
      <c r="AB89" s="2">
        <f t="shared" si="26"/>
        <v>0.9599747899159663</v>
      </c>
      <c r="AC89" s="37">
        <v>0.96299999999999997</v>
      </c>
      <c r="AD89" s="2">
        <v>0.96072624944442009</v>
      </c>
      <c r="AG89" s="2">
        <v>0.19</v>
      </c>
      <c r="AM89">
        <v>2010</v>
      </c>
      <c r="AN89" s="1">
        <f t="shared" si="19"/>
        <v>1.5029999999999999</v>
      </c>
      <c r="AO89" s="1">
        <f t="shared" si="20"/>
        <v>0.72</v>
      </c>
      <c r="AP89" s="1">
        <f t="shared" si="21"/>
        <v>0.23997478991596638</v>
      </c>
      <c r="AQ89" s="1">
        <f t="shared" si="32"/>
        <v>0.9599747899159663</v>
      </c>
      <c r="AR89" s="22">
        <f t="shared" si="28"/>
        <v>0.54302521008403359</v>
      </c>
      <c r="AT89" s="7">
        <v>100</v>
      </c>
      <c r="AV89" s="22">
        <f t="shared" si="29"/>
        <v>1.5029999999999999</v>
      </c>
      <c r="AW89" s="22">
        <f t="shared" si="23"/>
        <v>1.5091633919461458</v>
      </c>
      <c r="AX89" s="1">
        <f t="shared" si="9"/>
        <v>0.95997478991596619</v>
      </c>
      <c r="AY89" s="1">
        <f t="shared" si="24"/>
        <v>0.5430252100840337</v>
      </c>
      <c r="AZ89" s="1">
        <f t="shared" si="30"/>
        <v>0.54918860203017972</v>
      </c>
      <c r="BA89" s="3">
        <f t="shared" si="31"/>
        <v>58.759091609069415</v>
      </c>
      <c r="BB89">
        <v>0</v>
      </c>
      <c r="BC89">
        <v>0</v>
      </c>
      <c r="BD89" s="12">
        <v>0</v>
      </c>
      <c r="BE89" s="12">
        <v>0</v>
      </c>
      <c r="BG89" s="22">
        <f t="shared" si="13"/>
        <v>1.6953077797844223</v>
      </c>
      <c r="BH89" s="22">
        <f t="shared" si="14"/>
        <v>1.7022597733414162</v>
      </c>
    </row>
    <row r="90" spans="1:60">
      <c r="A90">
        <v>2011</v>
      </c>
      <c r="B90" s="3">
        <f t="shared" ref="B90:B96" si="38">I90/G90*100/C90*100</f>
        <v>222.12430823548931</v>
      </c>
      <c r="C90" s="3">
        <f>CPIs!AB50</f>
        <v>103.13271097869961</v>
      </c>
      <c r="G90" s="2">
        <f>'Exchange Rates'!U50</f>
        <v>0.71544109992713056</v>
      </c>
      <c r="I90" s="2">
        <v>1.6389526530612242</v>
      </c>
      <c r="S90" s="2">
        <f>USA!Z98*G90</f>
        <v>76.874146187170183</v>
      </c>
      <c r="Y90" s="32">
        <v>0.71826999999999996</v>
      </c>
      <c r="Z90" s="2">
        <v>0.19</v>
      </c>
      <c r="AA90" s="2">
        <f t="shared" si="17"/>
        <v>0.26168151603498535</v>
      </c>
      <c r="AB90" s="2">
        <f t="shared" si="26"/>
        <v>0.97995151603498531</v>
      </c>
      <c r="AD90" s="2">
        <v>0.98557448198767961</v>
      </c>
      <c r="AG90" s="2">
        <v>0.19</v>
      </c>
      <c r="AH90" s="2">
        <v>0.72399999999999998</v>
      </c>
      <c r="AM90">
        <v>2011</v>
      </c>
      <c r="AN90" s="1">
        <f t="shared" ref="AN90:AN96" si="39">I90</f>
        <v>1.6389526530612242</v>
      </c>
      <c r="AO90" s="1">
        <f t="shared" si="20"/>
        <v>0.71826999999999996</v>
      </c>
      <c r="AP90" s="1">
        <f t="shared" si="21"/>
        <v>0.26168151603498535</v>
      </c>
      <c r="AQ90" s="1">
        <f t="shared" si="32"/>
        <v>0.97995151603498531</v>
      </c>
      <c r="AR90" s="22">
        <f t="shared" si="28"/>
        <v>0.65900113702623886</v>
      </c>
      <c r="AT90" s="7">
        <f>CPIs!U50</f>
        <v>102.341064453125</v>
      </c>
      <c r="AV90" s="22">
        <f t="shared" si="29"/>
        <v>1.6014614092780999</v>
      </c>
      <c r="AW90" s="22">
        <f t="shared" ref="AW90:AW96" si="40">AZ90+AX90</f>
        <v>1.6015442369292416</v>
      </c>
      <c r="AX90" s="1">
        <f t="shared" ref="AX90:AX96" si="41">AQ90/$AT90*100</f>
        <v>0.95753500442027328</v>
      </c>
      <c r="AY90" s="1">
        <f t="shared" ref="AY90:AY96" si="42">AV90-AX90</f>
        <v>0.6439264048578266</v>
      </c>
      <c r="AZ90" s="1">
        <f t="shared" si="30"/>
        <v>0.64400923250896847</v>
      </c>
      <c r="BA90" s="3">
        <f t="shared" si="31"/>
        <v>75.115640625743779</v>
      </c>
      <c r="BB90">
        <v>0</v>
      </c>
      <c r="BC90">
        <v>0</v>
      </c>
      <c r="BD90" s="12">
        <v>0</v>
      </c>
      <c r="BE90" s="12">
        <v>0</v>
      </c>
      <c r="BG90" s="22">
        <f t="shared" si="13"/>
        <v>1.8063672562699185</v>
      </c>
      <c r="BH90" s="22">
        <f t="shared" si="14"/>
        <v>1.8064606816600461</v>
      </c>
    </row>
    <row r="91" spans="1:60">
      <c r="A91">
        <v>2012</v>
      </c>
      <c r="B91" s="3">
        <f t="shared" si="38"/>
        <v>216.20654358140706</v>
      </c>
      <c r="C91" s="3">
        <f>CPIs!AB51</f>
        <v>105.21072267093371</v>
      </c>
      <c r="G91" s="2">
        <f>'Exchange Rates'!U51</f>
        <v>0.773899446716382</v>
      </c>
      <c r="I91" s="2">
        <v>1.7604081632653061</v>
      </c>
      <c r="S91" s="2">
        <f>USA!Z99*G91</f>
        <v>84.738784181902005</v>
      </c>
      <c r="Y91" s="32">
        <v>0.73048000000000002</v>
      </c>
      <c r="Z91" s="2">
        <v>0.19</v>
      </c>
      <c r="AA91" s="2">
        <f t="shared" si="17"/>
        <v>0.28107357228605728</v>
      </c>
      <c r="AB91" s="2">
        <f t="shared" si="26"/>
        <v>1.0115535722860574</v>
      </c>
      <c r="AD91" s="2">
        <v>1.0109709535239317</v>
      </c>
      <c r="AG91" s="2">
        <v>0.19</v>
      </c>
      <c r="AH91" s="2">
        <v>0.73699999999999999</v>
      </c>
      <c r="AM91">
        <v>2012</v>
      </c>
      <c r="AN91" s="1">
        <f t="shared" si="39"/>
        <v>1.7604081632653061</v>
      </c>
      <c r="AO91" s="1">
        <f t="shared" si="20"/>
        <v>0.73048000000000002</v>
      </c>
      <c r="AP91" s="1">
        <f t="shared" si="21"/>
        <v>0.28107357228605728</v>
      </c>
      <c r="AQ91" s="1">
        <f t="shared" si="32"/>
        <v>1.0115535722860574</v>
      </c>
      <c r="AR91" s="22">
        <f t="shared" si="28"/>
        <v>0.74885459097924878</v>
      </c>
      <c r="AT91" s="7">
        <f>CPIs!U51</f>
        <v>104.85411071777344</v>
      </c>
      <c r="AV91" s="22">
        <f t="shared" si="29"/>
        <v>1.678911919823193</v>
      </c>
      <c r="AW91" s="22">
        <f t="shared" si="40"/>
        <v>1.641778947972274</v>
      </c>
      <c r="AX91" s="1">
        <f t="shared" si="41"/>
        <v>0.96472476411417663</v>
      </c>
      <c r="AY91" s="1">
        <f t="shared" si="42"/>
        <v>0.71418715570901636</v>
      </c>
      <c r="AZ91" s="1">
        <f t="shared" si="30"/>
        <v>0.67705418385809724</v>
      </c>
      <c r="BA91" s="3">
        <f t="shared" si="31"/>
        <v>80.815891338762981</v>
      </c>
      <c r="BB91">
        <v>0</v>
      </c>
      <c r="BC91">
        <v>0</v>
      </c>
      <c r="BD91" s="12">
        <v>0</v>
      </c>
      <c r="BE91" s="12">
        <v>0</v>
      </c>
      <c r="BG91" s="22">
        <f t="shared" si="13"/>
        <v>1.8937275044903921</v>
      </c>
      <c r="BH91" s="22">
        <f t="shared" si="14"/>
        <v>1.8518433953317901</v>
      </c>
    </row>
    <row r="92" spans="1:60">
      <c r="A92">
        <v>2013</v>
      </c>
      <c r="B92" s="3">
        <f t="shared" si="38"/>
        <v>216.66143217340226</v>
      </c>
      <c r="C92" s="3">
        <f>CPIs!AB52</f>
        <v>106.69767516878358</v>
      </c>
      <c r="G92" s="2">
        <f>'Exchange Rates'!U52</f>
        <v>0.75166876437654617</v>
      </c>
      <c r="I92" s="2">
        <v>1.73765306122449</v>
      </c>
      <c r="P92" s="13" t="s">
        <v>88</v>
      </c>
      <c r="Q92" s="13">
        <v>0.10889004555946638</v>
      </c>
      <c r="R92" s="42"/>
      <c r="S92" s="2">
        <f>USA!Z100*G92</f>
        <v>79.628970140184876</v>
      </c>
      <c r="Y92" s="2">
        <v>0.74656</v>
      </c>
      <c r="Z92" s="32">
        <v>0.21</v>
      </c>
      <c r="AA92" s="2">
        <f t="shared" si="17"/>
        <v>0.30157615112160568</v>
      </c>
      <c r="AB92" s="2">
        <f t="shared" si="26"/>
        <v>1.0481361511216056</v>
      </c>
      <c r="AD92" s="2">
        <v>1.0576236775841559</v>
      </c>
      <c r="AG92" s="2">
        <v>0.21</v>
      </c>
      <c r="AH92" s="2">
        <v>0.755</v>
      </c>
      <c r="AM92">
        <v>2013</v>
      </c>
      <c r="AN92" s="1">
        <f t="shared" si="39"/>
        <v>1.73765306122449</v>
      </c>
      <c r="AO92" s="1">
        <f t="shared" si="20"/>
        <v>0.74656</v>
      </c>
      <c r="AP92" s="1">
        <f t="shared" si="21"/>
        <v>0.30157615112160568</v>
      </c>
      <c r="AQ92" s="1">
        <f t="shared" si="32"/>
        <v>1.0481361511216056</v>
      </c>
      <c r="AR92" s="22">
        <f t="shared" si="28"/>
        <v>0.68951691010288441</v>
      </c>
      <c r="AT92" s="7">
        <f>CPIs!U52</f>
        <v>107.48267364501953</v>
      </c>
      <c r="AV92" s="22">
        <f t="shared" si="29"/>
        <v>1.6166820216655529</v>
      </c>
      <c r="AW92" s="22">
        <f t="shared" si="40"/>
        <v>1.6132043734429611</v>
      </c>
      <c r="AX92" s="1">
        <f t="shared" si="41"/>
        <v>0.97516754615098244</v>
      </c>
      <c r="AY92" s="1">
        <f t="shared" si="42"/>
        <v>0.64151447551457041</v>
      </c>
      <c r="AZ92" s="1">
        <f t="shared" si="30"/>
        <v>0.63803682729197864</v>
      </c>
      <c r="BA92" s="3">
        <f t="shared" si="31"/>
        <v>74.085401339357801</v>
      </c>
      <c r="BB92">
        <v>0</v>
      </c>
      <c r="BC92">
        <v>0</v>
      </c>
      <c r="BD92" s="12">
        <v>0</v>
      </c>
      <c r="BE92" s="12">
        <v>0</v>
      </c>
      <c r="BG92" s="22">
        <f t="shared" si="13"/>
        <v>1.8235353351744643</v>
      </c>
      <c r="BH92" s="22">
        <f t="shared" si="14"/>
        <v>1.8196127243380615</v>
      </c>
    </row>
    <row r="93" spans="1:60">
      <c r="A93">
        <v>2014</v>
      </c>
      <c r="B93" s="3">
        <f t="shared" si="38"/>
        <v>207.18318717088664</v>
      </c>
      <c r="C93" s="3">
        <f>CPIs!AB53</f>
        <v>108.45811062912946</v>
      </c>
      <c r="G93" s="2">
        <f>'Exchange Rates'!U53</f>
        <v>0.757387838338895</v>
      </c>
      <c r="I93" s="2">
        <v>1.7019032653061219</v>
      </c>
      <c r="P93" s="13" t="s">
        <v>99</v>
      </c>
      <c r="Q93" s="13">
        <v>7.7813904741548638E-3</v>
      </c>
      <c r="R93" s="42"/>
      <c r="S93" s="2">
        <f>USA!Z101*G93</f>
        <v>72.852422962937197</v>
      </c>
      <c r="Y93" s="2">
        <v>0.75924000000000003</v>
      </c>
      <c r="Z93" s="32">
        <v>0.21</v>
      </c>
      <c r="AA93" s="2">
        <f t="shared" si="17"/>
        <v>0.29537164108618646</v>
      </c>
      <c r="AB93" s="2">
        <f t="shared" si="26"/>
        <v>1.0546116410861865</v>
      </c>
      <c r="AD93" s="2">
        <v>1.0637674515192896</v>
      </c>
      <c r="AG93" s="2">
        <v>0.21</v>
      </c>
      <c r="AH93" s="2">
        <v>0.76700000000000002</v>
      </c>
      <c r="AM93">
        <v>2014</v>
      </c>
      <c r="AN93" s="1">
        <f t="shared" si="39"/>
        <v>1.7019032653061219</v>
      </c>
      <c r="AO93" s="1">
        <f t="shared" si="20"/>
        <v>0.75924000000000003</v>
      </c>
      <c r="AP93" s="1">
        <f t="shared" si="21"/>
        <v>0.29537164108618646</v>
      </c>
      <c r="AQ93" s="1">
        <f t="shared" si="32"/>
        <v>1.0546116410861865</v>
      </c>
      <c r="AR93" s="22">
        <f t="shared" si="28"/>
        <v>0.64729162421993536</v>
      </c>
      <c r="AT93" s="7">
        <f>CPIs!U53</f>
        <v>108.53173828125</v>
      </c>
      <c r="AV93" s="22">
        <f t="shared" si="29"/>
        <v>1.5681157348607064</v>
      </c>
      <c r="AW93" s="22">
        <f t="shared" si="40"/>
        <v>1.5693973404382009</v>
      </c>
      <c r="AX93" s="1">
        <f t="shared" si="41"/>
        <v>0.97170805313488828</v>
      </c>
      <c r="AY93" s="1">
        <f t="shared" si="42"/>
        <v>0.59640768172581815</v>
      </c>
      <c r="AZ93" s="1">
        <f t="shared" si="30"/>
        <v>0.59768928730331261</v>
      </c>
      <c r="BA93" s="3">
        <f t="shared" si="31"/>
        <v>67.125454836212853</v>
      </c>
      <c r="BB93">
        <v>0</v>
      </c>
      <c r="BC93">
        <v>0</v>
      </c>
      <c r="BD93" s="12">
        <v>0</v>
      </c>
      <c r="BE93" s="12">
        <v>0</v>
      </c>
      <c r="BG93" s="22">
        <f t="shared" si="13"/>
        <v>1.7687550265547054</v>
      </c>
      <c r="BH93" s="22">
        <f t="shared" si="14"/>
        <v>1.7702006126532692</v>
      </c>
    </row>
    <row r="94" spans="1:60">
      <c r="A94">
        <v>2015</v>
      </c>
      <c r="B94" s="3">
        <f t="shared" si="38"/>
        <v>158.76683741865872</v>
      </c>
      <c r="C94" s="3">
        <f>CPIs!AB54</f>
        <v>108.69337137051741</v>
      </c>
      <c r="G94" s="2">
        <f>'Exchange Rates'!U54</f>
        <v>0.90592556207997499</v>
      </c>
      <c r="I94" s="2">
        <v>1.5633469387755101</v>
      </c>
      <c r="P94" s="13" t="s">
        <v>127</v>
      </c>
      <c r="Q94" s="13">
        <v>-5.1448269424478617E-2</v>
      </c>
      <c r="R94" s="42"/>
      <c r="S94" s="2">
        <f>USA!Z102*G94</f>
        <v>44.858421631706442</v>
      </c>
      <c r="Y94" s="2">
        <v>0.76607000000000003</v>
      </c>
      <c r="Z94" s="32">
        <v>0.21</v>
      </c>
      <c r="AA94" s="2">
        <f t="shared" si="17"/>
        <v>0.2713246753246753</v>
      </c>
      <c r="AB94" s="2">
        <f t="shared" si="26"/>
        <v>1.0373946753246752</v>
      </c>
      <c r="AD94" s="2">
        <v>1.0388818838303941</v>
      </c>
      <c r="AG94" s="2">
        <v>0.21</v>
      </c>
      <c r="AH94" s="2">
        <v>0.77400000000000002</v>
      </c>
      <c r="AM94">
        <v>2015</v>
      </c>
      <c r="AN94" s="1">
        <f t="shared" si="39"/>
        <v>1.5633469387755101</v>
      </c>
      <c r="AO94" s="1">
        <f t="shared" si="20"/>
        <v>0.76607000000000003</v>
      </c>
      <c r="AP94" s="1">
        <f t="shared" si="21"/>
        <v>0.2713246753246753</v>
      </c>
      <c r="AQ94" s="1">
        <f t="shared" si="32"/>
        <v>1.0373946753246752</v>
      </c>
      <c r="AR94" s="22">
        <f t="shared" si="28"/>
        <v>0.5259522634508349</v>
      </c>
      <c r="AT94" s="7">
        <f>CPIs!U54</f>
        <v>109.18320465087891</v>
      </c>
      <c r="AV94" s="22">
        <f t="shared" si="29"/>
        <v>1.4318566154697727</v>
      </c>
      <c r="AW94" s="22">
        <f t="shared" si="40"/>
        <v>1.3968739633500771</v>
      </c>
      <c r="AX94" s="1">
        <f t="shared" si="41"/>
        <v>0.95014125903504909</v>
      </c>
      <c r="AY94" s="1">
        <f t="shared" si="42"/>
        <v>0.48171535643472363</v>
      </c>
      <c r="AZ94" s="1">
        <f t="shared" si="30"/>
        <v>0.44673270431502798</v>
      </c>
      <c r="BA94" s="3">
        <f t="shared" si="31"/>
        <v>41.085459778492897</v>
      </c>
      <c r="BB94">
        <v>0</v>
      </c>
      <c r="BC94">
        <v>0</v>
      </c>
      <c r="BD94" s="12">
        <v>0</v>
      </c>
      <c r="BE94" s="12">
        <v>0</v>
      </c>
      <c r="BG94" s="22">
        <f t="shared" si="13"/>
        <v>1.615061649861409</v>
      </c>
      <c r="BH94" s="22">
        <f t="shared" si="14"/>
        <v>1.5756029923124988</v>
      </c>
    </row>
    <row r="95" spans="1:60">
      <c r="A95">
        <v>2016</v>
      </c>
      <c r="B95" s="3">
        <f t="shared" si="38"/>
        <v>147.97075512852174</v>
      </c>
      <c r="C95" s="3">
        <f>CPIs!AB55</f>
        <v>110.08253978538585</v>
      </c>
      <c r="G95" s="2">
        <f>'Exchange Rates'!U55</f>
        <v>0.90674707708863456</v>
      </c>
      <c r="I95" s="2">
        <v>1.4769999999999996</v>
      </c>
      <c r="P95" s="13" t="s">
        <v>136</v>
      </c>
      <c r="Q95" s="13">
        <v>9.5616221431874981E-2</v>
      </c>
      <c r="S95" s="2">
        <f>USA!Z103*G95</f>
        <v>36.890067859371442</v>
      </c>
      <c r="Y95" s="2">
        <v>0.76990000000000003</v>
      </c>
      <c r="Z95" s="32">
        <v>0.21</v>
      </c>
      <c r="AA95" s="2">
        <f t="shared" si="17"/>
        <v>0.25633884297520654</v>
      </c>
      <c r="AB95" s="2">
        <f t="shared" si="26"/>
        <v>1.0262388429752065</v>
      </c>
      <c r="AD95" s="2">
        <v>1.0337767687860284</v>
      </c>
      <c r="AG95" s="2">
        <v>0.21</v>
      </c>
      <c r="AH95" s="2">
        <v>0.77800000000000002</v>
      </c>
      <c r="AM95">
        <v>2016</v>
      </c>
      <c r="AN95" s="1">
        <f t="shared" si="39"/>
        <v>1.4769999999999996</v>
      </c>
      <c r="AO95" s="1">
        <f t="shared" si="20"/>
        <v>0.76990000000000003</v>
      </c>
      <c r="AP95" s="1">
        <f t="shared" si="21"/>
        <v>0.25633884297520654</v>
      </c>
      <c r="AQ95" s="1">
        <f t="shared" si="32"/>
        <v>1.0262388429752065</v>
      </c>
      <c r="AR95" s="22">
        <f t="shared" si="28"/>
        <v>0.45076115702479314</v>
      </c>
      <c r="AT95" s="7">
        <f>CPIs!U55</f>
        <v>109.52896881103516</v>
      </c>
      <c r="AV95" s="22">
        <f t="shared" si="29"/>
        <v>1.348501694148325</v>
      </c>
      <c r="AW95" s="22">
        <f t="shared" si="40"/>
        <v>1.3407627870927885</v>
      </c>
      <c r="AX95" s="1">
        <f t="shared" si="41"/>
        <v>0.93695654593966371</v>
      </c>
      <c r="AY95" s="1">
        <f t="shared" si="42"/>
        <v>0.41154514820866128</v>
      </c>
      <c r="AZ95" s="1">
        <f t="shared" si="30"/>
        <v>0.4038062411531248</v>
      </c>
      <c r="BA95" s="3">
        <f t="shared" si="31"/>
        <v>33.680649292897144</v>
      </c>
      <c r="BB95">
        <v>0</v>
      </c>
      <c r="BC95">
        <v>0</v>
      </c>
      <c r="BD95" s="12">
        <v>0</v>
      </c>
      <c r="BE95" s="12">
        <v>0</v>
      </c>
      <c r="BG95" s="22">
        <f t="shared" si="13"/>
        <v>1.5210415257099994</v>
      </c>
      <c r="BH95" s="22">
        <f t="shared" si="14"/>
        <v>1.5123124310072185</v>
      </c>
    </row>
    <row r="96" spans="1:60" ht="15.75" thickBot="1">
      <c r="A96">
        <v>2017</v>
      </c>
      <c r="B96" s="3">
        <f t="shared" si="38"/>
        <v>155.64210806023937</v>
      </c>
      <c r="C96" s="3">
        <f>CPIs!AB56</f>
        <v>112.42729788281457</v>
      </c>
      <c r="G96" s="2">
        <f>'Exchange Rates'!U56</f>
        <v>0.88700000000000001</v>
      </c>
      <c r="I96" s="2">
        <v>1.5521100000000001</v>
      </c>
      <c r="P96" s="14" t="s">
        <v>141</v>
      </c>
      <c r="Q96" s="14">
        <v>-3.9089936989875763E-2</v>
      </c>
      <c r="S96" s="2">
        <f>USA!Z104*G96</f>
        <v>46.576369999999997</v>
      </c>
      <c r="Y96" s="2">
        <v>0.77220999999999995</v>
      </c>
      <c r="Z96" s="32">
        <v>0.21</v>
      </c>
      <c r="AA96" s="2">
        <f t="shared" si="17"/>
        <v>0.26937446280991739</v>
      </c>
      <c r="AB96" s="2">
        <f t="shared" si="26"/>
        <v>1.0415844628099173</v>
      </c>
      <c r="AD96" s="2">
        <v>1.0481042172277091</v>
      </c>
      <c r="AG96" s="2">
        <v>0.21</v>
      </c>
      <c r="AH96" s="2">
        <v>0.78</v>
      </c>
      <c r="AM96">
        <v>2017</v>
      </c>
      <c r="AN96" s="1">
        <f t="shared" si="39"/>
        <v>1.5521100000000001</v>
      </c>
      <c r="AO96" s="1">
        <f t="shared" si="20"/>
        <v>0.77220999999999995</v>
      </c>
      <c r="AP96" s="1">
        <f t="shared" si="21"/>
        <v>0.26937446280991739</v>
      </c>
      <c r="AQ96" s="1">
        <f t="shared" si="32"/>
        <v>1.0415844628099173</v>
      </c>
      <c r="AR96" s="22">
        <f t="shared" si="28"/>
        <v>0.51052553719008276</v>
      </c>
      <c r="AT96" s="7">
        <f>CPIs!U56</f>
        <v>111.05142147750854</v>
      </c>
      <c r="AV96" s="22">
        <f t="shared" si="29"/>
        <v>1.3976498268546269</v>
      </c>
      <c r="AW96" s="22">
        <f t="shared" si="40"/>
        <v>1.3896237706517542</v>
      </c>
      <c r="AX96" s="1">
        <f t="shared" si="41"/>
        <v>0.93792987874619094</v>
      </c>
      <c r="AY96" s="1">
        <f t="shared" si="42"/>
        <v>0.45971994810843597</v>
      </c>
      <c r="AZ96" s="1">
        <f t="shared" si="30"/>
        <v>0.45169389190556319</v>
      </c>
      <c r="BA96" s="3">
        <f t="shared" si="31"/>
        <v>41.941264128197766</v>
      </c>
      <c r="BB96">
        <v>0</v>
      </c>
      <c r="BC96">
        <v>0</v>
      </c>
      <c r="BD96" s="12">
        <v>0</v>
      </c>
      <c r="BE96" s="12">
        <v>0</v>
      </c>
      <c r="BG96" s="22">
        <f t="shared" si="13"/>
        <v>1.5764781270000001</v>
      </c>
      <c r="BH96" s="22">
        <f t="shared" si="14"/>
        <v>1.5674251426209467</v>
      </c>
    </row>
    <row r="97" spans="1:60">
      <c r="A97">
        <v>2018</v>
      </c>
      <c r="G97" s="2">
        <f>'Exchange Rates'!U57</f>
        <v>0.84599999999999997</v>
      </c>
      <c r="I97" s="2">
        <f>'EU petrol prices nominal'!AI16</f>
        <v>1.6277923076923086</v>
      </c>
      <c r="P97" s="2"/>
      <c r="S97" s="2">
        <f>USA!Z105*G97</f>
        <v>59.392569350649353</v>
      </c>
      <c r="Y97" s="2">
        <v>0.78600000000000003</v>
      </c>
      <c r="Z97" s="32">
        <v>0.21</v>
      </c>
      <c r="AA97" s="2">
        <f t="shared" ref="AA97" si="43">Z97*(I97*(1/(1+Z97)))</f>
        <v>0.28250940877304531</v>
      </c>
      <c r="AB97" s="2">
        <f t="shared" ref="AB97" si="44">Y97+AA97</f>
        <v>1.0685094087730453</v>
      </c>
      <c r="AH97" s="2">
        <v>0.78600000000000003</v>
      </c>
      <c r="AM97">
        <v>2018</v>
      </c>
      <c r="AN97" s="1">
        <f t="shared" ref="AN97" si="45">I97</f>
        <v>1.6277923076923086</v>
      </c>
      <c r="AO97" s="1">
        <f t="shared" ref="AO97" si="46">Y97</f>
        <v>0.78600000000000003</v>
      </c>
      <c r="AP97" s="1">
        <f t="shared" ref="AP97" si="47">AA97</f>
        <v>0.28250940877304531</v>
      </c>
      <c r="AQ97" s="1">
        <f t="shared" ref="AQ97" si="48">AB97</f>
        <v>1.0685094087730453</v>
      </c>
      <c r="AR97" s="22">
        <f t="shared" ref="AR97" si="49">AN97-AQ97</f>
        <v>0.5592828989192633</v>
      </c>
      <c r="AT97" s="7">
        <f>CPIs!U57</f>
        <v>112.79492879470541</v>
      </c>
      <c r="AV97" s="22">
        <f t="shared" ref="AV97" si="50">AN97/$AT97*100</f>
        <v>1.4431431670611747</v>
      </c>
      <c r="AW97" s="22">
        <f t="shared" ref="AW97" si="51">AZ97+AX97</f>
        <v>1.4611072988745923</v>
      </c>
      <c r="AX97" s="1">
        <f t="shared" ref="AX97" si="52">AQ97/$AT97*100</f>
        <v>0.94730270251582538</v>
      </c>
      <c r="AY97" s="1">
        <f t="shared" ref="AY97" si="53">AV97-AX97</f>
        <v>0.49584046454534936</v>
      </c>
      <c r="AZ97" s="1">
        <f t="shared" si="30"/>
        <v>0.51380459635876696</v>
      </c>
      <c r="BA97" s="3">
        <f t="shared" ref="BA97" si="54">S97/AT97*100</f>
        <v>52.655354265747135</v>
      </c>
      <c r="BB97">
        <v>0</v>
      </c>
      <c r="BC97">
        <v>0</v>
      </c>
      <c r="BD97" s="12">
        <v>0</v>
      </c>
      <c r="BE97" s="12">
        <v>0</v>
      </c>
      <c r="BG97" s="22">
        <f>AV97*$AT$97/$AT$89</f>
        <v>1.6277923076923084</v>
      </c>
      <c r="BH97" s="22">
        <f>AW97*$AT$97/$AT$89</f>
        <v>1.6480549373798399</v>
      </c>
    </row>
    <row r="98" spans="1:60">
      <c r="P98" s="40"/>
      <c r="Q98" s="40"/>
      <c r="AM98">
        <v>2019</v>
      </c>
      <c r="AT98" s="7">
        <f>AT97</f>
        <v>112.79492879470541</v>
      </c>
    </row>
    <row r="99" spans="1:60">
      <c r="P99" s="40"/>
      <c r="Q99" s="40"/>
      <c r="AM99">
        <v>2020</v>
      </c>
      <c r="AT99" s="7">
        <f t="shared" ref="AT99:AT109" si="55">AT98</f>
        <v>112.79492879470541</v>
      </c>
      <c r="AV99" s="13" t="s">
        <v>88</v>
      </c>
      <c r="AW99" s="13">
        <v>0.20855598404621289</v>
      </c>
    </row>
    <row r="100" spans="1:60">
      <c r="AM100">
        <v>2021</v>
      </c>
      <c r="AT100" s="7">
        <f t="shared" si="55"/>
        <v>112.79492879470541</v>
      </c>
      <c r="AV100" s="13" t="s">
        <v>229</v>
      </c>
      <c r="AW100" s="13">
        <v>5.7971049016590052E-3</v>
      </c>
    </row>
    <row r="101" spans="1:60">
      <c r="AM101">
        <v>2022</v>
      </c>
      <c r="AT101" s="7">
        <f t="shared" si="55"/>
        <v>112.79492879470541</v>
      </c>
      <c r="AV101" s="3" t="s">
        <v>2002</v>
      </c>
      <c r="AW101" s="13">
        <v>0.22695163932075951</v>
      </c>
    </row>
    <row r="102" spans="1:60">
      <c r="AM102">
        <v>2023</v>
      </c>
      <c r="AT102" s="7">
        <f t="shared" si="55"/>
        <v>112.79492879470541</v>
      </c>
      <c r="AV102" s="3" t="s">
        <v>2010</v>
      </c>
      <c r="AW102" s="13">
        <v>3.7966998402211745E-2</v>
      </c>
    </row>
    <row r="103" spans="1:60">
      <c r="AM103">
        <v>2024</v>
      </c>
      <c r="AT103" s="7">
        <f t="shared" si="55"/>
        <v>112.79492879470541</v>
      </c>
      <c r="AV103" t="s">
        <v>2092</v>
      </c>
      <c r="AW103" s="13">
        <v>-0.16421987425487602</v>
      </c>
    </row>
    <row r="104" spans="1:60" ht="15.75" thickBot="1">
      <c r="AM104">
        <v>2025</v>
      </c>
      <c r="AT104" s="7">
        <f t="shared" si="55"/>
        <v>112.79492879470541</v>
      </c>
      <c r="AV104" t="s">
        <v>2167</v>
      </c>
      <c r="AW104" s="14">
        <v>-4.1686982845597541E-2</v>
      </c>
    </row>
    <row r="105" spans="1:60">
      <c r="AM105">
        <v>2026</v>
      </c>
      <c r="AT105" s="7">
        <f t="shared" si="55"/>
        <v>112.79492879470541</v>
      </c>
    </row>
    <row r="106" spans="1:60">
      <c r="AM106">
        <v>2027</v>
      </c>
      <c r="AT106" s="7">
        <f t="shared" si="55"/>
        <v>112.79492879470541</v>
      </c>
    </row>
    <row r="107" spans="1:60">
      <c r="AM107">
        <v>2028</v>
      </c>
      <c r="AT107" s="7">
        <f t="shared" si="55"/>
        <v>112.79492879470541</v>
      </c>
    </row>
    <row r="108" spans="1:60">
      <c r="AM108">
        <v>2029</v>
      </c>
      <c r="AT108" s="7">
        <f t="shared" si="55"/>
        <v>112.79492879470541</v>
      </c>
    </row>
    <row r="109" spans="1:60">
      <c r="AM109">
        <v>2030</v>
      </c>
      <c r="AT109" s="7">
        <f t="shared" si="55"/>
        <v>112.79492879470541</v>
      </c>
    </row>
    <row r="111" spans="1:60">
      <c r="R111" s="13" t="str">
        <f>AV99</f>
        <v>Intercept</v>
      </c>
      <c r="S111" s="13">
        <f>AW99</f>
        <v>0.20855598404621289</v>
      </c>
    </row>
    <row r="112" spans="1:60">
      <c r="R112" s="13" t="str">
        <f>AV100</f>
        <v>landed oil price</v>
      </c>
      <c r="S112" s="13">
        <f>AW100</f>
        <v>5.7971049016590052E-3</v>
      </c>
    </row>
    <row r="113" spans="1:63">
      <c r="R113" s="13"/>
      <c r="S113" s="13"/>
    </row>
    <row r="114" spans="1:63">
      <c r="R114" s="13"/>
      <c r="S114" s="13"/>
    </row>
    <row r="115" spans="1:63">
      <c r="R115" s="13"/>
      <c r="S115" s="13"/>
    </row>
    <row r="116" spans="1:63">
      <c r="R116" s="13"/>
      <c r="S116" s="13"/>
    </row>
    <row r="117" spans="1:63">
      <c r="R117" s="13"/>
      <c r="S117" s="13"/>
    </row>
    <row r="118" spans="1:63">
      <c r="O118" s="32"/>
      <c r="P118" s="37"/>
      <c r="R118" s="32"/>
      <c r="S118" s="37"/>
      <c r="W118" s="2"/>
      <c r="X118" s="37"/>
      <c r="AI118" s="2"/>
      <c r="AJ118" s="2"/>
      <c r="AK118" s="2"/>
      <c r="AL118" s="2"/>
      <c r="AM118" s="2"/>
      <c r="AO118"/>
      <c r="AP118"/>
      <c r="AQ118"/>
      <c r="AR118"/>
      <c r="AS118"/>
      <c r="AV118" s="32"/>
      <c r="AW118" s="32"/>
      <c r="AX118" s="32"/>
      <c r="AY118" s="12"/>
      <c r="AZ118" s="3"/>
      <c r="BA118"/>
      <c r="BC118" s="9"/>
      <c r="BG118" s="9"/>
    </row>
    <row r="119" spans="1:63">
      <c r="O119" s="32"/>
      <c r="P119" s="37"/>
      <c r="R119" s="32"/>
      <c r="S119" s="37"/>
      <c r="W119" s="2"/>
      <c r="X119" s="37"/>
      <c r="Y119" s="37"/>
      <c r="Z119" s="37"/>
      <c r="AA119" s="37"/>
      <c r="AB119" s="37"/>
      <c r="AC119" s="37"/>
      <c r="AD119" s="37"/>
      <c r="AE119" s="37"/>
      <c r="AF119" s="37"/>
      <c r="AI119" s="2"/>
      <c r="AJ119" s="2"/>
      <c r="AK119" t="s">
        <v>1960</v>
      </c>
      <c r="AL119" t="s">
        <v>1960</v>
      </c>
      <c r="AM119" t="s">
        <v>1960</v>
      </c>
      <c r="AR119" s="2"/>
      <c r="AS119" s="2"/>
      <c r="AT119" s="32"/>
      <c r="AV119" s="12"/>
      <c r="AW119" s="12"/>
      <c r="AX119" s="12"/>
      <c r="AY119" s="12"/>
      <c r="AZ119" s="3"/>
      <c r="BA119"/>
      <c r="BC119" s="9"/>
      <c r="BF119" s="3"/>
      <c r="BG119" s="3"/>
      <c r="BH119" s="3"/>
      <c r="BK119" s="9"/>
    </row>
    <row r="120" spans="1:63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2595</v>
      </c>
      <c r="R120" s="26"/>
      <c r="S120" s="26"/>
      <c r="T120" s="79">
        <v>0.21</v>
      </c>
      <c r="U120" s="76" t="s">
        <v>2548</v>
      </c>
      <c r="V120" s="76"/>
      <c r="W120" s="76"/>
      <c r="X120" s="76"/>
      <c r="Y120" s="26" t="s">
        <v>2550</v>
      </c>
      <c r="Z120" s="26"/>
      <c r="AA120" s="26"/>
      <c r="AB120" s="79"/>
      <c r="AC120" s="26" t="s">
        <v>2079</v>
      </c>
      <c r="AD120" s="26"/>
      <c r="AE120" s="26"/>
      <c r="AF120" s="79"/>
      <c r="AI120" s="2"/>
      <c r="AJ120" s="2"/>
      <c r="AK120" s="3" t="s">
        <v>1957</v>
      </c>
      <c r="AL120" s="3" t="s">
        <v>1957</v>
      </c>
      <c r="AM120" s="3" t="s">
        <v>1957</v>
      </c>
      <c r="AP120"/>
      <c r="AQ120"/>
      <c r="AR120"/>
      <c r="AS120"/>
      <c r="AV120" s="12"/>
      <c r="AW120" s="32"/>
      <c r="AX120" s="32"/>
      <c r="AY120" s="32"/>
      <c r="AZ120" s="3"/>
      <c r="BA120"/>
      <c r="BC120" s="9"/>
      <c r="BH120" s="9"/>
    </row>
    <row r="121" spans="1:63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2549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I121" s="2"/>
      <c r="AJ121" s="2"/>
      <c r="AK121" s="3" t="s">
        <v>268</v>
      </c>
      <c r="AL121" s="3" t="s">
        <v>267</v>
      </c>
      <c r="AM121" s="3" t="s">
        <v>266</v>
      </c>
      <c r="AP121"/>
      <c r="AQ121"/>
      <c r="AR121"/>
      <c r="AS121"/>
      <c r="AV121" s="12"/>
      <c r="AW121" s="32"/>
      <c r="AX121" s="32"/>
      <c r="AY121" s="32"/>
      <c r="AZ121" s="3"/>
      <c r="BA121"/>
      <c r="BC121" s="9"/>
      <c r="BH121" s="9"/>
    </row>
    <row r="122" spans="1:63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6">AL122</f>
        <v>77.45</v>
      </c>
      <c r="E122" s="3">
        <f t="shared" si="56"/>
        <v>77.45</v>
      </c>
      <c r="F122" s="6">
        <f>'Exchange Rates'!U49</f>
        <v>0.75867129256384003</v>
      </c>
      <c r="G122" s="3">
        <f>(B122*USA!$AU97/100)/$AT89*100*$F122</f>
        <v>58.759091609069415</v>
      </c>
      <c r="H122" s="3">
        <f>(C122*USA!$AU97/100)/$AT89*100*$F122</f>
        <v>58.759091609069415</v>
      </c>
      <c r="I122" s="3">
        <f>(D122*USA!$AU97/100)/$AT89*100*$F122</f>
        <v>58.759091609069415</v>
      </c>
      <c r="J122" s="3">
        <f>(E122*USA!$AU97/100)/$AT89*100*$F122</f>
        <v>58.759091609069415</v>
      </c>
      <c r="K122" s="6">
        <f>S$111+S$112*G122</f>
        <v>0.54918860203017972</v>
      </c>
      <c r="L122" s="6">
        <f>S$111+S$112*H122</f>
        <v>0.54918860203017972</v>
      </c>
      <c r="M122" s="6">
        <f>S$111+S$112*I122</f>
        <v>0.54918860203017972</v>
      </c>
      <c r="N122" s="6">
        <f>S$111+S$112*J122</f>
        <v>0.54918860203017972</v>
      </c>
      <c r="O122">
        <v>2010</v>
      </c>
      <c r="P122" s="24">
        <f t="shared" ref="P122:P130" si="57">Y89/AT89*100</f>
        <v>0.72</v>
      </c>
      <c r="Q122" s="3">
        <f t="shared" ref="Q122:T129" si="58">(K122+$P122)*$Z89</f>
        <v>0.24114583438573414</v>
      </c>
      <c r="R122" s="3">
        <f t="shared" si="58"/>
        <v>0.24114583438573414</v>
      </c>
      <c r="S122" s="3">
        <f t="shared" si="58"/>
        <v>0.24114583438573414</v>
      </c>
      <c r="T122" s="3">
        <f t="shared" si="58"/>
        <v>0.24114583438573414</v>
      </c>
      <c r="U122" s="3">
        <f t="shared" ref="U122:U130" si="59">AV89</f>
        <v>1.5029999999999999</v>
      </c>
      <c r="V122" s="3">
        <f t="shared" ref="V122:V142" si="60">L122+$P122+R122</f>
        <v>1.5103344364159139</v>
      </c>
      <c r="W122" s="3">
        <f t="shared" ref="W122:W142" si="61">M122+$P122+S122</f>
        <v>1.5103344364159139</v>
      </c>
      <c r="X122" s="3">
        <f t="shared" ref="X122:X142" si="62">N122+$P122+T122</f>
        <v>1.5103344364159139</v>
      </c>
      <c r="Y122" s="9">
        <f t="shared" ref="Y122:Y130" si="63">AV89*$AT$97/100*100</f>
        <v>169.53077797844222</v>
      </c>
      <c r="Z122" s="9">
        <f>V122*$AT$97/100*100</f>
        <v>170.35806521172455</v>
      </c>
      <c r="AA122" s="9">
        <f>W122*$AT$97/100*100</f>
        <v>170.35806521172455</v>
      </c>
      <c r="AB122" s="9">
        <f>X122*$AT$97/100*100</f>
        <v>170.35806521172455</v>
      </c>
      <c r="AC122" s="3">
        <f>U122*$AT$96/100</f>
        <v>1.6691028648069532</v>
      </c>
      <c r="AD122" s="3">
        <f>AC122</f>
        <v>1.6691028648069532</v>
      </c>
      <c r="AE122" s="3">
        <f t="shared" ref="AE122:AF122" si="64">AD122</f>
        <v>1.6691028648069532</v>
      </c>
      <c r="AF122" s="3">
        <f t="shared" si="64"/>
        <v>1.6691028648069532</v>
      </c>
      <c r="AI122" s="2"/>
      <c r="AJ122" s="2"/>
      <c r="AK122" s="3">
        <f>USA!AJ135</f>
        <v>77.45</v>
      </c>
      <c r="AL122" s="3">
        <f>USA!AK135</f>
        <v>77.45</v>
      </c>
      <c r="AM122" s="3">
        <f>USA!AL135</f>
        <v>77.45</v>
      </c>
      <c r="AP122"/>
      <c r="AQ122"/>
      <c r="AR122"/>
      <c r="AS122"/>
      <c r="AV122" s="12"/>
      <c r="AW122" s="32"/>
      <c r="AX122" s="32"/>
      <c r="AY122" s="32"/>
      <c r="AZ122" s="3"/>
      <c r="BA122"/>
      <c r="BC122" s="9"/>
      <c r="BH122" s="9"/>
    </row>
    <row r="123" spans="1:63">
      <c r="A123">
        <v>2011</v>
      </c>
      <c r="B123" s="3">
        <f>USA!Z98/USA!AU98*100</f>
        <v>104.18614906980585</v>
      </c>
      <c r="C123" s="3">
        <f t="shared" ref="C123:C142" si="65">AK123</f>
        <v>104.18614906980586</v>
      </c>
      <c r="D123" s="3">
        <f t="shared" ref="D123:D142" si="66">AL123</f>
        <v>104.18614906980586</v>
      </c>
      <c r="E123" s="3">
        <f t="shared" ref="E123:E142" si="67">AM123</f>
        <v>104.18614906980586</v>
      </c>
      <c r="F123" s="6">
        <f>'Exchange Rates'!U50</f>
        <v>0.71544109992713056</v>
      </c>
      <c r="G123" s="3">
        <f>(B123*USA!$AU98/100)/$AT90*100*$F123</f>
        <v>75.115640625743779</v>
      </c>
      <c r="H123" s="3">
        <f>(C123*USA!$AU98/100)/$AT90*100*$F123</f>
        <v>75.115640625743779</v>
      </c>
      <c r="I123" s="3">
        <f>(D123*USA!$AU98/100)/$AT90*100*$F123</f>
        <v>75.115640625743779</v>
      </c>
      <c r="J123" s="3">
        <f>(E123*USA!$AU98/100)/$AT90*100*$F123</f>
        <v>75.115640625743779</v>
      </c>
      <c r="K123" s="6">
        <f t="shared" ref="K123:K130" si="68">S$111+S$112*G123</f>
        <v>0.64400923250896847</v>
      </c>
      <c r="L123" s="6">
        <f t="shared" ref="L123:L130" si="69">S$111+S$112*H123</f>
        <v>0.64400923250896847</v>
      </c>
      <c r="M123" s="6">
        <f t="shared" ref="M123:M130" si="70">S$111+S$112*I123</f>
        <v>0.64400923250896847</v>
      </c>
      <c r="N123" s="6">
        <f t="shared" ref="N123:N130" si="71">S$111+S$112*J123</f>
        <v>0.64400923250896847</v>
      </c>
      <c r="O123">
        <v>2011</v>
      </c>
      <c r="P123" s="24">
        <f t="shared" si="57"/>
        <v>0.70183948529183726</v>
      </c>
      <c r="Q123" s="3">
        <f t="shared" si="58"/>
        <v>0.25571125638215308</v>
      </c>
      <c r="R123" s="3">
        <f t="shared" si="58"/>
        <v>0.25571125638215308</v>
      </c>
      <c r="S123" s="3">
        <f t="shared" si="58"/>
        <v>0.25571125638215308</v>
      </c>
      <c r="T123" s="3">
        <f t="shared" si="58"/>
        <v>0.25571125638215308</v>
      </c>
      <c r="U123" s="3">
        <f t="shared" si="59"/>
        <v>1.6014614092780999</v>
      </c>
      <c r="V123" s="3">
        <f t="shared" si="60"/>
        <v>1.6015599741829587</v>
      </c>
      <c r="W123" s="3">
        <f t="shared" si="61"/>
        <v>1.6015599741829587</v>
      </c>
      <c r="X123" s="3">
        <f t="shared" si="62"/>
        <v>1.6015599741829587</v>
      </c>
      <c r="Y123" s="9">
        <f t="shared" si="63"/>
        <v>180.63672562699185</v>
      </c>
      <c r="Z123" s="9">
        <f t="shared" ref="Z123:Z142" si="72">V123*$AT$97/100*100</f>
        <v>180.64784324841708</v>
      </c>
      <c r="AA123" s="9">
        <f t="shared" ref="AA123:AA142" si="73">W123*$AT$97/100*100</f>
        <v>180.64784324841708</v>
      </c>
      <c r="AB123" s="9">
        <f t="shared" ref="AB123:AB142" si="74">X123*$AT$97/100*100</f>
        <v>180.64784324841708</v>
      </c>
      <c r="AC123" s="3">
        <f t="shared" ref="AC123:AC125" si="75">U123*$AT$96/100</f>
        <v>1.7784456594170708</v>
      </c>
      <c r="AD123" s="3">
        <f t="shared" ref="AD123:AF123" si="76">AC123</f>
        <v>1.7784456594170708</v>
      </c>
      <c r="AE123" s="3">
        <f t="shared" si="76"/>
        <v>1.7784456594170708</v>
      </c>
      <c r="AF123" s="3">
        <f t="shared" si="76"/>
        <v>1.7784456594170708</v>
      </c>
      <c r="AI123" s="2"/>
      <c r="AJ123" s="2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P123"/>
      <c r="AQ123"/>
      <c r="AR123"/>
      <c r="AS123"/>
      <c r="AV123" s="12"/>
      <c r="AW123" s="32"/>
      <c r="AX123" s="32"/>
      <c r="AY123" s="32"/>
      <c r="AZ123" s="3"/>
      <c r="BA123"/>
      <c r="BC123" s="9"/>
      <c r="BH123" s="9"/>
    </row>
    <row r="124" spans="1:63">
      <c r="A124">
        <v>2012</v>
      </c>
      <c r="B124" s="3">
        <f>USA!Z99/USA!AU99*100</f>
        <v>104.07290773565181</v>
      </c>
      <c r="C124" s="3">
        <f t="shared" si="65"/>
        <v>104.07290773565181</v>
      </c>
      <c r="D124" s="3">
        <f t="shared" si="66"/>
        <v>104.07290773565181</v>
      </c>
      <c r="E124" s="3">
        <f t="shared" si="67"/>
        <v>104.07290773565181</v>
      </c>
      <c r="F124" s="6">
        <f>'Exchange Rates'!U51</f>
        <v>0.773899446716382</v>
      </c>
      <c r="G124" s="3">
        <f>(B124*USA!$AU99/100)/$AT91*100*$F124</f>
        <v>80.815891338762981</v>
      </c>
      <c r="H124" s="3">
        <f>(C124*USA!$AU99/100)/$AT91*100*$F124</f>
        <v>80.815891338762981</v>
      </c>
      <c r="I124" s="3">
        <f>(D124*USA!$AU99/100)/$AT91*100*$F124</f>
        <v>80.815891338762981</v>
      </c>
      <c r="J124" s="3">
        <f>(E124*USA!$AU99/100)/$AT91*100*$F124</f>
        <v>80.815891338762981</v>
      </c>
      <c r="K124" s="6">
        <f t="shared" si="68"/>
        <v>0.67705418385809724</v>
      </c>
      <c r="L124" s="6">
        <f t="shared" si="69"/>
        <v>0.67705418385809724</v>
      </c>
      <c r="M124" s="6">
        <f t="shared" si="70"/>
        <v>0.67705418385809724</v>
      </c>
      <c r="N124" s="6">
        <f t="shared" si="71"/>
        <v>0.67705418385809724</v>
      </c>
      <c r="O124">
        <v>2012</v>
      </c>
      <c r="P124" s="24">
        <f t="shared" si="57"/>
        <v>0.69666319708358271</v>
      </c>
      <c r="Q124" s="3">
        <f t="shared" si="58"/>
        <v>0.2610063023789192</v>
      </c>
      <c r="R124" s="3">
        <f t="shared" si="58"/>
        <v>0.2610063023789192</v>
      </c>
      <c r="S124" s="3">
        <f t="shared" si="58"/>
        <v>0.2610063023789192</v>
      </c>
      <c r="T124" s="3">
        <f t="shared" si="58"/>
        <v>0.2610063023789192</v>
      </c>
      <c r="U124" s="3">
        <f t="shared" si="59"/>
        <v>1.678911919823193</v>
      </c>
      <c r="V124" s="3">
        <f t="shared" si="60"/>
        <v>1.6347236833205994</v>
      </c>
      <c r="W124" s="3">
        <f t="shared" si="61"/>
        <v>1.6347236833205994</v>
      </c>
      <c r="X124" s="3">
        <f t="shared" si="62"/>
        <v>1.6347236833205994</v>
      </c>
      <c r="Y124" s="9">
        <f t="shared" si="63"/>
        <v>189.37275044903922</v>
      </c>
      <c r="Z124" s="9">
        <f t="shared" si="72"/>
        <v>184.38854145916557</v>
      </c>
      <c r="AA124" s="9">
        <f t="shared" si="73"/>
        <v>184.38854145916557</v>
      </c>
      <c r="AB124" s="9">
        <f t="shared" si="74"/>
        <v>184.38854145916557</v>
      </c>
      <c r="AC124" s="3">
        <f t="shared" si="75"/>
        <v>1.8644555523189843</v>
      </c>
      <c r="AD124" s="3">
        <f t="shared" ref="AD124:AF124" si="77">AC124</f>
        <v>1.8644555523189843</v>
      </c>
      <c r="AE124" s="3">
        <f t="shared" si="77"/>
        <v>1.8644555523189843</v>
      </c>
      <c r="AF124" s="3">
        <f t="shared" si="77"/>
        <v>1.8644555523189843</v>
      </c>
      <c r="AI124" s="2"/>
      <c r="AJ124" s="2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P124"/>
      <c r="AQ124"/>
      <c r="AR124"/>
      <c r="AS124"/>
      <c r="AV124" s="12"/>
      <c r="AW124" s="32"/>
      <c r="AX124" s="32"/>
      <c r="AY124" s="32"/>
      <c r="AZ124" s="3"/>
      <c r="BA124"/>
      <c r="BC124" s="9"/>
      <c r="BH124" s="9"/>
    </row>
    <row r="125" spans="1:63">
      <c r="A125">
        <v>2013</v>
      </c>
      <c r="B125" s="3">
        <f>USA!Z100/USA!AU100*100</f>
        <v>99.286371359470479</v>
      </c>
      <c r="C125" s="3">
        <f t="shared" si="65"/>
        <v>99.286371359470493</v>
      </c>
      <c r="D125" s="3">
        <f t="shared" si="66"/>
        <v>99.286371359470493</v>
      </c>
      <c r="E125" s="3">
        <f t="shared" si="67"/>
        <v>99.286371359470493</v>
      </c>
      <c r="F125" s="6">
        <f>'Exchange Rates'!U52</f>
        <v>0.75166876437654617</v>
      </c>
      <c r="G125" s="3">
        <f>(B125*USA!$AU100/100)/$AT92*100*$F125</f>
        <v>74.085401339357816</v>
      </c>
      <c r="H125" s="3">
        <f>(C125*USA!$AU100/100)/$AT92*100*$F125</f>
        <v>74.085401339357816</v>
      </c>
      <c r="I125" s="3">
        <f>(D125*USA!$AU100/100)/$AT92*100*$F125</f>
        <v>74.085401339357816</v>
      </c>
      <c r="J125" s="3">
        <f>(E125*USA!$AU100/100)/$AT92*100*$F125</f>
        <v>74.085401339357816</v>
      </c>
      <c r="K125" s="6">
        <f t="shared" si="68"/>
        <v>0.63803682729197875</v>
      </c>
      <c r="L125" s="6">
        <f t="shared" si="69"/>
        <v>0.63803682729197875</v>
      </c>
      <c r="M125" s="6">
        <f t="shared" si="70"/>
        <v>0.63803682729197875</v>
      </c>
      <c r="N125" s="6">
        <f t="shared" si="71"/>
        <v>0.63803682729197875</v>
      </c>
      <c r="O125">
        <v>2013</v>
      </c>
      <c r="P125" s="24">
        <f t="shared" si="57"/>
        <v>0.69458636883712621</v>
      </c>
      <c r="Q125" s="3">
        <f t="shared" si="58"/>
        <v>0.27985087118711199</v>
      </c>
      <c r="R125" s="3">
        <f t="shared" si="58"/>
        <v>0.27985087118711199</v>
      </c>
      <c r="S125" s="3">
        <f t="shared" si="58"/>
        <v>0.27985087118711199</v>
      </c>
      <c r="T125" s="3">
        <f t="shared" si="58"/>
        <v>0.27985087118711199</v>
      </c>
      <c r="U125" s="3">
        <f t="shared" si="59"/>
        <v>1.6166820216655529</v>
      </c>
      <c r="V125" s="3">
        <f t="shared" si="60"/>
        <v>1.6124740673162168</v>
      </c>
      <c r="W125" s="3">
        <f t="shared" si="61"/>
        <v>1.6124740673162168</v>
      </c>
      <c r="X125" s="3">
        <f t="shared" si="62"/>
        <v>1.6124740673162168</v>
      </c>
      <c r="Y125" s="9">
        <f t="shared" si="63"/>
        <v>182.35353351744644</v>
      </c>
      <c r="Z125" s="9">
        <f t="shared" si="72"/>
        <v>181.87889760624171</v>
      </c>
      <c r="AA125" s="9">
        <f t="shared" si="73"/>
        <v>181.87889760624171</v>
      </c>
      <c r="AB125" s="9">
        <f t="shared" si="74"/>
        <v>181.87889760624171</v>
      </c>
      <c r="AC125" s="3">
        <f t="shared" si="75"/>
        <v>1.7953483658309191</v>
      </c>
      <c r="AD125" s="3">
        <f t="shared" ref="AD125:AF125" si="78">AC125</f>
        <v>1.7953483658309191</v>
      </c>
      <c r="AE125" s="3">
        <f t="shared" si="78"/>
        <v>1.7953483658309191</v>
      </c>
      <c r="AF125" s="3">
        <f t="shared" si="78"/>
        <v>1.7953483658309191</v>
      </c>
      <c r="AI125" s="2"/>
      <c r="AJ125" s="2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P125"/>
      <c r="AQ125"/>
      <c r="AR125"/>
      <c r="AS125"/>
      <c r="AV125" s="12"/>
      <c r="AW125" s="32"/>
      <c r="AX125" s="32"/>
      <c r="AY125" s="32"/>
      <c r="AZ125" s="3"/>
      <c r="BA125"/>
      <c r="BC125" s="9"/>
      <c r="BH125" s="9"/>
    </row>
    <row r="126" spans="1:63">
      <c r="A126">
        <v>2014</v>
      </c>
      <c r="B126" s="3">
        <f>USA!Z101/USA!AU101*100</f>
        <v>88.687750298592292</v>
      </c>
      <c r="C126" s="3">
        <f t="shared" si="65"/>
        <v>88.687750298592292</v>
      </c>
      <c r="D126" s="3">
        <f t="shared" si="66"/>
        <v>88.687750298592292</v>
      </c>
      <c r="E126" s="3">
        <f t="shared" si="67"/>
        <v>88.687750298592292</v>
      </c>
      <c r="F126" s="6">
        <f>'Exchange Rates'!U53</f>
        <v>0.757387838338895</v>
      </c>
      <c r="G126" s="3">
        <f>(B126*USA!$AU101/100)/$AT93*100*$F126</f>
        <v>67.125454836212839</v>
      </c>
      <c r="H126" s="3">
        <f>(C126*USA!$AU101/100)/$AT93*100*$F126</f>
        <v>67.125454836212839</v>
      </c>
      <c r="I126" s="3">
        <f>(D126*USA!$AU101/100)/$AT93*100*$F126</f>
        <v>67.125454836212839</v>
      </c>
      <c r="J126" s="3">
        <f>(E126*USA!$AU101/100)/$AT93*100*$F126</f>
        <v>67.125454836212839</v>
      </c>
      <c r="K126" s="6">
        <f t="shared" si="68"/>
        <v>0.5976892873033125</v>
      </c>
      <c r="L126" s="6">
        <f t="shared" si="69"/>
        <v>0.5976892873033125</v>
      </c>
      <c r="M126" s="6">
        <f t="shared" si="70"/>
        <v>0.5976892873033125</v>
      </c>
      <c r="N126" s="6">
        <f t="shared" si="71"/>
        <v>0.5976892873033125</v>
      </c>
      <c r="O126">
        <v>2014</v>
      </c>
      <c r="P126" s="24">
        <f t="shared" si="57"/>
        <v>0.69955573551443495</v>
      </c>
      <c r="Q126" s="3">
        <f t="shared" si="58"/>
        <v>0.27242145479172697</v>
      </c>
      <c r="R126" s="3">
        <f t="shared" si="58"/>
        <v>0.27242145479172697</v>
      </c>
      <c r="S126" s="3">
        <f t="shared" si="58"/>
        <v>0.27242145479172697</v>
      </c>
      <c r="T126" s="3">
        <f t="shared" si="58"/>
        <v>0.27242145479172697</v>
      </c>
      <c r="U126" s="3">
        <f t="shared" si="59"/>
        <v>1.5681157348607064</v>
      </c>
      <c r="V126" s="3">
        <f t="shared" si="60"/>
        <v>1.5696664776094744</v>
      </c>
      <c r="W126" s="3">
        <f t="shared" si="61"/>
        <v>1.5696664776094744</v>
      </c>
      <c r="X126" s="3">
        <f t="shared" si="62"/>
        <v>1.5696664776094744</v>
      </c>
      <c r="Y126" s="9">
        <f t="shared" si="63"/>
        <v>176.87550265547054</v>
      </c>
      <c r="Z126" s="9">
        <f t="shared" si="72"/>
        <v>177.05041857339671</v>
      </c>
      <c r="AA126" s="9">
        <f t="shared" si="73"/>
        <v>177.05041857339671</v>
      </c>
      <c r="AB126" s="9">
        <f t="shared" si="74"/>
        <v>177.05041857339671</v>
      </c>
      <c r="AC126" s="3">
        <f t="shared" ref="AC126:AC130" si="79">U126*$AT$96/100</f>
        <v>1.7414148139752934</v>
      </c>
      <c r="AD126" s="3">
        <f t="shared" ref="AD126:AF126" si="80">AC126</f>
        <v>1.7414148139752934</v>
      </c>
      <c r="AE126" s="3">
        <f t="shared" si="80"/>
        <v>1.7414148139752934</v>
      </c>
      <c r="AF126" s="3">
        <f t="shared" si="80"/>
        <v>1.7414148139752934</v>
      </c>
      <c r="AI126" s="2"/>
      <c r="AJ126" s="2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P126"/>
      <c r="AQ126"/>
      <c r="AR126"/>
      <c r="AS126"/>
      <c r="AV126" s="12"/>
      <c r="AW126" s="32"/>
      <c r="AX126" s="32"/>
      <c r="AY126" s="32"/>
      <c r="AZ126" s="3"/>
      <c r="BA126"/>
      <c r="BC126" s="9"/>
      <c r="BH126" s="9"/>
    </row>
    <row r="127" spans="1:63">
      <c r="A127">
        <v>2015</v>
      </c>
      <c r="B127" s="3">
        <f>USA!Z102/USA!AU102*100</f>
        <v>45.556296925601828</v>
      </c>
      <c r="C127" s="3">
        <f t="shared" si="65"/>
        <v>45.556296925601814</v>
      </c>
      <c r="D127" s="3">
        <f t="shared" si="66"/>
        <v>45.556296925601814</v>
      </c>
      <c r="E127" s="3">
        <f t="shared" si="67"/>
        <v>45.556296925601814</v>
      </c>
      <c r="F127" s="6">
        <f>'Exchange Rates'!U54</f>
        <v>0.90592556207997499</v>
      </c>
      <c r="G127" s="3">
        <f>(B127*USA!$AU102/100)/$AT94*100*$F127</f>
        <v>41.085459778492911</v>
      </c>
      <c r="H127" s="3">
        <f>(C127*USA!$AU102/100)/$AT94*100*$F127</f>
        <v>41.085459778492897</v>
      </c>
      <c r="I127" s="3">
        <f>(D127*USA!$AU102/100)/$AT94*100*$F127</f>
        <v>41.085459778492897</v>
      </c>
      <c r="J127" s="3">
        <f>(E127*USA!$AU102/100)/$AT94*100*$F127</f>
        <v>41.085459778492897</v>
      </c>
      <c r="K127" s="6">
        <f t="shared" si="68"/>
        <v>0.4467327043150281</v>
      </c>
      <c r="L127" s="6">
        <f t="shared" si="69"/>
        <v>0.44673270431502798</v>
      </c>
      <c r="M127" s="6">
        <f t="shared" si="70"/>
        <v>0.44673270431502798</v>
      </c>
      <c r="N127" s="6">
        <f t="shared" si="71"/>
        <v>0.44673270431502798</v>
      </c>
      <c r="O127">
        <v>2015</v>
      </c>
      <c r="P127" s="24">
        <f t="shared" si="57"/>
        <v>0.70163721833368375</v>
      </c>
      <c r="Q127" s="3">
        <f t="shared" si="58"/>
        <v>0.24115768375622948</v>
      </c>
      <c r="R127" s="3">
        <f t="shared" si="58"/>
        <v>0.24115768375622948</v>
      </c>
      <c r="S127" s="3">
        <f t="shared" si="58"/>
        <v>0.24115768375622948</v>
      </c>
      <c r="T127" s="3">
        <f t="shared" si="58"/>
        <v>0.24115768375622948</v>
      </c>
      <c r="U127" s="3">
        <f t="shared" si="59"/>
        <v>1.4318566154697727</v>
      </c>
      <c r="V127" s="3">
        <f t="shared" si="60"/>
        <v>1.3895276064049413</v>
      </c>
      <c r="W127" s="3">
        <f t="shared" si="61"/>
        <v>1.3895276064049413</v>
      </c>
      <c r="X127" s="3">
        <f t="shared" si="62"/>
        <v>1.3895276064049413</v>
      </c>
      <c r="Y127" s="9">
        <f t="shared" si="63"/>
        <v>161.5061649861409</v>
      </c>
      <c r="Z127" s="9">
        <f t="shared" si="72"/>
        <v>156.73166742272281</v>
      </c>
      <c r="AA127" s="9">
        <f t="shared" si="73"/>
        <v>156.73166742272281</v>
      </c>
      <c r="AB127" s="9">
        <f t="shared" si="74"/>
        <v>156.73166742272281</v>
      </c>
      <c r="AC127" s="3">
        <f t="shared" si="79"/>
        <v>1.590097124998926</v>
      </c>
      <c r="AD127" s="3">
        <f t="shared" ref="AD127:AF127" si="81">AC127</f>
        <v>1.590097124998926</v>
      </c>
      <c r="AE127" s="3">
        <f t="shared" si="81"/>
        <v>1.590097124998926</v>
      </c>
      <c r="AF127" s="3">
        <f t="shared" si="81"/>
        <v>1.590097124998926</v>
      </c>
      <c r="AI127" s="2"/>
      <c r="AJ127" s="2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P127"/>
      <c r="AQ127"/>
      <c r="AR127"/>
      <c r="AS127"/>
      <c r="AV127" s="12"/>
      <c r="AW127" s="32"/>
      <c r="AX127" s="32"/>
      <c r="AY127" s="32"/>
      <c r="AZ127" s="3"/>
      <c r="BA127"/>
      <c r="BC127" s="9"/>
      <c r="BH127" s="9"/>
    </row>
    <row r="128" spans="1:63">
      <c r="A128">
        <v>2016</v>
      </c>
      <c r="B128" s="3">
        <f>USA!Z103/USA!AU103*100</f>
        <v>36.957692605914716</v>
      </c>
      <c r="C128" s="3">
        <f t="shared" si="65"/>
        <v>36.957692605914716</v>
      </c>
      <c r="D128" s="3">
        <f t="shared" si="66"/>
        <v>36.957692605914716</v>
      </c>
      <c r="E128" s="3">
        <f t="shared" si="67"/>
        <v>36.957692605914716</v>
      </c>
      <c r="F128" s="6">
        <f>'Exchange Rates'!U55</f>
        <v>0.90674707708863456</v>
      </c>
      <c r="G128" s="3">
        <f>(B128*USA!$AU103/100)/$AT95*100*$F128</f>
        <v>33.680649292897144</v>
      </c>
      <c r="H128" s="3">
        <f>(C128*USA!$AU103/100)/$AT95*100*$F128</f>
        <v>33.680649292897144</v>
      </c>
      <c r="I128" s="3">
        <f>(D128*USA!$AU103/100)/$AT95*100*$F128</f>
        <v>33.680649292897144</v>
      </c>
      <c r="J128" s="3">
        <f>(E128*USA!$AU103/100)/$AT95*100*$F128</f>
        <v>33.680649292897144</v>
      </c>
      <c r="K128" s="6">
        <f t="shared" si="68"/>
        <v>0.4038062411531248</v>
      </c>
      <c r="L128" s="6">
        <f t="shared" si="69"/>
        <v>0.4038062411531248</v>
      </c>
      <c r="M128" s="6">
        <f t="shared" si="70"/>
        <v>0.4038062411531248</v>
      </c>
      <c r="N128" s="6">
        <f t="shared" si="71"/>
        <v>0.4038062411531248</v>
      </c>
      <c r="O128">
        <v>2016</v>
      </c>
      <c r="P128" s="24">
        <f t="shared" si="57"/>
        <v>0.70291906183127673</v>
      </c>
      <c r="Q128" s="3">
        <f t="shared" si="58"/>
        <v>0.23241231362672432</v>
      </c>
      <c r="R128" s="3">
        <f t="shared" si="58"/>
        <v>0.23241231362672432</v>
      </c>
      <c r="S128" s="3">
        <f t="shared" si="58"/>
        <v>0.23241231362672432</v>
      </c>
      <c r="T128" s="3">
        <f t="shared" si="58"/>
        <v>0.23241231362672432</v>
      </c>
      <c r="U128" s="3">
        <f t="shared" si="59"/>
        <v>1.348501694148325</v>
      </c>
      <c r="V128" s="3">
        <f t="shared" si="60"/>
        <v>1.3391376166111257</v>
      </c>
      <c r="W128" s="3">
        <f t="shared" si="61"/>
        <v>1.3391376166111257</v>
      </c>
      <c r="X128" s="3">
        <f t="shared" si="62"/>
        <v>1.3391376166111257</v>
      </c>
      <c r="Y128" s="9">
        <f t="shared" si="63"/>
        <v>152.10415257099993</v>
      </c>
      <c r="Z128" s="9">
        <f t="shared" si="72"/>
        <v>151.04793211196343</v>
      </c>
      <c r="AA128" s="9">
        <f t="shared" si="73"/>
        <v>151.04793211196343</v>
      </c>
      <c r="AB128" s="9">
        <f t="shared" si="74"/>
        <v>151.04793211196343</v>
      </c>
      <c r="AC128" s="3">
        <f t="shared" si="79"/>
        <v>1.4975302999999993</v>
      </c>
      <c r="AD128" s="3">
        <f t="shared" ref="AD128:AF128" si="82">AC128</f>
        <v>1.4975302999999993</v>
      </c>
      <c r="AE128" s="3">
        <f t="shared" si="82"/>
        <v>1.4975302999999993</v>
      </c>
      <c r="AF128" s="3">
        <f t="shared" si="82"/>
        <v>1.4975302999999993</v>
      </c>
      <c r="AI128" s="2"/>
      <c r="AJ128" s="2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P128"/>
      <c r="AQ128"/>
      <c r="AR128"/>
      <c r="AS128"/>
      <c r="AV128" s="12"/>
      <c r="AW128" s="32"/>
      <c r="AX128" s="32"/>
      <c r="AY128" s="32"/>
      <c r="AZ128" s="3"/>
      <c r="BA128"/>
      <c r="BC128" s="9"/>
      <c r="BH128" s="9"/>
    </row>
    <row r="129" spans="1:60">
      <c r="A129">
        <v>2017</v>
      </c>
      <c r="B129" s="3">
        <f>USA!Z104/USA!AU104*100</f>
        <v>46.705738720797434</v>
      </c>
      <c r="C129" s="3">
        <f t="shared" si="65"/>
        <v>46.705738720797434</v>
      </c>
      <c r="D129" s="3">
        <f t="shared" si="66"/>
        <v>46.705738720797434</v>
      </c>
      <c r="E129" s="3">
        <f t="shared" si="67"/>
        <v>46.705738720797434</v>
      </c>
      <c r="F129" s="6">
        <f>'Exchange Rates'!U56</f>
        <v>0.88700000000000001</v>
      </c>
      <c r="G129" s="3">
        <f>(B129*USA!$AU104/100)/$AT96*100*$F129</f>
        <v>41.941264128197766</v>
      </c>
      <c r="H129" s="3">
        <f>(C129*USA!$AU104/100)/$AT96*100*$F129</f>
        <v>41.941264128197766</v>
      </c>
      <c r="I129" s="3">
        <f>(D129*USA!$AU104/100)/$AT96*100*$F129</f>
        <v>41.941264128197766</v>
      </c>
      <c r="J129" s="3">
        <f>(E129*USA!$AU104/100)/$AT96*100*$F129</f>
        <v>41.941264128197766</v>
      </c>
      <c r="K129" s="6">
        <f t="shared" si="68"/>
        <v>0.45169389190556319</v>
      </c>
      <c r="L129" s="6">
        <f t="shared" si="69"/>
        <v>0.45169389190556319</v>
      </c>
      <c r="M129" s="6">
        <f t="shared" si="70"/>
        <v>0.45169389190556319</v>
      </c>
      <c r="N129" s="6">
        <f t="shared" si="71"/>
        <v>0.45169389190556319</v>
      </c>
      <c r="O129">
        <v>2017</v>
      </c>
      <c r="P129" s="24">
        <f t="shared" si="57"/>
        <v>0.69536255342431352</v>
      </c>
      <c r="Q129" s="3">
        <f t="shared" si="58"/>
        <v>0.24088185351927408</v>
      </c>
      <c r="R129" s="3">
        <f t="shared" si="58"/>
        <v>0.24088185351927408</v>
      </c>
      <c r="S129" s="3">
        <f t="shared" si="58"/>
        <v>0.24088185351927408</v>
      </c>
      <c r="T129" s="3">
        <f t="shared" si="58"/>
        <v>0.24088185351927408</v>
      </c>
      <c r="U129" s="3">
        <f t="shared" si="59"/>
        <v>1.3976498268546269</v>
      </c>
      <c r="V129" s="3">
        <f t="shared" si="60"/>
        <v>1.3879382988491507</v>
      </c>
      <c r="W129" s="3">
        <f t="shared" si="61"/>
        <v>1.3879382988491507</v>
      </c>
      <c r="X129" s="3">
        <f t="shared" si="62"/>
        <v>1.3879382988491507</v>
      </c>
      <c r="Y129" s="9">
        <f t="shared" si="63"/>
        <v>157.6478127</v>
      </c>
      <c r="Z129" s="9">
        <f t="shared" si="72"/>
        <v>156.55240159013451</v>
      </c>
      <c r="AA129" s="9">
        <f t="shared" si="73"/>
        <v>156.55240159013451</v>
      </c>
      <c r="AB129" s="9">
        <f t="shared" si="74"/>
        <v>156.55240159013451</v>
      </c>
      <c r="AC129" s="3">
        <f t="shared" si="79"/>
        <v>1.5521100000000001</v>
      </c>
      <c r="AD129" s="3">
        <f t="shared" ref="AD129:AF129" si="83">AC129</f>
        <v>1.5521100000000001</v>
      </c>
      <c r="AE129" s="3">
        <f t="shared" si="83"/>
        <v>1.5521100000000001</v>
      </c>
      <c r="AF129" s="3">
        <f t="shared" si="83"/>
        <v>1.5521100000000001</v>
      </c>
      <c r="AI129" s="2"/>
      <c r="AJ129" s="2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P129"/>
      <c r="AQ129"/>
      <c r="AR129"/>
      <c r="AS129"/>
      <c r="AV129" s="12"/>
      <c r="AW129" s="32"/>
      <c r="AX129" s="32"/>
      <c r="AY129" s="32"/>
      <c r="AZ129" s="3"/>
      <c r="BA129"/>
      <c r="BC129" s="9"/>
      <c r="BH129" s="9"/>
    </row>
    <row r="130" spans="1:60">
      <c r="A130">
        <v>2018</v>
      </c>
      <c r="B130" s="3">
        <f>USA!Z105/USA!AU105*100</f>
        <v>60.818458312139953</v>
      </c>
      <c r="C130" s="3">
        <f t="shared" si="65"/>
        <v>60.818458312139953</v>
      </c>
      <c r="D130" s="3">
        <f t="shared" si="66"/>
        <v>60.818458312139953</v>
      </c>
      <c r="E130" s="3">
        <f t="shared" si="67"/>
        <v>60.818458312139953</v>
      </c>
      <c r="F130" s="6">
        <f>'Exchange Rates'!U57</f>
        <v>0.84599999999999997</v>
      </c>
      <c r="G130" s="3">
        <f>(B130*USA!$AU105/100)/$AT97*100*$F130</f>
        <v>52.655354265747121</v>
      </c>
      <c r="H130" s="3">
        <f>(C130*USA!$AU105/100)/$AT97*100*$F130</f>
        <v>52.655354265747121</v>
      </c>
      <c r="I130" s="3">
        <f>(D130*USA!$AU105/100)/$AT97*100*$F130</f>
        <v>52.655354265747121</v>
      </c>
      <c r="J130" s="3">
        <f>(E130*USA!$AU105/100)/$AT97*100*$F130</f>
        <v>52.655354265747121</v>
      </c>
      <c r="K130" s="6">
        <f t="shared" si="68"/>
        <v>0.51380459635876696</v>
      </c>
      <c r="L130" s="6">
        <f t="shared" si="69"/>
        <v>0.51380459635876696</v>
      </c>
      <c r="M130" s="6">
        <f t="shared" si="70"/>
        <v>0.51380459635876696</v>
      </c>
      <c r="N130" s="6">
        <f t="shared" si="71"/>
        <v>0.51380459635876696</v>
      </c>
      <c r="O130">
        <v>2018</v>
      </c>
      <c r="P130" s="24">
        <f t="shared" si="57"/>
        <v>0.69683983881099343</v>
      </c>
      <c r="Q130" s="3">
        <f>(K130+$P130)*$T$120</f>
        <v>0.25423533138564969</v>
      </c>
      <c r="R130" s="3">
        <f>(L130+$P130)*$T$120</f>
        <v>0.25423533138564969</v>
      </c>
      <c r="S130" s="3">
        <f t="shared" ref="S130:S142" si="84">(M130+P130)*$T$120</f>
        <v>0.25423533138564969</v>
      </c>
      <c r="T130" s="3">
        <f t="shared" ref="T130:T142" si="85">(N130+P130)*$T$120</f>
        <v>0.25423533138564969</v>
      </c>
      <c r="U130" s="3">
        <f t="shared" si="59"/>
        <v>1.4431431670611747</v>
      </c>
      <c r="V130" s="3">
        <f t="shared" si="60"/>
        <v>1.4648797665554101</v>
      </c>
      <c r="W130" s="3">
        <f t="shared" si="61"/>
        <v>1.4648797665554101</v>
      </c>
      <c r="X130" s="3">
        <f t="shared" si="62"/>
        <v>1.4648797665554101</v>
      </c>
      <c r="Y130" s="9">
        <f t="shared" si="63"/>
        <v>162.77923076923085</v>
      </c>
      <c r="Z130" s="9">
        <f t="shared" si="72"/>
        <v>165.23100896142216</v>
      </c>
      <c r="AA130" s="9">
        <f t="shared" si="73"/>
        <v>165.23100896142216</v>
      </c>
      <c r="AB130" s="9">
        <f t="shared" si="74"/>
        <v>165.23100896142216</v>
      </c>
      <c r="AC130" s="3">
        <f t="shared" si="79"/>
        <v>1.6026310009769704</v>
      </c>
      <c r="AD130" s="3">
        <f t="shared" ref="AD130:AD141" si="86">V130*$AT$96/100</f>
        <v>1.6267698036961917</v>
      </c>
      <c r="AE130" s="3">
        <f t="shared" ref="AE130:AE141" si="87">W130*$AT$96/100</f>
        <v>1.6267698036961917</v>
      </c>
      <c r="AF130" s="3">
        <f t="shared" ref="AF130:AF141" si="88">X130*$AT$96/100</f>
        <v>1.6267698036961917</v>
      </c>
      <c r="AI130" s="2"/>
      <c r="AJ130" s="2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P130"/>
      <c r="AQ130"/>
      <c r="AR130"/>
      <c r="AS130"/>
      <c r="AV130" s="12"/>
      <c r="AW130" s="32"/>
      <c r="AX130" s="32"/>
      <c r="AY130" s="32"/>
      <c r="AZ130" s="3"/>
      <c r="BA130"/>
      <c r="BC130" s="9"/>
      <c r="BH130" s="9"/>
    </row>
    <row r="131" spans="1:60">
      <c r="A131">
        <v>2019</v>
      </c>
      <c r="B131" s="3"/>
      <c r="C131" s="3">
        <f>AK131</f>
        <v>90.611761513694489</v>
      </c>
      <c r="D131" s="3">
        <f t="shared" si="66"/>
        <v>56.019786702864394</v>
      </c>
      <c r="E131" s="3">
        <f t="shared" si="67"/>
        <v>25.889074718198426</v>
      </c>
      <c r="F131" s="6">
        <f>'Exchange Rates'!U58</f>
        <v>0.86199999999999999</v>
      </c>
      <c r="G131" s="3"/>
      <c r="H131" s="3">
        <f>(C131*USA!$AU106/100)/$AT98*100*$F131</f>
        <v>79.933459235990611</v>
      </c>
      <c r="I131" s="3">
        <f>(D131*USA!$AU106/100)/$AT98*100*$F131</f>
        <v>49.418036489065997</v>
      </c>
      <c r="J131" s="3">
        <f>(E131*USA!$AU106/100)/$AT98*100*$F131</f>
        <v>22.838131210283034</v>
      </c>
      <c r="K131" s="6"/>
      <c r="L131" s="6">
        <f t="shared" ref="L131:L142" si="89">S$111+S$112*H131</f>
        <v>0.67193863238973428</v>
      </c>
      <c r="M131" s="6">
        <f t="shared" ref="M131:M142" si="90">S$111+S$112*I131</f>
        <v>0.49503752560734099</v>
      </c>
      <c r="N131" s="6">
        <f t="shared" ref="N131:N142" si="91">S$111+S$112*J131</f>
        <v>0.34095102643007619</v>
      </c>
      <c r="O131">
        <v>2019</v>
      </c>
      <c r="P131" s="3">
        <f t="shared" ref="P131:P142" si="92">P130</f>
        <v>0.69683983881099343</v>
      </c>
      <c r="Q131" s="3"/>
      <c r="R131" s="3">
        <f t="shared" ref="R131:R142" si="93">(L131+P131)*$T$120</f>
        <v>0.28744347895215278</v>
      </c>
      <c r="S131" s="3">
        <f t="shared" si="84"/>
        <v>0.25029424652785021</v>
      </c>
      <c r="T131" s="3">
        <f t="shared" si="85"/>
        <v>0.21793608170062462</v>
      </c>
      <c r="U131" s="3"/>
      <c r="V131" s="3">
        <f t="shared" si="60"/>
        <v>1.6562219501528803</v>
      </c>
      <c r="W131" s="3">
        <f t="shared" si="61"/>
        <v>1.4421716109461846</v>
      </c>
      <c r="X131" s="3">
        <f t="shared" si="62"/>
        <v>1.2557269469416943</v>
      </c>
      <c r="Y131" s="9"/>
      <c r="Z131" s="9">
        <f t="shared" si="72"/>
        <v>186.81343693572228</v>
      </c>
      <c r="AA131" s="9">
        <f t="shared" si="73"/>
        <v>162.66964416642048</v>
      </c>
      <c r="AB131" s="9">
        <f t="shared" si="74"/>
        <v>141.63963156588122</v>
      </c>
      <c r="AC131" s="3"/>
      <c r="AD131" s="3">
        <f t="shared" si="86"/>
        <v>1.8392580184672866</v>
      </c>
      <c r="AE131" s="3">
        <f t="shared" si="87"/>
        <v>1.6015520741008222</v>
      </c>
      <c r="AF131" s="3">
        <f t="shared" si="88"/>
        <v>1.3945026244548708</v>
      </c>
      <c r="AI131" s="2"/>
      <c r="AJ131" s="2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P131"/>
      <c r="AQ131"/>
      <c r="AR131"/>
      <c r="AS131"/>
      <c r="AV131" s="12"/>
      <c r="AW131" s="32"/>
      <c r="AX131" s="32"/>
      <c r="AY131" s="32"/>
      <c r="AZ131" s="3"/>
      <c r="BA131"/>
      <c r="BC131" s="9"/>
      <c r="BH131" s="9"/>
    </row>
    <row r="132" spans="1:60">
      <c r="A132">
        <v>2020</v>
      </c>
      <c r="B132" s="3"/>
      <c r="C132" s="3">
        <f t="shared" si="65"/>
        <v>105.28223718734027</v>
      </c>
      <c r="D132" s="3">
        <f t="shared" si="66"/>
        <v>56.251630823658907</v>
      </c>
      <c r="E132" s="3">
        <f t="shared" si="67"/>
        <v>26.752043875471706</v>
      </c>
      <c r="F132" s="6">
        <f>'Exchange Rates'!U59</f>
        <v>0.86199999999999999</v>
      </c>
      <c r="G132" s="3"/>
      <c r="H132" s="3">
        <f>(C132*USA!$AU107/100)/$AT99*100*$F132</f>
        <v>92.875066921817677</v>
      </c>
      <c r="I132" s="3">
        <f>(D132*USA!$AU107/100)/$AT99*100*$F132</f>
        <v>49.622558532000042</v>
      </c>
      <c r="J132" s="3">
        <f>(E132*USA!$AU107/100)/$AT99*100*$F132</f>
        <v>23.599402250625797</v>
      </c>
      <c r="K132" s="6"/>
      <c r="L132" s="6">
        <f t="shared" si="89"/>
        <v>0.74696248974059032</v>
      </c>
      <c r="M132" s="6">
        <f t="shared" si="90"/>
        <v>0.49622316134493122</v>
      </c>
      <c r="N132" s="6">
        <f t="shared" si="91"/>
        <v>0.34536419450953826</v>
      </c>
      <c r="O132">
        <v>2020</v>
      </c>
      <c r="P132" s="3">
        <f t="shared" si="92"/>
        <v>0.69683983881099343</v>
      </c>
      <c r="Q132" s="3"/>
      <c r="R132" s="3">
        <f t="shared" si="93"/>
        <v>0.30319848899583257</v>
      </c>
      <c r="S132" s="3">
        <f t="shared" si="84"/>
        <v>0.25054323003274415</v>
      </c>
      <c r="T132" s="3">
        <f t="shared" si="85"/>
        <v>0.21886284699731162</v>
      </c>
      <c r="U132" s="3"/>
      <c r="V132" s="3">
        <f t="shared" si="60"/>
        <v>1.7470008175474163</v>
      </c>
      <c r="W132" s="3">
        <f t="shared" si="61"/>
        <v>1.4436062301886687</v>
      </c>
      <c r="X132" s="3">
        <f t="shared" si="62"/>
        <v>1.2610668803178431</v>
      </c>
      <c r="Y132" s="9"/>
      <c r="Z132" s="9">
        <f t="shared" si="72"/>
        <v>197.05283281955298</v>
      </c>
      <c r="AA132" s="9">
        <f t="shared" si="73"/>
        <v>162.831461941724</v>
      </c>
      <c r="AB132" s="9">
        <f t="shared" si="74"/>
        <v>142.24194897081242</v>
      </c>
      <c r="AC132" s="3"/>
      <c r="AD132" s="3">
        <f t="shared" si="86"/>
        <v>1.9400692411101013</v>
      </c>
      <c r="AE132" s="3">
        <f t="shared" si="87"/>
        <v>1.6031452391623906</v>
      </c>
      <c r="AF132" s="3">
        <f t="shared" si="88"/>
        <v>1.4004326963750362</v>
      </c>
      <c r="AI132" s="2"/>
      <c r="AJ132" s="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P132"/>
      <c r="AQ132"/>
      <c r="AR132"/>
      <c r="AS132"/>
      <c r="AV132" s="12"/>
      <c r="AW132" s="32"/>
      <c r="AX132" s="32"/>
      <c r="AY132" s="32"/>
      <c r="AZ132" s="3"/>
      <c r="BA132"/>
      <c r="BC132" s="9"/>
      <c r="BH132" s="9"/>
    </row>
    <row r="133" spans="1:60">
      <c r="A133">
        <v>2021</v>
      </c>
      <c r="B133" s="3"/>
      <c r="C133" s="3">
        <f t="shared" si="65"/>
        <v>120.81568201825931</v>
      </c>
      <c r="D133" s="3">
        <f t="shared" si="66"/>
        <v>63.082289986431647</v>
      </c>
      <c r="E133" s="3">
        <f t="shared" si="67"/>
        <v>28.477982190018274</v>
      </c>
      <c r="F133" s="6">
        <f>'Exchange Rates'!U60</f>
        <v>0.86199999999999999</v>
      </c>
      <c r="G133" s="3"/>
      <c r="H133" s="3">
        <f>(C133*USA!$AU108/100)/$AT100*100*$F133</f>
        <v>106.57794564798749</v>
      </c>
      <c r="I133" s="3">
        <f>(D133*USA!$AU108/100)/$AT100*100*$F133</f>
        <v>55.648246661459048</v>
      </c>
      <c r="J133" s="3">
        <f>(E133*USA!$AU108/100)/$AT100*100*$F133</f>
        <v>25.121944331311344</v>
      </c>
      <c r="K133" s="6"/>
      <c r="L133" s="6">
        <f t="shared" si="89"/>
        <v>0.82639951517090826</v>
      </c>
      <c r="M133" s="6">
        <f t="shared" si="90"/>
        <v>0.53115470753608651</v>
      </c>
      <c r="N133" s="6">
        <f t="shared" si="91"/>
        <v>0.35419053066846251</v>
      </c>
      <c r="O133">
        <v>2021</v>
      </c>
      <c r="P133" s="3">
        <f t="shared" si="92"/>
        <v>0.69683983881099343</v>
      </c>
      <c r="Q133" s="3"/>
      <c r="R133" s="3">
        <f t="shared" si="93"/>
        <v>0.31988026433619937</v>
      </c>
      <c r="S133" s="3">
        <f t="shared" si="84"/>
        <v>0.25787885473288674</v>
      </c>
      <c r="T133" s="3">
        <f t="shared" si="85"/>
        <v>0.22071637759068571</v>
      </c>
      <c r="U133" s="3"/>
      <c r="V133" s="3">
        <f t="shared" si="60"/>
        <v>1.8431196183181011</v>
      </c>
      <c r="W133" s="3">
        <f t="shared" si="61"/>
        <v>1.4858734010799666</v>
      </c>
      <c r="X133" s="3">
        <f t="shared" si="62"/>
        <v>1.2717467470701416</v>
      </c>
      <c r="Y133" s="9"/>
      <c r="Z133" s="9">
        <f t="shared" si="72"/>
        <v>207.89454610831487</v>
      </c>
      <c r="AA133" s="9">
        <f t="shared" si="73"/>
        <v>167.5989844727616</v>
      </c>
      <c r="AB133" s="9">
        <f t="shared" si="74"/>
        <v>143.44658378067484</v>
      </c>
      <c r="AC133" s="3"/>
      <c r="AD133" s="3">
        <f t="shared" si="86"/>
        <v>2.0468105356730812</v>
      </c>
      <c r="AE133" s="3">
        <f t="shared" si="87"/>
        <v>1.6500835332555048</v>
      </c>
      <c r="AF133" s="3">
        <f t="shared" si="88"/>
        <v>1.4122928402153674</v>
      </c>
      <c r="AI133" s="2"/>
      <c r="AJ133" s="2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P133"/>
      <c r="AQ133"/>
      <c r="AR133"/>
      <c r="AS133"/>
      <c r="AV133" s="12"/>
      <c r="AW133" s="32"/>
      <c r="AX133" s="32"/>
      <c r="AY133" s="32"/>
      <c r="AZ133" s="3"/>
      <c r="BA133"/>
      <c r="BC133" s="9"/>
      <c r="BH133" s="9"/>
    </row>
    <row r="134" spans="1:60">
      <c r="A134">
        <v>2022</v>
      </c>
      <c r="B134" s="3"/>
      <c r="C134" s="3">
        <f t="shared" si="65"/>
        <v>127.71943527644558</v>
      </c>
      <c r="D134" s="3">
        <f t="shared" si="66"/>
        <v>68.168185410991157</v>
      </c>
      <c r="E134" s="3">
        <f t="shared" si="67"/>
        <v>29.340951347291547</v>
      </c>
      <c r="F134" s="6">
        <f>'Exchange Rates'!U61</f>
        <v>0.86199999999999999</v>
      </c>
      <c r="G134" s="3"/>
      <c r="H134" s="3">
        <f>(C134*USA!$AU109/100)/$AT101*100*$F134</f>
        <v>112.66811397072966</v>
      </c>
      <c r="I134" s="3">
        <f>(D134*USA!$AU109/100)/$AT101*100*$F134</f>
        <v>60.134785801701881</v>
      </c>
      <c r="J134" s="3">
        <f>(E134*USA!$AU109/100)/$AT101*100*$F134</f>
        <v>25.883215371654106</v>
      </c>
      <c r="K134" s="6"/>
      <c r="L134" s="6">
        <f t="shared" si="89"/>
        <v>0.86170485980660527</v>
      </c>
      <c r="M134" s="6">
        <f t="shared" si="90"/>
        <v>0.55716364557747322</v>
      </c>
      <c r="N134" s="6">
        <f t="shared" si="91"/>
        <v>0.35860369874792464</v>
      </c>
      <c r="O134">
        <v>2022</v>
      </c>
      <c r="P134" s="3">
        <f t="shared" si="92"/>
        <v>0.69683983881099343</v>
      </c>
      <c r="Q134" s="3"/>
      <c r="R134" s="3">
        <f t="shared" si="93"/>
        <v>0.32729438670969574</v>
      </c>
      <c r="S134" s="3">
        <f t="shared" si="84"/>
        <v>0.26334073172157801</v>
      </c>
      <c r="T134" s="3">
        <f t="shared" si="85"/>
        <v>0.2216431428873728</v>
      </c>
      <c r="U134" s="3"/>
      <c r="V134" s="3">
        <f t="shared" si="60"/>
        <v>1.8858390853272946</v>
      </c>
      <c r="W134" s="3">
        <f t="shared" si="61"/>
        <v>1.5173442161100446</v>
      </c>
      <c r="X134" s="3">
        <f t="shared" si="62"/>
        <v>1.277086680446291</v>
      </c>
      <c r="Y134" s="9"/>
      <c r="Z134" s="9">
        <f t="shared" si="72"/>
        <v>212.71308534776458</v>
      </c>
      <c r="AA134" s="9">
        <f t="shared" si="73"/>
        <v>171.14873281319058</v>
      </c>
      <c r="AB134" s="9">
        <f t="shared" si="74"/>
        <v>144.0489011856061</v>
      </c>
      <c r="AC134" s="3"/>
      <c r="AD134" s="3">
        <f t="shared" si="86"/>
        <v>2.094251111034406</v>
      </c>
      <c r="AE134" s="3">
        <f t="shared" si="87"/>
        <v>1.6850323206969637</v>
      </c>
      <c r="AF134" s="3">
        <f t="shared" si="88"/>
        <v>1.4182229121355334</v>
      </c>
      <c r="AI134" s="2"/>
      <c r="AJ134" s="2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P134"/>
      <c r="AQ134"/>
      <c r="AR134"/>
      <c r="AS134"/>
      <c r="AV134" s="12"/>
      <c r="AW134" s="32"/>
      <c r="AX134" s="32"/>
      <c r="AY134" s="32"/>
      <c r="AZ134" s="3"/>
      <c r="BA134"/>
      <c r="BC134" s="9"/>
      <c r="BH134" s="9"/>
    </row>
    <row r="135" spans="1:60">
      <c r="A135">
        <v>2023</v>
      </c>
      <c r="B135" s="3"/>
      <c r="C135" s="3">
        <f t="shared" si="65"/>
        <v>132.89725022008525</v>
      </c>
      <c r="D135" s="3">
        <f t="shared" si="66"/>
        <v>70.508542947524788</v>
      </c>
      <c r="E135" s="3">
        <f t="shared" si="67"/>
        <v>29.340951347291547</v>
      </c>
      <c r="F135" s="6">
        <f>'Exchange Rates'!U62</f>
        <v>0.86199999999999999</v>
      </c>
      <c r="G135" s="3"/>
      <c r="H135" s="3">
        <f>(C135*USA!$AU110/100)/$AT102*100*$F135</f>
        <v>117.23574021278624</v>
      </c>
      <c r="I135" s="3">
        <f>(D135*USA!$AU110/100)/$AT102*100*$F135</f>
        <v>62.199339791372196</v>
      </c>
      <c r="J135" s="3">
        <f>(E135*USA!$AU110/100)/$AT102*100*$F135</f>
        <v>25.883215371654106</v>
      </c>
      <c r="K135" s="6"/>
      <c r="L135" s="6">
        <f t="shared" si="89"/>
        <v>0.88818386828337781</v>
      </c>
      <c r="M135" s="6">
        <f t="shared" si="90"/>
        <v>0.56913208163073059</v>
      </c>
      <c r="N135" s="6">
        <f t="shared" si="91"/>
        <v>0.35860369874792464</v>
      </c>
      <c r="O135">
        <v>2023</v>
      </c>
      <c r="P135" s="3">
        <f t="shared" si="92"/>
        <v>0.69683983881099343</v>
      </c>
      <c r="Q135" s="3"/>
      <c r="R135" s="3">
        <f t="shared" si="93"/>
        <v>0.33285497848981793</v>
      </c>
      <c r="S135" s="3">
        <f t="shared" si="84"/>
        <v>0.26585410329276205</v>
      </c>
      <c r="T135" s="3">
        <f t="shared" si="85"/>
        <v>0.2216431428873728</v>
      </c>
      <c r="U135" s="3"/>
      <c r="V135" s="3">
        <f t="shared" si="60"/>
        <v>1.9178786855841889</v>
      </c>
      <c r="W135" s="3">
        <f t="shared" si="61"/>
        <v>1.5318260237344861</v>
      </c>
      <c r="X135" s="3">
        <f t="shared" si="62"/>
        <v>1.277086680446291</v>
      </c>
      <c r="Y135" s="9"/>
      <c r="Z135" s="9">
        <f t="shared" si="72"/>
        <v>216.3269897773518</v>
      </c>
      <c r="AA135" s="9">
        <f t="shared" si="73"/>
        <v>172.78220727300808</v>
      </c>
      <c r="AB135" s="9">
        <f t="shared" si="74"/>
        <v>144.0489011856061</v>
      </c>
      <c r="AC135" s="3"/>
      <c r="AD135" s="3">
        <f t="shared" si="86"/>
        <v>2.1298315425553986</v>
      </c>
      <c r="AE135" s="3">
        <f t="shared" si="87"/>
        <v>1.7011145739195441</v>
      </c>
      <c r="AF135" s="3">
        <f t="shared" si="88"/>
        <v>1.4182229121355334</v>
      </c>
      <c r="AI135" s="2"/>
      <c r="AJ135" s="2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P135"/>
      <c r="AQ135"/>
      <c r="AR135"/>
      <c r="AS135"/>
      <c r="AV135" s="12"/>
      <c r="AW135" s="32"/>
      <c r="AX135" s="32"/>
      <c r="AY135" s="32"/>
      <c r="AZ135" s="3"/>
      <c r="BA135"/>
      <c r="BC135" s="9"/>
      <c r="BH135" s="9"/>
    </row>
    <row r="136" spans="1:60">
      <c r="A136">
        <v>2024</v>
      </c>
      <c r="B136" s="3"/>
      <c r="C136" s="3">
        <f t="shared" si="65"/>
        <v>137.21209600645167</v>
      </c>
      <c r="D136" s="3">
        <f t="shared" si="66"/>
        <v>71.127304204880986</v>
      </c>
      <c r="E136" s="3">
        <f t="shared" si="67"/>
        <v>29.340951347291547</v>
      </c>
      <c r="F136" s="6">
        <f>'Exchange Rates'!U63</f>
        <v>0.86199999999999999</v>
      </c>
      <c r="G136" s="3"/>
      <c r="H136" s="3">
        <f>(C136*USA!$AU111/100)/$AT103*100*$F136</f>
        <v>121.04209541450008</v>
      </c>
      <c r="I136" s="3">
        <f>(D136*USA!$AU111/100)/$AT103*100*$F136</f>
        <v>62.745182040937301</v>
      </c>
      <c r="J136" s="3">
        <f>(E136*USA!$AU111/100)/$AT103*100*$F136</f>
        <v>25.883215371654106</v>
      </c>
      <c r="K136" s="6"/>
      <c r="L136" s="6">
        <f t="shared" si="89"/>
        <v>0.91024970868068833</v>
      </c>
      <c r="M136" s="6">
        <f t="shared" si="90"/>
        <v>0.57229638641121716</v>
      </c>
      <c r="N136" s="6">
        <f t="shared" si="91"/>
        <v>0.35860369874792464</v>
      </c>
      <c r="O136">
        <v>2024</v>
      </c>
      <c r="P136" s="3">
        <f t="shared" si="92"/>
        <v>0.69683983881099343</v>
      </c>
      <c r="Q136" s="3"/>
      <c r="R136" s="3">
        <f t="shared" si="93"/>
        <v>0.33748880497325318</v>
      </c>
      <c r="S136" s="3">
        <f t="shared" si="84"/>
        <v>0.26651860729666421</v>
      </c>
      <c r="T136" s="3">
        <f t="shared" si="85"/>
        <v>0.2216431428873728</v>
      </c>
      <c r="U136" s="3"/>
      <c r="V136" s="3">
        <f t="shared" si="60"/>
        <v>1.9445783524649349</v>
      </c>
      <c r="W136" s="3">
        <f t="shared" si="61"/>
        <v>1.5356548325188748</v>
      </c>
      <c r="X136" s="3">
        <f t="shared" si="62"/>
        <v>1.277086680446291</v>
      </c>
      <c r="Y136" s="9"/>
      <c r="Z136" s="9">
        <f t="shared" si="72"/>
        <v>219.33857680200794</v>
      </c>
      <c r="AA136" s="9">
        <f t="shared" si="73"/>
        <v>173.21407748721174</v>
      </c>
      <c r="AB136" s="9">
        <f t="shared" si="74"/>
        <v>144.0489011856061</v>
      </c>
      <c r="AC136" s="3"/>
      <c r="AD136" s="3">
        <f t="shared" si="86"/>
        <v>2.1594819021562266</v>
      </c>
      <c r="AE136" s="3">
        <f t="shared" si="87"/>
        <v>1.7053665205002637</v>
      </c>
      <c r="AF136" s="3">
        <f t="shared" si="88"/>
        <v>1.4182229121355334</v>
      </c>
      <c r="AI136" s="2"/>
      <c r="AJ136" s="2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P136"/>
      <c r="AQ136"/>
      <c r="AR136"/>
      <c r="AS136"/>
      <c r="AV136" s="12"/>
      <c r="AW136" s="32"/>
      <c r="AX136" s="32"/>
      <c r="AY136" s="32"/>
      <c r="AZ136" s="3"/>
      <c r="BA136"/>
      <c r="BC136" s="9"/>
      <c r="BH136" s="9"/>
    </row>
    <row r="137" spans="1:60">
      <c r="A137">
        <v>2025</v>
      </c>
      <c r="B137" s="3"/>
      <c r="C137" s="3">
        <f t="shared" si="65"/>
        <v>141.52694179281806</v>
      </c>
      <c r="D137" s="3">
        <f t="shared" si="66"/>
        <v>74.364924740814473</v>
      </c>
      <c r="E137" s="3">
        <f t="shared" si="67"/>
        <v>30.203920504564827</v>
      </c>
      <c r="F137" s="6">
        <f>'Exchange Rates'!U64</f>
        <v>0.86199999999999999</v>
      </c>
      <c r="G137" s="3"/>
      <c r="H137" s="3">
        <f>(C137*USA!$AU112/100)/$AT104*100*$F137</f>
        <v>124.84845061621392</v>
      </c>
      <c r="I137" s="3">
        <f>(D137*USA!$AU112/100)/$AT104*100*$F137</f>
        <v>65.601259494983211</v>
      </c>
      <c r="J137" s="3">
        <f>(E137*USA!$AU112/100)/$AT104*100*$F137</f>
        <v>26.644486411996873</v>
      </c>
      <c r="K137" s="6"/>
      <c r="L137" s="6">
        <f t="shared" si="89"/>
        <v>0.93231554907799885</v>
      </c>
      <c r="M137" s="6">
        <f t="shared" si="90"/>
        <v>0.58885336701958435</v>
      </c>
      <c r="N137" s="6">
        <f t="shared" si="91"/>
        <v>0.36301686682738676</v>
      </c>
      <c r="O137">
        <v>2025</v>
      </c>
      <c r="P137" s="3">
        <f t="shared" si="92"/>
        <v>0.69683983881099343</v>
      </c>
      <c r="Q137" s="3"/>
      <c r="R137" s="3">
        <f t="shared" si="93"/>
        <v>0.34212263145668836</v>
      </c>
      <c r="S137" s="3">
        <f t="shared" si="84"/>
        <v>0.2699955732244213</v>
      </c>
      <c r="T137" s="3">
        <f t="shared" si="85"/>
        <v>0.22256990818405981</v>
      </c>
      <c r="U137" s="3"/>
      <c r="V137" s="3">
        <f t="shared" si="60"/>
        <v>1.9712780193456807</v>
      </c>
      <c r="W137" s="3">
        <f t="shared" si="61"/>
        <v>1.5556887790549989</v>
      </c>
      <c r="X137" s="3">
        <f t="shared" si="62"/>
        <v>1.2824266138224398</v>
      </c>
      <c r="Y137" s="9"/>
      <c r="Z137" s="9">
        <f t="shared" si="72"/>
        <v>222.35016382666396</v>
      </c>
      <c r="AA137" s="9">
        <f t="shared" si="73"/>
        <v>175.4738050602308</v>
      </c>
      <c r="AB137" s="9">
        <f t="shared" si="74"/>
        <v>144.65121859053727</v>
      </c>
      <c r="AC137" s="3"/>
      <c r="AD137" s="3">
        <f t="shared" si="86"/>
        <v>2.1891322617570541</v>
      </c>
      <c r="AE137" s="3">
        <f t="shared" si="87"/>
        <v>1.7276145029066734</v>
      </c>
      <c r="AF137" s="3">
        <f t="shared" si="88"/>
        <v>1.4241529840556983</v>
      </c>
      <c r="AI137" s="2"/>
      <c r="AJ137" s="2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P137"/>
      <c r="AQ137"/>
      <c r="AR137"/>
      <c r="AS137"/>
      <c r="AV137" s="12"/>
      <c r="AW137" s="32"/>
      <c r="AX137" s="32"/>
      <c r="AY137" s="32"/>
      <c r="AZ137" s="3"/>
      <c r="BA137"/>
      <c r="BC137" s="9"/>
      <c r="BH137" s="9"/>
    </row>
    <row r="138" spans="1:60">
      <c r="A138">
        <v>2026</v>
      </c>
      <c r="B138" s="3"/>
      <c r="C138" s="3">
        <f t="shared" si="65"/>
        <v>145.84178757918448</v>
      </c>
      <c r="D138" s="3">
        <f t="shared" si="66"/>
        <v>80.055420065999314</v>
      </c>
      <c r="E138" s="3">
        <f t="shared" si="67"/>
        <v>31.066889661838108</v>
      </c>
      <c r="F138" s="6">
        <f>'Exchange Rates'!U65</f>
        <v>0.86199999999999999</v>
      </c>
      <c r="G138" s="3"/>
      <c r="H138" s="3">
        <f>(C138*USA!$AU113/100)/$AT105*100*$F138</f>
        <v>128.65480581792778</v>
      </c>
      <c r="I138" s="3">
        <f>(D138*USA!$AU113/100)/$AT105*100*$F138</f>
        <v>70.621148398031551</v>
      </c>
      <c r="J138" s="3">
        <f>(E138*USA!$AU113/100)/$AT105*100*$F138</f>
        <v>27.405757452339635</v>
      </c>
      <c r="K138" s="6"/>
      <c r="L138" s="6">
        <f t="shared" si="89"/>
        <v>0.95438138947530948</v>
      </c>
      <c r="M138" s="6">
        <f t="shared" si="90"/>
        <v>0.61795418958522963</v>
      </c>
      <c r="N138" s="6">
        <f t="shared" si="91"/>
        <v>0.36743003490684878</v>
      </c>
      <c r="O138">
        <v>2026</v>
      </c>
      <c r="P138" s="3">
        <f t="shared" si="92"/>
        <v>0.69683983881099343</v>
      </c>
      <c r="Q138" s="3"/>
      <c r="R138" s="3">
        <f t="shared" si="93"/>
        <v>0.34675645794012355</v>
      </c>
      <c r="S138" s="3">
        <f t="shared" si="84"/>
        <v>0.27610674596320683</v>
      </c>
      <c r="T138" s="3">
        <f t="shared" si="85"/>
        <v>0.22349667348074687</v>
      </c>
      <c r="U138" s="3"/>
      <c r="V138" s="3">
        <f t="shared" si="60"/>
        <v>1.9979776862264265</v>
      </c>
      <c r="W138" s="3">
        <f t="shared" si="61"/>
        <v>1.5909007743594299</v>
      </c>
      <c r="X138" s="3">
        <f t="shared" si="62"/>
        <v>1.2877665471985891</v>
      </c>
      <c r="Y138" s="9"/>
      <c r="Z138" s="9">
        <f t="shared" si="72"/>
        <v>225.36175085132001</v>
      </c>
      <c r="AA138" s="9">
        <f t="shared" si="73"/>
        <v>179.44553956331359</v>
      </c>
      <c r="AB138" s="9">
        <f t="shared" si="74"/>
        <v>145.2535359954685</v>
      </c>
      <c r="AC138" s="3"/>
      <c r="AD138" s="3">
        <f t="shared" si="86"/>
        <v>2.2187826213578821</v>
      </c>
      <c r="AE138" s="3">
        <f t="shared" si="87"/>
        <v>1.7667179242228377</v>
      </c>
      <c r="AF138" s="3">
        <f t="shared" si="88"/>
        <v>1.4300830559758639</v>
      </c>
      <c r="AI138" s="2"/>
      <c r="AJ138" s="2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P138"/>
      <c r="AQ138"/>
      <c r="AR138"/>
      <c r="AS138"/>
      <c r="AV138" s="12"/>
      <c r="AW138" s="32"/>
      <c r="AX138" s="32"/>
      <c r="AY138" s="32"/>
      <c r="AZ138" s="3"/>
      <c r="BA138"/>
      <c r="BC138" s="9"/>
      <c r="BH138" s="9"/>
    </row>
    <row r="139" spans="1:60">
      <c r="A139">
        <v>2027</v>
      </c>
      <c r="B139" s="3"/>
      <c r="C139" s="3">
        <f t="shared" si="65"/>
        <v>150.15663336555087</v>
      </c>
      <c r="D139" s="3">
        <f t="shared" si="66"/>
        <v>82.98815737026753</v>
      </c>
      <c r="E139" s="3">
        <f t="shared" si="67"/>
        <v>31.929858819111395</v>
      </c>
      <c r="F139" s="6">
        <f>'Exchange Rates'!U66</f>
        <v>0.86199999999999999</v>
      </c>
      <c r="G139" s="3"/>
      <c r="H139" s="3">
        <f>(C139*USA!$AU114/100)/$AT106*100*$F139</f>
        <v>132.46116101964162</v>
      </c>
      <c r="I139" s="3">
        <f>(D139*USA!$AU114/100)/$AT106*100*$F139</f>
        <v>73.20827212065295</v>
      </c>
      <c r="J139" s="3">
        <f>(E139*USA!$AU114/100)/$AT106*100*$F139</f>
        <v>28.167028492682416</v>
      </c>
      <c r="K139" s="6"/>
      <c r="L139" s="6">
        <f t="shared" si="89"/>
        <v>0.97644722987262011</v>
      </c>
      <c r="M139" s="6">
        <f t="shared" si="90"/>
        <v>0.63295201719883643</v>
      </c>
      <c r="N139" s="6">
        <f t="shared" si="91"/>
        <v>0.37184320298631102</v>
      </c>
      <c r="O139">
        <v>2027</v>
      </c>
      <c r="P139" s="3">
        <f t="shared" si="92"/>
        <v>0.69683983881099343</v>
      </c>
      <c r="Q139" s="3"/>
      <c r="R139" s="3">
        <f t="shared" si="93"/>
        <v>0.35139028442355885</v>
      </c>
      <c r="S139" s="3">
        <f t="shared" si="84"/>
        <v>0.27925628976206424</v>
      </c>
      <c r="T139" s="3">
        <f t="shared" si="85"/>
        <v>0.2244234387774339</v>
      </c>
      <c r="U139" s="3"/>
      <c r="V139" s="3">
        <f t="shared" si="60"/>
        <v>2.0246773531071725</v>
      </c>
      <c r="W139" s="3">
        <f t="shared" si="61"/>
        <v>1.6090481457718941</v>
      </c>
      <c r="X139" s="3">
        <f t="shared" si="62"/>
        <v>1.2931064805747383</v>
      </c>
      <c r="Y139" s="9"/>
      <c r="Z139" s="9">
        <f t="shared" si="72"/>
        <v>228.37333787597615</v>
      </c>
      <c r="AA139" s="9">
        <f t="shared" si="73"/>
        <v>181.49247102959359</v>
      </c>
      <c r="AB139" s="9">
        <f t="shared" si="74"/>
        <v>145.85585340039972</v>
      </c>
      <c r="AC139" s="3"/>
      <c r="AD139" s="3">
        <f t="shared" si="86"/>
        <v>2.24843298095871</v>
      </c>
      <c r="AE139" s="3">
        <f t="shared" si="87"/>
        <v>1.7868708381371823</v>
      </c>
      <c r="AF139" s="3">
        <f t="shared" si="88"/>
        <v>1.4360131278960298</v>
      </c>
      <c r="AI139" s="2"/>
      <c r="AJ139" s="2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P139"/>
      <c r="AQ139"/>
      <c r="AR139"/>
      <c r="AS139"/>
      <c r="AV139" s="12"/>
      <c r="AW139" s="32"/>
      <c r="AX139" s="32"/>
      <c r="AY139" s="32"/>
      <c r="AZ139" s="3"/>
      <c r="BA139"/>
      <c r="BC139" s="9"/>
      <c r="BH139" s="9"/>
    </row>
    <row r="140" spans="1:60">
      <c r="A140">
        <v>2028</v>
      </c>
      <c r="B140" s="3"/>
      <c r="C140" s="3">
        <f t="shared" si="65"/>
        <v>153.60850999464401</v>
      </c>
      <c r="D140" s="3">
        <f t="shared" si="66"/>
        <v>84.844653255379882</v>
      </c>
      <c r="E140" s="3">
        <f t="shared" si="67"/>
        <v>31.929858819111395</v>
      </c>
      <c r="F140" s="6">
        <f>'Exchange Rates'!U67</f>
        <v>0.86199999999999999</v>
      </c>
      <c r="G140" s="3"/>
      <c r="H140" s="3">
        <f>(C140*USA!$AU115/100)/$AT107*100*$F140</f>
        <v>135.5062451810127</v>
      </c>
      <c r="I140" s="3">
        <f>(D140*USA!$AU115/100)/$AT107*100*$F140</f>
        <v>74.845985985557604</v>
      </c>
      <c r="J140" s="3">
        <f>(E140*USA!$AU115/100)/$AT107*100*$F140</f>
        <v>28.167028492682416</v>
      </c>
      <c r="K140" s="6"/>
      <c r="L140" s="6">
        <f t="shared" si="89"/>
        <v>0.99409990219046862</v>
      </c>
      <c r="M140" s="6">
        <f t="shared" si="90"/>
        <v>0.64244601627259001</v>
      </c>
      <c r="N140" s="6">
        <f t="shared" si="91"/>
        <v>0.37184320298631102</v>
      </c>
      <c r="O140">
        <v>2028</v>
      </c>
      <c r="P140" s="3">
        <f t="shared" si="92"/>
        <v>0.69683983881099343</v>
      </c>
      <c r="Q140" s="3"/>
      <c r="R140" s="3">
        <f t="shared" si="93"/>
        <v>0.35509734561030704</v>
      </c>
      <c r="S140" s="3">
        <f t="shared" si="84"/>
        <v>0.28125002956755246</v>
      </c>
      <c r="T140" s="3">
        <f t="shared" si="85"/>
        <v>0.2244234387774339</v>
      </c>
      <c r="U140" s="3"/>
      <c r="V140" s="3">
        <f t="shared" si="60"/>
        <v>2.0460370866117694</v>
      </c>
      <c r="W140" s="3">
        <f t="shared" si="61"/>
        <v>1.6205358846511357</v>
      </c>
      <c r="X140" s="3">
        <f t="shared" si="62"/>
        <v>1.2931064805747383</v>
      </c>
      <c r="Y140" s="9"/>
      <c r="Z140" s="9">
        <f t="shared" si="72"/>
        <v>230.78260749570109</v>
      </c>
      <c r="AA140" s="9">
        <f t="shared" si="73"/>
        <v>182.78822971848979</v>
      </c>
      <c r="AB140" s="9">
        <f t="shared" si="74"/>
        <v>145.85585340039972</v>
      </c>
      <c r="AC140" s="3"/>
      <c r="AD140" s="3">
        <f t="shared" si="86"/>
        <v>2.2721532686393728</v>
      </c>
      <c r="AE140" s="3">
        <f t="shared" si="87"/>
        <v>1.7996281354582044</v>
      </c>
      <c r="AF140" s="3">
        <f t="shared" si="88"/>
        <v>1.4360131278960298</v>
      </c>
      <c r="AI140" s="2"/>
      <c r="AJ140" s="2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P140"/>
      <c r="AQ140"/>
      <c r="AR140"/>
      <c r="AS140"/>
      <c r="AV140" s="12"/>
      <c r="AW140" s="32"/>
      <c r="AX140" s="32"/>
      <c r="AY140" s="32"/>
      <c r="AZ140" s="3"/>
      <c r="BA140"/>
      <c r="BC140" s="9"/>
      <c r="BH140" s="9"/>
    </row>
    <row r="141" spans="1:60">
      <c r="A141">
        <v>2029</v>
      </c>
      <c r="B141" s="3"/>
      <c r="C141" s="3">
        <f t="shared" si="65"/>
        <v>157.9233557810104</v>
      </c>
      <c r="D141" s="3">
        <f t="shared" si="66"/>
        <v>87.361009569245411</v>
      </c>
      <c r="E141" s="3">
        <f t="shared" si="67"/>
        <v>31.929858819111395</v>
      </c>
      <c r="F141" s="6">
        <f>'Exchange Rates'!U68</f>
        <v>0.86199999999999999</v>
      </c>
      <c r="G141" s="3"/>
      <c r="H141" s="3">
        <f>(C141*USA!$AU116/100)/$AT108*100*$F141</f>
        <v>139.31260038272652</v>
      </c>
      <c r="I141" s="3">
        <f>(D141*USA!$AU116/100)/$AT108*100*$F141</f>
        <v>77.065797867342951</v>
      </c>
      <c r="J141" s="3">
        <f>(E141*USA!$AU116/100)/$AT108*100*$F141</f>
        <v>28.167028492682416</v>
      </c>
      <c r="K141" s="6"/>
      <c r="L141" s="6">
        <f t="shared" si="89"/>
        <v>1.016165742587779</v>
      </c>
      <c r="M141" s="6">
        <f t="shared" si="90"/>
        <v>0.65531449861324886</v>
      </c>
      <c r="N141" s="6">
        <f t="shared" si="91"/>
        <v>0.37184320298631102</v>
      </c>
      <c r="O141">
        <v>2029</v>
      </c>
      <c r="P141" s="3">
        <f t="shared" si="92"/>
        <v>0.69683983881099343</v>
      </c>
      <c r="Q141" s="3"/>
      <c r="R141" s="3">
        <f t="shared" si="93"/>
        <v>0.35973117209374222</v>
      </c>
      <c r="S141" s="3">
        <f t="shared" si="84"/>
        <v>0.2839524108590909</v>
      </c>
      <c r="T141" s="3">
        <f t="shared" si="85"/>
        <v>0.2244234387774339</v>
      </c>
      <c r="U141" s="3"/>
      <c r="V141" s="3">
        <f t="shared" si="60"/>
        <v>2.072736753492515</v>
      </c>
      <c r="W141" s="3">
        <f t="shared" si="61"/>
        <v>1.6361067482833334</v>
      </c>
      <c r="X141" s="3">
        <f t="shared" si="62"/>
        <v>1.2931064805747383</v>
      </c>
      <c r="Y141" s="9"/>
      <c r="Z141" s="9">
        <f t="shared" si="72"/>
        <v>233.79419452035708</v>
      </c>
      <c r="AA141" s="9">
        <f t="shared" si="73"/>
        <v>184.5445441731556</v>
      </c>
      <c r="AB141" s="9">
        <f t="shared" si="74"/>
        <v>145.85585340039972</v>
      </c>
      <c r="AC141" s="3"/>
      <c r="AD141" s="3">
        <f t="shared" si="86"/>
        <v>2.3018036282401999</v>
      </c>
      <c r="AE141" s="3">
        <f t="shared" si="87"/>
        <v>1.8169198008580845</v>
      </c>
      <c r="AF141" s="3">
        <f t="shared" si="88"/>
        <v>1.4360131278960298</v>
      </c>
      <c r="AI141" s="2"/>
      <c r="AJ141" s="2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P141"/>
      <c r="AQ141"/>
      <c r="AR141"/>
      <c r="AS141"/>
      <c r="AV141" s="12"/>
      <c r="AW141" s="32"/>
      <c r="AX141" s="32"/>
      <c r="AY141" s="32"/>
      <c r="AZ141" s="3"/>
      <c r="BA141"/>
      <c r="BC141" s="9"/>
      <c r="BH141" s="9"/>
    </row>
    <row r="142" spans="1:60">
      <c r="A142">
        <v>2030</v>
      </c>
      <c r="B142" s="3"/>
      <c r="C142" s="3">
        <f t="shared" si="65"/>
        <v>160.51226325283022</v>
      </c>
      <c r="D142" s="3">
        <f t="shared" si="66"/>
        <v>89.285088706337618</v>
      </c>
      <c r="E142" s="3">
        <f t="shared" si="67"/>
        <v>32.792827976384679</v>
      </c>
      <c r="F142" s="6">
        <f>'Exchange Rates'!U69</f>
        <v>0.86199999999999999</v>
      </c>
      <c r="G142" s="3"/>
      <c r="H142" s="3">
        <f>(C142*USA!$AU117/100)/$AT109*100*$F142</f>
        <v>141.5964135037548</v>
      </c>
      <c r="I142" s="3">
        <f>(D142*USA!$AU117/100)/$AT109*100*$F142</f>
        <v>78.763130517126342</v>
      </c>
      <c r="J142" s="3">
        <f>(E142*USA!$AU117/100)/$AT109*100*$F142</f>
        <v>28.928299533025179</v>
      </c>
      <c r="K142" s="6"/>
      <c r="L142" s="6">
        <f t="shared" si="89"/>
        <v>1.0294052468261652</v>
      </c>
      <c r="M142" s="6">
        <f t="shared" si="90"/>
        <v>0.66515411403705405</v>
      </c>
      <c r="N142" s="6">
        <f t="shared" si="91"/>
        <v>0.37625637106577303</v>
      </c>
      <c r="O142">
        <v>2030</v>
      </c>
      <c r="P142" s="3">
        <f t="shared" si="92"/>
        <v>0.69683983881099343</v>
      </c>
      <c r="Q142" s="3"/>
      <c r="R142" s="3">
        <f t="shared" si="93"/>
        <v>0.36251146798380329</v>
      </c>
      <c r="S142" s="3">
        <f t="shared" si="84"/>
        <v>0.28601873009808998</v>
      </c>
      <c r="T142" s="3">
        <f t="shared" si="85"/>
        <v>0.22535020407412096</v>
      </c>
      <c r="U142" s="3"/>
      <c r="V142" s="3">
        <f t="shared" si="60"/>
        <v>2.088756553620962</v>
      </c>
      <c r="W142" s="3">
        <f t="shared" si="61"/>
        <v>1.6480126829461375</v>
      </c>
      <c r="X142" s="3">
        <f t="shared" si="62"/>
        <v>1.2984464139508873</v>
      </c>
      <c r="Y142" s="9"/>
      <c r="Z142" s="9">
        <f t="shared" si="72"/>
        <v>235.60114673515068</v>
      </c>
      <c r="AA142" s="9">
        <f t="shared" si="73"/>
        <v>185.88747322568099</v>
      </c>
      <c r="AB142" s="9">
        <f t="shared" si="74"/>
        <v>146.45817080533092</v>
      </c>
      <c r="AC142" s="9"/>
      <c r="AD142" s="3">
        <f t="shared" ref="AD142" si="94">V142*$AT$96/100</f>
        <v>2.3195938440006962</v>
      </c>
      <c r="AE142" s="3">
        <f t="shared" ref="AE142" si="95">W142*$AT$96/100</f>
        <v>1.8301415105413117</v>
      </c>
      <c r="AF142" s="3">
        <f t="shared" ref="AF142" si="96">X142*$AT$96/100</f>
        <v>1.4419431998161951</v>
      </c>
      <c r="AI142" s="2"/>
      <c r="AJ142" s="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P142"/>
      <c r="AQ142"/>
      <c r="AR142"/>
      <c r="AS142"/>
      <c r="AV142" s="12"/>
      <c r="AW142" s="32"/>
      <c r="AX142" s="32"/>
      <c r="AY142" s="32"/>
      <c r="AZ142" s="3"/>
      <c r="BA142"/>
      <c r="BC142" s="9"/>
      <c r="BH142" s="9"/>
    </row>
    <row r="143" spans="1:60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I143" s="2"/>
      <c r="AJ143" s="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P143"/>
      <c r="AQ143"/>
      <c r="AR143"/>
      <c r="AS143"/>
      <c r="AV143" s="12"/>
      <c r="AW143" s="32"/>
      <c r="AX143" s="32"/>
      <c r="AY143" s="32"/>
      <c r="AZ143" s="3"/>
      <c r="BA143"/>
      <c r="BC143" s="9"/>
      <c r="BH143" s="9"/>
    </row>
    <row r="144" spans="1:60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P144"/>
      <c r="AQ144"/>
      <c r="AR144"/>
      <c r="AS144"/>
      <c r="AV144" s="12"/>
      <c r="AW144" s="32"/>
      <c r="AX144" s="32"/>
      <c r="AY144" s="32"/>
      <c r="AZ144" s="3"/>
      <c r="BA144"/>
      <c r="BC144" s="9"/>
      <c r="BH144" s="9"/>
    </row>
    <row r="145" spans="2:63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I145" s="2"/>
      <c r="AJ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P145"/>
      <c r="AQ145"/>
      <c r="AR145"/>
      <c r="AS145"/>
      <c r="AV145" s="12"/>
      <c r="AW145" s="32"/>
      <c r="AX145" s="32"/>
      <c r="AY145" s="32"/>
      <c r="AZ145" s="3"/>
      <c r="BA145"/>
      <c r="BC145" s="9"/>
      <c r="BH145" s="9"/>
    </row>
    <row r="146" spans="2:63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/>
      <c r="U146" s="37"/>
      <c r="W146" s="2"/>
      <c r="AI146" s="2"/>
      <c r="AJ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P146"/>
      <c r="AQ146"/>
      <c r="AR146"/>
      <c r="AS146"/>
      <c r="AV146" s="12"/>
      <c r="AW146" s="32"/>
      <c r="AX146" s="32"/>
      <c r="AY146" s="32"/>
      <c r="AZ146" s="3"/>
      <c r="BA146"/>
      <c r="BC146" s="9"/>
      <c r="BH146" s="9"/>
    </row>
    <row r="147" spans="2:63">
      <c r="B147" s="2"/>
      <c r="C147" s="2"/>
      <c r="G147" s="32"/>
      <c r="J147" s="2"/>
      <c r="L147" s="37"/>
      <c r="M147" s="32"/>
      <c r="N147" s="32"/>
      <c r="O147" s="32"/>
      <c r="P147" s="37"/>
      <c r="Q147" s="2"/>
      <c r="R147" s="2">
        <v>1.7888142762351498</v>
      </c>
      <c r="U147" s="37"/>
      <c r="W147" s="2"/>
      <c r="AI147" s="2"/>
      <c r="AJ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P147"/>
      <c r="AQ147"/>
      <c r="AR147"/>
      <c r="AS147"/>
      <c r="AV147" s="12"/>
      <c r="AW147" s="32"/>
      <c r="AX147" s="32"/>
      <c r="AY147" s="32"/>
      <c r="AZ147" s="3"/>
      <c r="BA147"/>
      <c r="BC147" s="9"/>
      <c r="BH147" s="9"/>
    </row>
    <row r="148" spans="2:63">
      <c r="B148" s="2"/>
      <c r="C148" s="2"/>
      <c r="G148" s="32"/>
      <c r="J148" s="2"/>
      <c r="L148" s="37"/>
      <c r="M148" s="32"/>
      <c r="N148" s="32"/>
      <c r="O148" s="32"/>
      <c r="P148" s="37"/>
      <c r="Q148" s="2"/>
      <c r="R148" s="2">
        <v>1.4421716109461846</v>
      </c>
      <c r="U148" s="37"/>
      <c r="W148" s="2"/>
      <c r="AI148" s="2"/>
      <c r="AJ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P148"/>
      <c r="AQ148"/>
      <c r="AR148"/>
      <c r="AS148"/>
      <c r="AV148" s="12"/>
      <c r="AW148" s="32"/>
      <c r="AX148" s="32"/>
      <c r="AY148" s="32"/>
      <c r="AZ148" s="3"/>
      <c r="BA148"/>
      <c r="BC148" s="9"/>
      <c r="BH148" s="9"/>
    </row>
    <row r="149" spans="2:63">
      <c r="O149" s="32"/>
      <c r="P149" s="37"/>
      <c r="R149" s="32">
        <f>R147/R148-1</f>
        <v>0.24036159265507839</v>
      </c>
      <c r="S149" s="37"/>
      <c r="W149" s="2"/>
      <c r="X149" s="37"/>
      <c r="Y149" s="37"/>
      <c r="Z149" s="37"/>
      <c r="AA149" s="37"/>
      <c r="AB149" s="37"/>
      <c r="AC149" s="37"/>
      <c r="AD149" s="37"/>
      <c r="AE149" s="37"/>
      <c r="AF149" s="37"/>
      <c r="AI149" s="2"/>
      <c r="AJ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R149" s="2"/>
      <c r="AS149" s="2"/>
      <c r="AT149" s="32"/>
      <c r="AV149" s="12"/>
      <c r="AW149" s="12"/>
      <c r="AX149" s="12"/>
      <c r="AY149" s="12"/>
      <c r="AZ149" s="3"/>
      <c r="BA149"/>
      <c r="BC149" s="9"/>
      <c r="BF149" s="3"/>
      <c r="BG149" s="3"/>
      <c r="BH149" s="3"/>
      <c r="BK149" s="9"/>
    </row>
    <row r="150" spans="2:63">
      <c r="O150" s="32"/>
      <c r="P150" s="37"/>
      <c r="R150" s="32"/>
      <c r="S150" s="37"/>
      <c r="W150" s="2"/>
      <c r="X150" s="37"/>
      <c r="Y150" s="37"/>
      <c r="Z150" s="37"/>
      <c r="AA150" s="37"/>
      <c r="AB150" s="37"/>
      <c r="AC150" s="37"/>
      <c r="AD150" s="37"/>
      <c r="AE150" s="37"/>
      <c r="AF150" s="37"/>
      <c r="AI150" s="2"/>
      <c r="AJ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R150" s="2"/>
      <c r="AS150" s="2"/>
      <c r="AT150" s="32"/>
      <c r="AV150" s="12"/>
      <c r="AW150" s="12"/>
      <c r="AX150" s="12"/>
      <c r="AY150" s="12"/>
      <c r="AZ150" s="3"/>
      <c r="BA150"/>
      <c r="BC150" s="9"/>
      <c r="BF150" s="3"/>
      <c r="BG150" s="3"/>
      <c r="BH150" s="3"/>
      <c r="BK150" s="9"/>
    </row>
    <row r="151" spans="2:63">
      <c r="O151" s="32"/>
      <c r="P151" s="37"/>
      <c r="R151" s="32"/>
      <c r="S151" s="37"/>
      <c r="W151" s="2"/>
      <c r="X151" s="37"/>
      <c r="Y151" s="37"/>
      <c r="Z151" s="37"/>
      <c r="AA151" s="37"/>
      <c r="AB151" s="37"/>
      <c r="AC151" s="37"/>
      <c r="AD151" s="37"/>
      <c r="AE151" s="37"/>
      <c r="AF151" s="37"/>
      <c r="AI151" s="2"/>
      <c r="AJ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R151" s="2"/>
      <c r="AS151" s="2"/>
      <c r="AT151" s="32"/>
      <c r="AV151" s="12"/>
      <c r="AW151" s="12"/>
      <c r="AX151" s="12"/>
      <c r="AY151" s="12"/>
      <c r="AZ151" s="3"/>
      <c r="BA151"/>
      <c r="BC151" s="9"/>
      <c r="BF151" s="3"/>
      <c r="BG151" s="3"/>
      <c r="BH151" s="3"/>
      <c r="BK151" s="9"/>
    </row>
    <row r="152" spans="2:63">
      <c r="O152" s="32"/>
      <c r="P152" s="37"/>
      <c r="R152" s="32">
        <v>0.24</v>
      </c>
      <c r="S152" s="37"/>
      <c r="W152" s="2"/>
      <c r="X152" s="37"/>
      <c r="Y152" s="37"/>
      <c r="Z152" s="37"/>
      <c r="AA152" s="37"/>
      <c r="AB152" s="37"/>
      <c r="AC152" s="37"/>
      <c r="AD152" s="37"/>
      <c r="AE152" s="37"/>
      <c r="AF152" s="37"/>
      <c r="AI152" s="2"/>
      <c r="AJ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R152" s="2"/>
      <c r="AS152" s="2"/>
      <c r="AT152" s="32"/>
      <c r="AV152" s="12"/>
      <c r="AW152" s="12"/>
      <c r="AX152" s="12"/>
      <c r="AY152" s="12"/>
      <c r="AZ152" s="3"/>
      <c r="BA152"/>
      <c r="BC152" s="9"/>
      <c r="BF152" s="3"/>
      <c r="BG152" s="3"/>
      <c r="BH152" s="3"/>
      <c r="BK152" s="9"/>
    </row>
    <row r="153" spans="2:63">
      <c r="O153" s="32"/>
      <c r="P153" s="37"/>
      <c r="R153" s="32"/>
      <c r="S153" s="37"/>
      <c r="W153" s="2"/>
      <c r="X153" s="37"/>
      <c r="Y153" s="37"/>
      <c r="Z153" s="37"/>
      <c r="AA153" s="37"/>
      <c r="AB153" s="37"/>
      <c r="AC153" s="37"/>
      <c r="AD153" s="37"/>
      <c r="AE153" s="37"/>
      <c r="AF153" s="37"/>
      <c r="AI153" s="2"/>
      <c r="AJ153" s="2"/>
      <c r="AK153" s="2"/>
      <c r="AL153" s="2"/>
      <c r="AM153" s="2"/>
      <c r="AR153" s="2"/>
      <c r="AS153" s="2"/>
      <c r="AT153" s="32"/>
      <c r="AV153" s="12"/>
      <c r="AW153" s="12"/>
      <c r="AX153" s="12"/>
      <c r="AY153" s="12"/>
      <c r="AZ153" s="3"/>
      <c r="BA153"/>
      <c r="BC153" s="9"/>
      <c r="BF153" s="3"/>
      <c r="BG153" s="3"/>
      <c r="BH153" s="3"/>
      <c r="BK153" s="9"/>
    </row>
    <row r="154" spans="2:63">
      <c r="O154" s="32"/>
      <c r="P154" s="37"/>
      <c r="R154" s="32"/>
      <c r="S154" s="37"/>
      <c r="W154" s="2"/>
      <c r="X154" s="37"/>
      <c r="AI154" s="2"/>
      <c r="AJ154" s="2"/>
      <c r="AK154" s="2"/>
      <c r="AL154" s="2"/>
      <c r="AM154" s="2"/>
      <c r="AN154"/>
      <c r="AO154"/>
      <c r="AP154"/>
      <c r="AQ154"/>
      <c r="AR154"/>
      <c r="AU154" s="32"/>
      <c r="AV154" s="32"/>
      <c r="AW154" s="32"/>
      <c r="AX154" s="12"/>
      <c r="AY154" s="3"/>
      <c r="BA154"/>
      <c r="BB154" s="9"/>
      <c r="BF154" s="9"/>
    </row>
    <row r="155" spans="2:63">
      <c r="AI155" s="2"/>
      <c r="AJ155" s="2"/>
      <c r="AK155" s="2"/>
      <c r="AL155" s="3"/>
      <c r="AM155" s="3" t="s">
        <v>2429</v>
      </c>
      <c r="AN155"/>
      <c r="AO155"/>
      <c r="AP155"/>
      <c r="AQ155"/>
      <c r="AR155" s="12"/>
      <c r="AT155" s="32"/>
      <c r="AU155" s="32"/>
      <c r="AV155" s="32"/>
      <c r="AW155" s="12"/>
      <c r="BE155" s="9"/>
    </row>
    <row r="156" spans="2:63">
      <c r="AL156" s="3"/>
      <c r="AM156" s="3"/>
    </row>
    <row r="157" spans="2:63">
      <c r="AM157" t="s">
        <v>2416</v>
      </c>
    </row>
    <row r="158" spans="2:63">
      <c r="AL158" s="78">
        <v>43101</v>
      </c>
      <c r="AM158">
        <v>2.12</v>
      </c>
    </row>
    <row r="159" spans="2:63">
      <c r="AL159" s="78">
        <v>43132</v>
      </c>
      <c r="AM159">
        <v>2.02</v>
      </c>
    </row>
    <row r="160" spans="2:63">
      <c r="AL160" s="78">
        <v>43160</v>
      </c>
      <c r="AM160">
        <v>2.0299999999999998</v>
      </c>
    </row>
    <row r="161" spans="38:39">
      <c r="AL161" s="78">
        <v>43191</v>
      </c>
      <c r="AM161">
        <v>2.04</v>
      </c>
    </row>
    <row r="162" spans="38:39">
      <c r="AL162" s="78">
        <v>43221</v>
      </c>
      <c r="AM162">
        <v>2.0099999999999998</v>
      </c>
    </row>
    <row r="163" spans="38:39">
      <c r="AL163" s="78">
        <v>43252</v>
      </c>
      <c r="AM163">
        <v>2.02</v>
      </c>
    </row>
    <row r="164" spans="38:39">
      <c r="AL164" s="78">
        <v>43282</v>
      </c>
      <c r="AM164">
        <v>2.0299999999999998</v>
      </c>
    </row>
    <row r="165" spans="38:39">
      <c r="AL165" s="78">
        <v>43313</v>
      </c>
      <c r="AM165">
        <v>2.06</v>
      </c>
    </row>
    <row r="166" spans="38:39">
      <c r="AL166" s="78">
        <v>43344</v>
      </c>
      <c r="AM166">
        <v>2.06</v>
      </c>
    </row>
    <row r="167" spans="38:39">
      <c r="AL167" s="78">
        <v>43374</v>
      </c>
      <c r="AM167">
        <v>1.98</v>
      </c>
    </row>
    <row r="168" spans="38:39">
      <c r="AL168" s="78">
        <v>43405</v>
      </c>
      <c r="AM168">
        <v>1.9</v>
      </c>
    </row>
    <row r="169" spans="38:39">
      <c r="AL169" s="78">
        <v>43435</v>
      </c>
      <c r="AM169">
        <v>1.83</v>
      </c>
    </row>
    <row r="171" spans="38:39">
      <c r="AL171">
        <v>2018</v>
      </c>
      <c r="AM171" s="3">
        <f>AVERAGE(AM158:AM169)</f>
        <v>2.0083333333333329</v>
      </c>
    </row>
    <row r="172" spans="38:39">
      <c r="AL172" s="3"/>
      <c r="AM172" s="3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showGridLines="0" workbookViewId="0">
      <selection activeCell="A3" sqref="A3:G23"/>
    </sheetView>
  </sheetViews>
  <sheetFormatPr defaultRowHeight="15"/>
  <cols>
    <col min="1" max="1" width="17.8554687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0.98152560091573782</v>
      </c>
    </row>
    <row r="5" spans="1:7">
      <c r="A5" s="13" t="s">
        <v>80</v>
      </c>
      <c r="B5" s="13">
        <v>0.96339250525300013</v>
      </c>
    </row>
    <row r="6" spans="1:7">
      <c r="A6" s="13" t="s">
        <v>81</v>
      </c>
      <c r="B6" s="13">
        <v>0.95871920805125543</v>
      </c>
    </row>
    <row r="7" spans="1:7">
      <c r="A7" s="13" t="s">
        <v>82</v>
      </c>
      <c r="B7" s="13">
        <v>5.6647259767028502E-2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6</v>
      </c>
      <c r="C12" s="13">
        <v>3.969071524931485</v>
      </c>
      <c r="D12" s="13">
        <v>0.66151192082191412</v>
      </c>
      <c r="E12" s="13">
        <v>206.14834958353211</v>
      </c>
      <c r="F12" s="13">
        <v>5.0994702693740132E-32</v>
      </c>
    </row>
    <row r="13" spans="1:7">
      <c r="A13" s="13" t="s">
        <v>86</v>
      </c>
      <c r="B13" s="13">
        <v>47</v>
      </c>
      <c r="C13" s="13">
        <v>0.15081886583832069</v>
      </c>
      <c r="D13" s="13">
        <v>3.2089120391132061E-3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4.1198903907698057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0.5199309205859628</v>
      </c>
      <c r="C17" s="13">
        <v>3.2416037644661048E-2</v>
      </c>
      <c r="D17" s="13">
        <v>16.039311352157068</v>
      </c>
      <c r="E17" s="13">
        <v>1.0876130150188881E-20</v>
      </c>
      <c r="F17" s="13">
        <v>0.45471826436160889</v>
      </c>
      <c r="G17" s="13">
        <v>0.5851435768103167</v>
      </c>
    </row>
    <row r="18" spans="1:7">
      <c r="A18" s="13" t="s">
        <v>229</v>
      </c>
      <c r="B18" s="13">
        <v>6.8781950545891658E-3</v>
      </c>
      <c r="C18" s="13">
        <v>2.2665923979640833E-4</v>
      </c>
      <c r="D18" s="13">
        <v>30.345972486130957</v>
      </c>
      <c r="E18" s="13">
        <v>1.5902078380351178E-32</v>
      </c>
      <c r="F18" s="13">
        <v>6.422215479079541E-3</v>
      </c>
      <c r="G18" s="13">
        <v>7.3341746300987906E-3</v>
      </c>
    </row>
    <row r="19" spans="1:7">
      <c r="A19" s="13" t="s">
        <v>277</v>
      </c>
      <c r="B19" s="13">
        <v>-0.61608018610775461</v>
      </c>
      <c r="C19" s="13">
        <v>5.2820357598915187E-2</v>
      </c>
      <c r="D19" s="13">
        <v>-11.663688284465676</v>
      </c>
      <c r="E19" s="13">
        <v>1.7757669826171924E-15</v>
      </c>
      <c r="F19" s="13">
        <v>-0.72234103943918626</v>
      </c>
      <c r="G19" s="13">
        <v>-0.50981933277632296</v>
      </c>
    </row>
    <row r="20" spans="1:7">
      <c r="A20" s="13" t="s">
        <v>2014</v>
      </c>
      <c r="B20" s="13">
        <v>-0.24660293844100598</v>
      </c>
      <c r="C20" s="13">
        <v>2.0819291384379424E-2</v>
      </c>
      <c r="D20" s="13">
        <v>-11.844924684902125</v>
      </c>
      <c r="E20" s="13">
        <v>1.030239158749372E-15</v>
      </c>
      <c r="F20" s="13">
        <v>-0.28848595038610714</v>
      </c>
      <c r="G20" s="13">
        <v>-0.20471992649590481</v>
      </c>
    </row>
    <row r="21" spans="1:7">
      <c r="A21" s="13" t="s">
        <v>2011</v>
      </c>
      <c r="B21" s="13">
        <v>-3.9181996017091845E-2</v>
      </c>
      <c r="C21" s="13">
        <v>3.0946297455311977E-2</v>
      </c>
      <c r="D21" s="13">
        <v>-1.2661287210100864</v>
      </c>
      <c r="E21" s="13">
        <v>0.2117067530090298</v>
      </c>
      <c r="F21" s="13">
        <v>-0.10143791635787533</v>
      </c>
      <c r="G21" s="13">
        <v>2.3073924323691646E-2</v>
      </c>
    </row>
    <row r="22" spans="1:7">
      <c r="A22" s="13" t="s">
        <v>2012</v>
      </c>
      <c r="B22" s="13">
        <v>-0.38002677829791348</v>
      </c>
      <c r="C22" s="13">
        <v>5.8246715729210204E-2</v>
      </c>
      <c r="D22" s="13">
        <v>-6.5244327262100628</v>
      </c>
      <c r="E22" s="13">
        <v>4.310121986330188E-8</v>
      </c>
      <c r="F22" s="13">
        <v>-0.49720405612206653</v>
      </c>
      <c r="G22" s="13">
        <v>-0.26284950047376043</v>
      </c>
    </row>
    <row r="23" spans="1:7" ht="15.75" thickBot="1">
      <c r="A23" s="14" t="s">
        <v>2013</v>
      </c>
      <c r="B23" s="14">
        <v>-0.19163771885570918</v>
      </c>
      <c r="C23" s="14">
        <v>3.5974600626130671E-2</v>
      </c>
      <c r="D23" s="14">
        <v>-5.3270283900388975</v>
      </c>
      <c r="E23" s="14">
        <v>2.7620031405457835E-6</v>
      </c>
      <c r="F23" s="14">
        <v>-0.2640092804005445</v>
      </c>
      <c r="G23" s="14">
        <v>-0.11926615731087388</v>
      </c>
    </row>
    <row r="44" spans="15:15">
      <c r="O44" t="s">
        <v>2029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Y154"/>
  <sheetViews>
    <sheetView zoomScale="75" zoomScaleNormal="75" workbookViewId="0">
      <pane xSplit="1" ySplit="4" topLeftCell="AM52" activePane="bottomRight" state="frozen"/>
      <selection activeCell="BN97" sqref="BN97"/>
      <selection pane="topRight" activeCell="BN97" sqref="BN97"/>
      <selection pane="bottomLeft" activeCell="BN97" sqref="BN97"/>
      <selection pane="bottomRight" activeCell="AU42" sqref="AU42:BN97"/>
    </sheetView>
  </sheetViews>
  <sheetFormatPr defaultRowHeight="15"/>
  <cols>
    <col min="1" max="1" width="6.7109375" customWidth="1"/>
    <col min="2" max="3" width="8.7109375" customWidth="1"/>
    <col min="4" max="5" width="8.7109375" style="2" customWidth="1"/>
    <col min="6" max="9" width="9.28515625" style="2" bestFit="1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9.140625" style="37" customWidth="1"/>
    <col min="16" max="16" width="11.5703125" style="32" customWidth="1"/>
    <col min="17" max="17" width="9.85546875" style="32" customWidth="1"/>
    <col min="18" max="18" width="9.28515625" style="37" customWidth="1"/>
    <col min="19" max="20" width="9.28515625" style="2" bestFit="1" customWidth="1"/>
    <col min="21" max="21" width="8.5703125" style="2" customWidth="1"/>
    <col min="22" max="22" width="9.28515625" style="2" bestFit="1" customWidth="1"/>
    <col min="23" max="23" width="9.85546875" style="37" customWidth="1"/>
    <col min="24" max="29" width="9.28515625" style="2" bestFit="1" customWidth="1"/>
    <col min="30" max="37" width="9.140625" style="2"/>
    <col min="38" max="38" width="12" style="2" customWidth="1"/>
    <col min="39" max="41" width="12" customWidth="1"/>
    <col min="47" max="47" width="6.85546875" customWidth="1"/>
    <col min="48" max="48" width="8" style="2" customWidth="1"/>
    <col min="49" max="49" width="8.140625" style="2" customWidth="1"/>
    <col min="50" max="50" width="8" style="2" customWidth="1"/>
    <col min="51" max="51" width="7.85546875" style="2" customWidth="1"/>
    <col min="52" max="52" width="8.42578125" style="32" customWidth="1"/>
    <col min="53" max="53" width="1.5703125" style="12" customWidth="1"/>
    <col min="54" max="54" width="8.28515625" style="12" customWidth="1"/>
    <col min="55" max="55" width="1.140625" style="12" customWidth="1"/>
    <col min="56" max="56" width="11" style="7" customWidth="1"/>
    <col min="57" max="57" width="9.7109375" style="3" customWidth="1"/>
    <col min="58" max="58" width="8.140625" style="3" customWidth="1"/>
    <col min="59" max="59" width="8.140625" customWidth="1"/>
    <col min="61" max="61" width="10.140625" style="9" customWidth="1"/>
    <col min="62" max="62" width="5.7109375" customWidth="1"/>
    <col min="63" max="63" width="5.85546875" customWidth="1"/>
    <col min="64" max="64" width="5.7109375" customWidth="1"/>
    <col min="65" max="65" width="5.5703125" customWidth="1"/>
    <col min="66" max="66" width="5.7109375" customWidth="1"/>
  </cols>
  <sheetData>
    <row r="1" spans="1:69">
      <c r="A1" s="23" t="s">
        <v>188</v>
      </c>
      <c r="B1" s="23"/>
      <c r="C1" s="23"/>
      <c r="G1" s="39" t="s">
        <v>197</v>
      </c>
      <c r="BP1" s="7"/>
      <c r="BQ1" s="3"/>
    </row>
    <row r="2" spans="1:69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N2" s="23" t="s">
        <v>188</v>
      </c>
      <c r="P2" s="23" t="s">
        <v>188</v>
      </c>
      <c r="Q2" s="38" t="s">
        <v>142</v>
      </c>
      <c r="S2" s="23" t="s">
        <v>188</v>
      </c>
      <c r="X2" s="23" t="s">
        <v>188</v>
      </c>
      <c r="Y2" s="23" t="s">
        <v>188</v>
      </c>
      <c r="Z2" s="23" t="s">
        <v>188</v>
      </c>
      <c r="AA2" s="23" t="s">
        <v>188</v>
      </c>
      <c r="AB2" s="23" t="s">
        <v>188</v>
      </c>
      <c r="AC2" s="2" t="s">
        <v>113</v>
      </c>
      <c r="BP2" s="7"/>
      <c r="BQ2" s="3"/>
    </row>
    <row r="3" spans="1:69">
      <c r="B3" t="s">
        <v>182</v>
      </c>
      <c r="C3" t="s">
        <v>218</v>
      </c>
      <c r="D3" s="23" t="s">
        <v>188</v>
      </c>
      <c r="F3" s="23" t="s">
        <v>188</v>
      </c>
      <c r="H3" s="23" t="s">
        <v>188</v>
      </c>
      <c r="I3" s="23" t="s">
        <v>188</v>
      </c>
      <c r="J3" s="23" t="s">
        <v>188</v>
      </c>
      <c r="K3" s="23" t="s">
        <v>188</v>
      </c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2" t="s">
        <v>61</v>
      </c>
      <c r="Z3" s="2" t="s">
        <v>61</v>
      </c>
      <c r="AA3" s="2" t="s">
        <v>61</v>
      </c>
      <c r="AB3" s="38" t="s">
        <v>61</v>
      </c>
      <c r="AC3" s="2" t="s">
        <v>61</v>
      </c>
      <c r="AU3" s="46" t="s">
        <v>2103</v>
      </c>
      <c r="AV3" s="46" t="s">
        <v>2129</v>
      </c>
      <c r="AW3" s="46" t="s">
        <v>2129</v>
      </c>
      <c r="AX3" s="46" t="s">
        <v>2129</v>
      </c>
      <c r="AY3" s="46" t="s">
        <v>2129</v>
      </c>
      <c r="AZ3" s="46" t="s">
        <v>2129</v>
      </c>
      <c r="BA3" s="3"/>
      <c r="BB3" s="46"/>
      <c r="BC3" s="3"/>
      <c r="BD3" s="46" t="s">
        <v>2130</v>
      </c>
      <c r="BE3" s="46" t="s">
        <v>2130</v>
      </c>
      <c r="BF3" s="46" t="s">
        <v>2130</v>
      </c>
      <c r="BG3" s="46" t="s">
        <v>2130</v>
      </c>
      <c r="BH3" s="46" t="s">
        <v>2130</v>
      </c>
      <c r="BI3" s="46" t="s">
        <v>1957</v>
      </c>
      <c r="BJ3" s="46" t="s">
        <v>2098</v>
      </c>
      <c r="BK3" s="46" t="s">
        <v>2098</v>
      </c>
      <c r="BL3" s="46" t="s">
        <v>2098</v>
      </c>
      <c r="BM3" s="46" t="s">
        <v>2098</v>
      </c>
      <c r="BN3" s="46" t="s">
        <v>2098</v>
      </c>
      <c r="BP3" s="46" t="s">
        <v>2452</v>
      </c>
      <c r="BQ3" s="46" t="s">
        <v>2452</v>
      </c>
    </row>
    <row r="4" spans="1:69">
      <c r="A4" t="s">
        <v>2103</v>
      </c>
      <c r="B4" t="s">
        <v>217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126</v>
      </c>
      <c r="U4" s="2" t="s">
        <v>126</v>
      </c>
      <c r="V4" s="2" t="s">
        <v>126</v>
      </c>
      <c r="X4" s="2" t="s">
        <v>109</v>
      </c>
      <c r="Y4" s="2" t="s">
        <v>111</v>
      </c>
      <c r="Z4" s="2" t="s">
        <v>152</v>
      </c>
      <c r="AA4" s="2" t="s">
        <v>112</v>
      </c>
      <c r="AB4" s="38" t="s">
        <v>87</v>
      </c>
      <c r="AC4" s="2" t="s">
        <v>87</v>
      </c>
      <c r="AE4" s="2" t="s">
        <v>6</v>
      </c>
      <c r="AF4" s="2" t="s">
        <v>194</v>
      </c>
      <c r="AG4" s="2" t="s">
        <v>195</v>
      </c>
      <c r="AU4" s="46"/>
      <c r="AV4" s="46" t="s">
        <v>131</v>
      </c>
      <c r="AW4" s="46" t="s">
        <v>111</v>
      </c>
      <c r="AX4" s="46" t="s">
        <v>112</v>
      </c>
      <c r="AY4" s="46" t="s">
        <v>67</v>
      </c>
      <c r="AZ4" s="46" t="s">
        <v>133</v>
      </c>
      <c r="BA4" s="3"/>
      <c r="BB4" s="139" t="s">
        <v>237</v>
      </c>
      <c r="BC4" s="3"/>
      <c r="BD4" s="46" t="s">
        <v>131</v>
      </c>
      <c r="BE4" s="46" t="s">
        <v>2097</v>
      </c>
      <c r="BF4" s="46" t="s">
        <v>67</v>
      </c>
      <c r="BG4" s="46" t="s">
        <v>133</v>
      </c>
      <c r="BH4" s="46" t="s">
        <v>2097</v>
      </c>
      <c r="BI4" s="46" t="s">
        <v>1943</v>
      </c>
      <c r="BJ4" s="46">
        <v>7475</v>
      </c>
      <c r="BK4" s="46">
        <v>8914</v>
      </c>
      <c r="BL4" s="46">
        <v>6514</v>
      </c>
      <c r="BM4" s="46">
        <v>79</v>
      </c>
      <c r="BN4" s="46">
        <v>6971</v>
      </c>
      <c r="BP4" s="46" t="s">
        <v>131</v>
      </c>
      <c r="BQ4" s="46" t="s">
        <v>2097</v>
      </c>
    </row>
    <row r="5" spans="1:69">
      <c r="A5">
        <v>1926</v>
      </c>
      <c r="AU5">
        <v>1926</v>
      </c>
      <c r="BP5" s="7"/>
      <c r="BQ5" s="3"/>
    </row>
    <row r="6" spans="1:69">
      <c r="A6">
        <v>1927</v>
      </c>
      <c r="AU6">
        <v>1927</v>
      </c>
      <c r="BP6" s="7"/>
      <c r="BQ6" s="3"/>
    </row>
    <row r="7" spans="1:69">
      <c r="A7">
        <v>1928</v>
      </c>
      <c r="AU7">
        <v>1928</v>
      </c>
      <c r="BP7" s="7"/>
      <c r="BQ7" s="3"/>
    </row>
    <row r="8" spans="1:69">
      <c r="A8">
        <v>1929</v>
      </c>
      <c r="AU8">
        <v>1929</v>
      </c>
      <c r="BP8" s="7"/>
      <c r="BQ8" s="3"/>
    </row>
    <row r="9" spans="1:69">
      <c r="A9">
        <v>1930</v>
      </c>
      <c r="AU9">
        <v>1930</v>
      </c>
      <c r="BP9" s="7"/>
      <c r="BQ9" s="3"/>
    </row>
    <row r="10" spans="1:69">
      <c r="A10">
        <v>1931</v>
      </c>
      <c r="AU10">
        <v>1931</v>
      </c>
      <c r="BP10" s="7"/>
      <c r="BQ10" s="3"/>
    </row>
    <row r="11" spans="1:69">
      <c r="A11">
        <v>1932</v>
      </c>
      <c r="AU11">
        <v>1932</v>
      </c>
      <c r="BP11" s="7"/>
      <c r="BQ11" s="3"/>
    </row>
    <row r="12" spans="1:69">
      <c r="A12">
        <v>1933</v>
      </c>
      <c r="AU12">
        <v>1933</v>
      </c>
      <c r="BP12" s="7"/>
      <c r="BQ12" s="3"/>
    </row>
    <row r="13" spans="1:69">
      <c r="A13">
        <v>1934</v>
      </c>
      <c r="AU13">
        <v>1934</v>
      </c>
      <c r="BP13" s="7"/>
      <c r="BQ13" s="3"/>
    </row>
    <row r="14" spans="1:69">
      <c r="A14">
        <v>1935</v>
      </c>
      <c r="AU14">
        <v>1935</v>
      </c>
      <c r="BP14" s="7"/>
      <c r="BQ14" s="3"/>
    </row>
    <row r="15" spans="1:69">
      <c r="A15">
        <v>1936</v>
      </c>
      <c r="AU15">
        <v>1936</v>
      </c>
      <c r="BP15" s="7"/>
      <c r="BQ15" s="3"/>
    </row>
    <row r="16" spans="1:69">
      <c r="A16">
        <v>1937</v>
      </c>
      <c r="AU16">
        <v>1937</v>
      </c>
      <c r="BP16" s="7"/>
      <c r="BQ16" s="3"/>
    </row>
    <row r="17" spans="1:69">
      <c r="A17">
        <v>1938</v>
      </c>
      <c r="AU17">
        <v>1938</v>
      </c>
      <c r="BP17" s="7"/>
      <c r="BQ17" s="3"/>
    </row>
    <row r="18" spans="1:69">
      <c r="A18">
        <v>1939</v>
      </c>
      <c r="AU18">
        <v>1939</v>
      </c>
      <c r="BP18" s="7"/>
      <c r="BQ18" s="3"/>
    </row>
    <row r="19" spans="1:69">
      <c r="A19">
        <v>1940</v>
      </c>
      <c r="AU19">
        <v>1940</v>
      </c>
      <c r="BP19" s="7"/>
      <c r="BQ19" s="3"/>
    </row>
    <row r="20" spans="1:69">
      <c r="A20">
        <v>1941</v>
      </c>
      <c r="AU20">
        <v>1941</v>
      </c>
      <c r="BP20" s="7"/>
      <c r="BQ20" s="3"/>
    </row>
    <row r="21" spans="1:69">
      <c r="A21">
        <v>1942</v>
      </c>
      <c r="AU21">
        <v>1942</v>
      </c>
      <c r="BP21" s="7"/>
      <c r="BQ21" s="3"/>
    </row>
    <row r="22" spans="1:69">
      <c r="A22">
        <v>1943</v>
      </c>
      <c r="AU22">
        <v>1943</v>
      </c>
      <c r="BP22" s="7"/>
      <c r="BQ22" s="3"/>
    </row>
    <row r="23" spans="1:69">
      <c r="A23">
        <v>1944</v>
      </c>
      <c r="AU23">
        <v>1944</v>
      </c>
      <c r="BP23" s="7"/>
      <c r="BQ23" s="3"/>
    </row>
    <row r="24" spans="1:69">
      <c r="A24">
        <v>1945</v>
      </c>
      <c r="AU24">
        <v>1945</v>
      </c>
      <c r="BP24" s="7"/>
      <c r="BQ24" s="3"/>
    </row>
    <row r="25" spans="1:69">
      <c r="A25">
        <v>1946</v>
      </c>
      <c r="AU25">
        <v>1946</v>
      </c>
      <c r="BP25" s="7"/>
      <c r="BQ25" s="3"/>
    </row>
    <row r="26" spans="1:69">
      <c r="A26">
        <v>1947</v>
      </c>
      <c r="AU26">
        <v>1947</v>
      </c>
      <c r="BP26" s="7"/>
      <c r="BQ26" s="3"/>
    </row>
    <row r="27" spans="1:69">
      <c r="A27">
        <v>1948</v>
      </c>
      <c r="AU27">
        <v>1948</v>
      </c>
      <c r="BP27" s="7"/>
      <c r="BQ27" s="3"/>
    </row>
    <row r="28" spans="1:69">
      <c r="A28">
        <v>1949</v>
      </c>
      <c r="AU28">
        <v>1949</v>
      </c>
      <c r="BP28" s="7"/>
      <c r="BQ28" s="3"/>
    </row>
    <row r="29" spans="1:69">
      <c r="A29">
        <v>1950</v>
      </c>
      <c r="AU29">
        <v>1950</v>
      </c>
      <c r="BP29" s="7"/>
      <c r="BQ29" s="3"/>
    </row>
    <row r="30" spans="1:69">
      <c r="A30">
        <v>1951</v>
      </c>
      <c r="AU30">
        <v>1951</v>
      </c>
      <c r="BP30" s="7"/>
      <c r="BQ30" s="3"/>
    </row>
    <row r="31" spans="1:69">
      <c r="A31">
        <v>1952</v>
      </c>
      <c r="AU31">
        <v>1952</v>
      </c>
      <c r="BP31" s="7"/>
      <c r="BQ31" s="3"/>
    </row>
    <row r="32" spans="1:69">
      <c r="A32">
        <v>1953</v>
      </c>
      <c r="AU32">
        <v>1953</v>
      </c>
      <c r="BP32" s="7"/>
      <c r="BQ32" s="3"/>
    </row>
    <row r="33" spans="1:69">
      <c r="A33">
        <v>1954</v>
      </c>
      <c r="AU33">
        <v>1954</v>
      </c>
      <c r="BP33" s="7"/>
      <c r="BQ33" s="3"/>
    </row>
    <row r="34" spans="1:69">
      <c r="A34">
        <v>1955</v>
      </c>
      <c r="AU34">
        <v>1955</v>
      </c>
      <c r="BP34" s="7"/>
      <c r="BQ34" s="3"/>
    </row>
    <row r="35" spans="1:69">
      <c r="A35">
        <v>1956</v>
      </c>
      <c r="AU35">
        <v>1956</v>
      </c>
      <c r="BP35" s="7"/>
      <c r="BQ35" s="3"/>
    </row>
    <row r="36" spans="1:69">
      <c r="A36">
        <v>1957</v>
      </c>
      <c r="AU36">
        <v>1957</v>
      </c>
      <c r="BP36" s="7"/>
      <c r="BQ36" s="3"/>
    </row>
    <row r="37" spans="1:69">
      <c r="A37">
        <v>1958</v>
      </c>
      <c r="AU37">
        <v>1958</v>
      </c>
      <c r="BP37" s="7"/>
      <c r="BQ37" s="3"/>
    </row>
    <row r="38" spans="1:69">
      <c r="A38">
        <v>1959</v>
      </c>
      <c r="AU38">
        <v>1959</v>
      </c>
      <c r="BP38" s="7"/>
      <c r="BQ38" s="3"/>
    </row>
    <row r="39" spans="1:69">
      <c r="A39">
        <v>1960</v>
      </c>
      <c r="AU39">
        <v>1960</v>
      </c>
      <c r="BP39" s="7"/>
      <c r="BQ39" s="3"/>
    </row>
    <row r="40" spans="1:69">
      <c r="A40">
        <v>1961</v>
      </c>
      <c r="AU40">
        <v>1961</v>
      </c>
      <c r="BP40" s="7"/>
      <c r="BQ40" s="3"/>
    </row>
    <row r="41" spans="1:69">
      <c r="A41">
        <v>1962</v>
      </c>
      <c r="AU41">
        <v>1962</v>
      </c>
      <c r="BP41" s="7"/>
      <c r="BQ41" s="3"/>
    </row>
    <row r="42" spans="1:69">
      <c r="A42">
        <v>1963</v>
      </c>
      <c r="AK42" s="2" t="s">
        <v>2199</v>
      </c>
      <c r="AL42" s="2" t="s">
        <v>2197</v>
      </c>
      <c r="AM42" t="s">
        <v>2198</v>
      </c>
      <c r="AN42" t="s">
        <v>191</v>
      </c>
      <c r="AO42" s="2" t="s">
        <v>2196</v>
      </c>
      <c r="AP42" s="2" t="s">
        <v>192</v>
      </c>
      <c r="AQ42" s="2" t="s">
        <v>193</v>
      </c>
      <c r="AU42" s="46" t="s">
        <v>2103</v>
      </c>
      <c r="AV42" s="46" t="s">
        <v>2129</v>
      </c>
      <c r="AW42" s="46" t="s">
        <v>2129</v>
      </c>
      <c r="AX42" s="46" t="s">
        <v>2129</v>
      </c>
      <c r="AY42" s="46" t="s">
        <v>2129</v>
      </c>
      <c r="AZ42" s="46" t="s">
        <v>2129</v>
      </c>
      <c r="BA42" s="3"/>
      <c r="BB42" s="46"/>
      <c r="BC42" s="3"/>
      <c r="BD42" s="46" t="s">
        <v>2130</v>
      </c>
      <c r="BE42" s="46" t="s">
        <v>2130</v>
      </c>
      <c r="BF42" s="46" t="s">
        <v>2130</v>
      </c>
      <c r="BG42" s="46" t="s">
        <v>2130</v>
      </c>
      <c r="BH42" s="46" t="s">
        <v>2130</v>
      </c>
      <c r="BI42" s="46" t="s">
        <v>1957</v>
      </c>
      <c r="BJ42" s="46" t="s">
        <v>2098</v>
      </c>
      <c r="BK42" s="46" t="s">
        <v>2098</v>
      </c>
      <c r="BL42" s="46" t="s">
        <v>2098</v>
      </c>
      <c r="BM42" s="46" t="s">
        <v>2098</v>
      </c>
      <c r="BN42" s="46" t="s">
        <v>2098</v>
      </c>
      <c r="BP42" s="46" t="s">
        <v>2452</v>
      </c>
      <c r="BQ42" s="46" t="s">
        <v>2452</v>
      </c>
    </row>
    <row r="43" spans="1:69">
      <c r="A43">
        <v>1964</v>
      </c>
      <c r="AL43" s="2" t="s">
        <v>189</v>
      </c>
      <c r="AM43" s="2" t="s">
        <v>189</v>
      </c>
      <c r="AN43" s="2" t="s">
        <v>189</v>
      </c>
      <c r="AO43" s="2" t="s">
        <v>189</v>
      </c>
      <c r="AP43" s="2" t="s">
        <v>189</v>
      </c>
      <c r="AQ43" s="2"/>
      <c r="AU43" s="46"/>
      <c r="AV43" s="46" t="s">
        <v>131</v>
      </c>
      <c r="AW43" s="46" t="s">
        <v>111</v>
      </c>
      <c r="AX43" s="46" t="s">
        <v>112</v>
      </c>
      <c r="AY43" s="46" t="s">
        <v>67</v>
      </c>
      <c r="AZ43" s="46" t="s">
        <v>133</v>
      </c>
      <c r="BA43" s="3"/>
      <c r="BB43" s="139" t="s">
        <v>237</v>
      </c>
      <c r="BC43" s="3"/>
      <c r="BD43" s="46" t="s">
        <v>131</v>
      </c>
      <c r="BE43" s="46" t="s">
        <v>2097</v>
      </c>
      <c r="BF43" s="46" t="s">
        <v>67</v>
      </c>
      <c r="BG43" s="46" t="s">
        <v>133</v>
      </c>
      <c r="BH43" s="46" t="s">
        <v>2097</v>
      </c>
      <c r="BI43" s="46" t="s">
        <v>1943</v>
      </c>
      <c r="BJ43" s="46">
        <v>7475</v>
      </c>
      <c r="BK43" s="46">
        <v>8914</v>
      </c>
      <c r="BL43" s="46">
        <v>6514</v>
      </c>
      <c r="BM43" s="46">
        <v>79</v>
      </c>
      <c r="BN43" s="46">
        <v>6971</v>
      </c>
      <c r="BP43" s="46" t="s">
        <v>131</v>
      </c>
      <c r="BQ43" s="46" t="s">
        <v>2097</v>
      </c>
    </row>
    <row r="44" spans="1:69">
      <c r="A44">
        <v>1965</v>
      </c>
      <c r="B44" s="3">
        <f t="shared" ref="B44:B88" si="0">I44/G44*100/C44*100</f>
        <v>67.777742592732324</v>
      </c>
      <c r="C44" s="3">
        <f t="shared" ref="C44:C87" si="1">E44/E$89*100</f>
        <v>14.459024846529534</v>
      </c>
      <c r="D44" s="2">
        <v>47.359699999999997</v>
      </c>
      <c r="E44" s="2">
        <v>20.692699999999999</v>
      </c>
      <c r="F44" s="2">
        <f>D44*E44/100</f>
        <v>9.8000006418999988</v>
      </c>
      <c r="G44" s="2">
        <v>0.71919</v>
      </c>
      <c r="H44" s="2">
        <f>F44*G44/100</f>
        <v>7.0480624616480594E-2</v>
      </c>
      <c r="I44" s="32">
        <f t="shared" ref="I44:I75" si="2">H44</f>
        <v>7.0480624616480594E-2</v>
      </c>
      <c r="J44" s="32">
        <f t="shared" ref="J44:J89" si="3">Q44+AB44</f>
        <v>8.8397121574519774E-2</v>
      </c>
      <c r="P44" s="32">
        <f t="shared" ref="P44:P78" si="4">I44-AB44</f>
        <v>4.1442607274490589E-2</v>
      </c>
      <c r="Q44" s="32">
        <f t="shared" ref="Q44:Q89" si="5">Q$106+Q$107*S44+Q$108*T44+Q$109*U44+Q$110*V44</f>
        <v>5.9359104232529769E-2</v>
      </c>
      <c r="S44" s="2">
        <f>USA!Z52*G44</f>
        <v>2.3733269999999997</v>
      </c>
      <c r="T44" s="2">
        <v>0</v>
      </c>
      <c r="U44" s="2">
        <v>0</v>
      </c>
      <c r="V44" s="2">
        <v>0</v>
      </c>
      <c r="X44" s="2">
        <f>AG44/100</f>
        <v>0.41200000000000003</v>
      </c>
      <c r="Y44" s="2">
        <f t="shared" ref="Y44:Y53" si="6">AB44-AA44</f>
        <v>2.2630687831400861E-2</v>
      </c>
      <c r="Z44" s="2">
        <v>0.1</v>
      </c>
      <c r="AA44" s="2">
        <f>Z44*(I44*(1/(1+Z44)))</f>
        <v>6.4073295105891454E-3</v>
      </c>
      <c r="AB44" s="2">
        <f>I44*X44</f>
        <v>2.9038017341990009E-2</v>
      </c>
      <c r="AE44" s="39">
        <v>41.2</v>
      </c>
      <c r="AF44" s="39">
        <v>42.530975192792539</v>
      </c>
      <c r="AG44" s="2">
        <f>AE44</f>
        <v>41.2</v>
      </c>
      <c r="AU44">
        <v>1965</v>
      </c>
      <c r="AV44" s="1">
        <f t="shared" ref="AV44:AV75" si="7">I44</f>
        <v>7.0480624616480594E-2</v>
      </c>
      <c r="AW44" s="1">
        <f>Y44</f>
        <v>2.2630687831400861E-2</v>
      </c>
      <c r="AX44" s="1">
        <f>AA44</f>
        <v>6.4073295105891454E-3</v>
      </c>
      <c r="AY44" s="1">
        <f>AB44</f>
        <v>2.9038017341990009E-2</v>
      </c>
      <c r="AZ44" s="22">
        <f t="shared" ref="AZ44:AZ75" si="8">AV44-AY44</f>
        <v>4.1442607274490589E-2</v>
      </c>
      <c r="BB44" s="7">
        <v>5.6928196141407383</v>
      </c>
      <c r="BD44" s="22">
        <f t="shared" ref="BD44:BD75" si="9">AV44/$BB44*100</f>
        <v>1.2380617935163363</v>
      </c>
      <c r="BE44" s="1">
        <f>BH44+BF44</f>
        <v>1.2775811878577863</v>
      </c>
      <c r="BF44" s="1">
        <f>AY44/$BB44*100</f>
        <v>0.51008145892873058</v>
      </c>
      <c r="BG44" s="1">
        <f t="shared" ref="BG44:BG51" si="10">BD44-BF44</f>
        <v>0.72798033458760569</v>
      </c>
      <c r="BH44" s="1">
        <f t="shared" ref="BH44:BH75" si="11">BE$99+BE$100*BI44+BE$101*BJ44+BE$102*BK44+BE$103*BL44+BE$104*BM44+BE$105*BN44</f>
        <v>0.76749972892905582</v>
      </c>
      <c r="BI44" s="3">
        <f t="shared" ref="BI44:BI75" si="12">S44/BB44*100</f>
        <v>41.689833173437457</v>
      </c>
      <c r="BJ44">
        <v>0</v>
      </c>
      <c r="BK44">
        <v>0</v>
      </c>
      <c r="BL44" s="23">
        <v>1</v>
      </c>
      <c r="BM44">
        <v>0</v>
      </c>
      <c r="BN44">
        <v>0</v>
      </c>
      <c r="BP44" s="22">
        <f t="shared" ref="BP44:BP96" si="13">BD44*$BB$97/$BB$89</f>
        <v>1.3890667508619754</v>
      </c>
      <c r="BQ44" s="22">
        <f t="shared" ref="BQ44:BQ96" si="14">BE44*$BB$97/$BB$89</f>
        <v>1.4334062797783784</v>
      </c>
    </row>
    <row r="45" spans="1:69">
      <c r="A45">
        <v>1966</v>
      </c>
      <c r="B45" s="3">
        <f t="shared" si="0"/>
        <v>65.809370597934134</v>
      </c>
      <c r="C45" s="3">
        <f t="shared" si="1"/>
        <v>14.891495218110531</v>
      </c>
      <c r="D45" s="2">
        <v>45.984299999999998</v>
      </c>
      <c r="E45" s="2">
        <v>21.311620000000001</v>
      </c>
      <c r="F45" s="2">
        <f t="shared" ref="F45:F77" si="15">D45*E45/100</f>
        <v>9.7999992756599994</v>
      </c>
      <c r="G45" s="2">
        <v>0.71919</v>
      </c>
      <c r="H45" s="2">
        <f t="shared" ref="H45:H77" si="16">F45*G45/100</f>
        <v>7.048061479061915E-2</v>
      </c>
      <c r="I45" s="32">
        <f t="shared" si="2"/>
        <v>7.048061479061915E-2</v>
      </c>
      <c r="J45" s="32">
        <f t="shared" si="3"/>
        <v>8.8397117526264862E-2</v>
      </c>
      <c r="P45" s="32">
        <f t="shared" si="4"/>
        <v>4.1442601496884057E-2</v>
      </c>
      <c r="Q45" s="32">
        <f t="shared" si="5"/>
        <v>5.9359104232529769E-2</v>
      </c>
      <c r="S45" s="2">
        <f>USA!Z53*G45</f>
        <v>2.3733269999999997</v>
      </c>
      <c r="T45" s="2">
        <v>0</v>
      </c>
      <c r="U45" s="2">
        <v>0</v>
      </c>
      <c r="V45" s="2">
        <v>0</v>
      </c>
      <c r="X45" s="2">
        <f t="shared" ref="X45:X78" si="17">AG45/100</f>
        <v>0.41200000000000003</v>
      </c>
      <c r="Y45" s="2">
        <f t="shared" si="6"/>
        <v>2.2630684676406079E-2</v>
      </c>
      <c r="Z45" s="2">
        <v>0.1</v>
      </c>
      <c r="AA45" s="2">
        <f t="shared" ref="AA45:AA96" si="18">Z45*(I45*(1/(1+Z45)))</f>
        <v>6.4073286173290146E-3</v>
      </c>
      <c r="AB45" s="2">
        <f t="shared" ref="AB45:AB53" si="19">I45*X45</f>
        <v>2.9038013293735093E-2</v>
      </c>
      <c r="AE45" s="39">
        <v>41.2</v>
      </c>
      <c r="AF45" s="39">
        <v>39.970921277401736</v>
      </c>
      <c r="AG45" s="2">
        <f t="shared" ref="AG45:AG58" si="20">AE45</f>
        <v>41.2</v>
      </c>
      <c r="AU45">
        <v>1966</v>
      </c>
      <c r="AV45" s="1">
        <f t="shared" si="7"/>
        <v>7.048061479061915E-2</v>
      </c>
      <c r="AW45" s="1">
        <f t="shared" ref="AW45:AW96" si="21">Y45</f>
        <v>2.2630684676406079E-2</v>
      </c>
      <c r="AX45" s="1">
        <f t="shared" ref="AX45:AX96" si="22">AA45</f>
        <v>6.4073286173290146E-3</v>
      </c>
      <c r="AY45" s="1">
        <f t="shared" ref="AY45:AY76" si="23">AB45</f>
        <v>2.9038013293735093E-2</v>
      </c>
      <c r="AZ45" s="22">
        <f t="shared" si="8"/>
        <v>4.1442601496884057E-2</v>
      </c>
      <c r="BB45" s="7">
        <v>5.8496840631162668</v>
      </c>
      <c r="BD45" s="22">
        <f t="shared" si="9"/>
        <v>1.2048619041670507</v>
      </c>
      <c r="BE45" s="1">
        <f t="shared" ref="BE45:BE89" si="24">BH45+BF45</f>
        <v>1.2562133571538419</v>
      </c>
      <c r="BF45" s="1">
        <f t="shared" ref="BF45:BF89" si="25">AY45/$BB45*100</f>
        <v>0.4964031045168249</v>
      </c>
      <c r="BG45" s="1">
        <f t="shared" si="10"/>
        <v>0.70845879965022585</v>
      </c>
      <c r="BH45" s="1">
        <f t="shared" si="11"/>
        <v>0.75981025263701696</v>
      </c>
      <c r="BI45" s="3">
        <f t="shared" si="12"/>
        <v>40.571883445200484</v>
      </c>
      <c r="BJ45">
        <v>0</v>
      </c>
      <c r="BK45">
        <v>0</v>
      </c>
      <c r="BL45" s="23">
        <v>1</v>
      </c>
      <c r="BM45">
        <v>0</v>
      </c>
      <c r="BN45">
        <v>0</v>
      </c>
      <c r="BP45" s="22">
        <f t="shared" si="13"/>
        <v>1.3518175096133556</v>
      </c>
      <c r="BQ45" s="22">
        <f t="shared" si="14"/>
        <v>1.4094322396098371</v>
      </c>
    </row>
    <row r="46" spans="1:69">
      <c r="A46">
        <v>1967</v>
      </c>
      <c r="B46" s="3">
        <f t="shared" si="0"/>
        <v>69.912554650781246</v>
      </c>
      <c r="C46" s="3">
        <f t="shared" si="1"/>
        <v>15.30482682623647</v>
      </c>
      <c r="D46" s="2">
        <v>48.851399999999998</v>
      </c>
      <c r="E46" s="2">
        <v>21.90315</v>
      </c>
      <c r="F46" s="2">
        <f t="shared" si="15"/>
        <v>10.6999954191</v>
      </c>
      <c r="G46" s="2">
        <v>0.73365999999999987</v>
      </c>
      <c r="H46" s="2">
        <f t="shared" si="16"/>
        <v>7.8501586391769046E-2</v>
      </c>
      <c r="I46" s="32">
        <f t="shared" si="2"/>
        <v>7.8501586391769046E-2</v>
      </c>
      <c r="J46" s="32">
        <f t="shared" si="3"/>
        <v>8.9440352585979224E-2</v>
      </c>
      <c r="P46" s="32">
        <f t="shared" si="4"/>
        <v>4.8827986735680354E-2</v>
      </c>
      <c r="Q46" s="32">
        <f t="shared" si="5"/>
        <v>5.9766752929890532E-2</v>
      </c>
      <c r="S46" s="2">
        <f>USA!Z54*G46</f>
        <v>2.4210779999999996</v>
      </c>
      <c r="T46" s="2">
        <v>0</v>
      </c>
      <c r="U46" s="2">
        <v>0</v>
      </c>
      <c r="V46" s="2">
        <v>0</v>
      </c>
      <c r="X46" s="2">
        <f t="shared" si="17"/>
        <v>0.37799999999999995</v>
      </c>
      <c r="Y46" s="2">
        <f t="shared" si="6"/>
        <v>2.253709180229151E-2</v>
      </c>
      <c r="Z46" s="2">
        <v>0.1</v>
      </c>
      <c r="AA46" s="2">
        <f t="shared" si="18"/>
        <v>7.136507853797186E-3</v>
      </c>
      <c r="AB46" s="2">
        <f t="shared" si="19"/>
        <v>2.9673599656088696E-2</v>
      </c>
      <c r="AE46" s="39">
        <v>37.799999999999997</v>
      </c>
      <c r="AF46" s="39">
        <v>43.442787001594681</v>
      </c>
      <c r="AG46" s="2">
        <f t="shared" si="20"/>
        <v>37.799999999999997</v>
      </c>
      <c r="AU46">
        <v>1967</v>
      </c>
      <c r="AV46" s="1">
        <f t="shared" si="7"/>
        <v>7.8501586391769046E-2</v>
      </c>
      <c r="AW46" s="1">
        <f t="shared" si="21"/>
        <v>2.253709180229151E-2</v>
      </c>
      <c r="AX46" s="1">
        <f t="shared" si="22"/>
        <v>7.136507853797186E-3</v>
      </c>
      <c r="AY46" s="1">
        <f t="shared" si="23"/>
        <v>2.9673599656088696E-2</v>
      </c>
      <c r="AZ46" s="22">
        <f t="shared" si="8"/>
        <v>4.8827986735680354E-2</v>
      </c>
      <c r="BB46" s="7">
        <v>6.2039948055688088</v>
      </c>
      <c r="BD46" s="22">
        <f t="shared" si="9"/>
        <v>1.2653393313821719</v>
      </c>
      <c r="BE46" s="1">
        <f t="shared" si="24"/>
        <v>1.2274653199610803</v>
      </c>
      <c r="BF46" s="1">
        <f t="shared" si="25"/>
        <v>0.47829826726246094</v>
      </c>
      <c r="BG46" s="1">
        <f t="shared" si="10"/>
        <v>0.78704106411971098</v>
      </c>
      <c r="BH46" s="1">
        <f t="shared" si="11"/>
        <v>0.74916705269861938</v>
      </c>
      <c r="BI46" s="3">
        <f t="shared" si="12"/>
        <v>39.024500759201146</v>
      </c>
      <c r="BJ46">
        <v>0</v>
      </c>
      <c r="BK46">
        <v>0</v>
      </c>
      <c r="BL46" s="23">
        <v>1</v>
      </c>
      <c r="BM46">
        <v>0</v>
      </c>
      <c r="BN46">
        <v>0</v>
      </c>
      <c r="BP46" s="22">
        <f t="shared" si="13"/>
        <v>1.4196712983031778</v>
      </c>
      <c r="BQ46" s="22">
        <f t="shared" si="14"/>
        <v>1.3771778377486898</v>
      </c>
    </row>
    <row r="47" spans="1:69">
      <c r="A47">
        <v>1968</v>
      </c>
      <c r="B47" s="3">
        <f t="shared" si="0"/>
        <v>55.798208306810245</v>
      </c>
      <c r="C47" s="3">
        <f t="shared" si="1"/>
        <v>15.950346083448959</v>
      </c>
      <c r="D47" s="2">
        <v>38.988999999999997</v>
      </c>
      <c r="E47" s="2">
        <v>22.826969999999999</v>
      </c>
      <c r="F47" s="2">
        <f t="shared" si="15"/>
        <v>8.9000073332999996</v>
      </c>
      <c r="G47" s="2">
        <v>0.89285999999999988</v>
      </c>
      <c r="H47" s="2">
        <f t="shared" si="16"/>
        <v>7.946460547610236E-2</v>
      </c>
      <c r="I47" s="32">
        <f t="shared" si="2"/>
        <v>7.946460547610236E-2</v>
      </c>
      <c r="J47" s="32">
        <f t="shared" si="3"/>
        <v>9.3415243970292744E-2</v>
      </c>
      <c r="P47" s="32">
        <f t="shared" si="4"/>
        <v>5.0301095266372789E-2</v>
      </c>
      <c r="Q47" s="32">
        <f t="shared" si="5"/>
        <v>6.4251733760563173E-2</v>
      </c>
      <c r="S47" s="2">
        <f>USA!Z55*G47</f>
        <v>2.9464379999999992</v>
      </c>
      <c r="T47" s="2">
        <v>0</v>
      </c>
      <c r="U47" s="2">
        <v>0</v>
      </c>
      <c r="V47" s="2">
        <v>0</v>
      </c>
      <c r="X47" s="2">
        <f t="shared" si="17"/>
        <v>0.36700000000000005</v>
      </c>
      <c r="Y47" s="2">
        <f t="shared" si="6"/>
        <v>2.193945516644754E-2</v>
      </c>
      <c r="Z47" s="2">
        <v>0.1</v>
      </c>
      <c r="AA47" s="2">
        <f t="shared" si="18"/>
        <v>7.2240550432820325E-3</v>
      </c>
      <c r="AB47" s="2">
        <f t="shared" si="19"/>
        <v>2.9163510209729571E-2</v>
      </c>
      <c r="AE47" s="39">
        <v>36.700000000000003</v>
      </c>
      <c r="AF47" s="39">
        <v>42.333192684044711</v>
      </c>
      <c r="AG47" s="2">
        <f t="shared" si="20"/>
        <v>36.700000000000003</v>
      </c>
      <c r="AU47">
        <v>1968</v>
      </c>
      <c r="AV47" s="1">
        <f t="shared" si="7"/>
        <v>7.946460547610236E-2</v>
      </c>
      <c r="AW47" s="1">
        <f t="shared" si="21"/>
        <v>2.193945516644754E-2</v>
      </c>
      <c r="AX47" s="1">
        <f t="shared" si="22"/>
        <v>7.2240550432820325E-3</v>
      </c>
      <c r="AY47" s="1">
        <f t="shared" si="23"/>
        <v>2.9163510209729571E-2</v>
      </c>
      <c r="AZ47" s="22">
        <f t="shared" si="8"/>
        <v>5.0301095266372789E-2</v>
      </c>
      <c r="BB47" s="7">
        <v>6.4715065326687276</v>
      </c>
      <c r="BD47" s="22">
        <f t="shared" si="9"/>
        <v>1.227915093262413</v>
      </c>
      <c r="BE47" s="1">
        <f t="shared" si="24"/>
        <v>1.2445538475873028</v>
      </c>
      <c r="BF47" s="1">
        <f t="shared" si="25"/>
        <v>0.45064483922730564</v>
      </c>
      <c r="BG47" s="1">
        <f t="shared" si="10"/>
        <v>0.7772702540351073</v>
      </c>
      <c r="BH47" s="1">
        <f t="shared" si="11"/>
        <v>0.79390900835999711</v>
      </c>
      <c r="BI47" s="3">
        <f t="shared" si="12"/>
        <v>45.529398527624501</v>
      </c>
      <c r="BJ47">
        <v>0</v>
      </c>
      <c r="BK47">
        <v>0</v>
      </c>
      <c r="BL47" s="23">
        <v>1</v>
      </c>
      <c r="BM47">
        <v>0</v>
      </c>
      <c r="BN47">
        <v>0</v>
      </c>
      <c r="BP47" s="22">
        <f t="shared" si="13"/>
        <v>1.3776824693765928</v>
      </c>
      <c r="BQ47" s="22">
        <f t="shared" si="14"/>
        <v>1.3963506332190629</v>
      </c>
    </row>
    <row r="48" spans="1:69">
      <c r="A48">
        <v>1969</v>
      </c>
      <c r="B48" s="3">
        <f t="shared" si="0"/>
        <v>52.932090381855787</v>
      </c>
      <c r="C48" s="3">
        <f t="shared" si="1"/>
        <v>16.814008114047141</v>
      </c>
      <c r="D48" s="2">
        <v>36.9863</v>
      </c>
      <c r="E48" s="2">
        <v>24.06298</v>
      </c>
      <c r="F48" s="2">
        <f t="shared" si="15"/>
        <v>8.9000059717399989</v>
      </c>
      <c r="G48" s="2">
        <v>0.89285999999999988</v>
      </c>
      <c r="H48" s="2">
        <f t="shared" si="16"/>
        <v>7.9464593319277743E-2</v>
      </c>
      <c r="I48" s="32">
        <f t="shared" si="2"/>
        <v>7.9464593319277743E-2</v>
      </c>
      <c r="J48" s="32">
        <f t="shared" si="3"/>
        <v>0.10422242420015987</v>
      </c>
      <c r="P48" s="32">
        <f t="shared" si="4"/>
        <v>3.9493902879681041E-2</v>
      </c>
      <c r="Q48" s="32">
        <f t="shared" si="5"/>
        <v>6.4251733760563173E-2</v>
      </c>
      <c r="S48" s="2">
        <f>USA!Z56*G48</f>
        <v>2.9464379999999992</v>
      </c>
      <c r="T48" s="2">
        <v>0</v>
      </c>
      <c r="U48" s="2">
        <v>0</v>
      </c>
      <c r="V48" s="2">
        <v>0</v>
      </c>
      <c r="X48" s="2">
        <f t="shared" si="17"/>
        <v>0.503</v>
      </c>
      <c r="Y48" s="2">
        <f t="shared" si="6"/>
        <v>3.2746636501480547E-2</v>
      </c>
      <c r="Z48" s="2">
        <v>0.1</v>
      </c>
      <c r="AA48" s="2">
        <f t="shared" si="18"/>
        <v>7.2240539381161588E-3</v>
      </c>
      <c r="AB48" s="2">
        <f t="shared" si="19"/>
        <v>3.9970690439596702E-2</v>
      </c>
      <c r="AE48" s="39">
        <v>50.3</v>
      </c>
      <c r="AF48" s="39">
        <v>27.692910539229022</v>
      </c>
      <c r="AG48" s="2">
        <f t="shared" si="20"/>
        <v>50.3</v>
      </c>
      <c r="AU48">
        <v>1969</v>
      </c>
      <c r="AV48" s="1">
        <f t="shared" si="7"/>
        <v>7.9464593319277743E-2</v>
      </c>
      <c r="AW48" s="1">
        <f t="shared" si="21"/>
        <v>3.2746636501480547E-2</v>
      </c>
      <c r="AX48" s="1">
        <f t="shared" si="22"/>
        <v>7.2240539381161588E-3</v>
      </c>
      <c r="AY48" s="1">
        <f t="shared" si="23"/>
        <v>3.9970690439596702E-2</v>
      </c>
      <c r="AZ48" s="22">
        <f t="shared" si="8"/>
        <v>3.9493902879681041E-2</v>
      </c>
      <c r="BB48" s="7">
        <v>6.7902438904484708</v>
      </c>
      <c r="BD48" s="22">
        <f t="shared" si="9"/>
        <v>1.1702759812656656</v>
      </c>
      <c r="BE48" s="1">
        <f t="shared" si="24"/>
        <v>1.1762202211136654</v>
      </c>
      <c r="BF48" s="1">
        <f t="shared" si="25"/>
        <v>0.58864881857662965</v>
      </c>
      <c r="BG48" s="1">
        <f t="shared" si="10"/>
        <v>0.58162716268903591</v>
      </c>
      <c r="BH48" s="1">
        <f t="shared" si="11"/>
        <v>0.58757140253703577</v>
      </c>
      <c r="BI48" s="3">
        <f t="shared" si="12"/>
        <v>43.392226369727609</v>
      </c>
      <c r="BJ48">
        <v>0</v>
      </c>
      <c r="BK48">
        <v>0</v>
      </c>
      <c r="BL48" s="23">
        <v>1</v>
      </c>
      <c r="BM48">
        <v>0</v>
      </c>
      <c r="BN48" s="23">
        <v>1</v>
      </c>
      <c r="BP48" s="22">
        <f t="shared" si="13"/>
        <v>1.3130131819119564</v>
      </c>
      <c r="BQ48" s="22">
        <f t="shared" si="14"/>
        <v>1.3196824337822963</v>
      </c>
    </row>
    <row r="49" spans="1:69">
      <c r="A49">
        <v>1970</v>
      </c>
      <c r="B49" s="3">
        <f t="shared" si="0"/>
        <v>49.985256897422929</v>
      </c>
      <c r="C49" s="3">
        <f t="shared" si="1"/>
        <v>17.805240938511318</v>
      </c>
      <c r="D49" s="2">
        <v>34.927199999999999</v>
      </c>
      <c r="E49" s="2">
        <v>25.481560000000002</v>
      </c>
      <c r="F49" s="2">
        <f t="shared" si="15"/>
        <v>8.8999954243200001</v>
      </c>
      <c r="G49" s="2">
        <v>0.89285999999999988</v>
      </c>
      <c r="H49" s="2">
        <f t="shared" si="16"/>
        <v>7.9464499145583539E-2</v>
      </c>
      <c r="I49" s="32">
        <f t="shared" si="2"/>
        <v>7.9464499145583539E-2</v>
      </c>
      <c r="J49" s="32">
        <f t="shared" si="3"/>
        <v>0.10198116416381407</v>
      </c>
      <c r="P49" s="32">
        <f t="shared" si="4"/>
        <v>4.2116184547159277E-2</v>
      </c>
      <c r="Q49" s="32">
        <f t="shared" si="5"/>
        <v>6.4632849565389811E-2</v>
      </c>
      <c r="S49" s="2">
        <f>USA!Z57*G49</f>
        <v>2.9910809999999999</v>
      </c>
      <c r="T49" s="2">
        <v>0</v>
      </c>
      <c r="U49" s="2">
        <v>0</v>
      </c>
      <c r="V49" s="2">
        <v>0</v>
      </c>
      <c r="X49" s="2">
        <f t="shared" si="17"/>
        <v>0.47</v>
      </c>
      <c r="Y49" s="2">
        <f t="shared" si="6"/>
        <v>3.0124269221553032E-2</v>
      </c>
      <c r="Z49" s="2">
        <v>0.1</v>
      </c>
      <c r="AA49" s="2">
        <f t="shared" si="18"/>
        <v>7.2240453768712314E-3</v>
      </c>
      <c r="AB49" s="2">
        <f t="shared" si="19"/>
        <v>3.7348314598424262E-2</v>
      </c>
      <c r="AE49" s="39">
        <v>47</v>
      </c>
      <c r="AF49" s="39">
        <v>25.437166160037361</v>
      </c>
      <c r="AG49" s="2">
        <f t="shared" si="20"/>
        <v>47</v>
      </c>
      <c r="AL49" s="2">
        <v>0.04</v>
      </c>
      <c r="AM49">
        <v>0</v>
      </c>
      <c r="AN49">
        <v>0</v>
      </c>
      <c r="AO49" s="2">
        <v>0</v>
      </c>
      <c r="AQ49" s="2">
        <f>SUM(AL49:AP49)</f>
        <v>0.04</v>
      </c>
      <c r="AU49">
        <v>1970</v>
      </c>
      <c r="AV49" s="1">
        <f t="shared" si="7"/>
        <v>7.9464499145583539E-2</v>
      </c>
      <c r="AW49" s="1">
        <f t="shared" si="21"/>
        <v>3.0124269221553032E-2</v>
      </c>
      <c r="AX49" s="1">
        <f t="shared" si="22"/>
        <v>7.2240453768712314E-3</v>
      </c>
      <c r="AY49" s="1">
        <f t="shared" si="23"/>
        <v>3.7348314598424262E-2</v>
      </c>
      <c r="AZ49" s="22">
        <f t="shared" si="8"/>
        <v>4.2116184547159277E-2</v>
      </c>
      <c r="BB49" s="7">
        <v>7.2327765788377567</v>
      </c>
      <c r="BD49" s="22">
        <f t="shared" si="9"/>
        <v>1.0986721113173494</v>
      </c>
      <c r="BE49" s="1">
        <f t="shared" si="24"/>
        <v>1.0899316445743792</v>
      </c>
      <c r="BF49" s="1">
        <f t="shared" si="25"/>
        <v>0.51637589231915426</v>
      </c>
      <c r="BG49" s="1">
        <f t="shared" si="10"/>
        <v>0.58229621899819517</v>
      </c>
      <c r="BH49" s="1">
        <f t="shared" si="11"/>
        <v>0.57355575225522504</v>
      </c>
      <c r="BI49" s="3">
        <f t="shared" si="12"/>
        <v>41.354533316452034</v>
      </c>
      <c r="BJ49">
        <v>0</v>
      </c>
      <c r="BK49">
        <v>0</v>
      </c>
      <c r="BL49" s="23">
        <v>1</v>
      </c>
      <c r="BM49">
        <v>0</v>
      </c>
      <c r="BN49" s="23">
        <v>1</v>
      </c>
      <c r="BP49" s="22">
        <f t="shared" si="13"/>
        <v>1.2326758712065204</v>
      </c>
      <c r="BQ49" s="22">
        <f t="shared" si="14"/>
        <v>1.2228693398982635</v>
      </c>
    </row>
    <row r="50" spans="1:69">
      <c r="A50">
        <v>1971</v>
      </c>
      <c r="B50" s="3">
        <f t="shared" si="0"/>
        <v>51.176956301282509</v>
      </c>
      <c r="C50" s="3">
        <f t="shared" si="1"/>
        <v>18.563021376325832</v>
      </c>
      <c r="D50" s="2">
        <v>35.759900000000002</v>
      </c>
      <c r="E50" s="2">
        <v>26.566040000000001</v>
      </c>
      <c r="F50" s="2">
        <f t="shared" si="15"/>
        <v>9.4999893379600007</v>
      </c>
      <c r="G50" s="2">
        <v>0.88061999999999996</v>
      </c>
      <c r="H50" s="2">
        <f t="shared" si="16"/>
        <v>8.3658806107943351E-2</v>
      </c>
      <c r="I50" s="32">
        <f t="shared" si="2"/>
        <v>8.3658806107943351E-2</v>
      </c>
      <c r="J50" s="32">
        <f t="shared" si="3"/>
        <v>0.10509752280808657</v>
      </c>
      <c r="P50" s="32">
        <f t="shared" si="4"/>
        <v>4.4422826043317924E-2</v>
      </c>
      <c r="Q50" s="32">
        <f t="shared" si="5"/>
        <v>6.5861542743461149E-2</v>
      </c>
      <c r="S50" s="2">
        <f>USA!Z58*G50</f>
        <v>3.1350072</v>
      </c>
      <c r="T50" s="2">
        <v>0</v>
      </c>
      <c r="U50" s="2">
        <v>0</v>
      </c>
      <c r="V50" s="2">
        <v>0</v>
      </c>
      <c r="X50" s="2">
        <f t="shared" si="17"/>
        <v>0.46899999999999997</v>
      </c>
      <c r="Y50" s="2">
        <f t="shared" si="6"/>
        <v>3.1630634054812395E-2</v>
      </c>
      <c r="Z50" s="2">
        <v>0.1</v>
      </c>
      <c r="AA50" s="2">
        <f t="shared" si="18"/>
        <v>7.6053460098130313E-3</v>
      </c>
      <c r="AB50" s="2">
        <f t="shared" si="19"/>
        <v>3.9235980064625427E-2</v>
      </c>
      <c r="AE50" s="39">
        <v>46.9</v>
      </c>
      <c r="AF50" s="39">
        <v>30.520791074725821</v>
      </c>
      <c r="AG50" s="2">
        <f t="shared" si="20"/>
        <v>46.9</v>
      </c>
      <c r="AL50" s="2">
        <v>0.04</v>
      </c>
      <c r="AM50">
        <v>0</v>
      </c>
      <c r="AN50">
        <v>6.6E-3</v>
      </c>
      <c r="AO50" s="2">
        <v>0</v>
      </c>
      <c r="AQ50" s="2">
        <f t="shared" ref="AQ50:AQ88" si="26">SUM(AL50:AP50)</f>
        <v>4.6600000000000003E-2</v>
      </c>
      <c r="AU50">
        <v>1971</v>
      </c>
      <c r="AV50" s="1">
        <f t="shared" si="7"/>
        <v>8.3658806107943351E-2</v>
      </c>
      <c r="AW50" s="1">
        <f t="shared" si="21"/>
        <v>3.1630634054812395E-2</v>
      </c>
      <c r="AX50" s="1">
        <f t="shared" si="22"/>
        <v>7.6053460098130313E-3</v>
      </c>
      <c r="AY50" s="1">
        <f t="shared" si="23"/>
        <v>3.9235980064625427E-2</v>
      </c>
      <c r="AZ50" s="22">
        <f t="shared" si="8"/>
        <v>4.4422826043317924E-2</v>
      </c>
      <c r="BB50" s="7">
        <v>7.9840863089081333</v>
      </c>
      <c r="BD50" s="22">
        <f t="shared" si="9"/>
        <v>1.047819410651939</v>
      </c>
      <c r="BE50" s="1">
        <f t="shared" si="24"/>
        <v>1.0506156375469087</v>
      </c>
      <c r="BF50" s="1">
        <f t="shared" si="25"/>
        <v>0.49142730359575931</v>
      </c>
      <c r="BG50" s="1">
        <f t="shared" si="10"/>
        <v>0.5563921070561797</v>
      </c>
      <c r="BH50" s="1">
        <f t="shared" si="11"/>
        <v>0.55918833395114942</v>
      </c>
      <c r="BI50" s="3">
        <f t="shared" si="12"/>
        <v>39.265697773108485</v>
      </c>
      <c r="BJ50">
        <v>0</v>
      </c>
      <c r="BK50">
        <v>0</v>
      </c>
      <c r="BL50" s="23">
        <v>1</v>
      </c>
      <c r="BM50">
        <v>0</v>
      </c>
      <c r="BN50" s="23">
        <v>1</v>
      </c>
      <c r="BP50" s="22">
        <f t="shared" si="13"/>
        <v>1.1756207257721127</v>
      </c>
      <c r="BQ50" s="22">
        <f t="shared" si="14"/>
        <v>1.178758005210029</v>
      </c>
    </row>
    <row r="51" spans="1:69">
      <c r="A51">
        <v>1972</v>
      </c>
      <c r="B51" s="3">
        <f t="shared" si="0"/>
        <v>67.582250652577159</v>
      </c>
      <c r="C51" s="3">
        <f t="shared" si="1"/>
        <v>19.17664269444656</v>
      </c>
      <c r="D51" s="2">
        <v>47.223100000000002</v>
      </c>
      <c r="E51" s="2">
        <v>27.444210000000002</v>
      </c>
      <c r="F51" s="2">
        <f t="shared" si="15"/>
        <v>12.960006732510001</v>
      </c>
      <c r="G51" s="2">
        <v>0.8368199999999999</v>
      </c>
      <c r="H51" s="2">
        <f t="shared" si="16"/>
        <v>0.10845192833899019</v>
      </c>
      <c r="I51" s="32">
        <f t="shared" si="2"/>
        <v>0.10845192833899019</v>
      </c>
      <c r="J51" s="32">
        <f t="shared" si="3"/>
        <v>0.11008020050070774</v>
      </c>
      <c r="P51" s="32">
        <f t="shared" si="4"/>
        <v>6.2902118436614307E-2</v>
      </c>
      <c r="Q51" s="32">
        <f t="shared" si="5"/>
        <v>6.4530390598331863E-2</v>
      </c>
      <c r="S51" s="2">
        <f>USA!Z59*G51</f>
        <v>2.9790791999999997</v>
      </c>
      <c r="T51" s="2">
        <v>0</v>
      </c>
      <c r="U51" s="2">
        <v>0</v>
      </c>
      <c r="V51" s="2">
        <v>0</v>
      </c>
      <c r="X51" s="2">
        <f t="shared" si="17"/>
        <v>0.42</v>
      </c>
      <c r="Y51" s="2">
        <f t="shared" si="6"/>
        <v>3.5690543689740409E-2</v>
      </c>
      <c r="Z51" s="2">
        <v>0.1</v>
      </c>
      <c r="AA51" s="2">
        <f t="shared" si="18"/>
        <v>9.8592662126354719E-3</v>
      </c>
      <c r="AB51" s="2">
        <f t="shared" si="19"/>
        <v>4.5549809902375879E-2</v>
      </c>
      <c r="AE51" s="39">
        <v>42</v>
      </c>
      <c r="AF51" s="39">
        <v>45.41916909459799</v>
      </c>
      <c r="AG51" s="2">
        <f t="shared" si="20"/>
        <v>42</v>
      </c>
      <c r="AL51" s="2">
        <v>0.04</v>
      </c>
      <c r="AM51">
        <v>0</v>
      </c>
      <c r="AN51">
        <v>6.6E-3</v>
      </c>
      <c r="AO51" s="2">
        <v>0</v>
      </c>
      <c r="AQ51" s="2">
        <f t="shared" si="26"/>
        <v>4.6600000000000003E-2</v>
      </c>
      <c r="AU51">
        <v>1972</v>
      </c>
      <c r="AV51" s="1">
        <f t="shared" si="7"/>
        <v>0.10845192833899019</v>
      </c>
      <c r="AW51" s="1">
        <f t="shared" si="21"/>
        <v>3.5690543689740409E-2</v>
      </c>
      <c r="AX51" s="1">
        <f t="shared" si="22"/>
        <v>9.8592662126354719E-3</v>
      </c>
      <c r="AY51" s="1">
        <f t="shared" si="23"/>
        <v>4.5549809902375879E-2</v>
      </c>
      <c r="AZ51" s="22">
        <f t="shared" si="8"/>
        <v>6.2902118436614307E-2</v>
      </c>
      <c r="BB51" s="7">
        <v>8.5376079227816106</v>
      </c>
      <c r="BD51" s="22">
        <f t="shared" si="9"/>
        <v>1.2702847134687325</v>
      </c>
      <c r="BE51" s="1">
        <f t="shared" si="24"/>
        <v>1.2542735267800356</v>
      </c>
      <c r="BF51" s="1">
        <f t="shared" si="25"/>
        <v>0.53351957965686769</v>
      </c>
      <c r="BG51" s="1">
        <f t="shared" si="10"/>
        <v>0.73676513381186481</v>
      </c>
      <c r="BH51" s="1">
        <f t="shared" si="11"/>
        <v>0.72075394712316787</v>
      </c>
      <c r="BI51" s="3">
        <f t="shared" si="12"/>
        <v>34.89360517541072</v>
      </c>
      <c r="BJ51">
        <v>0</v>
      </c>
      <c r="BK51">
        <v>0</v>
      </c>
      <c r="BL51" s="23">
        <v>1</v>
      </c>
      <c r="BM51">
        <v>0</v>
      </c>
      <c r="BN51">
        <v>0</v>
      </c>
      <c r="BP51" s="22">
        <f t="shared" si="13"/>
        <v>1.4252198628923807</v>
      </c>
      <c r="BQ51" s="22">
        <f t="shared" si="14"/>
        <v>1.4072558103809587</v>
      </c>
    </row>
    <row r="52" spans="1:69">
      <c r="A52">
        <v>1973</v>
      </c>
      <c r="B52" s="3">
        <f t="shared" si="0"/>
        <v>82.476418066757233</v>
      </c>
      <c r="C52" s="3">
        <f t="shared" si="1"/>
        <v>20.369443941469338</v>
      </c>
      <c r="D52" s="2">
        <v>57.630400000000002</v>
      </c>
      <c r="E52" s="2">
        <v>29.151260000000001</v>
      </c>
      <c r="F52" s="2">
        <f t="shared" si="15"/>
        <v>16.799987743040003</v>
      </c>
      <c r="G52" s="2">
        <v>0.73680999999999985</v>
      </c>
      <c r="H52" s="2">
        <f t="shared" si="16"/>
        <v>0.12378398968949302</v>
      </c>
      <c r="I52" s="32">
        <f t="shared" si="2"/>
        <v>0.12378398968949302</v>
      </c>
      <c r="J52" s="32">
        <f t="shared" si="3"/>
        <v>0.1154301401600611</v>
      </c>
      <c r="P52" s="32">
        <f t="shared" si="4"/>
        <v>7.1794714019905947E-2</v>
      </c>
      <c r="Q52" s="32">
        <f t="shared" si="5"/>
        <v>6.3440864490474036E-2</v>
      </c>
      <c r="S52" s="2">
        <f>USA!Z60*G52</f>
        <v>2.8514546999999997</v>
      </c>
      <c r="T52" s="2">
        <v>0</v>
      </c>
      <c r="U52" s="2">
        <v>0</v>
      </c>
      <c r="V52" s="2">
        <v>0</v>
      </c>
      <c r="X52" s="2">
        <f t="shared" si="17"/>
        <v>0.42</v>
      </c>
      <c r="Y52" s="2">
        <f t="shared" si="6"/>
        <v>4.0736185697814974E-2</v>
      </c>
      <c r="Z52" s="2">
        <v>0.1</v>
      </c>
      <c r="AA52" s="2">
        <f t="shared" si="18"/>
        <v>1.1253089971772092E-2</v>
      </c>
      <c r="AB52" s="2">
        <f t="shared" si="19"/>
        <v>5.1989275669587068E-2</v>
      </c>
      <c r="AE52" s="39">
        <v>42</v>
      </c>
      <c r="AF52" s="39">
        <v>34.113094787311802</v>
      </c>
      <c r="AG52" s="2">
        <f t="shared" si="20"/>
        <v>42</v>
      </c>
      <c r="AL52" s="2">
        <v>0.04</v>
      </c>
      <c r="AM52">
        <v>0</v>
      </c>
      <c r="AN52">
        <v>6.6E-3</v>
      </c>
      <c r="AO52" s="2">
        <v>0</v>
      </c>
      <c r="AQ52" s="2">
        <f t="shared" si="26"/>
        <v>4.6600000000000003E-2</v>
      </c>
      <c r="AU52">
        <v>1973</v>
      </c>
      <c r="AV52" s="1">
        <f t="shared" si="7"/>
        <v>0.12378398968949302</v>
      </c>
      <c r="AW52" s="1">
        <f t="shared" si="21"/>
        <v>4.0736185697814974E-2</v>
      </c>
      <c r="AX52" s="1">
        <f t="shared" si="22"/>
        <v>1.1253089971772092E-2</v>
      </c>
      <c r="AY52" s="1">
        <f t="shared" si="23"/>
        <v>5.1989275669587068E-2</v>
      </c>
      <c r="AZ52" s="22">
        <f t="shared" si="8"/>
        <v>7.1794714019905947E-2</v>
      </c>
      <c r="BB52" s="7">
        <v>9.2348458462247223</v>
      </c>
      <c r="BD52" s="22">
        <f t="shared" si="9"/>
        <v>1.3404012557513008</v>
      </c>
      <c r="BE52" s="1">
        <f t="shared" si="24"/>
        <v>1.2560963258986249</v>
      </c>
      <c r="BF52" s="1">
        <f t="shared" si="25"/>
        <v>0.56296852741554637</v>
      </c>
      <c r="BG52" s="1">
        <f>BD52-BF52</f>
        <v>0.77743272833575439</v>
      </c>
      <c r="BH52" s="1">
        <f t="shared" si="11"/>
        <v>0.69312779848307848</v>
      </c>
      <c r="BI52" s="3">
        <f t="shared" si="12"/>
        <v>30.877122883060327</v>
      </c>
      <c r="BJ52">
        <v>0</v>
      </c>
      <c r="BK52">
        <v>0</v>
      </c>
      <c r="BL52" s="23">
        <v>1</v>
      </c>
      <c r="BM52">
        <v>0</v>
      </c>
      <c r="BN52">
        <v>0</v>
      </c>
      <c r="BP52" s="22">
        <f t="shared" si="13"/>
        <v>1.5038884383061315</v>
      </c>
      <c r="BQ52" s="22">
        <f t="shared" si="14"/>
        <v>1.4093009341885041</v>
      </c>
    </row>
    <row r="53" spans="1:69">
      <c r="A53">
        <v>1974</v>
      </c>
      <c r="B53" s="3">
        <f t="shared" si="0"/>
        <v>86.305684423076485</v>
      </c>
      <c r="C53" s="3">
        <f t="shared" si="1"/>
        <v>22.617266903639468</v>
      </c>
      <c r="D53" s="2">
        <v>60.306100000000001</v>
      </c>
      <c r="E53" s="2">
        <v>32.368180000000002</v>
      </c>
      <c r="F53" s="2">
        <f t="shared" si="15"/>
        <v>19.519986998980002</v>
      </c>
      <c r="G53" s="2">
        <v>0.71540000000000004</v>
      </c>
      <c r="H53" s="2">
        <f t="shared" si="16"/>
        <v>0.13964598699070294</v>
      </c>
      <c r="I53" s="32">
        <f t="shared" si="2"/>
        <v>0.13964598699070294</v>
      </c>
      <c r="J53" s="32">
        <f t="shared" si="3"/>
        <v>0.17609911755194485</v>
      </c>
      <c r="P53" s="32">
        <f t="shared" si="4"/>
        <v>7.7643168766830833E-2</v>
      </c>
      <c r="Q53" s="32">
        <f t="shared" si="5"/>
        <v>0.11409629932807273</v>
      </c>
      <c r="S53" s="2">
        <f>USA!Z61*G53</f>
        <v>8.7851119999999998</v>
      </c>
      <c r="T53" s="2">
        <v>0</v>
      </c>
      <c r="U53" s="2">
        <v>0</v>
      </c>
      <c r="V53" s="2">
        <v>0</v>
      </c>
      <c r="X53" s="2">
        <f t="shared" si="17"/>
        <v>0.44400000000000001</v>
      </c>
      <c r="Y53" s="2">
        <f t="shared" si="6"/>
        <v>4.9307728497444567E-2</v>
      </c>
      <c r="Z53" s="2">
        <v>0.1</v>
      </c>
      <c r="AA53" s="2">
        <f t="shared" si="18"/>
        <v>1.2695089726427539E-2</v>
      </c>
      <c r="AB53" s="2">
        <f t="shared" si="19"/>
        <v>6.2002818223872103E-2</v>
      </c>
      <c r="AE53" s="34">
        <f>(AE52+AE54)/2</f>
        <v>44.4</v>
      </c>
      <c r="AF53" s="39">
        <v>38.089794831156979</v>
      </c>
      <c r="AG53" s="2">
        <f t="shared" si="20"/>
        <v>44.4</v>
      </c>
      <c r="AL53" s="2">
        <v>0.04</v>
      </c>
      <c r="AM53">
        <v>0</v>
      </c>
      <c r="AN53">
        <v>6.6E-3</v>
      </c>
      <c r="AO53" s="2">
        <v>0</v>
      </c>
      <c r="AQ53" s="2">
        <f t="shared" si="26"/>
        <v>4.6600000000000003E-2</v>
      </c>
      <c r="AU53">
        <v>1974</v>
      </c>
      <c r="AV53" s="1">
        <f t="shared" si="7"/>
        <v>0.13964598699070294</v>
      </c>
      <c r="AW53" s="1">
        <f t="shared" si="21"/>
        <v>4.9307728497444567E-2</v>
      </c>
      <c r="AX53" s="1">
        <f t="shared" si="22"/>
        <v>1.2695089726427539E-2</v>
      </c>
      <c r="AY53" s="1">
        <f t="shared" si="23"/>
        <v>6.2002818223872103E-2</v>
      </c>
      <c r="AZ53" s="22">
        <f t="shared" si="8"/>
        <v>7.7643168766830833E-2</v>
      </c>
      <c r="BB53" s="7">
        <v>10.260781810665211</v>
      </c>
      <c r="BD53" s="22">
        <f t="shared" si="9"/>
        <v>1.3609682923532473</v>
      </c>
      <c r="BE53" s="1">
        <f t="shared" si="24"/>
        <v>1.365878459281856</v>
      </c>
      <c r="BF53" s="1">
        <f t="shared" si="25"/>
        <v>0.60426992180484185</v>
      </c>
      <c r="BG53" s="1">
        <f t="shared" ref="BG53:BG89" si="27">BD53-BF53</f>
        <v>0.7566983705484055</v>
      </c>
      <c r="BH53" s="1">
        <f t="shared" si="11"/>
        <v>0.76160853747701429</v>
      </c>
      <c r="BI53" s="3">
        <f t="shared" si="12"/>
        <v>85.618349187277545</v>
      </c>
      <c r="BJ53" s="23">
        <v>0.5</v>
      </c>
      <c r="BK53">
        <v>0</v>
      </c>
      <c r="BL53" s="23">
        <v>1</v>
      </c>
      <c r="BM53">
        <v>0</v>
      </c>
      <c r="BN53">
        <v>0</v>
      </c>
      <c r="BP53" s="22">
        <f t="shared" si="13"/>
        <v>1.5269640124472119</v>
      </c>
      <c r="BQ53" s="22">
        <f t="shared" si="14"/>
        <v>1.5324730667265953</v>
      </c>
    </row>
    <row r="54" spans="1:69">
      <c r="A54">
        <v>1975</v>
      </c>
      <c r="B54" s="3">
        <f t="shared" si="0"/>
        <v>80.582894010978876</v>
      </c>
      <c r="C54" s="3">
        <f t="shared" si="1"/>
        <v>24.682660206706046</v>
      </c>
      <c r="D54" s="2">
        <v>56.307299999999998</v>
      </c>
      <c r="E54" s="2">
        <v>35.324019999999997</v>
      </c>
      <c r="F54" s="2">
        <f t="shared" si="15"/>
        <v>19.890001913459997</v>
      </c>
      <c r="G54" s="2">
        <v>0.83230999999999988</v>
      </c>
      <c r="H54" s="2">
        <f t="shared" si="16"/>
        <v>0.16554647492591887</v>
      </c>
      <c r="I54" s="32">
        <f t="shared" si="2"/>
        <v>0.16554647492591887</v>
      </c>
      <c r="J54" s="32">
        <f t="shared" si="3"/>
        <v>0.23777322317846894</v>
      </c>
      <c r="P54" s="32">
        <f t="shared" si="4"/>
        <v>5.6896795387198981E-2</v>
      </c>
      <c r="Q54" s="32">
        <f t="shared" si="5"/>
        <v>0.12912354363974904</v>
      </c>
      <c r="S54" s="2">
        <f>USA!Z62*G54</f>
        <v>10.545367699999998</v>
      </c>
      <c r="T54" s="2">
        <v>0</v>
      </c>
      <c r="U54" s="2">
        <v>0</v>
      </c>
      <c r="V54" s="2">
        <v>0</v>
      </c>
      <c r="X54" s="2">
        <f t="shared" si="17"/>
        <v>0.46799999999999997</v>
      </c>
      <c r="Y54" s="2">
        <f>AR54</f>
        <v>9.3599999999999989E-2</v>
      </c>
      <c r="Z54" s="2">
        <v>0.1</v>
      </c>
      <c r="AA54" s="2">
        <f t="shared" si="18"/>
        <v>1.5049679538719897E-2</v>
      </c>
      <c r="AB54" s="2">
        <f t="shared" ref="AB54:AB78" si="28">Y54+AA54</f>
        <v>0.10864967953871989</v>
      </c>
      <c r="AE54" s="39">
        <v>46.8</v>
      </c>
      <c r="AF54" s="39">
        <v>36.852374099067674</v>
      </c>
      <c r="AG54" s="2">
        <f t="shared" si="20"/>
        <v>46.8</v>
      </c>
      <c r="AK54" s="2">
        <v>4.7E-2</v>
      </c>
      <c r="AL54" s="2">
        <v>0.04</v>
      </c>
      <c r="AM54">
        <v>0</v>
      </c>
      <c r="AN54">
        <v>6.6E-3</v>
      </c>
      <c r="AO54" s="2">
        <v>0</v>
      </c>
      <c r="AQ54" s="2">
        <f t="shared" si="26"/>
        <v>4.6600000000000003E-2</v>
      </c>
      <c r="AR54" s="2">
        <f t="shared" ref="AR54:AR85" si="29">SUM(AK54:AP54)</f>
        <v>9.3599999999999989E-2</v>
      </c>
      <c r="AU54">
        <v>1975</v>
      </c>
      <c r="AV54" s="1">
        <f t="shared" si="7"/>
        <v>0.16554647492591887</v>
      </c>
      <c r="AW54" s="1">
        <f t="shared" si="21"/>
        <v>9.3599999999999989E-2</v>
      </c>
      <c r="AX54" s="1">
        <f t="shared" si="22"/>
        <v>1.5049679538719897E-2</v>
      </c>
      <c r="AY54" s="1">
        <f t="shared" si="23"/>
        <v>0.10864967953871989</v>
      </c>
      <c r="AZ54" s="22">
        <f t="shared" si="8"/>
        <v>5.6896795387198981E-2</v>
      </c>
      <c r="BB54" s="7">
        <v>11.767572489170494</v>
      </c>
      <c r="BD54" s="22">
        <f t="shared" si="9"/>
        <v>1.4068022532112601</v>
      </c>
      <c r="BE54" s="1">
        <f t="shared" si="24"/>
        <v>1.4043471697469552</v>
      </c>
      <c r="BF54" s="1">
        <f t="shared" si="25"/>
        <v>0.9232973039996859</v>
      </c>
      <c r="BG54" s="1">
        <f t="shared" si="27"/>
        <v>0.48350494921157416</v>
      </c>
      <c r="BH54" s="1">
        <f t="shared" si="11"/>
        <v>0.48104986574726938</v>
      </c>
      <c r="BI54" s="3">
        <f t="shared" si="12"/>
        <v>89.613790012381301</v>
      </c>
      <c r="BJ54" s="23">
        <v>1</v>
      </c>
      <c r="BK54">
        <v>0</v>
      </c>
      <c r="BL54" s="23">
        <v>1</v>
      </c>
      <c r="BM54">
        <v>0</v>
      </c>
      <c r="BN54">
        <v>0</v>
      </c>
      <c r="BP54" s="22">
        <f t="shared" si="13"/>
        <v>1.578388288215669</v>
      </c>
      <c r="BQ54" s="22">
        <f t="shared" si="14"/>
        <v>1.5756337610759765</v>
      </c>
    </row>
    <row r="55" spans="1:69">
      <c r="A55">
        <v>1976</v>
      </c>
      <c r="B55" s="3">
        <f t="shared" si="0"/>
        <v>97.782606927281918</v>
      </c>
      <c r="C55" s="3">
        <f t="shared" si="1"/>
        <v>26.098712089869402</v>
      </c>
      <c r="D55" s="2">
        <v>68.325599999999994</v>
      </c>
      <c r="E55" s="2">
        <v>37.350569999999998</v>
      </c>
      <c r="F55" s="2">
        <f t="shared" si="15"/>
        <v>25.520001055919998</v>
      </c>
      <c r="G55" s="2">
        <v>1.0048900000000001</v>
      </c>
      <c r="H55" s="2">
        <f t="shared" si="16"/>
        <v>0.25644793861083448</v>
      </c>
      <c r="I55" s="32">
        <f t="shared" si="2"/>
        <v>0.25644793861083448</v>
      </c>
      <c r="J55" s="32">
        <f t="shared" si="3"/>
        <v>0.27027998980072121</v>
      </c>
      <c r="P55" s="32">
        <f t="shared" si="4"/>
        <v>0.13953448964621318</v>
      </c>
      <c r="Q55" s="32">
        <f t="shared" si="5"/>
        <v>0.15336654083609991</v>
      </c>
      <c r="S55" s="2">
        <f>USA!Z63*G55</f>
        <v>13.385134800000001</v>
      </c>
      <c r="T55" s="2">
        <v>0</v>
      </c>
      <c r="U55" s="2">
        <v>0</v>
      </c>
      <c r="V55" s="2">
        <v>0</v>
      </c>
      <c r="X55" s="2">
        <f t="shared" si="17"/>
        <v>0.34299999999999997</v>
      </c>
      <c r="Y55" s="2">
        <f t="shared" ref="Y55:Y77" si="30">AR55</f>
        <v>9.3599999999999989E-2</v>
      </c>
      <c r="Z55" s="2">
        <v>0.1</v>
      </c>
      <c r="AA55" s="2">
        <f t="shared" si="18"/>
        <v>2.3313448964621317E-2</v>
      </c>
      <c r="AB55" s="2">
        <f t="shared" si="28"/>
        <v>0.1169134489646213</v>
      </c>
      <c r="AE55" s="39">
        <v>34.299999999999997</v>
      </c>
      <c r="AF55" s="39">
        <v>47.406898727825514</v>
      </c>
      <c r="AG55" s="2">
        <f t="shared" si="20"/>
        <v>34.299999999999997</v>
      </c>
      <c r="AK55" s="2">
        <v>4.7E-2</v>
      </c>
      <c r="AL55" s="2">
        <v>0.04</v>
      </c>
      <c r="AM55">
        <v>0</v>
      </c>
      <c r="AN55">
        <v>6.6E-3</v>
      </c>
      <c r="AO55" s="2">
        <v>0</v>
      </c>
      <c r="AQ55" s="2">
        <f t="shared" si="26"/>
        <v>4.6600000000000003E-2</v>
      </c>
      <c r="AR55" s="2">
        <f t="shared" si="29"/>
        <v>9.3599999999999989E-2</v>
      </c>
      <c r="AU55">
        <v>1976</v>
      </c>
      <c r="AV55" s="1">
        <f t="shared" si="7"/>
        <v>0.25644793861083448</v>
      </c>
      <c r="AW55" s="1">
        <f t="shared" si="21"/>
        <v>9.3599999999999989E-2</v>
      </c>
      <c r="AX55" s="1">
        <f t="shared" si="22"/>
        <v>2.3313448964621317E-2</v>
      </c>
      <c r="AY55" s="1">
        <f t="shared" si="23"/>
        <v>0.1169134489646213</v>
      </c>
      <c r="AZ55" s="22">
        <f t="shared" si="8"/>
        <v>0.13953448964621318</v>
      </c>
      <c r="BB55" s="7">
        <v>13.757103025584811</v>
      </c>
      <c r="BD55" s="22">
        <f t="shared" si="9"/>
        <v>1.8641129468457474</v>
      </c>
      <c r="BE55" s="1">
        <f t="shared" si="24"/>
        <v>1.999811597591973</v>
      </c>
      <c r="BF55" s="1">
        <f t="shared" si="25"/>
        <v>0.84984061504221631</v>
      </c>
      <c r="BG55" s="1">
        <f t="shared" si="27"/>
        <v>1.0142723318035309</v>
      </c>
      <c r="BH55" s="1">
        <f t="shared" si="11"/>
        <v>1.1499709825497566</v>
      </c>
      <c r="BI55" s="3">
        <f t="shared" si="12"/>
        <v>97.296173293948286</v>
      </c>
      <c r="BJ55">
        <v>0</v>
      </c>
      <c r="BK55">
        <v>0</v>
      </c>
      <c r="BL55" s="23">
        <v>1</v>
      </c>
      <c r="BM55">
        <v>0</v>
      </c>
      <c r="BN55">
        <v>0</v>
      </c>
      <c r="BP55" s="22">
        <f t="shared" si="13"/>
        <v>2.0914766353950953</v>
      </c>
      <c r="BQ55" s="22">
        <f t="shared" si="14"/>
        <v>2.2437262927834016</v>
      </c>
    </row>
    <row r="56" spans="1:69">
      <c r="A56">
        <v>1977</v>
      </c>
      <c r="B56" s="3">
        <f t="shared" si="0"/>
        <v>108.84579063281336</v>
      </c>
      <c r="C56" s="3">
        <f t="shared" si="1"/>
        <v>27.791594761847083</v>
      </c>
      <c r="D56" s="2">
        <v>76.055999999999997</v>
      </c>
      <c r="E56" s="2">
        <v>39.773299999999999</v>
      </c>
      <c r="F56" s="2">
        <f t="shared" si="15"/>
        <v>30.249981047999999</v>
      </c>
      <c r="G56" s="2">
        <v>1.0303100000000001</v>
      </c>
      <c r="H56" s="2">
        <f t="shared" si="16"/>
        <v>0.31166857973564882</v>
      </c>
      <c r="I56" s="32">
        <f t="shared" si="2"/>
        <v>0.31166857973564882</v>
      </c>
      <c r="J56" s="32">
        <f t="shared" si="3"/>
        <v>0.29333816826335746</v>
      </c>
      <c r="P56" s="32">
        <f t="shared" si="4"/>
        <v>0.18373507248695348</v>
      </c>
      <c r="Q56" s="32">
        <f t="shared" si="5"/>
        <v>0.16540466101466211</v>
      </c>
      <c r="S56" s="2">
        <f>USA!Z64*G56</f>
        <v>14.7952516</v>
      </c>
      <c r="T56" s="2">
        <v>0</v>
      </c>
      <c r="U56" s="2">
        <v>0</v>
      </c>
      <c r="V56" s="2">
        <v>0</v>
      </c>
      <c r="X56" s="2">
        <f t="shared" si="17"/>
        <v>0.33899999999999997</v>
      </c>
      <c r="Y56" s="2">
        <f t="shared" si="30"/>
        <v>9.9599999999999994E-2</v>
      </c>
      <c r="Z56" s="2">
        <v>0.1</v>
      </c>
      <c r="AA56" s="2">
        <f t="shared" si="18"/>
        <v>2.8333507248695346E-2</v>
      </c>
      <c r="AB56" s="2">
        <f t="shared" si="28"/>
        <v>0.12793350724869534</v>
      </c>
      <c r="AE56" s="39">
        <v>33.9</v>
      </c>
      <c r="AF56" s="39">
        <v>55.464699370809335</v>
      </c>
      <c r="AG56" s="2">
        <f t="shared" si="20"/>
        <v>33.9</v>
      </c>
      <c r="AK56" s="2">
        <v>4.7E-2</v>
      </c>
      <c r="AL56" s="2">
        <v>4.5999999999999999E-2</v>
      </c>
      <c r="AM56">
        <v>0</v>
      </c>
      <c r="AN56">
        <v>6.6E-3</v>
      </c>
      <c r="AO56" s="2">
        <v>0</v>
      </c>
      <c r="AQ56" s="2">
        <f t="shared" si="26"/>
        <v>5.2600000000000001E-2</v>
      </c>
      <c r="AR56" s="2">
        <f t="shared" si="29"/>
        <v>9.9599999999999994E-2</v>
      </c>
      <c r="AU56">
        <v>1977</v>
      </c>
      <c r="AV56" s="1">
        <f t="shared" si="7"/>
        <v>0.31166857973564882</v>
      </c>
      <c r="AW56" s="1">
        <f t="shared" si="21"/>
        <v>9.9599999999999994E-2</v>
      </c>
      <c r="AX56" s="1">
        <f t="shared" si="22"/>
        <v>2.8333507248695346E-2</v>
      </c>
      <c r="AY56" s="1">
        <f t="shared" si="23"/>
        <v>0.12793350724869534</v>
      </c>
      <c r="AZ56" s="22">
        <f t="shared" si="8"/>
        <v>0.18373507248695348</v>
      </c>
      <c r="BB56" s="7">
        <v>15.735864193531619</v>
      </c>
      <c r="BD56" s="22">
        <f t="shared" si="9"/>
        <v>1.9806257597454562</v>
      </c>
      <c r="BE56" s="1">
        <f t="shared" si="24"/>
        <v>1.9404598804478461</v>
      </c>
      <c r="BF56" s="1">
        <f t="shared" si="25"/>
        <v>0.81300591867896044</v>
      </c>
      <c r="BG56" s="1">
        <f t="shared" si="27"/>
        <v>1.1676198410664957</v>
      </c>
      <c r="BH56" s="1">
        <f t="shared" si="11"/>
        <v>1.1274539617688857</v>
      </c>
      <c r="BI56" s="3">
        <f t="shared" si="12"/>
        <v>94.022491666404534</v>
      </c>
      <c r="BJ56">
        <v>0</v>
      </c>
      <c r="BK56">
        <v>0</v>
      </c>
      <c r="BL56" s="23">
        <v>1</v>
      </c>
      <c r="BM56">
        <v>0</v>
      </c>
      <c r="BN56">
        <v>0</v>
      </c>
      <c r="BP56" s="22">
        <f t="shared" si="13"/>
        <v>2.2222003806039026</v>
      </c>
      <c r="BQ56" s="22">
        <f t="shared" si="14"/>
        <v>2.1771355157129646</v>
      </c>
    </row>
    <row r="57" spans="1:69">
      <c r="A57">
        <v>1978</v>
      </c>
      <c r="B57" s="3">
        <f t="shared" si="0"/>
        <v>105.96006626876576</v>
      </c>
      <c r="C57" s="3">
        <f t="shared" si="1"/>
        <v>29.916940817905406</v>
      </c>
      <c r="D57" s="2">
        <v>74.039599999999993</v>
      </c>
      <c r="E57" s="2">
        <v>42.81494</v>
      </c>
      <c r="F57" s="2">
        <f t="shared" si="15"/>
        <v>31.700010316239997</v>
      </c>
      <c r="G57" s="2">
        <v>0.96441999999999994</v>
      </c>
      <c r="H57" s="2">
        <f t="shared" si="16"/>
        <v>0.30572123949188174</v>
      </c>
      <c r="I57" s="32">
        <f t="shared" si="2"/>
        <v>0.30572123949188174</v>
      </c>
      <c r="J57" s="32">
        <f t="shared" si="3"/>
        <v>0.29755532596349671</v>
      </c>
      <c r="P57" s="32">
        <f t="shared" si="4"/>
        <v>0.16532839953807432</v>
      </c>
      <c r="Q57" s="32">
        <f t="shared" si="5"/>
        <v>0.1571624860096893</v>
      </c>
      <c r="S57" s="2">
        <f>USA!Z65*G57</f>
        <v>13.829782799999998</v>
      </c>
      <c r="T57" s="2">
        <v>0</v>
      </c>
      <c r="U57" s="2">
        <v>0</v>
      </c>
      <c r="V57" s="2">
        <v>0</v>
      </c>
      <c r="X57" s="2">
        <f t="shared" si="17"/>
        <v>0.41600000000000004</v>
      </c>
      <c r="Y57" s="2">
        <f t="shared" si="30"/>
        <v>0.11259999999999999</v>
      </c>
      <c r="Z57" s="2">
        <v>0.1</v>
      </c>
      <c r="AA57" s="2">
        <f t="shared" si="18"/>
        <v>2.7792839953807432E-2</v>
      </c>
      <c r="AB57" s="2">
        <f t="shared" si="28"/>
        <v>0.14039283995380741</v>
      </c>
      <c r="AE57" s="39">
        <v>41.6</v>
      </c>
      <c r="AF57" s="39">
        <v>41.986643485164308</v>
      </c>
      <c r="AG57" s="2">
        <f t="shared" si="20"/>
        <v>41.6</v>
      </c>
      <c r="AK57" s="2">
        <v>6.2E-2</v>
      </c>
      <c r="AL57" s="2">
        <v>4.3999999999999997E-2</v>
      </c>
      <c r="AM57">
        <v>0</v>
      </c>
      <c r="AN57">
        <v>6.6E-3</v>
      </c>
      <c r="AO57" s="2">
        <v>0</v>
      </c>
      <c r="AQ57" s="2">
        <f>SUM(AL57:AP57)</f>
        <v>5.0599999999999999E-2</v>
      </c>
      <c r="AR57" s="2">
        <f t="shared" si="29"/>
        <v>0.11259999999999999</v>
      </c>
      <c r="AU57">
        <v>1978</v>
      </c>
      <c r="AV57" s="1">
        <f t="shared" si="7"/>
        <v>0.30572123949188174</v>
      </c>
      <c r="AW57" s="1">
        <f t="shared" si="21"/>
        <v>0.11259999999999999</v>
      </c>
      <c r="AX57" s="1">
        <f t="shared" si="22"/>
        <v>2.7792839953807432E-2</v>
      </c>
      <c r="AY57" s="1">
        <f t="shared" si="23"/>
        <v>0.14039283995380741</v>
      </c>
      <c r="AZ57" s="22">
        <f t="shared" si="8"/>
        <v>0.16532839953807432</v>
      </c>
      <c r="BB57" s="7">
        <v>17.61733853169542</v>
      </c>
      <c r="BD57" s="22">
        <f t="shared" si="9"/>
        <v>1.7353429346995717</v>
      </c>
      <c r="BE57" s="1">
        <f t="shared" si="24"/>
        <v>1.8175954816756132</v>
      </c>
      <c r="BF57" s="1">
        <f t="shared" si="25"/>
        <v>0.79690152801018233</v>
      </c>
      <c r="BG57" s="1">
        <f t="shared" si="27"/>
        <v>0.93844140668938936</v>
      </c>
      <c r="BH57" s="1">
        <f t="shared" si="11"/>
        <v>1.0206939536654309</v>
      </c>
      <c r="BI57" s="3">
        <f t="shared" si="12"/>
        <v>78.500976609598467</v>
      </c>
      <c r="BJ57">
        <v>0</v>
      </c>
      <c r="BK57">
        <v>0</v>
      </c>
      <c r="BL57" s="23">
        <v>1</v>
      </c>
      <c r="BM57">
        <v>0</v>
      </c>
      <c r="BN57">
        <v>0</v>
      </c>
      <c r="BP57" s="22">
        <f t="shared" si="13"/>
        <v>1.9470006946003156</v>
      </c>
      <c r="BQ57" s="22">
        <f t="shared" si="14"/>
        <v>2.0392854890883414</v>
      </c>
    </row>
    <row r="58" spans="1:69">
      <c r="A58">
        <v>1979</v>
      </c>
      <c r="B58" s="3">
        <f t="shared" si="0"/>
        <v>106.04607699792625</v>
      </c>
      <c r="C58" s="3">
        <f t="shared" si="1"/>
        <v>33.287054161079702</v>
      </c>
      <c r="D58" s="2">
        <v>74.099699999999999</v>
      </c>
      <c r="E58" s="2">
        <v>47.637999999999998</v>
      </c>
      <c r="F58" s="2">
        <f t="shared" si="15"/>
        <v>35.299615085999996</v>
      </c>
      <c r="G58" s="2">
        <v>0.97850000000000004</v>
      </c>
      <c r="H58" s="2">
        <f t="shared" si="16"/>
        <v>0.34540673361650998</v>
      </c>
      <c r="I58" s="32">
        <f t="shared" si="2"/>
        <v>0.34540673361650998</v>
      </c>
      <c r="J58" s="32">
        <f t="shared" si="3"/>
        <v>0.39911253465375207</v>
      </c>
      <c r="P58" s="32">
        <f t="shared" si="4"/>
        <v>0.16440612146955452</v>
      </c>
      <c r="Q58" s="32">
        <f t="shared" si="5"/>
        <v>0.21811192250679662</v>
      </c>
      <c r="S58" s="2">
        <f>USA!Z66*G58</f>
        <v>20.969255</v>
      </c>
      <c r="T58" s="2">
        <v>0</v>
      </c>
      <c r="U58" s="2">
        <v>0</v>
      </c>
      <c r="V58" s="2">
        <v>0</v>
      </c>
      <c r="X58" s="2">
        <f t="shared" si="17"/>
        <v>0.30499999999999999</v>
      </c>
      <c r="Y58" s="2">
        <f t="shared" si="30"/>
        <v>0.14960000000000001</v>
      </c>
      <c r="Z58" s="2">
        <v>0.1</v>
      </c>
      <c r="AA58" s="2">
        <f t="shared" si="18"/>
        <v>3.1400612146955456E-2</v>
      </c>
      <c r="AB58" s="2">
        <f t="shared" si="28"/>
        <v>0.18100061214695545</v>
      </c>
      <c r="AE58" s="39">
        <v>30.5</v>
      </c>
      <c r="AF58" s="39">
        <v>32.602875193846323</v>
      </c>
      <c r="AG58" s="2">
        <f t="shared" si="20"/>
        <v>30.5</v>
      </c>
      <c r="AK58" s="2">
        <v>8.3000000000000004E-2</v>
      </c>
      <c r="AL58" s="2">
        <v>0.06</v>
      </c>
      <c r="AM58">
        <v>0</v>
      </c>
      <c r="AN58">
        <v>6.6E-3</v>
      </c>
      <c r="AO58" s="2">
        <v>0</v>
      </c>
      <c r="AQ58" s="2">
        <f t="shared" si="26"/>
        <v>6.6599999999999993E-2</v>
      </c>
      <c r="AR58" s="2">
        <f t="shared" si="29"/>
        <v>0.14960000000000001</v>
      </c>
      <c r="AU58">
        <v>1979</v>
      </c>
      <c r="AV58" s="1">
        <f t="shared" si="7"/>
        <v>0.34540673361650998</v>
      </c>
      <c r="AW58" s="1">
        <f t="shared" si="21"/>
        <v>0.14960000000000001</v>
      </c>
      <c r="AX58" s="1">
        <f t="shared" si="22"/>
        <v>3.1400612146955456E-2</v>
      </c>
      <c r="AY58" s="1">
        <f t="shared" si="23"/>
        <v>0.18100061214695545</v>
      </c>
      <c r="AZ58" s="22">
        <f t="shared" si="8"/>
        <v>0.16440612146955452</v>
      </c>
      <c r="BB58" s="7">
        <v>20.030843441183563</v>
      </c>
      <c r="BD58" s="22">
        <f t="shared" si="9"/>
        <v>1.7243743860847673</v>
      </c>
      <c r="BE58" s="1">
        <f t="shared" si="24"/>
        <v>1.7243743860847676</v>
      </c>
      <c r="BF58" s="1">
        <f t="shared" si="25"/>
        <v>0.9036095393507837</v>
      </c>
      <c r="BG58" s="1">
        <f t="shared" si="27"/>
        <v>0.82076484673398364</v>
      </c>
      <c r="BH58" s="1">
        <f t="shared" si="11"/>
        <v>0.82076484673398387</v>
      </c>
      <c r="BI58" s="3">
        <f t="shared" si="12"/>
        <v>104.68483297556534</v>
      </c>
      <c r="BJ58">
        <v>0</v>
      </c>
      <c r="BK58">
        <v>0</v>
      </c>
      <c r="BL58" s="23">
        <v>1</v>
      </c>
      <c r="BM58" s="23">
        <v>1</v>
      </c>
      <c r="BN58">
        <v>0</v>
      </c>
      <c r="BP58" s="22">
        <f t="shared" si="13"/>
        <v>1.9346943248651149</v>
      </c>
      <c r="BQ58" s="22">
        <f t="shared" si="14"/>
        <v>1.9346943248651149</v>
      </c>
    </row>
    <row r="59" spans="1:69">
      <c r="A59">
        <v>1980</v>
      </c>
      <c r="B59" s="3">
        <f t="shared" si="0"/>
        <v>126.77208669711624</v>
      </c>
      <c r="C59" s="3">
        <f t="shared" si="1"/>
        <v>37.784321185500851</v>
      </c>
      <c r="D59" s="2">
        <v>88.581999999999994</v>
      </c>
      <c r="E59" s="2">
        <v>54.074159999999999</v>
      </c>
      <c r="F59" s="2">
        <f t="shared" si="15"/>
        <v>47.899972411199997</v>
      </c>
      <c r="G59" s="2">
        <v>1.02668</v>
      </c>
      <c r="H59" s="2">
        <f t="shared" si="16"/>
        <v>0.49177943675130814</v>
      </c>
      <c r="I59" s="32">
        <f t="shared" si="2"/>
        <v>0.49177943675130814</v>
      </c>
      <c r="J59" s="32">
        <f t="shared" si="3"/>
        <v>0.51756563961450641</v>
      </c>
      <c r="P59" s="32">
        <f t="shared" si="4"/>
        <v>0.30947221522846191</v>
      </c>
      <c r="Q59" s="32">
        <f t="shared" si="5"/>
        <v>0.33525841809166024</v>
      </c>
      <c r="S59" s="2">
        <f>USA!Z67*G59</f>
        <v>34.6915172</v>
      </c>
      <c r="T59" s="2">
        <v>0</v>
      </c>
      <c r="U59" s="2">
        <v>0</v>
      </c>
      <c r="V59" s="2">
        <v>0</v>
      </c>
      <c r="X59" s="2">
        <f t="shared" si="17"/>
        <v>0.31629500256920584</v>
      </c>
      <c r="Y59" s="2">
        <f t="shared" si="30"/>
        <v>0.1376</v>
      </c>
      <c r="Z59" s="2">
        <v>0.1</v>
      </c>
      <c r="AA59" s="2">
        <f t="shared" si="18"/>
        <v>4.4707221522846195E-2</v>
      </c>
      <c r="AB59" s="2">
        <f t="shared" si="28"/>
        <v>0.1823072215228462</v>
      </c>
      <c r="AE59" s="2">
        <v>25</v>
      </c>
      <c r="AF59" s="2">
        <v>31.629500256920583</v>
      </c>
      <c r="AG59" s="2">
        <f>AF59</f>
        <v>31.629500256920583</v>
      </c>
      <c r="AK59" s="2">
        <v>7.0999999999999994E-2</v>
      </c>
      <c r="AL59" s="2">
        <v>0.06</v>
      </c>
      <c r="AM59">
        <v>0</v>
      </c>
      <c r="AN59">
        <v>6.6E-3</v>
      </c>
      <c r="AO59" s="2">
        <v>0</v>
      </c>
      <c r="AQ59" s="2">
        <f t="shared" si="26"/>
        <v>6.6599999999999993E-2</v>
      </c>
      <c r="AR59" s="2">
        <f t="shared" si="29"/>
        <v>0.1376</v>
      </c>
      <c r="AU59">
        <v>1980</v>
      </c>
      <c r="AV59" s="1">
        <f t="shared" si="7"/>
        <v>0.49177943675130814</v>
      </c>
      <c r="AW59" s="1">
        <f t="shared" si="21"/>
        <v>0.1376</v>
      </c>
      <c r="AX59" s="1">
        <f t="shared" si="22"/>
        <v>4.4707221522846195E-2</v>
      </c>
      <c r="AY59" s="1">
        <f t="shared" si="23"/>
        <v>0.1823072215228462</v>
      </c>
      <c r="AZ59" s="22">
        <f t="shared" si="8"/>
        <v>0.30947221522846191</v>
      </c>
      <c r="BB59" s="7">
        <v>23.466245264069816</v>
      </c>
      <c r="BD59" s="22">
        <f t="shared" si="9"/>
        <v>2.0956886422059728</v>
      </c>
      <c r="BE59" s="1">
        <f t="shared" si="24"/>
        <v>2.2744838780195344</v>
      </c>
      <c r="BF59" s="1">
        <f t="shared" si="25"/>
        <v>0.77689131546743306</v>
      </c>
      <c r="BG59" s="1">
        <f t="shared" si="27"/>
        <v>1.3187973267385398</v>
      </c>
      <c r="BH59" s="1">
        <f t="shared" si="11"/>
        <v>1.4975925625521012</v>
      </c>
      <c r="BI59" s="3">
        <f t="shared" si="12"/>
        <v>147.83582464774491</v>
      </c>
      <c r="BJ59">
        <v>0</v>
      </c>
      <c r="BK59">
        <v>0</v>
      </c>
      <c r="BL59" s="23">
        <v>1</v>
      </c>
      <c r="BM59">
        <v>0</v>
      </c>
      <c r="BN59">
        <v>0</v>
      </c>
      <c r="BP59" s="22">
        <f t="shared" si="13"/>
        <v>2.3512973490438176</v>
      </c>
      <c r="BQ59" s="22">
        <f t="shared" si="14"/>
        <v>2.5519000318677163</v>
      </c>
    </row>
    <row r="60" spans="1:69">
      <c r="A60">
        <v>1981</v>
      </c>
      <c r="B60" s="3">
        <f t="shared" si="0"/>
        <v>123.7944839834496</v>
      </c>
      <c r="C60" s="3">
        <f t="shared" si="1"/>
        <v>41.681969842500045</v>
      </c>
      <c r="D60" s="2">
        <v>86.501400000000004</v>
      </c>
      <c r="E60" s="2">
        <v>59.652189999999997</v>
      </c>
      <c r="F60" s="2">
        <f t="shared" si="15"/>
        <v>51.599979480660004</v>
      </c>
      <c r="G60" s="2">
        <v>1.15279</v>
      </c>
      <c r="H60" s="2">
        <f t="shared" si="16"/>
        <v>0.59483940345510045</v>
      </c>
      <c r="I60" s="32">
        <f t="shared" si="2"/>
        <v>0.59483940345510045</v>
      </c>
      <c r="J60" s="32">
        <f t="shared" si="3"/>
        <v>0.58509722000992559</v>
      </c>
      <c r="P60" s="32">
        <f t="shared" si="4"/>
        <v>0.40716309405009132</v>
      </c>
      <c r="Q60" s="32">
        <f t="shared" si="5"/>
        <v>0.39742091060491652</v>
      </c>
      <c r="S60" s="2">
        <f>USA!Z68*G60</f>
        <v>41.973083899999999</v>
      </c>
      <c r="T60" s="2">
        <v>0</v>
      </c>
      <c r="U60" s="2">
        <v>0</v>
      </c>
      <c r="V60" s="2">
        <v>0</v>
      </c>
      <c r="X60" s="2">
        <f t="shared" si="17"/>
        <v>0.41448409175306478</v>
      </c>
      <c r="Y60" s="2">
        <f>AR60</f>
        <v>0.1336</v>
      </c>
      <c r="Z60" s="2">
        <v>0.1</v>
      </c>
      <c r="AA60" s="2">
        <f t="shared" si="18"/>
        <v>5.4076309405009126E-2</v>
      </c>
      <c r="AB60" s="2">
        <f t="shared" si="28"/>
        <v>0.18767630940500912</v>
      </c>
      <c r="AE60" s="2">
        <v>22</v>
      </c>
      <c r="AF60" s="2">
        <v>41.44840917530648</v>
      </c>
      <c r="AG60" s="2">
        <f>AF60</f>
        <v>41.44840917530648</v>
      </c>
      <c r="AK60" s="2">
        <v>6.7000000000000004E-2</v>
      </c>
      <c r="AL60" s="2">
        <v>0.06</v>
      </c>
      <c r="AM60">
        <v>0</v>
      </c>
      <c r="AN60">
        <v>6.6E-3</v>
      </c>
      <c r="AO60" s="2">
        <v>0</v>
      </c>
      <c r="AQ60" s="2">
        <f t="shared" si="26"/>
        <v>6.6599999999999993E-2</v>
      </c>
      <c r="AR60" s="2">
        <f t="shared" si="29"/>
        <v>0.1336</v>
      </c>
      <c r="AU60">
        <v>1981</v>
      </c>
      <c r="AV60" s="1">
        <f t="shared" si="7"/>
        <v>0.59483940345510045</v>
      </c>
      <c r="AW60" s="1">
        <f t="shared" si="21"/>
        <v>0.1336</v>
      </c>
      <c r="AX60" s="1">
        <f t="shared" si="22"/>
        <v>5.4076309405009126E-2</v>
      </c>
      <c r="AY60" s="1">
        <f t="shared" si="23"/>
        <v>0.18767630940500912</v>
      </c>
      <c r="AZ60" s="22">
        <f t="shared" si="8"/>
        <v>0.40716309405009132</v>
      </c>
      <c r="BB60" s="7">
        <v>27.073042360525243</v>
      </c>
      <c r="BD60" s="22">
        <f t="shared" si="9"/>
        <v>2.1971649714641086</v>
      </c>
      <c r="BE60" s="1">
        <f t="shared" si="24"/>
        <v>2.2403419587320368</v>
      </c>
      <c r="BF60" s="1">
        <f t="shared" si="25"/>
        <v>0.69322208751335923</v>
      </c>
      <c r="BG60" s="1">
        <f t="shared" si="27"/>
        <v>1.5039428839507494</v>
      </c>
      <c r="BH60" s="1">
        <f t="shared" si="11"/>
        <v>1.5471198712186776</v>
      </c>
      <c r="BI60" s="3">
        <f t="shared" si="12"/>
        <v>155.03645043307088</v>
      </c>
      <c r="BJ60">
        <v>0</v>
      </c>
      <c r="BK60">
        <v>0</v>
      </c>
      <c r="BL60" s="23">
        <v>1</v>
      </c>
      <c r="BM60">
        <v>0</v>
      </c>
      <c r="BN60">
        <v>0</v>
      </c>
      <c r="BP60" s="22">
        <f t="shared" si="13"/>
        <v>2.4651506281856062</v>
      </c>
      <c r="BQ60" s="22">
        <f t="shared" si="14"/>
        <v>2.5135938623847061</v>
      </c>
    </row>
    <row r="61" spans="1:69">
      <c r="A61">
        <v>1982</v>
      </c>
      <c r="B61" s="3">
        <f t="shared" si="0"/>
        <v>116.15856307648052</v>
      </c>
      <c r="C61" s="3">
        <f t="shared" si="1"/>
        <v>44.24984128314113</v>
      </c>
      <c r="D61" s="2">
        <v>81.165800000000004</v>
      </c>
      <c r="E61" s="2">
        <v>63.32714</v>
      </c>
      <c r="F61" s="2">
        <f t="shared" si="15"/>
        <v>51.39997979812</v>
      </c>
      <c r="G61" s="2">
        <v>1.3326100000000001</v>
      </c>
      <c r="H61" s="2">
        <f t="shared" si="16"/>
        <v>0.68496127078772706</v>
      </c>
      <c r="I61" s="32">
        <f t="shared" si="2"/>
        <v>0.68496127078772706</v>
      </c>
      <c r="J61" s="32">
        <f t="shared" si="3"/>
        <v>0.622665344355541</v>
      </c>
      <c r="P61" s="32">
        <f t="shared" si="4"/>
        <v>0.47909206435247914</v>
      </c>
      <c r="Q61" s="32">
        <f t="shared" si="5"/>
        <v>0.41679613792029302</v>
      </c>
      <c r="S61" s="2">
        <f>USA!Z69*G61</f>
        <v>44.242652000000007</v>
      </c>
      <c r="T61" s="2">
        <v>0</v>
      </c>
      <c r="U61" s="2">
        <v>0</v>
      </c>
      <c r="V61" s="2">
        <v>0</v>
      </c>
      <c r="X61" s="2">
        <f t="shared" si="17"/>
        <v>0.44279922666229005</v>
      </c>
      <c r="Y61" s="2">
        <f t="shared" si="30"/>
        <v>0.14360000000000001</v>
      </c>
      <c r="Z61" s="2">
        <v>0.1</v>
      </c>
      <c r="AA61" s="2">
        <f t="shared" si="18"/>
        <v>6.2269206435247915E-2</v>
      </c>
      <c r="AB61" s="2">
        <f t="shared" si="28"/>
        <v>0.20586920643524792</v>
      </c>
      <c r="AE61" s="2">
        <v>23.8</v>
      </c>
      <c r="AF61" s="2">
        <v>44.279922666229005</v>
      </c>
      <c r="AG61" s="2">
        <f>AF61</f>
        <v>44.279922666229005</v>
      </c>
      <c r="AK61" s="2">
        <v>7.6999999999999999E-2</v>
      </c>
      <c r="AL61" s="2">
        <v>0.06</v>
      </c>
      <c r="AM61">
        <v>0</v>
      </c>
      <c r="AN61">
        <v>6.6E-3</v>
      </c>
      <c r="AO61" s="2">
        <v>0</v>
      </c>
      <c r="AQ61" s="2">
        <f t="shared" si="26"/>
        <v>6.6599999999999993E-2</v>
      </c>
      <c r="AR61" s="2">
        <f t="shared" si="29"/>
        <v>0.14360000000000001</v>
      </c>
      <c r="AU61">
        <v>1982</v>
      </c>
      <c r="AV61" s="1">
        <f t="shared" si="7"/>
        <v>0.68496127078772706</v>
      </c>
      <c r="AW61" s="1">
        <f t="shared" si="21"/>
        <v>0.14360000000000001</v>
      </c>
      <c r="AX61" s="1">
        <f t="shared" si="22"/>
        <v>6.2269206435247915E-2</v>
      </c>
      <c r="AY61" s="1">
        <f t="shared" si="23"/>
        <v>0.20586920643524792</v>
      </c>
      <c r="AZ61" s="22">
        <f t="shared" si="8"/>
        <v>0.47909206435247914</v>
      </c>
      <c r="BB61" s="7">
        <v>31.449045001249225</v>
      </c>
      <c r="BD61" s="22">
        <f t="shared" si="9"/>
        <v>2.1780034044293521</v>
      </c>
      <c r="BE61" s="1">
        <f t="shared" si="24"/>
        <v>2.1029883172222634</v>
      </c>
      <c r="BF61" s="1">
        <f t="shared" si="25"/>
        <v>0.65461194903397013</v>
      </c>
      <c r="BG61" s="1">
        <f t="shared" si="27"/>
        <v>1.523391455395382</v>
      </c>
      <c r="BH61" s="1">
        <f t="shared" si="11"/>
        <v>1.4483763681882931</v>
      </c>
      <c r="BI61" s="3">
        <f t="shared" si="12"/>
        <v>140.68043083102393</v>
      </c>
      <c r="BJ61">
        <v>0</v>
      </c>
      <c r="BK61">
        <v>0</v>
      </c>
      <c r="BL61" s="23">
        <v>1</v>
      </c>
      <c r="BM61">
        <v>0</v>
      </c>
      <c r="BN61">
        <v>0</v>
      </c>
      <c r="BP61" s="22">
        <f t="shared" si="13"/>
        <v>2.4436519471005558</v>
      </c>
      <c r="BQ61" s="22">
        <f t="shared" si="14"/>
        <v>2.3594873569338346</v>
      </c>
    </row>
    <row r="62" spans="1:69">
      <c r="A62">
        <v>1983</v>
      </c>
      <c r="B62" s="3">
        <f t="shared" si="0"/>
        <v>104.00400196566106</v>
      </c>
      <c r="C62" s="3">
        <f t="shared" si="1"/>
        <v>45.671336429076113</v>
      </c>
      <c r="D62" s="2">
        <v>72.672799999999995</v>
      </c>
      <c r="E62" s="2">
        <v>65.36148</v>
      </c>
      <c r="F62" s="2">
        <f t="shared" si="15"/>
        <v>47.500017637439996</v>
      </c>
      <c r="G62" s="2">
        <v>1.4967699999999999</v>
      </c>
      <c r="H62" s="2">
        <f t="shared" si="16"/>
        <v>0.71096601399191062</v>
      </c>
      <c r="I62" s="32">
        <f t="shared" si="2"/>
        <v>0.71096601399191062</v>
      </c>
      <c r="J62" s="32">
        <f t="shared" si="3"/>
        <v>0.64225086506375173</v>
      </c>
      <c r="P62" s="32">
        <f t="shared" si="4"/>
        <v>0.47773273999264604</v>
      </c>
      <c r="Q62" s="32">
        <f t="shared" si="5"/>
        <v>0.40901759106448715</v>
      </c>
      <c r="S62" s="2">
        <f>USA!Z70*G62</f>
        <v>43.331491499999998</v>
      </c>
      <c r="T62" s="2">
        <v>0</v>
      </c>
      <c r="U62" s="2">
        <v>0</v>
      </c>
      <c r="V62" s="2">
        <v>0</v>
      </c>
      <c r="X62" s="2">
        <f t="shared" si="17"/>
        <v>0.4464623864905225</v>
      </c>
      <c r="Y62" s="2">
        <f t="shared" si="30"/>
        <v>0.1686</v>
      </c>
      <c r="Z62" s="2">
        <v>0.1</v>
      </c>
      <c r="AA62" s="2">
        <f t="shared" si="18"/>
        <v>6.4633273999264593E-2</v>
      </c>
      <c r="AB62" s="2">
        <f t="shared" si="28"/>
        <v>0.23323327399926458</v>
      </c>
      <c r="AE62" s="2">
        <v>23.8</v>
      </c>
      <c r="AF62" s="2">
        <v>44.64623864905225</v>
      </c>
      <c r="AG62" s="2">
        <f>AF62</f>
        <v>44.64623864905225</v>
      </c>
      <c r="AK62" s="2">
        <v>9.8000000000000004E-2</v>
      </c>
      <c r="AL62" s="2">
        <v>6.4000000000000001E-2</v>
      </c>
      <c r="AM62">
        <v>0</v>
      </c>
      <c r="AN62">
        <v>6.6E-3</v>
      </c>
      <c r="AO62" s="2">
        <v>0</v>
      </c>
      <c r="AQ62" s="2">
        <f t="shared" si="26"/>
        <v>7.0599999999999996E-2</v>
      </c>
      <c r="AR62" s="2">
        <f t="shared" si="29"/>
        <v>0.1686</v>
      </c>
      <c r="AU62">
        <v>1983</v>
      </c>
      <c r="AV62" s="1">
        <f t="shared" si="7"/>
        <v>0.71096601399191062</v>
      </c>
      <c r="AW62" s="1">
        <f t="shared" si="21"/>
        <v>0.1686</v>
      </c>
      <c r="AX62" s="1">
        <f t="shared" si="22"/>
        <v>6.4633273999264593E-2</v>
      </c>
      <c r="AY62" s="1">
        <f t="shared" si="23"/>
        <v>0.23323327399926458</v>
      </c>
      <c r="AZ62" s="22">
        <f t="shared" si="8"/>
        <v>0.47773273999264604</v>
      </c>
      <c r="BB62" s="7">
        <v>33.75774266708423</v>
      </c>
      <c r="BD62" s="22">
        <f t="shared" si="9"/>
        <v>2.1060828059606722</v>
      </c>
      <c r="BE62" s="1">
        <f t="shared" si="24"/>
        <v>2.0545381728072076</v>
      </c>
      <c r="BF62" s="1">
        <f t="shared" si="25"/>
        <v>0.69090305089232351</v>
      </c>
      <c r="BG62" s="1">
        <f t="shared" si="27"/>
        <v>1.4151797550683487</v>
      </c>
      <c r="BH62" s="1">
        <f t="shared" si="11"/>
        <v>1.3636351219148841</v>
      </c>
      <c r="BI62" s="3">
        <f t="shared" si="12"/>
        <v>128.36015703813851</v>
      </c>
      <c r="BJ62">
        <v>0</v>
      </c>
      <c r="BK62">
        <v>0</v>
      </c>
      <c r="BL62" s="23">
        <v>1</v>
      </c>
      <c r="BM62">
        <v>0</v>
      </c>
      <c r="BN62">
        <v>0</v>
      </c>
      <c r="BP62" s="22">
        <f t="shared" si="13"/>
        <v>2.3629592768654173</v>
      </c>
      <c r="BQ62" s="22">
        <f t="shared" si="14"/>
        <v>2.3051278047419617</v>
      </c>
    </row>
    <row r="63" spans="1:69">
      <c r="A63">
        <v>1984</v>
      </c>
      <c r="B63" s="3">
        <f t="shared" si="0"/>
        <v>94.872124067153152</v>
      </c>
      <c r="C63" s="3">
        <f t="shared" si="1"/>
        <v>47.643090239969929</v>
      </c>
      <c r="D63" s="2">
        <v>66.291899999999998</v>
      </c>
      <c r="E63" s="2">
        <v>68.183310000000006</v>
      </c>
      <c r="F63" s="2">
        <f t="shared" si="15"/>
        <v>45.200011681890004</v>
      </c>
      <c r="G63" s="2">
        <v>1.7639899999999999</v>
      </c>
      <c r="H63" s="2">
        <f t="shared" si="16"/>
        <v>0.79732368606737136</v>
      </c>
      <c r="I63" s="32">
        <f t="shared" si="2"/>
        <v>0.79732368606737136</v>
      </c>
      <c r="J63" s="32">
        <f t="shared" si="3"/>
        <v>0.70966827591493797</v>
      </c>
      <c r="P63" s="32">
        <f t="shared" si="4"/>
        <v>0.5562397146067013</v>
      </c>
      <c r="Q63" s="32">
        <f t="shared" si="5"/>
        <v>0.46858430445426785</v>
      </c>
      <c r="S63" s="2">
        <f>USA!Z71*G63</f>
        <v>50.308994800000001</v>
      </c>
      <c r="T63" s="2">
        <v>0</v>
      </c>
      <c r="U63" s="2">
        <v>0</v>
      </c>
      <c r="V63" s="2">
        <v>0</v>
      </c>
      <c r="X63" s="2">
        <f t="shared" si="17"/>
        <v>0.43177411979948588</v>
      </c>
      <c r="Y63" s="2">
        <f t="shared" si="30"/>
        <v>0.1686</v>
      </c>
      <c r="Z63" s="2">
        <v>0.1</v>
      </c>
      <c r="AA63" s="2">
        <f t="shared" si="18"/>
        <v>7.2483971460670135E-2</v>
      </c>
      <c r="AB63" s="2">
        <f t="shared" si="28"/>
        <v>0.24108397146067012</v>
      </c>
      <c r="AE63" s="2">
        <v>21.6</v>
      </c>
      <c r="AF63" s="2">
        <v>43.177411979948587</v>
      </c>
      <c r="AG63" s="2">
        <f>AF63</f>
        <v>43.177411979948587</v>
      </c>
      <c r="AK63" s="2">
        <v>9.8000000000000004E-2</v>
      </c>
      <c r="AL63" s="2">
        <v>6.4000000000000001E-2</v>
      </c>
      <c r="AM63">
        <v>0</v>
      </c>
      <c r="AN63">
        <v>6.6E-3</v>
      </c>
      <c r="AO63" s="2">
        <v>0</v>
      </c>
      <c r="AQ63" s="2">
        <f>SUM(AL63:AP63)</f>
        <v>7.0599999999999996E-2</v>
      </c>
      <c r="AR63" s="2">
        <f t="shared" si="29"/>
        <v>0.1686</v>
      </c>
      <c r="AU63">
        <v>1984</v>
      </c>
      <c r="AV63" s="1">
        <f t="shared" si="7"/>
        <v>0.79732368606737136</v>
      </c>
      <c r="AW63" s="1">
        <f t="shared" si="21"/>
        <v>0.1686</v>
      </c>
      <c r="AX63" s="1">
        <f t="shared" si="22"/>
        <v>7.2483971460670135E-2</v>
      </c>
      <c r="AY63" s="1">
        <f t="shared" si="23"/>
        <v>0.24108397146067012</v>
      </c>
      <c r="AZ63" s="22">
        <f t="shared" si="8"/>
        <v>0.5562397146067013</v>
      </c>
      <c r="BB63" s="7">
        <v>35.841017361426665</v>
      </c>
      <c r="BD63" s="22">
        <f t="shared" si="9"/>
        <v>2.2246123150663646</v>
      </c>
      <c r="BE63" s="1">
        <f t="shared" si="24"/>
        <v>2.1188694186797883</v>
      </c>
      <c r="BF63" s="1">
        <f t="shared" si="25"/>
        <v>0.67264823715671918</v>
      </c>
      <c r="BG63" s="1">
        <f t="shared" si="27"/>
        <v>1.5519640779096453</v>
      </c>
      <c r="BH63" s="1">
        <f t="shared" si="11"/>
        <v>1.4462211815230692</v>
      </c>
      <c r="BI63" s="3">
        <f t="shared" si="12"/>
        <v>140.36709475257325</v>
      </c>
      <c r="BJ63">
        <v>0</v>
      </c>
      <c r="BK63">
        <v>0</v>
      </c>
      <c r="BL63" s="23">
        <v>1</v>
      </c>
      <c r="BM63">
        <v>0</v>
      </c>
      <c r="BN63">
        <v>0</v>
      </c>
      <c r="BP63" s="22">
        <f t="shared" si="13"/>
        <v>2.4959456923714511</v>
      </c>
      <c r="BQ63" s="22">
        <f t="shared" si="14"/>
        <v>2.3773054578697002</v>
      </c>
    </row>
    <row r="64" spans="1:69">
      <c r="A64">
        <v>1985</v>
      </c>
      <c r="B64" s="3">
        <f t="shared" si="0"/>
        <v>93.231193916480166</v>
      </c>
      <c r="C64" s="3">
        <f t="shared" si="1"/>
        <v>49.339718212134507</v>
      </c>
      <c r="D64" s="2">
        <v>65.145300000000006</v>
      </c>
      <c r="E64" s="2">
        <v>70.611400000000003</v>
      </c>
      <c r="F64" s="2">
        <f t="shared" si="15"/>
        <v>46.000008364199999</v>
      </c>
      <c r="G64" s="2">
        <v>2.0233699999999999</v>
      </c>
      <c r="H64" s="2">
        <f t="shared" si="16"/>
        <v>0.93075036923871357</v>
      </c>
      <c r="I64" s="32">
        <f t="shared" si="2"/>
        <v>0.93075036923871357</v>
      </c>
      <c r="J64" s="32">
        <f t="shared" si="3"/>
        <v>0.77799446755802903</v>
      </c>
      <c r="P64" s="32">
        <f t="shared" si="4"/>
        <v>0.65253669930792146</v>
      </c>
      <c r="Q64" s="32">
        <f t="shared" si="5"/>
        <v>0.49978079762723693</v>
      </c>
      <c r="S64" s="2">
        <f>USA!Z72*G64</f>
        <v>53.963277900000001</v>
      </c>
      <c r="T64" s="2">
        <v>0</v>
      </c>
      <c r="U64" s="2">
        <v>0</v>
      </c>
      <c r="V64" s="2">
        <v>0</v>
      </c>
      <c r="X64" s="2">
        <f t="shared" si="17"/>
        <v>0.43632251181285348</v>
      </c>
      <c r="Y64" s="2">
        <f t="shared" si="30"/>
        <v>0.19359999999999999</v>
      </c>
      <c r="Z64" s="2">
        <v>0.1</v>
      </c>
      <c r="AA64" s="2">
        <f t="shared" si="18"/>
        <v>8.461366993079214E-2</v>
      </c>
      <c r="AB64" s="2">
        <f t="shared" si="28"/>
        <v>0.27821366993079211</v>
      </c>
      <c r="AE64" s="2">
        <v>19.7</v>
      </c>
      <c r="AF64" s="2">
        <v>57.698961021453442</v>
      </c>
      <c r="AG64" s="39">
        <f>AG63+(AG$78-AG$63)/15</f>
        <v>43.632251181285348</v>
      </c>
      <c r="AK64" s="2">
        <v>9.8000000000000004E-2</v>
      </c>
      <c r="AL64" s="2">
        <v>8.8999999999999996E-2</v>
      </c>
      <c r="AM64">
        <v>0</v>
      </c>
      <c r="AN64">
        <v>6.6E-3</v>
      </c>
      <c r="AO64" s="2">
        <v>0</v>
      </c>
      <c r="AQ64" s="2">
        <f t="shared" si="26"/>
        <v>9.5599999999999991E-2</v>
      </c>
      <c r="AR64" s="2">
        <f t="shared" si="29"/>
        <v>0.19359999999999999</v>
      </c>
      <c r="AU64">
        <v>1985</v>
      </c>
      <c r="AV64" s="1">
        <f t="shared" si="7"/>
        <v>0.93075036923871357</v>
      </c>
      <c r="AW64" s="1">
        <f t="shared" si="21"/>
        <v>0.19359999999999999</v>
      </c>
      <c r="AX64" s="1">
        <f t="shared" si="22"/>
        <v>8.461366993079214E-2</v>
      </c>
      <c r="AY64" s="1">
        <f t="shared" si="23"/>
        <v>0.27821366993079211</v>
      </c>
      <c r="AZ64" s="22">
        <f t="shared" si="8"/>
        <v>0.65253669930792146</v>
      </c>
      <c r="BB64" s="7">
        <v>41.366863558752399</v>
      </c>
      <c r="BD64" s="22">
        <f t="shared" si="9"/>
        <v>2.2499901833669123</v>
      </c>
      <c r="BE64" s="1">
        <f t="shared" si="24"/>
        <v>2.0505648720353458</v>
      </c>
      <c r="BF64" s="1">
        <f t="shared" si="25"/>
        <v>0.67255200417999217</v>
      </c>
      <c r="BG64" s="1">
        <f t="shared" si="27"/>
        <v>1.5774381791869201</v>
      </c>
      <c r="BH64" s="1">
        <f t="shared" si="11"/>
        <v>1.3780128678553536</v>
      </c>
      <c r="BI64" s="3">
        <f t="shared" si="12"/>
        <v>130.45049408533765</v>
      </c>
      <c r="BJ64">
        <v>0</v>
      </c>
      <c r="BK64">
        <v>0</v>
      </c>
      <c r="BL64" s="23">
        <v>1</v>
      </c>
      <c r="BM64">
        <v>0</v>
      </c>
      <c r="BN64">
        <v>0</v>
      </c>
      <c r="BP64" s="22">
        <f t="shared" si="13"/>
        <v>2.5244188697594097</v>
      </c>
      <c r="BQ64" s="22">
        <f t="shared" si="14"/>
        <v>2.3006698850950817</v>
      </c>
    </row>
    <row r="65" spans="1:69">
      <c r="A65">
        <v>1986</v>
      </c>
      <c r="B65" s="3">
        <f t="shared" si="0"/>
        <v>85.958493027163996</v>
      </c>
      <c r="C65" s="3">
        <f t="shared" si="1"/>
        <v>50.256813657899102</v>
      </c>
      <c r="D65" s="2">
        <v>60.063499999999998</v>
      </c>
      <c r="E65" s="2">
        <v>71.923879999999997</v>
      </c>
      <c r="F65" s="2">
        <f t="shared" si="15"/>
        <v>43.1999996638</v>
      </c>
      <c r="G65" s="2">
        <v>1.91316</v>
      </c>
      <c r="H65" s="2">
        <f t="shared" si="16"/>
        <v>0.82648511356795606</v>
      </c>
      <c r="I65" s="32">
        <f t="shared" si="2"/>
        <v>0.82648511356795606</v>
      </c>
      <c r="J65" s="32">
        <f t="shared" si="3"/>
        <v>0.84373191677897719</v>
      </c>
      <c r="P65" s="32">
        <f t="shared" si="4"/>
        <v>0.43775010324359642</v>
      </c>
      <c r="Q65" s="32">
        <f t="shared" si="5"/>
        <v>0.45499690645461754</v>
      </c>
      <c r="S65" s="2">
        <f>USA!Z73*G65</f>
        <v>28.793058000000002</v>
      </c>
      <c r="T65" s="2">
        <v>1</v>
      </c>
      <c r="U65" s="2">
        <v>0</v>
      </c>
      <c r="V65" s="2">
        <v>0</v>
      </c>
      <c r="X65" s="2">
        <f t="shared" si="17"/>
        <v>0.44087090382622107</v>
      </c>
      <c r="Y65" s="2">
        <f t="shared" si="30"/>
        <v>0.31359999999999999</v>
      </c>
      <c r="Z65" s="2">
        <v>0.1</v>
      </c>
      <c r="AA65" s="2">
        <f t="shared" si="18"/>
        <v>7.5135010324359652E-2</v>
      </c>
      <c r="AB65" s="2">
        <f t="shared" si="28"/>
        <v>0.38873501032435964</v>
      </c>
      <c r="AF65" s="2">
        <v>55.826248717892177</v>
      </c>
      <c r="AG65" s="39">
        <f t="shared" ref="AG65:AG77" si="31">AG64+(AG$78-AG$63)/15</f>
        <v>44.087090382622108</v>
      </c>
      <c r="AK65" s="2">
        <v>0.218</v>
      </c>
      <c r="AL65" s="2">
        <v>8.8999999999999996E-2</v>
      </c>
      <c r="AM65">
        <v>0</v>
      </c>
      <c r="AN65">
        <v>6.6E-3</v>
      </c>
      <c r="AO65" s="2">
        <v>0</v>
      </c>
      <c r="AQ65" s="2">
        <f t="shared" si="26"/>
        <v>9.5599999999999991E-2</v>
      </c>
      <c r="AR65" s="2">
        <f t="shared" si="29"/>
        <v>0.31359999999999999</v>
      </c>
      <c r="AU65">
        <v>1986</v>
      </c>
      <c r="AV65" s="1">
        <f t="shared" si="7"/>
        <v>0.82648511356795606</v>
      </c>
      <c r="AW65" s="1">
        <f t="shared" si="21"/>
        <v>0.31359999999999999</v>
      </c>
      <c r="AX65" s="1">
        <f t="shared" si="22"/>
        <v>7.5135010324359652E-2</v>
      </c>
      <c r="AY65" s="1">
        <f t="shared" si="23"/>
        <v>0.38873501032435964</v>
      </c>
      <c r="AZ65" s="22">
        <f t="shared" si="8"/>
        <v>0.43775010324359642</v>
      </c>
      <c r="BB65" s="7">
        <v>46.832832708224586</v>
      </c>
      <c r="BD65" s="22">
        <f t="shared" si="9"/>
        <v>1.764755761662079</v>
      </c>
      <c r="BE65" s="1">
        <f t="shared" si="24"/>
        <v>1.7336718112158942</v>
      </c>
      <c r="BF65" s="1">
        <f t="shared" si="25"/>
        <v>0.83004804075430538</v>
      </c>
      <c r="BG65" s="1">
        <f t="shared" si="27"/>
        <v>0.93470772090777365</v>
      </c>
      <c r="BH65" s="1">
        <f t="shared" si="11"/>
        <v>0.90362377046158882</v>
      </c>
      <c r="BI65" s="3">
        <f t="shared" si="12"/>
        <v>61.480496341925281</v>
      </c>
      <c r="BJ65">
        <v>0</v>
      </c>
      <c r="BK65">
        <v>0</v>
      </c>
      <c r="BL65" s="23">
        <v>1</v>
      </c>
      <c r="BM65">
        <v>0</v>
      </c>
      <c r="BN65">
        <v>0</v>
      </c>
      <c r="BP65" s="22">
        <f t="shared" si="13"/>
        <v>1.9800009698664116</v>
      </c>
      <c r="BQ65" s="22">
        <f t="shared" si="14"/>
        <v>1.9451257461285048</v>
      </c>
    </row>
    <row r="66" spans="1:69">
      <c r="A66">
        <v>1987</v>
      </c>
      <c r="B66" s="3">
        <f t="shared" si="0"/>
        <v>101.65552265530495</v>
      </c>
      <c r="C66" s="3">
        <f t="shared" si="1"/>
        <v>52.136856526716379</v>
      </c>
      <c r="D66" s="2">
        <v>71.031800000000004</v>
      </c>
      <c r="E66" s="2">
        <v>74.614459999999994</v>
      </c>
      <c r="F66" s="2">
        <f t="shared" si="15"/>
        <v>52.999993998279997</v>
      </c>
      <c r="G66" s="2">
        <v>1.6945600000000001</v>
      </c>
      <c r="H66" s="2">
        <f t="shared" si="16"/>
        <v>0.8981166982972536</v>
      </c>
      <c r="I66" s="32">
        <f t="shared" si="2"/>
        <v>0.8981166982972536</v>
      </c>
      <c r="J66" s="32">
        <f t="shared" si="3"/>
        <v>0.92219342571680774</v>
      </c>
      <c r="P66" s="32">
        <f t="shared" si="4"/>
        <v>0.46286972572477603</v>
      </c>
      <c r="Q66" s="32">
        <f t="shared" si="5"/>
        <v>0.48694645314433016</v>
      </c>
      <c r="S66" s="2">
        <f>USA!Z74*G66</f>
        <v>32.535552000000003</v>
      </c>
      <c r="T66" s="2">
        <v>1</v>
      </c>
      <c r="U66" s="2">
        <v>0</v>
      </c>
      <c r="V66" s="2">
        <v>0</v>
      </c>
      <c r="X66" s="2">
        <f t="shared" si="17"/>
        <v>0.44541929583958867</v>
      </c>
      <c r="Y66" s="2">
        <f t="shared" si="30"/>
        <v>0.35359999999999997</v>
      </c>
      <c r="Z66" s="2">
        <v>0.1</v>
      </c>
      <c r="AA66" s="2">
        <f t="shared" si="18"/>
        <v>8.1646972572477605E-2</v>
      </c>
      <c r="AB66" s="2">
        <f t="shared" si="28"/>
        <v>0.43524697257247758</v>
      </c>
      <c r="AF66" s="2">
        <v>64.605843320509308</v>
      </c>
      <c r="AG66" s="39">
        <f t="shared" si="31"/>
        <v>44.541929583958868</v>
      </c>
      <c r="AK66" s="2">
        <v>0.25800000000000001</v>
      </c>
      <c r="AL66" s="2">
        <v>8.8999999999999996E-2</v>
      </c>
      <c r="AM66">
        <v>0</v>
      </c>
      <c r="AN66">
        <v>6.6E-3</v>
      </c>
      <c r="AO66" s="2">
        <v>0</v>
      </c>
      <c r="AQ66" s="2">
        <f t="shared" si="26"/>
        <v>9.5599999999999991E-2</v>
      </c>
      <c r="AR66" s="2">
        <f t="shared" si="29"/>
        <v>0.35359999999999997</v>
      </c>
      <c r="AU66">
        <v>1987</v>
      </c>
      <c r="AV66" s="1">
        <f t="shared" si="7"/>
        <v>0.8981166982972536</v>
      </c>
      <c r="AW66" s="1">
        <f t="shared" si="21"/>
        <v>0.35359999999999997</v>
      </c>
      <c r="AX66" s="1">
        <f t="shared" si="22"/>
        <v>8.1646972572477605E-2</v>
      </c>
      <c r="AY66" s="1">
        <f t="shared" si="23"/>
        <v>0.43524697257247758</v>
      </c>
      <c r="AZ66" s="22">
        <f t="shared" si="8"/>
        <v>0.46286972572477603</v>
      </c>
      <c r="BB66" s="7">
        <v>54.20632970502232</v>
      </c>
      <c r="BD66" s="22">
        <f t="shared" si="9"/>
        <v>1.6568483850217981</v>
      </c>
      <c r="BE66" s="1">
        <f t="shared" si="24"/>
        <v>1.6965346990780525</v>
      </c>
      <c r="BF66" s="1">
        <f t="shared" si="25"/>
        <v>0.80294492348215762</v>
      </c>
      <c r="BG66" s="1">
        <f t="shared" si="27"/>
        <v>0.85390346153964047</v>
      </c>
      <c r="BH66" s="1">
        <f t="shared" si="11"/>
        <v>0.89358977559589503</v>
      </c>
      <c r="BI66" s="3">
        <f t="shared" si="12"/>
        <v>60.021684141041412</v>
      </c>
      <c r="BJ66">
        <v>0</v>
      </c>
      <c r="BK66">
        <v>0</v>
      </c>
      <c r="BL66" s="23">
        <v>1</v>
      </c>
      <c r="BM66">
        <v>0</v>
      </c>
      <c r="BN66">
        <v>0</v>
      </c>
      <c r="BP66" s="22">
        <f t="shared" si="13"/>
        <v>1.8589322559712544</v>
      </c>
      <c r="BQ66" s="22">
        <f t="shared" si="14"/>
        <v>1.9034590636059832</v>
      </c>
    </row>
    <row r="67" spans="1:69">
      <c r="A67">
        <v>1988</v>
      </c>
      <c r="B67" s="3">
        <f t="shared" si="0"/>
        <v>108.24858136028952</v>
      </c>
      <c r="C67" s="3">
        <f t="shared" si="1"/>
        <v>54.227069431021505</v>
      </c>
      <c r="D67" s="2">
        <v>75.6387</v>
      </c>
      <c r="E67" s="2">
        <v>77.605819999999994</v>
      </c>
      <c r="F67" s="2">
        <f t="shared" si="15"/>
        <v>58.700033372339995</v>
      </c>
      <c r="G67" s="2">
        <v>1.5264</v>
      </c>
      <c r="H67" s="2">
        <f t="shared" si="16"/>
        <v>0.89599730939539768</v>
      </c>
      <c r="I67" s="32">
        <f t="shared" si="2"/>
        <v>0.89599730939539768</v>
      </c>
      <c r="J67" s="32">
        <f t="shared" si="3"/>
        <v>0.85234812068314647</v>
      </c>
      <c r="P67" s="32">
        <f t="shared" si="4"/>
        <v>0.46094300854127063</v>
      </c>
      <c r="Q67" s="32">
        <f t="shared" si="5"/>
        <v>0.41729381982901936</v>
      </c>
      <c r="S67" s="2">
        <f>USA!Z75*G67</f>
        <v>24.376608000000001</v>
      </c>
      <c r="T67" s="2">
        <v>1</v>
      </c>
      <c r="U67" s="2">
        <v>0</v>
      </c>
      <c r="V67" s="2">
        <v>0</v>
      </c>
      <c r="X67" s="2">
        <f t="shared" si="17"/>
        <v>0.44996768785295627</v>
      </c>
      <c r="Y67" s="2">
        <f t="shared" si="30"/>
        <v>0.35359999999999997</v>
      </c>
      <c r="Z67" s="2">
        <v>0.1</v>
      </c>
      <c r="AA67" s="2">
        <f t="shared" si="18"/>
        <v>8.1454300854127068E-2</v>
      </c>
      <c r="AB67" s="2">
        <f t="shared" si="28"/>
        <v>0.43505430085412705</v>
      </c>
      <c r="AF67" s="2">
        <v>65.611377083582894</v>
      </c>
      <c r="AG67" s="39">
        <f t="shared" si="31"/>
        <v>44.996768785295629</v>
      </c>
      <c r="AK67" s="2">
        <v>0.25800000000000001</v>
      </c>
      <c r="AL67" s="2">
        <v>8.8999999999999996E-2</v>
      </c>
      <c r="AM67">
        <v>0</v>
      </c>
      <c r="AN67">
        <v>6.6E-3</v>
      </c>
      <c r="AO67" s="2">
        <v>0</v>
      </c>
      <c r="AQ67" s="2">
        <f t="shared" si="26"/>
        <v>9.5599999999999991E-2</v>
      </c>
      <c r="AR67" s="2">
        <f t="shared" si="29"/>
        <v>0.35359999999999997</v>
      </c>
      <c r="AU67">
        <v>1988</v>
      </c>
      <c r="AV67" s="1">
        <f t="shared" si="7"/>
        <v>0.89599730939539768</v>
      </c>
      <c r="AW67" s="1">
        <f t="shared" si="21"/>
        <v>0.35359999999999997</v>
      </c>
      <c r="AX67" s="1">
        <f t="shared" si="22"/>
        <v>8.1454300854127068E-2</v>
      </c>
      <c r="AY67" s="1">
        <f t="shared" si="23"/>
        <v>0.43505430085412705</v>
      </c>
      <c r="AZ67" s="22">
        <f t="shared" si="8"/>
        <v>0.46094300854127063</v>
      </c>
      <c r="BB67" s="7">
        <v>57.662122533984842</v>
      </c>
      <c r="BD67" s="22">
        <f t="shared" si="9"/>
        <v>1.553875004978035</v>
      </c>
      <c r="BE67" s="1">
        <f t="shared" si="24"/>
        <v>1.526012849933662</v>
      </c>
      <c r="BF67" s="1">
        <f t="shared" si="25"/>
        <v>0.75448887716145929</v>
      </c>
      <c r="BG67" s="1">
        <f t="shared" si="27"/>
        <v>0.7993861278165757</v>
      </c>
      <c r="BH67" s="1">
        <f t="shared" si="11"/>
        <v>0.77152397277220275</v>
      </c>
      <c r="BI67" s="3">
        <f t="shared" si="12"/>
        <v>42.274905828575662</v>
      </c>
      <c r="BJ67">
        <v>0</v>
      </c>
      <c r="BK67">
        <v>0</v>
      </c>
      <c r="BL67" s="23">
        <v>1</v>
      </c>
      <c r="BM67">
        <v>0</v>
      </c>
      <c r="BN67">
        <v>0</v>
      </c>
      <c r="BP67" s="22">
        <f t="shared" si="13"/>
        <v>1.7433993325002757</v>
      </c>
      <c r="BQ67" s="22">
        <f t="shared" si="14"/>
        <v>1.7121388628030587</v>
      </c>
    </row>
    <row r="68" spans="1:69">
      <c r="A68">
        <v>1989</v>
      </c>
      <c r="B68" s="3">
        <f t="shared" si="0"/>
        <v>94.995773434864745</v>
      </c>
      <c r="C68" s="3">
        <f t="shared" si="1"/>
        <v>56.844608024141067</v>
      </c>
      <c r="D68" s="2">
        <v>66.378299999999996</v>
      </c>
      <c r="E68" s="2">
        <v>81.351849999999999</v>
      </c>
      <c r="F68" s="2">
        <f t="shared" si="15"/>
        <v>53.999975048549999</v>
      </c>
      <c r="G68" s="2">
        <v>1.67215</v>
      </c>
      <c r="H68" s="2">
        <f t="shared" si="16"/>
        <v>0.90296058277432878</v>
      </c>
      <c r="I68" s="32">
        <f t="shared" si="2"/>
        <v>0.90296058277432878</v>
      </c>
      <c r="J68" s="32">
        <f t="shared" si="3"/>
        <v>0.93507951786749322</v>
      </c>
      <c r="P68" s="32">
        <f t="shared" si="4"/>
        <v>0.45743533941988213</v>
      </c>
      <c r="Q68" s="32">
        <f t="shared" si="5"/>
        <v>0.48955427451304656</v>
      </c>
      <c r="S68" s="2">
        <f>USA!Z76*G68</f>
        <v>32.841025999999999</v>
      </c>
      <c r="T68" s="2">
        <v>1</v>
      </c>
      <c r="U68" s="2">
        <v>0</v>
      </c>
      <c r="V68" s="2">
        <v>0</v>
      </c>
      <c r="X68" s="2">
        <f t="shared" si="17"/>
        <v>0.45451607986632392</v>
      </c>
      <c r="Y68" s="2">
        <f t="shared" si="30"/>
        <v>0.35384999999999994</v>
      </c>
      <c r="Z68" s="2">
        <v>0.113</v>
      </c>
      <c r="AA68" s="2">
        <f t="shared" si="18"/>
        <v>9.1675243354446684E-2</v>
      </c>
      <c r="AB68" s="2">
        <f t="shared" si="28"/>
        <v>0.44552524335444665</v>
      </c>
      <c r="AF68" s="2">
        <v>57.74753294132038</v>
      </c>
      <c r="AG68" s="39">
        <f t="shared" si="31"/>
        <v>45.451607986632389</v>
      </c>
      <c r="AK68" s="2">
        <v>0.23799999999999999</v>
      </c>
      <c r="AL68" s="2">
        <v>0.109</v>
      </c>
      <c r="AM68">
        <v>0</v>
      </c>
      <c r="AN68">
        <v>6.6E-3</v>
      </c>
      <c r="AO68" s="69">
        <v>2.5000000000000001E-4</v>
      </c>
      <c r="AQ68" s="2">
        <f t="shared" si="26"/>
        <v>0.11584999999999999</v>
      </c>
      <c r="AR68" s="2">
        <f t="shared" si="29"/>
        <v>0.35384999999999994</v>
      </c>
      <c r="AU68">
        <v>1989</v>
      </c>
      <c r="AV68" s="1">
        <f t="shared" si="7"/>
        <v>0.90296058277432878</v>
      </c>
      <c r="AW68" s="1">
        <f t="shared" si="21"/>
        <v>0.35384999999999994</v>
      </c>
      <c r="AX68" s="1">
        <f t="shared" si="22"/>
        <v>9.1675243354446684E-2</v>
      </c>
      <c r="AY68" s="1">
        <f t="shared" si="23"/>
        <v>0.44552524335444665</v>
      </c>
      <c r="AZ68" s="22">
        <f t="shared" si="8"/>
        <v>0.45743533941988213</v>
      </c>
      <c r="BB68" s="7">
        <v>60.958084268436387</v>
      </c>
      <c r="BD68" s="22">
        <f t="shared" si="9"/>
        <v>1.4812811025983548</v>
      </c>
      <c r="BE68" s="1">
        <f t="shared" si="24"/>
        <v>1.4835403713507289</v>
      </c>
      <c r="BF68" s="1">
        <f t="shared" si="25"/>
        <v>0.73087146471421527</v>
      </c>
      <c r="BG68" s="1">
        <f t="shared" si="27"/>
        <v>0.7504096378841395</v>
      </c>
      <c r="BH68" s="1">
        <f t="shared" si="11"/>
        <v>0.75266890663651365</v>
      </c>
      <c r="BI68" s="3">
        <f t="shared" si="12"/>
        <v>53.874767217717213</v>
      </c>
      <c r="BJ68">
        <v>0</v>
      </c>
      <c r="BK68" s="23">
        <v>0.4</v>
      </c>
      <c r="BL68" s="23">
        <v>1</v>
      </c>
      <c r="BM68">
        <v>0</v>
      </c>
      <c r="BN68">
        <v>0</v>
      </c>
      <c r="BP68" s="22">
        <f t="shared" si="13"/>
        <v>1.6619512362590254</v>
      </c>
      <c r="BQ68" s="22">
        <f t="shared" si="14"/>
        <v>1.6644860653940645</v>
      </c>
    </row>
    <row r="69" spans="1:69">
      <c r="A69">
        <v>1990</v>
      </c>
      <c r="B69" s="3">
        <f t="shared" si="0"/>
        <v>94.303251108063236</v>
      </c>
      <c r="C69" s="3">
        <f t="shared" si="1"/>
        <v>59.913057002261802</v>
      </c>
      <c r="D69" s="2">
        <v>65.894400000000005</v>
      </c>
      <c r="E69" s="2">
        <v>85.743189999999998</v>
      </c>
      <c r="F69" s="2">
        <f t="shared" si="15"/>
        <v>56.499960591360008</v>
      </c>
      <c r="G69" s="2">
        <v>1.6761999999999999</v>
      </c>
      <c r="H69" s="2">
        <f t="shared" si="16"/>
        <v>0.94705233943237643</v>
      </c>
      <c r="I69" s="32">
        <f t="shared" si="2"/>
        <v>0.94705233943237643</v>
      </c>
      <c r="J69" s="32">
        <f t="shared" si="3"/>
        <v>0.99928561463292442</v>
      </c>
      <c r="K69" s="2">
        <f t="shared" ref="K69:K77" si="32">K$79*L69/L$79</f>
        <v>0.89344999999999997</v>
      </c>
      <c r="L69" s="2">
        <v>83.5</v>
      </c>
      <c r="P69" s="32">
        <f t="shared" si="4"/>
        <v>0.507974301717668</v>
      </c>
      <c r="Q69" s="32">
        <f t="shared" si="5"/>
        <v>0.56020757691821599</v>
      </c>
      <c r="S69" s="2">
        <f>USA!Z77*G69</f>
        <v>41.117185999999997</v>
      </c>
      <c r="T69" s="2">
        <v>1</v>
      </c>
      <c r="U69" s="2">
        <v>0</v>
      </c>
      <c r="V69" s="2">
        <v>0</v>
      </c>
      <c r="X69" s="2">
        <f t="shared" si="17"/>
        <v>0.45906447187969152</v>
      </c>
      <c r="Y69" s="2">
        <f t="shared" si="30"/>
        <v>0.33384999999999998</v>
      </c>
      <c r="Z69" s="2">
        <v>0.125</v>
      </c>
      <c r="AA69" s="2">
        <f t="shared" si="18"/>
        <v>0.10522803771470848</v>
      </c>
      <c r="AB69" s="2">
        <f t="shared" si="28"/>
        <v>0.43907803771470844</v>
      </c>
      <c r="AE69" s="2">
        <v>47</v>
      </c>
      <c r="AF69" s="2">
        <v>63.688680165479624</v>
      </c>
      <c r="AG69" s="39">
        <f t="shared" si="31"/>
        <v>45.90644718796915</v>
      </c>
      <c r="AK69" s="2">
        <v>0.218</v>
      </c>
      <c r="AL69" s="2">
        <v>0.109</v>
      </c>
      <c r="AM69">
        <v>0</v>
      </c>
      <c r="AN69">
        <v>6.6E-3</v>
      </c>
      <c r="AO69" s="69">
        <v>2.5000000000000001E-4</v>
      </c>
      <c r="AQ69" s="2">
        <f t="shared" si="26"/>
        <v>0.11584999999999999</v>
      </c>
      <c r="AR69" s="2">
        <f t="shared" si="29"/>
        <v>0.33384999999999998</v>
      </c>
      <c r="AU69">
        <v>1990</v>
      </c>
      <c r="AV69" s="1">
        <f t="shared" si="7"/>
        <v>0.94705233943237643</v>
      </c>
      <c r="AW69" s="1">
        <f t="shared" si="21"/>
        <v>0.33384999999999998</v>
      </c>
      <c r="AX69" s="1">
        <f t="shared" si="22"/>
        <v>0.10522803771470848</v>
      </c>
      <c r="AY69" s="1">
        <f t="shared" si="23"/>
        <v>0.43907803771470844</v>
      </c>
      <c r="AZ69" s="22">
        <f t="shared" si="8"/>
        <v>0.507974301717668</v>
      </c>
      <c r="BB69" s="7">
        <v>64.675575853115575</v>
      </c>
      <c r="BD69" s="22">
        <f t="shared" si="9"/>
        <v>1.4643121873135279</v>
      </c>
      <c r="BE69" s="1">
        <f t="shared" si="24"/>
        <v>1.498278813147141</v>
      </c>
      <c r="BF69" s="1">
        <f t="shared" si="25"/>
        <v>0.67889312452647765</v>
      </c>
      <c r="BG69" s="1">
        <f t="shared" si="27"/>
        <v>0.7854190627870502</v>
      </c>
      <c r="BH69" s="1">
        <f t="shared" si="11"/>
        <v>0.8193856886206633</v>
      </c>
      <c r="BI69" s="3">
        <f t="shared" si="12"/>
        <v>63.574518599387595</v>
      </c>
      <c r="BJ69">
        <v>0</v>
      </c>
      <c r="BK69" s="23">
        <v>0.4</v>
      </c>
      <c r="BL69" s="23">
        <v>1</v>
      </c>
      <c r="BM69">
        <v>0</v>
      </c>
      <c r="BN69">
        <v>0</v>
      </c>
      <c r="BP69" s="22">
        <f t="shared" si="13"/>
        <v>1.6429126421082436</v>
      </c>
      <c r="BQ69" s="22">
        <f t="shared" si="14"/>
        <v>1.6810221377986287</v>
      </c>
    </row>
    <row r="70" spans="1:69">
      <c r="A70">
        <v>1991</v>
      </c>
      <c r="B70" s="3">
        <f t="shared" si="0"/>
        <v>87.749691506653193</v>
      </c>
      <c r="C70" s="3">
        <f t="shared" si="1"/>
        <v>62.450351141377027</v>
      </c>
      <c r="D70" s="2">
        <v>61.315100000000001</v>
      </c>
      <c r="E70" s="2">
        <v>89.374380000000002</v>
      </c>
      <c r="F70" s="2">
        <f t="shared" si="15"/>
        <v>54.799990471380006</v>
      </c>
      <c r="G70" s="2">
        <v>1.7335100000000001</v>
      </c>
      <c r="H70" s="2">
        <f t="shared" si="16"/>
        <v>0.94996331482041962</v>
      </c>
      <c r="I70" s="32">
        <f t="shared" si="2"/>
        <v>0.94996331482041962</v>
      </c>
      <c r="J70" s="32">
        <f t="shared" si="3"/>
        <v>0.98186168391017548</v>
      </c>
      <c r="K70" s="2">
        <f t="shared" si="32"/>
        <v>0.91164000000000001</v>
      </c>
      <c r="L70" s="2">
        <v>85.2</v>
      </c>
      <c r="P70" s="32">
        <f t="shared" si="4"/>
        <v>0.49606183539592857</v>
      </c>
      <c r="Q70" s="32">
        <f t="shared" si="5"/>
        <v>0.52796020448568448</v>
      </c>
      <c r="S70" s="2">
        <f>USA!Z78*G70</f>
        <v>37.339805400000003</v>
      </c>
      <c r="T70" s="2">
        <v>1</v>
      </c>
      <c r="U70" s="2">
        <v>0</v>
      </c>
      <c r="V70" s="2">
        <v>0</v>
      </c>
      <c r="X70" s="2">
        <f t="shared" si="17"/>
        <v>0.46361286389305911</v>
      </c>
      <c r="Y70" s="2">
        <f t="shared" si="30"/>
        <v>0.34834999999999999</v>
      </c>
      <c r="Z70" s="2">
        <v>0.125</v>
      </c>
      <c r="AA70" s="2">
        <f t="shared" si="18"/>
        <v>0.10555147942449106</v>
      </c>
      <c r="AB70" s="2">
        <f t="shared" si="28"/>
        <v>0.45390147942449105</v>
      </c>
      <c r="AE70" s="2">
        <v>46</v>
      </c>
      <c r="AF70" s="2">
        <v>62.372227906280074</v>
      </c>
      <c r="AG70" s="39">
        <f t="shared" si="31"/>
        <v>46.36128638930591</v>
      </c>
      <c r="AK70" s="2">
        <v>0.21299999999999999</v>
      </c>
      <c r="AL70" s="2">
        <v>0.1</v>
      </c>
      <c r="AM70" s="2">
        <v>5.0000000000000001E-3</v>
      </c>
      <c r="AN70">
        <v>6.6E-3</v>
      </c>
      <c r="AO70" s="69">
        <v>2.5000000000000001E-4</v>
      </c>
      <c r="AP70">
        <v>2.35E-2</v>
      </c>
      <c r="AQ70" s="2">
        <f t="shared" si="26"/>
        <v>0.13535</v>
      </c>
      <c r="AR70" s="2">
        <f t="shared" si="29"/>
        <v>0.34834999999999999</v>
      </c>
      <c r="AU70">
        <v>1991</v>
      </c>
      <c r="AV70" s="1">
        <f t="shared" si="7"/>
        <v>0.94996331482041962</v>
      </c>
      <c r="AW70" s="1">
        <f t="shared" si="21"/>
        <v>0.34834999999999999</v>
      </c>
      <c r="AX70" s="1">
        <f t="shared" si="22"/>
        <v>0.10555147942449106</v>
      </c>
      <c r="AY70" s="1">
        <f t="shared" si="23"/>
        <v>0.45390147942449105</v>
      </c>
      <c r="AZ70" s="22">
        <f t="shared" si="8"/>
        <v>0.49606183539592857</v>
      </c>
      <c r="BB70" s="7">
        <v>66.358692392361306</v>
      </c>
      <c r="BD70" s="22">
        <f t="shared" si="9"/>
        <v>1.4315582187839675</v>
      </c>
      <c r="BE70" s="1">
        <f t="shared" si="24"/>
        <v>1.453153483583562</v>
      </c>
      <c r="BF70" s="1">
        <f t="shared" si="25"/>
        <v>0.68401209104708127</v>
      </c>
      <c r="BG70" s="1">
        <f t="shared" si="27"/>
        <v>0.74754612773688622</v>
      </c>
      <c r="BH70" s="1">
        <f t="shared" si="11"/>
        <v>0.76914139253648084</v>
      </c>
      <c r="BI70" s="3">
        <f t="shared" si="12"/>
        <v>56.269652179430629</v>
      </c>
      <c r="BJ70">
        <v>0</v>
      </c>
      <c r="BK70" s="23">
        <v>0.4</v>
      </c>
      <c r="BL70" s="23">
        <v>1</v>
      </c>
      <c r="BM70">
        <v>0</v>
      </c>
      <c r="BN70">
        <v>0</v>
      </c>
      <c r="BP70" s="22">
        <f t="shared" si="13"/>
        <v>1.6061637101232167</v>
      </c>
      <c r="BQ70" s="22">
        <f t="shared" si="14"/>
        <v>1.6303929242595958</v>
      </c>
    </row>
    <row r="71" spans="1:69">
      <c r="A71">
        <v>1992</v>
      </c>
      <c r="B71" s="3">
        <f t="shared" si="0"/>
        <v>80.818314392790953</v>
      </c>
      <c r="C71" s="3">
        <f t="shared" si="1"/>
        <v>64.341860498266513</v>
      </c>
      <c r="D71" s="2">
        <v>56.471800000000002</v>
      </c>
      <c r="E71" s="2">
        <v>92.081370000000007</v>
      </c>
      <c r="F71" s="2">
        <f t="shared" si="15"/>
        <v>52.00000710366001</v>
      </c>
      <c r="G71" s="2">
        <v>1.8617900000000001</v>
      </c>
      <c r="H71" s="2">
        <f t="shared" si="16"/>
        <v>0.96813093225523172</v>
      </c>
      <c r="I71" s="32">
        <f t="shared" si="2"/>
        <v>0.96813093225523172</v>
      </c>
      <c r="J71" s="32">
        <f t="shared" si="3"/>
        <v>1.0007109601975523</v>
      </c>
      <c r="K71" s="2">
        <f t="shared" si="32"/>
        <v>0.92234000000000005</v>
      </c>
      <c r="L71" s="2">
        <v>86.2</v>
      </c>
      <c r="P71" s="32">
        <f t="shared" si="4"/>
        <v>0.50371082867131711</v>
      </c>
      <c r="Q71" s="32">
        <f t="shared" si="5"/>
        <v>0.53629085661363785</v>
      </c>
      <c r="S71" s="2">
        <f>USA!Z79*G71</f>
        <v>38.315638199999995</v>
      </c>
      <c r="T71" s="2">
        <v>1</v>
      </c>
      <c r="U71" s="2">
        <v>0</v>
      </c>
      <c r="V71" s="2">
        <v>0</v>
      </c>
      <c r="X71" s="2">
        <f t="shared" si="17"/>
        <v>0.46816125590642671</v>
      </c>
      <c r="Y71" s="2">
        <f t="shared" si="30"/>
        <v>0.35685</v>
      </c>
      <c r="Z71" s="2">
        <v>0.125</v>
      </c>
      <c r="AA71" s="2">
        <f t="shared" si="18"/>
        <v>0.10757010358391463</v>
      </c>
      <c r="AB71" s="2">
        <f t="shared" si="28"/>
        <v>0.46442010358391461</v>
      </c>
      <c r="AE71" s="2">
        <v>46</v>
      </c>
      <c r="AF71" s="2">
        <v>64.511944245722603</v>
      </c>
      <c r="AG71" s="39">
        <f t="shared" si="31"/>
        <v>46.81612559064267</v>
      </c>
      <c r="AK71" s="2">
        <v>0.22</v>
      </c>
      <c r="AL71" s="2">
        <v>8.2000000000000003E-2</v>
      </c>
      <c r="AM71" s="2">
        <v>0.02</v>
      </c>
      <c r="AN71">
        <v>6.6E-3</v>
      </c>
      <c r="AO71" s="69">
        <v>2.5000000000000001E-4</v>
      </c>
      <c r="AP71">
        <v>2.8000000000000001E-2</v>
      </c>
      <c r="AQ71" s="2">
        <f t="shared" si="26"/>
        <v>0.13685</v>
      </c>
      <c r="AR71" s="2">
        <f t="shared" si="29"/>
        <v>0.35685</v>
      </c>
      <c r="AU71">
        <v>1992</v>
      </c>
      <c r="AV71" s="1">
        <f t="shared" si="7"/>
        <v>0.96813093225523172</v>
      </c>
      <c r="AW71" s="1">
        <f t="shared" si="21"/>
        <v>0.35685</v>
      </c>
      <c r="AX71" s="1">
        <f t="shared" si="22"/>
        <v>0.10757010358391463</v>
      </c>
      <c r="AY71" s="1">
        <f t="shared" si="23"/>
        <v>0.46442010358391461</v>
      </c>
      <c r="AZ71" s="22">
        <f t="shared" si="8"/>
        <v>0.50371082867131711</v>
      </c>
      <c r="BB71" s="7">
        <v>67.03193915113647</v>
      </c>
      <c r="BD71" s="22">
        <f t="shared" si="9"/>
        <v>1.4442830455380282</v>
      </c>
      <c r="BE71" s="1">
        <f t="shared" si="24"/>
        <v>1.4681013008980965</v>
      </c>
      <c r="BF71" s="1">
        <f t="shared" si="25"/>
        <v>0.69283405711535462</v>
      </c>
      <c r="BG71" s="1">
        <f t="shared" si="27"/>
        <v>0.7514489884226736</v>
      </c>
      <c r="BH71" s="1">
        <f t="shared" si="11"/>
        <v>0.77526724378274192</v>
      </c>
      <c r="BI71" s="3">
        <f t="shared" si="12"/>
        <v>57.160271185964021</v>
      </c>
      <c r="BJ71">
        <v>0</v>
      </c>
      <c r="BK71" s="23">
        <v>0.4</v>
      </c>
      <c r="BL71" s="23">
        <v>1</v>
      </c>
      <c r="BM71">
        <v>0</v>
      </c>
      <c r="BN71">
        <v>0</v>
      </c>
      <c r="BP71" s="22">
        <f t="shared" si="13"/>
        <v>1.6204405692001314</v>
      </c>
      <c r="BQ71" s="22">
        <f t="shared" si="14"/>
        <v>1.6471639094707671</v>
      </c>
    </row>
    <row r="72" spans="1:69">
      <c r="A72">
        <v>1993</v>
      </c>
      <c r="B72" s="3">
        <f t="shared" si="0"/>
        <v>77.746400413705345</v>
      </c>
      <c r="C72" s="3">
        <f t="shared" si="1"/>
        <v>66.241014180537462</v>
      </c>
      <c r="D72" s="2">
        <v>54.325299999999999</v>
      </c>
      <c r="E72" s="2">
        <v>94.799300000000002</v>
      </c>
      <c r="F72" s="2">
        <f t="shared" si="15"/>
        <v>51.500004122900002</v>
      </c>
      <c r="G72" s="2">
        <v>1.8505100000000001</v>
      </c>
      <c r="H72" s="2">
        <f t="shared" si="16"/>
        <v>0.95301272629467693</v>
      </c>
      <c r="I72" s="32">
        <f t="shared" si="2"/>
        <v>0.95301272629467693</v>
      </c>
      <c r="J72" s="32">
        <f t="shared" si="3"/>
        <v>0.95948422172221148</v>
      </c>
      <c r="K72" s="2">
        <f t="shared" si="32"/>
        <v>0.91484999999999994</v>
      </c>
      <c r="L72" s="2">
        <v>85.5</v>
      </c>
      <c r="P72" s="32">
        <f t="shared" si="4"/>
        <v>0.49387242337304621</v>
      </c>
      <c r="Q72" s="32">
        <f t="shared" si="5"/>
        <v>0.50034391880058082</v>
      </c>
      <c r="S72" s="2">
        <f>USA!Z80*G72</f>
        <v>34.1048993</v>
      </c>
      <c r="T72" s="2">
        <v>1</v>
      </c>
      <c r="U72" s="2">
        <v>0</v>
      </c>
      <c r="V72" s="2">
        <v>0</v>
      </c>
      <c r="X72" s="2">
        <f t="shared" si="17"/>
        <v>0.47270964791979431</v>
      </c>
      <c r="Y72" s="2">
        <f t="shared" si="30"/>
        <v>0.35324999999999995</v>
      </c>
      <c r="Z72" s="2">
        <v>0.125</v>
      </c>
      <c r="AA72" s="2">
        <f t="shared" si="18"/>
        <v>0.10589030292163076</v>
      </c>
      <c r="AB72" s="2">
        <f t="shared" si="28"/>
        <v>0.45914030292163072</v>
      </c>
      <c r="AF72" s="2">
        <v>64.477768788570373</v>
      </c>
      <c r="AG72" s="39">
        <f t="shared" si="31"/>
        <v>47.270964791979431</v>
      </c>
      <c r="AK72" s="2">
        <v>0.20799999999999999</v>
      </c>
      <c r="AL72" s="2">
        <v>9.4E-2</v>
      </c>
      <c r="AM72" s="2">
        <v>0.02</v>
      </c>
      <c r="AN72">
        <v>6.6E-3</v>
      </c>
      <c r="AO72" s="69">
        <v>2.5000000000000001E-4</v>
      </c>
      <c r="AP72">
        <v>2.4400000000000002E-2</v>
      </c>
      <c r="AQ72" s="2">
        <f t="shared" si="26"/>
        <v>0.14524999999999999</v>
      </c>
      <c r="AR72" s="2">
        <f>SUM(AK72:AP72)</f>
        <v>0.35324999999999995</v>
      </c>
      <c r="AU72">
        <v>1993</v>
      </c>
      <c r="AV72" s="1">
        <f t="shared" si="7"/>
        <v>0.95301272629467693</v>
      </c>
      <c r="AW72" s="1">
        <f t="shared" si="21"/>
        <v>0.35324999999999995</v>
      </c>
      <c r="AX72" s="1">
        <f t="shared" si="22"/>
        <v>0.10589030292163076</v>
      </c>
      <c r="AY72" s="1">
        <f t="shared" si="23"/>
        <v>0.45914030292163072</v>
      </c>
      <c r="AZ72" s="22">
        <f t="shared" si="8"/>
        <v>0.49387242337304621</v>
      </c>
      <c r="BB72" s="7">
        <v>67.895451294475322</v>
      </c>
      <c r="BD72" s="22">
        <f t="shared" si="9"/>
        <v>1.4036473845078101</v>
      </c>
      <c r="BE72" s="1">
        <f t="shared" si="24"/>
        <v>1.4038558035876831</v>
      </c>
      <c r="BF72" s="1">
        <f t="shared" si="25"/>
        <v>0.67624604324412396</v>
      </c>
      <c r="BG72" s="1">
        <f t="shared" si="27"/>
        <v>0.72740134126368616</v>
      </c>
      <c r="BH72" s="1">
        <f t="shared" si="11"/>
        <v>0.72760976034355929</v>
      </c>
      <c r="BI72" s="3">
        <f t="shared" si="12"/>
        <v>50.231493641717826</v>
      </c>
      <c r="BJ72">
        <v>0</v>
      </c>
      <c r="BK72" s="23">
        <v>0.4</v>
      </c>
      <c r="BL72" s="23">
        <v>1</v>
      </c>
      <c r="BM72">
        <v>0</v>
      </c>
      <c r="BN72">
        <v>0</v>
      </c>
      <c r="BP72" s="22">
        <f t="shared" si="13"/>
        <v>1.5748486238449184</v>
      </c>
      <c r="BQ72" s="22">
        <f t="shared" si="14"/>
        <v>1.5750824635576155</v>
      </c>
    </row>
    <row r="73" spans="1:69">
      <c r="A73">
        <v>1994</v>
      </c>
      <c r="B73" s="3">
        <f t="shared" si="0"/>
        <v>78.419030076025535</v>
      </c>
      <c r="C73" s="3">
        <f t="shared" si="1"/>
        <v>67.968212466727536</v>
      </c>
      <c r="D73" s="2">
        <v>54.795299999999997</v>
      </c>
      <c r="E73" s="2">
        <v>97.271140000000003</v>
      </c>
      <c r="F73" s="2">
        <f t="shared" si="15"/>
        <v>53.30001297642</v>
      </c>
      <c r="G73" s="2">
        <v>1.68652</v>
      </c>
      <c r="H73" s="2">
        <f t="shared" si="16"/>
        <v>0.89891537884991868</v>
      </c>
      <c r="I73" s="32">
        <f t="shared" si="2"/>
        <v>0.89891537884991868</v>
      </c>
      <c r="J73" s="32">
        <f t="shared" si="3"/>
        <v>0.9065625750152464</v>
      </c>
      <c r="K73" s="2">
        <f t="shared" si="32"/>
        <v>0.87204999999999999</v>
      </c>
      <c r="L73" s="2">
        <v>81.5</v>
      </c>
      <c r="P73" s="32">
        <f t="shared" si="4"/>
        <v>0.44918589231103884</v>
      </c>
      <c r="Q73" s="32">
        <f t="shared" si="5"/>
        <v>0.4568330884763665</v>
      </c>
      <c r="S73" s="2">
        <f>USA!Z81*G73</f>
        <v>29.008143999999998</v>
      </c>
      <c r="T73" s="2">
        <v>1</v>
      </c>
      <c r="U73" s="2">
        <v>0</v>
      </c>
      <c r="V73" s="2">
        <v>0</v>
      </c>
      <c r="X73" s="2">
        <f t="shared" si="17"/>
        <v>0.4772580399331619</v>
      </c>
      <c r="Y73" s="2">
        <f t="shared" si="30"/>
        <v>0.34984999999999999</v>
      </c>
      <c r="Z73" s="2">
        <v>0.125</v>
      </c>
      <c r="AA73" s="2">
        <f t="shared" si="18"/>
        <v>9.9879486538879847E-2</v>
      </c>
      <c r="AB73" s="2">
        <f t="shared" si="28"/>
        <v>0.44972948653887984</v>
      </c>
      <c r="AE73" s="2">
        <v>46</v>
      </c>
      <c r="AF73" s="2">
        <v>63.635480713487446</v>
      </c>
      <c r="AG73" s="39">
        <f t="shared" si="31"/>
        <v>47.725803993316191</v>
      </c>
      <c r="AK73" s="2">
        <v>0.20799999999999999</v>
      </c>
      <c r="AL73" s="2">
        <v>9.4E-2</v>
      </c>
      <c r="AM73" s="2">
        <v>0.02</v>
      </c>
      <c r="AN73">
        <v>6.6E-3</v>
      </c>
      <c r="AO73" s="69">
        <v>2.5000000000000001E-4</v>
      </c>
      <c r="AP73">
        <v>2.1000000000000001E-2</v>
      </c>
      <c r="AQ73" s="2">
        <f t="shared" si="26"/>
        <v>0.14185</v>
      </c>
      <c r="AR73" s="2">
        <f t="shared" si="29"/>
        <v>0.34984999999999999</v>
      </c>
      <c r="AU73">
        <v>1994</v>
      </c>
      <c r="AV73" s="1">
        <f t="shared" si="7"/>
        <v>0.89891537884991868</v>
      </c>
      <c r="AW73" s="1">
        <f t="shared" si="21"/>
        <v>0.34984999999999999</v>
      </c>
      <c r="AX73" s="1">
        <f t="shared" si="22"/>
        <v>9.9879486538879847E-2</v>
      </c>
      <c r="AY73" s="1">
        <f t="shared" si="23"/>
        <v>0.44972948653887984</v>
      </c>
      <c r="AZ73" s="22">
        <f t="shared" si="8"/>
        <v>0.44918589231103884</v>
      </c>
      <c r="BB73" s="7">
        <v>69.080482206460786</v>
      </c>
      <c r="BD73" s="22">
        <f t="shared" si="9"/>
        <v>1.3012581124771696</v>
      </c>
      <c r="BE73" s="1">
        <f t="shared" si="24"/>
        <v>1.2972978130833761</v>
      </c>
      <c r="BF73" s="1">
        <f t="shared" si="25"/>
        <v>0.6510225061758742</v>
      </c>
      <c r="BG73" s="1">
        <f t="shared" si="27"/>
        <v>0.6502356063012954</v>
      </c>
      <c r="BH73" s="1">
        <f t="shared" si="11"/>
        <v>0.64627530690750179</v>
      </c>
      <c r="BI73" s="3">
        <f t="shared" si="12"/>
        <v>41.991808790945292</v>
      </c>
      <c r="BJ73">
        <v>0</v>
      </c>
      <c r="BK73" s="23">
        <v>0.5</v>
      </c>
      <c r="BL73" s="23">
        <v>1</v>
      </c>
      <c r="BM73">
        <v>0</v>
      </c>
      <c r="BN73">
        <v>0</v>
      </c>
      <c r="BP73" s="22">
        <f t="shared" si="13"/>
        <v>1.4599710513622262</v>
      </c>
      <c r="BQ73" s="22">
        <f t="shared" si="14"/>
        <v>1.45552771885638</v>
      </c>
    </row>
    <row r="74" spans="1:69">
      <c r="A74">
        <v>1995</v>
      </c>
      <c r="B74" s="3">
        <f t="shared" si="0"/>
        <v>84.436489525296992</v>
      </c>
      <c r="C74" s="3">
        <f t="shared" si="1"/>
        <v>69.875003486879606</v>
      </c>
      <c r="D74" s="2">
        <v>59</v>
      </c>
      <c r="E74" s="2">
        <v>100</v>
      </c>
      <c r="F74" s="2">
        <f t="shared" si="15"/>
        <v>59</v>
      </c>
      <c r="G74" s="2">
        <v>1.5238799999999999</v>
      </c>
      <c r="H74" s="2">
        <f t="shared" si="16"/>
        <v>0.89908919999999992</v>
      </c>
      <c r="I74" s="32">
        <f t="shared" si="2"/>
        <v>0.89908919999999992</v>
      </c>
      <c r="J74" s="32">
        <f t="shared" si="3"/>
        <v>0.89670196428718485</v>
      </c>
      <c r="K74" s="2">
        <f t="shared" si="32"/>
        <v>0.87740000000000007</v>
      </c>
      <c r="L74" s="2">
        <v>82</v>
      </c>
      <c r="M74" s="2">
        <f>G74*N74/100</f>
        <v>0.92956679999999992</v>
      </c>
      <c r="N74" s="39">
        <v>61</v>
      </c>
      <c r="P74" s="32">
        <f t="shared" si="4"/>
        <v>0.45134039999999997</v>
      </c>
      <c r="Q74" s="32">
        <f t="shared" si="5"/>
        <v>0.4489531642871849</v>
      </c>
      <c r="S74" s="2">
        <f>USA!Z82*G74</f>
        <v>28.085108399999999</v>
      </c>
      <c r="T74" s="2">
        <v>1</v>
      </c>
      <c r="U74" s="2">
        <v>0</v>
      </c>
      <c r="V74" s="2">
        <v>0</v>
      </c>
      <c r="X74" s="2">
        <f t="shared" si="17"/>
        <v>0.4818064319465295</v>
      </c>
      <c r="Y74" s="2">
        <f t="shared" si="30"/>
        <v>0.34784999999999999</v>
      </c>
      <c r="Z74" s="2">
        <v>0.125</v>
      </c>
      <c r="AA74" s="2">
        <f t="shared" si="18"/>
        <v>9.9898799999999982E-2</v>
      </c>
      <c r="AB74" s="2">
        <f t="shared" si="28"/>
        <v>0.44774879999999995</v>
      </c>
      <c r="AF74" s="2">
        <v>59.377735704916809</v>
      </c>
      <c r="AG74" s="39">
        <f t="shared" si="31"/>
        <v>48.180643194652951</v>
      </c>
      <c r="AK74" s="2">
        <v>0.20799999999999999</v>
      </c>
      <c r="AL74" s="2">
        <v>9.4E-2</v>
      </c>
      <c r="AM74" s="2">
        <v>0.02</v>
      </c>
      <c r="AN74">
        <v>6.6E-3</v>
      </c>
      <c r="AO74" s="69">
        <v>2.5000000000000001E-4</v>
      </c>
      <c r="AP74">
        <v>1.9E-2</v>
      </c>
      <c r="AQ74" s="2">
        <f t="shared" si="26"/>
        <v>0.13985</v>
      </c>
      <c r="AR74" s="2">
        <f t="shared" si="29"/>
        <v>0.34784999999999999</v>
      </c>
      <c r="AU74">
        <v>1995</v>
      </c>
      <c r="AV74" s="1">
        <f t="shared" si="7"/>
        <v>0.89908919999999992</v>
      </c>
      <c r="AW74" s="1">
        <f t="shared" si="21"/>
        <v>0.34784999999999999</v>
      </c>
      <c r="AX74" s="1">
        <f t="shared" si="22"/>
        <v>9.9898799999999982E-2</v>
      </c>
      <c r="AY74" s="1">
        <f t="shared" si="23"/>
        <v>0.44774879999999995</v>
      </c>
      <c r="AZ74" s="22">
        <f t="shared" si="8"/>
        <v>0.45134039999999997</v>
      </c>
      <c r="BB74" s="7">
        <v>71.674413555828892</v>
      </c>
      <c r="BD74" s="22">
        <f t="shared" si="9"/>
        <v>1.2544074731768515</v>
      </c>
      <c r="BE74" s="1">
        <f t="shared" si="24"/>
        <v>1.2516628690611709</v>
      </c>
      <c r="BF74" s="1">
        <f t="shared" si="25"/>
        <v>0.6246982399810469</v>
      </c>
      <c r="BG74" s="1">
        <f t="shared" si="27"/>
        <v>0.62970923319580463</v>
      </c>
      <c r="BH74" s="1">
        <f t="shared" si="11"/>
        <v>0.62696462908012396</v>
      </c>
      <c r="BI74" s="3">
        <f t="shared" si="12"/>
        <v>39.184287679066735</v>
      </c>
      <c r="BJ74">
        <v>0</v>
      </c>
      <c r="BK74" s="23">
        <v>0.5</v>
      </c>
      <c r="BL74" s="23">
        <v>1</v>
      </c>
      <c r="BM74">
        <v>0</v>
      </c>
      <c r="BN74">
        <v>0</v>
      </c>
      <c r="BP74" s="22">
        <f t="shared" si="13"/>
        <v>1.4074060940640425</v>
      </c>
      <c r="BQ74" s="22">
        <f t="shared" si="14"/>
        <v>1.4043267337757785</v>
      </c>
    </row>
    <row r="75" spans="1:69">
      <c r="A75">
        <v>1996</v>
      </c>
      <c r="B75" s="3">
        <f t="shared" si="0"/>
        <v>86.481140586056171</v>
      </c>
      <c r="C75" s="3">
        <f t="shared" si="1"/>
        <v>71.923179589087013</v>
      </c>
      <c r="D75" s="2">
        <v>60.428699999999999</v>
      </c>
      <c r="E75" s="2">
        <v>102.9312</v>
      </c>
      <c r="F75" s="2">
        <f t="shared" si="15"/>
        <v>62.199986054400007</v>
      </c>
      <c r="G75" s="2">
        <v>1.45485</v>
      </c>
      <c r="H75" s="2">
        <f t="shared" si="16"/>
        <v>0.90491649711243849</v>
      </c>
      <c r="I75" s="32">
        <f t="shared" si="2"/>
        <v>0.90491649711243849</v>
      </c>
      <c r="J75" s="32">
        <f t="shared" si="3"/>
        <v>0.91331833940497864</v>
      </c>
      <c r="K75" s="2">
        <f t="shared" si="32"/>
        <v>0.88168000000000002</v>
      </c>
      <c r="L75" s="2">
        <v>82.4</v>
      </c>
      <c r="M75" s="2">
        <f t="shared" ref="M75:M87" si="33">G75*N75/100</f>
        <v>0.902007</v>
      </c>
      <c r="N75" s="2">
        <f>N74+(N$77-N$74)/3</f>
        <v>62</v>
      </c>
      <c r="P75" s="32">
        <f t="shared" si="4"/>
        <v>0.4755202196555009</v>
      </c>
      <c r="Q75" s="32">
        <f t="shared" si="5"/>
        <v>0.4839220619480411</v>
      </c>
      <c r="S75" s="2">
        <f>USA!Z83*G75</f>
        <v>32.181282000000003</v>
      </c>
      <c r="T75" s="2">
        <v>1</v>
      </c>
      <c r="U75" s="2">
        <v>0</v>
      </c>
      <c r="V75" s="2">
        <v>0</v>
      </c>
      <c r="X75" s="2">
        <f t="shared" si="17"/>
        <v>0.4863548239598971</v>
      </c>
      <c r="Y75" s="2">
        <f t="shared" si="30"/>
        <v>0.32884999999999998</v>
      </c>
      <c r="Z75" s="2">
        <v>0.125</v>
      </c>
      <c r="AA75" s="2">
        <f t="shared" si="18"/>
        <v>0.1005462774569376</v>
      </c>
      <c r="AB75" s="2">
        <f t="shared" si="28"/>
        <v>0.42939627745693759</v>
      </c>
      <c r="AF75" s="2">
        <v>64.378832296333826</v>
      </c>
      <c r="AG75" s="39">
        <f t="shared" si="31"/>
        <v>48.635482395989712</v>
      </c>
      <c r="AK75" s="2">
        <v>0.20799999999999999</v>
      </c>
      <c r="AL75" s="2">
        <v>9.4E-2</v>
      </c>
      <c r="AM75" s="2">
        <v>0.02</v>
      </c>
      <c r="AN75">
        <v>6.6E-3</v>
      </c>
      <c r="AO75" s="69">
        <v>2.5000000000000001E-4</v>
      </c>
      <c r="AQ75" s="2">
        <f t="shared" si="26"/>
        <v>0.12085</v>
      </c>
      <c r="AR75" s="2">
        <f t="shared" si="29"/>
        <v>0.32884999999999998</v>
      </c>
      <c r="AU75">
        <v>1996</v>
      </c>
      <c r="AV75" s="1">
        <f t="shared" si="7"/>
        <v>0.90491649711243849</v>
      </c>
      <c r="AW75" s="1">
        <f t="shared" si="21"/>
        <v>0.32884999999999998</v>
      </c>
      <c r="AX75" s="1">
        <f t="shared" si="22"/>
        <v>0.1005462774569376</v>
      </c>
      <c r="AY75" s="1">
        <f t="shared" si="23"/>
        <v>0.42939627745693759</v>
      </c>
      <c r="AZ75" s="22">
        <f t="shared" si="8"/>
        <v>0.4755202196555009</v>
      </c>
      <c r="BB75" s="7">
        <v>73.31268566089237</v>
      </c>
      <c r="BD75" s="22">
        <f t="shared" si="9"/>
        <v>1.2343245769199171</v>
      </c>
      <c r="BE75" s="1">
        <f t="shared" si="24"/>
        <v>1.2450774832124378</v>
      </c>
      <c r="BF75" s="1">
        <f t="shared" si="25"/>
        <v>0.58570528904521235</v>
      </c>
      <c r="BG75" s="1">
        <f t="shared" si="27"/>
        <v>0.6486192878747048</v>
      </c>
      <c r="BH75" s="1">
        <f t="shared" si="11"/>
        <v>0.65937219416722559</v>
      </c>
      <c r="BI75" s="3">
        <f t="shared" si="12"/>
        <v>43.895925664017327</v>
      </c>
      <c r="BJ75">
        <v>0</v>
      </c>
      <c r="BK75" s="23">
        <v>0.5</v>
      </c>
      <c r="BL75" s="23">
        <v>1</v>
      </c>
      <c r="BM75">
        <v>0</v>
      </c>
      <c r="BN75">
        <v>0</v>
      </c>
      <c r="BP75" s="22">
        <f t="shared" si="13"/>
        <v>1.3848737103029003</v>
      </c>
      <c r="BQ75" s="22">
        <f t="shared" si="14"/>
        <v>1.3969381360725159</v>
      </c>
    </row>
    <row r="76" spans="1:69">
      <c r="A76">
        <v>1997</v>
      </c>
      <c r="B76" s="3">
        <f t="shared" si="0"/>
        <v>81.245076446628985</v>
      </c>
      <c r="C76" s="3">
        <f t="shared" si="1"/>
        <v>73.604511922988308</v>
      </c>
      <c r="D76" s="2">
        <v>56.77</v>
      </c>
      <c r="E76" s="2">
        <v>105.3374</v>
      </c>
      <c r="F76" s="2">
        <f t="shared" si="15"/>
        <v>59.800041980000003</v>
      </c>
      <c r="G76" s="2">
        <v>1.5124200000000001</v>
      </c>
      <c r="H76" s="2">
        <f t="shared" si="16"/>
        <v>0.90442779491391601</v>
      </c>
      <c r="I76" s="32">
        <f>H76</f>
        <v>0.90442779491391601</v>
      </c>
      <c r="J76" s="32">
        <f t="shared" si="3"/>
        <v>0.90463909217935723</v>
      </c>
      <c r="K76" s="2">
        <f t="shared" si="32"/>
        <v>0.88917000000000002</v>
      </c>
      <c r="L76" s="2">
        <v>83.1</v>
      </c>
      <c r="M76" s="2">
        <f t="shared" si="33"/>
        <v>0.95282460000000002</v>
      </c>
      <c r="N76" s="2">
        <f>N75+(N$77-N$74)/3</f>
        <v>63</v>
      </c>
      <c r="P76" s="32">
        <f t="shared" si="4"/>
        <v>0.47508581770125868</v>
      </c>
      <c r="Q76" s="32">
        <f t="shared" si="5"/>
        <v>0.47529711496669991</v>
      </c>
      <c r="S76" s="2">
        <f>USA!Z84*G76</f>
        <v>31.170976200000002</v>
      </c>
      <c r="T76" s="2">
        <v>1</v>
      </c>
      <c r="U76" s="2">
        <v>0</v>
      </c>
      <c r="V76" s="2">
        <v>0</v>
      </c>
      <c r="X76" s="2">
        <f t="shared" si="17"/>
        <v>0.49090321597326469</v>
      </c>
      <c r="Y76" s="2">
        <f t="shared" si="30"/>
        <v>0.32884999999999998</v>
      </c>
      <c r="Z76" s="2">
        <v>0.125</v>
      </c>
      <c r="AA76" s="2">
        <f t="shared" si="18"/>
        <v>0.10049197721265733</v>
      </c>
      <c r="AB76" s="2">
        <f t="shared" si="28"/>
        <v>0.42934197721265732</v>
      </c>
      <c r="AF76" s="2">
        <v>69.094755143171483</v>
      </c>
      <c r="AG76" s="39">
        <f t="shared" si="31"/>
        <v>49.090321597326472</v>
      </c>
      <c r="AK76" s="2">
        <v>0.20799999999999999</v>
      </c>
      <c r="AL76" s="2">
        <v>9.4E-2</v>
      </c>
      <c r="AM76" s="2">
        <v>0.02</v>
      </c>
      <c r="AN76">
        <v>6.6E-3</v>
      </c>
      <c r="AO76" s="69">
        <v>2.5000000000000001E-4</v>
      </c>
      <c r="AQ76" s="2">
        <f t="shared" si="26"/>
        <v>0.12085</v>
      </c>
      <c r="AR76" s="2">
        <f t="shared" si="29"/>
        <v>0.32884999999999998</v>
      </c>
      <c r="AU76">
        <v>1997</v>
      </c>
      <c r="AV76" s="1">
        <f t="shared" ref="AV76:AV96" si="34">I76</f>
        <v>0.90442779491391601</v>
      </c>
      <c r="AW76" s="1">
        <f t="shared" si="21"/>
        <v>0.32884999999999998</v>
      </c>
      <c r="AX76" s="1">
        <f t="shared" si="22"/>
        <v>0.10049197721265733</v>
      </c>
      <c r="AY76" s="1">
        <f t="shared" si="23"/>
        <v>0.42934197721265732</v>
      </c>
      <c r="AZ76" s="22">
        <f t="shared" ref="AZ76:AZ96" si="35">AV76-AY76</f>
        <v>0.47508581770125868</v>
      </c>
      <c r="BB76" s="7">
        <v>74.183017941842508</v>
      </c>
      <c r="BD76" s="22">
        <f t="shared" ref="BD76:BD96" si="36">AV76/$BB76*100</f>
        <v>1.2191844171437769</v>
      </c>
      <c r="BE76" s="1">
        <f t="shared" si="24"/>
        <v>1.2252229239372712</v>
      </c>
      <c r="BF76" s="1">
        <f t="shared" si="25"/>
        <v>0.57876046179362761</v>
      </c>
      <c r="BG76" s="1">
        <f t="shared" si="27"/>
        <v>0.64042395535014929</v>
      </c>
      <c r="BH76" s="1">
        <f t="shared" ref="BH76:BH97" si="37">BE$99+BE$100*BI76+BE$101*BJ76+BE$102*BK76+BE$103*BL76+BE$104*BM76+BE$105*BN76</f>
        <v>0.64646246214364345</v>
      </c>
      <c r="BI76" s="3">
        <f t="shared" ref="BI76:BI96" si="38">S76/BB76*100</f>
        <v>42.019018725333076</v>
      </c>
      <c r="BJ76">
        <v>0</v>
      </c>
      <c r="BK76" s="23">
        <v>0.5</v>
      </c>
      <c r="BL76" s="23">
        <v>1</v>
      </c>
      <c r="BM76">
        <v>0</v>
      </c>
      <c r="BN76">
        <v>0</v>
      </c>
      <c r="BP76" s="22">
        <f t="shared" si="13"/>
        <v>1.3678869228437356</v>
      </c>
      <c r="BQ76" s="22">
        <f t="shared" si="14"/>
        <v>1.3746619392892989</v>
      </c>
    </row>
    <row r="77" spans="1:69">
      <c r="A77">
        <v>1998</v>
      </c>
      <c r="B77" s="3">
        <f t="shared" si="0"/>
        <v>60.838052179155099</v>
      </c>
      <c r="C77" s="3">
        <f t="shared" si="1"/>
        <v>74.747038105002289</v>
      </c>
      <c r="D77" s="2">
        <v>42.440800000000003</v>
      </c>
      <c r="E77" s="2">
        <v>106.9725</v>
      </c>
      <c r="F77" s="2">
        <f t="shared" si="15"/>
        <v>45.399984780000004</v>
      </c>
      <c r="G77" s="2">
        <v>1.86825</v>
      </c>
      <c r="H77" s="2">
        <f t="shared" si="16"/>
        <v>0.84818521565235006</v>
      </c>
      <c r="I77" s="32">
        <f>K77</f>
        <v>0.84958000000000011</v>
      </c>
      <c r="J77" s="32">
        <f t="shared" si="3"/>
        <v>0.87242659837453107</v>
      </c>
      <c r="K77" s="2">
        <f t="shared" si="32"/>
        <v>0.84958000000000011</v>
      </c>
      <c r="L77" s="2">
        <v>79.400000000000006</v>
      </c>
      <c r="M77" s="2">
        <f t="shared" si="33"/>
        <v>1.1956800000000001</v>
      </c>
      <c r="N77" s="39">
        <v>64</v>
      </c>
      <c r="P77" s="32">
        <f t="shared" si="4"/>
        <v>0.41633222222222233</v>
      </c>
      <c r="Q77" s="32">
        <f t="shared" si="5"/>
        <v>0.43917882059675328</v>
      </c>
      <c r="S77" s="2">
        <f>USA!Z85*G77</f>
        <v>26.940165</v>
      </c>
      <c r="T77" s="2">
        <v>1</v>
      </c>
      <c r="U77" s="2">
        <v>0</v>
      </c>
      <c r="V77" s="2">
        <v>0</v>
      </c>
      <c r="X77" s="2">
        <f t="shared" si="17"/>
        <v>0.49545160798663235</v>
      </c>
      <c r="Y77" s="2">
        <f t="shared" si="30"/>
        <v>0.33884999999999998</v>
      </c>
      <c r="Z77" s="2">
        <v>0.125</v>
      </c>
      <c r="AA77" s="2">
        <f t="shared" si="18"/>
        <v>9.4397777777777789E-2</v>
      </c>
      <c r="AB77" s="2">
        <f t="shared" si="28"/>
        <v>0.43324777777777779</v>
      </c>
      <c r="AF77" s="2">
        <v>53.744477885263301</v>
      </c>
      <c r="AG77" s="39">
        <f t="shared" si="31"/>
        <v>49.545160798663233</v>
      </c>
      <c r="AK77" s="2">
        <v>0.19700000000000001</v>
      </c>
      <c r="AL77" s="2">
        <v>0.115</v>
      </c>
      <c r="AM77" s="2">
        <v>0.02</v>
      </c>
      <c r="AN77">
        <v>6.6E-3</v>
      </c>
      <c r="AO77" s="69">
        <v>2.5000000000000001E-4</v>
      </c>
      <c r="AQ77" s="2">
        <f t="shared" si="26"/>
        <v>0.14185</v>
      </c>
      <c r="AR77" s="2">
        <f t="shared" si="29"/>
        <v>0.33884999999999998</v>
      </c>
      <c r="AU77">
        <v>1998</v>
      </c>
      <c r="AV77" s="1">
        <f t="shared" si="34"/>
        <v>0.84958000000000011</v>
      </c>
      <c r="AW77" s="1">
        <f t="shared" si="21"/>
        <v>0.33884999999999998</v>
      </c>
      <c r="AX77" s="1">
        <f t="shared" si="22"/>
        <v>9.4397777777777789E-2</v>
      </c>
      <c r="AY77" s="1">
        <f t="shared" ref="AY77:AY96" si="39">AB77</f>
        <v>0.43324777777777779</v>
      </c>
      <c r="AZ77" s="22">
        <f t="shared" si="35"/>
        <v>0.41633222222222233</v>
      </c>
      <c r="BB77" s="7">
        <v>75.121611158049873</v>
      </c>
      <c r="BD77" s="22">
        <f t="shared" si="36"/>
        <v>1.1309395351126743</v>
      </c>
      <c r="BE77" s="1">
        <f t="shared" si="24"/>
        <v>1.1315217308896302</v>
      </c>
      <c r="BF77" s="1">
        <f t="shared" si="25"/>
        <v>0.5767285486812298</v>
      </c>
      <c r="BG77" s="1">
        <f t="shared" si="27"/>
        <v>0.55421098643144451</v>
      </c>
      <c r="BH77" s="1">
        <f t="shared" si="37"/>
        <v>0.55479318220840035</v>
      </c>
      <c r="BI77" s="3">
        <f t="shared" si="38"/>
        <v>35.862070294685303</v>
      </c>
      <c r="BJ77">
        <v>0</v>
      </c>
      <c r="BK77" s="23">
        <v>0.7</v>
      </c>
      <c r="BL77" s="23">
        <v>1</v>
      </c>
      <c r="BM77">
        <v>0</v>
      </c>
      <c r="BN77">
        <v>0</v>
      </c>
      <c r="BP77" s="22">
        <f t="shared" si="13"/>
        <v>1.2688789151618278</v>
      </c>
      <c r="BQ77" s="22">
        <f t="shared" si="14"/>
        <v>1.2695321206807257</v>
      </c>
    </row>
    <row r="78" spans="1:69">
      <c r="A78">
        <v>1999</v>
      </c>
      <c r="B78" s="3">
        <f t="shared" si="0"/>
        <v>59.841697988398622</v>
      </c>
      <c r="C78" s="3">
        <f t="shared" si="1"/>
        <v>75.889564287016256</v>
      </c>
      <c r="D78" s="2">
        <f>F78/E78*100</f>
        <v>41.814388556001504</v>
      </c>
      <c r="E78" s="2">
        <v>108.60760000000001</v>
      </c>
      <c r="F78" s="2">
        <f>I78/G78*100</f>
        <v>45.413603865347888</v>
      </c>
      <c r="G78" s="2">
        <v>1.88961</v>
      </c>
      <c r="I78" s="32">
        <f>K78</f>
        <v>0.85814000000000012</v>
      </c>
      <c r="J78" s="32">
        <f t="shared" si="3"/>
        <v>0.76627625790720721</v>
      </c>
      <c r="K78" s="2">
        <f>K$79*L78/L$79</f>
        <v>0.85814000000000012</v>
      </c>
      <c r="L78" s="2">
        <v>80.2</v>
      </c>
      <c r="M78" s="2">
        <f t="shared" si="33"/>
        <v>1.0581816000000002</v>
      </c>
      <c r="N78" s="2">
        <f>(N77+N79)/2</f>
        <v>56</v>
      </c>
      <c r="P78" s="32">
        <f t="shared" si="4"/>
        <v>0.4129411111111112</v>
      </c>
      <c r="Q78" s="32">
        <f t="shared" si="5"/>
        <v>0.32107736901831829</v>
      </c>
      <c r="S78" s="2">
        <f>USA!Z86*G78</f>
        <v>33.030382799999998</v>
      </c>
      <c r="T78" s="2">
        <v>0</v>
      </c>
      <c r="U78" s="2">
        <v>0</v>
      </c>
      <c r="V78" s="2">
        <v>0</v>
      </c>
      <c r="X78" s="2">
        <f t="shared" si="17"/>
        <v>0.5</v>
      </c>
      <c r="Y78" s="2">
        <f>AR78</f>
        <v>0.34984999999999999</v>
      </c>
      <c r="Z78" s="2">
        <v>0.125</v>
      </c>
      <c r="AA78" s="2">
        <f t="shared" si="18"/>
        <v>9.53488888888889E-2</v>
      </c>
      <c r="AB78" s="2">
        <f t="shared" si="28"/>
        <v>0.44519888888888892</v>
      </c>
      <c r="AF78" s="2">
        <v>44.106084069689771</v>
      </c>
      <c r="AG78" s="39">
        <v>50</v>
      </c>
      <c r="AK78" s="2">
        <v>0.187</v>
      </c>
      <c r="AL78" s="2">
        <v>0.13600000000000001</v>
      </c>
      <c r="AM78" s="2">
        <v>0.02</v>
      </c>
      <c r="AN78">
        <v>6.6E-3</v>
      </c>
      <c r="AO78" s="69">
        <v>2.5000000000000001E-4</v>
      </c>
      <c r="AQ78" s="2">
        <f t="shared" si="26"/>
        <v>0.16284999999999999</v>
      </c>
      <c r="AR78" s="2">
        <f>SUM(AK78:AP78)</f>
        <v>0.34984999999999999</v>
      </c>
      <c r="AU78">
        <v>1999</v>
      </c>
      <c r="AV78" s="1">
        <f t="shared" si="34"/>
        <v>0.85814000000000012</v>
      </c>
      <c r="AW78" s="1">
        <f t="shared" si="21"/>
        <v>0.34984999999999999</v>
      </c>
      <c r="AX78" s="1">
        <f t="shared" si="22"/>
        <v>9.53488888888889E-2</v>
      </c>
      <c r="AY78" s="1">
        <f t="shared" si="39"/>
        <v>0.44519888888888892</v>
      </c>
      <c r="AZ78" s="22">
        <f t="shared" si="35"/>
        <v>0.4129411111111112</v>
      </c>
      <c r="BB78" s="7">
        <v>75.035772472479181</v>
      </c>
      <c r="BD78" s="22">
        <f t="shared" si="36"/>
        <v>1.1436411883608442</v>
      </c>
      <c r="BE78" s="1">
        <f t="shared" si="24"/>
        <v>1.1302363205902006</v>
      </c>
      <c r="BF78" s="1">
        <f t="shared" si="25"/>
        <v>0.59331552700703416</v>
      </c>
      <c r="BG78" s="1">
        <f t="shared" si="27"/>
        <v>0.55032566135381</v>
      </c>
      <c r="BH78" s="1">
        <f t="shared" si="37"/>
        <v>0.53692079358316658</v>
      </c>
      <c r="BI78" s="3">
        <f t="shared" si="38"/>
        <v>44.019514575017574</v>
      </c>
      <c r="BJ78">
        <v>0</v>
      </c>
      <c r="BK78" s="23">
        <v>1</v>
      </c>
      <c r="BL78" s="23">
        <v>1</v>
      </c>
      <c r="BM78">
        <v>0</v>
      </c>
      <c r="BN78">
        <v>0</v>
      </c>
      <c r="BP78" s="22">
        <f t="shared" si="13"/>
        <v>1.2831297742872838</v>
      </c>
      <c r="BQ78" s="22">
        <f t="shared" si="14"/>
        <v>1.2680899303817408</v>
      </c>
    </row>
    <row r="79" spans="1:69">
      <c r="A79">
        <v>2000</v>
      </c>
      <c r="B79" s="3">
        <f t="shared" si="0"/>
        <v>61.565397203768171</v>
      </c>
      <c r="C79" s="3">
        <f t="shared" si="1"/>
        <v>78.958238837304293</v>
      </c>
      <c r="D79" s="2">
        <f>F79/E79*100</f>
        <v>43.018823442844287</v>
      </c>
      <c r="E79" s="2">
        <v>112.9992628224058</v>
      </c>
      <c r="F79" s="2">
        <f>I79/G79*100</f>
        <v>48.610953365286328</v>
      </c>
      <c r="G79" s="2">
        <v>2.2011500000000002</v>
      </c>
      <c r="H79" s="32">
        <f>(Q79+Y79)+Z79*(Q79+Y79)</f>
        <v>1.0212003816590618</v>
      </c>
      <c r="I79" s="32">
        <f>K79</f>
        <v>1.07</v>
      </c>
      <c r="J79" s="32">
        <f t="shared" si="3"/>
        <v>1.0266225614747215</v>
      </c>
      <c r="K79" s="2">
        <v>1.07</v>
      </c>
      <c r="L79" s="2">
        <v>100</v>
      </c>
      <c r="M79" s="2">
        <f t="shared" si="33"/>
        <v>1.0565520000000002</v>
      </c>
      <c r="N79" s="39">
        <v>48</v>
      </c>
      <c r="P79" s="32">
        <f t="shared" ref="P79:P89" si="40">K79-AB79</f>
        <v>0.60111111111111115</v>
      </c>
      <c r="Q79" s="32">
        <f t="shared" si="5"/>
        <v>0.55773367258583273</v>
      </c>
      <c r="S79" s="2">
        <f>USA!Z87*G79</f>
        <v>60.751740000000005</v>
      </c>
      <c r="T79" s="2">
        <v>0</v>
      </c>
      <c r="U79" s="2">
        <v>0</v>
      </c>
      <c r="V79" s="2">
        <v>0</v>
      </c>
      <c r="Y79" s="32">
        <v>0.35</v>
      </c>
      <c r="Z79" s="2">
        <v>0.125</v>
      </c>
      <c r="AA79" s="2">
        <f t="shared" si="18"/>
        <v>0.11888888888888889</v>
      </c>
      <c r="AB79" s="2">
        <f t="shared" ref="AB79:AB96" si="41">Y79+AA79</f>
        <v>0.46888888888888886</v>
      </c>
      <c r="AC79" s="37">
        <v>0.46899999999999997</v>
      </c>
      <c r="AE79" s="2">
        <f>AB79/I79*100</f>
        <v>43.821391484942879</v>
      </c>
      <c r="AG79" s="2">
        <f>AE79</f>
        <v>43.821391484942879</v>
      </c>
      <c r="AK79" s="2">
        <v>0.187</v>
      </c>
      <c r="AL79" s="2">
        <v>0.13550000000000001</v>
      </c>
      <c r="AM79" s="2">
        <v>0.02</v>
      </c>
      <c r="AN79">
        <v>6.6E-3</v>
      </c>
      <c r="AO79" s="69">
        <v>2.5000000000000001E-4</v>
      </c>
      <c r="AQ79" s="2">
        <f t="shared" si="26"/>
        <v>0.16234999999999999</v>
      </c>
      <c r="AR79" s="2">
        <f t="shared" si="29"/>
        <v>0.34934999999999999</v>
      </c>
      <c r="AU79">
        <v>2000</v>
      </c>
      <c r="AV79" s="1">
        <f t="shared" si="34"/>
        <v>1.07</v>
      </c>
      <c r="AW79" s="1">
        <f t="shared" si="21"/>
        <v>0.35</v>
      </c>
      <c r="AX79" s="1">
        <f t="shared" si="22"/>
        <v>0.11888888888888889</v>
      </c>
      <c r="AY79" s="1">
        <f t="shared" si="39"/>
        <v>0.46888888888888886</v>
      </c>
      <c r="AZ79" s="22">
        <f t="shared" si="35"/>
        <v>0.60111111111111115</v>
      </c>
      <c r="BB79" s="7">
        <v>76.998132755984372</v>
      </c>
      <c r="BD79" s="22">
        <f t="shared" si="36"/>
        <v>1.3896440883715309</v>
      </c>
      <c r="BE79" s="1">
        <f t="shared" si="24"/>
        <v>1.3857988571459048</v>
      </c>
      <c r="BF79" s="1">
        <f t="shared" si="25"/>
        <v>0.60896137621265412</v>
      </c>
      <c r="BG79" s="1">
        <f t="shared" si="27"/>
        <v>0.78068271215887675</v>
      </c>
      <c r="BH79" s="1">
        <f t="shared" si="37"/>
        <v>0.77683748093325056</v>
      </c>
      <c r="BI79" s="3">
        <f t="shared" si="38"/>
        <v>78.90027696194791</v>
      </c>
      <c r="BJ79">
        <v>0</v>
      </c>
      <c r="BK79" s="23">
        <v>1</v>
      </c>
      <c r="BL79" s="23">
        <v>1</v>
      </c>
      <c r="BM79">
        <v>0</v>
      </c>
      <c r="BN79">
        <v>0</v>
      </c>
      <c r="BP79" s="22">
        <f t="shared" si="13"/>
        <v>1.5591373619618316</v>
      </c>
      <c r="BQ79" s="22">
        <f t="shared" si="14"/>
        <v>1.5548231323548236</v>
      </c>
    </row>
    <row r="80" spans="1:69">
      <c r="A80">
        <v>2001</v>
      </c>
      <c r="B80" s="3">
        <f t="shared" si="0"/>
        <v>54.217197847053022</v>
      </c>
      <c r="C80" s="3">
        <f t="shared" si="1"/>
        <v>81.182199298191421</v>
      </c>
      <c r="D80" s="2">
        <f t="shared" ref="D80:D89" si="42">F80/E80*100</f>
        <v>37.884268886116708</v>
      </c>
      <c r="E80" s="2">
        <v>116.1820325539375</v>
      </c>
      <c r="F80" s="2">
        <f t="shared" ref="F80:F89" si="43">I80/G80*100</f>
        <v>44.014713610089331</v>
      </c>
      <c r="G80" s="2">
        <v>2.3787500000000001</v>
      </c>
      <c r="H80" s="32">
        <f t="shared" ref="H80:H89" si="44">(Q80+Y80)+Z80*(Q80+Y80)</f>
        <v>0.96592847365364898</v>
      </c>
      <c r="I80" s="32">
        <f t="shared" ref="I80:I89" si="45">K80</f>
        <v>1.0469999999999999</v>
      </c>
      <c r="J80" s="32">
        <f t="shared" si="3"/>
        <v>0.97493642102546574</v>
      </c>
      <c r="K80" s="2">
        <v>1.0469999999999999</v>
      </c>
      <c r="L80" s="2">
        <v>98.1</v>
      </c>
      <c r="M80" s="2">
        <f t="shared" si="33"/>
        <v>1.23695</v>
      </c>
      <c r="N80" s="2">
        <f>(N79+N81)/2</f>
        <v>52</v>
      </c>
      <c r="P80" s="32">
        <f t="shared" si="40"/>
        <v>0.58066666666666666</v>
      </c>
      <c r="Q80" s="32">
        <f t="shared" si="5"/>
        <v>0.50860308769213247</v>
      </c>
      <c r="S80" s="2">
        <f>USA!Z88*G80</f>
        <v>54.996700000000004</v>
      </c>
      <c r="T80" s="2">
        <v>0</v>
      </c>
      <c r="U80" s="2">
        <v>0</v>
      </c>
      <c r="V80" s="2">
        <v>0</v>
      </c>
      <c r="Y80" s="32">
        <v>0.35</v>
      </c>
      <c r="Z80" s="2">
        <v>0.125</v>
      </c>
      <c r="AA80" s="2">
        <f t="shared" si="18"/>
        <v>0.11633333333333332</v>
      </c>
      <c r="AB80" s="2">
        <f t="shared" si="41"/>
        <v>0.46633333333333327</v>
      </c>
      <c r="AC80" s="37">
        <v>0.46600000000000003</v>
      </c>
      <c r="AE80" s="2">
        <f t="shared" ref="AE80:AE89" si="46">AB80/I80*100</f>
        <v>44.53995542820757</v>
      </c>
      <c r="AG80" s="2">
        <f t="shared" ref="AG80:AG89" si="47">AE80</f>
        <v>44.53995542820757</v>
      </c>
      <c r="AK80" s="2">
        <v>0.183</v>
      </c>
      <c r="AL80" s="2">
        <v>0.13500000000000001</v>
      </c>
      <c r="AM80" s="2">
        <v>2.3599999999999999E-2</v>
      </c>
      <c r="AN80">
        <v>6.6E-3</v>
      </c>
      <c r="AO80" s="69">
        <v>2.5000000000000001E-4</v>
      </c>
      <c r="AQ80" s="2">
        <f t="shared" si="26"/>
        <v>0.16545000000000001</v>
      </c>
      <c r="AR80" s="2">
        <f t="shared" si="29"/>
        <v>0.34844999999999998</v>
      </c>
      <c r="AU80">
        <v>2001</v>
      </c>
      <c r="AV80" s="1">
        <f t="shared" si="34"/>
        <v>1.0469999999999999</v>
      </c>
      <c r="AW80" s="1">
        <f t="shared" si="21"/>
        <v>0.35</v>
      </c>
      <c r="AX80" s="1">
        <f t="shared" si="22"/>
        <v>0.11633333333333332</v>
      </c>
      <c r="AY80" s="1">
        <f t="shared" si="39"/>
        <v>0.46633333333333327</v>
      </c>
      <c r="AZ80" s="22">
        <f t="shared" si="35"/>
        <v>0.58066666666666666</v>
      </c>
      <c r="BB80" s="7">
        <v>79.019965895498885</v>
      </c>
      <c r="BD80" s="22">
        <f t="shared" si="36"/>
        <v>1.3249815893170853</v>
      </c>
      <c r="BE80" s="1">
        <f t="shared" si="24"/>
        <v>1.3030041585156207</v>
      </c>
      <c r="BF80" s="1">
        <f t="shared" si="25"/>
        <v>0.59014620931378614</v>
      </c>
      <c r="BG80" s="1">
        <f t="shared" si="27"/>
        <v>0.73483538000329918</v>
      </c>
      <c r="BH80" s="1">
        <f t="shared" si="37"/>
        <v>0.71285794920183454</v>
      </c>
      <c r="BI80" s="3">
        <f t="shared" si="38"/>
        <v>69.598486125305598</v>
      </c>
      <c r="BJ80">
        <v>0</v>
      </c>
      <c r="BK80" s="23">
        <v>1</v>
      </c>
      <c r="BL80" s="23">
        <v>1</v>
      </c>
      <c r="BM80">
        <v>0</v>
      </c>
      <c r="BN80">
        <v>0</v>
      </c>
      <c r="BP80" s="22">
        <f t="shared" si="13"/>
        <v>1.4865880530868145</v>
      </c>
      <c r="BQ80" s="22">
        <f t="shared" si="14"/>
        <v>1.4619300606056973</v>
      </c>
    </row>
    <row r="81" spans="1:76">
      <c r="A81">
        <v>2002</v>
      </c>
      <c r="B81" s="3">
        <f t="shared" si="0"/>
        <v>57.701288443784705</v>
      </c>
      <c r="C81" s="3">
        <f t="shared" si="1"/>
        <v>82.47759894808965</v>
      </c>
      <c r="D81" s="2">
        <f t="shared" si="42"/>
        <v>40.318777312069017</v>
      </c>
      <c r="E81" s="2">
        <v>118.03591389240708</v>
      </c>
      <c r="F81" s="2">
        <f t="shared" si="43"/>
        <v>47.590637270545145</v>
      </c>
      <c r="G81" s="2">
        <v>2.1621899999999998</v>
      </c>
      <c r="H81" s="32">
        <f t="shared" si="44"/>
        <v>0.99084175167106636</v>
      </c>
      <c r="I81" s="32">
        <f t="shared" si="45"/>
        <v>1.0289999999999999</v>
      </c>
      <c r="J81" s="32">
        <f t="shared" si="3"/>
        <v>0.99508155704094792</v>
      </c>
      <c r="K81" s="2">
        <v>1.0289999999999999</v>
      </c>
      <c r="L81" s="2">
        <v>96.5</v>
      </c>
      <c r="M81" s="2">
        <f t="shared" si="33"/>
        <v>1.2108264</v>
      </c>
      <c r="N81" s="39">
        <v>56</v>
      </c>
      <c r="P81" s="32">
        <f t="shared" si="40"/>
        <v>0.52266666666666661</v>
      </c>
      <c r="Q81" s="32">
        <f t="shared" si="5"/>
        <v>0.48874822370761456</v>
      </c>
      <c r="S81" s="2">
        <f>USA!Z89*G81</f>
        <v>52.670948399999993</v>
      </c>
      <c r="T81" s="2">
        <v>0</v>
      </c>
      <c r="U81" s="2">
        <v>0</v>
      </c>
      <c r="V81" s="2">
        <v>0</v>
      </c>
      <c r="Y81" s="32">
        <v>0.39200000000000002</v>
      </c>
      <c r="Z81" s="2">
        <v>0.125</v>
      </c>
      <c r="AA81" s="2">
        <f t="shared" si="18"/>
        <v>0.11433333333333331</v>
      </c>
      <c r="AB81" s="2">
        <f t="shared" si="41"/>
        <v>0.5063333333333333</v>
      </c>
      <c r="AC81" s="37">
        <v>0.50600000000000001</v>
      </c>
      <c r="AE81" s="2">
        <f t="shared" si="46"/>
        <v>49.206349206349209</v>
      </c>
      <c r="AG81" s="2">
        <f t="shared" si="47"/>
        <v>49.206349206349209</v>
      </c>
      <c r="AK81" s="2">
        <v>0.185</v>
      </c>
      <c r="AL81" s="2">
        <v>0.17</v>
      </c>
      <c r="AM81" s="2">
        <v>2.3E-2</v>
      </c>
      <c r="AN81">
        <v>6.6E-3</v>
      </c>
      <c r="AO81" s="69">
        <v>2.5000000000000001E-4</v>
      </c>
      <c r="AQ81" s="2">
        <f t="shared" si="26"/>
        <v>0.19985</v>
      </c>
      <c r="AR81" s="2">
        <f t="shared" si="29"/>
        <v>0.38484999999999997</v>
      </c>
      <c r="AU81">
        <v>2002</v>
      </c>
      <c r="AV81" s="1">
        <f t="shared" si="34"/>
        <v>1.0289999999999999</v>
      </c>
      <c r="AW81" s="1">
        <f t="shared" si="21"/>
        <v>0.39200000000000002</v>
      </c>
      <c r="AX81" s="1">
        <f t="shared" si="22"/>
        <v>0.11433333333333331</v>
      </c>
      <c r="AY81" s="1">
        <f t="shared" si="39"/>
        <v>0.5063333333333333</v>
      </c>
      <c r="AZ81" s="22">
        <f t="shared" si="35"/>
        <v>0.52266666666666661</v>
      </c>
      <c r="BB81" s="7">
        <v>81.135402290690351</v>
      </c>
      <c r="BD81" s="22">
        <f t="shared" si="36"/>
        <v>1.2682503210045335</v>
      </c>
      <c r="BE81" s="1">
        <f t="shared" si="24"/>
        <v>1.3047198239535278</v>
      </c>
      <c r="BF81" s="1">
        <f t="shared" si="25"/>
        <v>0.62405968176413551</v>
      </c>
      <c r="BG81" s="1">
        <f t="shared" si="27"/>
        <v>0.64419063924039799</v>
      </c>
      <c r="BH81" s="1">
        <f t="shared" si="37"/>
        <v>0.6806601421893923</v>
      </c>
      <c r="BI81" s="3">
        <f t="shared" si="38"/>
        <v>64.917344233151809</v>
      </c>
      <c r="BJ81">
        <v>0</v>
      </c>
      <c r="BK81" s="23">
        <v>1</v>
      </c>
      <c r="BL81" s="23">
        <v>1</v>
      </c>
      <c r="BM81">
        <v>0</v>
      </c>
      <c r="BN81">
        <v>0</v>
      </c>
      <c r="BP81" s="22">
        <f t="shared" si="13"/>
        <v>1.4229373379449006</v>
      </c>
      <c r="BQ81" s="22">
        <f t="shared" si="14"/>
        <v>1.4638549837621022</v>
      </c>
    </row>
    <row r="82" spans="1:76">
      <c r="A82">
        <v>2003</v>
      </c>
      <c r="B82" s="3">
        <f t="shared" si="0"/>
        <v>72.333787020860086</v>
      </c>
      <c r="C82" s="3">
        <f t="shared" si="1"/>
        <v>84.37293294912061</v>
      </c>
      <c r="D82" s="2">
        <f t="shared" si="42"/>
        <v>50.543236203018047</v>
      </c>
      <c r="E82" s="2">
        <v>120.74837744367809</v>
      </c>
      <c r="F82" s="2">
        <f t="shared" si="43"/>
        <v>61.03013762266999</v>
      </c>
      <c r="G82" s="2">
        <v>1.7221</v>
      </c>
      <c r="H82" s="32">
        <f t="shared" si="44"/>
        <v>0.9654868485750614</v>
      </c>
      <c r="I82" s="32">
        <f t="shared" si="45"/>
        <v>1.0509999999999999</v>
      </c>
      <c r="J82" s="32">
        <f t="shared" si="3"/>
        <v>0.97498830984449891</v>
      </c>
      <c r="K82" s="2">
        <v>1.0509999999999999</v>
      </c>
      <c r="L82" s="2">
        <v>98.3</v>
      </c>
      <c r="M82" s="2">
        <f t="shared" si="33"/>
        <v>1.1451965</v>
      </c>
      <c r="N82" s="2">
        <f>(N81+N83)/2</f>
        <v>66.5</v>
      </c>
      <c r="P82" s="32">
        <f t="shared" si="40"/>
        <v>0.52822222222222215</v>
      </c>
      <c r="Q82" s="32">
        <f t="shared" si="5"/>
        <v>0.45221053206672118</v>
      </c>
      <c r="S82" s="2">
        <f>USA!Z90*G82</f>
        <v>48.391010000000001</v>
      </c>
      <c r="T82" s="2">
        <v>0</v>
      </c>
      <c r="U82" s="2">
        <v>0</v>
      </c>
      <c r="V82" s="2">
        <v>0</v>
      </c>
      <c r="Y82" s="32">
        <v>0.40600000000000003</v>
      </c>
      <c r="Z82" s="2">
        <v>0.125</v>
      </c>
      <c r="AA82" s="2">
        <f t="shared" si="18"/>
        <v>0.11677777777777776</v>
      </c>
      <c r="AB82" s="2">
        <f t="shared" si="41"/>
        <v>0.52277777777777779</v>
      </c>
      <c r="AC82" s="37">
        <v>0.52300000000000002</v>
      </c>
      <c r="AE82" s="2">
        <f t="shared" si="46"/>
        <v>49.740987419388944</v>
      </c>
      <c r="AG82" s="2">
        <f t="shared" si="47"/>
        <v>49.740987419388944</v>
      </c>
      <c r="AK82" s="2">
        <v>0.185</v>
      </c>
      <c r="AL82" s="2">
        <v>0.17699999999999999</v>
      </c>
      <c r="AM82" s="2">
        <v>3.6999999999999998E-2</v>
      </c>
      <c r="AN82">
        <v>6.6E-3</v>
      </c>
      <c r="AO82" s="69">
        <v>2.5000000000000001E-4</v>
      </c>
      <c r="AQ82" s="2">
        <f t="shared" si="26"/>
        <v>0.22084999999999999</v>
      </c>
      <c r="AR82" s="2">
        <f t="shared" si="29"/>
        <v>0.40584999999999993</v>
      </c>
      <c r="AU82">
        <v>2003</v>
      </c>
      <c r="AV82" s="1">
        <f t="shared" si="34"/>
        <v>1.0509999999999999</v>
      </c>
      <c r="AW82" s="1">
        <f t="shared" si="21"/>
        <v>0.40600000000000003</v>
      </c>
      <c r="AX82" s="1">
        <f t="shared" si="22"/>
        <v>0.11677777777777776</v>
      </c>
      <c r="AY82" s="1">
        <f t="shared" si="39"/>
        <v>0.52277777777777779</v>
      </c>
      <c r="AZ82" s="22">
        <f t="shared" si="35"/>
        <v>0.52822222222222215</v>
      </c>
      <c r="BB82" s="7">
        <v>82.558173232763338</v>
      </c>
      <c r="BD82" s="22">
        <f t="shared" si="36"/>
        <v>1.2730417339017732</v>
      </c>
      <c r="BE82" s="1">
        <f t="shared" si="24"/>
        <v>1.270531058547077</v>
      </c>
      <c r="BF82" s="1">
        <f t="shared" si="25"/>
        <v>0.63322352870365195</v>
      </c>
      <c r="BG82" s="1">
        <f t="shared" si="27"/>
        <v>0.63981820519812127</v>
      </c>
      <c r="BH82" s="1">
        <f t="shared" si="37"/>
        <v>0.63730752984342498</v>
      </c>
      <c r="BI82" s="3">
        <f t="shared" si="38"/>
        <v>58.614438892157992</v>
      </c>
      <c r="BJ82">
        <v>0</v>
      </c>
      <c r="BK82" s="23">
        <v>1</v>
      </c>
      <c r="BL82" s="23">
        <v>1</v>
      </c>
      <c r="BM82">
        <v>0</v>
      </c>
      <c r="BN82">
        <v>0</v>
      </c>
      <c r="BP82" s="22">
        <f t="shared" si="13"/>
        <v>1.4283131539017955</v>
      </c>
      <c r="BQ82" s="22">
        <f t="shared" si="14"/>
        <v>1.4254962543934826</v>
      </c>
    </row>
    <row r="83" spans="1:76">
      <c r="A83">
        <v>2004</v>
      </c>
      <c r="B83" s="3">
        <f t="shared" si="0"/>
        <v>89.067529768858293</v>
      </c>
      <c r="C83" s="3">
        <f t="shared" si="1"/>
        <v>86.62364207534489</v>
      </c>
      <c r="D83" s="2">
        <f t="shared" si="42"/>
        <v>62.235939531667263</v>
      </c>
      <c r="E83" s="2">
        <v>123.96942791081244</v>
      </c>
      <c r="F83" s="2">
        <f t="shared" si="43"/>
        <v>77.153538192327062</v>
      </c>
      <c r="G83" s="2">
        <v>1.50868</v>
      </c>
      <c r="H83" s="32">
        <f t="shared" si="44"/>
        <v>1.0388316396113169</v>
      </c>
      <c r="I83" s="32">
        <f t="shared" si="45"/>
        <v>1.1639999999999999</v>
      </c>
      <c r="J83" s="32">
        <f t="shared" si="3"/>
        <v>1.0527392352100593</v>
      </c>
      <c r="K83" s="2">
        <v>1.1639999999999999</v>
      </c>
      <c r="L83" s="2">
        <v>109</v>
      </c>
      <c r="M83" s="2">
        <f t="shared" si="33"/>
        <v>1.1616836000000001</v>
      </c>
      <c r="N83" s="39">
        <v>77</v>
      </c>
      <c r="P83" s="32">
        <f t="shared" si="40"/>
        <v>0.61466666666666658</v>
      </c>
      <c r="Q83" s="32">
        <f t="shared" si="5"/>
        <v>0.50340590187672607</v>
      </c>
      <c r="S83" s="2">
        <f>USA!Z91*G83</f>
        <v>54.387913999999995</v>
      </c>
      <c r="T83" s="2">
        <v>0</v>
      </c>
      <c r="U83" s="2">
        <v>0</v>
      </c>
      <c r="V83" s="2">
        <v>0</v>
      </c>
      <c r="Y83" s="32">
        <v>0.42</v>
      </c>
      <c r="Z83" s="2">
        <v>0.125</v>
      </c>
      <c r="AA83" s="2">
        <f t="shared" si="18"/>
        <v>0.12933333333333333</v>
      </c>
      <c r="AB83" s="2">
        <f t="shared" si="41"/>
        <v>0.54933333333333334</v>
      </c>
      <c r="AC83" s="37">
        <v>0.54900000000000004</v>
      </c>
      <c r="AE83" s="2">
        <f t="shared" si="46"/>
        <v>47.193585337915238</v>
      </c>
      <c r="AG83" s="2">
        <f t="shared" si="47"/>
        <v>47.193585337915238</v>
      </c>
      <c r="AK83" s="2">
        <v>0.185</v>
      </c>
      <c r="AL83" s="2">
        <v>0.17699999999999999</v>
      </c>
      <c r="AM83" s="2">
        <v>5.0999999999999997E-2</v>
      </c>
      <c r="AN83">
        <v>6.6E-3</v>
      </c>
      <c r="AO83" s="69">
        <v>2.5000000000000001E-4</v>
      </c>
      <c r="AQ83" s="2">
        <f t="shared" si="26"/>
        <v>0.23484999999999998</v>
      </c>
      <c r="AR83" s="2">
        <f t="shared" si="29"/>
        <v>0.41984999999999995</v>
      </c>
      <c r="AU83">
        <v>2004</v>
      </c>
      <c r="AV83" s="1">
        <f t="shared" si="34"/>
        <v>1.1639999999999999</v>
      </c>
      <c r="AW83" s="1">
        <f t="shared" si="21"/>
        <v>0.42</v>
      </c>
      <c r="AX83" s="1">
        <f t="shared" si="22"/>
        <v>0.12933333333333333</v>
      </c>
      <c r="AY83" s="1">
        <f t="shared" si="39"/>
        <v>0.54933333333333334</v>
      </c>
      <c r="AZ83" s="22">
        <f t="shared" si="35"/>
        <v>0.61466666666666658</v>
      </c>
      <c r="BB83" s="7">
        <v>84.448960969644972</v>
      </c>
      <c r="BD83" s="22">
        <f t="shared" si="36"/>
        <v>1.3783473314945789</v>
      </c>
      <c r="BE83" s="1">
        <f t="shared" si="24"/>
        <v>1.3276159398546814</v>
      </c>
      <c r="BF83" s="1">
        <f t="shared" si="25"/>
        <v>0.65049152414177158</v>
      </c>
      <c r="BG83" s="1">
        <f t="shared" si="27"/>
        <v>0.7278558073528073</v>
      </c>
      <c r="BH83" s="1">
        <f t="shared" si="37"/>
        <v>0.67712441571290993</v>
      </c>
      <c r="BI83" s="3">
        <f t="shared" si="38"/>
        <v>64.403295642144883</v>
      </c>
      <c r="BJ83">
        <v>0</v>
      </c>
      <c r="BK83" s="23">
        <v>1</v>
      </c>
      <c r="BL83" s="23">
        <v>1</v>
      </c>
      <c r="BM83">
        <v>0</v>
      </c>
      <c r="BN83">
        <v>0</v>
      </c>
      <c r="BP83" s="22">
        <f t="shared" si="13"/>
        <v>1.5464627527843871</v>
      </c>
      <c r="BQ83" s="22">
        <f t="shared" si="14"/>
        <v>1.4895437122962769</v>
      </c>
    </row>
    <row r="84" spans="1:76">
      <c r="A84">
        <v>2005</v>
      </c>
      <c r="B84" s="3">
        <f t="shared" si="0"/>
        <v>103.7981424980328</v>
      </c>
      <c r="C84" s="3">
        <f t="shared" si="1"/>
        <v>89.539246597092159</v>
      </c>
      <c r="D84" s="2">
        <f t="shared" si="42"/>
        <v>72.528955689816684</v>
      </c>
      <c r="E84" s="2">
        <v>128.14202809149756</v>
      </c>
      <c r="F84" s="2">
        <f t="shared" si="43"/>
        <v>92.940074774514713</v>
      </c>
      <c r="G84" s="2">
        <v>1.4202699999999999</v>
      </c>
      <c r="H84" s="32">
        <f t="shared" si="44"/>
        <v>1.2533600774517315</v>
      </c>
      <c r="I84" s="32">
        <f t="shared" si="45"/>
        <v>1.32</v>
      </c>
      <c r="J84" s="32">
        <f t="shared" si="3"/>
        <v>1.2607645132904279</v>
      </c>
      <c r="K84" s="2">
        <v>1.32</v>
      </c>
      <c r="L84" s="2">
        <v>123.4</v>
      </c>
      <c r="M84" s="2">
        <f t="shared" si="33"/>
        <v>1.2427362499999999</v>
      </c>
      <c r="N84" s="2">
        <f>(N83+N85)/2</f>
        <v>87.5</v>
      </c>
      <c r="P84" s="32">
        <f t="shared" si="40"/>
        <v>0.71233333333333337</v>
      </c>
      <c r="Q84" s="32">
        <f t="shared" si="5"/>
        <v>0.65309784662376136</v>
      </c>
      <c r="S84" s="2">
        <f>USA!Z92*G84</f>
        <v>71.922472799999994</v>
      </c>
      <c r="T84" s="2">
        <v>0</v>
      </c>
      <c r="U84" s="2">
        <v>0</v>
      </c>
      <c r="V84" s="2">
        <v>0</v>
      </c>
      <c r="Y84" s="32">
        <v>0.46100000000000002</v>
      </c>
      <c r="Z84" s="2">
        <v>0.125</v>
      </c>
      <c r="AA84" s="2">
        <f t="shared" si="18"/>
        <v>0.14666666666666667</v>
      </c>
      <c r="AB84" s="2">
        <f t="shared" si="41"/>
        <v>0.60766666666666669</v>
      </c>
      <c r="AC84" s="37">
        <v>0.60799999999999998</v>
      </c>
      <c r="AE84" s="2">
        <f t="shared" si="46"/>
        <v>46.035353535353536</v>
      </c>
      <c r="AG84" s="2">
        <f t="shared" si="47"/>
        <v>46.035353535353536</v>
      </c>
      <c r="AK84" s="2">
        <v>0.187</v>
      </c>
      <c r="AL84" s="2">
        <v>0.21299999999999999</v>
      </c>
      <c r="AM84" s="2">
        <v>5.45E-2</v>
      </c>
      <c r="AN84">
        <v>6.6E-3</v>
      </c>
      <c r="AO84" s="69">
        <v>2.5000000000000001E-4</v>
      </c>
      <c r="AQ84" s="2">
        <f t="shared" si="26"/>
        <v>0.27434999999999998</v>
      </c>
      <c r="AR84" s="2">
        <f t="shared" si="29"/>
        <v>0.46134999999999998</v>
      </c>
      <c r="AU84">
        <v>2005</v>
      </c>
      <c r="AV84" s="1">
        <f t="shared" si="34"/>
        <v>1.32</v>
      </c>
      <c r="AW84" s="1">
        <f t="shared" si="21"/>
        <v>0.46100000000000002</v>
      </c>
      <c r="AX84" s="1">
        <f t="shared" si="22"/>
        <v>0.14666666666666667</v>
      </c>
      <c r="AY84" s="1">
        <f t="shared" si="39"/>
        <v>0.60766666666666669</v>
      </c>
      <c r="AZ84" s="22">
        <f t="shared" si="35"/>
        <v>0.71233333333333337</v>
      </c>
      <c r="BB84" s="7">
        <v>87.0136936485749</v>
      </c>
      <c r="BD84" s="22">
        <f t="shared" si="36"/>
        <v>1.5170026057405721</v>
      </c>
      <c r="BE84" s="1">
        <f t="shared" si="24"/>
        <v>1.5010310213104907</v>
      </c>
      <c r="BF84" s="1">
        <f t="shared" si="25"/>
        <v>0.69835751269319779</v>
      </c>
      <c r="BG84" s="1">
        <f t="shared" si="27"/>
        <v>0.81864509304737432</v>
      </c>
      <c r="BH84" s="1">
        <f t="shared" si="37"/>
        <v>0.80267350861729292</v>
      </c>
      <c r="BI84" s="3">
        <f t="shared" si="38"/>
        <v>82.656498976443487</v>
      </c>
      <c r="BJ84">
        <v>0</v>
      </c>
      <c r="BK84" s="23">
        <v>1</v>
      </c>
      <c r="BL84" s="23">
        <v>1</v>
      </c>
      <c r="BM84">
        <v>0</v>
      </c>
      <c r="BN84">
        <v>0</v>
      </c>
      <c r="BP84" s="22">
        <f t="shared" si="13"/>
        <v>1.7020296496027862</v>
      </c>
      <c r="BQ84" s="22">
        <f t="shared" si="14"/>
        <v>1.6841100295914138</v>
      </c>
    </row>
    <row r="85" spans="1:76">
      <c r="A85">
        <v>2006</v>
      </c>
      <c r="B85" s="3">
        <f t="shared" si="0"/>
        <v>109.03443079324435</v>
      </c>
      <c r="C85" s="3">
        <f t="shared" si="1"/>
        <v>92.424281215596963</v>
      </c>
      <c r="D85" s="2">
        <f t="shared" si="42"/>
        <v>76.187812318678823</v>
      </c>
      <c r="E85" s="2">
        <v>132.27087886006535</v>
      </c>
      <c r="F85" s="2">
        <f t="shared" si="43"/>
        <v>100.77428893817361</v>
      </c>
      <c r="G85" s="2">
        <v>1.54206</v>
      </c>
      <c r="H85" s="32">
        <f t="shared" si="44"/>
        <v>1.4908349922640942</v>
      </c>
      <c r="I85" s="32">
        <f t="shared" si="45"/>
        <v>1.554</v>
      </c>
      <c r="J85" s="32">
        <f t="shared" si="3"/>
        <v>1.4978533264569727</v>
      </c>
      <c r="K85" s="2">
        <v>1.554</v>
      </c>
      <c r="L85" s="2">
        <v>145.30000000000001</v>
      </c>
      <c r="M85" s="2">
        <f t="shared" si="33"/>
        <v>1.5112188</v>
      </c>
      <c r="N85" s="39">
        <v>98</v>
      </c>
      <c r="P85" s="32">
        <f t="shared" si="40"/>
        <v>0.89933333333333343</v>
      </c>
      <c r="Q85" s="32">
        <f t="shared" si="5"/>
        <v>0.84318665979030594</v>
      </c>
      <c r="S85" s="2">
        <f>USA!Z93*G85</f>
        <v>94.189024799999999</v>
      </c>
      <c r="T85" s="2">
        <v>0</v>
      </c>
      <c r="U85" s="2">
        <v>0</v>
      </c>
      <c r="V85" s="2">
        <v>0</v>
      </c>
      <c r="Y85" s="32">
        <v>0.48199999999999998</v>
      </c>
      <c r="Z85" s="2">
        <v>0.125</v>
      </c>
      <c r="AA85" s="2">
        <f t="shared" si="18"/>
        <v>0.17266666666666666</v>
      </c>
      <c r="AB85" s="2">
        <f t="shared" si="41"/>
        <v>0.65466666666666662</v>
      </c>
      <c r="AC85" s="37">
        <v>0.65500000000000003</v>
      </c>
      <c r="AE85" s="2">
        <f t="shared" si="46"/>
        <v>42.127842127842122</v>
      </c>
      <c r="AG85" s="2">
        <f t="shared" si="47"/>
        <v>42.127842127842122</v>
      </c>
      <c r="AK85" s="2">
        <v>0.187</v>
      </c>
      <c r="AL85" s="2">
        <v>0.23</v>
      </c>
      <c r="AM85" s="2">
        <v>5.8000000000000003E-2</v>
      </c>
      <c r="AN85">
        <v>6.6E-3</v>
      </c>
      <c r="AO85" s="69">
        <v>2.5000000000000001E-4</v>
      </c>
      <c r="AQ85" s="2">
        <f t="shared" si="26"/>
        <v>0.29485</v>
      </c>
      <c r="AR85" s="2">
        <f t="shared" si="29"/>
        <v>0.48185</v>
      </c>
      <c r="AU85">
        <v>2006</v>
      </c>
      <c r="AV85" s="1">
        <f t="shared" si="34"/>
        <v>1.554</v>
      </c>
      <c r="AW85" s="1">
        <f t="shared" si="21"/>
        <v>0.48199999999999998</v>
      </c>
      <c r="AX85" s="1">
        <f t="shared" si="22"/>
        <v>0.17266666666666666</v>
      </c>
      <c r="AY85" s="1">
        <f t="shared" si="39"/>
        <v>0.65466666666666662</v>
      </c>
      <c r="AZ85" s="22">
        <f t="shared" si="35"/>
        <v>0.89933333333333343</v>
      </c>
      <c r="BB85" s="7">
        <v>89.942055975171797</v>
      </c>
      <c r="BD85" s="22">
        <f t="shared" si="36"/>
        <v>1.7277790496905883</v>
      </c>
      <c r="BE85" s="1">
        <f t="shared" si="24"/>
        <v>1.6823196320607068</v>
      </c>
      <c r="BF85" s="1">
        <f t="shared" si="25"/>
        <v>0.72787603037158188</v>
      </c>
      <c r="BG85" s="1">
        <f t="shared" si="27"/>
        <v>0.99990301931900638</v>
      </c>
      <c r="BH85" s="1">
        <f t="shared" si="37"/>
        <v>0.9544436016891249</v>
      </c>
      <c r="BI85" s="3">
        <f t="shared" si="38"/>
        <v>104.72189431160052</v>
      </c>
      <c r="BJ85">
        <v>0</v>
      </c>
      <c r="BK85" s="23">
        <v>1</v>
      </c>
      <c r="BL85" s="23">
        <v>1</v>
      </c>
      <c r="BM85">
        <v>0</v>
      </c>
      <c r="BN85">
        <v>0</v>
      </c>
      <c r="BP85" s="22">
        <f t="shared" si="13"/>
        <v>1.9385142513320188</v>
      </c>
      <c r="BQ85" s="22">
        <f t="shared" si="14"/>
        <v>1.8875102013937117</v>
      </c>
    </row>
    <row r="86" spans="1:76">
      <c r="A86">
        <v>2007</v>
      </c>
      <c r="B86" s="3">
        <f t="shared" si="0"/>
        <v>120.12495242825345</v>
      </c>
      <c r="C86" s="3">
        <f t="shared" si="1"/>
        <v>95.074004003893037</v>
      </c>
      <c r="D86" s="2">
        <f t="shared" si="42"/>
        <v>83.937314697854546</v>
      </c>
      <c r="E86" s="2">
        <v>136.06296852886032</v>
      </c>
      <c r="F86" s="2">
        <f t="shared" si="43"/>
        <v>114.20760208131229</v>
      </c>
      <c r="G86" s="2">
        <v>1.3606799999999999</v>
      </c>
      <c r="H86" s="32">
        <f t="shared" si="44"/>
        <v>1.5047289985037016</v>
      </c>
      <c r="I86" s="32">
        <f t="shared" si="45"/>
        <v>1.554</v>
      </c>
      <c r="J86" s="32">
        <f t="shared" si="3"/>
        <v>1.5102035542255123</v>
      </c>
      <c r="K86" s="2">
        <v>1.554</v>
      </c>
      <c r="L86" s="2">
        <v>144.30000000000001</v>
      </c>
      <c r="M86" s="2">
        <f t="shared" si="33"/>
        <v>1.5511751999999999</v>
      </c>
      <c r="N86" s="2">
        <f>(N85+N87)/2</f>
        <v>114</v>
      </c>
      <c r="P86" s="32">
        <f t="shared" si="40"/>
        <v>0.88533333333333342</v>
      </c>
      <c r="Q86" s="32">
        <f t="shared" si="5"/>
        <v>0.84153688755884581</v>
      </c>
      <c r="S86" s="2">
        <f>USA!Z94*G86</f>
        <v>93.995774399999988</v>
      </c>
      <c r="T86" s="2">
        <v>0</v>
      </c>
      <c r="U86" s="2">
        <v>0</v>
      </c>
      <c r="V86" s="2">
        <v>0</v>
      </c>
      <c r="Y86" s="32">
        <v>0.496</v>
      </c>
      <c r="Z86" s="2">
        <v>0.125</v>
      </c>
      <c r="AA86" s="2">
        <f t="shared" si="18"/>
        <v>0.17266666666666666</v>
      </c>
      <c r="AB86" s="2">
        <f t="shared" si="41"/>
        <v>0.66866666666666663</v>
      </c>
      <c r="AC86" s="37">
        <v>0.66800000000000004</v>
      </c>
      <c r="AE86" s="2">
        <f t="shared" si="46"/>
        <v>43.02874302874303</v>
      </c>
      <c r="AG86" s="2">
        <f t="shared" si="47"/>
        <v>43.02874302874303</v>
      </c>
      <c r="AK86" s="2">
        <v>0.187</v>
      </c>
      <c r="AL86" s="2">
        <v>0.23599999999999999</v>
      </c>
      <c r="AM86" s="2">
        <v>6.5500000000000003E-2</v>
      </c>
      <c r="AN86">
        <v>6.6E-3</v>
      </c>
      <c r="AO86" s="69">
        <v>2.5000000000000001E-4</v>
      </c>
      <c r="AQ86" s="2">
        <f>SUM(AL86:AP86)</f>
        <v>0.30834999999999996</v>
      </c>
      <c r="AR86" s="2">
        <f>SUM(AK86:AP86)</f>
        <v>0.49534999999999996</v>
      </c>
      <c r="AU86">
        <v>2007</v>
      </c>
      <c r="AV86" s="1">
        <f t="shared" si="34"/>
        <v>1.554</v>
      </c>
      <c r="AW86" s="1">
        <f t="shared" si="21"/>
        <v>0.496</v>
      </c>
      <c r="AX86" s="1">
        <f t="shared" si="22"/>
        <v>0.17266666666666666</v>
      </c>
      <c r="AY86" s="1">
        <f t="shared" si="39"/>
        <v>0.66866666666666663</v>
      </c>
      <c r="AZ86" s="22">
        <f t="shared" si="35"/>
        <v>0.88533333333333342</v>
      </c>
      <c r="BB86" s="7">
        <v>92.079207842281917</v>
      </c>
      <c r="BD86" s="22">
        <f t="shared" si="36"/>
        <v>1.6876774207938154</v>
      </c>
      <c r="BE86" s="1">
        <f t="shared" si="24"/>
        <v>1.6624683708618302</v>
      </c>
      <c r="BF86" s="1">
        <f t="shared" si="25"/>
        <v>0.72618638054748896</v>
      </c>
      <c r="BG86" s="1">
        <f t="shared" si="27"/>
        <v>0.96149104024632648</v>
      </c>
      <c r="BH86" s="1">
        <f t="shared" si="37"/>
        <v>0.93628199031434134</v>
      </c>
      <c r="BI86" s="3">
        <f t="shared" si="38"/>
        <v>102.08143249994164</v>
      </c>
      <c r="BJ86">
        <v>0</v>
      </c>
      <c r="BK86" s="23">
        <v>1</v>
      </c>
      <c r="BL86" s="23">
        <v>1</v>
      </c>
      <c r="BM86">
        <v>0</v>
      </c>
      <c r="BN86">
        <v>0</v>
      </c>
      <c r="BP86" s="22">
        <f t="shared" si="13"/>
        <v>1.8935214733885988</v>
      </c>
      <c r="BQ86" s="22">
        <f t="shared" si="14"/>
        <v>1.8652377049493152</v>
      </c>
    </row>
    <row r="87" spans="1:76">
      <c r="A87">
        <v>2008</v>
      </c>
      <c r="B87" s="3">
        <f t="shared" si="0"/>
        <v>129.03445967504993</v>
      </c>
      <c r="C87" s="3">
        <f t="shared" si="1"/>
        <v>98.70291900542351</v>
      </c>
      <c r="D87" s="2">
        <f t="shared" si="42"/>
        <v>90.162833197217367</v>
      </c>
      <c r="E87" s="2">
        <v>141.25640655453694</v>
      </c>
      <c r="F87" s="2">
        <f t="shared" si="43"/>
        <v>127.36077822215037</v>
      </c>
      <c r="G87" s="2">
        <v>1.4227300000000001</v>
      </c>
      <c r="H87" s="32">
        <f t="shared" si="44"/>
        <v>1.7363013099321583</v>
      </c>
      <c r="I87" s="32">
        <f t="shared" si="45"/>
        <v>1.8120000000000001</v>
      </c>
      <c r="J87" s="32">
        <f t="shared" si="3"/>
        <v>1.7447122754952518</v>
      </c>
      <c r="K87" s="2">
        <v>1.8120000000000001</v>
      </c>
      <c r="L87" s="2">
        <v>169.2</v>
      </c>
      <c r="M87" s="2">
        <f t="shared" si="33"/>
        <v>1.8495490000000001</v>
      </c>
      <c r="N87" s="39">
        <v>130</v>
      </c>
      <c r="P87" s="32">
        <f t="shared" si="40"/>
        <v>1.0956666666666668</v>
      </c>
      <c r="Q87" s="32">
        <f t="shared" si="5"/>
        <v>1.0283789421619183</v>
      </c>
      <c r="S87" s="2">
        <f>USA!Z95*G87</f>
        <v>134.37684850000002</v>
      </c>
      <c r="T87" s="2">
        <v>0</v>
      </c>
      <c r="U87" s="2">
        <v>1</v>
      </c>
      <c r="V87" s="2">
        <v>0</v>
      </c>
      <c r="Y87" s="32">
        <v>0.51500000000000001</v>
      </c>
      <c r="Z87" s="2">
        <v>0.125</v>
      </c>
      <c r="AA87" s="2">
        <f t="shared" si="18"/>
        <v>0.20133333333333334</v>
      </c>
      <c r="AB87" s="2">
        <f t="shared" si="41"/>
        <v>0.71633333333333338</v>
      </c>
      <c r="AC87" s="37">
        <v>0.71699999999999997</v>
      </c>
      <c r="AE87" s="2">
        <f t="shared" si="46"/>
        <v>39.532744665194997</v>
      </c>
      <c r="AG87" s="2">
        <f t="shared" si="47"/>
        <v>39.532744665194997</v>
      </c>
      <c r="AK87" s="2">
        <v>0.187</v>
      </c>
      <c r="AL87" s="2">
        <v>0.28299999999999997</v>
      </c>
      <c r="AM87" s="2">
        <v>8.3000000000000004E-2</v>
      </c>
      <c r="AN87">
        <v>6.6E-3</v>
      </c>
      <c r="AO87" s="69">
        <v>2.9999999999999997E-4</v>
      </c>
      <c r="AQ87" s="2">
        <f>SUM(AL87:AP87)</f>
        <v>0.37290000000000001</v>
      </c>
      <c r="AR87" s="2">
        <f>AQ87</f>
        <v>0.37290000000000001</v>
      </c>
      <c r="AU87">
        <v>2008</v>
      </c>
      <c r="AV87" s="1">
        <f t="shared" si="34"/>
        <v>1.8120000000000001</v>
      </c>
      <c r="AW87" s="1">
        <f t="shared" si="21"/>
        <v>0.51500000000000001</v>
      </c>
      <c r="AX87" s="1">
        <f t="shared" si="22"/>
        <v>0.20133333333333334</v>
      </c>
      <c r="AY87" s="1">
        <f t="shared" si="39"/>
        <v>0.71633333333333338</v>
      </c>
      <c r="AZ87" s="22">
        <f t="shared" si="35"/>
        <v>1.0956666666666668</v>
      </c>
      <c r="BB87" s="7">
        <v>95.724572116401475</v>
      </c>
      <c r="BD87" s="22">
        <f t="shared" si="36"/>
        <v>1.8929308953155735</v>
      </c>
      <c r="BE87" s="1">
        <f t="shared" si="24"/>
        <v>1.9480251624613256</v>
      </c>
      <c r="BF87" s="1">
        <f t="shared" si="25"/>
        <v>0.74832753753369519</v>
      </c>
      <c r="BG87" s="1">
        <f t="shared" si="27"/>
        <v>1.1446033577818784</v>
      </c>
      <c r="BH87" s="1">
        <f t="shared" si="37"/>
        <v>1.1996976249276303</v>
      </c>
      <c r="BI87" s="3">
        <f t="shared" si="38"/>
        <v>140.37863583928817</v>
      </c>
      <c r="BJ87">
        <v>0</v>
      </c>
      <c r="BK87" s="23">
        <v>1</v>
      </c>
      <c r="BL87" s="23">
        <v>1</v>
      </c>
      <c r="BM87">
        <v>0</v>
      </c>
      <c r="BN87">
        <v>0</v>
      </c>
      <c r="BP87" s="22">
        <f t="shared" si="13"/>
        <v>2.1238094755304786</v>
      </c>
      <c r="BQ87" s="22">
        <f t="shared" si="14"/>
        <v>2.1856235263767716</v>
      </c>
    </row>
    <row r="88" spans="1:76">
      <c r="A88">
        <v>2009</v>
      </c>
      <c r="B88" s="3">
        <f t="shared" si="0"/>
        <v>101.83664508672112</v>
      </c>
      <c r="C88" s="3">
        <f>E88/E$89*100</f>
        <v>98.380597588111073</v>
      </c>
      <c r="D88" s="2">
        <f t="shared" si="42"/>
        <v>71.158359305267581</v>
      </c>
      <c r="E88" s="2">
        <v>140.7951236905254</v>
      </c>
      <c r="F88" s="2">
        <f t="shared" si="43"/>
        <v>100.18749999999999</v>
      </c>
      <c r="G88" s="2">
        <v>1.6</v>
      </c>
      <c r="H88" s="32">
        <f t="shared" si="44"/>
        <v>1.5852662891154914</v>
      </c>
      <c r="I88" s="32">
        <v>1.603</v>
      </c>
      <c r="J88" s="32">
        <f t="shared" si="3"/>
        <v>1.5872367014359923</v>
      </c>
      <c r="K88" s="2">
        <v>1.603</v>
      </c>
      <c r="L88" s="2">
        <v>150.1</v>
      </c>
      <c r="P88" s="32">
        <f t="shared" si="40"/>
        <v>0.88888888888888884</v>
      </c>
      <c r="Q88" s="32">
        <f t="shared" si="5"/>
        <v>0.87312559032488113</v>
      </c>
      <c r="S88" s="2">
        <f>USA!Z96*G88</f>
        <v>97.696000000000012</v>
      </c>
      <c r="T88" s="2">
        <v>0</v>
      </c>
      <c r="U88" s="2">
        <v>0</v>
      </c>
      <c r="V88" s="2">
        <v>0</v>
      </c>
      <c r="Y88" s="32">
        <v>0.53600000000000003</v>
      </c>
      <c r="Z88" s="2">
        <v>0.125</v>
      </c>
      <c r="AA88" s="2">
        <f t="shared" si="18"/>
        <v>0.17811111111111111</v>
      </c>
      <c r="AB88" s="2">
        <f t="shared" si="41"/>
        <v>0.71411111111111114</v>
      </c>
      <c r="AC88" s="37">
        <v>0.71399999999999997</v>
      </c>
      <c r="AE88" s="2">
        <f t="shared" si="46"/>
        <v>44.54841616413669</v>
      </c>
      <c r="AG88" s="2">
        <f t="shared" si="47"/>
        <v>44.54841616413669</v>
      </c>
      <c r="AL88" s="2">
        <v>0.433</v>
      </c>
      <c r="AM88" s="2">
        <v>9.2999999999999999E-2</v>
      </c>
      <c r="AN88">
        <v>6.6E-3</v>
      </c>
      <c r="AO88" s="69">
        <v>4.4999999999999999E-4</v>
      </c>
      <c r="AQ88" s="2">
        <f t="shared" si="26"/>
        <v>0.53305000000000002</v>
      </c>
      <c r="AR88" s="2">
        <f>AQ88</f>
        <v>0.53305000000000002</v>
      </c>
      <c r="AU88">
        <v>2009</v>
      </c>
      <c r="AV88" s="1">
        <f t="shared" si="34"/>
        <v>1.603</v>
      </c>
      <c r="AW88" s="1">
        <f t="shared" si="21"/>
        <v>0.53600000000000003</v>
      </c>
      <c r="AX88" s="1">
        <f t="shared" si="22"/>
        <v>0.17811111111111111</v>
      </c>
      <c r="AY88" s="1">
        <f t="shared" si="39"/>
        <v>0.71411111111111114</v>
      </c>
      <c r="AZ88" s="22">
        <f t="shared" si="35"/>
        <v>0.88888888888888884</v>
      </c>
      <c r="BB88" s="7">
        <v>97.749774769856458</v>
      </c>
      <c r="BD88" s="22">
        <f t="shared" si="36"/>
        <v>1.63990147678</v>
      </c>
      <c r="BE88" s="1">
        <f t="shared" si="24"/>
        <v>1.6521372382076469</v>
      </c>
      <c r="BF88" s="1">
        <f t="shared" si="25"/>
        <v>0.73055013455777784</v>
      </c>
      <c r="BG88" s="1">
        <f t="shared" si="27"/>
        <v>0.90935134222222214</v>
      </c>
      <c r="BH88" s="1">
        <f t="shared" si="37"/>
        <v>0.92158710364986907</v>
      </c>
      <c r="BI88" s="3">
        <f t="shared" si="38"/>
        <v>99.944987320960024</v>
      </c>
      <c r="BJ88">
        <v>0</v>
      </c>
      <c r="BK88" s="23">
        <v>1</v>
      </c>
      <c r="BL88" s="23">
        <v>1</v>
      </c>
      <c r="BM88">
        <v>0</v>
      </c>
      <c r="BN88">
        <v>0</v>
      </c>
      <c r="BP88" s="22">
        <f t="shared" si="13"/>
        <v>1.8399183530369498</v>
      </c>
      <c r="BQ88" s="22">
        <f t="shared" si="14"/>
        <v>1.8536464960582697</v>
      </c>
    </row>
    <row r="89" spans="1:76">
      <c r="A89">
        <v>2010</v>
      </c>
      <c r="B89" s="3">
        <f>I89/G89*100/C89*100</f>
        <v>127.21870078046472</v>
      </c>
      <c r="C89" s="3">
        <f>CPIs!AB49</f>
        <v>99.999998509883881</v>
      </c>
      <c r="D89" s="2">
        <f t="shared" si="42"/>
        <v>88.89407028168776</v>
      </c>
      <c r="E89" s="2">
        <v>143.11269411067286</v>
      </c>
      <c r="F89" s="2">
        <f t="shared" si="43"/>
        <v>127.21869888475834</v>
      </c>
      <c r="G89" s="2">
        <f>'Exchange Rates'!V49</f>
        <v>1.388946762928809</v>
      </c>
      <c r="H89" s="32">
        <f t="shared" si="44"/>
        <v>1.726418481528551</v>
      </c>
      <c r="I89" s="32">
        <f t="shared" si="45"/>
        <v>1.7669999999999999</v>
      </c>
      <c r="J89" s="32">
        <f t="shared" si="3"/>
        <v>1.7311189049766145</v>
      </c>
      <c r="K89" s="2">
        <v>1.7669999999999999</v>
      </c>
      <c r="L89" s="2">
        <v>165.4</v>
      </c>
      <c r="P89" s="32">
        <f t="shared" si="40"/>
        <v>0.99333421750663131</v>
      </c>
      <c r="Q89" s="32">
        <f t="shared" si="5"/>
        <v>0.95745312248324577</v>
      </c>
      <c r="S89" s="2">
        <f>USA!Z97*G89</f>
        <v>107.57392678883626</v>
      </c>
      <c r="T89" s="2">
        <v>0</v>
      </c>
      <c r="U89" s="2">
        <v>0</v>
      </c>
      <c r="V89" s="2">
        <v>0</v>
      </c>
      <c r="Y89" s="32">
        <v>0.56899999999999995</v>
      </c>
      <c r="Z89" s="32">
        <v>0.13100000000000001</v>
      </c>
      <c r="AA89" s="2">
        <f t="shared" si="18"/>
        <v>0.2046657824933687</v>
      </c>
      <c r="AB89" s="2">
        <f t="shared" si="41"/>
        <v>0.77366578249336859</v>
      </c>
      <c r="AC89" s="37">
        <v>0.77400000000000002</v>
      </c>
      <c r="AE89" s="2">
        <f t="shared" si="46"/>
        <v>43.784141623846558</v>
      </c>
      <c r="AG89" s="2">
        <f t="shared" si="47"/>
        <v>43.784141623846558</v>
      </c>
      <c r="AL89" s="2">
        <v>0.46200000000000002</v>
      </c>
      <c r="AM89" s="2">
        <v>9.9000000000000005E-2</v>
      </c>
      <c r="AN89">
        <v>6.6E-3</v>
      </c>
      <c r="AO89" s="69">
        <v>4.4999999999999999E-4</v>
      </c>
      <c r="AQ89" s="2">
        <f>SUM(AL89:AP89)</f>
        <v>0.56805000000000005</v>
      </c>
      <c r="AR89" s="2">
        <f>AQ89</f>
        <v>0.56805000000000005</v>
      </c>
      <c r="AU89">
        <v>2010</v>
      </c>
      <c r="AV89" s="1">
        <f t="shared" si="34"/>
        <v>1.7669999999999999</v>
      </c>
      <c r="AW89" s="1">
        <f t="shared" si="21"/>
        <v>0.56899999999999995</v>
      </c>
      <c r="AX89" s="1">
        <f t="shared" si="22"/>
        <v>0.2046657824933687</v>
      </c>
      <c r="AY89" s="1">
        <f t="shared" si="39"/>
        <v>0.77366578249336859</v>
      </c>
      <c r="AZ89" s="22">
        <f t="shared" si="35"/>
        <v>0.99333421750663131</v>
      </c>
      <c r="BB89" s="7">
        <v>100</v>
      </c>
      <c r="BD89" s="22">
        <f t="shared" si="36"/>
        <v>1.7669999999999999</v>
      </c>
      <c r="BE89" s="1">
        <f t="shared" si="24"/>
        <v>1.7723865137070447</v>
      </c>
      <c r="BF89" s="1">
        <f t="shared" si="25"/>
        <v>0.77366578249336859</v>
      </c>
      <c r="BG89" s="1">
        <f t="shared" si="27"/>
        <v>0.99333421750663131</v>
      </c>
      <c r="BH89" s="1">
        <f t="shared" si="37"/>
        <v>0.99872073121367611</v>
      </c>
      <c r="BI89" s="3">
        <f t="shared" si="38"/>
        <v>107.57392678883626</v>
      </c>
      <c r="BJ89">
        <v>0</v>
      </c>
      <c r="BK89" s="23">
        <v>0.9</v>
      </c>
      <c r="BL89" s="23">
        <v>1</v>
      </c>
      <c r="BM89">
        <v>0</v>
      </c>
      <c r="BN89">
        <v>0</v>
      </c>
      <c r="BP89" s="22">
        <f t="shared" si="13"/>
        <v>1.982518935344824</v>
      </c>
      <c r="BQ89" s="22">
        <f t="shared" si="14"/>
        <v>1.9885624358653169</v>
      </c>
    </row>
    <row r="90" spans="1:76">
      <c r="A90">
        <v>2011</v>
      </c>
      <c r="B90" s="3">
        <f t="shared" ref="B90:B96" si="48">I90/G90*100/C90*100</f>
        <v>160.71465229084964</v>
      </c>
      <c r="C90" s="3">
        <f>CPIs!AB50</f>
        <v>103.13271097869961</v>
      </c>
      <c r="G90" s="2">
        <f>'Exchange Rates'!V50</f>
        <v>1.2549066711509356</v>
      </c>
      <c r="I90" s="3">
        <v>2.0800000000000005</v>
      </c>
      <c r="S90" s="2">
        <f>USA!Z98*G90</f>
        <v>134.83972181516802</v>
      </c>
      <c r="Y90" s="32">
        <f>AQ90</f>
        <v>0.59104999999999996</v>
      </c>
      <c r="Z90" s="32">
        <v>0.15</v>
      </c>
      <c r="AA90" s="2">
        <f t="shared" si="18"/>
        <v>0.27130434782608703</v>
      </c>
      <c r="AB90" s="2">
        <f t="shared" si="41"/>
        <v>0.862354347826087</v>
      </c>
      <c r="AH90" s="2">
        <v>0.59030000000000005</v>
      </c>
      <c r="AL90" s="2">
        <v>0.48499999999999999</v>
      </c>
      <c r="AM90" s="2">
        <v>9.9000000000000005E-2</v>
      </c>
      <c r="AN90">
        <v>6.6E-3</v>
      </c>
      <c r="AO90" s="69">
        <v>4.4999999999999999E-4</v>
      </c>
      <c r="AQ90" s="2">
        <f t="shared" ref="AQ90:AQ97" si="49">SUM(AL90:AP90)</f>
        <v>0.59104999999999996</v>
      </c>
      <c r="AR90" s="2">
        <f t="shared" ref="AR90:AR97" si="50">AQ90</f>
        <v>0.59104999999999996</v>
      </c>
      <c r="AU90">
        <v>2011</v>
      </c>
      <c r="AV90" s="1">
        <f t="shared" si="34"/>
        <v>2.0800000000000005</v>
      </c>
      <c r="AW90" s="1">
        <f t="shared" si="21"/>
        <v>0.59104999999999996</v>
      </c>
      <c r="AX90" s="1">
        <f t="shared" si="22"/>
        <v>0.27130434782608703</v>
      </c>
      <c r="AY90" s="1">
        <f t="shared" si="39"/>
        <v>0.862354347826087</v>
      </c>
      <c r="AZ90" s="22">
        <f t="shared" si="35"/>
        <v>1.2176456521739136</v>
      </c>
      <c r="BB90" s="7">
        <f>CPIs!V50</f>
        <v>103.99966430664063</v>
      </c>
      <c r="BD90" s="22">
        <f t="shared" si="36"/>
        <v>2.0000064556623647</v>
      </c>
      <c r="BE90" s="1">
        <f t="shared" ref="BE90:BE96" si="51">BH90+BF90</f>
        <v>2.0167717522537432</v>
      </c>
      <c r="BF90" s="1">
        <f t="shared" ref="BF90:BF96" si="52">AY90/$BB90*100</f>
        <v>0.82918954938494327</v>
      </c>
      <c r="BG90" s="1">
        <f t="shared" ref="BG90:BG96" si="53">BD90-BF90</f>
        <v>1.1708169062774214</v>
      </c>
      <c r="BH90" s="1">
        <f t="shared" si="37"/>
        <v>1.1875822028688001</v>
      </c>
      <c r="BI90" s="3">
        <f t="shared" si="38"/>
        <v>129.65399716829489</v>
      </c>
      <c r="BJ90">
        <v>0</v>
      </c>
      <c r="BK90" s="23">
        <v>0.75</v>
      </c>
      <c r="BL90" s="23">
        <v>1</v>
      </c>
      <c r="BM90">
        <v>0</v>
      </c>
      <c r="BN90">
        <v>0</v>
      </c>
      <c r="BP90" s="22">
        <f t="shared" si="13"/>
        <v>2.2439449174660591</v>
      </c>
      <c r="BQ90" s="22">
        <f t="shared" si="14"/>
        <v>2.262755057788119</v>
      </c>
    </row>
    <row r="91" spans="1:76">
      <c r="A91">
        <v>2012</v>
      </c>
      <c r="B91" s="3">
        <f t="shared" si="48"/>
        <v>166.03505152260226</v>
      </c>
      <c r="C91" s="3">
        <f>CPIs!AB51</f>
        <v>105.21072267093371</v>
      </c>
      <c r="G91" s="2">
        <f>'Exchange Rates'!V51</f>
        <v>1.2279127575976263</v>
      </c>
      <c r="I91" s="3">
        <v>2.145</v>
      </c>
      <c r="S91" s="2">
        <f>USA!Z99*G91</f>
        <v>134.45136135160237</v>
      </c>
      <c r="Y91" s="32">
        <f t="shared" ref="Y91:Y97" si="54">AQ91</f>
        <v>0.60104999999999997</v>
      </c>
      <c r="Z91" s="32">
        <v>0.15</v>
      </c>
      <c r="AA91" s="2">
        <f t="shared" si="18"/>
        <v>0.27978260869565219</v>
      </c>
      <c r="AB91" s="2">
        <f t="shared" si="41"/>
        <v>0.88083260869565216</v>
      </c>
      <c r="AH91" s="2">
        <v>0.61419999999999997</v>
      </c>
      <c r="AL91" s="2">
        <v>0.495</v>
      </c>
      <c r="AM91" s="2">
        <v>9.9000000000000005E-2</v>
      </c>
      <c r="AN91">
        <v>6.6E-3</v>
      </c>
      <c r="AO91" s="69">
        <v>4.4999999999999999E-4</v>
      </c>
      <c r="AQ91" s="2">
        <f t="shared" si="49"/>
        <v>0.60104999999999997</v>
      </c>
      <c r="AR91" s="2">
        <f t="shared" si="50"/>
        <v>0.60104999999999997</v>
      </c>
      <c r="AU91">
        <v>2012</v>
      </c>
      <c r="AV91" s="1">
        <f t="shared" si="34"/>
        <v>2.145</v>
      </c>
      <c r="AW91" s="1">
        <f t="shared" si="21"/>
        <v>0.60104999999999997</v>
      </c>
      <c r="AX91" s="1">
        <f t="shared" si="22"/>
        <v>0.27978260869565219</v>
      </c>
      <c r="AY91" s="1">
        <f t="shared" si="39"/>
        <v>0.88083260869565216</v>
      </c>
      <c r="AZ91" s="22">
        <f t="shared" si="35"/>
        <v>1.2641673913043479</v>
      </c>
      <c r="BB91" s="7">
        <f>CPIs!V51</f>
        <v>105.11068725585938</v>
      </c>
      <c r="BD91" s="22">
        <f t="shared" si="36"/>
        <v>2.0407059034621882</v>
      </c>
      <c r="BE91" s="1">
        <f t="shared" si="51"/>
        <v>2.0629400575363244</v>
      </c>
      <c r="BF91" s="1">
        <f t="shared" si="52"/>
        <v>0.83800480397539256</v>
      </c>
      <c r="BG91" s="1">
        <f t="shared" si="53"/>
        <v>1.2027010994867955</v>
      </c>
      <c r="BH91" s="1">
        <f t="shared" si="37"/>
        <v>1.2249352535609317</v>
      </c>
      <c r="BI91" s="3">
        <f t="shared" si="38"/>
        <v>127.91407311829504</v>
      </c>
      <c r="BJ91">
        <v>0</v>
      </c>
      <c r="BK91" s="23">
        <v>0.55000000000000004</v>
      </c>
      <c r="BL91" s="23">
        <v>1</v>
      </c>
      <c r="BM91">
        <v>0</v>
      </c>
      <c r="BN91">
        <v>0</v>
      </c>
      <c r="BP91" s="22">
        <f t="shared" si="13"/>
        <v>2.2896084295889954</v>
      </c>
      <c r="BQ91" s="22">
        <f t="shared" si="14"/>
        <v>2.3145544575818362</v>
      </c>
    </row>
    <row r="92" spans="1:76">
      <c r="A92">
        <v>2013</v>
      </c>
      <c r="B92" s="3">
        <f t="shared" si="48"/>
        <v>165.29667977464302</v>
      </c>
      <c r="C92" s="3">
        <f>CPIs!AB52</f>
        <v>106.69767516878358</v>
      </c>
      <c r="G92" s="2">
        <f>'Exchange Rates'!V52</f>
        <v>1.2223514604400847</v>
      </c>
      <c r="I92" s="3">
        <v>2.1558333333333333</v>
      </c>
      <c r="R92" s="42"/>
      <c r="S92" s="2">
        <f>USA!Z100*G92</f>
        <v>129.4913299010459</v>
      </c>
      <c r="Y92" s="32">
        <f t="shared" si="54"/>
        <v>0.62605</v>
      </c>
      <c r="Z92" s="32">
        <v>0.15</v>
      </c>
      <c r="AA92" s="2">
        <f t="shared" si="18"/>
        <v>0.28119565217391301</v>
      </c>
      <c r="AB92" s="2">
        <f t="shared" si="41"/>
        <v>0.90724565217391295</v>
      </c>
      <c r="AH92" s="2">
        <v>0.64400000000000002</v>
      </c>
      <c r="AL92" s="2">
        <v>0.52</v>
      </c>
      <c r="AM92" s="2">
        <v>9.9000000000000005E-2</v>
      </c>
      <c r="AN92">
        <v>6.6E-3</v>
      </c>
      <c r="AO92" s="69">
        <v>4.4999999999999999E-4</v>
      </c>
      <c r="AQ92" s="2">
        <f t="shared" si="49"/>
        <v>0.62605</v>
      </c>
      <c r="AR92" s="2">
        <f t="shared" si="50"/>
        <v>0.62605</v>
      </c>
      <c r="AU92">
        <v>2013</v>
      </c>
      <c r="AV92" s="1">
        <f t="shared" si="34"/>
        <v>2.1558333333333333</v>
      </c>
      <c r="AW92" s="1">
        <f t="shared" si="21"/>
        <v>0.62605</v>
      </c>
      <c r="AX92" s="1">
        <f t="shared" si="22"/>
        <v>0.28119565217391301</v>
      </c>
      <c r="AY92" s="1">
        <f t="shared" si="39"/>
        <v>0.90724565217391295</v>
      </c>
      <c r="AZ92" s="22">
        <f t="shared" si="35"/>
        <v>1.2485876811594203</v>
      </c>
      <c r="BB92" s="7">
        <f>CPIs!V52</f>
        <v>106.31058502197266</v>
      </c>
      <c r="BD92" s="22">
        <f t="shared" si="36"/>
        <v>2.0278632959152261</v>
      </c>
      <c r="BE92" s="1">
        <f t="shared" si="51"/>
        <v>2.0363057039561347</v>
      </c>
      <c r="BF92" s="1">
        <f t="shared" si="52"/>
        <v>0.85339164673621182</v>
      </c>
      <c r="BG92" s="1">
        <f t="shared" si="53"/>
        <v>1.1744716491790141</v>
      </c>
      <c r="BH92" s="1">
        <f t="shared" si="37"/>
        <v>1.1829140572199228</v>
      </c>
      <c r="BI92" s="3">
        <f t="shared" si="38"/>
        <v>121.80473832806223</v>
      </c>
      <c r="BJ92">
        <v>0</v>
      </c>
      <c r="BK92" s="23">
        <v>0.55000000000000004</v>
      </c>
      <c r="BL92" s="23">
        <v>1</v>
      </c>
      <c r="BM92">
        <v>0</v>
      </c>
      <c r="BN92">
        <v>0</v>
      </c>
      <c r="BP92" s="22">
        <f t="shared" si="13"/>
        <v>2.2751994241328242</v>
      </c>
      <c r="BQ92" s="22">
        <f t="shared" si="14"/>
        <v>2.2846715428657096</v>
      </c>
    </row>
    <row r="93" spans="1:76">
      <c r="A93">
        <v>2014</v>
      </c>
      <c r="B93" s="3">
        <f t="shared" si="48"/>
        <v>165.1064327474175</v>
      </c>
      <c r="C93" s="3">
        <f>CPIs!AB53</f>
        <v>108.45811062912946</v>
      </c>
      <c r="G93" s="2">
        <f>'Exchange Rates'!V53</f>
        <v>1.2099462365591398</v>
      </c>
      <c r="I93" s="3">
        <v>2.1666666666666665</v>
      </c>
      <c r="R93" s="42"/>
      <c r="S93" s="2">
        <f>USA!Z101*G93</f>
        <v>116.38358912858422</v>
      </c>
      <c r="Y93" s="32">
        <f t="shared" si="54"/>
        <v>0.65605000000000002</v>
      </c>
      <c r="Z93" s="32">
        <v>0.15</v>
      </c>
      <c r="AA93" s="2">
        <f t="shared" si="18"/>
        <v>0.28260869565217395</v>
      </c>
      <c r="AB93" s="2">
        <f t="shared" si="41"/>
        <v>0.93865869565217397</v>
      </c>
      <c r="AH93" s="2">
        <v>0.67130000000000001</v>
      </c>
      <c r="AL93" s="2">
        <v>0.55000000000000004</v>
      </c>
      <c r="AM93" s="2">
        <v>9.9000000000000005E-2</v>
      </c>
      <c r="AN93">
        <v>6.6E-3</v>
      </c>
      <c r="AO93" s="69">
        <v>4.4999999999999999E-4</v>
      </c>
      <c r="AQ93" s="2">
        <f t="shared" si="49"/>
        <v>0.65605000000000002</v>
      </c>
      <c r="AR93" s="2">
        <f t="shared" si="50"/>
        <v>0.65605000000000002</v>
      </c>
      <c r="AU93">
        <v>2014</v>
      </c>
      <c r="AV93" s="1">
        <f t="shared" si="34"/>
        <v>2.1666666666666665</v>
      </c>
      <c r="AW93" s="1">
        <f t="shared" si="21"/>
        <v>0.65605000000000002</v>
      </c>
      <c r="AX93" s="1">
        <f t="shared" si="22"/>
        <v>0.28260869565217395</v>
      </c>
      <c r="AY93" s="1">
        <f t="shared" si="39"/>
        <v>0.93865869565217397</v>
      </c>
      <c r="AZ93" s="22">
        <f t="shared" si="35"/>
        <v>1.2280079710144927</v>
      </c>
      <c r="BB93" s="7">
        <f>CPIs!V53</f>
        <v>107.5882568359375</v>
      </c>
      <c r="BD93" s="22">
        <f t="shared" si="36"/>
        <v>2.0138505171346348</v>
      </c>
      <c r="BE93" s="1">
        <f t="shared" si="51"/>
        <v>2.0232713436559062</v>
      </c>
      <c r="BF93" s="1">
        <f t="shared" si="52"/>
        <v>0.87245459983940876</v>
      </c>
      <c r="BG93" s="1">
        <f t="shared" si="53"/>
        <v>1.1413959172952262</v>
      </c>
      <c r="BH93" s="1">
        <f t="shared" si="37"/>
        <v>1.1508167438164976</v>
      </c>
      <c r="BI93" s="3">
        <f t="shared" si="38"/>
        <v>108.17499283965427</v>
      </c>
      <c r="BJ93">
        <v>0</v>
      </c>
      <c r="BK93" s="23">
        <v>0.3</v>
      </c>
      <c r="BL93" s="23">
        <v>1</v>
      </c>
      <c r="BM93">
        <v>0</v>
      </c>
      <c r="BN93">
        <v>0</v>
      </c>
      <c r="BP93" s="22">
        <f t="shared" si="13"/>
        <v>2.2594775230183246</v>
      </c>
      <c r="BQ93" s="22">
        <f t="shared" si="14"/>
        <v>2.2700473967959249</v>
      </c>
    </row>
    <row r="94" spans="1:76">
      <c r="A94">
        <v>2015</v>
      </c>
      <c r="B94" s="3">
        <f t="shared" si="48"/>
        <v>125.74221361210745</v>
      </c>
      <c r="C94" s="3">
        <f>CPIs!AB54</f>
        <v>108.69337137051741</v>
      </c>
      <c r="G94" s="2">
        <f>'Exchange Rates'!V54</f>
        <v>1.4413918596083857</v>
      </c>
      <c r="I94" s="3">
        <v>1.97</v>
      </c>
      <c r="R94" s="42"/>
      <c r="S94" s="2">
        <f>USA!Z102*G94</f>
        <v>71.372932259874062</v>
      </c>
      <c r="Y94" s="32">
        <f t="shared" si="54"/>
        <v>0.67104999999999992</v>
      </c>
      <c r="Z94" s="32">
        <v>0.15</v>
      </c>
      <c r="AA94" s="2">
        <f t="shared" si="18"/>
        <v>0.25695652173913042</v>
      </c>
      <c r="AB94" s="2">
        <f t="shared" si="41"/>
        <v>0.92800652173913034</v>
      </c>
      <c r="AH94" s="2">
        <v>0.70130000000000003</v>
      </c>
      <c r="AL94" s="2">
        <v>0.57999999999999996</v>
      </c>
      <c r="AM94" s="2">
        <v>8.4000000000000005E-2</v>
      </c>
      <c r="AN94">
        <v>6.6E-3</v>
      </c>
      <c r="AO94" s="69">
        <v>4.4999999999999999E-4</v>
      </c>
      <c r="AQ94" s="2">
        <f t="shared" si="49"/>
        <v>0.67104999999999992</v>
      </c>
      <c r="AR94" s="2">
        <f t="shared" si="50"/>
        <v>0.67104999999999992</v>
      </c>
      <c r="AU94">
        <v>2015</v>
      </c>
      <c r="AV94" s="1">
        <f t="shared" si="34"/>
        <v>1.97</v>
      </c>
      <c r="AW94" s="1">
        <f t="shared" si="21"/>
        <v>0.67104999999999992</v>
      </c>
      <c r="AX94" s="1">
        <f t="shared" si="22"/>
        <v>0.25695652173913042</v>
      </c>
      <c r="AY94" s="1">
        <f t="shared" si="39"/>
        <v>0.92800652173913034</v>
      </c>
      <c r="AZ94" s="22">
        <f t="shared" si="35"/>
        <v>1.0419934782608697</v>
      </c>
      <c r="BB94" s="7">
        <f>CPIs!V54</f>
        <v>107.95767211914063</v>
      </c>
      <c r="BD94" s="22">
        <f t="shared" si="36"/>
        <v>1.8247892542791535</v>
      </c>
      <c r="BE94" s="1">
        <f t="shared" si="51"/>
        <v>1.834264069484004</v>
      </c>
      <c r="BF94" s="1">
        <f t="shared" si="52"/>
        <v>0.85960219734545118</v>
      </c>
      <c r="BG94" s="1">
        <f t="shared" si="53"/>
        <v>0.96518705693370233</v>
      </c>
      <c r="BH94" s="1">
        <f t="shared" si="37"/>
        <v>0.97466187213855271</v>
      </c>
      <c r="BI94" s="3">
        <f t="shared" si="38"/>
        <v>66.111959306706666</v>
      </c>
      <c r="BJ94">
        <v>0</v>
      </c>
      <c r="BK94">
        <v>0</v>
      </c>
      <c r="BL94">
        <v>0</v>
      </c>
      <c r="BM94">
        <v>0</v>
      </c>
      <c r="BN94">
        <v>0</v>
      </c>
      <c r="BP94" s="22">
        <f t="shared" si="13"/>
        <v>2.0473566777714676</v>
      </c>
      <c r="BQ94" s="22">
        <f t="shared" si="14"/>
        <v>2.0579871251696051</v>
      </c>
      <c r="BX94" t="s">
        <v>2412</v>
      </c>
    </row>
    <row r="95" spans="1:76">
      <c r="A95">
        <v>2016</v>
      </c>
      <c r="B95" s="3">
        <f t="shared" si="48"/>
        <v>119.11160281234314</v>
      </c>
      <c r="C95" s="3">
        <f>CPIs!AB55</f>
        <v>110.08253978538585</v>
      </c>
      <c r="G95" s="2">
        <f>'Exchange Rates'!V55</f>
        <v>1.4356959499602058</v>
      </c>
      <c r="I95" s="3">
        <v>1.8825000000000001</v>
      </c>
      <c r="S95" s="2">
        <f>USA!Z103*G95</f>
        <v>58.40980617164935</v>
      </c>
      <c r="Y95" s="32">
        <f t="shared" si="54"/>
        <v>0.67182999999999993</v>
      </c>
      <c r="Z95" s="32">
        <v>0.15</v>
      </c>
      <c r="AA95" s="2">
        <f t="shared" si="18"/>
        <v>0.24554347826086959</v>
      </c>
      <c r="AB95" s="2">
        <f t="shared" si="41"/>
        <v>0.91737347826086957</v>
      </c>
      <c r="AH95" s="2">
        <v>0.66479999999999995</v>
      </c>
      <c r="AL95" s="2">
        <v>0.59499999999999997</v>
      </c>
      <c r="AM95" s="2">
        <v>6.9000000000000006E-2</v>
      </c>
      <c r="AN95">
        <v>6.6E-3</v>
      </c>
      <c r="AO95" s="69">
        <v>1.23E-3</v>
      </c>
      <c r="AQ95" s="2">
        <f t="shared" si="49"/>
        <v>0.67182999999999993</v>
      </c>
      <c r="AR95" s="2">
        <f t="shared" si="50"/>
        <v>0.67182999999999993</v>
      </c>
      <c r="AU95">
        <v>2016</v>
      </c>
      <c r="AV95" s="1">
        <f t="shared" si="34"/>
        <v>1.8825000000000001</v>
      </c>
      <c r="AW95" s="1">
        <f t="shared" si="21"/>
        <v>0.67182999999999993</v>
      </c>
      <c r="AX95" s="1">
        <f t="shared" si="22"/>
        <v>0.24554347826086959</v>
      </c>
      <c r="AY95" s="1">
        <f t="shared" si="39"/>
        <v>0.91737347826086957</v>
      </c>
      <c r="AZ95" s="22">
        <f t="shared" si="35"/>
        <v>0.96512652173913049</v>
      </c>
      <c r="BB95" s="7">
        <f>CPIs!V55</f>
        <v>108.69094848632813</v>
      </c>
      <c r="BD95" s="22">
        <f t="shared" si="36"/>
        <v>1.7319749493554133</v>
      </c>
      <c r="BE95" s="1">
        <f t="shared" si="51"/>
        <v>1.7335807567322989</v>
      </c>
      <c r="BF95" s="1">
        <f t="shared" si="52"/>
        <v>0.84402012406420668</v>
      </c>
      <c r="BG95" s="1">
        <f t="shared" si="53"/>
        <v>0.88795482529120662</v>
      </c>
      <c r="BH95" s="1">
        <f t="shared" si="37"/>
        <v>0.88956063266809227</v>
      </c>
      <c r="BI95" s="3">
        <f t="shared" si="38"/>
        <v>53.739347190439254</v>
      </c>
      <c r="BJ95">
        <v>0</v>
      </c>
      <c r="BK95">
        <v>0</v>
      </c>
      <c r="BL95">
        <v>0</v>
      </c>
      <c r="BM95">
        <v>0</v>
      </c>
      <c r="BN95">
        <v>0</v>
      </c>
      <c r="BP95" s="22">
        <f t="shared" si="13"/>
        <v>1.94322192</v>
      </c>
      <c r="BQ95" s="22">
        <f t="shared" si="14"/>
        <v>1.9450235858354228</v>
      </c>
      <c r="BX95" t="s">
        <v>1855</v>
      </c>
    </row>
    <row r="96" spans="1:76">
      <c r="A96">
        <v>2017</v>
      </c>
      <c r="B96" s="3">
        <f t="shared" si="48"/>
        <v>127.75109362855284</v>
      </c>
      <c r="C96" s="3">
        <f>CPIs!AB56</f>
        <v>112.42729788281457</v>
      </c>
      <c r="G96" s="2">
        <f>'Exchange Rates'!V56</f>
        <v>1.407</v>
      </c>
      <c r="I96" s="3">
        <v>2.020833333333333</v>
      </c>
      <c r="S96" s="2">
        <f>USA!Z104*G96</f>
        <v>73.881569999999996</v>
      </c>
      <c r="Y96" s="32">
        <f t="shared" si="54"/>
        <v>0.66810000000000003</v>
      </c>
      <c r="Z96" s="32">
        <v>0.15</v>
      </c>
      <c r="AA96" s="2">
        <f t="shared" si="18"/>
        <v>0.26358695652173908</v>
      </c>
      <c r="AB96" s="2">
        <f t="shared" si="41"/>
        <v>0.93168695652173916</v>
      </c>
      <c r="AH96" s="2">
        <v>0.66479999999999995</v>
      </c>
      <c r="AL96" s="2">
        <v>0.59499999999999997</v>
      </c>
      <c r="AM96" s="2">
        <v>6.4000000000000001E-2</v>
      </c>
      <c r="AN96">
        <v>6.6E-3</v>
      </c>
      <c r="AO96" s="69">
        <v>2.5000000000000001E-3</v>
      </c>
      <c r="AQ96" s="2">
        <f t="shared" si="49"/>
        <v>0.66810000000000003</v>
      </c>
      <c r="AR96" s="2">
        <f t="shared" si="50"/>
        <v>0.66810000000000003</v>
      </c>
      <c r="AU96">
        <v>2017</v>
      </c>
      <c r="AV96" s="1">
        <f t="shared" si="34"/>
        <v>2.020833333333333</v>
      </c>
      <c r="AW96" s="1">
        <f t="shared" si="21"/>
        <v>0.66810000000000003</v>
      </c>
      <c r="AX96" s="1">
        <f t="shared" si="22"/>
        <v>0.26358695652173908</v>
      </c>
      <c r="AY96" s="1">
        <f t="shared" si="39"/>
        <v>0.93168695652173916</v>
      </c>
      <c r="AZ96" s="22">
        <f t="shared" si="35"/>
        <v>1.0891463768115939</v>
      </c>
      <c r="BB96" s="7">
        <f>CPIs!V56</f>
        <v>110.43000366210937</v>
      </c>
      <c r="BD96" s="22">
        <f t="shared" si="36"/>
        <v>1.8299676413274624</v>
      </c>
      <c r="BE96" s="1">
        <f t="shared" si="51"/>
        <v>1.823796498936084</v>
      </c>
      <c r="BF96" s="1">
        <f t="shared" si="52"/>
        <v>0.84369005308782641</v>
      </c>
      <c r="BG96" s="1">
        <f t="shared" si="53"/>
        <v>0.98627758823963596</v>
      </c>
      <c r="BH96" s="1">
        <f t="shared" si="37"/>
        <v>0.98010644584825757</v>
      </c>
      <c r="BI96" s="3">
        <f t="shared" si="38"/>
        <v>66.903529430335567</v>
      </c>
      <c r="BJ96">
        <v>0</v>
      </c>
      <c r="BK96">
        <v>0</v>
      </c>
      <c r="BL96">
        <v>0</v>
      </c>
      <c r="BM96">
        <v>0</v>
      </c>
      <c r="BN96">
        <v>0</v>
      </c>
      <c r="BP96" s="22">
        <f t="shared" si="13"/>
        <v>2.0531666666666668</v>
      </c>
      <c r="BQ96" s="22">
        <f t="shared" si="14"/>
        <v>2.0462428372135726</v>
      </c>
      <c r="BW96" s="78">
        <v>43101</v>
      </c>
      <c r="BX96">
        <v>2.13</v>
      </c>
    </row>
    <row r="97" spans="1:77">
      <c r="A97">
        <v>2018</v>
      </c>
      <c r="C97" s="3"/>
      <c r="G97" s="2">
        <f>'Exchange Rates'!V57</f>
        <v>1.462</v>
      </c>
      <c r="I97" s="2">
        <f>BX109</f>
        <v>2.2533333333333334</v>
      </c>
      <c r="P97" s="2"/>
      <c r="S97" s="2">
        <f>USA!Z105*G97</f>
        <v>102.63822268398269</v>
      </c>
      <c r="Y97" s="32">
        <f t="shared" si="54"/>
        <v>0.66460000000000008</v>
      </c>
      <c r="Z97" s="32">
        <v>0.15</v>
      </c>
      <c r="AA97" s="2">
        <f t="shared" ref="AA97" si="55">Z97*(I97*(1/(1+Z97)))</f>
        <v>0.29391304347826092</v>
      </c>
      <c r="AB97" s="2">
        <f t="shared" ref="AB97" si="56">Y97+AA97</f>
        <v>0.95851304347826094</v>
      </c>
      <c r="AL97" s="2">
        <v>0.59499999999999997</v>
      </c>
      <c r="AM97" s="2">
        <v>0.06</v>
      </c>
      <c r="AN97">
        <v>6.6E-3</v>
      </c>
      <c r="AO97" s="69">
        <v>3.0000000000000001E-3</v>
      </c>
      <c r="AQ97" s="2">
        <f t="shared" si="49"/>
        <v>0.66460000000000008</v>
      </c>
      <c r="AR97" s="2">
        <f t="shared" si="50"/>
        <v>0.66460000000000008</v>
      </c>
      <c r="AU97">
        <v>2018</v>
      </c>
      <c r="AV97" s="1">
        <f t="shared" ref="AV97" si="57">I97</f>
        <v>2.2533333333333334</v>
      </c>
      <c r="AW97" s="1">
        <f t="shared" ref="AW97" si="58">Y97</f>
        <v>0.66460000000000008</v>
      </c>
      <c r="AX97" s="1">
        <f t="shared" ref="AX97" si="59">AA97</f>
        <v>0.29391304347826092</v>
      </c>
      <c r="AY97" s="1">
        <f t="shared" ref="AY97" si="60">AB97</f>
        <v>0.95851304347826094</v>
      </c>
      <c r="AZ97" s="22">
        <f t="shared" ref="AZ97" si="61">AV97-AY97</f>
        <v>1.2948202898550725</v>
      </c>
      <c r="BB97" s="7">
        <f>CPIs!V57</f>
        <v>112.19688372070313</v>
      </c>
      <c r="BD97" s="22">
        <f t="shared" ref="BD97" si="62">AV97/$BB97*100</f>
        <v>2.0083742601467076</v>
      </c>
      <c r="BE97" s="1">
        <f t="shared" ref="BE97" si="63">BH97+BF97</f>
        <v>2.0034647799563494</v>
      </c>
      <c r="BF97" s="1">
        <f t="shared" ref="BF97" si="64">AY97/$BB97*100</f>
        <v>0.85431342804879651</v>
      </c>
      <c r="BG97" s="1">
        <f t="shared" ref="BG97" si="65">BD97-BF97</f>
        <v>1.1540608320979111</v>
      </c>
      <c r="BH97" s="1">
        <f t="shared" si="37"/>
        <v>1.1491513519075531</v>
      </c>
      <c r="BI97" s="3">
        <f t="shared" ref="BI97" si="66">S97/BB97*100</f>
        <v>91.480457638631691</v>
      </c>
      <c r="BJ97">
        <v>0</v>
      </c>
      <c r="BK97">
        <v>0</v>
      </c>
      <c r="BL97">
        <v>0</v>
      </c>
      <c r="BM97">
        <v>0</v>
      </c>
      <c r="BN97">
        <v>0</v>
      </c>
      <c r="BP97" s="22">
        <f>BD97*$BB$97/$BB$89</f>
        <v>2.253333333333333</v>
      </c>
      <c r="BQ97" s="22">
        <f>BE97*$BB$97/$BB$89</f>
        <v>2.247825049552866</v>
      </c>
      <c r="BW97" s="78">
        <v>43132</v>
      </c>
      <c r="BX97">
        <v>2.09</v>
      </c>
    </row>
    <row r="98" spans="1:77">
      <c r="P98" s="40"/>
      <c r="Q98" s="40"/>
      <c r="AU98">
        <v>2019</v>
      </c>
      <c r="BB98" s="7">
        <f>BB97</f>
        <v>112.19688372070313</v>
      </c>
      <c r="BW98" s="78">
        <v>43160</v>
      </c>
      <c r="BX98">
        <v>2.08</v>
      </c>
    </row>
    <row r="99" spans="1:77">
      <c r="P99" s="40"/>
      <c r="Q99" s="40"/>
      <c r="AU99">
        <v>2020</v>
      </c>
      <c r="BB99" s="7">
        <f t="shared" ref="BB99:BB109" si="67">BB98</f>
        <v>112.19688372070313</v>
      </c>
      <c r="BD99" s="13" t="s">
        <v>88</v>
      </c>
      <c r="BE99" s="13">
        <v>0.5199309205859628</v>
      </c>
      <c r="BW99" s="78">
        <v>43191</v>
      </c>
      <c r="BX99">
        <v>2.13</v>
      </c>
    </row>
    <row r="100" spans="1:77">
      <c r="AU100">
        <v>2021</v>
      </c>
      <c r="BB100" s="7">
        <f t="shared" si="67"/>
        <v>112.19688372070313</v>
      </c>
      <c r="BD100" s="13" t="s">
        <v>229</v>
      </c>
      <c r="BE100" s="13">
        <v>6.8781950545891658E-3</v>
      </c>
      <c r="BW100" s="78">
        <v>43221</v>
      </c>
      <c r="BX100">
        <v>2.2400000000000002</v>
      </c>
    </row>
    <row r="101" spans="1:77">
      <c r="AU101">
        <v>2022</v>
      </c>
      <c r="BB101" s="7">
        <f t="shared" si="67"/>
        <v>112.19688372070313</v>
      </c>
      <c r="BD101" s="3" t="s">
        <v>277</v>
      </c>
      <c r="BE101" s="13">
        <v>-0.61608018610775461</v>
      </c>
      <c r="BW101" s="78">
        <v>43252</v>
      </c>
      <c r="BX101">
        <v>2.2599999999999998</v>
      </c>
    </row>
    <row r="102" spans="1:77">
      <c r="AU102">
        <v>2023</v>
      </c>
      <c r="BB102" s="7">
        <f t="shared" si="67"/>
        <v>112.19688372070313</v>
      </c>
      <c r="BD102" s="3" t="s">
        <v>2014</v>
      </c>
      <c r="BE102" s="13">
        <v>-0.24660293844100598</v>
      </c>
      <c r="BW102" s="78">
        <v>43282</v>
      </c>
      <c r="BX102">
        <v>2.31</v>
      </c>
    </row>
    <row r="103" spans="1:77">
      <c r="AU103">
        <v>2024</v>
      </c>
      <c r="BB103" s="7">
        <f t="shared" si="67"/>
        <v>112.19688372070313</v>
      </c>
      <c r="BD103" t="s">
        <v>2011</v>
      </c>
      <c r="BE103" s="13">
        <v>-3.9181996017091845E-2</v>
      </c>
      <c r="BW103" s="78">
        <v>43313</v>
      </c>
      <c r="BX103">
        <v>2.36</v>
      </c>
    </row>
    <row r="104" spans="1:77">
      <c r="AU104">
        <v>2025</v>
      </c>
      <c r="BB104" s="7">
        <f t="shared" si="67"/>
        <v>112.19688372070313</v>
      </c>
      <c r="BD104" t="s">
        <v>2012</v>
      </c>
      <c r="BE104" s="13">
        <v>-0.38002677829791348</v>
      </c>
      <c r="BW104" s="78">
        <v>43344</v>
      </c>
      <c r="BX104">
        <v>2.4500000000000002</v>
      </c>
      <c r="BY104" s="3" t="s">
        <v>2433</v>
      </c>
    </row>
    <row r="105" spans="1:77" ht="15.75" thickBot="1">
      <c r="AU105">
        <v>2026</v>
      </c>
      <c r="BB105" s="7">
        <f t="shared" si="67"/>
        <v>112.19688372070313</v>
      </c>
      <c r="BD105" t="s">
        <v>2013</v>
      </c>
      <c r="BE105" s="14">
        <v>-0.19163771885570918</v>
      </c>
      <c r="BW105" s="78">
        <v>43374</v>
      </c>
      <c r="BX105">
        <v>2.5099999999999998</v>
      </c>
    </row>
    <row r="106" spans="1:77">
      <c r="P106" s="13" t="s">
        <v>88</v>
      </c>
      <c r="Q106" s="13">
        <v>3.9098090642005492E-2</v>
      </c>
      <c r="AU106">
        <v>2027</v>
      </c>
      <c r="BB106" s="7">
        <f t="shared" si="67"/>
        <v>112.19688372070313</v>
      </c>
      <c r="BW106" s="78">
        <v>43405</v>
      </c>
      <c r="BX106">
        <v>2.2599999999999998</v>
      </c>
      <c r="BY106" t="s">
        <v>2416</v>
      </c>
    </row>
    <row r="107" spans="1:77">
      <c r="P107" s="13" t="s">
        <v>99</v>
      </c>
      <c r="Q107" s="13">
        <v>8.5369667098230788E-3</v>
      </c>
      <c r="AU107">
        <v>2028</v>
      </c>
      <c r="BB107" s="7">
        <f t="shared" si="67"/>
        <v>112.19688372070313</v>
      </c>
      <c r="BW107" s="78">
        <v>43435</v>
      </c>
      <c r="BX107" s="12">
        <v>2.2200000000000002</v>
      </c>
    </row>
    <row r="108" spans="1:77">
      <c r="P108" s="13" t="s">
        <v>127</v>
      </c>
      <c r="Q108" s="13">
        <v>0.17009343819260694</v>
      </c>
      <c r="AU108">
        <v>2029</v>
      </c>
      <c r="BB108" s="7">
        <f t="shared" si="67"/>
        <v>112.19688372070313</v>
      </c>
    </row>
    <row r="109" spans="1:77">
      <c r="P109" s="13" t="s">
        <v>136</v>
      </c>
      <c r="Q109" s="13">
        <v>-0.1578898306955267</v>
      </c>
      <c r="AU109">
        <v>2030</v>
      </c>
      <c r="BB109" s="7">
        <f t="shared" si="67"/>
        <v>112.19688372070313</v>
      </c>
      <c r="BW109">
        <v>2018</v>
      </c>
      <c r="BX109" s="3">
        <f>AVERAGE(BX96:BX107)</f>
        <v>2.2533333333333334</v>
      </c>
    </row>
    <row r="110" spans="1:77" ht="15.75" thickBot="1">
      <c r="P110" s="14" t="s">
        <v>141</v>
      </c>
      <c r="Q110" s="14">
        <v>0</v>
      </c>
    </row>
    <row r="111" spans="1:77">
      <c r="R111" s="82" t="str">
        <f>BD99</f>
        <v>Intercept</v>
      </c>
      <c r="S111" s="13">
        <f>BE99</f>
        <v>0.5199309205859628</v>
      </c>
    </row>
    <row r="112" spans="1:77">
      <c r="R112" s="13" t="s">
        <v>229</v>
      </c>
      <c r="S112" s="13">
        <f t="shared" ref="S112:S117" si="68">BE100</f>
        <v>6.8781950545891658E-3</v>
      </c>
    </row>
    <row r="113" spans="1:71">
      <c r="R113" s="3" t="s">
        <v>277</v>
      </c>
      <c r="S113" s="13">
        <f t="shared" si="68"/>
        <v>-0.61608018610775461</v>
      </c>
    </row>
    <row r="114" spans="1:71">
      <c r="R114" s="3" t="s">
        <v>2014</v>
      </c>
      <c r="S114" s="13">
        <f t="shared" si="68"/>
        <v>-0.24660293844100598</v>
      </c>
    </row>
    <row r="115" spans="1:71">
      <c r="R115" t="s">
        <v>2011</v>
      </c>
      <c r="S115" s="13">
        <f t="shared" si="68"/>
        <v>-3.9181996017091845E-2</v>
      </c>
    </row>
    <row r="116" spans="1:71">
      <c r="R116" t="s">
        <v>2012</v>
      </c>
      <c r="S116" s="13">
        <f t="shared" si="68"/>
        <v>-0.38002677829791348</v>
      </c>
    </row>
    <row r="117" spans="1:71">
      <c r="R117" t="s">
        <v>2013</v>
      </c>
      <c r="S117" s="13">
        <f t="shared" si="68"/>
        <v>-0.19163771885570918</v>
      </c>
    </row>
    <row r="118" spans="1:71">
      <c r="P118" s="37"/>
      <c r="R118" s="32"/>
      <c r="S118" s="37"/>
      <c r="W118" s="2"/>
      <c r="X118" s="37"/>
      <c r="AM118" s="2"/>
      <c r="AN118" s="2"/>
      <c r="AV118"/>
      <c r="AW118"/>
      <c r="AZ118" s="2"/>
      <c r="BA118" s="2"/>
      <c r="BB118" s="32"/>
      <c r="BD118" s="12"/>
      <c r="BE118" s="12"/>
      <c r="BF118" s="7"/>
      <c r="BG118" s="3"/>
      <c r="BH118" s="3"/>
      <c r="BI118"/>
      <c r="BK118" s="9"/>
    </row>
    <row r="119" spans="1:71">
      <c r="O119" s="2"/>
      <c r="P119" s="37"/>
      <c r="R119" s="32"/>
      <c r="S119" s="37"/>
      <c r="W119" s="2"/>
      <c r="X119" s="37"/>
      <c r="Y119" s="37"/>
      <c r="Z119" s="37"/>
      <c r="AA119" s="37"/>
      <c r="AB119" s="37"/>
      <c r="AC119" s="37"/>
      <c r="AD119" s="37"/>
      <c r="AE119" s="37"/>
      <c r="AF119" s="37"/>
      <c r="AK119" t="s">
        <v>1960</v>
      </c>
      <c r="AL119" t="s">
        <v>1960</v>
      </c>
      <c r="AM119" t="s">
        <v>1960</v>
      </c>
      <c r="AN119" s="2"/>
      <c r="AO119" s="2"/>
      <c r="AP119" s="2"/>
      <c r="AQ119" s="2"/>
      <c r="AR119" s="2"/>
      <c r="AS119" s="2"/>
      <c r="AT119" s="2"/>
      <c r="AU119" s="2"/>
      <c r="AW119"/>
      <c r="AX119"/>
      <c r="AY119"/>
      <c r="AZ119"/>
      <c r="BA119"/>
      <c r="BD119" s="12"/>
      <c r="BE119" s="12"/>
      <c r="BF119" s="12"/>
      <c r="BH119" s="3"/>
      <c r="BI119"/>
      <c r="BK119" s="9"/>
      <c r="BO119" s="3"/>
      <c r="BP119" s="3"/>
      <c r="BS119" s="9"/>
    </row>
    <row r="120" spans="1:71">
      <c r="B120" s="76" t="s">
        <v>2551</v>
      </c>
      <c r="C120" s="76"/>
      <c r="D120" s="76"/>
      <c r="E120" s="76"/>
      <c r="F120" s="26" t="s">
        <v>269</v>
      </c>
      <c r="G120" s="76" t="s">
        <v>2581</v>
      </c>
      <c r="H120" s="76"/>
      <c r="I120" s="76"/>
      <c r="J120" s="76"/>
      <c r="K120" s="26" t="s">
        <v>2582</v>
      </c>
      <c r="L120" s="26"/>
      <c r="M120" s="26"/>
      <c r="N120" s="26"/>
      <c r="O120" s="2"/>
      <c r="P120" s="77" t="s">
        <v>111</v>
      </c>
      <c r="Q120" s="26" t="s">
        <v>2612</v>
      </c>
      <c r="R120" s="26"/>
      <c r="S120" s="26"/>
      <c r="T120" s="79">
        <v>0.15</v>
      </c>
      <c r="U120" s="76" t="s">
        <v>2584</v>
      </c>
      <c r="V120" s="76"/>
      <c r="W120" s="76"/>
      <c r="X120" s="76"/>
      <c r="Y120" s="26" t="s">
        <v>2496</v>
      </c>
      <c r="Z120" s="26"/>
      <c r="AA120" s="26"/>
      <c r="AB120" s="79"/>
      <c r="AC120" s="26" t="s">
        <v>2585</v>
      </c>
      <c r="AD120" s="26"/>
      <c r="AE120" s="26"/>
      <c r="AF120" s="79"/>
      <c r="AK120" s="3" t="s">
        <v>1957</v>
      </c>
      <c r="AL120" s="3" t="s">
        <v>1957</v>
      </c>
      <c r="AM120" s="3" t="s">
        <v>1957</v>
      </c>
      <c r="AN120" s="2"/>
      <c r="AO120" s="2"/>
      <c r="AP120" s="2"/>
      <c r="AQ120" s="2"/>
      <c r="AR120" s="2"/>
      <c r="AS120" s="2"/>
      <c r="AV120"/>
      <c r="AW120"/>
      <c r="AX120"/>
      <c r="AY120"/>
      <c r="AZ120"/>
      <c r="BA120"/>
      <c r="BD120" s="12"/>
      <c r="BE120" s="12"/>
      <c r="BF120" s="32"/>
      <c r="BG120" s="2"/>
      <c r="BH120" s="3"/>
      <c r="BI120"/>
      <c r="BK120" s="9"/>
      <c r="BP120" s="9"/>
    </row>
    <row r="121" spans="1:71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2"/>
      <c r="P121" s="77" t="s">
        <v>2583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K121" s="3" t="s">
        <v>268</v>
      </c>
      <c r="AL121" s="3" t="s">
        <v>267</v>
      </c>
      <c r="AM121" s="3" t="s">
        <v>266</v>
      </c>
      <c r="AN121" s="2"/>
      <c r="AO121" s="2"/>
      <c r="AP121" s="2"/>
      <c r="AQ121" s="2"/>
      <c r="AR121" s="2"/>
      <c r="AS121" s="2"/>
      <c r="AV121"/>
      <c r="AW121"/>
      <c r="AX121"/>
      <c r="AY121"/>
      <c r="AZ121"/>
      <c r="BA121"/>
      <c r="BD121" s="12"/>
      <c r="BE121" s="12"/>
      <c r="BF121" s="32"/>
      <c r="BG121" s="2"/>
      <c r="BH121" s="3"/>
      <c r="BI121"/>
      <c r="BK121" s="9"/>
      <c r="BP121" s="9"/>
    </row>
    <row r="122" spans="1:71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69">AL122</f>
        <v>77.45</v>
      </c>
      <c r="E122" s="3">
        <f t="shared" si="69"/>
        <v>77.45</v>
      </c>
      <c r="F122" s="6">
        <f>'Exchange Rates'!V49</f>
        <v>1.388946762928809</v>
      </c>
      <c r="G122" s="3">
        <f>(B122*USA!$AU97/100)/$BB89*100*$F122</f>
        <v>107.57392678883626</v>
      </c>
      <c r="H122" s="3">
        <f>(C122*USA!$AU97/100)/$BB89*100*$F122</f>
        <v>107.57392678883626</v>
      </c>
      <c r="I122" s="3">
        <f>(D122*USA!$AU97/100)/$BB89*100*$F122</f>
        <v>107.57392678883626</v>
      </c>
      <c r="J122" s="3">
        <f>(E122*USA!$AU97/100)/$BB89*100*$F122</f>
        <v>107.57392678883626</v>
      </c>
      <c r="K122" s="6">
        <f>S$111+S$112*G122+S$114*BK89+S$115</f>
        <v>0.99872073121367611</v>
      </c>
      <c r="L122" s="6">
        <f>S$111+S$112*H122+S$114*BK89+S$115</f>
        <v>0.99872073121367611</v>
      </c>
      <c r="M122" s="6">
        <f>S$111+S$112*I122+S$114*BK89+S$115</f>
        <v>0.99872073121367611</v>
      </c>
      <c r="N122" s="6">
        <f>S$111+S$112*J122+S$114*BK89+S$115</f>
        <v>0.99872073121367611</v>
      </c>
      <c r="O122">
        <v>2010</v>
      </c>
      <c r="P122" s="24">
        <f t="shared" ref="P122:P130" si="70">Y89/BB89*100</f>
        <v>0.56899999999999995</v>
      </c>
      <c r="Q122" s="2">
        <f t="shared" ref="Q122:T128" si="71">(K122+$P122)*$Z89</f>
        <v>0.20537141578899157</v>
      </c>
      <c r="R122" s="2">
        <f t="shared" si="71"/>
        <v>0.20537141578899157</v>
      </c>
      <c r="S122" s="2">
        <f t="shared" si="71"/>
        <v>0.20537141578899157</v>
      </c>
      <c r="T122" s="2">
        <f t="shared" si="71"/>
        <v>0.20537141578899157</v>
      </c>
      <c r="U122" s="3">
        <f t="shared" ref="U122:U130" si="72">BD89</f>
        <v>1.7669999999999999</v>
      </c>
      <c r="V122" s="3">
        <f t="shared" ref="V122:V142" si="73">L122+$P122+R122</f>
        <v>1.7730921470026677</v>
      </c>
      <c r="W122" s="3">
        <f t="shared" ref="W122:W142" si="74">M122+$P122+S122</f>
        <v>1.7730921470026677</v>
      </c>
      <c r="X122" s="3">
        <f t="shared" ref="X122:X142" si="75">N122+$P122+T122</f>
        <v>1.7730921470026677</v>
      </c>
      <c r="Y122" s="9">
        <f t="shared" ref="Y122:AB129" si="76">U122*$BB$97/100*100</f>
        <v>198.25189353448241</v>
      </c>
      <c r="Z122" s="9">
        <f t="shared" si="76"/>
        <v>198.93541344335017</v>
      </c>
      <c r="AA122" s="9">
        <f t="shared" si="76"/>
        <v>198.93541344335017</v>
      </c>
      <c r="AB122" s="9">
        <f t="shared" si="76"/>
        <v>198.93541344335017</v>
      </c>
      <c r="AC122" s="3">
        <f t="shared" ref="AC122:AC130" si="77">U122*$BB$96/100</f>
        <v>1.9512981647094725</v>
      </c>
      <c r="AD122" s="3">
        <f>AC122</f>
        <v>1.9512981647094725</v>
      </c>
      <c r="AE122" s="3">
        <f t="shared" ref="AE122:AF122" si="78">AD122</f>
        <v>1.9512981647094725</v>
      </c>
      <c r="AF122" s="3">
        <f t="shared" si="78"/>
        <v>1.9512981647094725</v>
      </c>
      <c r="AK122" s="3">
        <f>USA!AJ135</f>
        <v>77.45</v>
      </c>
      <c r="AL122" s="3">
        <f>USA!AK135</f>
        <v>77.45</v>
      </c>
      <c r="AM122" s="3">
        <f>USA!AL135</f>
        <v>77.45</v>
      </c>
      <c r="AN122" s="2"/>
      <c r="AO122" s="2"/>
      <c r="AP122" s="2"/>
      <c r="AQ122" s="2"/>
      <c r="AR122" s="2"/>
      <c r="AS122" s="2"/>
      <c r="AV122"/>
      <c r="AW122"/>
      <c r="AX122"/>
      <c r="AY122"/>
      <c r="AZ122"/>
      <c r="BA122"/>
      <c r="BD122" s="12"/>
      <c r="BE122" s="12"/>
      <c r="BF122" s="32"/>
      <c r="BG122" s="2"/>
      <c r="BH122" s="3"/>
      <c r="BI122"/>
      <c r="BK122" s="9"/>
      <c r="BP122" s="9"/>
    </row>
    <row r="123" spans="1:71">
      <c r="A123">
        <v>2011</v>
      </c>
      <c r="B123" s="3">
        <f>USA!Z98/USA!AU98*100</f>
        <v>104.18614906980585</v>
      </c>
      <c r="C123" s="3">
        <f t="shared" ref="C123:C142" si="79">AK123</f>
        <v>104.18614906980586</v>
      </c>
      <c r="D123" s="3">
        <f t="shared" ref="D123:D142" si="80">AL123</f>
        <v>104.18614906980586</v>
      </c>
      <c r="E123" s="3">
        <f t="shared" ref="E123:E142" si="81">AM123</f>
        <v>104.18614906980586</v>
      </c>
      <c r="F123" s="6">
        <f>'Exchange Rates'!V50</f>
        <v>1.2549066711509356</v>
      </c>
      <c r="G123" s="3">
        <f>(B123*USA!$AU98/100)/$BB90*100*$F123</f>
        <v>129.65399716829489</v>
      </c>
      <c r="H123" s="3">
        <f>(C123*USA!$AU98/100)/$BB90*100*$F123</f>
        <v>129.65399716829492</v>
      </c>
      <c r="I123" s="3">
        <f>(D123*USA!$AU98/100)/$BB90*100*$F123</f>
        <v>129.65399716829492</v>
      </c>
      <c r="J123" s="3">
        <f>(E123*USA!$AU98/100)/$BB90*100*$F123</f>
        <v>129.65399716829492</v>
      </c>
      <c r="K123" s="6">
        <f>S$111+S$112*G123+S$114*BK90+S$115</f>
        <v>1.1875822028688001</v>
      </c>
      <c r="L123" s="6">
        <f>S$111+S$112*H123+S$114*BK90+S$115</f>
        <v>1.1875822028688003</v>
      </c>
      <c r="M123" s="6">
        <f>S$111+S$112*I123+S$114*BK90+S$115</f>
        <v>1.1875822028688003</v>
      </c>
      <c r="N123" s="6">
        <f>S$111+S$112*J123+S$114*BK90+S$115</f>
        <v>1.1875822028688003</v>
      </c>
      <c r="O123">
        <v>2011</v>
      </c>
      <c r="P123" s="24">
        <f t="shared" si="70"/>
        <v>0.56831914212463475</v>
      </c>
      <c r="Q123" s="2">
        <f t="shared" si="71"/>
        <v>0.2633852017490152</v>
      </c>
      <c r="R123" s="2">
        <f t="shared" si="71"/>
        <v>0.26338520174901525</v>
      </c>
      <c r="S123" s="2">
        <f t="shared" si="71"/>
        <v>0.26338520174901525</v>
      </c>
      <c r="T123" s="2">
        <f t="shared" si="71"/>
        <v>0.26338520174901525</v>
      </c>
      <c r="U123" s="3">
        <f t="shared" si="72"/>
        <v>2.0000064556623647</v>
      </c>
      <c r="V123" s="3">
        <f t="shared" si="73"/>
        <v>2.0192865467424506</v>
      </c>
      <c r="W123" s="3">
        <f t="shared" si="74"/>
        <v>2.0192865467424506</v>
      </c>
      <c r="X123" s="3">
        <f t="shared" si="75"/>
        <v>2.0192865467424506</v>
      </c>
      <c r="Y123" s="9">
        <f t="shared" si="76"/>
        <v>224.39449174660589</v>
      </c>
      <c r="Z123" s="9">
        <f t="shared" si="76"/>
        <v>226.55765788364289</v>
      </c>
      <c r="AA123" s="9">
        <f t="shared" si="76"/>
        <v>226.55765788364289</v>
      </c>
      <c r="AB123" s="9">
        <f t="shared" si="76"/>
        <v>226.55765788364289</v>
      </c>
      <c r="AC123" s="3">
        <f t="shared" si="77"/>
        <v>2.2086072022303731</v>
      </c>
      <c r="AD123" s="3">
        <f t="shared" ref="AD123:AF123" si="82">AC123</f>
        <v>2.2086072022303731</v>
      </c>
      <c r="AE123" s="3">
        <f t="shared" si="82"/>
        <v>2.2086072022303731</v>
      </c>
      <c r="AF123" s="3">
        <f t="shared" si="82"/>
        <v>2.2086072022303731</v>
      </c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N123" s="2"/>
      <c r="AO123" s="2"/>
      <c r="AP123" s="2"/>
      <c r="AQ123" s="2"/>
      <c r="AR123" s="2"/>
      <c r="AS123" s="2"/>
      <c r="AV123"/>
      <c r="AW123"/>
      <c r="AX123"/>
      <c r="AY123"/>
      <c r="AZ123"/>
      <c r="BA123"/>
      <c r="BD123" s="12"/>
      <c r="BE123" s="12"/>
      <c r="BF123" s="32"/>
      <c r="BG123" s="2"/>
      <c r="BH123" s="3"/>
      <c r="BI123"/>
      <c r="BK123" s="9"/>
      <c r="BP123" s="9"/>
    </row>
    <row r="124" spans="1:71">
      <c r="A124">
        <v>2012</v>
      </c>
      <c r="B124" s="3">
        <f>USA!Z99/USA!AU99*100</f>
        <v>104.07290773565181</v>
      </c>
      <c r="C124" s="3">
        <f t="shared" si="79"/>
        <v>104.07290773565181</v>
      </c>
      <c r="D124" s="3">
        <f t="shared" si="80"/>
        <v>104.07290773565181</v>
      </c>
      <c r="E124" s="3">
        <f t="shared" si="81"/>
        <v>104.07290773565181</v>
      </c>
      <c r="F124" s="6">
        <f>'Exchange Rates'!V51</f>
        <v>1.2279127575976263</v>
      </c>
      <c r="G124" s="3">
        <f>(B124*USA!$AU99/100)/$BB91*100*$F124</f>
        <v>127.91407311829504</v>
      </c>
      <c r="H124" s="3">
        <f>(C124*USA!$AU99/100)/$BB91*100*$F124</f>
        <v>127.91407311829504</v>
      </c>
      <c r="I124" s="3">
        <f>(D124*USA!$AU99/100)/$BB91*100*$F124</f>
        <v>127.91407311829504</v>
      </c>
      <c r="J124" s="3">
        <f>(E124*USA!$AU99/100)/$BB91*100*$F124</f>
        <v>127.91407311829504</v>
      </c>
      <c r="K124" s="6">
        <f>S$111+S$112*G124+S$114*BK91+S$115</f>
        <v>1.2249352535609317</v>
      </c>
      <c r="L124" s="6">
        <f>S$111+S$112*H124+S$114*BK91+S$115</f>
        <v>1.2249352535609317</v>
      </c>
      <c r="M124" s="6">
        <f>S$111+S$112*I124+S$114*BK91+S$115</f>
        <v>1.2249352535609317</v>
      </c>
      <c r="N124" s="6">
        <f>S$111+S$112*J124+S$114*BK91+S$115</f>
        <v>1.2249352535609317</v>
      </c>
      <c r="O124">
        <v>2012</v>
      </c>
      <c r="P124" s="24">
        <f t="shared" si="70"/>
        <v>0.57182577308902005</v>
      </c>
      <c r="Q124" s="2">
        <f t="shared" si="71"/>
        <v>0.26951415399749273</v>
      </c>
      <c r="R124" s="2">
        <f t="shared" si="71"/>
        <v>0.26951415399749273</v>
      </c>
      <c r="S124" s="2">
        <f t="shared" si="71"/>
        <v>0.26951415399749273</v>
      </c>
      <c r="T124" s="2">
        <f t="shared" si="71"/>
        <v>0.26951415399749273</v>
      </c>
      <c r="U124" s="3">
        <f t="shared" si="72"/>
        <v>2.0407059034621882</v>
      </c>
      <c r="V124" s="3">
        <f t="shared" si="73"/>
        <v>2.0662751806474442</v>
      </c>
      <c r="W124" s="3">
        <f t="shared" si="74"/>
        <v>2.0662751806474442</v>
      </c>
      <c r="X124" s="3">
        <f t="shared" si="75"/>
        <v>2.0662751806474442</v>
      </c>
      <c r="Y124" s="9">
        <f t="shared" si="76"/>
        <v>228.96084295889955</v>
      </c>
      <c r="Z124" s="9">
        <f t="shared" si="76"/>
        <v>231.82963617807616</v>
      </c>
      <c r="AA124" s="9">
        <f t="shared" si="76"/>
        <v>231.82963617807616</v>
      </c>
      <c r="AB124" s="9">
        <f t="shared" si="76"/>
        <v>231.82963617807616</v>
      </c>
      <c r="AC124" s="3">
        <f t="shared" si="77"/>
        <v>2.2535516039261765</v>
      </c>
      <c r="AD124" s="3">
        <f t="shared" ref="AD124:AF124" si="83">AC124</f>
        <v>2.2535516039261765</v>
      </c>
      <c r="AE124" s="3">
        <f t="shared" si="83"/>
        <v>2.2535516039261765</v>
      </c>
      <c r="AF124" s="3">
        <f t="shared" si="83"/>
        <v>2.2535516039261765</v>
      </c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N124" s="2"/>
      <c r="AO124" s="2"/>
      <c r="AP124" s="2"/>
      <c r="AQ124" s="2"/>
      <c r="AR124" s="2"/>
      <c r="AS124" s="2"/>
      <c r="AV124"/>
      <c r="AW124"/>
      <c r="AX124"/>
      <c r="AY124"/>
      <c r="AZ124"/>
      <c r="BA124"/>
      <c r="BD124" s="12"/>
      <c r="BE124" s="12"/>
      <c r="BF124" s="32"/>
      <c r="BG124" s="2"/>
      <c r="BH124" s="3"/>
      <c r="BI124"/>
      <c r="BK124" s="9"/>
      <c r="BP124" s="9"/>
    </row>
    <row r="125" spans="1:71">
      <c r="A125">
        <v>2013</v>
      </c>
      <c r="B125" s="3">
        <f>USA!Z100/USA!AU100*100</f>
        <v>99.286371359470479</v>
      </c>
      <c r="C125" s="3">
        <f t="shared" si="79"/>
        <v>99.286371359470493</v>
      </c>
      <c r="D125" s="3">
        <f t="shared" si="80"/>
        <v>99.286371359470493</v>
      </c>
      <c r="E125" s="3">
        <f t="shared" si="81"/>
        <v>99.286371359470493</v>
      </c>
      <c r="F125" s="6">
        <f>'Exchange Rates'!V52</f>
        <v>1.2223514604400847</v>
      </c>
      <c r="G125" s="3">
        <f>(B125*USA!$AU100/100)/$BB92*100*$F125</f>
        <v>121.80473832806221</v>
      </c>
      <c r="H125" s="3">
        <f>(C125*USA!$AU100/100)/$BB92*100*$F125</f>
        <v>121.80473832806223</v>
      </c>
      <c r="I125" s="3">
        <f>(D125*USA!$AU100/100)/$BB92*100*$F125</f>
        <v>121.80473832806223</v>
      </c>
      <c r="J125" s="3">
        <f>(E125*USA!$AU100/100)/$BB92*100*$F125</f>
        <v>121.80473832806223</v>
      </c>
      <c r="K125" s="6">
        <f>S$111+S$112*G125+S$114*BK92+S$115</f>
        <v>1.1829140572199226</v>
      </c>
      <c r="L125" s="6">
        <f>S$111+S$112*H125+S$114*BK92+S$115</f>
        <v>1.1829140572199228</v>
      </c>
      <c r="M125" s="6">
        <f>S$111+S$112*I125+S$114*BK92+S$115</f>
        <v>1.1829140572199228</v>
      </c>
      <c r="N125" s="6">
        <f>S$111+S$112*J125+S$114*BK92+S$115</f>
        <v>1.1829140572199228</v>
      </c>
      <c r="O125">
        <v>2013</v>
      </c>
      <c r="P125" s="24">
        <f t="shared" si="70"/>
        <v>0.5888877385733563</v>
      </c>
      <c r="Q125" s="2">
        <f t="shared" si="71"/>
        <v>0.26577026936899178</v>
      </c>
      <c r="R125" s="2">
        <f t="shared" si="71"/>
        <v>0.2657702693689919</v>
      </c>
      <c r="S125" s="2">
        <f t="shared" si="71"/>
        <v>0.2657702693689919</v>
      </c>
      <c r="T125" s="2">
        <f t="shared" si="71"/>
        <v>0.2657702693689919</v>
      </c>
      <c r="U125" s="3">
        <f t="shared" si="72"/>
        <v>2.0278632959152261</v>
      </c>
      <c r="V125" s="3">
        <f t="shared" si="73"/>
        <v>2.0375720651622711</v>
      </c>
      <c r="W125" s="3">
        <f t="shared" si="74"/>
        <v>2.0375720651622711</v>
      </c>
      <c r="X125" s="3">
        <f t="shared" si="75"/>
        <v>2.0375720651622711</v>
      </c>
      <c r="Y125" s="9">
        <f t="shared" si="76"/>
        <v>227.51994241328242</v>
      </c>
      <c r="Z125" s="9">
        <f t="shared" si="76"/>
        <v>228.60923606756427</v>
      </c>
      <c r="AA125" s="9">
        <f t="shared" si="76"/>
        <v>228.60923606756427</v>
      </c>
      <c r="AB125" s="9">
        <f t="shared" si="76"/>
        <v>228.60923606756427</v>
      </c>
      <c r="AC125" s="3">
        <f t="shared" si="77"/>
        <v>2.239369511941756</v>
      </c>
      <c r="AD125" s="3">
        <f t="shared" ref="AD125:AF125" si="84">AC125</f>
        <v>2.239369511941756</v>
      </c>
      <c r="AE125" s="3">
        <f t="shared" si="84"/>
        <v>2.239369511941756</v>
      </c>
      <c r="AF125" s="3">
        <f t="shared" si="84"/>
        <v>2.239369511941756</v>
      </c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N125" s="2"/>
      <c r="AO125" s="2"/>
      <c r="AP125" s="2"/>
      <c r="AQ125" s="2"/>
      <c r="AR125" s="2"/>
      <c r="AS125" s="2"/>
      <c r="AV125"/>
      <c r="AW125"/>
      <c r="AX125"/>
      <c r="AY125"/>
      <c r="AZ125"/>
      <c r="BA125"/>
      <c r="BD125" s="12"/>
      <c r="BE125" s="12"/>
      <c r="BF125" s="32"/>
      <c r="BG125" s="2"/>
      <c r="BH125" s="3"/>
      <c r="BI125"/>
      <c r="BK125" s="9"/>
      <c r="BP125" s="9"/>
    </row>
    <row r="126" spans="1:71">
      <c r="A126">
        <v>2014</v>
      </c>
      <c r="B126" s="3">
        <f>USA!Z101/USA!AU101*100</f>
        <v>88.687750298592292</v>
      </c>
      <c r="C126" s="3">
        <f t="shared" si="79"/>
        <v>88.687750298592292</v>
      </c>
      <c r="D126" s="3">
        <f t="shared" si="80"/>
        <v>88.687750298592292</v>
      </c>
      <c r="E126" s="3">
        <f t="shared" si="81"/>
        <v>88.687750298592292</v>
      </c>
      <c r="F126" s="6">
        <f>'Exchange Rates'!V53</f>
        <v>1.2099462365591398</v>
      </c>
      <c r="G126" s="3">
        <f>(B126*USA!$AU101/100)/$BB93*100*$F126</f>
        <v>108.17499283965425</v>
      </c>
      <c r="H126" s="3">
        <f>(C126*USA!$AU101/100)/$BB93*100*$F126</f>
        <v>108.17499283965425</v>
      </c>
      <c r="I126" s="3">
        <f>(D126*USA!$AU101/100)/$BB93*100*$F126</f>
        <v>108.17499283965425</v>
      </c>
      <c r="J126" s="3">
        <f>(E126*USA!$AU101/100)/$BB93*100*$F126</f>
        <v>108.17499283965425</v>
      </c>
      <c r="K126" s="6">
        <f>S$111+S$112*G126+S$114*BK93+S$115</f>
        <v>1.1508167438164976</v>
      </c>
      <c r="L126" s="6">
        <f>S$111+S$112*H126+S$114*BK93+S$115</f>
        <v>1.1508167438164976</v>
      </c>
      <c r="M126" s="6">
        <f>S$111+S$112*I126+S$114*BK93+S$115</f>
        <v>1.1508167438164976</v>
      </c>
      <c r="N126" s="6">
        <f>S$111+S$112*J126+S$114*BK93+S$115</f>
        <v>1.1508167438164976</v>
      </c>
      <c r="O126">
        <v>2014</v>
      </c>
      <c r="P126" s="24">
        <f t="shared" si="70"/>
        <v>0.60977844543054338</v>
      </c>
      <c r="Q126" s="2">
        <f t="shared" si="71"/>
        <v>0.26408927838705615</v>
      </c>
      <c r="R126" s="2">
        <f t="shared" si="71"/>
        <v>0.26408927838705615</v>
      </c>
      <c r="S126" s="2">
        <f t="shared" si="71"/>
        <v>0.26408927838705615</v>
      </c>
      <c r="T126" s="2">
        <f t="shared" si="71"/>
        <v>0.26408927838705615</v>
      </c>
      <c r="U126" s="3">
        <f t="shared" si="72"/>
        <v>2.0138505171346348</v>
      </c>
      <c r="V126" s="3">
        <f t="shared" si="73"/>
        <v>2.0246844676340974</v>
      </c>
      <c r="W126" s="3">
        <f t="shared" si="74"/>
        <v>2.0246844676340974</v>
      </c>
      <c r="X126" s="3">
        <f t="shared" si="75"/>
        <v>2.0246844676340974</v>
      </c>
      <c r="Y126" s="9">
        <f t="shared" si="76"/>
        <v>225.94775230183245</v>
      </c>
      <c r="Z126" s="9">
        <f t="shared" si="76"/>
        <v>227.16328778625657</v>
      </c>
      <c r="AA126" s="9">
        <f t="shared" si="76"/>
        <v>227.16328778625657</v>
      </c>
      <c r="AB126" s="9">
        <f t="shared" si="76"/>
        <v>227.16328778625657</v>
      </c>
      <c r="AC126" s="3">
        <f t="shared" si="77"/>
        <v>2.2238951998211856</v>
      </c>
      <c r="AD126" s="3">
        <f t="shared" ref="AD126:AF126" si="85">AC126</f>
        <v>2.2238951998211856</v>
      </c>
      <c r="AE126" s="3">
        <f t="shared" si="85"/>
        <v>2.2238951998211856</v>
      </c>
      <c r="AF126" s="3">
        <f t="shared" si="85"/>
        <v>2.2238951998211856</v>
      </c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N126" s="2"/>
      <c r="AO126" s="2"/>
      <c r="AP126" s="2"/>
      <c r="AQ126" s="2"/>
      <c r="AR126" s="2"/>
      <c r="AS126" s="2"/>
      <c r="AV126"/>
      <c r="AW126"/>
      <c r="AX126"/>
      <c r="AY126"/>
      <c r="AZ126"/>
      <c r="BA126"/>
      <c r="BD126" s="12"/>
      <c r="BE126" s="12"/>
      <c r="BF126" s="32"/>
      <c r="BG126" s="2"/>
      <c r="BH126" s="3"/>
      <c r="BI126"/>
      <c r="BK126" s="9"/>
      <c r="BP126" s="9"/>
    </row>
    <row r="127" spans="1:71">
      <c r="A127">
        <v>2015</v>
      </c>
      <c r="B127" s="3">
        <f>USA!Z102/USA!AU102*100</f>
        <v>45.556296925601828</v>
      </c>
      <c r="C127" s="3">
        <f t="shared" si="79"/>
        <v>45.556296925601814</v>
      </c>
      <c r="D127" s="3">
        <f t="shared" si="80"/>
        <v>45.556296925601814</v>
      </c>
      <c r="E127" s="3">
        <f t="shared" si="81"/>
        <v>45.556296925601814</v>
      </c>
      <c r="F127" s="6">
        <f>'Exchange Rates'!V54</f>
        <v>1.4413918596083857</v>
      </c>
      <c r="G127" s="3">
        <f>(B127*USA!$AU102/100)/$BB94*100*$F127</f>
        <v>66.11195930670668</v>
      </c>
      <c r="H127" s="3">
        <f>(C127*USA!$AU102/100)/$BB94*100*$F127</f>
        <v>66.111959306706652</v>
      </c>
      <c r="I127" s="3">
        <f>(D127*USA!$AU102/100)/$BB94*100*$F127</f>
        <v>66.111959306706652</v>
      </c>
      <c r="J127" s="3">
        <f>(E127*USA!$AU102/100)/$BB94*100*$F127</f>
        <v>66.111959306706652</v>
      </c>
      <c r="K127" s="6">
        <f>S$111+S$112*G127</f>
        <v>0.97466187213855293</v>
      </c>
      <c r="L127" s="6">
        <f>S$111+S$112*H127</f>
        <v>0.97466187213855271</v>
      </c>
      <c r="M127" s="6">
        <f>S$111+S$112*I127</f>
        <v>0.97466187213855271</v>
      </c>
      <c r="N127" s="6">
        <f>S$111+S$112*J127</f>
        <v>0.97466187213855271</v>
      </c>
      <c r="O127">
        <v>2015</v>
      </c>
      <c r="P127" s="24">
        <f t="shared" si="70"/>
        <v>0.6215862076568659</v>
      </c>
      <c r="Q127" s="2">
        <f t="shared" si="71"/>
        <v>0.23943721196931281</v>
      </c>
      <c r="R127" s="2">
        <f t="shared" si="71"/>
        <v>0.23943721196931278</v>
      </c>
      <c r="S127" s="2">
        <f t="shared" si="71"/>
        <v>0.23943721196931278</v>
      </c>
      <c r="T127" s="2">
        <f t="shared" si="71"/>
        <v>0.23943721196931278</v>
      </c>
      <c r="U127" s="3">
        <f t="shared" si="72"/>
        <v>1.8247892542791535</v>
      </c>
      <c r="V127" s="3">
        <f t="shared" si="73"/>
        <v>1.8356852917647313</v>
      </c>
      <c r="W127" s="3">
        <f t="shared" si="74"/>
        <v>1.8356852917647313</v>
      </c>
      <c r="X127" s="3">
        <f t="shared" si="75"/>
        <v>1.8356852917647313</v>
      </c>
      <c r="Y127" s="9">
        <f t="shared" si="76"/>
        <v>204.73566777714674</v>
      </c>
      <c r="Z127" s="9">
        <f t="shared" si="76"/>
        <v>205.95816922793256</v>
      </c>
      <c r="AA127" s="9">
        <f t="shared" si="76"/>
        <v>205.95816922793256</v>
      </c>
      <c r="AB127" s="9">
        <f t="shared" si="76"/>
        <v>205.95816922793256</v>
      </c>
      <c r="AC127" s="3">
        <f t="shared" si="77"/>
        <v>2.0151148403262473</v>
      </c>
      <c r="AD127" s="3">
        <f t="shared" ref="AD127:AF127" si="86">AC127</f>
        <v>2.0151148403262473</v>
      </c>
      <c r="AE127" s="3">
        <f t="shared" si="86"/>
        <v>2.0151148403262473</v>
      </c>
      <c r="AF127" s="3">
        <f t="shared" si="86"/>
        <v>2.0151148403262473</v>
      </c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N127" s="2"/>
      <c r="AO127" s="2"/>
      <c r="AP127" s="2"/>
      <c r="AQ127" s="2"/>
      <c r="AR127" s="2"/>
      <c r="AS127" s="2"/>
      <c r="AV127"/>
      <c r="AW127"/>
      <c r="AX127"/>
      <c r="AY127"/>
      <c r="AZ127"/>
      <c r="BA127"/>
      <c r="BD127" s="12"/>
      <c r="BE127" s="12"/>
      <c r="BF127" s="32"/>
      <c r="BG127" s="2"/>
      <c r="BH127" s="3"/>
      <c r="BI127"/>
      <c r="BK127" s="9"/>
      <c r="BP127" s="9"/>
    </row>
    <row r="128" spans="1:71">
      <c r="A128">
        <v>2016</v>
      </c>
      <c r="B128" s="3">
        <f>USA!Z103/USA!AU103*100</f>
        <v>36.957692605914716</v>
      </c>
      <c r="C128" s="3">
        <f t="shared" si="79"/>
        <v>36.957692605914716</v>
      </c>
      <c r="D128" s="3">
        <f t="shared" si="80"/>
        <v>36.957692605914716</v>
      </c>
      <c r="E128" s="3">
        <f t="shared" si="81"/>
        <v>36.957692605914716</v>
      </c>
      <c r="F128" s="6">
        <f>'Exchange Rates'!V55</f>
        <v>1.4356959499602058</v>
      </c>
      <c r="G128" s="3">
        <f>(B128*USA!$AU103/100)/$BB95*100*$F128</f>
        <v>53.739347190439254</v>
      </c>
      <c r="H128" s="3">
        <f>(C128*USA!$AU103/100)/$BB95*100*$F128</f>
        <v>53.739347190439254</v>
      </c>
      <c r="I128" s="3">
        <f>(D128*USA!$AU103/100)/$BB95*100*$F128</f>
        <v>53.739347190439254</v>
      </c>
      <c r="J128" s="3">
        <f>(E128*USA!$AU103/100)/$BB95*100*$F128</f>
        <v>53.739347190439254</v>
      </c>
      <c r="K128" s="6">
        <f t="shared" ref="K128:K130" si="87">S$111+S$112*G128</f>
        <v>0.88956063266809227</v>
      </c>
      <c r="L128" s="6">
        <f t="shared" ref="L128:L142" si="88">S$111+S$112*H128</f>
        <v>0.88956063266809227</v>
      </c>
      <c r="M128" s="6">
        <f t="shared" ref="M128:M142" si="89">S$111+S$112*I128</f>
        <v>0.88956063266809227</v>
      </c>
      <c r="N128" s="6">
        <f t="shared" ref="N128:N142" si="90">S$111+S$112*J128</f>
        <v>0.88956063266809227</v>
      </c>
      <c r="O128">
        <v>2016</v>
      </c>
      <c r="P128" s="24">
        <f t="shared" si="70"/>
        <v>0.61811034806132659</v>
      </c>
      <c r="Q128" s="2">
        <f t="shared" si="71"/>
        <v>0.22615064710941282</v>
      </c>
      <c r="R128" s="2">
        <f t="shared" si="71"/>
        <v>0.22615064710941282</v>
      </c>
      <c r="S128" s="2">
        <f t="shared" si="71"/>
        <v>0.22615064710941282</v>
      </c>
      <c r="T128" s="2">
        <f t="shared" si="71"/>
        <v>0.22615064710941282</v>
      </c>
      <c r="U128" s="3">
        <f t="shared" si="72"/>
        <v>1.7319749493554133</v>
      </c>
      <c r="V128" s="3">
        <f t="shared" si="73"/>
        <v>1.7338216278388316</v>
      </c>
      <c r="W128" s="3">
        <f t="shared" si="74"/>
        <v>1.7338216278388316</v>
      </c>
      <c r="X128" s="3">
        <f t="shared" si="75"/>
        <v>1.7338216278388316</v>
      </c>
      <c r="Y128" s="9">
        <f t="shared" si="76"/>
        <v>194.322192</v>
      </c>
      <c r="Z128" s="9">
        <f t="shared" si="76"/>
        <v>194.52938357107359</v>
      </c>
      <c r="AA128" s="9">
        <f t="shared" si="76"/>
        <v>194.52938357107359</v>
      </c>
      <c r="AB128" s="9">
        <f t="shared" si="76"/>
        <v>194.52938357107359</v>
      </c>
      <c r="AC128" s="3">
        <f t="shared" si="77"/>
        <v>1.9126199999999998</v>
      </c>
      <c r="AD128" s="3">
        <f t="shared" ref="AD128:AF128" si="91">AC128</f>
        <v>1.9126199999999998</v>
      </c>
      <c r="AE128" s="3">
        <f t="shared" si="91"/>
        <v>1.9126199999999998</v>
      </c>
      <c r="AF128" s="3">
        <f t="shared" si="91"/>
        <v>1.9126199999999998</v>
      </c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N128" s="2"/>
      <c r="AO128" s="2"/>
      <c r="AP128" s="2"/>
      <c r="AQ128" s="2"/>
      <c r="AR128" s="2"/>
      <c r="AS128" s="2"/>
      <c r="AV128"/>
      <c r="AW128"/>
      <c r="AX128"/>
      <c r="AY128"/>
      <c r="AZ128"/>
      <c r="BA128"/>
      <c r="BD128" s="12"/>
      <c r="BE128" s="12"/>
      <c r="BF128" s="32"/>
      <c r="BG128" s="2"/>
      <c r="BH128" s="3"/>
      <c r="BI128"/>
      <c r="BK128" s="9"/>
      <c r="BP128" s="9"/>
    </row>
    <row r="129" spans="1:68">
      <c r="A129">
        <v>2017</v>
      </c>
      <c r="B129" s="3">
        <f>USA!Z104/USA!AU104*100</f>
        <v>46.705738720797434</v>
      </c>
      <c r="C129" s="3">
        <f t="shared" si="79"/>
        <v>46.705738720797434</v>
      </c>
      <c r="D129" s="3">
        <f t="shared" si="80"/>
        <v>46.705738720797434</v>
      </c>
      <c r="E129" s="3">
        <f t="shared" si="81"/>
        <v>46.705738720797434</v>
      </c>
      <c r="F129" s="6">
        <f>'Exchange Rates'!V56</f>
        <v>1.407</v>
      </c>
      <c r="G129" s="3">
        <f>(B129*USA!$AU104/100)/$BB96*100*$F129</f>
        <v>66.903529430335581</v>
      </c>
      <c r="H129" s="3">
        <f>(C129*USA!$AU104/100)/$BB96*100*$F129</f>
        <v>66.903529430335581</v>
      </c>
      <c r="I129" s="3">
        <f>(D129*USA!$AU104/100)/$BB96*100*$F129</f>
        <v>66.903529430335581</v>
      </c>
      <c r="J129" s="3">
        <f>(E129*USA!$AU104/100)/$BB96*100*$F129</f>
        <v>66.903529430335581</v>
      </c>
      <c r="K129" s="6">
        <f t="shared" si="87"/>
        <v>0.98010644584825768</v>
      </c>
      <c r="L129" s="6">
        <f t="shared" si="88"/>
        <v>0.98010644584825768</v>
      </c>
      <c r="M129" s="6">
        <f t="shared" si="89"/>
        <v>0.98010644584825768</v>
      </c>
      <c r="N129" s="6">
        <f t="shared" si="90"/>
        <v>0.98010644584825768</v>
      </c>
      <c r="O129">
        <v>2017</v>
      </c>
      <c r="P129" s="24">
        <f t="shared" si="70"/>
        <v>0.60499862161033124</v>
      </c>
      <c r="Q129" s="2">
        <f t="shared" ref="Q129:T130" si="92">(K129+$P129)*$T$120</f>
        <v>0.23776576011878833</v>
      </c>
      <c r="R129" s="2">
        <f t="shared" si="92"/>
        <v>0.23776576011878833</v>
      </c>
      <c r="S129" s="2">
        <f t="shared" si="92"/>
        <v>0.23776576011878833</v>
      </c>
      <c r="T129" s="2">
        <f t="shared" si="92"/>
        <v>0.23776576011878833</v>
      </c>
      <c r="U129" s="3">
        <f t="shared" si="72"/>
        <v>1.8299676413274624</v>
      </c>
      <c r="V129" s="3">
        <f t="shared" si="73"/>
        <v>1.8228708275773773</v>
      </c>
      <c r="W129" s="3">
        <f t="shared" si="74"/>
        <v>1.8228708275773773</v>
      </c>
      <c r="X129" s="3">
        <f t="shared" si="75"/>
        <v>1.8228708275773773</v>
      </c>
      <c r="Y129" s="9">
        <f>U129*$BB$97/100*100</f>
        <v>205.31666666666669</v>
      </c>
      <c r="Z129" s="9">
        <f t="shared" si="76"/>
        <v>204.52042627956089</v>
      </c>
      <c r="AA129" s="9">
        <f t="shared" si="76"/>
        <v>204.52042627956089</v>
      </c>
      <c r="AB129" s="9">
        <f t="shared" si="76"/>
        <v>204.52042627956089</v>
      </c>
      <c r="AC129" s="3">
        <f t="shared" si="77"/>
        <v>2.020833333333333</v>
      </c>
      <c r="AD129" s="3">
        <f t="shared" ref="AD129:AF129" si="93">AC129</f>
        <v>2.020833333333333</v>
      </c>
      <c r="AE129" s="3">
        <f t="shared" si="93"/>
        <v>2.020833333333333</v>
      </c>
      <c r="AF129" s="3">
        <f t="shared" si="93"/>
        <v>2.020833333333333</v>
      </c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N129" s="2"/>
      <c r="AO129" s="2"/>
      <c r="AP129" s="2"/>
      <c r="AQ129" s="2"/>
      <c r="AR129" s="2"/>
      <c r="AS129" s="2"/>
      <c r="AV129"/>
      <c r="AW129"/>
      <c r="AX129"/>
      <c r="AY129"/>
      <c r="AZ129"/>
      <c r="BA129"/>
      <c r="BD129" s="12"/>
      <c r="BE129" s="12"/>
      <c r="BF129" s="32"/>
      <c r="BG129" s="2"/>
      <c r="BH129" s="3"/>
      <c r="BI129"/>
      <c r="BK129" s="9"/>
      <c r="BP129" s="9"/>
    </row>
    <row r="130" spans="1:68">
      <c r="A130">
        <v>2018</v>
      </c>
      <c r="B130" s="3">
        <f>USA!Z105/USA!AU105*100</f>
        <v>60.818458312139953</v>
      </c>
      <c r="C130" s="3">
        <f t="shared" si="79"/>
        <v>60.818458312139953</v>
      </c>
      <c r="D130" s="3">
        <f t="shared" si="80"/>
        <v>60.818458312139953</v>
      </c>
      <c r="E130" s="3">
        <f t="shared" si="81"/>
        <v>60.818458312139953</v>
      </c>
      <c r="F130" s="6">
        <f>'Exchange Rates'!V57</f>
        <v>1.462</v>
      </c>
      <c r="G130" s="3">
        <f>(B130*USA!$AU105/100)/$BB97*100*$F130</f>
        <v>91.480457638631691</v>
      </c>
      <c r="H130" s="3">
        <f>(C130*USA!$AU105/100)/$BB97*100*$F130</f>
        <v>91.480457638631691</v>
      </c>
      <c r="I130" s="3">
        <f>(D130*USA!$AU105/100)/$BB97*100*$F130</f>
        <v>91.480457638631691</v>
      </c>
      <c r="J130" s="3">
        <f>(E130*USA!$AU105/100)/$BB97*100*$F130</f>
        <v>91.480457638631691</v>
      </c>
      <c r="K130" s="6">
        <f t="shared" si="87"/>
        <v>1.1491513519075531</v>
      </c>
      <c r="L130" s="6">
        <f t="shared" si="88"/>
        <v>1.1491513519075531</v>
      </c>
      <c r="M130" s="6">
        <f t="shared" si="89"/>
        <v>1.1491513519075531</v>
      </c>
      <c r="N130" s="6">
        <f t="shared" si="90"/>
        <v>1.1491513519075531</v>
      </c>
      <c r="O130">
        <v>2018</v>
      </c>
      <c r="P130" s="24">
        <f t="shared" si="70"/>
        <v>0.59235156802966071</v>
      </c>
      <c r="Q130" s="2">
        <f t="shared" si="92"/>
        <v>0.26122543799058207</v>
      </c>
      <c r="R130" s="2">
        <f t="shared" si="92"/>
        <v>0.26122543799058207</v>
      </c>
      <c r="S130" s="2">
        <f t="shared" si="92"/>
        <v>0.26122543799058207</v>
      </c>
      <c r="T130" s="2">
        <f t="shared" si="92"/>
        <v>0.26122543799058207</v>
      </c>
      <c r="U130" s="3">
        <f t="shared" si="72"/>
        <v>2.0083742601467076</v>
      </c>
      <c r="V130" s="3">
        <f t="shared" si="73"/>
        <v>2.0027283579277961</v>
      </c>
      <c r="W130" s="3">
        <f t="shared" si="74"/>
        <v>2.0027283579277961</v>
      </c>
      <c r="X130" s="3">
        <f t="shared" si="75"/>
        <v>2.0027283579277961</v>
      </c>
      <c r="Y130" s="9">
        <f>U130*$BB$97/100*100</f>
        <v>225.33333333333329</v>
      </c>
      <c r="Z130" s="9">
        <f t="shared" ref="Z130:Z142" si="94">V130*$BB$97/100*100</f>
        <v>224.69988069857965</v>
      </c>
      <c r="AA130" s="9">
        <f t="shared" ref="AA130:AA142" si="95">W130*$BB$97/100*100</f>
        <v>224.69988069857965</v>
      </c>
      <c r="AB130" s="9">
        <f t="shared" ref="AB130:AB142" si="96">X130*$BB$97/100*100</f>
        <v>224.69988069857965</v>
      </c>
      <c r="AC130" s="3">
        <f t="shared" si="77"/>
        <v>2.2178477690288712</v>
      </c>
      <c r="AD130" s="3">
        <f t="shared" ref="AD130:AD142" si="97">V130*$BB$96/100</f>
        <v>2.2116129990017681</v>
      </c>
      <c r="AE130" s="3">
        <f t="shared" ref="AE130:AE142" si="98">W130*$BB$96/100</f>
        <v>2.2116129990017681</v>
      </c>
      <c r="AF130" s="3">
        <f t="shared" ref="AF130:AF142" si="99">X130*$BB$96/100</f>
        <v>2.2116129990017681</v>
      </c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N130" s="2"/>
      <c r="AO130" s="2"/>
      <c r="AP130" s="2"/>
      <c r="AQ130" s="2"/>
      <c r="AR130" s="2"/>
      <c r="AS130" s="2"/>
      <c r="AV130"/>
      <c r="AW130"/>
      <c r="AX130"/>
      <c r="AY130"/>
      <c r="AZ130"/>
      <c r="BA130"/>
      <c r="BD130" s="12"/>
      <c r="BE130" s="12"/>
      <c r="BF130" s="32"/>
      <c r="BG130" s="2"/>
      <c r="BH130" s="3"/>
      <c r="BI130"/>
      <c r="BK130" s="9"/>
      <c r="BP130" s="9"/>
    </row>
    <row r="131" spans="1:68">
      <c r="A131">
        <v>2019</v>
      </c>
      <c r="B131" s="3"/>
      <c r="C131" s="3">
        <f>AK131</f>
        <v>90.611761513694489</v>
      </c>
      <c r="D131" s="3">
        <f t="shared" si="80"/>
        <v>56.019786702864394</v>
      </c>
      <c r="E131" s="3">
        <f t="shared" si="81"/>
        <v>25.889074718198426</v>
      </c>
      <c r="F131" s="6">
        <f>'Exchange Rates'!V58</f>
        <v>1.526</v>
      </c>
      <c r="G131" s="3"/>
      <c r="H131" s="3">
        <f>(C131*USA!$AU106/100)/$BB98*100*$F131</f>
        <v>142.26060646665451</v>
      </c>
      <c r="I131" s="3">
        <f>(D131*USA!$AU106/100)/$BB98*100*$F131</f>
        <v>87.951152227381328</v>
      </c>
      <c r="J131" s="3">
        <f>(E131*USA!$AU106/100)/$BB98*100*$F131</f>
        <v>40.64588756190129</v>
      </c>
      <c r="K131" s="6"/>
      <c r="L131" s="6">
        <f t="shared" si="88"/>
        <v>1.4984271204477615</v>
      </c>
      <c r="M131" s="6">
        <f t="shared" si="89"/>
        <v>1.1248761008817558</v>
      </c>
      <c r="N131" s="6">
        <f t="shared" si="90"/>
        <v>0.7995012634036196</v>
      </c>
      <c r="O131">
        <v>2019</v>
      </c>
      <c r="P131" s="3">
        <f t="shared" ref="P131:P142" si="100">P130</f>
        <v>0.59235156802966071</v>
      </c>
      <c r="Q131" s="3"/>
      <c r="R131" s="2">
        <f t="shared" ref="R131:R142" si="101">(L131+$P131)*$T$120</f>
        <v>0.31361680327161329</v>
      </c>
      <c r="S131" s="2">
        <f t="shared" ref="S131:S142" si="102">(M131+$P131)*$T$120</f>
        <v>0.25758415033671245</v>
      </c>
      <c r="T131" s="2">
        <f t="shared" ref="T131:T142" si="103">(N131+$P131)*$T$120</f>
        <v>0.20877792471499204</v>
      </c>
      <c r="U131" s="3"/>
      <c r="V131" s="3">
        <f t="shared" si="73"/>
        <v>2.4043954917490353</v>
      </c>
      <c r="W131" s="3">
        <f t="shared" si="74"/>
        <v>1.974811819248129</v>
      </c>
      <c r="X131" s="3">
        <f t="shared" si="75"/>
        <v>1.6006307561482724</v>
      </c>
      <c r="Y131" s="9"/>
      <c r="Z131" s="9">
        <f t="shared" si="94"/>
        <v>269.76568140634936</v>
      </c>
      <c r="AA131" s="9">
        <f t="shared" si="95"/>
        <v>221.56773205445256</v>
      </c>
      <c r="AB131" s="9">
        <f t="shared" si="96"/>
        <v>179.58578282734885</v>
      </c>
      <c r="AC131" s="3"/>
      <c r="AD131" s="3">
        <f t="shared" si="97"/>
        <v>2.6551740295900519</v>
      </c>
      <c r="AE131" s="3">
        <f t="shared" si="98"/>
        <v>2.1807847643154776</v>
      </c>
      <c r="AF131" s="3">
        <f t="shared" si="99"/>
        <v>1.7675766026313859</v>
      </c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N131" s="2"/>
      <c r="AO131" s="2"/>
      <c r="AP131" s="2"/>
      <c r="AQ131" s="2"/>
      <c r="AR131" s="2"/>
      <c r="AS131" s="2"/>
      <c r="AV131"/>
      <c r="AW131"/>
      <c r="AX131"/>
      <c r="AY131"/>
      <c r="AZ131"/>
      <c r="BA131"/>
      <c r="BD131" s="12"/>
      <c r="BE131" s="12"/>
      <c r="BF131" s="32"/>
      <c r="BG131" s="2"/>
      <c r="BH131" s="3"/>
      <c r="BI131"/>
      <c r="BK131" s="9"/>
      <c r="BP131" s="9"/>
    </row>
    <row r="132" spans="1:68">
      <c r="A132">
        <v>2020</v>
      </c>
      <c r="B132" s="3"/>
      <c r="C132" s="3">
        <f t="shared" si="79"/>
        <v>105.28223718734027</v>
      </c>
      <c r="D132" s="3">
        <f t="shared" si="80"/>
        <v>56.251630823658907</v>
      </c>
      <c r="E132" s="3">
        <f t="shared" si="81"/>
        <v>26.752043875471706</v>
      </c>
      <c r="F132" s="6">
        <f>'Exchange Rates'!V59</f>
        <v>1.526</v>
      </c>
      <c r="G132" s="3"/>
      <c r="H132" s="3">
        <f>(C132*USA!$AU107/100)/$BB99*100*$F132</f>
        <v>165.29327608506529</v>
      </c>
      <c r="I132" s="3">
        <f>(D132*USA!$AU107/100)/$BB99*100*$F132</f>
        <v>88.315147857517843</v>
      </c>
      <c r="J132" s="3">
        <f>(E132*USA!$AU107/100)/$BB99*100*$F132</f>
        <v>42.000750480631332</v>
      </c>
      <c r="K132" s="6"/>
      <c r="L132" s="6">
        <f t="shared" si="88"/>
        <v>1.6568503147111004</v>
      </c>
      <c r="M132" s="6">
        <f t="shared" si="89"/>
        <v>1.127379733824853</v>
      </c>
      <c r="N132" s="6">
        <f t="shared" si="90"/>
        <v>0.80882027483087482</v>
      </c>
      <c r="O132">
        <v>2020</v>
      </c>
      <c r="P132" s="3">
        <f t="shared" si="100"/>
        <v>0.59235156802966071</v>
      </c>
      <c r="Q132" s="3"/>
      <c r="R132" s="2">
        <f t="shared" si="101"/>
        <v>0.33738028241111417</v>
      </c>
      <c r="S132" s="2">
        <f t="shared" si="102"/>
        <v>0.25795969527817703</v>
      </c>
      <c r="T132" s="2">
        <f t="shared" si="103"/>
        <v>0.21017577642908034</v>
      </c>
      <c r="U132" s="3"/>
      <c r="V132" s="3">
        <f t="shared" si="73"/>
        <v>2.5865821651518752</v>
      </c>
      <c r="W132" s="3">
        <f t="shared" si="74"/>
        <v>1.9776909971326908</v>
      </c>
      <c r="X132" s="3">
        <f t="shared" si="75"/>
        <v>1.6113476192896159</v>
      </c>
      <c r="Y132" s="9"/>
      <c r="Z132" s="9">
        <f t="shared" si="94"/>
        <v>290.20645841758949</v>
      </c>
      <c r="AA132" s="9">
        <f t="shared" si="95"/>
        <v>221.8907668407779</v>
      </c>
      <c r="AB132" s="9">
        <f t="shared" si="96"/>
        <v>180.78818147506885</v>
      </c>
      <c r="AC132" s="3"/>
      <c r="AD132" s="3">
        <f t="shared" si="97"/>
        <v>2.8563627797006834</v>
      </c>
      <c r="AE132" s="3">
        <f t="shared" si="98"/>
        <v>2.1839642405588378</v>
      </c>
      <c r="AF132" s="3">
        <f t="shared" si="99"/>
        <v>1.7794112349908349</v>
      </c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N132" s="2"/>
      <c r="AO132" s="2"/>
      <c r="AP132" s="2"/>
      <c r="AQ132" s="2"/>
      <c r="AR132" s="2"/>
      <c r="AS132" s="2"/>
      <c r="AV132"/>
      <c r="AW132"/>
      <c r="AX132"/>
      <c r="AY132"/>
      <c r="AZ132"/>
      <c r="BA132"/>
      <c r="BD132" s="12"/>
      <c r="BE132" s="12"/>
      <c r="BF132" s="32"/>
      <c r="BG132" s="2"/>
      <c r="BH132" s="3"/>
      <c r="BI132"/>
      <c r="BK132" s="9"/>
      <c r="BP132" s="9"/>
    </row>
    <row r="133" spans="1:68">
      <c r="A133">
        <v>2021</v>
      </c>
      <c r="B133" s="3"/>
      <c r="C133" s="3">
        <f t="shared" si="79"/>
        <v>120.81568201825931</v>
      </c>
      <c r="D133" s="3">
        <f t="shared" si="80"/>
        <v>63.082289986431647</v>
      </c>
      <c r="E133" s="3">
        <f t="shared" si="81"/>
        <v>28.477982190018274</v>
      </c>
      <c r="F133" s="6">
        <f>'Exchange Rates'!V60</f>
        <v>1.526</v>
      </c>
      <c r="G133" s="3"/>
      <c r="H133" s="3">
        <f>(C133*USA!$AU108/100)/$BB100*100*$F133</f>
        <v>189.68080862220603</v>
      </c>
      <c r="I133" s="3">
        <f>(D133*USA!$AU108/100)/$BB100*100*$F133</f>
        <v>99.039293363906637</v>
      </c>
      <c r="J133" s="3">
        <f>(E133*USA!$AU108/100)/$BB100*100*$F133</f>
        <v>44.71047631809143</v>
      </c>
      <c r="K133" s="6"/>
      <c r="L133" s="6">
        <f t="shared" si="88"/>
        <v>1.8245925204016944</v>
      </c>
      <c r="M133" s="6">
        <f t="shared" si="89"/>
        <v>1.201142498411591</v>
      </c>
      <c r="N133" s="6">
        <f t="shared" si="90"/>
        <v>0.82745829768538526</v>
      </c>
      <c r="O133">
        <v>2021</v>
      </c>
      <c r="P133" s="3">
        <f t="shared" si="100"/>
        <v>0.59235156802966071</v>
      </c>
      <c r="Q133" s="3"/>
      <c r="R133" s="2">
        <f t="shared" si="101"/>
        <v>0.36254161326470324</v>
      </c>
      <c r="S133" s="2">
        <f t="shared" si="102"/>
        <v>0.26902410996618775</v>
      </c>
      <c r="T133" s="2">
        <f t="shared" si="103"/>
        <v>0.2129714798572569</v>
      </c>
      <c r="U133" s="3"/>
      <c r="V133" s="3">
        <f t="shared" si="73"/>
        <v>2.7794857016960584</v>
      </c>
      <c r="W133" s="3">
        <f t="shared" si="74"/>
        <v>2.0625181764074396</v>
      </c>
      <c r="X133" s="3">
        <f t="shared" si="75"/>
        <v>1.6327813455723028</v>
      </c>
      <c r="Y133" s="9"/>
      <c r="Z133" s="9">
        <f t="shared" si="94"/>
        <v>311.84963407654959</v>
      </c>
      <c r="AA133" s="9">
        <f t="shared" si="95"/>
        <v>231.40811201022217</v>
      </c>
      <c r="AB133" s="9">
        <f t="shared" si="96"/>
        <v>183.19297877050886</v>
      </c>
      <c r="AC133" s="3"/>
      <c r="AD133" s="3">
        <f t="shared" si="97"/>
        <v>3.0693861621707637</v>
      </c>
      <c r="AE133" s="3">
        <f t="shared" si="98"/>
        <v>2.2776388977384072</v>
      </c>
      <c r="AF133" s="3">
        <f t="shared" si="99"/>
        <v>1.8030804997097325</v>
      </c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N133" s="2"/>
      <c r="AO133" s="2"/>
      <c r="AP133" s="2"/>
      <c r="AQ133" s="2"/>
      <c r="AR133" s="2"/>
      <c r="AS133" s="2"/>
      <c r="AV133"/>
      <c r="AW133"/>
      <c r="AX133"/>
      <c r="AY133"/>
      <c r="AZ133"/>
      <c r="BA133"/>
      <c r="BD133" s="12"/>
      <c r="BE133" s="12"/>
      <c r="BF133" s="32"/>
      <c r="BG133" s="2"/>
      <c r="BH133" s="3"/>
      <c r="BI133"/>
      <c r="BK133" s="9"/>
      <c r="BP133" s="9"/>
    </row>
    <row r="134" spans="1:68">
      <c r="A134">
        <v>2022</v>
      </c>
      <c r="B134" s="3"/>
      <c r="C134" s="3">
        <f t="shared" si="79"/>
        <v>127.71943527644558</v>
      </c>
      <c r="D134" s="3">
        <f t="shared" si="80"/>
        <v>68.168185410991157</v>
      </c>
      <c r="E134" s="3">
        <f t="shared" si="81"/>
        <v>29.340951347291547</v>
      </c>
      <c r="F134" s="6">
        <f>'Exchange Rates'!V61</f>
        <v>1.526</v>
      </c>
      <c r="G134" s="3"/>
      <c r="H134" s="3">
        <f>(C134*USA!$AU109/100)/$BB101*100*$F134</f>
        <v>200.51971197204642</v>
      </c>
      <c r="I134" s="3">
        <f>(D134*USA!$AU109/100)/$BB101*100*$F134</f>
        <v>107.02415708840748</v>
      </c>
      <c r="J134" s="3">
        <f>(E134*USA!$AU109/100)/$BB101*100*$F134</f>
        <v>46.065339236821465</v>
      </c>
      <c r="K134" s="6"/>
      <c r="L134" s="6">
        <f t="shared" si="88"/>
        <v>1.8991446118197364</v>
      </c>
      <c r="M134" s="6">
        <f t="shared" si="89"/>
        <v>1.2560639485930212</v>
      </c>
      <c r="N134" s="6">
        <f t="shared" si="90"/>
        <v>0.83677730911264048</v>
      </c>
      <c r="O134">
        <v>2022</v>
      </c>
      <c r="P134" s="3">
        <f t="shared" si="100"/>
        <v>0.59235156802966071</v>
      </c>
      <c r="Q134" s="3"/>
      <c r="R134" s="2">
        <f t="shared" si="101"/>
        <v>0.3737244269774096</v>
      </c>
      <c r="S134" s="2">
        <f t="shared" si="102"/>
        <v>0.27726232749340229</v>
      </c>
      <c r="T134" s="2">
        <f t="shared" si="103"/>
        <v>0.21436933157134516</v>
      </c>
      <c r="U134" s="3"/>
      <c r="V134" s="3">
        <f t="shared" si="73"/>
        <v>2.8652206068268069</v>
      </c>
      <c r="W134" s="3">
        <f t="shared" si="74"/>
        <v>2.1256778441160842</v>
      </c>
      <c r="X134" s="3">
        <f t="shared" si="75"/>
        <v>1.6434982087136463</v>
      </c>
      <c r="Y134" s="9"/>
      <c r="Z134" s="9">
        <f t="shared" si="94"/>
        <v>321.46882325830973</v>
      </c>
      <c r="AA134" s="9">
        <f t="shared" si="95"/>
        <v>238.49442990396722</v>
      </c>
      <c r="AB134" s="9">
        <f t="shared" si="96"/>
        <v>184.39537741822886</v>
      </c>
      <c r="AC134" s="3"/>
      <c r="AD134" s="3">
        <f t="shared" si="97"/>
        <v>3.1640632210463555</v>
      </c>
      <c r="AE134" s="3">
        <f t="shared" si="98"/>
        <v>2.3473861211020393</v>
      </c>
      <c r="AF134" s="3">
        <f t="shared" si="99"/>
        <v>1.8149151320691814</v>
      </c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N134" s="2"/>
      <c r="AO134" s="2"/>
      <c r="AP134" s="2"/>
      <c r="AQ134" s="2"/>
      <c r="AR134" s="2"/>
      <c r="AS134" s="2"/>
      <c r="AV134"/>
      <c r="AW134"/>
      <c r="AX134"/>
      <c r="AY134"/>
      <c r="AZ134"/>
      <c r="BA134"/>
      <c r="BD134" s="12"/>
      <c r="BE134" s="12"/>
      <c r="BF134" s="32"/>
      <c r="BG134" s="2"/>
      <c r="BH134" s="3"/>
      <c r="BI134"/>
      <c r="BK134" s="9"/>
      <c r="BP134" s="9"/>
    </row>
    <row r="135" spans="1:68">
      <c r="A135">
        <v>2023</v>
      </c>
      <c r="B135" s="3"/>
      <c r="C135" s="3">
        <f t="shared" si="79"/>
        <v>132.89725022008525</v>
      </c>
      <c r="D135" s="3">
        <f t="shared" si="80"/>
        <v>70.508542947524788</v>
      </c>
      <c r="E135" s="3">
        <f t="shared" si="81"/>
        <v>29.340951347291547</v>
      </c>
      <c r="F135" s="6">
        <f>'Exchange Rates'!V62</f>
        <v>1.526</v>
      </c>
      <c r="G135" s="3"/>
      <c r="H135" s="3">
        <f>(C135*USA!$AU110/100)/$BB102*100*$F135</f>
        <v>208.64888948442663</v>
      </c>
      <c r="I135" s="3">
        <f>(D135*USA!$AU110/100)/$BB102*100*$F135</f>
        <v>110.69852205973362</v>
      </c>
      <c r="J135" s="3">
        <f>(E135*USA!$AU110/100)/$BB102*100*$F135</f>
        <v>46.065339236821465</v>
      </c>
      <c r="K135" s="6"/>
      <c r="L135" s="6">
        <f t="shared" si="88"/>
        <v>1.9550586803832675</v>
      </c>
      <c r="M135" s="6">
        <f t="shared" si="89"/>
        <v>1.2813369475675522</v>
      </c>
      <c r="N135" s="6">
        <f t="shared" si="90"/>
        <v>0.83677730911264048</v>
      </c>
      <c r="O135">
        <v>2023</v>
      </c>
      <c r="P135" s="3">
        <f t="shared" si="100"/>
        <v>0.59235156802966071</v>
      </c>
      <c r="Q135" s="3"/>
      <c r="R135" s="2">
        <f t="shared" si="101"/>
        <v>0.38211153726193919</v>
      </c>
      <c r="S135" s="2">
        <f t="shared" si="102"/>
        <v>0.28105327733958191</v>
      </c>
      <c r="T135" s="2">
        <f t="shared" si="103"/>
        <v>0.21436933157134516</v>
      </c>
      <c r="U135" s="3"/>
      <c r="V135" s="3">
        <f t="shared" si="73"/>
        <v>2.9295217856748672</v>
      </c>
      <c r="W135" s="3">
        <f t="shared" si="74"/>
        <v>2.1547417929367949</v>
      </c>
      <c r="X135" s="3">
        <f t="shared" si="75"/>
        <v>1.6434982087136463</v>
      </c>
      <c r="Y135" s="9"/>
      <c r="Z135" s="9">
        <f t="shared" si="94"/>
        <v>328.68321514462968</v>
      </c>
      <c r="AA135" s="9">
        <f t="shared" si="95"/>
        <v>241.75531439026895</v>
      </c>
      <c r="AB135" s="9">
        <f t="shared" si="96"/>
        <v>184.39537741822886</v>
      </c>
      <c r="AC135" s="3"/>
      <c r="AD135" s="3">
        <f t="shared" si="97"/>
        <v>3.2350710152030477</v>
      </c>
      <c r="AE135" s="3">
        <f t="shared" si="98"/>
        <v>2.3794814408491036</v>
      </c>
      <c r="AF135" s="3">
        <f t="shared" si="99"/>
        <v>1.8149151320691814</v>
      </c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N135" s="2"/>
      <c r="AO135" s="2"/>
      <c r="AP135" s="2"/>
      <c r="AQ135" s="2"/>
      <c r="AR135" s="2"/>
      <c r="AS135" s="2"/>
      <c r="AV135"/>
      <c r="AW135"/>
      <c r="AX135"/>
      <c r="AY135"/>
      <c r="AZ135"/>
      <c r="BA135"/>
      <c r="BD135" s="12"/>
      <c r="BE135" s="12"/>
      <c r="BF135" s="32"/>
      <c r="BG135" s="2"/>
      <c r="BH135" s="3"/>
      <c r="BI135"/>
      <c r="BK135" s="9"/>
      <c r="BP135" s="9"/>
    </row>
    <row r="136" spans="1:68">
      <c r="A136">
        <v>2024</v>
      </c>
      <c r="B136" s="3"/>
      <c r="C136" s="3">
        <f t="shared" si="79"/>
        <v>137.21209600645167</v>
      </c>
      <c r="D136" s="3">
        <f t="shared" si="80"/>
        <v>71.127304204880986</v>
      </c>
      <c r="E136" s="3">
        <f t="shared" si="81"/>
        <v>29.340951347291547</v>
      </c>
      <c r="F136" s="6">
        <f>'Exchange Rates'!V63</f>
        <v>1.526</v>
      </c>
      <c r="G136" s="3"/>
      <c r="H136" s="3">
        <f>(C136*USA!$AU111/100)/$BB103*100*$F136</f>
        <v>215.42320407807688</v>
      </c>
      <c r="I136" s="3">
        <f>(D136*USA!$AU111/100)/$BB103*100*$F136</f>
        <v>111.66997819588056</v>
      </c>
      <c r="J136" s="3">
        <f>(E136*USA!$AU111/100)/$BB103*100*$F136</f>
        <v>46.065339236821465</v>
      </c>
      <c r="K136" s="6"/>
      <c r="L136" s="6">
        <f t="shared" si="88"/>
        <v>2.0016537375195438</v>
      </c>
      <c r="M136" s="6">
        <f t="shared" si="89"/>
        <v>1.2880188123589484</v>
      </c>
      <c r="N136" s="6">
        <f t="shared" si="90"/>
        <v>0.83677730911264048</v>
      </c>
      <c r="O136">
        <v>2024</v>
      </c>
      <c r="P136" s="3">
        <f t="shared" si="100"/>
        <v>0.59235156802966071</v>
      </c>
      <c r="Q136" s="3"/>
      <c r="R136" s="2">
        <f t="shared" si="101"/>
        <v>0.38910079583238072</v>
      </c>
      <c r="S136" s="2">
        <f t="shared" si="102"/>
        <v>0.28205555705829138</v>
      </c>
      <c r="T136" s="2">
        <f t="shared" si="103"/>
        <v>0.21436933157134516</v>
      </c>
      <c r="U136" s="3"/>
      <c r="V136" s="3">
        <f t="shared" si="73"/>
        <v>2.9831061013815856</v>
      </c>
      <c r="W136" s="3">
        <f t="shared" si="74"/>
        <v>2.1624259374469004</v>
      </c>
      <c r="X136" s="3">
        <f t="shared" si="75"/>
        <v>1.6434982087136463</v>
      </c>
      <c r="Y136" s="9"/>
      <c r="Z136" s="9">
        <f t="shared" si="94"/>
        <v>334.69520838322978</v>
      </c>
      <c r="AA136" s="9">
        <f t="shared" si="95"/>
        <v>242.61745145836232</v>
      </c>
      <c r="AB136" s="9">
        <f t="shared" si="96"/>
        <v>184.39537741822886</v>
      </c>
      <c r="AC136" s="3"/>
      <c r="AD136" s="3">
        <f t="shared" si="97"/>
        <v>3.294244177000293</v>
      </c>
      <c r="AE136" s="3">
        <f t="shared" si="98"/>
        <v>2.387967041913015</v>
      </c>
      <c r="AF136" s="3">
        <f t="shared" si="99"/>
        <v>1.8149151320691814</v>
      </c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N136" s="2"/>
      <c r="AO136" s="2"/>
      <c r="AP136" s="2"/>
      <c r="AQ136" s="2"/>
      <c r="AR136" s="2"/>
      <c r="AS136" s="2"/>
      <c r="AV136"/>
      <c r="AW136"/>
      <c r="AX136"/>
      <c r="AY136"/>
      <c r="AZ136"/>
      <c r="BA136"/>
      <c r="BD136" s="12"/>
      <c r="BE136" s="12"/>
      <c r="BF136" s="32"/>
      <c r="BG136" s="2"/>
      <c r="BH136" s="3"/>
      <c r="BI136"/>
      <c r="BK136" s="9"/>
      <c r="BP136" s="9"/>
    </row>
    <row r="137" spans="1:68">
      <c r="A137">
        <v>2025</v>
      </c>
      <c r="B137" s="3"/>
      <c r="C137" s="3">
        <f t="shared" si="79"/>
        <v>141.52694179281806</v>
      </c>
      <c r="D137" s="3">
        <f t="shared" si="80"/>
        <v>74.364924740814473</v>
      </c>
      <c r="E137" s="3">
        <f t="shared" si="81"/>
        <v>30.203920504564827</v>
      </c>
      <c r="F137" s="6">
        <f>'Exchange Rates'!V64</f>
        <v>1.526</v>
      </c>
      <c r="G137" s="3"/>
      <c r="H137" s="3">
        <f>(C137*USA!$AU112/100)/$BB104*100*$F137</f>
        <v>222.19751867172704</v>
      </c>
      <c r="I137" s="3">
        <f>(D137*USA!$AU112/100)/$BB104*100*$F137</f>
        <v>116.75304747139823</v>
      </c>
      <c r="J137" s="3">
        <f>(E137*USA!$AU112/100)/$BB104*100*$F137</f>
        <v>47.420202155551507</v>
      </c>
      <c r="K137" s="6"/>
      <c r="L137" s="6">
        <f t="shared" si="88"/>
        <v>2.0482487946558194</v>
      </c>
      <c r="M137" s="6">
        <f t="shared" si="89"/>
        <v>1.3229811543119481</v>
      </c>
      <c r="N137" s="6">
        <f t="shared" si="90"/>
        <v>0.8460963205398957</v>
      </c>
      <c r="O137">
        <v>2025</v>
      </c>
      <c r="P137" s="3">
        <f t="shared" si="100"/>
        <v>0.59235156802966071</v>
      </c>
      <c r="Q137" s="3"/>
      <c r="R137" s="2">
        <f t="shared" si="101"/>
        <v>0.39609005440282197</v>
      </c>
      <c r="S137" s="2">
        <f t="shared" si="102"/>
        <v>0.28729990835124131</v>
      </c>
      <c r="T137" s="2">
        <f t="shared" si="103"/>
        <v>0.21576718328543346</v>
      </c>
      <c r="U137" s="3"/>
      <c r="V137" s="3">
        <f t="shared" si="73"/>
        <v>3.0366904170883018</v>
      </c>
      <c r="W137" s="3">
        <f t="shared" si="74"/>
        <v>2.2026326306928503</v>
      </c>
      <c r="X137" s="3">
        <f t="shared" si="75"/>
        <v>1.6542150718549899</v>
      </c>
      <c r="Y137" s="9"/>
      <c r="Z137" s="9">
        <f t="shared" si="94"/>
        <v>340.70720162182965</v>
      </c>
      <c r="AA137" s="9">
        <f t="shared" si="95"/>
        <v>247.12851714527218</v>
      </c>
      <c r="AB137" s="9">
        <f t="shared" si="96"/>
        <v>185.59777606594886</v>
      </c>
      <c r="AC137" s="3"/>
      <c r="AD137" s="3">
        <f t="shared" si="97"/>
        <v>3.3534173387975357</v>
      </c>
      <c r="AE137" s="3">
        <f t="shared" si="98"/>
        <v>2.4323672947369306</v>
      </c>
      <c r="AF137" s="3">
        <f t="shared" si="99"/>
        <v>1.8267497644286306</v>
      </c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 s="2"/>
      <c r="AO137" s="2"/>
      <c r="AP137" s="2"/>
      <c r="AQ137" s="2"/>
      <c r="AR137" s="2"/>
      <c r="AS137" s="2"/>
      <c r="AV137"/>
      <c r="AW137"/>
      <c r="AX137"/>
      <c r="AY137"/>
      <c r="AZ137"/>
      <c r="BA137"/>
      <c r="BD137" s="12"/>
      <c r="BE137" s="12"/>
      <c r="BF137" s="32"/>
      <c r="BG137" s="2"/>
      <c r="BH137" s="3"/>
      <c r="BI137"/>
      <c r="BK137" s="9"/>
      <c r="BP137" s="9"/>
    </row>
    <row r="138" spans="1:68">
      <c r="A138">
        <v>2026</v>
      </c>
      <c r="B138" s="3"/>
      <c r="C138" s="3">
        <f t="shared" si="79"/>
        <v>145.84178757918448</v>
      </c>
      <c r="D138" s="3">
        <f t="shared" si="80"/>
        <v>80.055420065999314</v>
      </c>
      <c r="E138" s="3">
        <f t="shared" si="81"/>
        <v>31.066889661838108</v>
      </c>
      <c r="F138" s="6">
        <f>'Exchange Rates'!V65</f>
        <v>1.526</v>
      </c>
      <c r="G138" s="3"/>
      <c r="H138" s="3">
        <f>(C138*USA!$AU113/100)/$BB105*100*$F138</f>
        <v>228.97183326537731</v>
      </c>
      <c r="I138" s="3">
        <f>(D138*USA!$AU113/100)/$BB105*100*$F138</f>
        <v>125.6871339799594</v>
      </c>
      <c r="J138" s="3">
        <f>(E138*USA!$AU113/100)/$BB105*100*$F138</f>
        <v>48.775065074281549</v>
      </c>
      <c r="K138" s="6"/>
      <c r="L138" s="6">
        <f t="shared" si="88"/>
        <v>2.094843851792096</v>
      </c>
      <c r="M138" s="6">
        <f t="shared" si="89"/>
        <v>1.3844315439524055</v>
      </c>
      <c r="N138" s="6">
        <f t="shared" si="90"/>
        <v>0.85541533196715092</v>
      </c>
      <c r="O138">
        <v>2026</v>
      </c>
      <c r="P138" s="3">
        <f t="shared" si="100"/>
        <v>0.59235156802966071</v>
      </c>
      <c r="Q138" s="3"/>
      <c r="R138" s="2">
        <f t="shared" si="101"/>
        <v>0.40307931297326355</v>
      </c>
      <c r="S138" s="2">
        <f t="shared" si="102"/>
        <v>0.29651746679730995</v>
      </c>
      <c r="T138" s="2">
        <f t="shared" si="103"/>
        <v>0.21716503499952175</v>
      </c>
      <c r="U138" s="3"/>
      <c r="V138" s="3">
        <f t="shared" si="73"/>
        <v>3.0902747327950206</v>
      </c>
      <c r="W138" s="3">
        <f t="shared" si="74"/>
        <v>2.2733005787793763</v>
      </c>
      <c r="X138" s="3">
        <f t="shared" si="75"/>
        <v>1.6649319349963334</v>
      </c>
      <c r="Y138" s="9"/>
      <c r="Z138" s="9">
        <f t="shared" si="94"/>
        <v>346.71919486042987</v>
      </c>
      <c r="AA138" s="9">
        <f t="shared" si="95"/>
        <v>255.0572406995168</v>
      </c>
      <c r="AB138" s="9">
        <f t="shared" si="96"/>
        <v>186.80017471366887</v>
      </c>
      <c r="AC138" s="3"/>
      <c r="AD138" s="3">
        <f t="shared" si="97"/>
        <v>3.4125905005947819</v>
      </c>
      <c r="AE138" s="3">
        <f t="shared" si="98"/>
        <v>2.5104059123968185</v>
      </c>
      <c r="AF138" s="3">
        <f t="shared" si="99"/>
        <v>1.8385843967880795</v>
      </c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N138" s="2"/>
      <c r="AO138" s="2"/>
      <c r="AP138" s="2"/>
      <c r="AQ138" s="2"/>
      <c r="AR138" s="2"/>
      <c r="AS138" s="2"/>
      <c r="AV138"/>
      <c r="AW138"/>
      <c r="AX138"/>
      <c r="AY138"/>
      <c r="AZ138"/>
      <c r="BA138"/>
      <c r="BD138" s="12"/>
      <c r="BE138" s="12"/>
      <c r="BF138" s="32"/>
      <c r="BG138" s="2"/>
      <c r="BH138" s="3"/>
      <c r="BI138"/>
      <c r="BK138" s="9"/>
      <c r="BP138" s="9"/>
    </row>
    <row r="139" spans="1:68">
      <c r="A139">
        <v>2027</v>
      </c>
      <c r="B139" s="3"/>
      <c r="C139" s="3">
        <f t="shared" si="79"/>
        <v>150.15663336555087</v>
      </c>
      <c r="D139" s="3">
        <f t="shared" si="80"/>
        <v>82.98815737026753</v>
      </c>
      <c r="E139" s="3">
        <f t="shared" si="81"/>
        <v>31.929858819111395</v>
      </c>
      <c r="F139" s="6">
        <f>'Exchange Rates'!V66</f>
        <v>1.526</v>
      </c>
      <c r="G139" s="3"/>
      <c r="H139" s="3">
        <f>(C139*USA!$AU114/100)/$BB106*100*$F139</f>
        <v>235.7461478590275</v>
      </c>
      <c r="I139" s="3">
        <f>(D139*USA!$AU114/100)/$BB106*100*$F139</f>
        <v>130.29153610770661</v>
      </c>
      <c r="J139" s="3">
        <f>(E139*USA!$AU114/100)/$BB106*100*$F139</f>
        <v>50.129927993011606</v>
      </c>
      <c r="K139" s="6"/>
      <c r="L139" s="6">
        <f t="shared" si="88"/>
        <v>2.1414389089283721</v>
      </c>
      <c r="M139" s="6">
        <f t="shared" si="89"/>
        <v>1.4161015198968161</v>
      </c>
      <c r="N139" s="6">
        <f t="shared" si="90"/>
        <v>0.86473434339440614</v>
      </c>
      <c r="O139">
        <v>2027</v>
      </c>
      <c r="P139" s="3">
        <f t="shared" si="100"/>
        <v>0.59235156802966071</v>
      </c>
      <c r="Q139" s="3"/>
      <c r="R139" s="2">
        <f t="shared" si="101"/>
        <v>0.41006857154370496</v>
      </c>
      <c r="S139" s="2">
        <f t="shared" si="102"/>
        <v>0.30126796318897153</v>
      </c>
      <c r="T139" s="2">
        <f t="shared" si="103"/>
        <v>0.21856288671361002</v>
      </c>
      <c r="U139" s="3"/>
      <c r="V139" s="3">
        <f t="shared" si="73"/>
        <v>3.1438590485017381</v>
      </c>
      <c r="W139" s="3">
        <f t="shared" si="74"/>
        <v>2.3097210511154485</v>
      </c>
      <c r="X139" s="3">
        <f t="shared" si="75"/>
        <v>1.6756487981376769</v>
      </c>
      <c r="Y139" s="9"/>
      <c r="Z139" s="9">
        <f t="shared" si="94"/>
        <v>352.73118809902991</v>
      </c>
      <c r="AA139" s="9">
        <f t="shared" si="95"/>
        <v>259.14350419926018</v>
      </c>
      <c r="AB139" s="9">
        <f t="shared" si="96"/>
        <v>188.00257336138887</v>
      </c>
      <c r="AC139" s="3"/>
      <c r="AD139" s="3">
        <f t="shared" si="97"/>
        <v>3.4717636623920267</v>
      </c>
      <c r="AE139" s="3">
        <f t="shared" si="98"/>
        <v>2.5506250413313007</v>
      </c>
      <c r="AF139" s="3">
        <f t="shared" si="99"/>
        <v>1.8504190291475282</v>
      </c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N139" s="2"/>
      <c r="AO139" s="2"/>
      <c r="AP139" s="2"/>
      <c r="AQ139" s="2"/>
      <c r="AR139" s="2"/>
      <c r="AS139" s="2"/>
      <c r="AV139"/>
      <c r="AW139"/>
      <c r="AX139"/>
      <c r="AY139"/>
      <c r="AZ139"/>
      <c r="BA139"/>
      <c r="BD139" s="12"/>
      <c r="BE139" s="12"/>
      <c r="BF139" s="32"/>
      <c r="BG139" s="2"/>
      <c r="BH139" s="3"/>
      <c r="BI139"/>
      <c r="BK139" s="9"/>
      <c r="BP139" s="9"/>
    </row>
    <row r="140" spans="1:68">
      <c r="A140">
        <v>2028</v>
      </c>
      <c r="B140" s="3"/>
      <c r="C140" s="3">
        <f t="shared" si="79"/>
        <v>153.60850999464401</v>
      </c>
      <c r="D140" s="3">
        <f t="shared" si="80"/>
        <v>84.844653255379882</v>
      </c>
      <c r="E140" s="3">
        <f t="shared" si="81"/>
        <v>31.929858819111395</v>
      </c>
      <c r="F140" s="6">
        <f>'Exchange Rates'!V67</f>
        <v>1.526</v>
      </c>
      <c r="G140" s="3"/>
      <c r="H140" s="3">
        <f>(C140*USA!$AU115/100)/$BB107*100*$F140</f>
        <v>241.16559953394773</v>
      </c>
      <c r="I140" s="3">
        <f>(D140*USA!$AU115/100)/$BB107*100*$F140</f>
        <v>133.20623753395594</v>
      </c>
      <c r="J140" s="3">
        <f>(E140*USA!$AU115/100)/$BB107*100*$F140</f>
        <v>50.129927993011606</v>
      </c>
      <c r="K140" s="6"/>
      <c r="L140" s="6">
        <f t="shared" si="88"/>
        <v>2.1787149546373934</v>
      </c>
      <c r="M140" s="6">
        <f t="shared" si="89"/>
        <v>1.4361494048324484</v>
      </c>
      <c r="N140" s="6">
        <f t="shared" si="90"/>
        <v>0.86473434339440614</v>
      </c>
      <c r="O140">
        <v>2028</v>
      </c>
      <c r="P140" s="3">
        <f t="shared" si="100"/>
        <v>0.59235156802966071</v>
      </c>
      <c r="Q140" s="3"/>
      <c r="R140" s="2">
        <f t="shared" si="101"/>
        <v>0.41565997840005808</v>
      </c>
      <c r="S140" s="2">
        <f t="shared" si="102"/>
        <v>0.30427514592931637</v>
      </c>
      <c r="T140" s="2">
        <f t="shared" si="103"/>
        <v>0.21856288671361002</v>
      </c>
      <c r="U140" s="3"/>
      <c r="V140" s="3">
        <f t="shared" si="73"/>
        <v>3.186726501067112</v>
      </c>
      <c r="W140" s="3">
        <f t="shared" si="74"/>
        <v>2.3327761187914255</v>
      </c>
      <c r="X140" s="3">
        <f t="shared" si="75"/>
        <v>1.6756487981376769</v>
      </c>
      <c r="Y140" s="9"/>
      <c r="Z140" s="9">
        <f t="shared" si="94"/>
        <v>357.54078268990992</v>
      </c>
      <c r="AA140" s="9">
        <f t="shared" si="95"/>
        <v>261.7302109464747</v>
      </c>
      <c r="AB140" s="9">
        <f t="shared" si="96"/>
        <v>188.00257336138887</v>
      </c>
      <c r="AC140" s="3"/>
      <c r="AD140" s="3">
        <f t="shared" si="97"/>
        <v>3.5191021918298215</v>
      </c>
      <c r="AE140" s="3">
        <f t="shared" si="98"/>
        <v>2.5760847534101838</v>
      </c>
      <c r="AF140" s="3">
        <f t="shared" si="99"/>
        <v>1.8504190291475282</v>
      </c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N140" s="2"/>
      <c r="AO140" s="2"/>
      <c r="AP140" s="2"/>
      <c r="AQ140" s="2"/>
      <c r="AR140" s="2"/>
      <c r="AS140" s="2"/>
      <c r="AV140"/>
      <c r="AW140"/>
      <c r="AX140"/>
      <c r="AY140"/>
      <c r="AZ140"/>
      <c r="BA140"/>
      <c r="BD140" s="12"/>
      <c r="BE140" s="12"/>
      <c r="BF140" s="32"/>
      <c r="BG140" s="2"/>
      <c r="BH140" s="3"/>
      <c r="BI140"/>
      <c r="BK140" s="9"/>
      <c r="BP140" s="9"/>
    </row>
    <row r="141" spans="1:68">
      <c r="A141">
        <v>2029</v>
      </c>
      <c r="B141" s="3"/>
      <c r="C141" s="3">
        <f t="shared" si="79"/>
        <v>157.9233557810104</v>
      </c>
      <c r="D141" s="3">
        <f t="shared" si="80"/>
        <v>87.361009569245411</v>
      </c>
      <c r="E141" s="3">
        <f t="shared" si="81"/>
        <v>31.929858819111395</v>
      </c>
      <c r="F141" s="6">
        <f>'Exchange Rates'!V68</f>
        <v>1.526</v>
      </c>
      <c r="G141" s="3"/>
      <c r="H141" s="3">
        <f>(C141*USA!$AU116/100)/$BB108*100*$F141</f>
        <v>247.93991412759789</v>
      </c>
      <c r="I141" s="3">
        <f>(D141*USA!$AU116/100)/$BB108*100*$F141</f>
        <v>137.15692085934967</v>
      </c>
      <c r="J141" s="3">
        <f>(E141*USA!$AU116/100)/$BB108*100*$F141</f>
        <v>50.129927993011606</v>
      </c>
      <c r="K141" s="6"/>
      <c r="L141" s="6">
        <f t="shared" si="88"/>
        <v>2.225310011773669</v>
      </c>
      <c r="M141" s="6">
        <f t="shared" si="89"/>
        <v>1.4633229753434192</v>
      </c>
      <c r="N141" s="6">
        <f t="shared" si="90"/>
        <v>0.86473434339440614</v>
      </c>
      <c r="O141">
        <v>2029</v>
      </c>
      <c r="P141" s="3">
        <f t="shared" si="100"/>
        <v>0.59235156802966071</v>
      </c>
      <c r="Q141" s="3"/>
      <c r="R141" s="2">
        <f t="shared" si="101"/>
        <v>0.4226492369704995</v>
      </c>
      <c r="S141" s="2">
        <f t="shared" si="102"/>
        <v>0.30835118150596191</v>
      </c>
      <c r="T141" s="2">
        <f t="shared" si="103"/>
        <v>0.21856288671361002</v>
      </c>
      <c r="U141" s="3"/>
      <c r="V141" s="3">
        <f t="shared" si="73"/>
        <v>3.2403108167738295</v>
      </c>
      <c r="W141" s="3">
        <f t="shared" si="74"/>
        <v>2.3640257248790415</v>
      </c>
      <c r="X141" s="3">
        <f t="shared" si="75"/>
        <v>1.6756487981376769</v>
      </c>
      <c r="Y141" s="9"/>
      <c r="Z141" s="9">
        <f t="shared" si="94"/>
        <v>363.5527759285099</v>
      </c>
      <c r="AA141" s="9">
        <f t="shared" si="95"/>
        <v>265.23631936700474</v>
      </c>
      <c r="AB141" s="9">
        <f t="shared" si="96"/>
        <v>188.00257336138887</v>
      </c>
      <c r="AC141" s="3"/>
      <c r="AD141" s="3">
        <f t="shared" si="97"/>
        <v>3.5782753536270659</v>
      </c>
      <c r="AE141" s="3">
        <f t="shared" si="98"/>
        <v>2.6105936945571329</v>
      </c>
      <c r="AF141" s="3">
        <f t="shared" si="99"/>
        <v>1.8504190291475282</v>
      </c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N141" s="2"/>
      <c r="AO141" s="2"/>
      <c r="AP141" s="2"/>
      <c r="AQ141" s="2"/>
      <c r="AR141" s="2"/>
      <c r="AS141" s="2"/>
      <c r="AV141"/>
      <c r="AW141"/>
      <c r="AX141"/>
      <c r="AY141"/>
      <c r="AZ141"/>
      <c r="BA141"/>
      <c r="BD141" s="12"/>
      <c r="BE141" s="12"/>
      <c r="BF141" s="32"/>
      <c r="BG141" s="2"/>
      <c r="BH141" s="3"/>
      <c r="BI141"/>
      <c r="BK141" s="9"/>
      <c r="BP141" s="9"/>
    </row>
    <row r="142" spans="1:68">
      <c r="A142">
        <v>2030</v>
      </c>
      <c r="B142" s="3"/>
      <c r="C142" s="3">
        <f t="shared" si="79"/>
        <v>160.51226325283022</v>
      </c>
      <c r="D142" s="3">
        <f t="shared" si="80"/>
        <v>89.285088706337618</v>
      </c>
      <c r="E142" s="3">
        <f t="shared" si="81"/>
        <v>32.792827976384679</v>
      </c>
      <c r="F142" s="6">
        <f>'Exchange Rates'!V69</f>
        <v>1.526</v>
      </c>
      <c r="G142" s="3"/>
      <c r="H142" s="3">
        <f>(C142*USA!$AU117/100)/$BB109*100*$F142</f>
        <v>252.00450288378798</v>
      </c>
      <c r="I142" s="3">
        <f>(D142*USA!$AU117/100)/$BB109*100*$F142</f>
        <v>140.17772809629105</v>
      </c>
      <c r="J142" s="3">
        <f>(E142*USA!$AU117/100)/$BB109*100*$F142</f>
        <v>51.484790911741641</v>
      </c>
      <c r="K142" s="6"/>
      <c r="L142" s="6">
        <f t="shared" si="88"/>
        <v>2.2532670460554343</v>
      </c>
      <c r="M142" s="6">
        <f t="shared" si="89"/>
        <v>1.4841006767414167</v>
      </c>
      <c r="N142" s="6">
        <f t="shared" si="90"/>
        <v>0.87405335482166135</v>
      </c>
      <c r="O142">
        <v>2030</v>
      </c>
      <c r="P142" s="3">
        <f t="shared" si="100"/>
        <v>0.59235156802966071</v>
      </c>
      <c r="Q142" s="3"/>
      <c r="R142" s="2">
        <f t="shared" si="101"/>
        <v>0.42684279211276421</v>
      </c>
      <c r="S142" s="2">
        <f t="shared" si="102"/>
        <v>0.31146783671566158</v>
      </c>
      <c r="T142" s="2">
        <f t="shared" si="103"/>
        <v>0.21996073842769831</v>
      </c>
      <c r="U142" s="3"/>
      <c r="V142" s="3">
        <f t="shared" si="73"/>
        <v>3.2724614061978592</v>
      </c>
      <c r="W142" s="3">
        <f t="shared" si="74"/>
        <v>2.387920081486739</v>
      </c>
      <c r="X142" s="3">
        <f t="shared" si="75"/>
        <v>1.6863656612790203</v>
      </c>
      <c r="Y142" s="9"/>
      <c r="Z142" s="9">
        <f t="shared" si="94"/>
        <v>367.15997187166982</v>
      </c>
      <c r="AA142" s="9">
        <f t="shared" si="95"/>
        <v>267.91719171689959</v>
      </c>
      <c r="AB142" s="9">
        <f t="shared" si="96"/>
        <v>189.20497200910887</v>
      </c>
      <c r="AC142" s="3"/>
      <c r="AD142" s="3">
        <f t="shared" si="97"/>
        <v>3.6137792507054116</v>
      </c>
      <c r="AE142" s="3">
        <f t="shared" si="98"/>
        <v>2.6369802334340511</v>
      </c>
      <c r="AF142" s="3">
        <f t="shared" si="99"/>
        <v>1.8622536615069771</v>
      </c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N142" s="2"/>
      <c r="AO142" s="2"/>
      <c r="AP142" s="2"/>
      <c r="AQ142" s="2"/>
      <c r="AR142" s="2"/>
      <c r="AS142" s="2"/>
      <c r="AV142"/>
      <c r="AW142"/>
      <c r="AX142"/>
      <c r="AY142"/>
      <c r="AZ142"/>
      <c r="BA142"/>
      <c r="BD142" s="12"/>
      <c r="BE142" s="12"/>
      <c r="BF142" s="32"/>
      <c r="BG142" s="2"/>
      <c r="BH142" s="3"/>
      <c r="BI142"/>
      <c r="BK142" s="9"/>
      <c r="BP142" s="9"/>
    </row>
    <row r="143" spans="1:68">
      <c r="D143"/>
      <c r="E143"/>
      <c r="F143"/>
      <c r="G143"/>
      <c r="H143"/>
      <c r="I143"/>
      <c r="J143"/>
      <c r="K143"/>
      <c r="L143"/>
      <c r="M143"/>
      <c r="N143"/>
      <c r="O143" s="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N143" s="2"/>
      <c r="AO143" s="2"/>
      <c r="AP143" s="2"/>
      <c r="AQ143" s="2"/>
      <c r="AR143" s="2"/>
      <c r="AS143" s="2"/>
      <c r="AV143"/>
      <c r="AW143"/>
      <c r="AX143"/>
      <c r="AY143"/>
      <c r="AZ143"/>
      <c r="BA143"/>
      <c r="BD143" s="12"/>
      <c r="BE143" s="12"/>
      <c r="BF143" s="32"/>
      <c r="BG143" s="2"/>
      <c r="BH143" s="3"/>
      <c r="BI143"/>
      <c r="BK143" s="9"/>
      <c r="BP143" s="9"/>
    </row>
    <row r="144" spans="1:68">
      <c r="D144"/>
      <c r="E144"/>
      <c r="F144"/>
      <c r="G144"/>
      <c r="H144"/>
      <c r="I144"/>
      <c r="J144"/>
      <c r="K144"/>
      <c r="L144"/>
      <c r="M144"/>
      <c r="N144"/>
      <c r="O144" s="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N144" s="2"/>
      <c r="AO144" s="2"/>
      <c r="AP144" s="2"/>
      <c r="AQ144" s="2"/>
      <c r="AR144" s="2"/>
      <c r="AS144" s="2"/>
      <c r="AV144"/>
      <c r="AW144"/>
      <c r="AX144"/>
      <c r="AY144"/>
      <c r="AZ144"/>
      <c r="BA144"/>
      <c r="BD144" s="12"/>
      <c r="BE144" s="12"/>
      <c r="BF144" s="32"/>
      <c r="BG144" s="2"/>
      <c r="BH144" s="3"/>
      <c r="BI144"/>
      <c r="BK144" s="9"/>
      <c r="BP144" s="9"/>
    </row>
    <row r="145" spans="2:71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N145" s="2"/>
      <c r="AO145" s="2"/>
      <c r="AP145" s="2"/>
      <c r="AQ145" s="2"/>
      <c r="AR145" s="2"/>
      <c r="AS145" s="2"/>
      <c r="AV145"/>
      <c r="AW145"/>
      <c r="AX145"/>
      <c r="AY145"/>
      <c r="AZ145"/>
      <c r="BA145"/>
      <c r="BD145" s="12"/>
      <c r="BE145" s="12"/>
      <c r="BF145" s="32"/>
      <c r="BG145" s="2"/>
      <c r="BH145" s="3"/>
      <c r="BI145"/>
      <c r="BK145" s="9"/>
      <c r="BP145" s="9"/>
    </row>
    <row r="146" spans="2:71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/>
      <c r="U146" s="37"/>
      <c r="W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N146" s="2"/>
      <c r="AO146" s="2"/>
      <c r="AP146" s="2"/>
      <c r="AQ146" s="2"/>
      <c r="AR146" s="2"/>
      <c r="AS146" s="2"/>
      <c r="AV146"/>
      <c r="AW146"/>
      <c r="AX146"/>
      <c r="AY146"/>
      <c r="AZ146"/>
      <c r="BA146"/>
      <c r="BD146" s="12"/>
      <c r="BE146" s="12"/>
      <c r="BF146" s="32"/>
      <c r="BG146" s="2"/>
      <c r="BH146" s="3"/>
      <c r="BI146"/>
      <c r="BK146" s="9"/>
      <c r="BP146" s="9"/>
    </row>
    <row r="147" spans="2:71">
      <c r="B147" s="2"/>
      <c r="C147" s="2"/>
      <c r="G147" s="32"/>
      <c r="J147" s="2"/>
      <c r="L147" s="37"/>
      <c r="M147" s="32"/>
      <c r="N147" s="32"/>
      <c r="O147" s="32"/>
      <c r="P147" s="37"/>
      <c r="Q147" s="2">
        <v>2.6704987765882908</v>
      </c>
      <c r="R147" s="2"/>
      <c r="U147" s="37"/>
      <c r="W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N147" s="2"/>
      <c r="AO147" s="2"/>
      <c r="AP147" s="2"/>
      <c r="AQ147" s="2"/>
      <c r="AR147" s="2"/>
      <c r="AS147" s="2"/>
      <c r="AV147"/>
      <c r="AW147"/>
      <c r="AX147"/>
      <c r="AY147"/>
      <c r="AZ147"/>
      <c r="BA147"/>
      <c r="BD147" s="12"/>
      <c r="BE147" s="12"/>
      <c r="BF147" s="32"/>
      <c r="BG147" s="2"/>
      <c r="BH147" s="3"/>
      <c r="BI147"/>
      <c r="BK147" s="9"/>
      <c r="BP147" s="9"/>
    </row>
    <row r="148" spans="2:71">
      <c r="O148" s="2"/>
      <c r="P148" s="37"/>
      <c r="Q148" s="32">
        <v>1.974811819248129</v>
      </c>
      <c r="R148" s="32"/>
      <c r="S148" s="37"/>
      <c r="W148" s="2"/>
      <c r="X148" s="37"/>
      <c r="Y148" s="37"/>
      <c r="Z148" s="37"/>
      <c r="AA148" s="37"/>
      <c r="AB148" s="37"/>
      <c r="AC148" s="37"/>
      <c r="AD148" s="37"/>
      <c r="AE148" s="37"/>
      <c r="AF148" s="37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N148" s="2"/>
      <c r="AO148" s="2"/>
      <c r="AP148" s="2"/>
      <c r="AQ148" s="2"/>
      <c r="AR148" s="2"/>
      <c r="AS148" s="2"/>
      <c r="AT148" s="2"/>
      <c r="AU148" s="2"/>
      <c r="AW148"/>
      <c r="AX148"/>
      <c r="AY148"/>
      <c r="AZ148"/>
      <c r="BA148"/>
      <c r="BD148" s="12"/>
      <c r="BE148" s="12"/>
      <c r="BF148" s="12"/>
      <c r="BH148" s="2"/>
      <c r="BI148" s="2"/>
      <c r="BJ148" s="2"/>
      <c r="BK148" s="23"/>
      <c r="BM148" s="23"/>
      <c r="BN148" s="3"/>
      <c r="BO148" s="3"/>
      <c r="BP148" s="3"/>
      <c r="BS148" s="9"/>
    </row>
    <row r="149" spans="2:71">
      <c r="O149" s="2"/>
      <c r="P149" s="37"/>
      <c r="Q149" s="32">
        <f>Q147/Q148-1</f>
        <v>0.35228012641985851</v>
      </c>
      <c r="R149" s="32"/>
      <c r="S149" s="37"/>
      <c r="W149" s="2"/>
      <c r="X149" s="37"/>
      <c r="Y149" s="37"/>
      <c r="Z149" s="37"/>
      <c r="AA149" s="37"/>
      <c r="AB149" s="37"/>
      <c r="AC149" s="37"/>
      <c r="AD149" s="37"/>
      <c r="AE149" s="37"/>
      <c r="AF149" s="37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N149" s="2"/>
      <c r="AO149" s="2"/>
      <c r="AP149" s="2"/>
      <c r="AQ149" s="2"/>
      <c r="AR149" s="2"/>
      <c r="AS149" s="2"/>
      <c r="AT149" s="2"/>
      <c r="AU149" s="2"/>
      <c r="AW149"/>
      <c r="AX149"/>
      <c r="AY149"/>
      <c r="AZ149"/>
      <c r="BA149"/>
      <c r="BD149" s="12"/>
      <c r="BE149" s="12"/>
      <c r="BF149" s="12"/>
      <c r="BH149" s="2"/>
      <c r="BI149" s="2"/>
      <c r="BJ149" s="2"/>
      <c r="BK149" s="23"/>
      <c r="BM149" s="23"/>
      <c r="BN149" s="3"/>
      <c r="BO149" s="3"/>
      <c r="BP149" s="3"/>
      <c r="BS149" s="9"/>
    </row>
    <row r="150" spans="2:71">
      <c r="O150" s="2"/>
      <c r="P150" s="37"/>
      <c r="R150" s="32"/>
      <c r="S150" s="37"/>
      <c r="W150" s="2"/>
      <c r="X150" s="37"/>
      <c r="Y150" s="37"/>
      <c r="Z150" s="37"/>
      <c r="AA150" s="37"/>
      <c r="AB150" s="37"/>
      <c r="AC150" s="37"/>
      <c r="AD150" s="37"/>
      <c r="AE150" s="37"/>
      <c r="AF150" s="37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N150" s="2"/>
      <c r="AO150" s="2"/>
      <c r="AP150" s="2"/>
      <c r="AQ150" s="2"/>
      <c r="AR150" s="2"/>
      <c r="AS150" s="2"/>
      <c r="AT150" s="2"/>
      <c r="AU150" s="2"/>
      <c r="AW150"/>
      <c r="AX150"/>
      <c r="AY150"/>
      <c r="AZ150"/>
      <c r="BA150"/>
      <c r="BD150" s="12"/>
      <c r="BE150" s="12"/>
      <c r="BF150" s="12"/>
      <c r="BH150" s="2"/>
      <c r="BI150" s="2"/>
      <c r="BJ150" s="2"/>
      <c r="BK150" s="23"/>
      <c r="BM150" s="23"/>
      <c r="BN150" s="3"/>
      <c r="BO150" s="3"/>
      <c r="BP150" s="3"/>
      <c r="BS150" s="9"/>
    </row>
    <row r="151" spans="2:71">
      <c r="O151" s="2"/>
      <c r="P151" s="37"/>
      <c r="R151" s="32"/>
      <c r="S151" s="37"/>
      <c r="W151" s="2"/>
      <c r="X151" s="37"/>
      <c r="Y151" s="37"/>
      <c r="Z151" s="37"/>
      <c r="AA151" s="37"/>
      <c r="AB151" s="37"/>
      <c r="AC151" s="37"/>
      <c r="AD151" s="37"/>
      <c r="AE151" s="37"/>
      <c r="AF151" s="37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N151" s="2"/>
      <c r="AO151" s="2"/>
      <c r="AP151" s="2"/>
      <c r="AQ151" s="2"/>
      <c r="AR151" s="2"/>
      <c r="AS151" s="2"/>
      <c r="AT151" s="2"/>
      <c r="AU151" s="2"/>
      <c r="AW151"/>
      <c r="AX151"/>
      <c r="AY151"/>
      <c r="AZ151"/>
      <c r="BA151"/>
      <c r="BD151" s="12"/>
      <c r="BE151" s="12"/>
      <c r="BF151" s="12"/>
      <c r="BH151" s="2"/>
      <c r="BI151" s="2"/>
      <c r="BJ151" s="2"/>
      <c r="BK151" s="23"/>
      <c r="BM151" s="23"/>
      <c r="BN151" s="3"/>
      <c r="BO151" s="3"/>
      <c r="BP151" s="3"/>
      <c r="BS151" s="9"/>
    </row>
    <row r="152" spans="2:71">
      <c r="O152" s="2"/>
      <c r="P152" s="37"/>
      <c r="R152" s="32"/>
      <c r="S152" s="37"/>
      <c r="W152" s="2"/>
      <c r="X152" s="37"/>
      <c r="Y152" s="37"/>
      <c r="Z152" s="37"/>
      <c r="AA152" s="37"/>
      <c r="AB152" s="37"/>
      <c r="AC152" s="37"/>
      <c r="AD152" s="37"/>
      <c r="AE152" s="37"/>
      <c r="AF152" s="37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N152" s="2"/>
      <c r="AO152" s="2"/>
      <c r="AP152" s="2"/>
      <c r="AQ152" s="2"/>
      <c r="AR152" s="2"/>
      <c r="AS152" s="2"/>
      <c r="AT152" s="2"/>
      <c r="AU152" s="2"/>
      <c r="AW152"/>
      <c r="AX152"/>
      <c r="AY152"/>
      <c r="AZ152"/>
      <c r="BA152"/>
      <c r="BD152" s="12"/>
      <c r="BE152" s="12"/>
      <c r="BF152" s="12"/>
      <c r="BH152" s="2"/>
      <c r="BI152" s="2"/>
      <c r="BJ152" s="2"/>
      <c r="BK152" s="23"/>
      <c r="BM152" s="23"/>
      <c r="BN152" s="3"/>
      <c r="BO152" s="3"/>
      <c r="BP152" s="3"/>
      <c r="BS152" s="9"/>
    </row>
    <row r="153" spans="2:71">
      <c r="O153" s="2"/>
      <c r="P153" s="37"/>
      <c r="R153" s="32"/>
      <c r="S153" s="37"/>
      <c r="W153" s="2"/>
      <c r="X153" s="37"/>
      <c r="Y153" s="37"/>
      <c r="Z153" s="37"/>
      <c r="AA153" s="37"/>
      <c r="AB153" s="37"/>
      <c r="AC153" s="37"/>
      <c r="AD153" s="37"/>
      <c r="AE153" s="37"/>
      <c r="AF153" s="37"/>
      <c r="AM153" s="2"/>
      <c r="AN153" s="2"/>
      <c r="AO153" s="2"/>
      <c r="AP153" s="2"/>
      <c r="AQ153" s="2"/>
      <c r="AR153" s="2"/>
      <c r="AS153" s="2"/>
      <c r="AT153" s="2"/>
      <c r="AU153" s="2"/>
      <c r="AW153"/>
      <c r="AX153"/>
      <c r="AY153"/>
      <c r="AZ153"/>
      <c r="BA153"/>
      <c r="BD153" s="12"/>
      <c r="BE153" s="12"/>
      <c r="BF153" s="12"/>
      <c r="BH153" s="2"/>
      <c r="BI153" s="2"/>
      <c r="BJ153" s="2"/>
      <c r="BK153" s="23"/>
      <c r="BM153" s="23"/>
      <c r="BN153" s="3"/>
      <c r="BO153" s="3"/>
      <c r="BP153" s="3"/>
      <c r="BS153" s="9"/>
    </row>
    <row r="154" spans="2:71">
      <c r="O154" s="2"/>
      <c r="P154" s="37"/>
      <c r="Q154" s="32">
        <v>0.35</v>
      </c>
      <c r="R154" s="32"/>
      <c r="S154" s="37"/>
      <c r="W154" s="2"/>
      <c r="X154" s="37"/>
      <c r="AM154" s="2"/>
      <c r="AN154" s="2"/>
      <c r="AO154" s="2"/>
      <c r="AP154" s="2"/>
      <c r="AQ154" s="2"/>
      <c r="AV154"/>
      <c r="AW154"/>
      <c r="AX154"/>
      <c r="AY154"/>
      <c r="AZ154"/>
      <c r="BC154" s="32"/>
      <c r="BD154" s="32"/>
      <c r="BE154" s="32"/>
      <c r="BF154" s="23"/>
      <c r="BH154" s="23"/>
      <c r="BI154" s="3"/>
      <c r="BJ154" s="3"/>
      <c r="BK154" s="3"/>
      <c r="BN154" s="9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workbookViewId="0">
      <selection activeCell="A3" sqref="A3:G21"/>
    </sheetView>
  </sheetViews>
  <sheetFormatPr defaultRowHeight="15"/>
  <cols>
    <col min="1" max="1" width="18.140625" customWidth="1"/>
    <col min="2" max="7" width="14.1406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0.97588149848664429</v>
      </c>
    </row>
    <row r="5" spans="1:7">
      <c r="A5" s="13" t="s">
        <v>80</v>
      </c>
      <c r="B5" s="13">
        <v>0.95234469908853836</v>
      </c>
    </row>
    <row r="6" spans="1:7">
      <c r="A6" s="13" t="s">
        <v>81</v>
      </c>
      <c r="B6" s="13">
        <v>0.9484544704427047</v>
      </c>
    </row>
    <row r="7" spans="1:7">
      <c r="A7" s="13" t="s">
        <v>82</v>
      </c>
      <c r="B7" s="13">
        <v>0.25723306134644847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64.793673823685666</v>
      </c>
      <c r="D12" s="13">
        <v>16.198418455921416</v>
      </c>
      <c r="E12" s="13">
        <v>244.8042996414853</v>
      </c>
      <c r="F12" s="13">
        <v>9.9979405237802414E-32</v>
      </c>
    </row>
    <row r="13" spans="1:7">
      <c r="A13" s="13" t="s">
        <v>86</v>
      </c>
      <c r="B13" s="13">
        <v>49</v>
      </c>
      <c r="C13" s="13">
        <v>3.2422735446336204</v>
      </c>
      <c r="D13" s="13">
        <v>6.6168847849665716E-2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68.035947368319285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3.1942678972575127</v>
      </c>
      <c r="C17" s="13">
        <v>0.15882984689492771</v>
      </c>
      <c r="D17" s="13">
        <v>20.111257170515618</v>
      </c>
      <c r="E17" s="13">
        <v>2.5291139794273542E-25</v>
      </c>
      <c r="F17" s="13">
        <v>2.8750873700204376</v>
      </c>
      <c r="G17" s="13">
        <v>3.5134484244945878</v>
      </c>
    </row>
    <row r="18" spans="1:7">
      <c r="A18" s="13" t="s">
        <v>229</v>
      </c>
      <c r="B18" s="13">
        <v>6.8634547285181336E-3</v>
      </c>
      <c r="C18" s="13">
        <v>2.4235055141483904E-4</v>
      </c>
      <c r="D18" s="13">
        <v>28.320359448119195</v>
      </c>
      <c r="E18" s="13">
        <v>4.931507181052603E-32</v>
      </c>
      <c r="F18" s="13">
        <v>6.376433061690257E-3</v>
      </c>
      <c r="G18" s="13">
        <v>7.3504763953460102E-3</v>
      </c>
    </row>
    <row r="19" spans="1:7">
      <c r="A19" s="13" t="s">
        <v>282</v>
      </c>
      <c r="B19" s="13">
        <v>1.4792035523329079</v>
      </c>
      <c r="C19" s="13">
        <v>0.26170772219354438</v>
      </c>
      <c r="D19" s="13">
        <v>5.6521203880983375</v>
      </c>
      <c r="E19" s="13">
        <v>8.0027238789569476E-7</v>
      </c>
      <c r="F19" s="13">
        <v>0.95328219444726303</v>
      </c>
      <c r="G19" s="13">
        <v>2.0051249102185529</v>
      </c>
    </row>
    <row r="20" spans="1:7">
      <c r="A20" s="13" t="s">
        <v>2464</v>
      </c>
      <c r="B20" s="13">
        <v>-1.0834504651502557</v>
      </c>
      <c r="C20" s="13">
        <v>0.13787867644171461</v>
      </c>
      <c r="D20" s="13">
        <v>-7.8579987356367038</v>
      </c>
      <c r="E20" s="13">
        <v>3.1515247314316373E-10</v>
      </c>
      <c r="F20" s="13">
        <v>-1.36052803905568</v>
      </c>
      <c r="G20" s="13">
        <v>-0.80637289124483136</v>
      </c>
    </row>
    <row r="21" spans="1:7" ht="15.75" thickBot="1">
      <c r="A21" s="14" t="s">
        <v>2015</v>
      </c>
      <c r="B21" s="14">
        <v>-0.41956554267049512</v>
      </c>
      <c r="C21" s="14">
        <v>7.7857595328526721E-2</v>
      </c>
      <c r="D21" s="14">
        <v>-5.3888839091433889</v>
      </c>
      <c r="E21" s="14">
        <v>2.0134103267819012E-6</v>
      </c>
      <c r="F21" s="14">
        <v>-0.57602623826513155</v>
      </c>
      <c r="G21" s="14">
        <v>-0.26310484707585868</v>
      </c>
    </row>
    <row r="43" spans="4:4">
      <c r="D43" t="s">
        <v>1908</v>
      </c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G173"/>
  <sheetViews>
    <sheetView zoomScale="75" zoomScaleNormal="75" workbookViewId="0">
      <pane xSplit="1" ySplit="4" topLeftCell="AK52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D97"/>
    </sheetView>
  </sheetViews>
  <sheetFormatPr defaultRowHeight="15"/>
  <cols>
    <col min="1" max="1" width="6.7109375" customWidth="1"/>
    <col min="2" max="3" width="11.28515625" customWidth="1"/>
    <col min="4" max="6" width="11.28515625" style="2" customWidth="1"/>
    <col min="7" max="7" width="9.7109375" style="2" customWidth="1"/>
    <col min="8" max="9" width="9.28515625" style="2" bestFit="1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10.28515625" style="37" customWidth="1"/>
    <col min="16" max="16" width="11.5703125" style="32" customWidth="1"/>
    <col min="17" max="17" width="9.85546875" style="32" customWidth="1"/>
    <col min="18" max="18" width="9.140625" style="37" customWidth="1"/>
    <col min="19" max="22" width="9.28515625" style="2" bestFit="1" customWidth="1"/>
    <col min="23" max="23" width="9.42578125" style="37" customWidth="1"/>
    <col min="24" max="24" width="11" style="2" customWidth="1"/>
    <col min="25" max="29" width="9.28515625" style="2" bestFit="1" customWidth="1"/>
    <col min="30" max="32" width="9.140625" style="2"/>
    <col min="33" max="33" width="10.85546875" style="2" customWidth="1"/>
    <col min="34" max="34" width="9.140625" style="2"/>
    <col min="40" max="40" width="8.5703125" style="2" customWidth="1"/>
    <col min="41" max="43" width="9.140625" style="2"/>
    <col min="44" max="44" width="9.140625" style="2" customWidth="1"/>
    <col min="45" max="45" width="3.28515625" style="12" customWidth="1"/>
    <col min="46" max="46" width="9.85546875" bestFit="1" customWidth="1"/>
    <col min="47" max="47" width="3.28515625" style="12" customWidth="1"/>
    <col min="48" max="48" width="12.42578125" style="3" customWidth="1"/>
    <col min="49" max="49" width="9.85546875" style="3" customWidth="1"/>
    <col min="50" max="50" width="8.42578125" style="3" customWidth="1"/>
    <col min="51" max="51" width="8" customWidth="1"/>
    <col min="53" max="53" width="9.7109375" style="9" customWidth="1"/>
    <col min="54" max="54" width="5.85546875" customWidth="1"/>
    <col min="55" max="55" width="7.42578125" customWidth="1"/>
    <col min="56" max="56" width="5.7109375" customWidth="1"/>
  </cols>
  <sheetData>
    <row r="1" spans="1:85">
      <c r="A1" s="23" t="s">
        <v>196</v>
      </c>
      <c r="B1" s="23"/>
      <c r="C1" s="23"/>
      <c r="G1" s="39" t="s">
        <v>242</v>
      </c>
      <c r="BF1" s="3"/>
      <c r="BG1" s="3"/>
    </row>
    <row r="2" spans="1:85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N2" s="23" t="s">
        <v>196</v>
      </c>
      <c r="P2" s="23" t="s">
        <v>196</v>
      </c>
      <c r="Q2" s="38" t="s">
        <v>142</v>
      </c>
      <c r="S2" s="23" t="s">
        <v>196</v>
      </c>
      <c r="X2" s="23" t="s">
        <v>196</v>
      </c>
      <c r="Y2" s="23" t="s">
        <v>196</v>
      </c>
      <c r="Z2" s="23" t="s">
        <v>196</v>
      </c>
      <c r="AA2" s="23" t="s">
        <v>196</v>
      </c>
      <c r="AB2" s="23" t="s">
        <v>196</v>
      </c>
      <c r="AC2" s="2" t="s">
        <v>113</v>
      </c>
      <c r="BF2" s="3"/>
      <c r="BG2" s="3"/>
    </row>
    <row r="3" spans="1:85">
      <c r="B3" t="s">
        <v>182</v>
      </c>
      <c r="C3" t="s">
        <v>218</v>
      </c>
      <c r="D3" s="23" t="s">
        <v>196</v>
      </c>
      <c r="F3" s="23" t="s">
        <v>196</v>
      </c>
      <c r="H3" s="23" t="s">
        <v>196</v>
      </c>
      <c r="I3" s="23" t="s">
        <v>196</v>
      </c>
      <c r="J3" s="23" t="s">
        <v>196</v>
      </c>
      <c r="K3" s="23" t="s">
        <v>196</v>
      </c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2" t="s">
        <v>61</v>
      </c>
      <c r="Z3" s="2" t="s">
        <v>61</v>
      </c>
      <c r="AA3" s="2" t="s">
        <v>61</v>
      </c>
      <c r="AB3" s="38" t="s">
        <v>61</v>
      </c>
      <c r="AC3" s="2" t="s">
        <v>61</v>
      </c>
      <c r="AM3" s="46" t="s">
        <v>2103</v>
      </c>
      <c r="AN3" s="46" t="s">
        <v>1851</v>
      </c>
      <c r="AO3" s="46" t="s">
        <v>1851</v>
      </c>
      <c r="AP3" s="46" t="s">
        <v>1851</v>
      </c>
      <c r="AQ3" s="46" t="s">
        <v>1851</v>
      </c>
      <c r="AR3" s="46" t="s">
        <v>1851</v>
      </c>
      <c r="AS3" s="7"/>
      <c r="AT3" s="46"/>
      <c r="AU3" s="7"/>
      <c r="AV3" s="46" t="s">
        <v>2131</v>
      </c>
      <c r="AW3" s="46" t="s">
        <v>2131</v>
      </c>
      <c r="AX3" s="46" t="s">
        <v>2131</v>
      </c>
      <c r="AY3" s="46" t="s">
        <v>2131</v>
      </c>
      <c r="AZ3" s="46" t="s">
        <v>2131</v>
      </c>
      <c r="BA3" s="46" t="s">
        <v>2132</v>
      </c>
      <c r="BB3" s="46" t="s">
        <v>2098</v>
      </c>
      <c r="BC3" s="46" t="s">
        <v>2098</v>
      </c>
      <c r="BD3" s="46" t="s">
        <v>2098</v>
      </c>
      <c r="BF3" s="46" t="s">
        <v>2463</v>
      </c>
      <c r="BG3" s="46" t="s">
        <v>2463</v>
      </c>
      <c r="BR3" t="s">
        <v>2457</v>
      </c>
      <c r="BS3" t="s">
        <v>2458</v>
      </c>
      <c r="BT3" t="s">
        <v>2458</v>
      </c>
      <c r="CE3" t="s">
        <v>1703</v>
      </c>
      <c r="CF3" t="s">
        <v>2454</v>
      </c>
    </row>
    <row r="4" spans="1:85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126</v>
      </c>
      <c r="U4" s="2" t="s">
        <v>126</v>
      </c>
      <c r="V4" s="2" t="s">
        <v>126</v>
      </c>
      <c r="X4" s="2" t="s">
        <v>109</v>
      </c>
      <c r="Y4" s="2" t="s">
        <v>111</v>
      </c>
      <c r="Z4" s="2" t="s">
        <v>152</v>
      </c>
      <c r="AA4" s="2" t="s">
        <v>112</v>
      </c>
      <c r="AB4" s="38" t="s">
        <v>87</v>
      </c>
      <c r="AC4" s="2" t="s">
        <v>87</v>
      </c>
      <c r="AH4" s="2" t="s">
        <v>111</v>
      </c>
      <c r="AI4" t="s">
        <v>199</v>
      </c>
      <c r="AM4" s="46"/>
      <c r="AN4" s="46" t="s">
        <v>131</v>
      </c>
      <c r="AO4" s="46" t="s">
        <v>111</v>
      </c>
      <c r="AP4" s="46" t="s">
        <v>112</v>
      </c>
      <c r="AQ4" s="46" t="s">
        <v>67</v>
      </c>
      <c r="AR4" s="46" t="s">
        <v>133</v>
      </c>
      <c r="AS4" s="7"/>
      <c r="AT4" s="139" t="s">
        <v>237</v>
      </c>
      <c r="AU4" s="7"/>
      <c r="AV4" s="46" t="s">
        <v>131</v>
      </c>
      <c r="AW4" s="46" t="s">
        <v>2097</v>
      </c>
      <c r="AX4" s="46" t="s">
        <v>67</v>
      </c>
      <c r="AY4" s="46" t="s">
        <v>133</v>
      </c>
      <c r="AZ4" s="46" t="s">
        <v>2097</v>
      </c>
      <c r="BA4" s="46" t="s">
        <v>1943</v>
      </c>
      <c r="BB4" s="46">
        <v>90</v>
      </c>
      <c r="BC4" s="46" t="s">
        <v>2462</v>
      </c>
      <c r="BD4" s="46">
        <v>9612</v>
      </c>
      <c r="BF4" s="46" t="s">
        <v>131</v>
      </c>
      <c r="BG4" s="46" t="s">
        <v>2097</v>
      </c>
      <c r="BQ4" t="s">
        <v>1943</v>
      </c>
      <c r="BR4" t="s">
        <v>2456</v>
      </c>
      <c r="BS4" t="s">
        <v>2456</v>
      </c>
      <c r="BT4" t="s">
        <v>128</v>
      </c>
      <c r="BU4" t="s">
        <v>2461</v>
      </c>
      <c r="CB4" t="s">
        <v>11</v>
      </c>
      <c r="CC4" t="s">
        <v>2453</v>
      </c>
      <c r="CE4" t="s">
        <v>310</v>
      </c>
      <c r="CF4" t="s">
        <v>2454</v>
      </c>
      <c r="CG4" t="s">
        <v>2455</v>
      </c>
    </row>
    <row r="5" spans="1:85">
      <c r="A5">
        <v>1926</v>
      </c>
      <c r="AM5">
        <v>1926</v>
      </c>
      <c r="BF5" s="3"/>
      <c r="BG5" s="3"/>
    </row>
    <row r="6" spans="1:85">
      <c r="A6">
        <v>1927</v>
      </c>
      <c r="AM6">
        <v>1927</v>
      </c>
      <c r="BF6" s="3"/>
      <c r="BG6" s="3"/>
    </row>
    <row r="7" spans="1:85">
      <c r="A7">
        <v>1928</v>
      </c>
      <c r="AM7">
        <v>1928</v>
      </c>
      <c r="BF7" s="3"/>
      <c r="BG7" s="3"/>
    </row>
    <row r="8" spans="1:85">
      <c r="A8">
        <v>1929</v>
      </c>
      <c r="AM8">
        <v>1929</v>
      </c>
      <c r="BF8" s="3"/>
      <c r="BG8" s="3"/>
    </row>
    <row r="9" spans="1:85">
      <c r="A9">
        <v>1930</v>
      </c>
      <c r="AM9">
        <v>1930</v>
      </c>
      <c r="BF9" s="3"/>
      <c r="BG9" s="3"/>
    </row>
    <row r="10" spans="1:85">
      <c r="A10">
        <v>1931</v>
      </c>
      <c r="AM10">
        <v>1931</v>
      </c>
      <c r="BF10" s="3"/>
      <c r="BG10" s="3"/>
    </row>
    <row r="11" spans="1:85">
      <c r="A11">
        <v>1932</v>
      </c>
      <c r="AM11">
        <v>1932</v>
      </c>
      <c r="BF11" s="3"/>
      <c r="BG11" s="3"/>
    </row>
    <row r="12" spans="1:85">
      <c r="A12">
        <v>1933</v>
      </c>
      <c r="AM12">
        <v>1933</v>
      </c>
      <c r="BF12" s="3"/>
      <c r="BG12" s="3"/>
    </row>
    <row r="13" spans="1:85">
      <c r="A13">
        <v>1934</v>
      </c>
      <c r="AM13">
        <v>1934</v>
      </c>
      <c r="BF13" s="3"/>
      <c r="BG13" s="3"/>
    </row>
    <row r="14" spans="1:85">
      <c r="A14">
        <v>1935</v>
      </c>
      <c r="AM14">
        <v>1935</v>
      </c>
      <c r="BF14" s="3"/>
      <c r="BG14" s="3"/>
    </row>
    <row r="15" spans="1:85">
      <c r="A15">
        <v>1936</v>
      </c>
      <c r="AM15">
        <v>1936</v>
      </c>
      <c r="BF15" s="3"/>
      <c r="BG15" s="3"/>
    </row>
    <row r="16" spans="1:85">
      <c r="A16">
        <v>1937</v>
      </c>
      <c r="AM16">
        <v>1937</v>
      </c>
      <c r="BF16" s="3"/>
      <c r="BG16" s="3"/>
    </row>
    <row r="17" spans="1:59">
      <c r="A17">
        <v>1938</v>
      </c>
      <c r="AM17">
        <v>1938</v>
      </c>
      <c r="BF17" s="3"/>
      <c r="BG17" s="3"/>
    </row>
    <row r="18" spans="1:59">
      <c r="A18">
        <v>1939</v>
      </c>
      <c r="AM18">
        <v>1939</v>
      </c>
      <c r="BF18" s="3"/>
      <c r="BG18" s="3"/>
    </row>
    <row r="19" spans="1:59">
      <c r="A19">
        <v>1940</v>
      </c>
      <c r="AM19">
        <v>1940</v>
      </c>
      <c r="BF19" s="3"/>
      <c r="BG19" s="3"/>
    </row>
    <row r="20" spans="1:59">
      <c r="A20">
        <v>1941</v>
      </c>
      <c r="AM20">
        <v>1941</v>
      </c>
      <c r="BF20" s="3"/>
      <c r="BG20" s="3"/>
    </row>
    <row r="21" spans="1:59">
      <c r="A21">
        <v>1942</v>
      </c>
      <c r="AM21">
        <v>1942</v>
      </c>
      <c r="BF21" s="3"/>
      <c r="BG21" s="3"/>
    </row>
    <row r="22" spans="1:59">
      <c r="A22">
        <v>1943</v>
      </c>
      <c r="AM22">
        <v>1943</v>
      </c>
      <c r="BF22" s="3"/>
      <c r="BG22" s="3"/>
    </row>
    <row r="23" spans="1:59">
      <c r="A23">
        <v>1944</v>
      </c>
      <c r="AM23">
        <v>1944</v>
      </c>
      <c r="BF23" s="3"/>
      <c r="BG23" s="3"/>
    </row>
    <row r="24" spans="1:59">
      <c r="A24">
        <v>1945</v>
      </c>
      <c r="AM24">
        <v>1945</v>
      </c>
      <c r="BF24" s="3"/>
      <c r="BG24" s="3"/>
    </row>
    <row r="25" spans="1:59">
      <c r="A25">
        <v>1946</v>
      </c>
      <c r="AM25">
        <v>1946</v>
      </c>
      <c r="BF25" s="3"/>
      <c r="BG25" s="3"/>
    </row>
    <row r="26" spans="1:59">
      <c r="A26">
        <v>1947</v>
      </c>
      <c r="AM26">
        <v>1947</v>
      </c>
      <c r="BF26" s="3"/>
      <c r="BG26" s="3"/>
    </row>
    <row r="27" spans="1:59">
      <c r="A27">
        <v>1948</v>
      </c>
      <c r="AM27">
        <v>1948</v>
      </c>
      <c r="BF27" s="3"/>
      <c r="BG27" s="3"/>
    </row>
    <row r="28" spans="1:59">
      <c r="A28">
        <v>1949</v>
      </c>
      <c r="AM28">
        <v>1949</v>
      </c>
      <c r="BF28" s="3"/>
      <c r="BG28" s="3"/>
    </row>
    <row r="29" spans="1:59">
      <c r="A29">
        <v>1950</v>
      </c>
      <c r="AM29">
        <v>1950</v>
      </c>
      <c r="BF29" s="3"/>
      <c r="BG29" s="3"/>
    </row>
    <row r="30" spans="1:59">
      <c r="A30">
        <v>1951</v>
      </c>
      <c r="AM30">
        <v>1951</v>
      </c>
      <c r="BF30" s="3"/>
      <c r="BG30" s="3"/>
    </row>
    <row r="31" spans="1:59">
      <c r="A31">
        <v>1952</v>
      </c>
      <c r="AM31">
        <v>1952</v>
      </c>
      <c r="BF31" s="3"/>
      <c r="BG31" s="3"/>
    </row>
    <row r="32" spans="1:59">
      <c r="A32">
        <v>1953</v>
      </c>
      <c r="AM32">
        <v>1953</v>
      </c>
      <c r="BF32" s="3"/>
      <c r="BG32" s="3"/>
    </row>
    <row r="33" spans="1:73">
      <c r="A33">
        <v>1954</v>
      </c>
      <c r="AM33">
        <v>1954</v>
      </c>
      <c r="BF33" s="3"/>
      <c r="BG33" s="3"/>
    </row>
    <row r="34" spans="1:73">
      <c r="A34">
        <v>1955</v>
      </c>
      <c r="AM34">
        <v>1955</v>
      </c>
      <c r="BF34" s="3"/>
      <c r="BG34" s="3"/>
    </row>
    <row r="35" spans="1:73">
      <c r="A35">
        <v>1956</v>
      </c>
      <c r="AM35">
        <v>1956</v>
      </c>
      <c r="BF35" s="3"/>
      <c r="BG35" s="3"/>
    </row>
    <row r="36" spans="1:73">
      <c r="A36">
        <v>1957</v>
      </c>
      <c r="AM36">
        <v>1957</v>
      </c>
      <c r="BF36" s="3"/>
      <c r="BG36" s="3"/>
    </row>
    <row r="37" spans="1:73">
      <c r="A37">
        <v>1958</v>
      </c>
      <c r="AM37">
        <v>1958</v>
      </c>
      <c r="BF37" s="3"/>
      <c r="BG37" s="3"/>
    </row>
    <row r="38" spans="1:73">
      <c r="A38">
        <v>1959</v>
      </c>
      <c r="AM38">
        <v>1959</v>
      </c>
      <c r="BF38" s="3"/>
      <c r="BG38" s="3"/>
    </row>
    <row r="39" spans="1:73">
      <c r="A39">
        <v>1960</v>
      </c>
      <c r="AM39">
        <v>1960</v>
      </c>
      <c r="BF39" s="3"/>
      <c r="BG39" s="3"/>
    </row>
    <row r="40" spans="1:73">
      <c r="A40">
        <v>1961</v>
      </c>
      <c r="AM40">
        <v>1961</v>
      </c>
      <c r="BF40" s="3"/>
      <c r="BG40" s="3"/>
    </row>
    <row r="41" spans="1:73">
      <c r="A41">
        <v>1962</v>
      </c>
      <c r="AM41">
        <v>1962</v>
      </c>
      <c r="BF41" s="3"/>
      <c r="BG41" s="3"/>
      <c r="BS41" t="s">
        <v>2459</v>
      </c>
    </row>
    <row r="42" spans="1:73">
      <c r="A42">
        <v>1963</v>
      </c>
      <c r="AM42" s="46" t="s">
        <v>2103</v>
      </c>
      <c r="AN42" s="46" t="s">
        <v>1851</v>
      </c>
      <c r="AO42" s="46" t="s">
        <v>1851</v>
      </c>
      <c r="AP42" s="46" t="s">
        <v>1851</v>
      </c>
      <c r="AQ42" s="46" t="s">
        <v>1851</v>
      </c>
      <c r="AR42" s="46" t="s">
        <v>1851</v>
      </c>
      <c r="AS42" s="7"/>
      <c r="AT42" s="46"/>
      <c r="AU42" s="7"/>
      <c r="AV42" s="46" t="s">
        <v>2131</v>
      </c>
      <c r="AW42" s="46" t="s">
        <v>2131</v>
      </c>
      <c r="AX42" s="46" t="s">
        <v>2131</v>
      </c>
      <c r="AY42" s="46" t="s">
        <v>2131</v>
      </c>
      <c r="AZ42" s="46" t="s">
        <v>2131</v>
      </c>
      <c r="BA42" s="46" t="s">
        <v>2132</v>
      </c>
      <c r="BB42" s="46" t="s">
        <v>2098</v>
      </c>
      <c r="BC42" s="46" t="s">
        <v>2098</v>
      </c>
      <c r="BD42" s="46" t="s">
        <v>2098</v>
      </c>
      <c r="BF42" s="46" t="s">
        <v>2463</v>
      </c>
      <c r="BG42" s="46" t="s">
        <v>2463</v>
      </c>
      <c r="BR42" t="s">
        <v>2457</v>
      </c>
      <c r="BS42" t="s">
        <v>2458</v>
      </c>
      <c r="BT42" t="s">
        <v>2458</v>
      </c>
    </row>
    <row r="43" spans="1:73">
      <c r="AM43" s="46"/>
      <c r="AN43" s="46" t="s">
        <v>131</v>
      </c>
      <c r="AO43" s="46" t="s">
        <v>111</v>
      </c>
      <c r="AP43" s="46" t="s">
        <v>112</v>
      </c>
      <c r="AQ43" s="46" t="s">
        <v>67</v>
      </c>
      <c r="AR43" s="46" t="s">
        <v>133</v>
      </c>
      <c r="AS43" s="7"/>
      <c r="AT43" s="139" t="s">
        <v>237</v>
      </c>
      <c r="AU43" s="7"/>
      <c r="AV43" s="46" t="s">
        <v>131</v>
      </c>
      <c r="AW43" s="46" t="s">
        <v>2097</v>
      </c>
      <c r="AX43" s="46" t="s">
        <v>67</v>
      </c>
      <c r="AY43" s="46" t="s">
        <v>133</v>
      </c>
      <c r="AZ43" s="46" t="s">
        <v>2097</v>
      </c>
      <c r="BA43" s="46" t="s">
        <v>1943</v>
      </c>
      <c r="BB43" s="46">
        <v>90</v>
      </c>
      <c r="BC43" s="46" t="s">
        <v>2462</v>
      </c>
      <c r="BD43" s="46">
        <v>9612</v>
      </c>
      <c r="BF43" s="46" t="s">
        <v>131</v>
      </c>
      <c r="BG43" s="46" t="s">
        <v>2097</v>
      </c>
      <c r="BQ43" t="s">
        <v>1943</v>
      </c>
      <c r="BR43" t="s">
        <v>2456</v>
      </c>
      <c r="BS43" t="s">
        <v>2456</v>
      </c>
      <c r="BT43" t="s">
        <v>128</v>
      </c>
      <c r="BU43" t="s">
        <v>2460</v>
      </c>
    </row>
    <row r="44" spans="1:73">
      <c r="A44">
        <v>1965</v>
      </c>
      <c r="B44" s="3">
        <f t="shared" ref="B44:B88" si="0">I44/G44*100/C44*100</f>
        <v>103.74139017196799</v>
      </c>
      <c r="C44" s="3">
        <f t="shared" ref="C44:C87" si="1">E44/E$89*100</f>
        <v>14.459024846529534</v>
      </c>
      <c r="D44" s="2">
        <v>72.4893</v>
      </c>
      <c r="E44" s="2">
        <v>20.692699999999999</v>
      </c>
      <c r="F44" s="2">
        <f>D44*E44/100</f>
        <v>14.999993381099998</v>
      </c>
      <c r="G44" s="2">
        <v>7.1428599999999989</v>
      </c>
      <c r="H44" s="2">
        <f>F44*G44/100</f>
        <v>1.0714285272212392</v>
      </c>
      <c r="I44" s="32">
        <f t="shared" ref="I44:I67" si="2">H44</f>
        <v>1.0714285272212392</v>
      </c>
      <c r="J44" s="32">
        <f t="shared" ref="J44:J89" si="3">Q44+AB44</f>
        <v>1.2085881832439378</v>
      </c>
      <c r="P44" s="32">
        <f t="shared" ref="P44:P78" si="4">I44-AB44</f>
        <v>0.38571426979964607</v>
      </c>
      <c r="Q44" s="32">
        <f t="shared" ref="Q44:Q89" si="5">Q$108+Q$109*S44+Q$110*T44+Q$111*U44+Q$112*V44</f>
        <v>0.52287392582234471</v>
      </c>
      <c r="S44" s="2">
        <f>USA!Z52*G44</f>
        <v>23.571437999999993</v>
      </c>
      <c r="T44" s="2">
        <v>1</v>
      </c>
      <c r="U44" s="2">
        <v>1</v>
      </c>
      <c r="V44" s="2">
        <v>0</v>
      </c>
      <c r="X44" s="2">
        <f>AE44/100</f>
        <v>0.64</v>
      </c>
      <c r="Y44" s="2">
        <f t="shared" ref="Y44:Y57" si="6">AB44-AA44</f>
        <v>0.50714283621805323</v>
      </c>
      <c r="Z44" s="2">
        <v>0.2</v>
      </c>
      <c r="AA44" s="2">
        <f>Z44*(I44*(1/(1+Z44)))</f>
        <v>0.17857142120353986</v>
      </c>
      <c r="AB44" s="2">
        <f>I44*X44</f>
        <v>0.68571425742159309</v>
      </c>
      <c r="AE44" s="2">
        <v>64</v>
      </c>
      <c r="AM44">
        <v>1965</v>
      </c>
      <c r="AN44" s="1">
        <f>I44</f>
        <v>1.0714285272212392</v>
      </c>
      <c r="AO44" s="1">
        <f>Y44</f>
        <v>0.50714283621805323</v>
      </c>
      <c r="AP44" s="1">
        <f>AA44</f>
        <v>0.17857142120353986</v>
      </c>
      <c r="AQ44" s="1">
        <f>AB44</f>
        <v>0.68571425742159309</v>
      </c>
      <c r="AR44" s="1">
        <f t="shared" ref="AR44:AR75" si="7">AN44-AQ44</f>
        <v>0.38571426979964607</v>
      </c>
      <c r="AT44" s="7">
        <v>10.951457248938663</v>
      </c>
      <c r="AV44" s="1">
        <f t="shared" ref="AV44:AV75" si="8">AN44/$AT44*100</f>
        <v>9.7834334086002528</v>
      </c>
      <c r="AW44" s="1">
        <f>AZ44+AX44</f>
        <v>9.8488150706376167</v>
      </c>
      <c r="AX44" s="1">
        <f t="shared" ref="AX44:AX89" si="9">AQ44/$AT44*100</f>
        <v>6.2613973815041604</v>
      </c>
      <c r="AY44" s="1">
        <f t="shared" ref="AY44:AY51" si="10">AV44-AX44</f>
        <v>3.5220360270960924</v>
      </c>
      <c r="AZ44" s="1">
        <f t="shared" ref="AZ44:AZ75" si="11">AW$99+AW$100*BA44+AW$101*BB44+AW$102*BC44+AW$103*BD44</f>
        <v>3.5874176891334555</v>
      </c>
      <c r="BA44" s="3">
        <f t="shared" ref="BA44:BA75" si="12">S44/AT44*100</f>
        <v>215.23562996407958</v>
      </c>
      <c r="BB44">
        <v>0</v>
      </c>
      <c r="BC44" s="23">
        <v>1</v>
      </c>
      <c r="BD44">
        <v>0</v>
      </c>
      <c r="BF44" s="1">
        <f t="shared" ref="BF44:BF96" si="13">AV44*$AT$97/$AT$89</f>
        <v>11.486138541068849</v>
      </c>
      <c r="BG44" s="1">
        <f t="shared" ref="BG44:BG96" si="14">AW44*$AT$97/$AT$89</f>
        <v>11.562899203388719</v>
      </c>
      <c r="BQ44" s="2">
        <f>S44</f>
        <v>23.571437999999993</v>
      </c>
      <c r="BR44">
        <v>0</v>
      </c>
      <c r="BS44">
        <f>BR44/7</f>
        <v>0</v>
      </c>
      <c r="BT44" s="2">
        <f>BQ44+BS44</f>
        <v>23.571437999999993</v>
      </c>
      <c r="BU44">
        <f t="shared" ref="BU44:BU96" si="15">BT44*AT$89/AT44</f>
        <v>215.23562996407961</v>
      </c>
    </row>
    <row r="45" spans="1:73">
      <c r="A45">
        <v>1966</v>
      </c>
      <c r="B45" s="3">
        <f t="shared" si="0"/>
        <v>114.15913562706032</v>
      </c>
      <c r="C45" s="3">
        <f t="shared" si="1"/>
        <v>14.891495218110531</v>
      </c>
      <c r="D45" s="2">
        <v>79.768699999999995</v>
      </c>
      <c r="E45" s="2">
        <v>21.311620000000001</v>
      </c>
      <c r="F45" s="2">
        <f t="shared" ref="F45:F78" si="16">D45*E45/100</f>
        <v>17.000002222940001</v>
      </c>
      <c r="G45" s="2">
        <v>7.1428599999999989</v>
      </c>
      <c r="H45" s="2">
        <f t="shared" ref="H45:H78" si="17">F45*G45/100</f>
        <v>1.214286358781492</v>
      </c>
      <c r="I45" s="32">
        <f t="shared" si="2"/>
        <v>1.214286358781492</v>
      </c>
      <c r="J45" s="32">
        <f t="shared" si="3"/>
        <v>1.3364457862059445</v>
      </c>
      <c r="P45" s="32">
        <f t="shared" si="4"/>
        <v>0.4007144983978923</v>
      </c>
      <c r="Q45" s="32">
        <f t="shared" si="5"/>
        <v>0.52287392582234471</v>
      </c>
      <c r="S45" s="2">
        <f>USA!Z53*G45</f>
        <v>23.571437999999993</v>
      </c>
      <c r="T45" s="2">
        <v>1</v>
      </c>
      <c r="U45" s="2">
        <v>1</v>
      </c>
      <c r="V45" s="2">
        <v>0</v>
      </c>
      <c r="X45" s="2">
        <f t="shared" ref="X45:X77" si="18">AE45/100</f>
        <v>0.67</v>
      </c>
      <c r="Y45" s="2">
        <f t="shared" si="6"/>
        <v>0.6111908005866844</v>
      </c>
      <c r="Z45" s="2">
        <v>0.2</v>
      </c>
      <c r="AA45" s="2">
        <f t="shared" ref="AA45:AA96" si="19">Z45*(I45*(1/(1+Z45)))</f>
        <v>0.20238105979691534</v>
      </c>
      <c r="AB45" s="2">
        <f t="shared" ref="AB45:AB57" si="20">I45*X45</f>
        <v>0.81357186038359974</v>
      </c>
      <c r="AE45" s="2">
        <v>67</v>
      </c>
      <c r="AM45">
        <v>1966</v>
      </c>
      <c r="AN45" s="1">
        <f t="shared" ref="AN45:AN89" si="21">I45</f>
        <v>1.214286358781492</v>
      </c>
      <c r="AO45" s="1">
        <f t="shared" ref="AO45:AO96" si="22">Y45</f>
        <v>0.6111908005866844</v>
      </c>
      <c r="AP45" s="1">
        <f t="shared" ref="AP45:AP96" si="23">AA45</f>
        <v>0.20238105979691534</v>
      </c>
      <c r="AQ45" s="1">
        <f t="shared" ref="AQ45:AQ76" si="24">AB45</f>
        <v>0.81357186038359974</v>
      </c>
      <c r="AR45" s="1">
        <f t="shared" si="7"/>
        <v>0.4007144983978923</v>
      </c>
      <c r="AT45" s="7">
        <v>11.307444332641511</v>
      </c>
      <c r="AV45" s="1">
        <f t="shared" si="8"/>
        <v>10.738822346232368</v>
      </c>
      <c r="AW45" s="1">
        <f t="shared" ref="AW45:AW89" si="25">AZ45+AX45</f>
        <v>10.735869208472817</v>
      </c>
      <c r="AX45" s="1">
        <f t="shared" si="9"/>
        <v>7.1950109719756874</v>
      </c>
      <c r="AY45" s="1">
        <f t="shared" si="10"/>
        <v>3.5438113742566806</v>
      </c>
      <c r="AZ45" s="1">
        <f t="shared" si="11"/>
        <v>3.5408582364971286</v>
      </c>
      <c r="BA45" s="3">
        <f t="shared" si="12"/>
        <v>208.45946534492921</v>
      </c>
      <c r="BB45">
        <v>0</v>
      </c>
      <c r="BC45" s="23">
        <v>1</v>
      </c>
      <c r="BD45">
        <v>0</v>
      </c>
      <c r="BF45" s="1">
        <f t="shared" si="13"/>
        <v>12.607803016098694</v>
      </c>
      <c r="BG45" s="1">
        <f t="shared" si="14"/>
        <v>12.604335915335557</v>
      </c>
      <c r="BQ45" s="2">
        <f t="shared" ref="BQ45:BQ97" si="26">S45</f>
        <v>23.571437999999993</v>
      </c>
      <c r="BR45">
        <v>0</v>
      </c>
      <c r="BS45">
        <f t="shared" ref="BS45:BS97" si="27">BR45/7</f>
        <v>0</v>
      </c>
      <c r="BT45" s="2">
        <f t="shared" ref="BT45:BT97" si="28">BQ45+BS45</f>
        <v>23.571437999999993</v>
      </c>
      <c r="BU45">
        <f t="shared" si="15"/>
        <v>208.45946534492921</v>
      </c>
    </row>
    <row r="46" spans="1:73">
      <c r="A46">
        <v>1967</v>
      </c>
      <c r="B46" s="3">
        <f t="shared" si="0"/>
        <v>111.07605885783407</v>
      </c>
      <c r="C46" s="3">
        <f t="shared" si="1"/>
        <v>15.30482682623647</v>
      </c>
      <c r="D46" s="2">
        <v>77.614400000000003</v>
      </c>
      <c r="E46" s="2">
        <v>21.90315</v>
      </c>
      <c r="F46" s="2">
        <f t="shared" si="16"/>
        <v>16.9999984536</v>
      </c>
      <c r="G46" s="2">
        <v>7.1428599999999989</v>
      </c>
      <c r="H46" s="2">
        <f t="shared" si="17"/>
        <v>1.2142860895428127</v>
      </c>
      <c r="I46" s="32">
        <f t="shared" si="2"/>
        <v>1.2142860895428127</v>
      </c>
      <c r="J46" s="32">
        <f t="shared" si="3"/>
        <v>1.3243027449206011</v>
      </c>
      <c r="P46" s="32">
        <f t="shared" si="4"/>
        <v>0.41285727044455633</v>
      </c>
      <c r="Q46" s="32">
        <f t="shared" si="5"/>
        <v>0.52287392582234471</v>
      </c>
      <c r="S46" s="2">
        <f>USA!Z54*G46</f>
        <v>23.571437999999993</v>
      </c>
      <c r="T46" s="2">
        <v>1</v>
      </c>
      <c r="U46" s="2">
        <v>1</v>
      </c>
      <c r="V46" s="2">
        <v>0</v>
      </c>
      <c r="X46" s="2">
        <f t="shared" si="18"/>
        <v>0.66</v>
      </c>
      <c r="Y46" s="2">
        <f t="shared" si="6"/>
        <v>0.59904780417445425</v>
      </c>
      <c r="Z46" s="2">
        <v>0.2</v>
      </c>
      <c r="AA46" s="2">
        <f t="shared" si="19"/>
        <v>0.20238101492380212</v>
      </c>
      <c r="AB46" s="2">
        <f t="shared" si="20"/>
        <v>0.80142881909825636</v>
      </c>
      <c r="AE46" s="2">
        <v>66</v>
      </c>
      <c r="AM46">
        <v>1967</v>
      </c>
      <c r="AN46" s="1">
        <f t="shared" si="21"/>
        <v>1.2142860895428127</v>
      </c>
      <c r="AO46" s="1">
        <f t="shared" si="22"/>
        <v>0.59904780417445425</v>
      </c>
      <c r="AP46" s="1">
        <f t="shared" si="23"/>
        <v>0.20238101492380212</v>
      </c>
      <c r="AQ46" s="1">
        <f t="shared" si="24"/>
        <v>0.80142881909825636</v>
      </c>
      <c r="AR46" s="1">
        <f t="shared" si="7"/>
        <v>0.41285727044455633</v>
      </c>
      <c r="AT46" s="7">
        <v>11.825243756402854</v>
      </c>
      <c r="AV46" s="1">
        <f t="shared" si="8"/>
        <v>10.268592466733125</v>
      </c>
      <c r="AW46" s="1">
        <f t="shared" si="25"/>
        <v>10.255410571680896</v>
      </c>
      <c r="AX46" s="1">
        <f t="shared" si="9"/>
        <v>6.7772710280438631</v>
      </c>
      <c r="AY46" s="1">
        <f t="shared" si="10"/>
        <v>3.4913214386892619</v>
      </c>
      <c r="AZ46" s="1">
        <f t="shared" si="11"/>
        <v>3.4781395436370328</v>
      </c>
      <c r="BA46" s="3">
        <f t="shared" si="12"/>
        <v>199.33151895695246</v>
      </c>
      <c r="BB46">
        <v>0</v>
      </c>
      <c r="BC46" s="23">
        <v>1</v>
      </c>
      <c r="BD46">
        <v>0</v>
      </c>
      <c r="BF46" s="1">
        <f t="shared" si="13"/>
        <v>12.055734502264841</v>
      </c>
      <c r="BG46" s="1">
        <f t="shared" si="14"/>
        <v>12.040258435072456</v>
      </c>
      <c r="BQ46" s="2">
        <f t="shared" si="26"/>
        <v>23.571437999999993</v>
      </c>
      <c r="BR46">
        <v>0</v>
      </c>
      <c r="BS46">
        <f t="shared" si="27"/>
        <v>0</v>
      </c>
      <c r="BT46" s="2">
        <f t="shared" si="28"/>
        <v>23.571437999999993</v>
      </c>
      <c r="BU46">
        <f t="shared" si="15"/>
        <v>199.33151895695249</v>
      </c>
    </row>
    <row r="47" spans="1:73">
      <c r="A47">
        <v>1968</v>
      </c>
      <c r="B47" s="3">
        <f t="shared" si="0"/>
        <v>106.58074602312375</v>
      </c>
      <c r="C47" s="3">
        <f t="shared" si="1"/>
        <v>15.950346083448959</v>
      </c>
      <c r="D47" s="2">
        <v>74.473299999999995</v>
      </c>
      <c r="E47" s="2">
        <v>22.826969999999999</v>
      </c>
      <c r="F47" s="2">
        <f t="shared" si="16"/>
        <v>16.999997849010001</v>
      </c>
      <c r="G47" s="2">
        <v>7.1428599999999989</v>
      </c>
      <c r="H47" s="2">
        <f t="shared" si="17"/>
        <v>1.2142860463577956</v>
      </c>
      <c r="I47" s="32">
        <f t="shared" si="2"/>
        <v>1.2142860463577956</v>
      </c>
      <c r="J47" s="32">
        <f t="shared" si="3"/>
        <v>1.2878741350277561</v>
      </c>
      <c r="P47" s="32">
        <f t="shared" si="4"/>
        <v>0.44928583715238435</v>
      </c>
      <c r="Q47" s="32">
        <f t="shared" si="5"/>
        <v>0.52287392582234471</v>
      </c>
      <c r="S47" s="2">
        <f>USA!Z55*G47</f>
        <v>23.571437999999993</v>
      </c>
      <c r="T47" s="2">
        <v>1</v>
      </c>
      <c r="U47" s="2">
        <v>1</v>
      </c>
      <c r="V47" s="2">
        <v>0</v>
      </c>
      <c r="X47" s="2">
        <f t="shared" si="18"/>
        <v>0.63</v>
      </c>
      <c r="Y47" s="2">
        <f t="shared" si="6"/>
        <v>0.56261920147911193</v>
      </c>
      <c r="Z47" s="2">
        <v>0.2</v>
      </c>
      <c r="AA47" s="2">
        <f t="shared" si="19"/>
        <v>0.20238100772629927</v>
      </c>
      <c r="AB47" s="2">
        <f t="shared" si="20"/>
        <v>0.76500020920541123</v>
      </c>
      <c r="AE47" s="2">
        <v>63</v>
      </c>
      <c r="AM47">
        <v>1968</v>
      </c>
      <c r="AN47" s="1">
        <f t="shared" si="21"/>
        <v>1.2142860463577956</v>
      </c>
      <c r="AO47" s="1">
        <f t="shared" si="22"/>
        <v>0.56261920147911193</v>
      </c>
      <c r="AP47" s="1">
        <f t="shared" si="23"/>
        <v>0.20238100772629927</v>
      </c>
      <c r="AQ47" s="1">
        <f t="shared" si="24"/>
        <v>0.76500020920541123</v>
      </c>
      <c r="AR47" s="1">
        <f t="shared" si="7"/>
        <v>0.44928583715238435</v>
      </c>
      <c r="AT47" s="7">
        <v>12.233010798796391</v>
      </c>
      <c r="AV47" s="1">
        <f t="shared" si="8"/>
        <v>9.9263056849199334</v>
      </c>
      <c r="AW47" s="1">
        <f t="shared" si="25"/>
        <v>9.6860581438837805</v>
      </c>
      <c r="AX47" s="1">
        <f t="shared" si="9"/>
        <v>6.2535725814995589</v>
      </c>
      <c r="AY47" s="1">
        <f t="shared" si="10"/>
        <v>3.6727331034203745</v>
      </c>
      <c r="AZ47" s="1">
        <f t="shared" si="11"/>
        <v>3.4324855623842216</v>
      </c>
      <c r="BA47" s="3">
        <f t="shared" si="12"/>
        <v>192.68713473480457</v>
      </c>
      <c r="BB47">
        <v>0</v>
      </c>
      <c r="BC47" s="23">
        <v>1</v>
      </c>
      <c r="BD47">
        <v>0</v>
      </c>
      <c r="BF47" s="1">
        <f t="shared" si="13"/>
        <v>11.653876255524301</v>
      </c>
      <c r="BG47" s="1">
        <f t="shared" si="14"/>
        <v>11.371816121290998</v>
      </c>
      <c r="BQ47" s="2">
        <f t="shared" si="26"/>
        <v>23.571437999999993</v>
      </c>
      <c r="BR47">
        <v>0</v>
      </c>
      <c r="BS47">
        <f t="shared" si="27"/>
        <v>0</v>
      </c>
      <c r="BT47" s="2">
        <f t="shared" si="28"/>
        <v>23.571437999999993</v>
      </c>
      <c r="BU47">
        <f t="shared" si="15"/>
        <v>192.68713473480457</v>
      </c>
    </row>
    <row r="48" spans="1:73">
      <c r="A48">
        <v>1969</v>
      </c>
      <c r="B48" s="3">
        <f t="shared" si="0"/>
        <v>101.10611302261407</v>
      </c>
      <c r="C48" s="3">
        <f t="shared" si="1"/>
        <v>16.814008114047141</v>
      </c>
      <c r="D48" s="2">
        <v>70.647900000000007</v>
      </c>
      <c r="E48" s="2">
        <v>24.06298</v>
      </c>
      <c r="F48" s="2">
        <f t="shared" si="16"/>
        <v>16.999990047420003</v>
      </c>
      <c r="G48" s="2">
        <v>7.1428599999999989</v>
      </c>
      <c r="H48" s="2">
        <f t="shared" si="17"/>
        <v>1.2142854891011441</v>
      </c>
      <c r="I48" s="32">
        <f t="shared" si="2"/>
        <v>1.2142854891011441</v>
      </c>
      <c r="J48" s="32">
        <f t="shared" si="3"/>
        <v>1.3243023486290999</v>
      </c>
      <c r="P48" s="32">
        <f t="shared" si="4"/>
        <v>0.4128570662943889</v>
      </c>
      <c r="Q48" s="32">
        <f t="shared" si="5"/>
        <v>0.52287392582234471</v>
      </c>
      <c r="S48" s="2">
        <f>USA!Z56*G48</f>
        <v>23.571437999999993</v>
      </c>
      <c r="T48" s="2">
        <v>1</v>
      </c>
      <c r="U48" s="2">
        <v>1</v>
      </c>
      <c r="V48" s="2">
        <v>0</v>
      </c>
      <c r="X48" s="2">
        <f t="shared" si="18"/>
        <v>0.66</v>
      </c>
      <c r="Y48" s="2">
        <f t="shared" si="6"/>
        <v>0.59904750795656447</v>
      </c>
      <c r="Z48" s="2">
        <v>0.2</v>
      </c>
      <c r="AA48" s="2">
        <f t="shared" si="19"/>
        <v>0.20238091485019069</v>
      </c>
      <c r="AB48" s="2">
        <f t="shared" si="20"/>
        <v>0.80142842280675519</v>
      </c>
      <c r="AE48" s="2">
        <v>66</v>
      </c>
      <c r="AM48">
        <v>1969</v>
      </c>
      <c r="AN48" s="1">
        <f t="shared" si="21"/>
        <v>1.2142854891011441</v>
      </c>
      <c r="AO48" s="1">
        <f t="shared" si="22"/>
        <v>0.59904750795656447</v>
      </c>
      <c r="AP48" s="1">
        <f t="shared" si="23"/>
        <v>0.20238091485019069</v>
      </c>
      <c r="AQ48" s="1">
        <f t="shared" si="24"/>
        <v>0.80142842280675519</v>
      </c>
      <c r="AR48" s="1">
        <f t="shared" si="7"/>
        <v>0.4128570662943889</v>
      </c>
      <c r="AT48" s="7">
        <v>12.595470382550733</v>
      </c>
      <c r="AV48" s="1">
        <f t="shared" si="8"/>
        <v>9.6406521727316132</v>
      </c>
      <c r="AW48" s="1">
        <f t="shared" si="25"/>
        <v>9.7572162720864739</v>
      </c>
      <c r="AX48" s="1">
        <f t="shared" si="9"/>
        <v>6.3628304340028654</v>
      </c>
      <c r="AY48" s="1">
        <f t="shared" si="10"/>
        <v>3.2778217387287478</v>
      </c>
      <c r="AZ48" s="1">
        <f t="shared" si="11"/>
        <v>3.3943858380836094</v>
      </c>
      <c r="BA48" s="3">
        <f t="shared" si="12"/>
        <v>187.14218114993889</v>
      </c>
      <c r="BB48">
        <v>0</v>
      </c>
      <c r="BC48" s="23">
        <v>1</v>
      </c>
      <c r="BD48">
        <v>0</v>
      </c>
      <c r="BF48" s="1">
        <f t="shared" si="13"/>
        <v>11.31850771171087</v>
      </c>
      <c r="BG48" s="1">
        <f t="shared" si="14"/>
        <v>11.455358583811444</v>
      </c>
      <c r="BQ48" s="2">
        <f t="shared" si="26"/>
        <v>23.571437999999993</v>
      </c>
      <c r="BR48">
        <v>0</v>
      </c>
      <c r="BS48">
        <f t="shared" si="27"/>
        <v>0</v>
      </c>
      <c r="BT48" s="2">
        <f t="shared" si="28"/>
        <v>23.571437999999993</v>
      </c>
      <c r="BU48">
        <f t="shared" si="15"/>
        <v>187.14218114993889</v>
      </c>
    </row>
    <row r="49" spans="1:73">
      <c r="A49">
        <v>1970</v>
      </c>
      <c r="B49" s="3">
        <f t="shared" si="0"/>
        <v>112.32643446627901</v>
      </c>
      <c r="C49" s="3">
        <f t="shared" si="1"/>
        <v>17.805240938511318</v>
      </c>
      <c r="D49" s="2">
        <v>78.488100000000003</v>
      </c>
      <c r="E49" s="2">
        <v>25.481560000000002</v>
      </c>
      <c r="F49" s="2">
        <f t="shared" si="16"/>
        <v>19.999992294360002</v>
      </c>
      <c r="G49" s="2">
        <v>7.1428599999999989</v>
      </c>
      <c r="H49" s="2">
        <f t="shared" si="17"/>
        <v>1.4285714495969224</v>
      </c>
      <c r="I49" s="32">
        <f t="shared" si="2"/>
        <v>1.4285714495969224</v>
      </c>
      <c r="J49" s="32">
        <f t="shared" si="3"/>
        <v>1.511186018945593</v>
      </c>
      <c r="P49" s="32">
        <f t="shared" si="4"/>
        <v>0.44285714937504606</v>
      </c>
      <c r="Q49" s="32">
        <f t="shared" si="5"/>
        <v>0.52547171872371679</v>
      </c>
      <c r="S49" s="2">
        <f>USA!Z57*G49</f>
        <v>23.928580999999998</v>
      </c>
      <c r="T49" s="2">
        <v>1</v>
      </c>
      <c r="U49" s="2">
        <v>1</v>
      </c>
      <c r="V49" s="2">
        <v>0</v>
      </c>
      <c r="X49" s="2">
        <f t="shared" si="18"/>
        <v>0.69</v>
      </c>
      <c r="Y49" s="2">
        <f t="shared" si="6"/>
        <v>0.7476190586223892</v>
      </c>
      <c r="Z49" s="2">
        <v>0.2</v>
      </c>
      <c r="AA49" s="2">
        <f t="shared" si="19"/>
        <v>0.23809524159948708</v>
      </c>
      <c r="AB49" s="2">
        <f t="shared" si="20"/>
        <v>0.98571430022187634</v>
      </c>
      <c r="AE49" s="2">
        <v>69</v>
      </c>
      <c r="AM49">
        <v>1970</v>
      </c>
      <c r="AN49" s="1">
        <f t="shared" si="21"/>
        <v>1.4285714495969224</v>
      </c>
      <c r="AO49" s="1">
        <f t="shared" si="22"/>
        <v>0.7476190586223892</v>
      </c>
      <c r="AP49" s="1">
        <f t="shared" si="23"/>
        <v>0.23809524159948708</v>
      </c>
      <c r="AQ49" s="1">
        <f t="shared" si="24"/>
        <v>0.98571430022187634</v>
      </c>
      <c r="AR49" s="1">
        <f t="shared" si="7"/>
        <v>0.44285714937504606</v>
      </c>
      <c r="AT49" s="7">
        <v>13.935275758083419</v>
      </c>
      <c r="AV49" s="1">
        <f t="shared" si="8"/>
        <v>10.25147599801355</v>
      </c>
      <c r="AW49" s="1">
        <f t="shared" si="25"/>
        <v>10.361884519619501</v>
      </c>
      <c r="AX49" s="1">
        <f t="shared" si="9"/>
        <v>7.0735184386293488</v>
      </c>
      <c r="AY49" s="1">
        <f t="shared" si="10"/>
        <v>3.1779575593842013</v>
      </c>
      <c r="AZ49" s="1">
        <f t="shared" si="11"/>
        <v>3.2883660809901523</v>
      </c>
      <c r="BA49" s="3">
        <f t="shared" si="12"/>
        <v>171.71228912438116</v>
      </c>
      <c r="BB49">
        <v>0</v>
      </c>
      <c r="BC49" s="23">
        <v>1</v>
      </c>
      <c r="BD49">
        <v>0</v>
      </c>
      <c r="BF49" s="1">
        <f t="shared" si="13"/>
        <v>12.035639089659069</v>
      </c>
      <c r="BG49" s="1">
        <f t="shared" si="14"/>
        <v>12.165263069535678</v>
      </c>
      <c r="BQ49" s="2">
        <f t="shared" si="26"/>
        <v>23.928580999999998</v>
      </c>
      <c r="BR49">
        <v>0</v>
      </c>
      <c r="BS49">
        <f t="shared" si="27"/>
        <v>0</v>
      </c>
      <c r="BT49" s="2">
        <f t="shared" si="28"/>
        <v>23.928580999999998</v>
      </c>
      <c r="BU49">
        <f t="shared" si="15"/>
        <v>171.71228912438116</v>
      </c>
    </row>
    <row r="50" spans="1:73">
      <c r="A50">
        <v>1971</v>
      </c>
      <c r="B50" s="3">
        <f t="shared" si="0"/>
        <v>118.51519981040096</v>
      </c>
      <c r="C50" s="3">
        <f t="shared" si="1"/>
        <v>18.563021376325832</v>
      </c>
      <c r="D50" s="2">
        <v>82.8125</v>
      </c>
      <c r="E50" s="2">
        <v>26.566040000000001</v>
      </c>
      <c r="F50" s="2">
        <f t="shared" si="16"/>
        <v>22.000001875000002</v>
      </c>
      <c r="G50" s="2">
        <v>7.04176</v>
      </c>
      <c r="H50" s="2">
        <f t="shared" si="17"/>
        <v>1.5491873320330001</v>
      </c>
      <c r="I50" s="32">
        <f t="shared" si="2"/>
        <v>1.5491873320330001</v>
      </c>
      <c r="J50" s="32">
        <f t="shared" si="3"/>
        <v>1.6027037448157422</v>
      </c>
      <c r="P50" s="32">
        <f t="shared" si="4"/>
        <v>0.48024807293023009</v>
      </c>
      <c r="Q50" s="32">
        <f t="shared" si="5"/>
        <v>0.53376448571297219</v>
      </c>
      <c r="S50" s="2">
        <f>USA!Z58*G50</f>
        <v>25.068665599999999</v>
      </c>
      <c r="T50" s="2">
        <v>1</v>
      </c>
      <c r="U50" s="2">
        <v>1</v>
      </c>
      <c r="V50" s="2">
        <v>0</v>
      </c>
      <c r="X50" s="2">
        <f t="shared" si="18"/>
        <v>0.69</v>
      </c>
      <c r="Y50" s="2">
        <f t="shared" si="6"/>
        <v>0.81074137043060324</v>
      </c>
      <c r="Z50" s="2">
        <v>0.2</v>
      </c>
      <c r="AA50" s="2">
        <f t="shared" si="19"/>
        <v>0.2581978886721667</v>
      </c>
      <c r="AB50" s="2">
        <f t="shared" si="20"/>
        <v>1.06893925910277</v>
      </c>
      <c r="AE50" s="2">
        <v>69</v>
      </c>
      <c r="AM50">
        <v>1971</v>
      </c>
      <c r="AN50" s="1">
        <f t="shared" si="21"/>
        <v>1.5491873320330001</v>
      </c>
      <c r="AO50" s="1">
        <f t="shared" si="22"/>
        <v>0.81074137043060324</v>
      </c>
      <c r="AP50" s="1">
        <f t="shared" si="23"/>
        <v>0.2581978886721667</v>
      </c>
      <c r="AQ50" s="1">
        <f t="shared" si="24"/>
        <v>1.06893925910277</v>
      </c>
      <c r="AR50" s="1">
        <f t="shared" si="7"/>
        <v>0.48024807293023009</v>
      </c>
      <c r="AT50" s="7">
        <v>14.802589762819075</v>
      </c>
      <c r="AV50" s="1">
        <f t="shared" si="8"/>
        <v>10.465650652051615</v>
      </c>
      <c r="AW50" s="1">
        <f t="shared" si="25"/>
        <v>10.493455867029732</v>
      </c>
      <c r="AX50" s="1">
        <f t="shared" si="9"/>
        <v>7.2212989499156137</v>
      </c>
      <c r="AY50" s="1">
        <f t="shared" si="10"/>
        <v>3.2443517021360009</v>
      </c>
      <c r="AZ50" s="1">
        <f t="shared" si="11"/>
        <v>3.2721569171141187</v>
      </c>
      <c r="BA50" s="3">
        <f t="shared" si="12"/>
        <v>169.35324157241121</v>
      </c>
      <c r="BB50">
        <v>0</v>
      </c>
      <c r="BC50" s="23">
        <v>1</v>
      </c>
      <c r="BD50">
        <v>0</v>
      </c>
      <c r="BF50" s="1">
        <f t="shared" si="13"/>
        <v>12.287088621283026</v>
      </c>
      <c r="BG50" s="1">
        <f t="shared" si="14"/>
        <v>12.319733045593424</v>
      </c>
      <c r="BQ50" s="2">
        <f t="shared" si="26"/>
        <v>25.068665599999999</v>
      </c>
      <c r="BR50">
        <v>0</v>
      </c>
      <c r="BS50">
        <f t="shared" si="27"/>
        <v>0</v>
      </c>
      <c r="BT50" s="2">
        <f t="shared" si="28"/>
        <v>25.068665599999999</v>
      </c>
      <c r="BU50">
        <f t="shared" si="15"/>
        <v>169.35324157241121</v>
      </c>
    </row>
    <row r="51" spans="1:73">
      <c r="A51">
        <v>1972</v>
      </c>
      <c r="B51" s="3">
        <f t="shared" si="0"/>
        <v>112.63698901249919</v>
      </c>
      <c r="C51" s="3">
        <f t="shared" si="1"/>
        <v>19.17664269444656</v>
      </c>
      <c r="D51" s="2">
        <v>78.705100000000002</v>
      </c>
      <c r="E51" s="2">
        <v>27.444210000000002</v>
      </c>
      <c r="F51" s="2">
        <f t="shared" si="16"/>
        <v>21.599992924710001</v>
      </c>
      <c r="G51" s="2">
        <v>6.5882500000000004</v>
      </c>
      <c r="H51" s="2">
        <f t="shared" si="17"/>
        <v>1.4230615338622068</v>
      </c>
      <c r="I51" s="32">
        <f t="shared" si="2"/>
        <v>1.4230615338622068</v>
      </c>
      <c r="J51" s="32">
        <f t="shared" si="3"/>
        <v>1.4897027828515572</v>
      </c>
      <c r="P51" s="32">
        <f t="shared" si="4"/>
        <v>0.45537969083590613</v>
      </c>
      <c r="Q51" s="32">
        <f t="shared" si="5"/>
        <v>0.52202093982525644</v>
      </c>
      <c r="S51" s="2">
        <f>USA!Z59*G51</f>
        <v>23.454170000000001</v>
      </c>
      <c r="T51" s="2">
        <v>1</v>
      </c>
      <c r="U51" s="2">
        <v>1</v>
      </c>
      <c r="V51" s="2">
        <v>0</v>
      </c>
      <c r="X51" s="2">
        <f t="shared" si="18"/>
        <v>0.68</v>
      </c>
      <c r="Y51" s="2">
        <f t="shared" si="6"/>
        <v>0.73050492071593287</v>
      </c>
      <c r="Z51" s="2">
        <v>0.2</v>
      </c>
      <c r="AA51" s="2">
        <f t="shared" si="19"/>
        <v>0.23717692231036783</v>
      </c>
      <c r="AB51" s="2">
        <f t="shared" si="20"/>
        <v>0.96768184302630067</v>
      </c>
      <c r="AE51" s="2">
        <v>68</v>
      </c>
      <c r="AM51">
        <v>1972</v>
      </c>
      <c r="AN51" s="1">
        <f t="shared" si="21"/>
        <v>1.4230615338622068</v>
      </c>
      <c r="AO51" s="1">
        <f t="shared" si="22"/>
        <v>0.73050492071593287</v>
      </c>
      <c r="AP51" s="1">
        <f t="shared" si="23"/>
        <v>0.23717692231036783</v>
      </c>
      <c r="AQ51" s="1">
        <f t="shared" si="24"/>
        <v>0.96768184302630067</v>
      </c>
      <c r="AR51" s="1">
        <f t="shared" si="7"/>
        <v>0.45537969083590613</v>
      </c>
      <c r="AT51" s="7">
        <v>15.877023454603796</v>
      </c>
      <c r="AV51" s="1">
        <f t="shared" si="8"/>
        <v>8.9630247000080328</v>
      </c>
      <c r="AW51" s="1">
        <f t="shared" si="25"/>
        <v>9.2183976573251911</v>
      </c>
      <c r="AX51" s="1">
        <f t="shared" si="9"/>
        <v>6.0948567960054625</v>
      </c>
      <c r="AY51" s="1">
        <f t="shared" si="10"/>
        <v>2.8681679040025703</v>
      </c>
      <c r="AZ51" s="1">
        <f t="shared" si="11"/>
        <v>3.1235408613197295</v>
      </c>
      <c r="BA51" s="3">
        <f t="shared" si="12"/>
        <v>147.72397399966738</v>
      </c>
      <c r="BB51">
        <v>0</v>
      </c>
      <c r="BC51" s="23">
        <v>1</v>
      </c>
      <c r="BD51">
        <v>0</v>
      </c>
      <c r="BF51" s="1">
        <f t="shared" si="13"/>
        <v>10.522946204224615</v>
      </c>
      <c r="BG51" s="1">
        <f t="shared" si="14"/>
        <v>10.822764176595015</v>
      </c>
      <c r="BQ51" s="2">
        <f t="shared" si="26"/>
        <v>23.454170000000001</v>
      </c>
      <c r="BR51">
        <v>0</v>
      </c>
      <c r="BS51">
        <f t="shared" si="27"/>
        <v>0</v>
      </c>
      <c r="BT51" s="2">
        <f t="shared" si="28"/>
        <v>23.454170000000001</v>
      </c>
      <c r="BU51">
        <f t="shared" si="15"/>
        <v>147.72397399966735</v>
      </c>
    </row>
    <row r="52" spans="1:73">
      <c r="A52">
        <v>1973</v>
      </c>
      <c r="B52" s="3">
        <f t="shared" si="0"/>
        <v>141.38818614663927</v>
      </c>
      <c r="C52" s="3">
        <f t="shared" si="1"/>
        <v>20.369443941469338</v>
      </c>
      <c r="D52" s="2">
        <v>98.795000000000002</v>
      </c>
      <c r="E52" s="2">
        <v>29.151260000000001</v>
      </c>
      <c r="F52" s="2">
        <f t="shared" si="16"/>
        <v>28.799987316999999</v>
      </c>
      <c r="G52" s="2">
        <v>5.7658300000000002</v>
      </c>
      <c r="H52" s="2">
        <f t="shared" si="17"/>
        <v>1.6605583087197813</v>
      </c>
      <c r="I52" s="32">
        <f t="shared" si="2"/>
        <v>1.6605583087197813</v>
      </c>
      <c r="J52" s="32">
        <f t="shared" si="3"/>
        <v>1.5930887218787533</v>
      </c>
      <c r="P52" s="32">
        <f t="shared" si="4"/>
        <v>0.58119540805192349</v>
      </c>
      <c r="Q52" s="32">
        <f t="shared" si="5"/>
        <v>0.51372582121089549</v>
      </c>
      <c r="S52" s="2">
        <f>USA!Z60*G52</f>
        <v>22.313762100000002</v>
      </c>
      <c r="T52" s="2">
        <v>1</v>
      </c>
      <c r="U52" s="2">
        <v>1</v>
      </c>
      <c r="V52" s="2">
        <v>0</v>
      </c>
      <c r="X52" s="2">
        <f t="shared" si="18"/>
        <v>0.65</v>
      </c>
      <c r="Y52" s="2">
        <f t="shared" si="6"/>
        <v>0.8026031825478942</v>
      </c>
      <c r="Z52" s="2">
        <v>0.2</v>
      </c>
      <c r="AA52" s="2">
        <f t="shared" si="19"/>
        <v>0.27675971811996358</v>
      </c>
      <c r="AB52" s="2">
        <f t="shared" si="20"/>
        <v>1.0793629006678578</v>
      </c>
      <c r="AE52" s="2">
        <v>65</v>
      </c>
      <c r="AM52">
        <v>1973</v>
      </c>
      <c r="AN52" s="1">
        <f t="shared" si="21"/>
        <v>1.6605583087197813</v>
      </c>
      <c r="AO52" s="1">
        <f t="shared" si="22"/>
        <v>0.8026031825478942</v>
      </c>
      <c r="AP52" s="1">
        <f t="shared" si="23"/>
        <v>0.27675971811996358</v>
      </c>
      <c r="AQ52" s="1">
        <f t="shared" si="24"/>
        <v>1.0793629006678578</v>
      </c>
      <c r="AR52" s="1">
        <f t="shared" si="7"/>
        <v>0.58119540805192349</v>
      </c>
      <c r="AT52" s="3">
        <v>17.055017145805074</v>
      </c>
      <c r="AV52" s="1">
        <f t="shared" si="8"/>
        <v>9.7364798553029868</v>
      </c>
      <c r="AW52" s="1">
        <f t="shared" si="25"/>
        <v>9.3362007342136017</v>
      </c>
      <c r="AX52" s="1">
        <f t="shared" si="9"/>
        <v>6.3287119059469408</v>
      </c>
      <c r="AY52" s="1">
        <f>AV52-AX52</f>
        <v>3.407767949356046</v>
      </c>
      <c r="AZ52" s="1">
        <f t="shared" si="11"/>
        <v>3.007488828266661</v>
      </c>
      <c r="BA52" s="3">
        <f t="shared" si="12"/>
        <v>130.83400567256768</v>
      </c>
      <c r="BB52">
        <v>0</v>
      </c>
      <c r="BC52" s="23">
        <v>1</v>
      </c>
      <c r="BD52">
        <v>0</v>
      </c>
      <c r="BF52" s="1">
        <f t="shared" si="13"/>
        <v>11.431013208719394</v>
      </c>
      <c r="BG52" s="1">
        <f t="shared" si="14"/>
        <v>10.961069657420897</v>
      </c>
      <c r="BQ52" s="2">
        <f t="shared" si="26"/>
        <v>22.313762100000002</v>
      </c>
      <c r="BR52">
        <v>0</v>
      </c>
      <c r="BS52">
        <f t="shared" si="27"/>
        <v>0</v>
      </c>
      <c r="BT52" s="2">
        <f t="shared" si="28"/>
        <v>22.313762100000002</v>
      </c>
      <c r="BU52">
        <f t="shared" si="15"/>
        <v>130.83400567256768</v>
      </c>
    </row>
    <row r="53" spans="1:73">
      <c r="A53">
        <v>1974</v>
      </c>
      <c r="B53" s="3">
        <f t="shared" si="0"/>
        <v>167.21716517973348</v>
      </c>
      <c r="C53" s="3">
        <f t="shared" si="1"/>
        <v>22.617266903639468</v>
      </c>
      <c r="D53" s="2">
        <v>116.843</v>
      </c>
      <c r="E53" s="2">
        <v>32.368180000000002</v>
      </c>
      <c r="F53" s="2">
        <f t="shared" si="16"/>
        <v>37.819952557400001</v>
      </c>
      <c r="G53" s="2">
        <v>5.5397100000000004</v>
      </c>
      <c r="H53" s="2">
        <f t="shared" si="17"/>
        <v>2.0951156938175437</v>
      </c>
      <c r="I53" s="32">
        <f t="shared" si="2"/>
        <v>2.0951156938175437</v>
      </c>
      <c r="J53" s="32">
        <f t="shared" si="3"/>
        <v>2.1242607777131322</v>
      </c>
      <c r="P53" s="32">
        <f t="shared" si="4"/>
        <v>0.81709512058884215</v>
      </c>
      <c r="Q53" s="32">
        <f t="shared" si="5"/>
        <v>0.8462402044844306</v>
      </c>
      <c r="S53" s="2">
        <f>USA!Z61*G53</f>
        <v>68.027638800000005</v>
      </c>
      <c r="T53" s="2">
        <v>1</v>
      </c>
      <c r="U53" s="2">
        <v>1</v>
      </c>
      <c r="V53" s="2">
        <v>0</v>
      </c>
      <c r="X53" s="2">
        <f t="shared" si="18"/>
        <v>0.61</v>
      </c>
      <c r="Y53" s="2">
        <f t="shared" si="6"/>
        <v>0.9288346242591109</v>
      </c>
      <c r="Z53" s="2">
        <v>0.2</v>
      </c>
      <c r="AA53" s="2">
        <f t="shared" si="19"/>
        <v>0.34918594896959065</v>
      </c>
      <c r="AB53" s="2">
        <f t="shared" si="20"/>
        <v>1.2780205732287016</v>
      </c>
      <c r="AE53" s="2">
        <v>61</v>
      </c>
      <c r="AM53">
        <v>1974</v>
      </c>
      <c r="AN53" s="1">
        <f t="shared" si="21"/>
        <v>2.0951156938175437</v>
      </c>
      <c r="AO53" s="1">
        <f t="shared" si="22"/>
        <v>0.9288346242591109</v>
      </c>
      <c r="AP53" s="1">
        <f t="shared" si="23"/>
        <v>0.34918594896959065</v>
      </c>
      <c r="AQ53" s="1">
        <f t="shared" si="24"/>
        <v>1.2780205732287016</v>
      </c>
      <c r="AR53" s="1">
        <f t="shared" si="7"/>
        <v>0.81709512058884215</v>
      </c>
      <c r="AT53" s="3">
        <v>18.660195280277957</v>
      </c>
      <c r="AV53" s="1">
        <f t="shared" si="8"/>
        <v>11.227726518124282</v>
      </c>
      <c r="AW53" s="1">
        <f t="shared" si="25"/>
        <v>11.462349126459777</v>
      </c>
      <c r="AX53" s="1">
        <f t="shared" si="9"/>
        <v>6.8489131760558113</v>
      </c>
      <c r="AY53" s="1">
        <f t="shared" ref="AY53:AY89" si="29">AV53-AX53</f>
        <v>4.3788133420684705</v>
      </c>
      <c r="AZ53" s="1">
        <f t="shared" si="11"/>
        <v>4.6134359504039653</v>
      </c>
      <c r="BA53" s="3">
        <f t="shared" si="12"/>
        <v>364.56016551926831</v>
      </c>
      <c r="BB53">
        <v>0</v>
      </c>
      <c r="BC53" s="23">
        <v>1</v>
      </c>
      <c r="BD53">
        <v>0</v>
      </c>
      <c r="BF53" s="1">
        <f t="shared" si="13"/>
        <v>13.18179588926739</v>
      </c>
      <c r="BG53" s="1">
        <f t="shared" si="14"/>
        <v>13.457252129592943</v>
      </c>
      <c r="BQ53" s="2">
        <f t="shared" si="26"/>
        <v>68.027638800000005</v>
      </c>
      <c r="BR53">
        <v>0</v>
      </c>
      <c r="BS53">
        <f t="shared" si="27"/>
        <v>0</v>
      </c>
      <c r="BT53" s="2">
        <f t="shared" si="28"/>
        <v>68.027638800000005</v>
      </c>
      <c r="BU53">
        <f t="shared" si="15"/>
        <v>364.56016551926825</v>
      </c>
    </row>
    <row r="54" spans="1:73">
      <c r="A54">
        <v>1975</v>
      </c>
      <c r="B54" s="3">
        <f t="shared" si="0"/>
        <v>151.68514448790216</v>
      </c>
      <c r="C54" s="3">
        <f t="shared" si="1"/>
        <v>24.682660206706046</v>
      </c>
      <c r="D54" s="2">
        <v>105.99</v>
      </c>
      <c r="E54" s="2">
        <v>35.324019999999997</v>
      </c>
      <c r="F54" s="2">
        <f t="shared" si="16"/>
        <v>37.439928797999997</v>
      </c>
      <c r="G54" s="2">
        <v>5.226939999999999</v>
      </c>
      <c r="H54" s="2">
        <f t="shared" si="17"/>
        <v>1.9569626143141807</v>
      </c>
      <c r="I54" s="32">
        <f t="shared" si="2"/>
        <v>1.9569626143141807</v>
      </c>
      <c r="J54" s="32">
        <f t="shared" si="3"/>
        <v>1.9877384807000822</v>
      </c>
      <c r="P54" s="32">
        <f t="shared" si="4"/>
        <v>0.80235467186881415</v>
      </c>
      <c r="Q54" s="32">
        <f t="shared" si="5"/>
        <v>0.83313053825471561</v>
      </c>
      <c r="S54" s="2">
        <f>USA!Z62*G54</f>
        <v>66.225329799999983</v>
      </c>
      <c r="T54" s="2">
        <v>1</v>
      </c>
      <c r="U54" s="2">
        <v>1</v>
      </c>
      <c r="V54" s="2">
        <v>0</v>
      </c>
      <c r="X54" s="2">
        <f t="shared" si="18"/>
        <v>0.59</v>
      </c>
      <c r="Y54" s="2">
        <f t="shared" si="6"/>
        <v>0.82844750672633638</v>
      </c>
      <c r="Z54" s="2">
        <v>0.2</v>
      </c>
      <c r="AA54" s="2">
        <f t="shared" si="19"/>
        <v>0.3261604357190302</v>
      </c>
      <c r="AB54" s="2">
        <f t="shared" si="20"/>
        <v>1.1546079424453666</v>
      </c>
      <c r="AE54" s="2">
        <v>59</v>
      </c>
      <c r="AM54">
        <v>1975</v>
      </c>
      <c r="AN54" s="1">
        <f t="shared" si="21"/>
        <v>1.9569626143141807</v>
      </c>
      <c r="AO54" s="1">
        <f t="shared" si="22"/>
        <v>0.82844750672633638</v>
      </c>
      <c r="AP54" s="1">
        <f t="shared" si="23"/>
        <v>0.3261604357190302</v>
      </c>
      <c r="AQ54" s="1">
        <f t="shared" si="24"/>
        <v>1.1546079424453666</v>
      </c>
      <c r="AR54" s="1">
        <f t="shared" si="7"/>
        <v>0.80235467186881415</v>
      </c>
      <c r="AT54" s="3">
        <v>20.841424692999738</v>
      </c>
      <c r="AV54" s="1">
        <f t="shared" si="8"/>
        <v>9.3897736989712097</v>
      </c>
      <c r="AW54" s="1">
        <f t="shared" si="25"/>
        <v>9.831822985538949</v>
      </c>
      <c r="AX54" s="1">
        <f t="shared" si="9"/>
        <v>5.5399664823930141</v>
      </c>
      <c r="AY54" s="1">
        <f t="shared" si="29"/>
        <v>3.8498072165781956</v>
      </c>
      <c r="AZ54" s="1">
        <f t="shared" si="11"/>
        <v>4.2918565031459357</v>
      </c>
      <c r="BA54" s="3">
        <f t="shared" si="12"/>
        <v>317.75817044908592</v>
      </c>
      <c r="BB54">
        <v>0</v>
      </c>
      <c r="BC54" s="23">
        <v>1</v>
      </c>
      <c r="BD54">
        <v>0</v>
      </c>
      <c r="BF54" s="1">
        <f t="shared" si="13"/>
        <v>11.023966441153361</v>
      </c>
      <c r="BG54" s="1">
        <f t="shared" si="14"/>
        <v>11.542949822083239</v>
      </c>
      <c r="BQ54" s="2">
        <f t="shared" si="26"/>
        <v>66.225329799999983</v>
      </c>
      <c r="BR54">
        <v>0</v>
      </c>
      <c r="BS54">
        <f t="shared" si="27"/>
        <v>0</v>
      </c>
      <c r="BT54" s="2">
        <f t="shared" si="28"/>
        <v>66.225329799999983</v>
      </c>
      <c r="BU54">
        <f t="shared" si="15"/>
        <v>317.75817044908587</v>
      </c>
    </row>
    <row r="55" spans="1:73">
      <c r="A55">
        <v>1976</v>
      </c>
      <c r="B55" s="3">
        <f t="shared" si="0"/>
        <v>164.45222792951532</v>
      </c>
      <c r="C55" s="3">
        <f t="shared" si="1"/>
        <v>26.098712089869402</v>
      </c>
      <c r="D55" s="2">
        <v>114.911</v>
      </c>
      <c r="E55" s="2">
        <v>37.350569999999998</v>
      </c>
      <c r="F55" s="2">
        <f t="shared" si="16"/>
        <v>42.919913492699997</v>
      </c>
      <c r="G55" s="2">
        <v>5.4565200000000003</v>
      </c>
      <c r="H55" s="2">
        <f t="shared" si="17"/>
        <v>2.3419336637118739</v>
      </c>
      <c r="I55" s="32">
        <f t="shared" si="2"/>
        <v>2.3419336637118739</v>
      </c>
      <c r="J55" s="32">
        <f t="shared" si="3"/>
        <v>2.5503042966651908</v>
      </c>
      <c r="P55" s="32">
        <f t="shared" si="4"/>
        <v>0.96019280212186842</v>
      </c>
      <c r="Q55" s="32">
        <f t="shared" si="5"/>
        <v>1.168563435075185</v>
      </c>
      <c r="S55" s="2">
        <f>USA!Z63*G55</f>
        <v>72.680846400000007</v>
      </c>
      <c r="T55" s="2">
        <v>1</v>
      </c>
      <c r="U55" s="2">
        <v>0</v>
      </c>
      <c r="V55" s="2">
        <v>0</v>
      </c>
      <c r="X55" s="2">
        <f t="shared" si="18"/>
        <v>0.59</v>
      </c>
      <c r="Y55" s="2">
        <f t="shared" si="6"/>
        <v>0.99141858430469321</v>
      </c>
      <c r="Z55" s="2">
        <v>0.2</v>
      </c>
      <c r="AA55" s="2">
        <f t="shared" si="19"/>
        <v>0.39032227728531232</v>
      </c>
      <c r="AB55" s="2">
        <f t="shared" si="20"/>
        <v>1.3817408615900055</v>
      </c>
      <c r="AE55" s="2">
        <v>59</v>
      </c>
      <c r="AM55">
        <v>1976</v>
      </c>
      <c r="AN55" s="1">
        <f t="shared" si="21"/>
        <v>2.3419336637118739</v>
      </c>
      <c r="AO55" s="1">
        <f t="shared" si="22"/>
        <v>0.99141858430469321</v>
      </c>
      <c r="AP55" s="1">
        <f t="shared" si="23"/>
        <v>0.39032227728531232</v>
      </c>
      <c r="AQ55" s="1">
        <f t="shared" si="24"/>
        <v>1.3817408615900055</v>
      </c>
      <c r="AR55" s="1">
        <f t="shared" si="7"/>
        <v>0.96019280212186842</v>
      </c>
      <c r="AT55" s="3">
        <v>22.75080973210644</v>
      </c>
      <c r="AV55" s="1">
        <f t="shared" si="8"/>
        <v>10.293847521422</v>
      </c>
      <c r="AW55" s="1">
        <f t="shared" si="25"/>
        <v>10.37695343087549</v>
      </c>
      <c r="AX55" s="1">
        <f t="shared" si="9"/>
        <v>6.0733700376389796</v>
      </c>
      <c r="AY55" s="1">
        <f t="shared" si="29"/>
        <v>4.2204774837830206</v>
      </c>
      <c r="AZ55" s="1">
        <f t="shared" si="11"/>
        <v>4.3035833932365106</v>
      </c>
      <c r="BA55" s="3">
        <f t="shared" si="12"/>
        <v>319.46487732008592</v>
      </c>
      <c r="BB55">
        <v>0</v>
      </c>
      <c r="BC55" s="23">
        <v>1</v>
      </c>
      <c r="BD55">
        <v>0</v>
      </c>
      <c r="BF55" s="1">
        <f t="shared" si="13"/>
        <v>12.08538493733232</v>
      </c>
      <c r="BG55" s="1">
        <f t="shared" si="14"/>
        <v>12.182954568534099</v>
      </c>
      <c r="BQ55" s="2">
        <f t="shared" si="26"/>
        <v>72.680846400000007</v>
      </c>
      <c r="BR55">
        <v>0</v>
      </c>
      <c r="BS55">
        <f t="shared" si="27"/>
        <v>0</v>
      </c>
      <c r="BT55" s="2">
        <f t="shared" si="28"/>
        <v>72.680846400000007</v>
      </c>
      <c r="BU55">
        <f t="shared" si="15"/>
        <v>319.46487732008592</v>
      </c>
    </row>
    <row r="56" spans="1:73">
      <c r="A56">
        <v>1977</v>
      </c>
      <c r="B56" s="3">
        <f t="shared" si="0"/>
        <v>187.21430192781781</v>
      </c>
      <c r="C56" s="3">
        <f t="shared" si="1"/>
        <v>27.791594761847083</v>
      </c>
      <c r="D56" s="2">
        <v>130.816</v>
      </c>
      <c r="E56" s="2">
        <v>39.773299999999999</v>
      </c>
      <c r="F56" s="2">
        <f t="shared" si="16"/>
        <v>52.029840127999996</v>
      </c>
      <c r="G56" s="2">
        <v>5.3234999999999992</v>
      </c>
      <c r="H56" s="2">
        <f t="shared" si="17"/>
        <v>2.769808539214079</v>
      </c>
      <c r="I56" s="32">
        <f t="shared" si="2"/>
        <v>2.769808539214079</v>
      </c>
      <c r="J56" s="32">
        <f t="shared" si="3"/>
        <v>2.8301335844204161</v>
      </c>
      <c r="P56" s="32">
        <f t="shared" si="4"/>
        <v>1.1356215010777724</v>
      </c>
      <c r="Q56" s="32">
        <f t="shared" si="5"/>
        <v>1.1959465462841092</v>
      </c>
      <c r="S56" s="2">
        <f>USA!Z64*G56</f>
        <v>76.445459999999983</v>
      </c>
      <c r="T56" s="2">
        <v>1</v>
      </c>
      <c r="U56" s="2">
        <v>0</v>
      </c>
      <c r="V56" s="2">
        <v>0</v>
      </c>
      <c r="X56" s="2">
        <f t="shared" si="18"/>
        <v>0.59</v>
      </c>
      <c r="Y56" s="2">
        <f t="shared" si="6"/>
        <v>1.1725522816006266</v>
      </c>
      <c r="Z56" s="2">
        <v>0.2</v>
      </c>
      <c r="AA56" s="2">
        <f t="shared" si="19"/>
        <v>0.46163475653567992</v>
      </c>
      <c r="AB56" s="2">
        <f t="shared" si="20"/>
        <v>1.6341870381363066</v>
      </c>
      <c r="AE56" s="2">
        <v>59</v>
      </c>
      <c r="AM56">
        <v>1977</v>
      </c>
      <c r="AN56" s="1">
        <f t="shared" si="21"/>
        <v>2.769808539214079</v>
      </c>
      <c r="AO56" s="1">
        <f t="shared" si="22"/>
        <v>1.1725522816006266</v>
      </c>
      <c r="AP56" s="1">
        <f t="shared" si="23"/>
        <v>0.46163475653567992</v>
      </c>
      <c r="AQ56" s="1">
        <f t="shared" si="24"/>
        <v>1.6341870381363066</v>
      </c>
      <c r="AR56" s="1">
        <f t="shared" si="7"/>
        <v>1.1356215010777724</v>
      </c>
      <c r="AT56" s="3">
        <v>24.822007276329934</v>
      </c>
      <c r="AV56" s="1">
        <f t="shared" si="8"/>
        <v>11.158680715782991</v>
      </c>
      <c r="AW56" s="1">
        <f t="shared" si="25"/>
        <v>10.808254110721558</v>
      </c>
      <c r="AX56" s="1">
        <f t="shared" si="9"/>
        <v>6.5836216223119637</v>
      </c>
      <c r="AY56" s="1">
        <f t="shared" si="29"/>
        <v>4.5750590934710269</v>
      </c>
      <c r="AZ56" s="1">
        <f t="shared" si="11"/>
        <v>4.2246324884095943</v>
      </c>
      <c r="BA56" s="3">
        <f t="shared" si="12"/>
        <v>307.97452900957671</v>
      </c>
      <c r="BB56">
        <v>0</v>
      </c>
      <c r="BC56" s="23">
        <v>1</v>
      </c>
      <c r="BD56">
        <v>0</v>
      </c>
      <c r="BF56" s="1">
        <f t="shared" si="13"/>
        <v>13.100733381020115</v>
      </c>
      <c r="BG56" s="1">
        <f t="shared" si="14"/>
        <v>12.689318659203359</v>
      </c>
      <c r="BQ56" s="2">
        <f t="shared" si="26"/>
        <v>76.445459999999983</v>
      </c>
      <c r="BR56">
        <v>0</v>
      </c>
      <c r="BS56">
        <f t="shared" si="27"/>
        <v>0</v>
      </c>
      <c r="BT56" s="2">
        <f t="shared" si="28"/>
        <v>76.445459999999983</v>
      </c>
      <c r="BU56">
        <f t="shared" si="15"/>
        <v>307.97452900957677</v>
      </c>
    </row>
    <row r="57" spans="1:73">
      <c r="A57">
        <v>1978</v>
      </c>
      <c r="B57" s="3">
        <f t="shared" si="0"/>
        <v>166.79498273210703</v>
      </c>
      <c r="C57" s="3">
        <f t="shared" si="1"/>
        <v>29.916940817905406</v>
      </c>
      <c r="D57" s="2">
        <v>116.548</v>
      </c>
      <c r="E57" s="2">
        <v>42.81494</v>
      </c>
      <c r="F57" s="2">
        <f t="shared" si="16"/>
        <v>49.899956271199997</v>
      </c>
      <c r="G57" s="2">
        <v>5.2422499999999994</v>
      </c>
      <c r="H57" s="2">
        <f t="shared" si="17"/>
        <v>2.6158804576269814</v>
      </c>
      <c r="I57" s="32">
        <f t="shared" si="2"/>
        <v>2.6158804576269814</v>
      </c>
      <c r="J57" s="32">
        <f t="shared" si="3"/>
        <v>2.7300666666833919</v>
      </c>
      <c r="P57" s="32">
        <f t="shared" si="4"/>
        <v>1.0725109876270624</v>
      </c>
      <c r="Q57" s="32">
        <f t="shared" si="5"/>
        <v>1.1866971966834727</v>
      </c>
      <c r="S57" s="2">
        <f>USA!Z65*G57</f>
        <v>75.173864999999992</v>
      </c>
      <c r="T57" s="2">
        <v>1</v>
      </c>
      <c r="U57" s="2">
        <v>0</v>
      </c>
      <c r="V57" s="2">
        <v>0</v>
      </c>
      <c r="X57" s="2">
        <f t="shared" si="18"/>
        <v>0.59</v>
      </c>
      <c r="Y57" s="2">
        <f t="shared" si="6"/>
        <v>1.1073893937287553</v>
      </c>
      <c r="Z57" s="2">
        <v>0.2</v>
      </c>
      <c r="AA57" s="2">
        <f t="shared" si="19"/>
        <v>0.43598007627116364</v>
      </c>
      <c r="AB57" s="2">
        <f t="shared" si="20"/>
        <v>1.543369469999919</v>
      </c>
      <c r="AE57" s="2">
        <v>59</v>
      </c>
      <c r="AM57">
        <v>1978</v>
      </c>
      <c r="AN57" s="1">
        <f t="shared" si="21"/>
        <v>2.6158804576269814</v>
      </c>
      <c r="AO57" s="1">
        <f t="shared" si="22"/>
        <v>1.1073893937287553</v>
      </c>
      <c r="AP57" s="1">
        <f t="shared" si="23"/>
        <v>0.43598007627116364</v>
      </c>
      <c r="AQ57" s="1">
        <f t="shared" si="24"/>
        <v>1.543369469999919</v>
      </c>
      <c r="AR57" s="1">
        <f t="shared" si="7"/>
        <v>1.0725109876270624</v>
      </c>
      <c r="AT57" s="3">
        <v>26.847897349379895</v>
      </c>
      <c r="AV57" s="1">
        <f t="shared" si="8"/>
        <v>9.7433345471555164</v>
      </c>
      <c r="AW57" s="1">
        <f t="shared" si="25"/>
        <v>9.780978789466495</v>
      </c>
      <c r="AX57" s="1">
        <f t="shared" si="9"/>
        <v>5.7485673828217543</v>
      </c>
      <c r="AY57" s="1">
        <f t="shared" si="29"/>
        <v>3.9947671643337621</v>
      </c>
      <c r="AZ57" s="1">
        <f t="shared" si="11"/>
        <v>4.0324114066447416</v>
      </c>
      <c r="BA57" s="3">
        <f t="shared" si="12"/>
        <v>279.9990778485909</v>
      </c>
      <c r="BB57">
        <v>0</v>
      </c>
      <c r="BC57" s="23">
        <v>1</v>
      </c>
      <c r="BD57">
        <v>0</v>
      </c>
      <c r="BF57" s="1">
        <f t="shared" si="13"/>
        <v>11.439060888607036</v>
      </c>
      <c r="BG57" s="1">
        <f t="shared" si="14"/>
        <v>11.483256720928782</v>
      </c>
      <c r="BQ57" s="2">
        <f t="shared" si="26"/>
        <v>75.173864999999992</v>
      </c>
      <c r="BR57">
        <v>0</v>
      </c>
      <c r="BS57">
        <f t="shared" si="27"/>
        <v>0</v>
      </c>
      <c r="BT57" s="2">
        <f t="shared" si="28"/>
        <v>75.173864999999992</v>
      </c>
      <c r="BU57">
        <f t="shared" si="15"/>
        <v>279.99907784859096</v>
      </c>
    </row>
    <row r="58" spans="1:73">
      <c r="A58">
        <v>1979</v>
      </c>
      <c r="B58" s="3">
        <f t="shared" si="0"/>
        <v>167.93129752334573</v>
      </c>
      <c r="C58" s="3">
        <f t="shared" si="1"/>
        <v>33.287054161079702</v>
      </c>
      <c r="D58" s="2">
        <v>117.342</v>
      </c>
      <c r="E58" s="2">
        <v>47.637999999999998</v>
      </c>
      <c r="F58" s="2">
        <f t="shared" si="16"/>
        <v>55.899381959999999</v>
      </c>
      <c r="G58" s="2">
        <v>5.0640700000000001</v>
      </c>
      <c r="H58" s="2">
        <f t="shared" si="17"/>
        <v>2.8307838320217718</v>
      </c>
      <c r="I58" s="32">
        <f t="shared" si="2"/>
        <v>2.8307838320217718</v>
      </c>
      <c r="J58" s="32">
        <f t="shared" si="3"/>
        <v>3.001070160469677</v>
      </c>
      <c r="P58" s="32">
        <f t="shared" si="4"/>
        <v>1.2589865266848097</v>
      </c>
      <c r="Q58" s="32">
        <f t="shared" si="5"/>
        <v>1.429272855132715</v>
      </c>
      <c r="S58" s="2">
        <f>USA!Z66*G58</f>
        <v>108.5230201</v>
      </c>
      <c r="T58" s="2">
        <v>1</v>
      </c>
      <c r="U58" s="2">
        <v>0</v>
      </c>
      <c r="V58" s="2">
        <v>0</v>
      </c>
      <c r="X58" s="2">
        <f t="shared" si="18"/>
        <v>0.56000000000000005</v>
      </c>
      <c r="Y58" s="2">
        <f>AH58+AI58</f>
        <v>1.1000000000000001</v>
      </c>
      <c r="Z58" s="2">
        <v>0.2</v>
      </c>
      <c r="AA58" s="2">
        <f t="shared" si="19"/>
        <v>0.47179730533696196</v>
      </c>
      <c r="AB58" s="2">
        <f>Y58+AA58</f>
        <v>1.571797305336962</v>
      </c>
      <c r="AE58" s="2">
        <v>56</v>
      </c>
      <c r="AH58" s="2">
        <v>1.1000000000000001</v>
      </c>
      <c r="AM58">
        <v>1979</v>
      </c>
      <c r="AN58" s="1">
        <f t="shared" si="21"/>
        <v>2.8307838320217718</v>
      </c>
      <c r="AO58" s="1">
        <f t="shared" si="22"/>
        <v>1.1000000000000001</v>
      </c>
      <c r="AP58" s="1">
        <f t="shared" si="23"/>
        <v>0.47179730533696196</v>
      </c>
      <c r="AQ58" s="1">
        <f t="shared" si="24"/>
        <v>1.571797305336962</v>
      </c>
      <c r="AR58" s="1">
        <f t="shared" si="7"/>
        <v>1.2589865266848097</v>
      </c>
      <c r="AT58" s="3">
        <v>28.116505872084616</v>
      </c>
      <c r="AV58" s="1">
        <f t="shared" si="8"/>
        <v>10.068049866865948</v>
      </c>
      <c r="AW58" s="1">
        <f t="shared" si="25"/>
        <v>10.350887834970099</v>
      </c>
      <c r="AX58" s="1">
        <f t="shared" si="9"/>
        <v>5.5903009872130518</v>
      </c>
      <c r="AY58" s="1">
        <f t="shared" si="29"/>
        <v>4.4777488796528964</v>
      </c>
      <c r="AZ58" s="1">
        <f t="shared" si="11"/>
        <v>4.7605868477570477</v>
      </c>
      <c r="BA58" s="3">
        <f t="shared" si="12"/>
        <v>385.97619702008109</v>
      </c>
      <c r="BB58">
        <v>0</v>
      </c>
      <c r="BC58" s="23">
        <v>1</v>
      </c>
      <c r="BD58">
        <v>0</v>
      </c>
      <c r="BF58" s="1">
        <f t="shared" si="13"/>
        <v>11.82028954247847</v>
      </c>
      <c r="BG58" s="1">
        <f t="shared" si="14"/>
        <v>12.152352525956525</v>
      </c>
      <c r="BQ58" s="2">
        <f t="shared" si="26"/>
        <v>108.5230201</v>
      </c>
      <c r="BR58">
        <v>0</v>
      </c>
      <c r="BS58">
        <f t="shared" si="27"/>
        <v>0</v>
      </c>
      <c r="BT58" s="2">
        <f t="shared" si="28"/>
        <v>108.5230201</v>
      </c>
      <c r="BU58">
        <f t="shared" si="15"/>
        <v>385.97619702008109</v>
      </c>
    </row>
    <row r="59" spans="1:73">
      <c r="A59">
        <v>1980</v>
      </c>
      <c r="B59" s="3">
        <f t="shared" si="0"/>
        <v>198.75920296172583</v>
      </c>
      <c r="C59" s="3">
        <f t="shared" si="1"/>
        <v>37.784321185500851</v>
      </c>
      <c r="D59" s="2">
        <v>138.88300000000001</v>
      </c>
      <c r="E59" s="2">
        <v>54.074159999999999</v>
      </c>
      <c r="F59" s="2">
        <f t="shared" si="16"/>
        <v>75.099815632800002</v>
      </c>
      <c r="G59" s="2">
        <v>4.9392299999999993</v>
      </c>
      <c r="H59" s="2">
        <f t="shared" si="17"/>
        <v>3.7093526236799472</v>
      </c>
      <c r="I59" s="32">
        <f t="shared" si="2"/>
        <v>3.7093526236799472</v>
      </c>
      <c r="J59" s="32">
        <f t="shared" si="3"/>
        <v>3.7720969096396653</v>
      </c>
      <c r="P59" s="32">
        <f t="shared" si="4"/>
        <v>1.7911271863999558</v>
      </c>
      <c r="Q59" s="32">
        <f t="shared" si="5"/>
        <v>1.8538714723596739</v>
      </c>
      <c r="S59" s="2">
        <f>USA!Z67*G59</f>
        <v>166.89658169999998</v>
      </c>
      <c r="T59" s="2">
        <v>1</v>
      </c>
      <c r="U59" s="2">
        <v>0</v>
      </c>
      <c r="V59" s="2">
        <v>0</v>
      </c>
      <c r="X59" s="2">
        <f t="shared" si="18"/>
        <v>0.47</v>
      </c>
      <c r="Y59" s="2">
        <f t="shared" ref="Y59:Y88" si="30">AH59+AI59</f>
        <v>1.3</v>
      </c>
      <c r="Z59" s="2">
        <v>0.2</v>
      </c>
      <c r="AA59" s="2">
        <f t="shared" si="19"/>
        <v>0.61822543727999124</v>
      </c>
      <c r="AB59" s="2">
        <f t="shared" ref="AB59:AB96" si="31">Y59+AA59</f>
        <v>1.9182254372799914</v>
      </c>
      <c r="AE59" s="2">
        <v>47</v>
      </c>
      <c r="AH59" s="2">
        <v>1.3</v>
      </c>
      <c r="AM59">
        <v>1980</v>
      </c>
      <c r="AN59" s="1">
        <f t="shared" si="21"/>
        <v>3.7093526236799472</v>
      </c>
      <c r="AO59" s="1">
        <f t="shared" si="22"/>
        <v>1.3</v>
      </c>
      <c r="AP59" s="1">
        <f t="shared" si="23"/>
        <v>0.61822543727999124</v>
      </c>
      <c r="AQ59" s="1">
        <f t="shared" si="24"/>
        <v>1.9182254372799914</v>
      </c>
      <c r="AR59" s="1">
        <f t="shared" si="7"/>
        <v>1.7911271863999558</v>
      </c>
      <c r="AT59" s="3">
        <v>31.184466526823002</v>
      </c>
      <c r="AV59" s="1">
        <f t="shared" si="8"/>
        <v>11.894872790238004</v>
      </c>
      <c r="AW59" s="1">
        <f t="shared" si="25"/>
        <v>11.937074796900434</v>
      </c>
      <c r="AX59" s="1">
        <f t="shared" si="9"/>
        <v>6.1512209472304082</v>
      </c>
      <c r="AY59" s="1">
        <f t="shared" si="29"/>
        <v>5.743651843007596</v>
      </c>
      <c r="AZ59" s="1">
        <f t="shared" si="11"/>
        <v>5.7858538496700262</v>
      </c>
      <c r="BA59" s="3">
        <f t="shared" si="12"/>
        <v>535.19139587154893</v>
      </c>
      <c r="BB59">
        <v>0</v>
      </c>
      <c r="BC59" s="23">
        <v>1</v>
      </c>
      <c r="BD59">
        <v>0</v>
      </c>
      <c r="BF59" s="1">
        <f t="shared" si="13"/>
        <v>13.965052051865648</v>
      </c>
      <c r="BG59" s="1">
        <f t="shared" si="14"/>
        <v>14.014598880161088</v>
      </c>
      <c r="BQ59" s="2">
        <f t="shared" si="26"/>
        <v>166.89658169999998</v>
      </c>
      <c r="BR59">
        <v>0</v>
      </c>
      <c r="BS59">
        <f t="shared" si="27"/>
        <v>0</v>
      </c>
      <c r="BT59" s="2">
        <f t="shared" si="28"/>
        <v>166.89658169999998</v>
      </c>
      <c r="BU59">
        <f t="shared" si="15"/>
        <v>535.19139587154905</v>
      </c>
    </row>
    <row r="60" spans="1:73">
      <c r="A60">
        <v>1981</v>
      </c>
      <c r="B60" s="3">
        <f t="shared" si="0"/>
        <v>181.85330040643197</v>
      </c>
      <c r="C60" s="3">
        <f t="shared" si="1"/>
        <v>41.681969842500045</v>
      </c>
      <c r="D60" s="2">
        <v>127.07</v>
      </c>
      <c r="E60" s="2">
        <v>59.652189999999997</v>
      </c>
      <c r="F60" s="2">
        <f t="shared" si="16"/>
        <v>75.80003783299999</v>
      </c>
      <c r="G60" s="2">
        <v>5.7395099999999992</v>
      </c>
      <c r="H60" s="2">
        <f t="shared" si="17"/>
        <v>4.3505507514288171</v>
      </c>
      <c r="I60" s="32">
        <f t="shared" si="2"/>
        <v>4.3505507514288171</v>
      </c>
      <c r="J60" s="32">
        <f t="shared" si="3"/>
        <v>4.3350380544373701</v>
      </c>
      <c r="P60" s="32">
        <f t="shared" si="4"/>
        <v>2.1754589595240139</v>
      </c>
      <c r="Q60" s="32">
        <f t="shared" si="5"/>
        <v>2.1599462625325669</v>
      </c>
      <c r="S60" s="2">
        <f>USA!Z68*G60</f>
        <v>208.97555909999994</v>
      </c>
      <c r="T60" s="2">
        <v>1</v>
      </c>
      <c r="U60" s="2">
        <v>0</v>
      </c>
      <c r="V60" s="2">
        <v>0</v>
      </c>
      <c r="X60" s="2">
        <f t="shared" si="18"/>
        <v>0.49</v>
      </c>
      <c r="Y60" s="2">
        <f t="shared" si="30"/>
        <v>1.45</v>
      </c>
      <c r="Z60" s="2">
        <v>0.2</v>
      </c>
      <c r="AA60" s="2">
        <f t="shared" si="19"/>
        <v>0.725091791904803</v>
      </c>
      <c r="AB60" s="2">
        <f t="shared" si="31"/>
        <v>2.1750917919048032</v>
      </c>
      <c r="AE60" s="2">
        <v>49</v>
      </c>
      <c r="AH60" s="2">
        <v>1.45</v>
      </c>
      <c r="AM60">
        <v>1981</v>
      </c>
      <c r="AN60" s="1">
        <f t="shared" si="21"/>
        <v>4.3505507514288171</v>
      </c>
      <c r="AO60" s="1">
        <f t="shared" si="22"/>
        <v>1.45</v>
      </c>
      <c r="AP60" s="1">
        <f t="shared" si="23"/>
        <v>0.725091791904803</v>
      </c>
      <c r="AQ60" s="1">
        <f t="shared" si="24"/>
        <v>2.1750917919048032</v>
      </c>
      <c r="AR60" s="1">
        <f t="shared" si="7"/>
        <v>2.1754589595240139</v>
      </c>
      <c r="AT60" s="3">
        <v>35.443366541751054</v>
      </c>
      <c r="AV60" s="1">
        <f t="shared" si="8"/>
        <v>12.274654401985261</v>
      </c>
      <c r="AW60" s="1">
        <f t="shared" si="25"/>
        <v>12.296536519529507</v>
      </c>
      <c r="AX60" s="1">
        <f t="shared" si="9"/>
        <v>6.1368092371886309</v>
      </c>
      <c r="AY60" s="1">
        <f t="shared" si="29"/>
        <v>6.1378451647966301</v>
      </c>
      <c r="AZ60" s="1">
        <f t="shared" si="11"/>
        <v>6.1597272823408771</v>
      </c>
      <c r="BA60" s="3">
        <f t="shared" si="12"/>
        <v>589.60414737644624</v>
      </c>
      <c r="BB60">
        <v>0</v>
      </c>
      <c r="BC60" s="23">
        <v>1</v>
      </c>
      <c r="BD60">
        <v>0</v>
      </c>
      <c r="BF60" s="1">
        <f t="shared" si="13"/>
        <v>14.410930714876196</v>
      </c>
      <c r="BG60" s="1">
        <f t="shared" si="14"/>
        <v>14.436621188065724</v>
      </c>
      <c r="BQ60" s="2">
        <f t="shared" si="26"/>
        <v>208.97555909999994</v>
      </c>
      <c r="BR60">
        <v>0</v>
      </c>
      <c r="BS60">
        <f t="shared" si="27"/>
        <v>0</v>
      </c>
      <c r="BT60" s="2">
        <f t="shared" si="28"/>
        <v>208.97555909999994</v>
      </c>
      <c r="BU60">
        <f t="shared" si="15"/>
        <v>589.60414737644635</v>
      </c>
    </row>
    <row r="61" spans="1:73">
      <c r="A61">
        <v>1982</v>
      </c>
      <c r="B61" s="3">
        <f t="shared" si="0"/>
        <v>161.35670035590144</v>
      </c>
      <c r="C61" s="3">
        <f t="shared" si="1"/>
        <v>44.24984128314113</v>
      </c>
      <c r="D61" s="2">
        <v>112.748</v>
      </c>
      <c r="E61" s="2">
        <v>63.32714</v>
      </c>
      <c r="F61" s="2">
        <f t="shared" si="16"/>
        <v>71.400083807200005</v>
      </c>
      <c r="G61" s="2">
        <v>6.4540300000000004</v>
      </c>
      <c r="H61" s="2">
        <f t="shared" si="17"/>
        <v>4.608182828941831</v>
      </c>
      <c r="I61" s="32">
        <f t="shared" si="2"/>
        <v>4.608182828941831</v>
      </c>
      <c r="J61" s="32">
        <f t="shared" si="3"/>
        <v>4.4165151407916117</v>
      </c>
      <c r="P61" s="32">
        <f t="shared" si="4"/>
        <v>2.3901523574515258</v>
      </c>
      <c r="Q61" s="32">
        <f t="shared" si="5"/>
        <v>2.1984846693013069</v>
      </c>
      <c r="S61" s="2">
        <f>USA!Z69*G61</f>
        <v>214.27379600000003</v>
      </c>
      <c r="T61" s="2">
        <v>1</v>
      </c>
      <c r="U61" s="2">
        <v>0</v>
      </c>
      <c r="V61" s="2">
        <v>0</v>
      </c>
      <c r="X61" s="2">
        <f t="shared" si="18"/>
        <v>0.49</v>
      </c>
      <c r="Y61" s="2">
        <f t="shared" si="30"/>
        <v>1.45</v>
      </c>
      <c r="Z61" s="2">
        <v>0.2</v>
      </c>
      <c r="AA61" s="2">
        <f t="shared" si="19"/>
        <v>0.76803047149030523</v>
      </c>
      <c r="AB61" s="2">
        <f t="shared" si="31"/>
        <v>2.2180304714903052</v>
      </c>
      <c r="AE61" s="2">
        <v>49</v>
      </c>
      <c r="AH61" s="2">
        <v>1.45</v>
      </c>
      <c r="AM61">
        <v>1982</v>
      </c>
      <c r="AN61" s="1">
        <f t="shared" si="21"/>
        <v>4.608182828941831</v>
      </c>
      <c r="AO61" s="1">
        <f t="shared" si="22"/>
        <v>1.45</v>
      </c>
      <c r="AP61" s="1">
        <f t="shared" si="23"/>
        <v>0.76803047149030523</v>
      </c>
      <c r="AQ61" s="1">
        <f t="shared" si="24"/>
        <v>2.2180304714903052</v>
      </c>
      <c r="AR61" s="1">
        <f t="shared" si="7"/>
        <v>2.3901523574515258</v>
      </c>
      <c r="AT61" s="3">
        <v>39.45631057798461</v>
      </c>
      <c r="AV61" s="1">
        <f t="shared" si="8"/>
        <v>11.679203558157953</v>
      </c>
      <c r="AW61" s="1">
        <f t="shared" si="25"/>
        <v>11.46144527031629</v>
      </c>
      <c r="AX61" s="1">
        <f t="shared" si="9"/>
        <v>5.6214847232267502</v>
      </c>
      <c r="AY61" s="1">
        <f t="shared" si="29"/>
        <v>6.0577188349312028</v>
      </c>
      <c r="AZ61" s="1">
        <f t="shared" si="11"/>
        <v>5.8399605470895404</v>
      </c>
      <c r="BA61" s="3">
        <f t="shared" si="12"/>
        <v>543.06597059168053</v>
      </c>
      <c r="BB61">
        <v>0</v>
      </c>
      <c r="BC61" s="23">
        <v>1</v>
      </c>
      <c r="BD61">
        <v>0</v>
      </c>
      <c r="BF61" s="1">
        <f t="shared" si="13"/>
        <v>13.711847826389981</v>
      </c>
      <c r="BG61" s="1">
        <f t="shared" si="14"/>
        <v>13.456190966660493</v>
      </c>
      <c r="BQ61" s="2">
        <f t="shared" si="26"/>
        <v>214.27379600000003</v>
      </c>
      <c r="BR61">
        <v>0</v>
      </c>
      <c r="BS61">
        <f t="shared" si="27"/>
        <v>0</v>
      </c>
      <c r="BT61" s="2">
        <f t="shared" si="28"/>
        <v>214.27379600000003</v>
      </c>
      <c r="BU61">
        <f t="shared" si="15"/>
        <v>543.06597059168053</v>
      </c>
    </row>
    <row r="62" spans="1:73">
      <c r="A62">
        <v>1983</v>
      </c>
      <c r="B62" s="3">
        <f t="shared" si="0"/>
        <v>147.79534146197412</v>
      </c>
      <c r="C62" s="3">
        <f t="shared" si="1"/>
        <v>45.671336429076113</v>
      </c>
      <c r="D62" s="2">
        <v>103.27200000000001</v>
      </c>
      <c r="E62" s="2">
        <v>65.36148</v>
      </c>
      <c r="F62" s="2">
        <f t="shared" si="16"/>
        <v>67.500107625600009</v>
      </c>
      <c r="G62" s="2">
        <v>7.2963699999999987</v>
      </c>
      <c r="H62" s="2">
        <f t="shared" si="17"/>
        <v>4.9250576027619903</v>
      </c>
      <c r="I62" s="32">
        <f t="shared" si="2"/>
        <v>4.9250576027619903</v>
      </c>
      <c r="J62" s="32">
        <f t="shared" si="3"/>
        <v>4.5971869436204855</v>
      </c>
      <c r="P62" s="32">
        <f t="shared" si="4"/>
        <v>2.5042146689683249</v>
      </c>
      <c r="Q62" s="32">
        <f t="shared" si="5"/>
        <v>2.1763440098268196</v>
      </c>
      <c r="S62" s="2">
        <f>USA!Z70*G62</f>
        <v>211.22991149999996</v>
      </c>
      <c r="T62" s="2">
        <v>1</v>
      </c>
      <c r="U62" s="2">
        <v>0</v>
      </c>
      <c r="V62" s="2">
        <v>0</v>
      </c>
      <c r="X62" s="2">
        <f t="shared" si="18"/>
        <v>0.48</v>
      </c>
      <c r="Y62" s="2">
        <f t="shared" si="30"/>
        <v>1.6</v>
      </c>
      <c r="Z62" s="2">
        <v>0.2</v>
      </c>
      <c r="AA62" s="2">
        <f t="shared" si="19"/>
        <v>0.82084293379366524</v>
      </c>
      <c r="AB62" s="2">
        <f t="shared" si="31"/>
        <v>2.4208429337936654</v>
      </c>
      <c r="AE62" s="2">
        <v>48</v>
      </c>
      <c r="AH62" s="2">
        <v>1.6</v>
      </c>
      <c r="AM62">
        <v>1983</v>
      </c>
      <c r="AN62" s="1">
        <f t="shared" si="21"/>
        <v>4.9250576027619903</v>
      </c>
      <c r="AO62" s="1">
        <f t="shared" si="22"/>
        <v>1.6</v>
      </c>
      <c r="AP62" s="1">
        <f t="shared" si="23"/>
        <v>0.82084293379366524</v>
      </c>
      <c r="AQ62" s="1">
        <f t="shared" si="24"/>
        <v>2.4208429337936654</v>
      </c>
      <c r="AR62" s="1">
        <f t="shared" si="7"/>
        <v>2.5042146689683249</v>
      </c>
      <c r="AT62" s="3">
        <v>42.776699183024562</v>
      </c>
      <c r="AV62" s="1">
        <f t="shared" si="8"/>
        <v>11.513411966850501</v>
      </c>
      <c r="AW62" s="1">
        <f t="shared" si="25"/>
        <v>11.160684058393256</v>
      </c>
      <c r="AX62" s="1">
        <f t="shared" si="9"/>
        <v>5.6592560436602106</v>
      </c>
      <c r="AY62" s="1">
        <f t="shared" si="29"/>
        <v>5.8541559231902909</v>
      </c>
      <c r="AZ62" s="1">
        <f t="shared" si="11"/>
        <v>5.5014280147330457</v>
      </c>
      <c r="BA62" s="3">
        <f t="shared" si="12"/>
        <v>493.79665924252538</v>
      </c>
      <c r="BB62">
        <v>0</v>
      </c>
      <c r="BC62" s="23">
        <v>1</v>
      </c>
      <c r="BD62">
        <v>0</v>
      </c>
      <c r="BF62" s="1">
        <f t="shared" si="13"/>
        <v>13.517201927841969</v>
      </c>
      <c r="BG62" s="1">
        <f t="shared" si="14"/>
        <v>13.103085384637424</v>
      </c>
      <c r="BQ62" s="2">
        <f t="shared" si="26"/>
        <v>211.22991149999996</v>
      </c>
      <c r="BR62">
        <v>0</v>
      </c>
      <c r="BS62">
        <f t="shared" si="27"/>
        <v>0</v>
      </c>
      <c r="BT62" s="2">
        <f t="shared" si="28"/>
        <v>211.22991149999996</v>
      </c>
      <c r="BU62">
        <f t="shared" si="15"/>
        <v>493.79665924252538</v>
      </c>
    </row>
    <row r="63" spans="1:73">
      <c r="A63">
        <v>1984</v>
      </c>
      <c r="B63" s="3">
        <f t="shared" si="0"/>
        <v>133.91240834438003</v>
      </c>
      <c r="C63" s="3">
        <f t="shared" si="1"/>
        <v>47.643090239969929</v>
      </c>
      <c r="D63" s="2">
        <v>93.571299999999994</v>
      </c>
      <c r="E63" s="2">
        <v>68.183310000000006</v>
      </c>
      <c r="F63" s="2">
        <f t="shared" si="16"/>
        <v>63.800009550029998</v>
      </c>
      <c r="G63" s="2">
        <v>8.1614599999999999</v>
      </c>
      <c r="H63" s="2">
        <f t="shared" si="17"/>
        <v>5.2070122594218784</v>
      </c>
      <c r="I63" s="32">
        <f t="shared" si="2"/>
        <v>5.2070122594218784</v>
      </c>
      <c r="J63" s="32">
        <f t="shared" si="3"/>
        <v>4.9508205142104229</v>
      </c>
      <c r="P63" s="32">
        <f t="shared" si="4"/>
        <v>2.5891768828515653</v>
      </c>
      <c r="Q63" s="32">
        <f t="shared" si="5"/>
        <v>2.3329851376401098</v>
      </c>
      <c r="S63" s="2">
        <f>USA!Z71*G63</f>
        <v>232.76483919999998</v>
      </c>
      <c r="T63" s="2">
        <v>1</v>
      </c>
      <c r="U63" s="2">
        <v>0</v>
      </c>
      <c r="V63" s="2">
        <v>0</v>
      </c>
      <c r="X63" s="2">
        <f t="shared" si="18"/>
        <v>0.5</v>
      </c>
      <c r="Y63" s="2">
        <f t="shared" si="30"/>
        <v>1.75</v>
      </c>
      <c r="Z63" s="2">
        <v>0.2</v>
      </c>
      <c r="AA63" s="2">
        <f t="shared" si="19"/>
        <v>0.86783537657031307</v>
      </c>
      <c r="AB63" s="2">
        <f t="shared" si="31"/>
        <v>2.6178353765703131</v>
      </c>
      <c r="AE63" s="2">
        <v>50</v>
      </c>
      <c r="AH63" s="2">
        <v>1.75</v>
      </c>
      <c r="AM63">
        <v>1984</v>
      </c>
      <c r="AN63" s="1">
        <f t="shared" si="21"/>
        <v>5.2070122594218784</v>
      </c>
      <c r="AO63" s="1">
        <f t="shared" si="22"/>
        <v>1.75</v>
      </c>
      <c r="AP63" s="1">
        <f t="shared" si="23"/>
        <v>0.86783537657031307</v>
      </c>
      <c r="AQ63" s="1">
        <f t="shared" si="24"/>
        <v>2.6178353765703131</v>
      </c>
      <c r="AR63" s="1">
        <f t="shared" si="7"/>
        <v>2.5891768828515653</v>
      </c>
      <c r="AT63" s="3">
        <v>45.47572838380286</v>
      </c>
      <c r="AV63" s="1">
        <f t="shared" si="8"/>
        <v>11.450090948463986</v>
      </c>
      <c r="AW63" s="1">
        <f t="shared" si="25"/>
        <v>11.381988345341533</v>
      </c>
      <c r="AX63" s="1">
        <f t="shared" si="9"/>
        <v>5.7565551330513935</v>
      </c>
      <c r="AY63" s="1">
        <f t="shared" si="29"/>
        <v>5.6935358154125923</v>
      </c>
      <c r="AZ63" s="1">
        <f t="shared" si="11"/>
        <v>5.6254332122901385</v>
      </c>
      <c r="BA63" s="3">
        <f t="shared" si="12"/>
        <v>511.84411437135793</v>
      </c>
      <c r="BB63">
        <v>0</v>
      </c>
      <c r="BC63" s="23">
        <v>1</v>
      </c>
      <c r="BD63">
        <v>0</v>
      </c>
      <c r="BF63" s="1">
        <f t="shared" si="13"/>
        <v>13.442860542831902</v>
      </c>
      <c r="BG63" s="1">
        <f t="shared" si="14"/>
        <v>13.362905387846711</v>
      </c>
      <c r="BQ63" s="2">
        <f t="shared" si="26"/>
        <v>232.76483919999998</v>
      </c>
      <c r="BR63">
        <v>0</v>
      </c>
      <c r="BS63">
        <f t="shared" si="27"/>
        <v>0</v>
      </c>
      <c r="BT63" s="2">
        <f t="shared" si="28"/>
        <v>232.76483919999998</v>
      </c>
      <c r="BU63">
        <f t="shared" si="15"/>
        <v>511.84411437135793</v>
      </c>
    </row>
    <row r="64" spans="1:73">
      <c r="A64">
        <v>1985</v>
      </c>
      <c r="B64" s="3">
        <f t="shared" si="0"/>
        <v>120.99791882783293</v>
      </c>
      <c r="C64" s="3">
        <f t="shared" si="1"/>
        <v>49.339718212134507</v>
      </c>
      <c r="D64" s="2">
        <v>84.547300000000007</v>
      </c>
      <c r="E64" s="2">
        <v>70.611400000000003</v>
      </c>
      <c r="F64" s="2">
        <f t="shared" si="16"/>
        <v>59.700032192200005</v>
      </c>
      <c r="G64" s="2">
        <v>8.5972299999999997</v>
      </c>
      <c r="H64" s="2">
        <f t="shared" si="17"/>
        <v>5.132549077637476</v>
      </c>
      <c r="I64" s="32">
        <f t="shared" si="2"/>
        <v>5.132549077637476</v>
      </c>
      <c r="J64" s="32">
        <f t="shared" si="3"/>
        <v>4.9131209937693736</v>
      </c>
      <c r="P64" s="32">
        <f t="shared" si="4"/>
        <v>2.5271242313645632</v>
      </c>
      <c r="Q64" s="32">
        <f t="shared" si="5"/>
        <v>2.3076961474964608</v>
      </c>
      <c r="S64" s="2">
        <f>USA!Z72*G64</f>
        <v>229.2881241</v>
      </c>
      <c r="T64" s="2">
        <v>1</v>
      </c>
      <c r="U64" s="2">
        <v>0</v>
      </c>
      <c r="V64" s="2">
        <v>0</v>
      </c>
      <c r="X64" s="2">
        <f t="shared" si="18"/>
        <v>0.51</v>
      </c>
      <c r="Y64" s="2">
        <f t="shared" si="30"/>
        <v>1.75</v>
      </c>
      <c r="Z64" s="2">
        <v>0.2</v>
      </c>
      <c r="AA64" s="2">
        <f t="shared" si="19"/>
        <v>0.85542484627291282</v>
      </c>
      <c r="AB64" s="2">
        <f t="shared" si="31"/>
        <v>2.6054248462729128</v>
      </c>
      <c r="AE64" s="2">
        <v>51</v>
      </c>
      <c r="AH64" s="2">
        <v>1.75</v>
      </c>
      <c r="AM64">
        <v>1985</v>
      </c>
      <c r="AN64" s="1">
        <f t="shared" si="21"/>
        <v>5.132549077637476</v>
      </c>
      <c r="AO64" s="1">
        <f t="shared" si="22"/>
        <v>1.75</v>
      </c>
      <c r="AP64" s="1">
        <f t="shared" si="23"/>
        <v>0.85542484627291282</v>
      </c>
      <c r="AQ64" s="1">
        <f t="shared" si="24"/>
        <v>2.6054248462729128</v>
      </c>
      <c r="AR64" s="1">
        <f t="shared" si="7"/>
        <v>2.5271242313645632</v>
      </c>
      <c r="AT64" s="3">
        <v>48.045307585449898</v>
      </c>
      <c r="AV64" s="1">
        <f t="shared" si="8"/>
        <v>10.682727066548791</v>
      </c>
      <c r="AW64" s="1">
        <f t="shared" si="25"/>
        <v>10.810468707583816</v>
      </c>
      <c r="AX64" s="1">
        <f t="shared" si="9"/>
        <v>5.4228497583017727</v>
      </c>
      <c r="AY64" s="1">
        <f t="shared" si="29"/>
        <v>5.2598773082470185</v>
      </c>
      <c r="AZ64" s="1">
        <f t="shared" si="11"/>
        <v>5.3876189492820439</v>
      </c>
      <c r="BA64" s="3">
        <f t="shared" si="12"/>
        <v>477.23312769348968</v>
      </c>
      <c r="BB64">
        <v>0</v>
      </c>
      <c r="BC64" s="23">
        <v>1</v>
      </c>
      <c r="BD64">
        <v>0</v>
      </c>
      <c r="BF64" s="1">
        <f t="shared" si="13"/>
        <v>12.541944934683313</v>
      </c>
      <c r="BG64" s="1">
        <f t="shared" si="14"/>
        <v>12.691918683684555</v>
      </c>
      <c r="BQ64" s="2">
        <f t="shared" si="26"/>
        <v>229.2881241</v>
      </c>
      <c r="BR64">
        <v>0</v>
      </c>
      <c r="BS64">
        <f t="shared" si="27"/>
        <v>0</v>
      </c>
      <c r="BT64" s="2">
        <f t="shared" si="28"/>
        <v>229.2881241</v>
      </c>
      <c r="BU64">
        <f t="shared" si="15"/>
        <v>477.23312769348968</v>
      </c>
    </row>
    <row r="65" spans="1:81">
      <c r="A65">
        <v>1986</v>
      </c>
      <c r="B65" s="3">
        <f t="shared" si="0"/>
        <v>128.14181829244947</v>
      </c>
      <c r="C65" s="3">
        <f t="shared" si="1"/>
        <v>50.256813657899102</v>
      </c>
      <c r="D65" s="2">
        <v>89.539100000000005</v>
      </c>
      <c r="E65" s="2">
        <v>71.923879999999997</v>
      </c>
      <c r="F65" s="2">
        <f t="shared" si="16"/>
        <v>64.399994837080001</v>
      </c>
      <c r="G65" s="2">
        <v>7.3947399999999988</v>
      </c>
      <c r="H65" s="2">
        <f t="shared" si="17"/>
        <v>4.7622121782154885</v>
      </c>
      <c r="I65" s="32">
        <f t="shared" si="2"/>
        <v>4.7622121782154885</v>
      </c>
      <c r="J65" s="32">
        <f t="shared" si="3"/>
        <v>4.9531702090208665</v>
      </c>
      <c r="P65" s="32">
        <f t="shared" si="4"/>
        <v>1.8785101485129072</v>
      </c>
      <c r="Q65" s="32">
        <f t="shared" si="5"/>
        <v>2.0694681793182848</v>
      </c>
      <c r="S65" s="2">
        <f>USA!Z73*G65</f>
        <v>111.29083699999998</v>
      </c>
      <c r="T65" s="2">
        <v>0</v>
      </c>
      <c r="U65" s="2">
        <v>0</v>
      </c>
      <c r="V65" s="2">
        <v>0</v>
      </c>
      <c r="X65" s="2">
        <f t="shared" si="18"/>
        <v>0.6</v>
      </c>
      <c r="Y65" s="2">
        <f t="shared" si="30"/>
        <v>2.09</v>
      </c>
      <c r="Z65" s="2">
        <v>0.2</v>
      </c>
      <c r="AA65" s="2">
        <f t="shared" si="19"/>
        <v>0.79370202970258141</v>
      </c>
      <c r="AB65" s="2">
        <f t="shared" si="31"/>
        <v>2.8837020297025813</v>
      </c>
      <c r="AE65" s="2">
        <v>60</v>
      </c>
      <c r="AH65" s="2">
        <v>2.09</v>
      </c>
      <c r="AM65">
        <v>1986</v>
      </c>
      <c r="AN65" s="1">
        <f t="shared" si="21"/>
        <v>4.7622121782154885</v>
      </c>
      <c r="AO65" s="1">
        <f t="shared" si="22"/>
        <v>2.09</v>
      </c>
      <c r="AP65" s="1">
        <f t="shared" si="23"/>
        <v>0.79370202970258141</v>
      </c>
      <c r="AQ65" s="1">
        <f t="shared" si="24"/>
        <v>2.8837020297025813</v>
      </c>
      <c r="AR65" s="1">
        <f t="shared" si="7"/>
        <v>1.8785101485129072</v>
      </c>
      <c r="AT65" s="3">
        <v>51.501618308357315</v>
      </c>
      <c r="AV65" s="1">
        <f t="shared" si="8"/>
        <v>9.2467233742103812</v>
      </c>
      <c r="AW65" s="1">
        <f t="shared" si="25"/>
        <v>9.192546796520098</v>
      </c>
      <c r="AX65" s="1">
        <f t="shared" si="9"/>
        <v>5.5992454692139937</v>
      </c>
      <c r="AY65" s="1">
        <f t="shared" si="29"/>
        <v>3.6474779049963875</v>
      </c>
      <c r="AZ65" s="1">
        <f t="shared" si="11"/>
        <v>3.5933013273061043</v>
      </c>
      <c r="BA65" s="3">
        <f t="shared" si="12"/>
        <v>216.09192226478152</v>
      </c>
      <c r="BB65">
        <v>0</v>
      </c>
      <c r="BC65" s="23">
        <v>1</v>
      </c>
      <c r="BD65">
        <v>0</v>
      </c>
      <c r="BF65" s="1">
        <f t="shared" si="13"/>
        <v>10.856019690771907</v>
      </c>
      <c r="BG65" s="1">
        <f t="shared" si="14"/>
        <v>10.792414241535184</v>
      </c>
      <c r="BQ65" s="2">
        <f t="shared" si="26"/>
        <v>111.29083699999998</v>
      </c>
      <c r="BR65">
        <v>0</v>
      </c>
      <c r="BS65">
        <f t="shared" si="27"/>
        <v>0</v>
      </c>
      <c r="BT65" s="2">
        <f t="shared" si="28"/>
        <v>111.29083699999998</v>
      </c>
      <c r="BU65">
        <f t="shared" si="15"/>
        <v>216.09192226478152</v>
      </c>
    </row>
    <row r="66" spans="1:81">
      <c r="A66">
        <v>1987</v>
      </c>
      <c r="B66" s="3">
        <f t="shared" si="0"/>
        <v>145.19498380998314</v>
      </c>
      <c r="C66" s="3">
        <f t="shared" si="1"/>
        <v>52.136856526716379</v>
      </c>
      <c r="D66" s="2">
        <v>101.455</v>
      </c>
      <c r="E66" s="2">
        <v>74.614459999999994</v>
      </c>
      <c r="F66" s="2">
        <f t="shared" si="16"/>
        <v>75.700100393</v>
      </c>
      <c r="G66" s="2">
        <v>6.7374499999999999</v>
      </c>
      <c r="H66" s="2">
        <f t="shared" si="17"/>
        <v>5.1002564139281779</v>
      </c>
      <c r="I66" s="32">
        <f t="shared" si="2"/>
        <v>5.1002564139281779</v>
      </c>
      <c r="J66" s="32">
        <f t="shared" si="3"/>
        <v>5.2509357209861207</v>
      </c>
      <c r="P66" s="32">
        <f t="shared" si="4"/>
        <v>2.0502136782734812</v>
      </c>
      <c r="Q66" s="32">
        <f t="shared" si="5"/>
        <v>2.2008929853314236</v>
      </c>
      <c r="S66" s="2">
        <f>USA!Z74*G66</f>
        <v>129.35903999999999</v>
      </c>
      <c r="T66" s="2">
        <v>0</v>
      </c>
      <c r="U66" s="2">
        <v>0</v>
      </c>
      <c r="V66" s="2">
        <v>0</v>
      </c>
      <c r="X66" s="2">
        <f t="shared" si="18"/>
        <v>0.57999999999999996</v>
      </c>
      <c r="Y66" s="2">
        <f t="shared" si="30"/>
        <v>2.2000000000000002</v>
      </c>
      <c r="Z66" s="2">
        <v>0.2</v>
      </c>
      <c r="AA66" s="2">
        <f t="shared" si="19"/>
        <v>0.85004273565469635</v>
      </c>
      <c r="AB66" s="2">
        <f t="shared" si="31"/>
        <v>3.0500427356546966</v>
      </c>
      <c r="AE66" s="2">
        <v>58</v>
      </c>
      <c r="AH66" s="32">
        <v>2.2000000000000002</v>
      </c>
      <c r="AM66">
        <v>1987</v>
      </c>
      <c r="AN66" s="1">
        <f t="shared" si="21"/>
        <v>5.1002564139281779</v>
      </c>
      <c r="AO66" s="1">
        <f t="shared" si="22"/>
        <v>2.2000000000000002</v>
      </c>
      <c r="AP66" s="1">
        <f t="shared" si="23"/>
        <v>0.85004273565469635</v>
      </c>
      <c r="AQ66" s="1">
        <f t="shared" si="24"/>
        <v>3.0500427356546966</v>
      </c>
      <c r="AR66" s="1">
        <f t="shared" si="7"/>
        <v>2.0502136782734812</v>
      </c>
      <c r="AT66" s="3">
        <v>55.99352765527027</v>
      </c>
      <c r="AV66" s="1">
        <f t="shared" si="8"/>
        <v>9.1086534953261289</v>
      </c>
      <c r="AW66" s="1">
        <f t="shared" si="25"/>
        <v>9.143041804793608</v>
      </c>
      <c r="AX66" s="1">
        <f t="shared" si="9"/>
        <v>5.4471344517398306</v>
      </c>
      <c r="AY66" s="1">
        <f t="shared" si="29"/>
        <v>3.6615190435862983</v>
      </c>
      <c r="AZ66" s="1">
        <f t="shared" si="11"/>
        <v>3.6959073530537783</v>
      </c>
      <c r="BA66" s="3">
        <f t="shared" si="12"/>
        <v>231.02498702423574</v>
      </c>
      <c r="BB66">
        <v>0</v>
      </c>
      <c r="BC66" s="23">
        <v>1</v>
      </c>
      <c r="BD66">
        <v>0</v>
      </c>
      <c r="BF66" s="1">
        <f t="shared" si="13"/>
        <v>10.693920181225591</v>
      </c>
      <c r="BG66" s="1">
        <f t="shared" si="14"/>
        <v>10.734293419355817</v>
      </c>
      <c r="BQ66" s="2">
        <f t="shared" si="26"/>
        <v>129.35903999999999</v>
      </c>
      <c r="BR66">
        <v>0</v>
      </c>
      <c r="BS66">
        <f t="shared" si="27"/>
        <v>0</v>
      </c>
      <c r="BT66" s="2">
        <f t="shared" si="28"/>
        <v>129.35903999999999</v>
      </c>
      <c r="BU66">
        <f t="shared" si="15"/>
        <v>231.02498702423574</v>
      </c>
    </row>
    <row r="67" spans="1:81">
      <c r="A67">
        <v>1988</v>
      </c>
      <c r="B67" s="3">
        <f t="shared" si="0"/>
        <v>151.58496560202468</v>
      </c>
      <c r="C67" s="3">
        <f t="shared" si="1"/>
        <v>54.227069431021505</v>
      </c>
      <c r="D67" s="2">
        <v>105.92</v>
      </c>
      <c r="E67" s="2">
        <v>77.605819999999994</v>
      </c>
      <c r="F67" s="2">
        <f t="shared" si="16"/>
        <v>82.200084544000006</v>
      </c>
      <c r="G67" s="2">
        <v>6.5169799999999993</v>
      </c>
      <c r="H67" s="2">
        <f t="shared" si="17"/>
        <v>5.3569630697155706</v>
      </c>
      <c r="I67" s="32">
        <f t="shared" si="2"/>
        <v>5.3569630697155706</v>
      </c>
      <c r="J67" s="32">
        <f t="shared" si="3"/>
        <v>5.2898171929483535</v>
      </c>
      <c r="P67" s="32">
        <f t="shared" si="4"/>
        <v>2.084135891429642</v>
      </c>
      <c r="Q67" s="32">
        <f t="shared" si="5"/>
        <v>2.0169900146624249</v>
      </c>
      <c r="S67" s="2">
        <f>USA!Z75*G67</f>
        <v>104.0761706</v>
      </c>
      <c r="T67" s="2">
        <v>0</v>
      </c>
      <c r="U67" s="2">
        <v>0</v>
      </c>
      <c r="V67" s="2">
        <v>0</v>
      </c>
      <c r="X67" s="2">
        <f t="shared" si="18"/>
        <v>0.69</v>
      </c>
      <c r="Y67" s="2">
        <f t="shared" si="30"/>
        <v>2.38</v>
      </c>
      <c r="Z67" s="2">
        <v>0.2</v>
      </c>
      <c r="AA67" s="2">
        <f t="shared" si="19"/>
        <v>0.89282717828592861</v>
      </c>
      <c r="AB67" s="2">
        <f t="shared" si="31"/>
        <v>3.2728271782859286</v>
      </c>
      <c r="AE67" s="2">
        <v>69</v>
      </c>
      <c r="AH67" s="32">
        <v>2.38</v>
      </c>
      <c r="AM67">
        <v>1988</v>
      </c>
      <c r="AN67" s="1">
        <f t="shared" si="21"/>
        <v>5.3569630697155706</v>
      </c>
      <c r="AO67" s="1">
        <f t="shared" si="22"/>
        <v>2.38</v>
      </c>
      <c r="AP67" s="1">
        <f t="shared" si="23"/>
        <v>0.89282717828592861</v>
      </c>
      <c r="AQ67" s="1">
        <f t="shared" si="24"/>
        <v>3.2728271782859286</v>
      </c>
      <c r="AR67" s="1">
        <f t="shared" si="7"/>
        <v>2.084135891429642</v>
      </c>
      <c r="AT67" s="3">
        <v>59.734628257919326</v>
      </c>
      <c r="AV67" s="1">
        <f t="shared" si="8"/>
        <v>8.9679357283107741</v>
      </c>
      <c r="AW67" s="1">
        <f t="shared" si="25"/>
        <v>8.7846160830813567</v>
      </c>
      <c r="AX67" s="1">
        <f t="shared" si="9"/>
        <v>5.4789445816163314</v>
      </c>
      <c r="AY67" s="1">
        <f t="shared" si="29"/>
        <v>3.4889911466944428</v>
      </c>
      <c r="AZ67" s="1">
        <f t="shared" si="11"/>
        <v>3.3056715014650262</v>
      </c>
      <c r="BA67" s="3">
        <f t="shared" si="12"/>
        <v>174.23088355153877</v>
      </c>
      <c r="BB67">
        <v>0</v>
      </c>
      <c r="BC67" s="23">
        <v>1</v>
      </c>
      <c r="BD67">
        <v>0</v>
      </c>
      <c r="BF67" s="1">
        <f t="shared" si="13"/>
        <v>10.528711946077042</v>
      </c>
      <c r="BG67" s="1">
        <f t="shared" si="14"/>
        <v>10.313487417584449</v>
      </c>
      <c r="BQ67" s="2">
        <f t="shared" si="26"/>
        <v>104.0761706</v>
      </c>
      <c r="BR67">
        <v>0</v>
      </c>
      <c r="BS67">
        <f t="shared" si="27"/>
        <v>0</v>
      </c>
      <c r="BT67" s="2">
        <f t="shared" si="28"/>
        <v>104.0761706</v>
      </c>
      <c r="BU67">
        <f t="shared" si="15"/>
        <v>174.2308835515388</v>
      </c>
    </row>
    <row r="68" spans="1:81">
      <c r="A68">
        <v>1989</v>
      </c>
      <c r="B68" s="3">
        <f t="shared" si="0"/>
        <v>147.24292646270683</v>
      </c>
      <c r="C68" s="3">
        <f t="shared" si="1"/>
        <v>56.844608024141067</v>
      </c>
      <c r="D68" s="2">
        <v>102.886</v>
      </c>
      <c r="E68" s="2">
        <v>81.351849999999999</v>
      </c>
      <c r="F68" s="2">
        <f t="shared" si="16"/>
        <v>83.699664390999985</v>
      </c>
      <c r="G68" s="2">
        <v>6.9044999999999987</v>
      </c>
      <c r="H68" s="2">
        <f t="shared" si="17"/>
        <v>5.7790433278765931</v>
      </c>
      <c r="I68" s="32">
        <f>H68</f>
        <v>5.7790433278765931</v>
      </c>
      <c r="J68" s="32">
        <f t="shared" si="3"/>
        <v>5.6594943349121065</v>
      </c>
      <c r="P68" s="32">
        <f t="shared" si="4"/>
        <v>2.3658694398971605</v>
      </c>
      <c r="Q68" s="32">
        <f t="shared" si="5"/>
        <v>2.2463204469326739</v>
      </c>
      <c r="S68" s="2">
        <f>USA!Z76*G68</f>
        <v>135.60437999999999</v>
      </c>
      <c r="T68" s="2">
        <v>0</v>
      </c>
      <c r="U68" s="2">
        <v>0</v>
      </c>
      <c r="V68" s="2">
        <v>0</v>
      </c>
      <c r="X68" s="2">
        <f t="shared" si="18"/>
        <v>0.68</v>
      </c>
      <c r="Y68" s="2">
        <f t="shared" si="30"/>
        <v>2.4500000000000002</v>
      </c>
      <c r="Z68" s="2">
        <v>0.2</v>
      </c>
      <c r="AA68" s="2">
        <f t="shared" si="19"/>
        <v>0.96317388797943237</v>
      </c>
      <c r="AB68" s="2">
        <f t="shared" si="31"/>
        <v>3.4131738879794327</v>
      </c>
      <c r="AE68" s="2">
        <v>68</v>
      </c>
      <c r="AH68" s="32">
        <v>2.4500000000000002</v>
      </c>
      <c r="AM68">
        <v>1989</v>
      </c>
      <c r="AN68" s="1">
        <f t="shared" si="21"/>
        <v>5.7790433278765931</v>
      </c>
      <c r="AO68" s="1">
        <f t="shared" si="22"/>
        <v>2.4500000000000002</v>
      </c>
      <c r="AP68" s="1">
        <f t="shared" si="23"/>
        <v>0.96317388797943237</v>
      </c>
      <c r="AQ68" s="1">
        <f t="shared" si="24"/>
        <v>3.4131738879794327</v>
      </c>
      <c r="AR68" s="1">
        <f t="shared" si="7"/>
        <v>2.3658694398971605</v>
      </c>
      <c r="AT68" s="3">
        <v>62.446602482641325</v>
      </c>
      <c r="AV68" s="1">
        <f t="shared" si="8"/>
        <v>9.2543758957631521</v>
      </c>
      <c r="AW68" s="1">
        <f t="shared" si="25"/>
        <v>9.066336799271852</v>
      </c>
      <c r="AX68" s="1">
        <f t="shared" si="9"/>
        <v>5.4657479386940455</v>
      </c>
      <c r="AY68" s="1">
        <f t="shared" si="29"/>
        <v>3.7886279570691066</v>
      </c>
      <c r="AZ68" s="1">
        <f t="shared" si="11"/>
        <v>3.6005888605778056</v>
      </c>
      <c r="BA68" s="3">
        <f t="shared" si="12"/>
        <v>217.15253449968682</v>
      </c>
      <c r="BB68">
        <v>0</v>
      </c>
      <c r="BC68" s="23">
        <v>1</v>
      </c>
      <c r="BD68">
        <v>0</v>
      </c>
      <c r="BF68" s="1">
        <f t="shared" si="13"/>
        <v>10.86500405434578</v>
      </c>
      <c r="BG68" s="1">
        <f t="shared" si="14"/>
        <v>10.644238703038962</v>
      </c>
      <c r="BQ68" s="2">
        <f t="shared" si="26"/>
        <v>135.60437999999999</v>
      </c>
      <c r="BR68">
        <v>0</v>
      </c>
      <c r="BS68">
        <f t="shared" si="27"/>
        <v>0</v>
      </c>
      <c r="BT68" s="2">
        <f t="shared" si="28"/>
        <v>135.60437999999999</v>
      </c>
      <c r="BU68">
        <f t="shared" si="15"/>
        <v>217.15253449968682</v>
      </c>
    </row>
    <row r="69" spans="1:81">
      <c r="A69">
        <v>1990</v>
      </c>
      <c r="B69" s="3">
        <f t="shared" si="0"/>
        <v>192.56242330673365</v>
      </c>
      <c r="C69" s="3">
        <f t="shared" si="1"/>
        <v>59.913057002261802</v>
      </c>
      <c r="D69" s="34">
        <v>134.553</v>
      </c>
      <c r="E69" s="2">
        <v>85.743189999999998</v>
      </c>
      <c r="F69" s="2">
        <f t="shared" si="16"/>
        <v>115.3700344407</v>
      </c>
      <c r="G69" s="2">
        <v>6.259739999999999</v>
      </c>
      <c r="H69" s="2">
        <f t="shared" si="17"/>
        <v>7.2218641938982726</v>
      </c>
      <c r="I69" s="32">
        <f t="shared" ref="I69:I75" si="32">H69</f>
        <v>7.2218641938982726</v>
      </c>
      <c r="J69" s="32">
        <f t="shared" si="3"/>
        <v>7.2235526798177112</v>
      </c>
      <c r="K69" s="2">
        <f t="shared" ref="K69:K77" si="33">K$79*L69/L$79</f>
        <v>5.8605627009646311</v>
      </c>
      <c r="L69" s="2">
        <v>69</v>
      </c>
      <c r="P69" s="32">
        <f t="shared" si="4"/>
        <v>3.3882201615818941</v>
      </c>
      <c r="Q69" s="32">
        <f t="shared" si="5"/>
        <v>3.3899086475013327</v>
      </c>
      <c r="S69" s="2">
        <f>USA!Z77*G69</f>
        <v>153.55142219999999</v>
      </c>
      <c r="T69" s="2">
        <v>0</v>
      </c>
      <c r="U69" s="2">
        <v>0</v>
      </c>
      <c r="V69" s="2">
        <v>1</v>
      </c>
      <c r="X69" s="2">
        <f t="shared" si="18"/>
        <v>0.68</v>
      </c>
      <c r="Y69" s="2">
        <f t="shared" si="30"/>
        <v>2.63</v>
      </c>
      <c r="Z69" s="2">
        <v>0.2</v>
      </c>
      <c r="AA69" s="2">
        <f t="shared" si="19"/>
        <v>1.2036440323163788</v>
      </c>
      <c r="AB69" s="2">
        <f t="shared" si="31"/>
        <v>3.8336440323163785</v>
      </c>
      <c r="AE69" s="2">
        <v>68</v>
      </c>
      <c r="AH69" s="32">
        <v>2.63</v>
      </c>
      <c r="AM69">
        <v>1990</v>
      </c>
      <c r="AN69" s="1">
        <f t="shared" si="21"/>
        <v>7.2218641938982726</v>
      </c>
      <c r="AO69" s="1">
        <f t="shared" si="22"/>
        <v>2.63</v>
      </c>
      <c r="AP69" s="1">
        <f t="shared" si="23"/>
        <v>1.2036440323163788</v>
      </c>
      <c r="AQ69" s="1">
        <f t="shared" si="24"/>
        <v>3.8336440323163785</v>
      </c>
      <c r="AR69" s="1">
        <f t="shared" si="7"/>
        <v>3.3882201615818941</v>
      </c>
      <c r="AT69" s="3">
        <v>65.022654099517425</v>
      </c>
      <c r="AV69" s="1">
        <f t="shared" si="8"/>
        <v>11.106689343755765</v>
      </c>
      <c r="AW69" s="1">
        <f t="shared" si="25"/>
        <v>11.106689343755765</v>
      </c>
      <c r="AX69" s="1">
        <f t="shared" si="9"/>
        <v>5.8958590439094838</v>
      </c>
      <c r="AY69" s="1">
        <f t="shared" si="29"/>
        <v>5.2108302998462808</v>
      </c>
      <c r="AZ69" s="1">
        <f t="shared" si="11"/>
        <v>5.2108302998462799</v>
      </c>
      <c r="BA69" s="3">
        <f t="shared" si="12"/>
        <v>236.15065291704173</v>
      </c>
      <c r="BB69" s="23">
        <v>1</v>
      </c>
      <c r="BC69" s="23">
        <v>1</v>
      </c>
      <c r="BD69">
        <v>0</v>
      </c>
      <c r="BF69" s="1">
        <f t="shared" si="13"/>
        <v>13.039693449831947</v>
      </c>
      <c r="BG69" s="1">
        <f t="shared" si="14"/>
        <v>13.039693449831947</v>
      </c>
      <c r="BQ69" s="2">
        <f t="shared" si="26"/>
        <v>153.55142219999999</v>
      </c>
      <c r="BR69">
        <v>0</v>
      </c>
      <c r="BS69">
        <f t="shared" si="27"/>
        <v>0</v>
      </c>
      <c r="BT69" s="2">
        <f t="shared" si="28"/>
        <v>153.55142219999999</v>
      </c>
      <c r="BU69">
        <f t="shared" si="15"/>
        <v>236.15065291704173</v>
      </c>
      <c r="CB69">
        <v>0.16</v>
      </c>
      <c r="CC69">
        <f>1/CB69</f>
        <v>6.25</v>
      </c>
    </row>
    <row r="70" spans="1:81">
      <c r="A70">
        <v>1991</v>
      </c>
      <c r="B70" s="3">
        <f t="shared" si="0"/>
        <v>176.31627027129008</v>
      </c>
      <c r="C70" s="3">
        <f t="shared" si="1"/>
        <v>62.450351141377027</v>
      </c>
      <c r="D70" s="2">
        <v>123.20099999999999</v>
      </c>
      <c r="E70" s="2">
        <v>89.374380000000002</v>
      </c>
      <c r="F70" s="2">
        <f t="shared" si="16"/>
        <v>110.11012990379999</v>
      </c>
      <c r="G70" s="2">
        <v>6.4829399999999993</v>
      </c>
      <c r="H70" s="2">
        <f t="shared" si="17"/>
        <v>7.1383736555854105</v>
      </c>
      <c r="I70" s="32">
        <f t="shared" si="32"/>
        <v>7.1383736555854105</v>
      </c>
      <c r="J70" s="32">
        <f t="shared" si="3"/>
        <v>6.7454221370570675</v>
      </c>
      <c r="K70" s="2">
        <f t="shared" si="33"/>
        <v>6.7354003215434082</v>
      </c>
      <c r="L70" s="2">
        <v>79.3</v>
      </c>
      <c r="P70" s="32">
        <f t="shared" si="4"/>
        <v>2.6686447129878417</v>
      </c>
      <c r="Q70" s="32">
        <f t="shared" si="5"/>
        <v>2.2756931944594987</v>
      </c>
      <c r="S70" s="2">
        <f>USA!Z78*G70</f>
        <v>139.64252759999997</v>
      </c>
      <c r="T70" s="2">
        <v>0</v>
      </c>
      <c r="U70" s="2">
        <v>0</v>
      </c>
      <c r="V70" s="2">
        <v>0</v>
      </c>
      <c r="X70" s="2">
        <f t="shared" si="18"/>
        <v>0.68</v>
      </c>
      <c r="Y70" s="2">
        <f t="shared" si="30"/>
        <v>3.2800000000000002</v>
      </c>
      <c r="Z70" s="2">
        <v>0.2</v>
      </c>
      <c r="AA70" s="2">
        <f t="shared" si="19"/>
        <v>1.1897289425975683</v>
      </c>
      <c r="AB70" s="2">
        <f t="shared" si="31"/>
        <v>4.4697289425975688</v>
      </c>
      <c r="AE70" s="2">
        <v>68</v>
      </c>
      <c r="AH70" s="32">
        <v>2.68</v>
      </c>
      <c r="AI70">
        <v>0.6</v>
      </c>
      <c r="AM70">
        <v>1991</v>
      </c>
      <c r="AN70" s="1">
        <f t="shared" si="21"/>
        <v>7.1383736555854105</v>
      </c>
      <c r="AO70" s="1">
        <f t="shared" si="22"/>
        <v>3.2800000000000002</v>
      </c>
      <c r="AP70" s="1">
        <f t="shared" si="23"/>
        <v>1.1897289425975683</v>
      </c>
      <c r="AQ70" s="1">
        <f t="shared" si="24"/>
        <v>4.4697289425975688</v>
      </c>
      <c r="AR70" s="1">
        <f t="shared" si="7"/>
        <v>2.6686447129878417</v>
      </c>
      <c r="AT70" s="3">
        <v>67.249191032067074</v>
      </c>
      <c r="AV70" s="1">
        <f t="shared" si="8"/>
        <v>10.614809704077409</v>
      </c>
      <c r="AW70" s="1">
        <f t="shared" si="25"/>
        <v>10.181809124816315</v>
      </c>
      <c r="AX70" s="1">
        <f t="shared" si="9"/>
        <v>6.6465170420655699</v>
      </c>
      <c r="AY70" s="1">
        <f t="shared" si="29"/>
        <v>3.9682926620118391</v>
      </c>
      <c r="AZ70" s="1">
        <f t="shared" si="11"/>
        <v>3.5352920827507441</v>
      </c>
      <c r="BA70" s="3">
        <f t="shared" si="12"/>
        <v>207.6493790585717</v>
      </c>
      <c r="BB70">
        <v>0</v>
      </c>
      <c r="BC70" s="23">
        <v>1</v>
      </c>
      <c r="BD70">
        <v>0</v>
      </c>
      <c r="BF70" s="1">
        <f t="shared" si="13"/>
        <v>12.462207259563602</v>
      </c>
      <c r="BG70" s="1">
        <f t="shared" si="14"/>
        <v>11.953847419613759</v>
      </c>
      <c r="BQ70" s="2">
        <f t="shared" si="26"/>
        <v>139.64252759999997</v>
      </c>
      <c r="BR70">
        <v>0</v>
      </c>
      <c r="BS70">
        <f t="shared" si="27"/>
        <v>0</v>
      </c>
      <c r="BT70" s="2">
        <f t="shared" si="28"/>
        <v>139.64252759999997</v>
      </c>
      <c r="BU70">
        <f t="shared" si="15"/>
        <v>207.6493790585717</v>
      </c>
      <c r="CB70">
        <v>0.155</v>
      </c>
      <c r="CC70">
        <f t="shared" ref="CC70:CC97" si="34">1/CB70</f>
        <v>6.4516129032258069</v>
      </c>
    </row>
    <row r="71" spans="1:81">
      <c r="A71">
        <v>1992</v>
      </c>
      <c r="B71" s="3">
        <f t="shared" si="0"/>
        <v>169.43827419233111</v>
      </c>
      <c r="C71" s="3">
        <f t="shared" si="1"/>
        <v>64.341860498266513</v>
      </c>
      <c r="D71" s="2">
        <v>118.395</v>
      </c>
      <c r="E71" s="2">
        <v>92.081370000000007</v>
      </c>
      <c r="F71" s="2">
        <f t="shared" si="16"/>
        <v>109.01973801150001</v>
      </c>
      <c r="G71" s="2">
        <v>6.2144999999999992</v>
      </c>
      <c r="H71" s="2">
        <f t="shared" si="17"/>
        <v>6.7750316187246673</v>
      </c>
      <c r="I71" s="32">
        <f t="shared" si="32"/>
        <v>6.7750316187246673</v>
      </c>
      <c r="J71" s="32">
        <f t="shared" si="3"/>
        <v>7.0394114708789317</v>
      </c>
      <c r="K71" s="2">
        <f t="shared" si="33"/>
        <v>7.0241816720257235</v>
      </c>
      <c r="L71" s="2">
        <v>82.7</v>
      </c>
      <c r="P71" s="32">
        <f t="shared" si="4"/>
        <v>1.9258596822705565</v>
      </c>
      <c r="Q71" s="32">
        <f t="shared" si="5"/>
        <v>2.1902395344248213</v>
      </c>
      <c r="S71" s="2">
        <f>USA!Z79*G71</f>
        <v>127.89440999999998</v>
      </c>
      <c r="T71" s="2">
        <v>0</v>
      </c>
      <c r="U71" s="2">
        <v>0</v>
      </c>
      <c r="V71" s="2">
        <v>0</v>
      </c>
      <c r="X71" s="2">
        <f t="shared" si="18"/>
        <v>0.7</v>
      </c>
      <c r="Y71" s="2">
        <f t="shared" si="30"/>
        <v>3.7199999999999998</v>
      </c>
      <c r="Z71" s="2">
        <v>0.2</v>
      </c>
      <c r="AA71" s="2">
        <f t="shared" si="19"/>
        <v>1.1291719364541113</v>
      </c>
      <c r="AB71" s="2">
        <f t="shared" si="31"/>
        <v>4.8491719364541108</v>
      </c>
      <c r="AE71" s="2">
        <v>70</v>
      </c>
      <c r="AH71" s="32">
        <v>2.92</v>
      </c>
      <c r="AI71">
        <v>0.8</v>
      </c>
      <c r="AM71">
        <v>1992</v>
      </c>
      <c r="AN71" s="1">
        <f t="shared" si="21"/>
        <v>6.7750316187246673</v>
      </c>
      <c r="AO71" s="1">
        <f t="shared" si="22"/>
        <v>3.7199999999999998</v>
      </c>
      <c r="AP71" s="1">
        <f t="shared" si="23"/>
        <v>1.1291719364541113</v>
      </c>
      <c r="AQ71" s="1">
        <f t="shared" si="24"/>
        <v>4.8491719364541108</v>
      </c>
      <c r="AR71" s="1">
        <f t="shared" si="7"/>
        <v>1.9258596822705565</v>
      </c>
      <c r="AT71" s="3">
        <v>68.828479104167059</v>
      </c>
      <c r="AV71" s="1">
        <f t="shared" si="8"/>
        <v>9.8433551153602181</v>
      </c>
      <c r="AW71" s="1">
        <f t="shared" si="25"/>
        <v>10.430573085053704</v>
      </c>
      <c r="AX71" s="1">
        <f t="shared" si="9"/>
        <v>7.0452986896822614</v>
      </c>
      <c r="AY71" s="1">
        <f t="shared" si="29"/>
        <v>2.7980564256779568</v>
      </c>
      <c r="AZ71" s="1">
        <f t="shared" si="11"/>
        <v>3.3852743953714421</v>
      </c>
      <c r="BA71" s="3">
        <f t="shared" si="12"/>
        <v>185.81612097870243</v>
      </c>
      <c r="BB71">
        <v>0</v>
      </c>
      <c r="BC71" s="23">
        <v>1</v>
      </c>
      <c r="BD71">
        <v>0</v>
      </c>
      <c r="BF71" s="1">
        <f t="shared" si="13"/>
        <v>11.556488999513961</v>
      </c>
      <c r="BG71" s="1">
        <f t="shared" si="14"/>
        <v>12.245906167496663</v>
      </c>
      <c r="BQ71" s="2">
        <f t="shared" si="26"/>
        <v>127.89440999999998</v>
      </c>
      <c r="BR71">
        <v>0</v>
      </c>
      <c r="BS71">
        <f t="shared" si="27"/>
        <v>0</v>
      </c>
      <c r="BT71" s="2">
        <f t="shared" si="28"/>
        <v>127.89440999999998</v>
      </c>
      <c r="BU71">
        <f t="shared" si="15"/>
        <v>185.8161209787024</v>
      </c>
      <c r="CB71">
        <v>0.161</v>
      </c>
      <c r="CC71">
        <f t="shared" si="34"/>
        <v>6.2111801242236027</v>
      </c>
    </row>
    <row r="72" spans="1:81">
      <c r="A72">
        <v>1993</v>
      </c>
      <c r="B72" s="3">
        <f t="shared" si="0"/>
        <v>148.91018934909621</v>
      </c>
      <c r="C72" s="3">
        <f t="shared" si="1"/>
        <v>66.241014180537462</v>
      </c>
      <c r="D72" s="2">
        <v>104.051</v>
      </c>
      <c r="E72" s="2">
        <v>94.799300000000002</v>
      </c>
      <c r="F72" s="2">
        <f t="shared" si="16"/>
        <v>98.639619643000003</v>
      </c>
      <c r="G72" s="2">
        <v>7.0941299999999989</v>
      </c>
      <c r="H72" s="2">
        <f t="shared" si="17"/>
        <v>6.9976228489799555</v>
      </c>
      <c r="I72" s="32">
        <f t="shared" si="32"/>
        <v>6.9976228489799555</v>
      </c>
      <c r="J72" s="32">
        <f t="shared" si="3"/>
        <v>7.342839281317854</v>
      </c>
      <c r="K72" s="2">
        <f t="shared" si="33"/>
        <v>7.363924437299036</v>
      </c>
      <c r="L72" s="2">
        <v>86.7</v>
      </c>
      <c r="P72" s="32">
        <f t="shared" si="4"/>
        <v>1.8657564335901275</v>
      </c>
      <c r="Q72" s="32">
        <f t="shared" si="5"/>
        <v>2.2109728659280266</v>
      </c>
      <c r="S72" s="2">
        <f>USA!Z80*G72</f>
        <v>130.74481589999999</v>
      </c>
      <c r="T72" s="2">
        <v>0</v>
      </c>
      <c r="U72" s="2">
        <v>0</v>
      </c>
      <c r="V72" s="2">
        <v>0</v>
      </c>
      <c r="X72" s="2">
        <f t="shared" si="18"/>
        <v>0.71400000000000008</v>
      </c>
      <c r="Y72" s="2">
        <f t="shared" si="30"/>
        <v>3.87</v>
      </c>
      <c r="Z72" s="32">
        <v>0.22</v>
      </c>
      <c r="AA72" s="2">
        <f t="shared" si="19"/>
        <v>1.261866415389828</v>
      </c>
      <c r="AB72" s="2">
        <f t="shared" si="31"/>
        <v>5.1318664153898279</v>
      </c>
      <c r="AE72" s="2">
        <v>71.400000000000006</v>
      </c>
      <c r="AH72" s="32">
        <v>3.07</v>
      </c>
      <c r="AI72">
        <v>0.8</v>
      </c>
      <c r="AM72">
        <v>1993</v>
      </c>
      <c r="AN72" s="1">
        <f t="shared" si="21"/>
        <v>6.9976228489799555</v>
      </c>
      <c r="AO72" s="1">
        <f t="shared" si="22"/>
        <v>3.87</v>
      </c>
      <c r="AP72" s="1">
        <f t="shared" si="23"/>
        <v>1.261866415389828</v>
      </c>
      <c r="AQ72" s="1">
        <f t="shared" si="24"/>
        <v>5.1318664153898279</v>
      </c>
      <c r="AR72" s="1">
        <f t="shared" si="7"/>
        <v>1.8657564335901275</v>
      </c>
      <c r="AT72" s="3">
        <v>70.401294510726586</v>
      </c>
      <c r="AV72" s="1">
        <f t="shared" si="8"/>
        <v>9.9396224140648055</v>
      </c>
      <c r="AW72" s="1">
        <f t="shared" si="25"/>
        <v>10.674019270960216</v>
      </c>
      <c r="AX72" s="1">
        <f t="shared" si="9"/>
        <v>7.2894489384821171</v>
      </c>
      <c r="AY72" s="1">
        <f t="shared" si="29"/>
        <v>2.6501734755826885</v>
      </c>
      <c r="AZ72" s="1">
        <f t="shared" si="11"/>
        <v>3.3845703324780985</v>
      </c>
      <c r="BA72" s="3">
        <f t="shared" si="12"/>
        <v>185.71365314891938</v>
      </c>
      <c r="BB72">
        <v>0</v>
      </c>
      <c r="BC72" s="23">
        <v>1</v>
      </c>
      <c r="BD72">
        <v>0</v>
      </c>
      <c r="BF72" s="1">
        <f t="shared" si="13"/>
        <v>11.66951062328495</v>
      </c>
      <c r="BG72" s="1">
        <f t="shared" si="14"/>
        <v>12.531721637570689</v>
      </c>
      <c r="BQ72" s="2">
        <f t="shared" si="26"/>
        <v>130.74481589999999</v>
      </c>
      <c r="BR72">
        <v>0</v>
      </c>
      <c r="BS72">
        <f t="shared" si="27"/>
        <v>0</v>
      </c>
      <c r="BT72" s="2">
        <f t="shared" si="28"/>
        <v>130.74481589999999</v>
      </c>
      <c r="BU72">
        <f t="shared" si="15"/>
        <v>185.71365314891938</v>
      </c>
      <c r="CB72">
        <v>0.14099999999999999</v>
      </c>
      <c r="CC72">
        <f t="shared" si="34"/>
        <v>7.0921985815602842</v>
      </c>
    </row>
    <row r="73" spans="1:81">
      <c r="A73">
        <v>1994</v>
      </c>
      <c r="B73" s="3">
        <f t="shared" si="0"/>
        <v>171.84542970727267</v>
      </c>
      <c r="C73" s="3">
        <f t="shared" si="1"/>
        <v>67.968212466727536</v>
      </c>
      <c r="D73" s="2">
        <v>120.077</v>
      </c>
      <c r="E73" s="2">
        <v>97.271140000000003</v>
      </c>
      <c r="F73" s="2">
        <f t="shared" si="16"/>
        <v>116.8002667778</v>
      </c>
      <c r="G73" s="2">
        <v>7.0575799999999989</v>
      </c>
      <c r="H73" s="2">
        <f t="shared" si="17"/>
        <v>8.243272268056657</v>
      </c>
      <c r="I73" s="32">
        <f t="shared" si="32"/>
        <v>8.243272268056657</v>
      </c>
      <c r="J73" s="32">
        <f t="shared" si="3"/>
        <v>7.6894221004223651</v>
      </c>
      <c r="K73" s="2">
        <f t="shared" si="33"/>
        <v>7.3978987138263657</v>
      </c>
      <c r="L73" s="2">
        <v>87.1</v>
      </c>
      <c r="P73" s="32">
        <f t="shared" si="4"/>
        <v>2.6967805475874229</v>
      </c>
      <c r="Q73" s="32">
        <f t="shared" si="5"/>
        <v>2.142930379953131</v>
      </c>
      <c r="S73" s="2">
        <f>USA!Z81*G73</f>
        <v>121.39037599999997</v>
      </c>
      <c r="T73" s="2">
        <v>0</v>
      </c>
      <c r="U73" s="2">
        <v>0</v>
      </c>
      <c r="V73" s="2">
        <v>0</v>
      </c>
      <c r="X73" s="2">
        <f t="shared" si="18"/>
        <v>0.74</v>
      </c>
      <c r="Y73" s="2">
        <f t="shared" si="30"/>
        <v>4.0600000000000005</v>
      </c>
      <c r="Z73" s="32">
        <v>0.22</v>
      </c>
      <c r="AA73" s="2">
        <f t="shared" si="19"/>
        <v>1.4864917204692334</v>
      </c>
      <c r="AB73" s="2">
        <f t="shared" si="31"/>
        <v>5.5464917204692341</v>
      </c>
      <c r="AE73" s="2">
        <v>74</v>
      </c>
      <c r="AH73" s="32">
        <v>3.24</v>
      </c>
      <c r="AI73">
        <v>0.82</v>
      </c>
      <c r="AM73">
        <v>1994</v>
      </c>
      <c r="AN73" s="1">
        <f t="shared" si="21"/>
        <v>8.243272268056657</v>
      </c>
      <c r="AO73" s="1">
        <f t="shared" si="22"/>
        <v>4.0600000000000005</v>
      </c>
      <c r="AP73" s="1">
        <f t="shared" si="23"/>
        <v>1.4864917204692334</v>
      </c>
      <c r="AQ73" s="1">
        <f t="shared" si="24"/>
        <v>5.5464917204692341</v>
      </c>
      <c r="AR73" s="1">
        <f t="shared" si="7"/>
        <v>2.6967805475874229</v>
      </c>
      <c r="AT73" s="3">
        <v>71.385113176789062</v>
      </c>
      <c r="AV73" s="1">
        <f t="shared" si="8"/>
        <v>11.547606918604655</v>
      </c>
      <c r="AW73" s="1">
        <f t="shared" si="25"/>
        <v>11.046759986956335</v>
      </c>
      <c r="AX73" s="1">
        <f t="shared" si="9"/>
        <v>7.7698156851457947</v>
      </c>
      <c r="AY73" s="1">
        <f t="shared" si="29"/>
        <v>3.7777912334588608</v>
      </c>
      <c r="AZ73" s="1">
        <f t="shared" si="11"/>
        <v>3.2769443018105404</v>
      </c>
      <c r="BA73" s="3">
        <f t="shared" si="12"/>
        <v>170.0499874523841</v>
      </c>
      <c r="BB73">
        <v>0</v>
      </c>
      <c r="BC73" s="23">
        <v>1</v>
      </c>
      <c r="BD73">
        <v>0</v>
      </c>
      <c r="BF73" s="1">
        <f t="shared" si="13"/>
        <v>13.557348156353944</v>
      </c>
      <c r="BG73" s="1">
        <f t="shared" si="14"/>
        <v>12.969334009937331</v>
      </c>
      <c r="BQ73" s="2">
        <f t="shared" si="26"/>
        <v>121.39037599999997</v>
      </c>
      <c r="BR73">
        <v>0</v>
      </c>
      <c r="BS73">
        <f t="shared" si="27"/>
        <v>0</v>
      </c>
      <c r="BT73" s="2">
        <f t="shared" si="28"/>
        <v>121.39037599999997</v>
      </c>
      <c r="BU73">
        <f t="shared" si="15"/>
        <v>170.04998745238407</v>
      </c>
      <c r="CB73">
        <v>0.14199999999999999</v>
      </c>
      <c r="CC73">
        <f t="shared" si="34"/>
        <v>7.042253521126761</v>
      </c>
    </row>
    <row r="74" spans="1:81">
      <c r="A74">
        <v>1995</v>
      </c>
      <c r="B74" s="3">
        <f t="shared" si="0"/>
        <v>185.51698537566517</v>
      </c>
      <c r="C74" s="3">
        <f t="shared" si="1"/>
        <v>69.875003486879606</v>
      </c>
      <c r="D74" s="2">
        <v>129.63</v>
      </c>
      <c r="E74" s="2">
        <v>100</v>
      </c>
      <c r="F74" s="2">
        <f t="shared" si="16"/>
        <v>129.63</v>
      </c>
      <c r="G74" s="2">
        <v>6.3351600000000001</v>
      </c>
      <c r="H74" s="2">
        <f t="shared" si="17"/>
        <v>8.2122679079999994</v>
      </c>
      <c r="I74" s="32">
        <f t="shared" si="32"/>
        <v>8.2122679079999994</v>
      </c>
      <c r="J74" s="32">
        <f t="shared" si="3"/>
        <v>8.0448553735055999</v>
      </c>
      <c r="K74" s="2">
        <f t="shared" si="33"/>
        <v>7.7716157556270105</v>
      </c>
      <c r="L74" s="2">
        <v>91.5</v>
      </c>
      <c r="M74" s="2">
        <f>G74*N74/100</f>
        <v>8.4257627999999993</v>
      </c>
      <c r="N74" s="39">
        <v>133</v>
      </c>
      <c r="P74" s="32">
        <f t="shared" si="4"/>
        <v>2.2766405756097559</v>
      </c>
      <c r="Q74" s="32">
        <f t="shared" si="5"/>
        <v>2.1092280411153563</v>
      </c>
      <c r="S74" s="2">
        <f>USA!Z82*G74</f>
        <v>116.75699880000001</v>
      </c>
      <c r="T74" s="2">
        <v>0</v>
      </c>
      <c r="U74" s="2">
        <v>0</v>
      </c>
      <c r="V74" s="2">
        <v>0</v>
      </c>
      <c r="X74" s="2">
        <f t="shared" si="18"/>
        <v>0.74</v>
      </c>
      <c r="Y74" s="2">
        <f t="shared" si="30"/>
        <v>4.3999999999999995</v>
      </c>
      <c r="Z74" s="32">
        <v>0.23</v>
      </c>
      <c r="AA74" s="2">
        <f t="shared" si="19"/>
        <v>1.5356273323902438</v>
      </c>
      <c r="AB74" s="2">
        <f t="shared" si="31"/>
        <v>5.9356273323902435</v>
      </c>
      <c r="AE74" s="2">
        <v>74</v>
      </c>
      <c r="AH74" s="32">
        <v>3.57</v>
      </c>
      <c r="AI74">
        <v>0.83</v>
      </c>
      <c r="AM74">
        <v>1995</v>
      </c>
      <c r="AN74" s="1">
        <f t="shared" si="21"/>
        <v>8.2122679079999994</v>
      </c>
      <c r="AO74" s="1">
        <f t="shared" si="22"/>
        <v>4.3999999999999995</v>
      </c>
      <c r="AP74" s="1">
        <f t="shared" si="23"/>
        <v>1.5356273323902438</v>
      </c>
      <c r="AQ74" s="1">
        <f t="shared" si="24"/>
        <v>5.9356273323902435</v>
      </c>
      <c r="AR74" s="1">
        <f t="shared" si="7"/>
        <v>2.2766405756097559</v>
      </c>
      <c r="AT74" s="3">
        <v>73.132686421660978</v>
      </c>
      <c r="AV74" s="1">
        <f t="shared" si="8"/>
        <v>11.229271492435739</v>
      </c>
      <c r="AW74" s="1">
        <f t="shared" si="25"/>
        <v>11.321735662336309</v>
      </c>
      <c r="AX74" s="1">
        <f t="shared" si="9"/>
        <v>8.1162440802013052</v>
      </c>
      <c r="AY74" s="1">
        <f t="shared" si="29"/>
        <v>3.1130274122344339</v>
      </c>
      <c r="AZ74" s="1">
        <f t="shared" si="11"/>
        <v>3.2054915821350045</v>
      </c>
      <c r="BA74" s="3">
        <f t="shared" si="12"/>
        <v>159.65090920742938</v>
      </c>
      <c r="BB74">
        <v>0</v>
      </c>
      <c r="BC74" s="23">
        <v>1</v>
      </c>
      <c r="BD74">
        <v>0</v>
      </c>
      <c r="BF74" s="1">
        <f t="shared" si="13"/>
        <v>13.183609750336673</v>
      </c>
      <c r="BG74" s="1">
        <f t="shared" si="14"/>
        <v>13.292166350173011</v>
      </c>
      <c r="BQ74" s="2">
        <f t="shared" si="26"/>
        <v>116.75699880000001</v>
      </c>
      <c r="BR74">
        <v>0</v>
      </c>
      <c r="BS74">
        <f t="shared" si="27"/>
        <v>0</v>
      </c>
      <c r="BT74" s="2">
        <f t="shared" si="28"/>
        <v>116.75699880000001</v>
      </c>
      <c r="BU74">
        <f t="shared" si="15"/>
        <v>159.65090920742938</v>
      </c>
      <c r="CB74">
        <v>0.158</v>
      </c>
      <c r="CC74">
        <f t="shared" si="34"/>
        <v>6.3291139240506329</v>
      </c>
    </row>
    <row r="75" spans="1:81">
      <c r="A75">
        <v>1996</v>
      </c>
      <c r="B75" s="3">
        <f t="shared" si="0"/>
        <v>184.19605520902371</v>
      </c>
      <c r="C75" s="3">
        <f t="shared" si="1"/>
        <v>71.923179589087013</v>
      </c>
      <c r="D75" s="2">
        <v>128.70699999999999</v>
      </c>
      <c r="E75" s="2">
        <v>102.9312</v>
      </c>
      <c r="F75" s="2">
        <f t="shared" si="16"/>
        <v>132.47965958399999</v>
      </c>
      <c r="G75" s="2">
        <v>6.4498099999999994</v>
      </c>
      <c r="H75" s="2">
        <f t="shared" si="17"/>
        <v>8.5446863318147894</v>
      </c>
      <c r="I75" s="32">
        <f t="shared" si="32"/>
        <v>8.5446863318147894</v>
      </c>
      <c r="J75" s="32">
        <f t="shared" si="3"/>
        <v>8.3854998752431484</v>
      </c>
      <c r="K75" s="2">
        <f t="shared" si="33"/>
        <v>7.9499807073954987</v>
      </c>
      <c r="L75" s="2">
        <v>93.6</v>
      </c>
      <c r="M75" s="2">
        <f t="shared" ref="M75:M87" si="35">G75*N75/100</f>
        <v>8.3202548999999983</v>
      </c>
      <c r="N75" s="2">
        <f>N74+(N$77-N$74)/3</f>
        <v>129</v>
      </c>
      <c r="P75" s="32">
        <f t="shared" si="4"/>
        <v>2.4568994567599916</v>
      </c>
      <c r="Q75" s="32">
        <f t="shared" si="5"/>
        <v>2.2977130001883515</v>
      </c>
      <c r="S75" s="2">
        <f>USA!Z83*G75</f>
        <v>142.6697972</v>
      </c>
      <c r="T75" s="2">
        <v>0</v>
      </c>
      <c r="U75" s="2">
        <v>0</v>
      </c>
      <c r="V75" s="2">
        <v>0</v>
      </c>
      <c r="X75" s="2">
        <f t="shared" si="18"/>
        <v>0.746</v>
      </c>
      <c r="Y75" s="2">
        <f t="shared" si="30"/>
        <v>4.49</v>
      </c>
      <c r="Z75" s="32">
        <v>0.23</v>
      </c>
      <c r="AA75" s="2">
        <f t="shared" si="19"/>
        <v>1.5977868750547979</v>
      </c>
      <c r="AB75" s="2">
        <f t="shared" si="31"/>
        <v>6.0877868750547979</v>
      </c>
      <c r="AE75" s="2">
        <v>74.599999999999994</v>
      </c>
      <c r="AH75" s="32">
        <v>3.64</v>
      </c>
      <c r="AI75">
        <v>0.85</v>
      </c>
      <c r="AM75">
        <v>1996</v>
      </c>
      <c r="AN75" s="1">
        <f t="shared" si="21"/>
        <v>8.5446863318147894</v>
      </c>
      <c r="AO75" s="1">
        <f t="shared" si="22"/>
        <v>4.49</v>
      </c>
      <c r="AP75" s="1">
        <f t="shared" si="23"/>
        <v>1.5977868750547979</v>
      </c>
      <c r="AQ75" s="1">
        <f t="shared" si="24"/>
        <v>6.0877868750547979</v>
      </c>
      <c r="AR75" s="1">
        <f t="shared" si="7"/>
        <v>2.4568994567599916</v>
      </c>
      <c r="AT75" s="3">
        <v>74.045307752863152</v>
      </c>
      <c r="AV75" s="1">
        <f t="shared" si="8"/>
        <v>11.539807978560784</v>
      </c>
      <c r="AW75" s="1">
        <f t="shared" si="25"/>
        <v>11.235105483908864</v>
      </c>
      <c r="AX75" s="1">
        <f t="shared" si="9"/>
        <v>8.2217051421727643</v>
      </c>
      <c r="AY75" s="1">
        <f t="shared" si="29"/>
        <v>3.3181028363880198</v>
      </c>
      <c r="AZ75" s="1">
        <f t="shared" si="11"/>
        <v>3.0134003417361006</v>
      </c>
      <c r="BA75" s="3">
        <f t="shared" si="12"/>
        <v>192.67905223134591</v>
      </c>
      <c r="BB75">
        <v>0</v>
      </c>
      <c r="BC75" s="23">
        <v>1</v>
      </c>
      <c r="BD75" s="23">
        <v>1</v>
      </c>
      <c r="BF75" s="1">
        <f t="shared" si="13"/>
        <v>13.548191891668926</v>
      </c>
      <c r="BG75" s="1">
        <f t="shared" si="14"/>
        <v>13.190459087528341</v>
      </c>
      <c r="BQ75" s="2">
        <f t="shared" si="26"/>
        <v>142.6697972</v>
      </c>
      <c r="BR75">
        <v>0</v>
      </c>
      <c r="BS75">
        <f t="shared" si="27"/>
        <v>0</v>
      </c>
      <c r="BT75" s="2">
        <f t="shared" si="28"/>
        <v>142.6697972</v>
      </c>
      <c r="BU75">
        <f t="shared" si="15"/>
        <v>192.67905223134591</v>
      </c>
      <c r="CB75">
        <v>0.155</v>
      </c>
      <c r="CC75">
        <f t="shared" si="34"/>
        <v>6.4516129032258069</v>
      </c>
    </row>
    <row r="76" spans="1:81">
      <c r="A76">
        <v>1997</v>
      </c>
      <c r="B76" s="3">
        <f t="shared" si="0"/>
        <v>163.62833216701458</v>
      </c>
      <c r="C76" s="3">
        <f t="shared" si="1"/>
        <v>73.604511922988308</v>
      </c>
      <c r="D76" s="2">
        <v>115.34399999999999</v>
      </c>
      <c r="E76" s="2">
        <v>105.3374</v>
      </c>
      <c r="F76" s="2">
        <f t="shared" si="16"/>
        <v>121.500370656</v>
      </c>
      <c r="G76" s="2">
        <v>7.0734000000000004</v>
      </c>
      <c r="H76" s="32">
        <f t="shared" si="17"/>
        <v>8.5942072179815039</v>
      </c>
      <c r="I76" s="32">
        <f>K76</f>
        <v>8.5190498392282965</v>
      </c>
      <c r="J76" s="32">
        <f t="shared" si="3"/>
        <v>8.8033492837918459</v>
      </c>
      <c r="K76" s="39">
        <f t="shared" si="33"/>
        <v>8.5190498392282965</v>
      </c>
      <c r="L76" s="2">
        <v>100.3</v>
      </c>
      <c r="M76" s="39">
        <f t="shared" si="35"/>
        <v>8.8417500000000011</v>
      </c>
      <c r="N76" s="2">
        <f>N75+(N$77-N$74)/3</f>
        <v>125</v>
      </c>
      <c r="P76" s="32">
        <f t="shared" si="4"/>
        <v>2.0360567798604041</v>
      </c>
      <c r="Q76" s="32">
        <f t="shared" si="5"/>
        <v>2.3203562244239544</v>
      </c>
      <c r="S76" s="2">
        <f>USA!Z84*G76</f>
        <v>145.78277399999999</v>
      </c>
      <c r="T76" s="2">
        <v>0</v>
      </c>
      <c r="U76" s="2">
        <v>0</v>
      </c>
      <c r="V76" s="2">
        <v>0</v>
      </c>
      <c r="X76" s="2">
        <f t="shared" si="18"/>
        <v>0.752</v>
      </c>
      <c r="Y76" s="2">
        <f t="shared" si="30"/>
        <v>4.8899999999999997</v>
      </c>
      <c r="Z76" s="32">
        <v>0.23</v>
      </c>
      <c r="AA76" s="2">
        <f t="shared" si="19"/>
        <v>1.5929930593678929</v>
      </c>
      <c r="AB76" s="2">
        <f t="shared" si="31"/>
        <v>6.4829930593678924</v>
      </c>
      <c r="AE76" s="2">
        <v>75.2</v>
      </c>
      <c r="AH76" s="32">
        <v>4.0199999999999996</v>
      </c>
      <c r="AI76">
        <v>0.87</v>
      </c>
      <c r="AM76">
        <v>1997</v>
      </c>
      <c r="AN76" s="1">
        <f t="shared" si="21"/>
        <v>8.5190498392282965</v>
      </c>
      <c r="AO76" s="1">
        <f t="shared" si="22"/>
        <v>4.8899999999999997</v>
      </c>
      <c r="AP76" s="1">
        <f t="shared" si="23"/>
        <v>1.5929930593678929</v>
      </c>
      <c r="AQ76" s="1">
        <f t="shared" si="24"/>
        <v>6.4829930593678924</v>
      </c>
      <c r="AR76" s="1">
        <f t="shared" ref="AR76:AR96" si="36">AN76-AQ76</f>
        <v>2.0360567798604041</v>
      </c>
      <c r="AT76" s="3">
        <v>75.95469263074699</v>
      </c>
      <c r="AV76" s="1">
        <f t="shared" ref="AV76:AV96" si="37">AN76/$AT76*100</f>
        <v>11.215962495752008</v>
      </c>
      <c r="AW76" s="1">
        <f t="shared" si="25"/>
        <v>11.543622450770684</v>
      </c>
      <c r="AX76" s="1">
        <f t="shared" si="9"/>
        <v>8.5353423663826806</v>
      </c>
      <c r="AY76" s="1">
        <f t="shared" si="29"/>
        <v>2.680620129369327</v>
      </c>
      <c r="AZ76" s="1">
        <f t="shared" ref="AZ76:AZ97" si="38">AW$99+AW$100*BA76+AW$101*BB76+AW$102*BC76+AW$103*BD76</f>
        <v>3.0082800843880033</v>
      </c>
      <c r="BA76" s="3">
        <f t="shared" ref="BA76:BA96" si="39">S76/AT76*100</f>
        <v>191.93386076713068</v>
      </c>
      <c r="BB76">
        <v>0</v>
      </c>
      <c r="BC76" s="23">
        <v>1</v>
      </c>
      <c r="BD76" s="23">
        <v>1</v>
      </c>
      <c r="BF76" s="1">
        <f t="shared" si="13"/>
        <v>13.167984460791841</v>
      </c>
      <c r="BG76" s="1">
        <f t="shared" si="14"/>
        <v>13.552670233211625</v>
      </c>
      <c r="BQ76" s="2">
        <f t="shared" si="26"/>
        <v>145.78277399999999</v>
      </c>
      <c r="BR76">
        <v>0</v>
      </c>
      <c r="BS76">
        <f t="shared" si="27"/>
        <v>0</v>
      </c>
      <c r="BT76" s="2">
        <f t="shared" si="28"/>
        <v>145.78277399999999</v>
      </c>
      <c r="BU76">
        <f t="shared" si="15"/>
        <v>191.93386076713068</v>
      </c>
      <c r="CB76">
        <v>0.14099999999999999</v>
      </c>
      <c r="CC76">
        <f t="shared" si="34"/>
        <v>7.0921985815602842</v>
      </c>
    </row>
    <row r="77" spans="1:81">
      <c r="A77">
        <v>1998</v>
      </c>
      <c r="B77" s="3">
        <f t="shared" si="0"/>
        <v>150.60217281534833</v>
      </c>
      <c r="C77" s="3">
        <f t="shared" si="1"/>
        <v>74.747038105002289</v>
      </c>
      <c r="D77" s="2">
        <v>105.44799999999999</v>
      </c>
      <c r="E77" s="2">
        <v>106.9725</v>
      </c>
      <c r="F77" s="2">
        <f t="shared" si="16"/>
        <v>112.80036179999999</v>
      </c>
      <c r="G77" s="2">
        <v>7.5450999999999988</v>
      </c>
      <c r="H77" s="32">
        <f t="shared" si="17"/>
        <v>8.5109000981717973</v>
      </c>
      <c r="I77" s="32">
        <f>K77</f>
        <v>8.4935691318327979</v>
      </c>
      <c r="J77" s="32">
        <f t="shared" si="3"/>
        <v>8.6395811481602767</v>
      </c>
      <c r="K77" s="2">
        <f t="shared" si="33"/>
        <v>8.4935691318327979</v>
      </c>
      <c r="L77" s="2">
        <v>100</v>
      </c>
      <c r="M77" s="2">
        <f t="shared" si="35"/>
        <v>9.1295709999999985</v>
      </c>
      <c r="N77" s="39">
        <v>121</v>
      </c>
      <c r="P77" s="32">
        <f t="shared" si="4"/>
        <v>1.9053407575876404</v>
      </c>
      <c r="Q77" s="32">
        <f t="shared" si="5"/>
        <v>2.0513527739151192</v>
      </c>
      <c r="S77" s="2">
        <f>USA!Z85*G77</f>
        <v>108.80034199999999</v>
      </c>
      <c r="T77" s="2">
        <v>0</v>
      </c>
      <c r="U77" s="2">
        <v>0</v>
      </c>
      <c r="V77" s="2">
        <v>0</v>
      </c>
      <c r="X77" s="2">
        <f t="shared" si="18"/>
        <v>0.78700000000000003</v>
      </c>
      <c r="Y77" s="2">
        <f t="shared" si="30"/>
        <v>5</v>
      </c>
      <c r="Z77" s="32">
        <v>0.23</v>
      </c>
      <c r="AA77" s="2">
        <f t="shared" si="19"/>
        <v>1.5882283742451573</v>
      </c>
      <c r="AB77" s="2">
        <f t="shared" si="31"/>
        <v>6.5882283742451575</v>
      </c>
      <c r="AE77" s="2">
        <v>78.7</v>
      </c>
      <c r="AH77" s="32">
        <v>4.1100000000000003</v>
      </c>
      <c r="AI77">
        <v>0.89</v>
      </c>
      <c r="AM77">
        <v>1998</v>
      </c>
      <c r="AN77" s="1">
        <f t="shared" si="21"/>
        <v>8.4935691318327979</v>
      </c>
      <c r="AO77" s="1">
        <f t="shared" si="22"/>
        <v>5</v>
      </c>
      <c r="AP77" s="1">
        <f t="shared" si="23"/>
        <v>1.5882283742451573</v>
      </c>
      <c r="AQ77" s="1">
        <f t="shared" ref="AQ77:AQ96" si="40">AB77</f>
        <v>6.5882283742451575</v>
      </c>
      <c r="AR77" s="1">
        <f t="shared" si="36"/>
        <v>1.9053407575876404</v>
      </c>
      <c r="AT77" s="3">
        <v>77.676375118187437</v>
      </c>
      <c r="AV77" s="1">
        <f t="shared" si="37"/>
        <v>10.934559084289814</v>
      </c>
      <c r="AW77" s="1">
        <f t="shared" si="25"/>
        <v>11.133549037950946</v>
      </c>
      <c r="AX77" s="1">
        <f t="shared" si="9"/>
        <v>8.4816372600046392</v>
      </c>
      <c r="AY77" s="1">
        <f t="shared" si="29"/>
        <v>2.4529218242851751</v>
      </c>
      <c r="AZ77" s="1">
        <f t="shared" si="38"/>
        <v>2.6519117779463066</v>
      </c>
      <c r="BA77" s="3">
        <f t="shared" si="39"/>
        <v>140.068768444017</v>
      </c>
      <c r="BB77">
        <v>0</v>
      </c>
      <c r="BC77" s="23">
        <v>1</v>
      </c>
      <c r="BD77" s="23">
        <v>1</v>
      </c>
      <c r="BF77" s="1">
        <f t="shared" si="13"/>
        <v>12.837605703663202</v>
      </c>
      <c r="BG77" s="1">
        <f t="shared" si="14"/>
        <v>13.071227795272005</v>
      </c>
      <c r="BQ77" s="2">
        <f t="shared" si="26"/>
        <v>108.80034199999999</v>
      </c>
      <c r="BR77">
        <v>0</v>
      </c>
      <c r="BS77">
        <f t="shared" si="27"/>
        <v>0</v>
      </c>
      <c r="BT77" s="2">
        <f t="shared" si="28"/>
        <v>108.80034199999999</v>
      </c>
      <c r="BU77">
        <f t="shared" si="15"/>
        <v>140.06876844401697</v>
      </c>
      <c r="CB77">
        <v>0.13200000000000001</v>
      </c>
      <c r="CC77">
        <f t="shared" si="34"/>
        <v>7.5757575757575752</v>
      </c>
    </row>
    <row r="78" spans="1:81">
      <c r="A78">
        <v>1999</v>
      </c>
      <c r="B78" s="3">
        <f t="shared" si="0"/>
        <v>153.54778554662224</v>
      </c>
      <c r="C78" s="3">
        <f t="shared" si="1"/>
        <v>75.889564287016256</v>
      </c>
      <c r="D78" s="38">
        <v>114.789</v>
      </c>
      <c r="E78" s="2">
        <v>108.60760000000001</v>
      </c>
      <c r="F78" s="2">
        <f t="shared" si="16"/>
        <v>124.669577964</v>
      </c>
      <c r="G78" s="2">
        <v>7.7991700000000002</v>
      </c>
      <c r="H78" s="32">
        <f t="shared" si="17"/>
        <v>9.7231923236948994</v>
      </c>
      <c r="I78" s="32">
        <f>K78</f>
        <v>9.0881189710610943</v>
      </c>
      <c r="J78" s="32">
        <f t="shared" si="3"/>
        <v>9.1209991366133707</v>
      </c>
      <c r="K78" s="2">
        <f>K$79*L78/L$79</f>
        <v>9.0881189710610943</v>
      </c>
      <c r="L78" s="2">
        <v>107</v>
      </c>
      <c r="M78" s="2">
        <f t="shared" si="35"/>
        <v>9.3590040000000005</v>
      </c>
      <c r="N78" s="2">
        <f>(N77+N79)/2</f>
        <v>120</v>
      </c>
      <c r="P78" s="32">
        <f t="shared" si="4"/>
        <v>2.2187146106187763</v>
      </c>
      <c r="Q78" s="32">
        <f t="shared" si="5"/>
        <v>2.2515947761710535</v>
      </c>
      <c r="S78" s="2">
        <f>USA!Z86*G78</f>
        <v>136.32949160000001</v>
      </c>
      <c r="T78" s="2">
        <v>0</v>
      </c>
      <c r="U78" s="2">
        <v>0</v>
      </c>
      <c r="V78" s="2">
        <v>0</v>
      </c>
      <c r="X78" s="2">
        <f>AE78/100</f>
        <v>0.71400000000000008</v>
      </c>
      <c r="Y78" s="2">
        <f t="shared" si="30"/>
        <v>5.17</v>
      </c>
      <c r="Z78" s="32">
        <v>0.23</v>
      </c>
      <c r="AA78" s="2">
        <f t="shared" si="19"/>
        <v>1.6994043604423184</v>
      </c>
      <c r="AB78" s="2">
        <f>Y78+AA78</f>
        <v>6.8694043604423181</v>
      </c>
      <c r="AE78" s="2">
        <v>71.400000000000006</v>
      </c>
      <c r="AH78" s="32">
        <v>4.25</v>
      </c>
      <c r="AI78">
        <v>0.92</v>
      </c>
      <c r="AM78">
        <v>1999</v>
      </c>
      <c r="AN78" s="1">
        <f t="shared" si="21"/>
        <v>9.0881189710610943</v>
      </c>
      <c r="AO78" s="1">
        <f t="shared" si="22"/>
        <v>5.17</v>
      </c>
      <c r="AP78" s="1">
        <f t="shared" si="23"/>
        <v>1.6994043604423184</v>
      </c>
      <c r="AQ78" s="1">
        <f t="shared" si="40"/>
        <v>6.8694043604423181</v>
      </c>
      <c r="AR78" s="1">
        <f t="shared" si="36"/>
        <v>2.2187146106187763</v>
      </c>
      <c r="AT78" s="3">
        <v>79.488672919856171</v>
      </c>
      <c r="AV78" s="1">
        <f t="shared" si="37"/>
        <v>11.433225184453788</v>
      </c>
      <c r="AW78" s="1">
        <f t="shared" si="25"/>
        <v>11.509924721645437</v>
      </c>
      <c r="AX78" s="1">
        <f t="shared" si="9"/>
        <v>8.6419915040830304</v>
      </c>
      <c r="AY78" s="1">
        <f t="shared" si="29"/>
        <v>2.7912336803707571</v>
      </c>
      <c r="AZ78" s="1">
        <f t="shared" si="38"/>
        <v>2.8679332175624062</v>
      </c>
      <c r="BA78" s="3">
        <f t="shared" si="39"/>
        <v>171.50807353074461</v>
      </c>
      <c r="BB78">
        <v>0</v>
      </c>
      <c r="BC78" s="23">
        <v>1</v>
      </c>
      <c r="BD78" s="23">
        <v>1</v>
      </c>
      <c r="BF78" s="1">
        <f t="shared" si="13"/>
        <v>13.423059467490416</v>
      </c>
      <c r="BG78" s="1">
        <f t="shared" si="14"/>
        <v>13.513107763771012</v>
      </c>
      <c r="BQ78" s="2">
        <f t="shared" si="26"/>
        <v>136.32949160000001</v>
      </c>
      <c r="BR78">
        <v>0</v>
      </c>
      <c r="BS78">
        <f t="shared" si="27"/>
        <v>0</v>
      </c>
      <c r="BT78" s="2">
        <f t="shared" si="28"/>
        <v>136.32949160000001</v>
      </c>
      <c r="BU78">
        <f t="shared" si="15"/>
        <v>171.50807353074464</v>
      </c>
      <c r="CB78">
        <v>0.128</v>
      </c>
      <c r="CC78">
        <f t="shared" si="34"/>
        <v>7.8125</v>
      </c>
    </row>
    <row r="79" spans="1:81">
      <c r="A79">
        <v>2000</v>
      </c>
      <c r="B79" s="3">
        <f t="shared" si="0"/>
        <v>152.03363660176018</v>
      </c>
      <c r="C79" s="3">
        <f t="shared" si="1"/>
        <v>78.958238837304293</v>
      </c>
      <c r="D79" s="2">
        <f>F79/E79*100</f>
        <v>106.23350887670978</v>
      </c>
      <c r="E79" s="2">
        <v>112.9992628224058</v>
      </c>
      <c r="F79" s="2">
        <f>I79/G79*100</f>
        <v>120.04308190105706</v>
      </c>
      <c r="G79" s="2">
        <v>8.8018400000000003</v>
      </c>
      <c r="H79" s="32">
        <f t="shared" ref="H79:H89" si="41">(Q79+AH79)+Z79*(Q79+AH79)</f>
        <v>9.0614015030350377</v>
      </c>
      <c r="I79" s="32">
        <f>K79</f>
        <v>10.566000000000001</v>
      </c>
      <c r="J79" s="32">
        <f t="shared" si="3"/>
        <v>10.282749189459381</v>
      </c>
      <c r="K79" s="2">
        <v>10.566000000000001</v>
      </c>
      <c r="L79" s="2">
        <v>124.4</v>
      </c>
      <c r="M79" s="2">
        <f t="shared" si="35"/>
        <v>10.474189599999999</v>
      </c>
      <c r="N79" s="39">
        <v>119</v>
      </c>
      <c r="P79" s="32">
        <f t="shared" ref="P79:P89" si="42">K79-AB79</f>
        <v>3.3102439024390256</v>
      </c>
      <c r="Q79" s="32">
        <f t="shared" si="5"/>
        <v>3.0269930918984045</v>
      </c>
      <c r="S79" s="2">
        <f>USA!Z87*G79</f>
        <v>242.93078400000002</v>
      </c>
      <c r="T79" s="2">
        <v>0</v>
      </c>
      <c r="U79" s="2">
        <v>0</v>
      </c>
      <c r="V79" s="2">
        <v>0</v>
      </c>
      <c r="Y79" s="2">
        <f t="shared" si="30"/>
        <v>5.2799999999999994</v>
      </c>
      <c r="Z79" s="32">
        <v>0.23</v>
      </c>
      <c r="AA79" s="2">
        <f t="shared" si="19"/>
        <v>1.9757560975609756</v>
      </c>
      <c r="AB79" s="2">
        <f t="shared" si="31"/>
        <v>7.2557560975609752</v>
      </c>
      <c r="AC79" s="37">
        <v>7.2560000000000002</v>
      </c>
      <c r="AH79" s="32">
        <v>4.34</v>
      </c>
      <c r="AI79">
        <v>0.94</v>
      </c>
      <c r="AM79">
        <v>2000</v>
      </c>
      <c r="AN79" s="1">
        <f t="shared" si="21"/>
        <v>10.566000000000001</v>
      </c>
      <c r="AO79" s="1">
        <f t="shared" si="22"/>
        <v>5.2799999999999994</v>
      </c>
      <c r="AP79" s="1">
        <f t="shared" si="23"/>
        <v>1.9757560975609756</v>
      </c>
      <c r="AQ79" s="1">
        <f t="shared" si="40"/>
        <v>7.2557560975609752</v>
      </c>
      <c r="AR79" s="1">
        <f t="shared" si="36"/>
        <v>3.3102439024390256</v>
      </c>
      <c r="AT79" s="3">
        <v>81.941747418460523</v>
      </c>
      <c r="AV79" s="1">
        <f t="shared" si="37"/>
        <v>12.894526090640342</v>
      </c>
      <c r="AW79" s="1">
        <f t="shared" si="25"/>
        <v>12.581311860866496</v>
      </c>
      <c r="AX79" s="1">
        <f t="shared" si="9"/>
        <v>8.8547734532768061</v>
      </c>
      <c r="AY79" s="1">
        <f t="shared" si="29"/>
        <v>4.0397526373635362</v>
      </c>
      <c r="AZ79" s="1">
        <f t="shared" si="38"/>
        <v>3.7265384075896906</v>
      </c>
      <c r="BA79" s="3">
        <f t="shared" si="39"/>
        <v>296.46766349684964</v>
      </c>
      <c r="BB79">
        <v>0</v>
      </c>
      <c r="BC79" s="23">
        <v>1</v>
      </c>
      <c r="BD79" s="23">
        <v>1</v>
      </c>
      <c r="BF79" s="1">
        <f t="shared" si="13"/>
        <v>15.138684642993057</v>
      </c>
      <c r="BG79" s="1">
        <f t="shared" si="14"/>
        <v>14.770958724497609</v>
      </c>
      <c r="BQ79" s="2">
        <f t="shared" si="26"/>
        <v>242.93078400000002</v>
      </c>
      <c r="BR79">
        <v>190</v>
      </c>
      <c r="BS79">
        <f t="shared" si="27"/>
        <v>27.142857142857142</v>
      </c>
      <c r="BT79" s="2">
        <f t="shared" si="28"/>
        <v>270.07364114285718</v>
      </c>
      <c r="BU79">
        <f t="shared" si="15"/>
        <v>329.59224040420298</v>
      </c>
      <c r="CB79">
        <v>0.114</v>
      </c>
      <c r="CC79">
        <f t="shared" si="34"/>
        <v>8.7719298245614024</v>
      </c>
    </row>
    <row r="80" spans="1:81">
      <c r="A80">
        <v>2001</v>
      </c>
      <c r="B80" s="3">
        <f t="shared" si="0"/>
        <v>131.30821905808418</v>
      </c>
      <c r="C80" s="3">
        <f t="shared" si="1"/>
        <v>81.182199298191421</v>
      </c>
      <c r="D80" s="2">
        <f t="shared" ref="D80:D89" si="43">F80/E80*100</f>
        <v>91.751622645395813</v>
      </c>
      <c r="E80" s="2">
        <v>116.1820325539375</v>
      </c>
      <c r="F80" s="2">
        <f t="shared" ref="F80:F89" si="44">I80/G80*100</f>
        <v>106.59890009063966</v>
      </c>
      <c r="G80" s="2">
        <v>8.9916499999999999</v>
      </c>
      <c r="H80" s="32">
        <f t="shared" si="41"/>
        <v>8.2733923865890056</v>
      </c>
      <c r="I80" s="32">
        <f t="shared" ref="I80:I89" si="45">K80</f>
        <v>9.5850000000000009</v>
      </c>
      <c r="J80" s="32">
        <f t="shared" si="3"/>
        <v>9.2472519246685536</v>
      </c>
      <c r="K80" s="2">
        <v>9.5850000000000009</v>
      </c>
      <c r="L80" s="2">
        <v>115.8</v>
      </c>
      <c r="M80" s="2">
        <f t="shared" si="35"/>
        <v>10.879896499999999</v>
      </c>
      <c r="N80" s="2">
        <f>(N79+N81)/2</f>
        <v>121</v>
      </c>
      <c r="P80" s="32">
        <f t="shared" si="42"/>
        <v>3.1098387096774198</v>
      </c>
      <c r="Q80" s="32">
        <f t="shared" si="5"/>
        <v>2.7720906343459717</v>
      </c>
      <c r="S80" s="2">
        <f>USA!Z88*G80</f>
        <v>207.88694800000002</v>
      </c>
      <c r="T80" s="2">
        <v>0</v>
      </c>
      <c r="U80" s="2">
        <v>0</v>
      </c>
      <c r="V80" s="2">
        <v>0</v>
      </c>
      <c r="Y80" s="2">
        <f t="shared" si="30"/>
        <v>4.62</v>
      </c>
      <c r="Z80" s="32">
        <v>0.24</v>
      </c>
      <c r="AA80" s="2">
        <f>Z80*(I80*(1/(1+Z80)))</f>
        <v>1.8551612903225809</v>
      </c>
      <c r="AB80" s="2">
        <f t="shared" si="31"/>
        <v>6.475161290322581</v>
      </c>
      <c r="AC80" s="37">
        <v>6.4749999999999996</v>
      </c>
      <c r="AH80" s="32">
        <v>3.9</v>
      </c>
      <c r="AI80">
        <v>0.72</v>
      </c>
      <c r="AM80">
        <v>2001</v>
      </c>
      <c r="AN80" s="1">
        <f t="shared" si="21"/>
        <v>9.5850000000000009</v>
      </c>
      <c r="AO80" s="1">
        <f t="shared" si="22"/>
        <v>4.62</v>
      </c>
      <c r="AP80" s="1">
        <f t="shared" si="23"/>
        <v>1.8551612903225809</v>
      </c>
      <c r="AQ80" s="1">
        <f t="shared" si="40"/>
        <v>6.475161290322581</v>
      </c>
      <c r="AR80" s="1">
        <f t="shared" si="36"/>
        <v>3.1098387096774198</v>
      </c>
      <c r="AT80" s="3">
        <v>84.414239677880715</v>
      </c>
      <c r="AV80" s="1">
        <f t="shared" si="37"/>
        <v>11.354719341873766</v>
      </c>
      <c r="AW80" s="1">
        <f t="shared" si="25"/>
        <v>11.052324985248219</v>
      </c>
      <c r="AX80" s="1">
        <f t="shared" si="9"/>
        <v>7.6706978763670417</v>
      </c>
      <c r="AY80" s="1">
        <f t="shared" si="29"/>
        <v>3.6840214655067243</v>
      </c>
      <c r="AZ80" s="1">
        <f t="shared" si="38"/>
        <v>3.3816271088811778</v>
      </c>
      <c r="BA80" s="3">
        <f t="shared" si="39"/>
        <v>246.26999993518061</v>
      </c>
      <c r="BB80">
        <v>0</v>
      </c>
      <c r="BC80" s="23">
        <v>1</v>
      </c>
      <c r="BD80" s="23">
        <v>1</v>
      </c>
      <c r="BF80" s="1">
        <f t="shared" si="13"/>
        <v>13.330890497099633</v>
      </c>
      <c r="BG80" s="1">
        <f t="shared" si="14"/>
        <v>12.97586753847397</v>
      </c>
      <c r="BQ80" s="2">
        <f t="shared" si="26"/>
        <v>207.88694800000002</v>
      </c>
      <c r="BR80">
        <v>382</v>
      </c>
      <c r="BS80">
        <f t="shared" si="27"/>
        <v>54.571428571428569</v>
      </c>
      <c r="BT80" s="2">
        <f t="shared" si="28"/>
        <v>262.45837657142857</v>
      </c>
      <c r="BU80">
        <f t="shared" si="15"/>
        <v>310.91718360901285</v>
      </c>
      <c r="CB80">
        <v>0.111</v>
      </c>
      <c r="CC80">
        <f t="shared" si="34"/>
        <v>9.0090090090090094</v>
      </c>
    </row>
    <row r="81" spans="1:84">
      <c r="A81">
        <v>2002</v>
      </c>
      <c r="B81" s="3">
        <f t="shared" si="0"/>
        <v>136.07033033381774</v>
      </c>
      <c r="C81" s="3">
        <f t="shared" si="1"/>
        <v>82.47759894808965</v>
      </c>
      <c r="D81" s="2">
        <f t="shared" si="43"/>
        <v>95.079148065363739</v>
      </c>
      <c r="E81" s="2">
        <v>118.03591389240708</v>
      </c>
      <c r="F81" s="2">
        <f t="shared" si="44"/>
        <v>112.22754134006698</v>
      </c>
      <c r="G81" s="2">
        <v>7.9837800000000003</v>
      </c>
      <c r="H81" s="32">
        <f t="shared" si="41"/>
        <v>8.0409119945766143</v>
      </c>
      <c r="I81" s="32">
        <f t="shared" si="45"/>
        <v>8.9600000000000009</v>
      </c>
      <c r="J81" s="32">
        <f t="shared" si="3"/>
        <v>8.9487999956263025</v>
      </c>
      <c r="K81" s="2">
        <v>8.9600000000000009</v>
      </c>
      <c r="L81" s="2">
        <v>110.7</v>
      </c>
      <c r="M81" s="2">
        <f t="shared" si="35"/>
        <v>9.8200494000000003</v>
      </c>
      <c r="N81" s="39">
        <v>123</v>
      </c>
      <c r="P81" s="32">
        <f t="shared" si="42"/>
        <v>2.6858064516129039</v>
      </c>
      <c r="Q81" s="32">
        <f t="shared" si="5"/>
        <v>2.6746064472392046</v>
      </c>
      <c r="S81" s="2">
        <f>USA!Z89*G81</f>
        <v>194.48488080000001</v>
      </c>
      <c r="T81" s="2">
        <v>0</v>
      </c>
      <c r="U81" s="2">
        <v>0</v>
      </c>
      <c r="V81" s="2">
        <v>0</v>
      </c>
      <c r="Y81" s="2">
        <f t="shared" si="30"/>
        <v>4.54</v>
      </c>
      <c r="Z81" s="32">
        <v>0.24</v>
      </c>
      <c r="AA81" s="2">
        <f t="shared" si="19"/>
        <v>1.7341935483870972</v>
      </c>
      <c r="AB81" s="2">
        <f t="shared" si="31"/>
        <v>6.274193548387097</v>
      </c>
      <c r="AC81" s="37">
        <v>6.274</v>
      </c>
      <c r="AH81" s="32">
        <v>3.81</v>
      </c>
      <c r="AI81">
        <v>0.73</v>
      </c>
      <c r="AM81">
        <v>2002</v>
      </c>
      <c r="AN81" s="1">
        <f t="shared" si="21"/>
        <v>8.9600000000000009</v>
      </c>
      <c r="AO81" s="1">
        <f t="shared" si="22"/>
        <v>4.54</v>
      </c>
      <c r="AP81" s="1">
        <f t="shared" si="23"/>
        <v>1.7341935483870972</v>
      </c>
      <c r="AQ81" s="1">
        <f t="shared" si="40"/>
        <v>6.274193548387097</v>
      </c>
      <c r="AR81" s="1">
        <f t="shared" si="36"/>
        <v>2.6858064516129039</v>
      </c>
      <c r="AT81" s="3">
        <v>85.501618329721751</v>
      </c>
      <c r="AV81" s="1">
        <f t="shared" si="37"/>
        <v>10.479333812662302</v>
      </c>
      <c r="AW81" s="1">
        <f t="shared" si="25"/>
        <v>10.590504894932359</v>
      </c>
      <c r="AX81" s="1">
        <f t="shared" si="9"/>
        <v>7.3380991739732782</v>
      </c>
      <c r="AY81" s="1">
        <f t="shared" si="29"/>
        <v>3.1412346386890242</v>
      </c>
      <c r="AZ81" s="1">
        <f t="shared" si="38"/>
        <v>3.2524057209590804</v>
      </c>
      <c r="BA81" s="3">
        <f t="shared" si="39"/>
        <v>227.46339145301758</v>
      </c>
      <c r="BB81">
        <v>0</v>
      </c>
      <c r="BC81" s="23">
        <v>1</v>
      </c>
      <c r="BD81" s="23">
        <v>1</v>
      </c>
      <c r="BF81" s="1">
        <f t="shared" si="13"/>
        <v>12.303153194106294</v>
      </c>
      <c r="BG81" s="1">
        <f t="shared" si="14"/>
        <v>12.433672450422991</v>
      </c>
      <c r="BQ81" s="2">
        <f t="shared" si="26"/>
        <v>194.48488080000001</v>
      </c>
      <c r="BR81">
        <v>389</v>
      </c>
      <c r="BS81">
        <f t="shared" si="27"/>
        <v>55.571428571428569</v>
      </c>
      <c r="BT81" s="2">
        <f t="shared" si="28"/>
        <v>250.0563093714286</v>
      </c>
      <c r="BU81">
        <f t="shared" si="15"/>
        <v>292.45798413678091</v>
      </c>
      <c r="CB81">
        <v>0.126</v>
      </c>
      <c r="CC81">
        <f t="shared" si="34"/>
        <v>7.9365079365079367</v>
      </c>
    </row>
    <row r="82" spans="1:84">
      <c r="A82">
        <v>2003</v>
      </c>
      <c r="B82" s="3">
        <f t="shared" si="0"/>
        <v>156.88534649132123</v>
      </c>
      <c r="C82" s="3">
        <f t="shared" si="1"/>
        <v>84.37293294912061</v>
      </c>
      <c r="D82" s="2">
        <f t="shared" si="43"/>
        <v>109.62364133121388</v>
      </c>
      <c r="E82" s="2">
        <v>120.74837744367809</v>
      </c>
      <c r="F82" s="2">
        <f t="shared" si="44"/>
        <v>132.36876820211802</v>
      </c>
      <c r="G82" s="2">
        <v>7.0802199999999997</v>
      </c>
      <c r="H82" s="32">
        <f t="shared" si="41"/>
        <v>8.1804230057822167</v>
      </c>
      <c r="I82" s="32">
        <f t="shared" si="45"/>
        <v>9.3719999999999999</v>
      </c>
      <c r="J82" s="32">
        <f t="shared" si="3"/>
        <v>9.1610508111146913</v>
      </c>
      <c r="K82" s="2">
        <v>9.3719999999999999</v>
      </c>
      <c r="L82" s="2">
        <v>113.1</v>
      </c>
      <c r="M82" s="2">
        <f t="shared" si="35"/>
        <v>10.0539124</v>
      </c>
      <c r="N82" s="2">
        <f>(N81+N83)/2</f>
        <v>142</v>
      </c>
      <c r="P82" s="32">
        <f t="shared" si="42"/>
        <v>2.9180645161290313</v>
      </c>
      <c r="Q82" s="32">
        <f t="shared" si="5"/>
        <v>2.7071153272437232</v>
      </c>
      <c r="S82" s="2">
        <f>USA!Z90*G82</f>
        <v>198.954182</v>
      </c>
      <c r="T82" s="2">
        <v>0</v>
      </c>
      <c r="U82" s="2">
        <v>0</v>
      </c>
      <c r="V82" s="2">
        <v>0</v>
      </c>
      <c r="X82" s="2">
        <v>9.125</v>
      </c>
      <c r="Y82" s="2">
        <f t="shared" si="30"/>
        <v>4.6400000000000006</v>
      </c>
      <c r="Z82" s="32">
        <v>0.24</v>
      </c>
      <c r="AA82" s="2">
        <f t="shared" si="19"/>
        <v>1.8139354838709678</v>
      </c>
      <c r="AB82" s="2">
        <f t="shared" si="31"/>
        <v>6.4539354838709686</v>
      </c>
      <c r="AC82" s="37">
        <v>6.4539999999999997</v>
      </c>
      <c r="AE82" s="2">
        <v>9.125</v>
      </c>
      <c r="AH82" s="32">
        <v>3.89</v>
      </c>
      <c r="AI82">
        <v>0.75</v>
      </c>
      <c r="AM82">
        <v>2003</v>
      </c>
      <c r="AN82" s="1">
        <f t="shared" si="21"/>
        <v>9.3719999999999999</v>
      </c>
      <c r="AO82" s="1">
        <f t="shared" si="22"/>
        <v>4.6400000000000006</v>
      </c>
      <c r="AP82" s="1">
        <f t="shared" si="23"/>
        <v>1.8139354838709678</v>
      </c>
      <c r="AQ82" s="1">
        <f t="shared" si="40"/>
        <v>6.4539354838709686</v>
      </c>
      <c r="AR82" s="1">
        <f t="shared" si="36"/>
        <v>2.9180645161290313</v>
      </c>
      <c r="AT82" s="3">
        <v>87.618122824807131</v>
      </c>
      <c r="AV82" s="1">
        <f t="shared" si="37"/>
        <v>10.696417245481692</v>
      </c>
      <c r="AW82" s="1">
        <f t="shared" si="25"/>
        <v>10.61568280750819</v>
      </c>
      <c r="AX82" s="1">
        <f t="shared" si="9"/>
        <v>7.3659823741894641</v>
      </c>
      <c r="AY82" s="1">
        <f t="shared" si="29"/>
        <v>3.330434871292228</v>
      </c>
      <c r="AZ82" s="1">
        <f t="shared" si="38"/>
        <v>3.2497004333187256</v>
      </c>
      <c r="BA82" s="3">
        <f t="shared" si="39"/>
        <v>227.06966959085605</v>
      </c>
      <c r="BB82">
        <v>0</v>
      </c>
      <c r="BC82" s="23">
        <v>1</v>
      </c>
      <c r="BD82" s="23">
        <v>1</v>
      </c>
      <c r="BF82" s="1">
        <f t="shared" si="13"/>
        <v>12.558017747294995</v>
      </c>
      <c r="BG82" s="1">
        <f t="shared" si="14"/>
        <v>12.463232317592597</v>
      </c>
      <c r="BQ82" s="2">
        <f t="shared" si="26"/>
        <v>198.954182</v>
      </c>
      <c r="BR82">
        <v>398</v>
      </c>
      <c r="BS82">
        <f t="shared" si="27"/>
        <v>56.857142857142854</v>
      </c>
      <c r="BT82" s="2">
        <f t="shared" si="28"/>
        <v>255.81132485714286</v>
      </c>
      <c r="BU82">
        <f t="shared" si="15"/>
        <v>291.9616588552563</v>
      </c>
      <c r="CB82">
        <v>0.14099999999999999</v>
      </c>
      <c r="CC82">
        <f t="shared" si="34"/>
        <v>7.0921985815602842</v>
      </c>
    </row>
    <row r="83" spans="1:84">
      <c r="A83">
        <v>2004</v>
      </c>
      <c r="B83" s="3">
        <f t="shared" si="0"/>
        <v>170.98371864561557</v>
      </c>
      <c r="C83" s="3">
        <f t="shared" si="1"/>
        <v>86.62364207534489</v>
      </c>
      <c r="D83" s="2">
        <f t="shared" si="43"/>
        <v>119.4748793656203</v>
      </c>
      <c r="E83" s="2">
        <v>123.96942791081244</v>
      </c>
      <c r="F83" s="2">
        <f t="shared" si="44"/>
        <v>148.11232444669278</v>
      </c>
      <c r="G83" s="2">
        <v>6.7408299999999999</v>
      </c>
      <c r="H83" s="32">
        <f t="shared" si="41"/>
        <v>8.6645581586741329</v>
      </c>
      <c r="I83" s="32">
        <f t="shared" si="45"/>
        <v>9.984</v>
      </c>
      <c r="J83" s="32">
        <f t="shared" si="3"/>
        <v>9.6799339989307533</v>
      </c>
      <c r="K83" s="2">
        <v>9.984</v>
      </c>
      <c r="L83" s="2">
        <v>121.1</v>
      </c>
      <c r="M83" s="2">
        <f t="shared" si="35"/>
        <v>10.852736299999998</v>
      </c>
      <c r="N83" s="39">
        <v>161</v>
      </c>
      <c r="P83" s="32">
        <f t="shared" si="42"/>
        <v>3.3316129032258068</v>
      </c>
      <c r="Q83" s="32">
        <f t="shared" si="5"/>
        <v>3.0275469021565593</v>
      </c>
      <c r="S83" s="2">
        <f>USA!Z91*G83</f>
        <v>243.00692149999998</v>
      </c>
      <c r="T83" s="2">
        <v>0</v>
      </c>
      <c r="U83" s="2">
        <v>0</v>
      </c>
      <c r="V83" s="2">
        <v>0</v>
      </c>
      <c r="X83" s="2">
        <v>9.6999999999999975</v>
      </c>
      <c r="Y83" s="2">
        <f t="shared" si="30"/>
        <v>4.72</v>
      </c>
      <c r="Z83" s="32">
        <v>0.24</v>
      </c>
      <c r="AA83" s="2">
        <f t="shared" si="19"/>
        <v>1.9323870967741936</v>
      </c>
      <c r="AB83" s="2">
        <f t="shared" si="31"/>
        <v>6.6523870967741932</v>
      </c>
      <c r="AC83" s="37">
        <v>6.6520000000000001</v>
      </c>
      <c r="AE83" s="2">
        <v>9.6999999999999975</v>
      </c>
      <c r="AH83" s="32">
        <v>3.96</v>
      </c>
      <c r="AI83">
        <v>0.76</v>
      </c>
      <c r="AM83">
        <v>2004</v>
      </c>
      <c r="AN83" s="1">
        <f t="shared" si="21"/>
        <v>9.984</v>
      </c>
      <c r="AO83" s="1">
        <f t="shared" si="22"/>
        <v>4.72</v>
      </c>
      <c r="AP83" s="1">
        <f t="shared" si="23"/>
        <v>1.9323870967741936</v>
      </c>
      <c r="AQ83" s="1">
        <f t="shared" si="40"/>
        <v>6.6523870967741932</v>
      </c>
      <c r="AR83" s="1">
        <f t="shared" si="36"/>
        <v>3.3316129032258068</v>
      </c>
      <c r="AT83" s="3">
        <v>88.02588985803898</v>
      </c>
      <c r="AV83" s="1">
        <f t="shared" si="37"/>
        <v>11.342117661180575</v>
      </c>
      <c r="AW83" s="1">
        <f t="shared" si="25"/>
        <v>11.143644164759881</v>
      </c>
      <c r="AX83" s="1">
        <f t="shared" si="9"/>
        <v>7.5573074097888977</v>
      </c>
      <c r="AY83" s="1">
        <f t="shared" si="29"/>
        <v>3.7848102513916775</v>
      </c>
      <c r="AZ83" s="1">
        <f t="shared" si="38"/>
        <v>3.5863367549709819</v>
      </c>
      <c r="BA83" s="3">
        <f t="shared" si="39"/>
        <v>276.06301043011536</v>
      </c>
      <c r="BB83">
        <v>0</v>
      </c>
      <c r="BC83" s="23">
        <v>1</v>
      </c>
      <c r="BD83" s="23">
        <v>1</v>
      </c>
      <c r="BF83" s="1">
        <f t="shared" si="13"/>
        <v>13.316095624558766</v>
      </c>
      <c r="BG83" s="1">
        <f t="shared" si="14"/>
        <v>13.083079874217537</v>
      </c>
      <c r="BQ83" s="2">
        <f t="shared" si="26"/>
        <v>243.00692149999998</v>
      </c>
      <c r="BR83">
        <v>405</v>
      </c>
      <c r="BS83">
        <f t="shared" si="27"/>
        <v>57.857142857142854</v>
      </c>
      <c r="BT83" s="2">
        <f t="shared" si="28"/>
        <v>300.86406435714281</v>
      </c>
      <c r="BU83">
        <f t="shared" si="15"/>
        <v>341.79042647833722</v>
      </c>
      <c r="CB83">
        <v>0.14899999999999999</v>
      </c>
      <c r="CC83">
        <f t="shared" si="34"/>
        <v>6.7114093959731544</v>
      </c>
    </row>
    <row r="84" spans="1:84">
      <c r="A84">
        <v>2005</v>
      </c>
      <c r="B84" s="3">
        <f t="shared" si="0"/>
        <v>187.39492745990904</v>
      </c>
      <c r="C84" s="3">
        <f t="shared" si="1"/>
        <v>89.539246597092159</v>
      </c>
      <c r="D84" s="2">
        <f t="shared" si="43"/>
        <v>130.94221209684693</v>
      </c>
      <c r="E84" s="2">
        <v>128.14202809149756</v>
      </c>
      <c r="F84" s="2">
        <f t="shared" si="44"/>
        <v>167.79200620876992</v>
      </c>
      <c r="G84" s="2">
        <v>6.4424999999999999</v>
      </c>
      <c r="H84" s="32">
        <f t="shared" si="41"/>
        <v>9.5787859333143146</v>
      </c>
      <c r="I84" s="32">
        <f t="shared" si="45"/>
        <v>10.81</v>
      </c>
      <c r="J84" s="32">
        <f t="shared" si="3"/>
        <v>10.605028746651453</v>
      </c>
      <c r="K84" s="2">
        <v>10.81</v>
      </c>
      <c r="L84" s="2">
        <v>132.30000000000001</v>
      </c>
      <c r="M84" s="2">
        <f t="shared" si="35"/>
        <v>10.984462499999999</v>
      </c>
      <c r="N84" s="2">
        <f>(N83+N85)/2</f>
        <v>170.5</v>
      </c>
      <c r="P84" s="32">
        <f t="shared" si="42"/>
        <v>3.8379999999999992</v>
      </c>
      <c r="Q84" s="32">
        <f t="shared" si="5"/>
        <v>3.6330287466514517</v>
      </c>
      <c r="S84" s="2">
        <f>USA!Z92*G84</f>
        <v>326.2482</v>
      </c>
      <c r="T84" s="2">
        <v>0</v>
      </c>
      <c r="U84" s="2">
        <v>0</v>
      </c>
      <c r="V84" s="2">
        <v>0</v>
      </c>
      <c r="X84" s="2">
        <v>10.625</v>
      </c>
      <c r="Y84" s="2">
        <f t="shared" si="30"/>
        <v>4.8100000000000005</v>
      </c>
      <c r="Z84" s="32">
        <v>0.25</v>
      </c>
      <c r="AA84" s="2">
        <f t="shared" si="19"/>
        <v>2.1620000000000004</v>
      </c>
      <c r="AB84" s="2">
        <f t="shared" si="31"/>
        <v>6.9720000000000013</v>
      </c>
      <c r="AC84" s="37">
        <v>6.97</v>
      </c>
      <c r="AE84" s="2">
        <v>10.625</v>
      </c>
      <c r="AH84" s="32">
        <v>4.03</v>
      </c>
      <c r="AI84">
        <v>0.78</v>
      </c>
      <c r="AM84">
        <v>2005</v>
      </c>
      <c r="AN84" s="1">
        <f t="shared" si="21"/>
        <v>10.81</v>
      </c>
      <c r="AO84" s="1">
        <f t="shared" si="22"/>
        <v>4.8100000000000005</v>
      </c>
      <c r="AP84" s="1">
        <f t="shared" si="23"/>
        <v>2.1620000000000004</v>
      </c>
      <c r="AQ84" s="1">
        <f t="shared" si="40"/>
        <v>6.9720000000000013</v>
      </c>
      <c r="AR84" s="1">
        <f t="shared" si="36"/>
        <v>3.8379999999999992</v>
      </c>
      <c r="AT84" s="3">
        <v>89.36569583695335</v>
      </c>
      <c r="AV84" s="1">
        <f t="shared" si="37"/>
        <v>12.096364157140025</v>
      </c>
      <c r="AW84" s="1">
        <f t="shared" si="25"/>
        <v>11.999567270061874</v>
      </c>
      <c r="AX84" s="1">
        <f t="shared" si="9"/>
        <v>7.8016513324311072</v>
      </c>
      <c r="AY84" s="1">
        <f t="shared" si="29"/>
        <v>4.2947128247089177</v>
      </c>
      <c r="AZ84" s="1">
        <f t="shared" si="38"/>
        <v>4.1979159376307669</v>
      </c>
      <c r="BA84" s="3">
        <f t="shared" si="39"/>
        <v>365.07095585674836</v>
      </c>
      <c r="BB84">
        <v>0</v>
      </c>
      <c r="BC84" s="23">
        <v>1</v>
      </c>
      <c r="BD84" s="23">
        <v>1</v>
      </c>
      <c r="BF84" s="1">
        <f t="shared" si="13"/>
        <v>14.201610901750747</v>
      </c>
      <c r="BG84" s="1">
        <f t="shared" si="14"/>
        <v>14.087967520241504</v>
      </c>
      <c r="BQ84" s="2">
        <f t="shared" si="26"/>
        <v>326.2482</v>
      </c>
      <c r="BR84">
        <v>414</v>
      </c>
      <c r="BS84">
        <f t="shared" si="27"/>
        <v>59.142857142857146</v>
      </c>
      <c r="BT84" s="2">
        <f t="shared" si="28"/>
        <v>385.39105714285716</v>
      </c>
      <c r="BU84">
        <f t="shared" si="15"/>
        <v>431.25167161009813</v>
      </c>
      <c r="CB84">
        <v>0.155</v>
      </c>
      <c r="CC84">
        <f t="shared" si="34"/>
        <v>6.4516129032258069</v>
      </c>
    </row>
    <row r="85" spans="1:84">
      <c r="A85">
        <v>2006</v>
      </c>
      <c r="B85" s="3">
        <f t="shared" si="0"/>
        <v>193.30324690377282</v>
      </c>
      <c r="C85" s="3">
        <f t="shared" si="1"/>
        <v>92.424281215596963</v>
      </c>
      <c r="D85" s="2">
        <f t="shared" si="43"/>
        <v>135.07065051426275</v>
      </c>
      <c r="E85" s="2">
        <v>132.27087886006535</v>
      </c>
      <c r="F85" s="2">
        <f t="shared" si="44"/>
        <v>178.65913651722272</v>
      </c>
      <c r="G85" s="2">
        <v>6.4133300000000002</v>
      </c>
      <c r="H85" s="32">
        <f t="shared" si="41"/>
        <v>10.261629655030786</v>
      </c>
      <c r="I85" s="32">
        <f t="shared" si="45"/>
        <v>11.458</v>
      </c>
      <c r="J85" s="32">
        <f t="shared" si="3"/>
        <v>11.290903724024629</v>
      </c>
      <c r="K85" s="2">
        <v>11.458</v>
      </c>
      <c r="L85" s="2">
        <v>142.9</v>
      </c>
      <c r="M85" s="2">
        <f t="shared" si="35"/>
        <v>11.543994</v>
      </c>
      <c r="N85" s="39">
        <v>180</v>
      </c>
      <c r="P85" s="32">
        <f t="shared" si="42"/>
        <v>4.2764000000000006</v>
      </c>
      <c r="Q85" s="32">
        <f t="shared" si="5"/>
        <v>4.1093037240246293</v>
      </c>
      <c r="S85" s="2">
        <f>USA!Z93*G85</f>
        <v>391.72619639999999</v>
      </c>
      <c r="T85" s="2">
        <v>0</v>
      </c>
      <c r="U85" s="2">
        <v>0</v>
      </c>
      <c r="V85" s="2">
        <v>0</v>
      </c>
      <c r="X85" s="2">
        <v>11.458333333333334</v>
      </c>
      <c r="Y85" s="2">
        <f t="shared" si="30"/>
        <v>4.8899999999999997</v>
      </c>
      <c r="Z85" s="32">
        <v>0.25</v>
      </c>
      <c r="AA85" s="2">
        <f t="shared" si="19"/>
        <v>2.2916000000000003</v>
      </c>
      <c r="AB85" s="2">
        <f t="shared" si="31"/>
        <v>7.1815999999999995</v>
      </c>
      <c r="AC85" s="37">
        <v>7.181</v>
      </c>
      <c r="AE85" s="2">
        <v>11.458333333333334</v>
      </c>
      <c r="AH85" s="32">
        <v>4.0999999999999996</v>
      </c>
      <c r="AI85">
        <v>0.79</v>
      </c>
      <c r="AM85">
        <v>2006</v>
      </c>
      <c r="AN85" s="1">
        <f t="shared" si="21"/>
        <v>11.458</v>
      </c>
      <c r="AO85" s="1">
        <f t="shared" si="22"/>
        <v>4.8899999999999997</v>
      </c>
      <c r="AP85" s="1">
        <f t="shared" si="23"/>
        <v>2.2916000000000003</v>
      </c>
      <c r="AQ85" s="1">
        <f t="shared" si="40"/>
        <v>7.1815999999999995</v>
      </c>
      <c r="AR85" s="1">
        <f t="shared" si="36"/>
        <v>4.2764000000000006</v>
      </c>
      <c r="AT85" s="3">
        <v>91.44983791241485</v>
      </c>
      <c r="AV85" s="1">
        <f t="shared" si="37"/>
        <v>12.52927316391067</v>
      </c>
      <c r="AW85" s="1">
        <f t="shared" si="25"/>
        <v>12.485764716508829</v>
      </c>
      <c r="AX85" s="1">
        <f t="shared" si="9"/>
        <v>7.8530483639326993</v>
      </c>
      <c r="AY85" s="1">
        <f t="shared" si="29"/>
        <v>4.6762247999779705</v>
      </c>
      <c r="AZ85" s="1">
        <f t="shared" si="38"/>
        <v>4.6327163525761286</v>
      </c>
      <c r="BA85" s="3">
        <f t="shared" si="39"/>
        <v>428.35089196677609</v>
      </c>
      <c r="BB85">
        <v>0</v>
      </c>
      <c r="BC85" s="23">
        <v>1</v>
      </c>
      <c r="BD85" s="23">
        <v>1</v>
      </c>
      <c r="BF85" s="1">
        <f t="shared" si="13"/>
        <v>14.70986323196777</v>
      </c>
      <c r="BG85" s="1">
        <f t="shared" si="14"/>
        <v>14.658782590469762</v>
      </c>
      <c r="BQ85" s="2">
        <f t="shared" si="26"/>
        <v>391.72619639999999</v>
      </c>
      <c r="BR85">
        <v>421</v>
      </c>
      <c r="BS85">
        <f t="shared" si="27"/>
        <v>60.142857142857146</v>
      </c>
      <c r="BT85" s="2">
        <f t="shared" si="28"/>
        <v>451.86905354285716</v>
      </c>
      <c r="BU85">
        <f t="shared" si="15"/>
        <v>494.11684466366154</v>
      </c>
      <c r="CB85">
        <v>0.156</v>
      </c>
      <c r="CC85">
        <f t="shared" si="34"/>
        <v>6.4102564102564106</v>
      </c>
    </row>
    <row r="86" spans="1:84">
      <c r="A86">
        <v>2007</v>
      </c>
      <c r="B86" s="3">
        <f t="shared" si="0"/>
        <v>209.63858870674562</v>
      </c>
      <c r="C86" s="3">
        <f t="shared" si="1"/>
        <v>95.074004003893037</v>
      </c>
      <c r="D86" s="2">
        <f t="shared" si="43"/>
        <v>146.4849711686837</v>
      </c>
      <c r="E86" s="2">
        <v>136.06296852886032</v>
      </c>
      <c r="F86" s="2">
        <f t="shared" si="44"/>
        <v>199.3118002207562</v>
      </c>
      <c r="G86" s="2">
        <v>5.8616700000000002</v>
      </c>
      <c r="H86" s="32">
        <f t="shared" si="41"/>
        <v>10.469129156297443</v>
      </c>
      <c r="I86" s="32">
        <f t="shared" si="45"/>
        <v>11.683</v>
      </c>
      <c r="J86" s="32">
        <f t="shared" si="3"/>
        <v>11.511903325037954</v>
      </c>
      <c r="K86" s="2">
        <v>11.683</v>
      </c>
      <c r="L86" s="2">
        <v>146.19999999999999</v>
      </c>
      <c r="M86" s="2">
        <f t="shared" si="35"/>
        <v>11.72334</v>
      </c>
      <c r="N86" s="2">
        <f>(N85+N87)/2</f>
        <v>200</v>
      </c>
      <c r="P86" s="32">
        <f t="shared" si="42"/>
        <v>4.3764000000000003</v>
      </c>
      <c r="Q86" s="32">
        <f t="shared" si="5"/>
        <v>4.2053033250379546</v>
      </c>
      <c r="S86" s="2">
        <f>USA!Z94*G86</f>
        <v>404.92416359999999</v>
      </c>
      <c r="T86" s="2">
        <v>0</v>
      </c>
      <c r="U86" s="2">
        <v>0</v>
      </c>
      <c r="V86" s="2">
        <v>0</v>
      </c>
      <c r="X86" s="2">
        <v>11.691666666666668</v>
      </c>
      <c r="Y86" s="2">
        <f t="shared" si="30"/>
        <v>4.97</v>
      </c>
      <c r="Z86" s="32">
        <v>0.25</v>
      </c>
      <c r="AA86" s="2">
        <f t="shared" si="19"/>
        <v>2.3366000000000002</v>
      </c>
      <c r="AB86" s="2">
        <f t="shared" si="31"/>
        <v>7.3065999999999995</v>
      </c>
      <c r="AC86" s="37">
        <v>7.3070000000000004</v>
      </c>
      <c r="AE86" s="2">
        <v>11.691666666666668</v>
      </c>
      <c r="AH86" s="32">
        <v>4.17</v>
      </c>
      <c r="AI86">
        <v>0.8</v>
      </c>
      <c r="AM86">
        <v>2007</v>
      </c>
      <c r="AN86" s="1">
        <f t="shared" si="21"/>
        <v>11.683</v>
      </c>
      <c r="AO86" s="1">
        <f t="shared" si="22"/>
        <v>4.97</v>
      </c>
      <c r="AP86" s="1">
        <f t="shared" si="23"/>
        <v>2.3366000000000002</v>
      </c>
      <c r="AQ86" s="1">
        <f t="shared" si="40"/>
        <v>7.3065999999999995</v>
      </c>
      <c r="AR86" s="1">
        <f t="shared" si="36"/>
        <v>4.3764000000000003</v>
      </c>
      <c r="AT86" s="3">
        <v>92.116504578751062</v>
      </c>
      <c r="AV86" s="1">
        <f t="shared" si="37"/>
        <v>12.68285206155659</v>
      </c>
      <c r="AW86" s="1">
        <f t="shared" si="25"/>
        <v>12.641772481380384</v>
      </c>
      <c r="AX86" s="1">
        <f t="shared" si="9"/>
        <v>7.931911912434253</v>
      </c>
      <c r="AY86" s="1">
        <f t="shared" si="29"/>
        <v>4.7509401491223366</v>
      </c>
      <c r="AZ86" s="1">
        <f t="shared" si="38"/>
        <v>4.709860568946131</v>
      </c>
      <c r="BA86" s="3">
        <f t="shared" si="39"/>
        <v>439.57829864660943</v>
      </c>
      <c r="BB86">
        <v>0</v>
      </c>
      <c r="BC86" s="23">
        <v>1</v>
      </c>
      <c r="BD86" s="23">
        <v>1</v>
      </c>
      <c r="BF86" s="1">
        <f t="shared" si="13"/>
        <v>14.890170944165718</v>
      </c>
      <c r="BG86" s="1">
        <f t="shared" si="14"/>
        <v>14.841941889047087</v>
      </c>
      <c r="BQ86" s="2">
        <f t="shared" si="26"/>
        <v>404.92416359999999</v>
      </c>
      <c r="BR86">
        <v>429</v>
      </c>
      <c r="BS86">
        <f t="shared" si="27"/>
        <v>61.285714285714285</v>
      </c>
      <c r="BT86" s="2">
        <f t="shared" si="28"/>
        <v>466.20987788571426</v>
      </c>
      <c r="BU86">
        <f t="shared" si="15"/>
        <v>506.10895410946478</v>
      </c>
      <c r="CB86">
        <v>0.17100000000000001</v>
      </c>
      <c r="CC86">
        <f t="shared" si="34"/>
        <v>5.8479532163742682</v>
      </c>
    </row>
    <row r="87" spans="1:84">
      <c r="A87">
        <v>2008</v>
      </c>
      <c r="B87" s="3">
        <f t="shared" si="0"/>
        <v>225.04669751688164</v>
      </c>
      <c r="C87" s="3">
        <f t="shared" si="1"/>
        <v>98.70291900542351</v>
      </c>
      <c r="D87" s="2">
        <f t="shared" si="43"/>
        <v>157.25138773702844</v>
      </c>
      <c r="E87" s="2">
        <v>141.25640655453694</v>
      </c>
      <c r="F87" s="2">
        <f t="shared" si="44"/>
        <v>222.12765957446811</v>
      </c>
      <c r="G87" s="2">
        <v>5.64</v>
      </c>
      <c r="H87" s="32">
        <f t="shared" si="41"/>
        <v>11.768383569729185</v>
      </c>
      <c r="I87" s="32">
        <f t="shared" si="45"/>
        <v>12.528</v>
      </c>
      <c r="J87" s="32">
        <f t="shared" si="3"/>
        <v>12.740306855783349</v>
      </c>
      <c r="K87" s="2">
        <v>12.528</v>
      </c>
      <c r="L87" s="2">
        <v>161.80000000000001</v>
      </c>
      <c r="M87" s="2">
        <f t="shared" si="35"/>
        <v>12.407999999999999</v>
      </c>
      <c r="N87" s="39">
        <v>220</v>
      </c>
      <c r="P87" s="32">
        <f t="shared" si="42"/>
        <v>4.9223999999999997</v>
      </c>
      <c r="Q87" s="32">
        <f t="shared" si="5"/>
        <v>5.1347068557833477</v>
      </c>
      <c r="S87" s="2">
        <f>USA!Z95*G87</f>
        <v>532.69799999999998</v>
      </c>
      <c r="T87" s="2">
        <v>0</v>
      </c>
      <c r="U87" s="2">
        <v>0</v>
      </c>
      <c r="V87" s="2">
        <v>0</v>
      </c>
      <c r="X87" s="2">
        <v>12.508333333333335</v>
      </c>
      <c r="Y87" s="2">
        <f t="shared" si="30"/>
        <v>5.1000000000000005</v>
      </c>
      <c r="Z87" s="32">
        <v>0.25</v>
      </c>
      <c r="AA87" s="2">
        <f t="shared" si="19"/>
        <v>2.5056000000000003</v>
      </c>
      <c r="AB87" s="2">
        <f t="shared" si="31"/>
        <v>7.6056000000000008</v>
      </c>
      <c r="AC87" s="37">
        <v>7.6310000000000002</v>
      </c>
      <c r="AE87" s="2">
        <v>12.508333333333335</v>
      </c>
      <c r="AH87" s="32">
        <v>4.28</v>
      </c>
      <c r="AI87">
        <v>0.82</v>
      </c>
      <c r="AM87">
        <v>2008</v>
      </c>
      <c r="AN87" s="1">
        <f t="shared" si="21"/>
        <v>12.528</v>
      </c>
      <c r="AO87" s="1">
        <f t="shared" si="22"/>
        <v>5.1000000000000005</v>
      </c>
      <c r="AP87" s="1">
        <f t="shared" si="23"/>
        <v>2.5056000000000003</v>
      </c>
      <c r="AQ87" s="1">
        <f t="shared" si="40"/>
        <v>7.6056000000000008</v>
      </c>
      <c r="AR87" s="1">
        <f t="shared" si="36"/>
        <v>4.9223999999999997</v>
      </c>
      <c r="AT87" s="3">
        <v>95.585760448759203</v>
      </c>
      <c r="AV87" s="1">
        <f t="shared" si="37"/>
        <v>13.106554722359409</v>
      </c>
      <c r="AW87" s="1">
        <f t="shared" si="25"/>
        <v>13.475557099315107</v>
      </c>
      <c r="AX87" s="1">
        <f t="shared" si="9"/>
        <v>7.9568337002216412</v>
      </c>
      <c r="AY87" s="1">
        <f t="shared" si="29"/>
        <v>5.1497210221377676</v>
      </c>
      <c r="AZ87" s="1">
        <f t="shared" si="38"/>
        <v>5.5187233990934663</v>
      </c>
      <c r="BA87" s="3">
        <f t="shared" si="39"/>
        <v>557.29849038085979</v>
      </c>
      <c r="BB87">
        <v>0</v>
      </c>
      <c r="BC87" s="23">
        <v>1</v>
      </c>
      <c r="BD87" s="23">
        <v>1</v>
      </c>
      <c r="BF87" s="1">
        <f t="shared" si="13"/>
        <v>15.387614659367227</v>
      </c>
      <c r="BG87" s="1">
        <f t="shared" si="14"/>
        <v>15.820838073549313</v>
      </c>
      <c r="BQ87" s="2">
        <f t="shared" si="26"/>
        <v>532.69799999999998</v>
      </c>
      <c r="BR87">
        <v>845</v>
      </c>
      <c r="BS87">
        <f t="shared" si="27"/>
        <v>120.71428571428571</v>
      </c>
      <c r="BT87" s="2">
        <f t="shared" si="28"/>
        <v>653.41228571428564</v>
      </c>
      <c r="BU87">
        <f t="shared" si="15"/>
        <v>683.58747437549687</v>
      </c>
      <c r="CB87">
        <v>0.18</v>
      </c>
      <c r="CC87">
        <f t="shared" si="34"/>
        <v>5.5555555555555554</v>
      </c>
    </row>
    <row r="88" spans="1:84">
      <c r="A88">
        <v>2009</v>
      </c>
      <c r="B88" s="3">
        <f t="shared" si="0"/>
        <v>192.03113985304711</v>
      </c>
      <c r="C88" s="3">
        <f>E88/E$89*100</f>
        <v>98.380597588111073</v>
      </c>
      <c r="D88" s="2">
        <f t="shared" si="43"/>
        <v>134.18176566821131</v>
      </c>
      <c r="E88" s="2">
        <v>140.7951236905254</v>
      </c>
      <c r="F88" s="2">
        <f t="shared" si="44"/>
        <v>188.92138294268906</v>
      </c>
      <c r="G88" s="2">
        <v>6.2883300000000002</v>
      </c>
      <c r="H88" s="32">
        <f t="shared" si="41"/>
        <v>10.478566657916586</v>
      </c>
      <c r="I88" s="32">
        <f t="shared" si="45"/>
        <v>11.88</v>
      </c>
      <c r="J88" s="32">
        <f t="shared" si="3"/>
        <v>11.59885332633327</v>
      </c>
      <c r="K88" s="2">
        <v>11.88</v>
      </c>
      <c r="L88" s="2">
        <v>150.5</v>
      </c>
      <c r="P88" s="32">
        <f t="shared" si="42"/>
        <v>4.3340000000000005</v>
      </c>
      <c r="Q88" s="32">
        <f t="shared" si="5"/>
        <v>4.0528533263332687</v>
      </c>
      <c r="S88" s="2">
        <f>USA!Z96*G88</f>
        <v>383.96542980000004</v>
      </c>
      <c r="T88" s="2">
        <v>0</v>
      </c>
      <c r="U88" s="2">
        <v>0</v>
      </c>
      <c r="V88" s="2">
        <v>0</v>
      </c>
      <c r="X88" s="2">
        <v>11.725</v>
      </c>
      <c r="Y88" s="2">
        <f t="shared" si="30"/>
        <v>5.17</v>
      </c>
      <c r="Z88" s="32">
        <v>0.25</v>
      </c>
      <c r="AA88" s="2">
        <f t="shared" si="19"/>
        <v>2.3760000000000003</v>
      </c>
      <c r="AB88" s="2">
        <f t="shared" si="31"/>
        <v>7.5460000000000003</v>
      </c>
      <c r="AC88" s="37">
        <v>7.6760000000000002</v>
      </c>
      <c r="AE88" s="2">
        <v>11.725</v>
      </c>
      <c r="AH88" s="32">
        <v>4.33</v>
      </c>
      <c r="AI88">
        <v>0.84</v>
      </c>
      <c r="AM88">
        <v>2009</v>
      </c>
      <c r="AN88" s="1">
        <f t="shared" si="21"/>
        <v>11.88</v>
      </c>
      <c r="AO88" s="1">
        <f t="shared" si="22"/>
        <v>5.17</v>
      </c>
      <c r="AP88" s="1">
        <f t="shared" si="23"/>
        <v>2.3760000000000003</v>
      </c>
      <c r="AQ88" s="1">
        <f t="shared" si="40"/>
        <v>7.5460000000000003</v>
      </c>
      <c r="AR88" s="1">
        <f t="shared" si="36"/>
        <v>4.3340000000000005</v>
      </c>
      <c r="AT88" s="3">
        <v>97.656957631470334</v>
      </c>
      <c r="AV88" s="1">
        <f t="shared" si="37"/>
        <v>12.165031850400002</v>
      </c>
      <c r="AW88" s="1">
        <f t="shared" si="25"/>
        <v>12.118087501456225</v>
      </c>
      <c r="AX88" s="1">
        <f t="shared" si="9"/>
        <v>7.7270480086799997</v>
      </c>
      <c r="AY88" s="1">
        <f t="shared" si="29"/>
        <v>4.4379838417200022</v>
      </c>
      <c r="AZ88" s="1">
        <f t="shared" si="38"/>
        <v>4.3910394927762253</v>
      </c>
      <c r="BA88" s="3">
        <f t="shared" si="39"/>
        <v>393.17775109171095</v>
      </c>
      <c r="BB88">
        <v>0</v>
      </c>
      <c r="BC88" s="23">
        <v>1</v>
      </c>
      <c r="BD88" s="23">
        <v>1</v>
      </c>
      <c r="BF88" s="1">
        <f t="shared" si="13"/>
        <v>14.282229494952025</v>
      </c>
      <c r="BG88" s="1">
        <f t="shared" si="14"/>
        <v>14.227114968878336</v>
      </c>
      <c r="BQ88" s="2">
        <f t="shared" si="26"/>
        <v>383.96542980000004</v>
      </c>
      <c r="BR88">
        <v>870</v>
      </c>
      <c r="BS88">
        <f t="shared" si="27"/>
        <v>124.28571428571429</v>
      </c>
      <c r="BT88" s="2">
        <f t="shared" si="28"/>
        <v>508.25114408571432</v>
      </c>
      <c r="BU88">
        <f t="shared" si="15"/>
        <v>520.44540032028237</v>
      </c>
      <c r="CB88">
        <v>0.16</v>
      </c>
      <c r="CC88">
        <f t="shared" si="34"/>
        <v>6.25</v>
      </c>
    </row>
    <row r="89" spans="1:84">
      <c r="A89">
        <v>2010</v>
      </c>
      <c r="B89" s="3">
        <f>I89/G89*100/C89*100</f>
        <v>209.86166140729225</v>
      </c>
      <c r="C89" s="3">
        <f>CPIs!AB49</f>
        <v>99.999998509883881</v>
      </c>
      <c r="D89" s="2">
        <f t="shared" si="43"/>
        <v>146.64084104085009</v>
      </c>
      <c r="E89" s="2">
        <v>143.11269411067286</v>
      </c>
      <c r="F89" s="2">
        <f t="shared" si="44"/>
        <v>209.86165828010982</v>
      </c>
      <c r="G89" s="2">
        <f>'Exchange Rates'!W49</f>
        <v>6.0463641162424917</v>
      </c>
      <c r="H89" s="32">
        <f t="shared" si="41"/>
        <v>11.40777673614997</v>
      </c>
      <c r="I89" s="32">
        <f t="shared" si="45"/>
        <v>12.689</v>
      </c>
      <c r="J89" s="32">
        <f t="shared" si="3"/>
        <v>12.524021388919977</v>
      </c>
      <c r="K89" s="2">
        <v>12.689</v>
      </c>
      <c r="L89" s="2">
        <v>163.69999999999999</v>
      </c>
      <c r="P89" s="32">
        <f t="shared" si="42"/>
        <v>4.8311999999999991</v>
      </c>
      <c r="Q89" s="32">
        <f t="shared" si="5"/>
        <v>4.6662213889199755</v>
      </c>
      <c r="S89" s="2">
        <f>USA!Z97*G89</f>
        <v>468.29090080298101</v>
      </c>
      <c r="T89" s="2">
        <v>0</v>
      </c>
      <c r="U89" s="2">
        <v>0</v>
      </c>
      <c r="V89" s="2">
        <v>0</v>
      </c>
      <c r="X89" s="2">
        <v>12.691666666666668</v>
      </c>
      <c r="Y89" s="2">
        <f>AH89+AI89</f>
        <v>5.32</v>
      </c>
      <c r="Z89" s="32">
        <v>0.25</v>
      </c>
      <c r="AA89" s="2">
        <f t="shared" si="19"/>
        <v>2.5378000000000003</v>
      </c>
      <c r="AB89" s="2">
        <f t="shared" si="31"/>
        <v>7.857800000000001</v>
      </c>
      <c r="AC89" s="37">
        <v>7.9379999999999997</v>
      </c>
      <c r="AE89" s="2">
        <v>12.691666666666668</v>
      </c>
      <c r="AH89" s="32">
        <v>4.46</v>
      </c>
      <c r="AI89">
        <v>0.86</v>
      </c>
      <c r="AM89">
        <v>2010</v>
      </c>
      <c r="AN89" s="1">
        <f t="shared" si="21"/>
        <v>12.689</v>
      </c>
      <c r="AO89" s="1">
        <f t="shared" si="22"/>
        <v>5.32</v>
      </c>
      <c r="AP89" s="1">
        <f t="shared" si="23"/>
        <v>2.5378000000000003</v>
      </c>
      <c r="AQ89" s="1">
        <f t="shared" si="40"/>
        <v>7.857800000000001</v>
      </c>
      <c r="AR89" s="1">
        <f t="shared" si="36"/>
        <v>4.8311999999999991</v>
      </c>
      <c r="AT89" s="3">
        <v>100</v>
      </c>
      <c r="AV89" s="1">
        <f t="shared" si="37"/>
        <v>12.689</v>
      </c>
      <c r="AW89" s="1">
        <f t="shared" si="25"/>
        <v>12.76494666149282</v>
      </c>
      <c r="AX89" s="1">
        <f t="shared" si="9"/>
        <v>7.857800000000001</v>
      </c>
      <c r="AY89" s="1">
        <f t="shared" si="29"/>
        <v>4.8311999999999991</v>
      </c>
      <c r="AZ89" s="1">
        <f t="shared" si="38"/>
        <v>4.9071466614928188</v>
      </c>
      <c r="BA89" s="3">
        <f t="shared" si="39"/>
        <v>468.29090080298101</v>
      </c>
      <c r="BB89">
        <v>0</v>
      </c>
      <c r="BC89" s="23">
        <v>1</v>
      </c>
      <c r="BD89" s="23">
        <v>1</v>
      </c>
      <c r="BF89" s="1">
        <f t="shared" si="13"/>
        <v>14.897388867542279</v>
      </c>
      <c r="BG89" s="1">
        <f t="shared" si="14"/>
        <v>14.98655325791584</v>
      </c>
      <c r="BQ89" s="2">
        <f t="shared" si="26"/>
        <v>468.29090080298101</v>
      </c>
      <c r="BR89">
        <v>886</v>
      </c>
      <c r="BS89">
        <f t="shared" si="27"/>
        <v>126.57142857142857</v>
      </c>
      <c r="BT89" s="2">
        <f t="shared" si="28"/>
        <v>594.86232937440957</v>
      </c>
      <c r="BU89">
        <f t="shared" si="15"/>
        <v>594.86232937440957</v>
      </c>
      <c r="CB89">
        <v>0.16600000000000001</v>
      </c>
      <c r="CC89">
        <f t="shared" si="34"/>
        <v>6.0240963855421681</v>
      </c>
    </row>
    <row r="90" spans="1:84">
      <c r="A90">
        <v>2011</v>
      </c>
      <c r="B90" s="3">
        <f t="shared" ref="B90:B95" si="46">I90/G90*100/C90*100</f>
        <v>236.96263903458848</v>
      </c>
      <c r="C90" s="3">
        <f>CPIs!AB50</f>
        <v>103.13271097869961</v>
      </c>
      <c r="G90" s="2">
        <f>'Exchange Rates'!W50</f>
        <v>5.6082971190704045</v>
      </c>
      <c r="I90" s="6">
        <f>(I89+I91)/2</f>
        <v>13.70589264089427</v>
      </c>
      <c r="S90" s="2">
        <f>USA!Z98*G90</f>
        <v>602.61152544411493</v>
      </c>
      <c r="X90" s="2">
        <v>13.941666666666668</v>
      </c>
      <c r="Y90" s="2">
        <f t="shared" ref="Y90:Y91" si="47">AH90+AI90</f>
        <v>5.4950000000000001</v>
      </c>
      <c r="Z90" s="32">
        <v>0.25</v>
      </c>
      <c r="AA90" s="2">
        <f t="shared" si="19"/>
        <v>2.7411785281788541</v>
      </c>
      <c r="AB90" s="2">
        <f t="shared" si="31"/>
        <v>8.2361785281788542</v>
      </c>
      <c r="AE90" s="2">
        <v>13.941666666666668</v>
      </c>
      <c r="AH90" s="32">
        <v>4.62</v>
      </c>
      <c r="AI90" s="7">
        <f>(AI89+AI91)/2</f>
        <v>0.875</v>
      </c>
      <c r="AM90">
        <v>2011</v>
      </c>
      <c r="AN90" s="1">
        <f t="shared" ref="AN90:AN96" si="48">I90</f>
        <v>13.70589264089427</v>
      </c>
      <c r="AO90" s="1">
        <f t="shared" si="22"/>
        <v>5.4950000000000001</v>
      </c>
      <c r="AP90" s="1">
        <f t="shared" si="23"/>
        <v>2.7411785281788541</v>
      </c>
      <c r="AQ90" s="1">
        <f t="shared" si="40"/>
        <v>8.2361785281788542</v>
      </c>
      <c r="AR90" s="1">
        <f t="shared" si="36"/>
        <v>5.4697141127154154</v>
      </c>
      <c r="AT90" s="3">
        <f>CPIs!W50</f>
        <v>101.30096435546875</v>
      </c>
      <c r="AV90" s="1">
        <f t="shared" si="37"/>
        <v>13.529873805346803</v>
      </c>
      <c r="AW90" s="1">
        <f t="shared" ref="AW90:AW96" si="49">AZ90+AX90</f>
        <v>13.907301273296476</v>
      </c>
      <c r="AX90" s="1">
        <f t="shared" ref="AX90:AX96" si="50">AQ90/$AT90*100</f>
        <v>8.1304048590078626</v>
      </c>
      <c r="AY90" s="1">
        <f t="shared" ref="AY90:AY96" si="51">AV90-AX90</f>
        <v>5.3994689463389403</v>
      </c>
      <c r="AZ90" s="1">
        <f t="shared" si="38"/>
        <v>5.7768964142886139</v>
      </c>
      <c r="BA90" s="3">
        <f t="shared" si="39"/>
        <v>594.87244694880621</v>
      </c>
      <c r="BB90">
        <v>0</v>
      </c>
      <c r="BC90" s="23">
        <v>1</v>
      </c>
      <c r="BD90" s="23">
        <v>1</v>
      </c>
      <c r="BF90" s="1">
        <f t="shared" si="13"/>
        <v>15.884608039012164</v>
      </c>
      <c r="BG90" s="1">
        <f t="shared" si="14"/>
        <v>16.327722843909172</v>
      </c>
      <c r="BQ90" s="2">
        <f t="shared" si="26"/>
        <v>602.61152544411493</v>
      </c>
      <c r="BR90">
        <v>983</v>
      </c>
      <c r="BS90">
        <f t="shared" si="27"/>
        <v>140.42857142857142</v>
      </c>
      <c r="BT90" s="2">
        <f t="shared" si="28"/>
        <v>743.04009687268638</v>
      </c>
      <c r="BU90">
        <f t="shared" si="15"/>
        <v>733.49755513218201</v>
      </c>
      <c r="CB90">
        <v>0.17899999999999999</v>
      </c>
      <c r="CC90">
        <f t="shared" si="34"/>
        <v>5.5865921787709496</v>
      </c>
    </row>
    <row r="91" spans="1:84">
      <c r="A91">
        <v>2012</v>
      </c>
      <c r="B91" s="3">
        <f t="shared" si="46"/>
        <v>240.46978632710756</v>
      </c>
      <c r="C91" s="3">
        <f>CPIs!AB51</f>
        <v>105.21072267093371</v>
      </c>
      <c r="G91" s="2">
        <f>'Exchange Rates'!W51</f>
        <v>5.8192827200745221</v>
      </c>
      <c r="I91" s="2">
        <v>14.722785281788539</v>
      </c>
      <c r="S91" s="2">
        <f>USA!Z99*G91</f>
        <v>637.18735631889456</v>
      </c>
      <c r="X91" s="2">
        <v>14.741666666666667</v>
      </c>
      <c r="Y91" s="2">
        <f t="shared" si="47"/>
        <v>5.58</v>
      </c>
      <c r="Z91" s="32">
        <v>0.25</v>
      </c>
      <c r="AA91" s="2">
        <f t="shared" si="19"/>
        <v>2.9445570563577079</v>
      </c>
      <c r="AB91" s="2">
        <f t="shared" si="31"/>
        <v>8.5245570563577076</v>
      </c>
      <c r="AE91" s="2">
        <v>14.741666666666667</v>
      </c>
      <c r="AH91" s="2">
        <v>4.6900000000000004</v>
      </c>
      <c r="AI91" s="2">
        <v>0.89</v>
      </c>
      <c r="AM91">
        <v>2012</v>
      </c>
      <c r="AN91" s="1">
        <f t="shared" si="48"/>
        <v>14.722785281788539</v>
      </c>
      <c r="AO91" s="1">
        <f t="shared" si="22"/>
        <v>5.58</v>
      </c>
      <c r="AP91" s="1">
        <f t="shared" si="23"/>
        <v>2.9445570563577079</v>
      </c>
      <c r="AQ91" s="1">
        <f t="shared" si="40"/>
        <v>8.5245570563577076</v>
      </c>
      <c r="AR91" s="1">
        <f t="shared" si="36"/>
        <v>6.1982282254308316</v>
      </c>
      <c r="AT91" s="3">
        <f>CPIs!W51</f>
        <v>102.01941680908203</v>
      </c>
      <c r="AV91" s="1">
        <f t="shared" si="37"/>
        <v>14.431356051898033</v>
      </c>
      <c r="AW91" s="1">
        <f t="shared" si="49"/>
        <v>14.336799976282595</v>
      </c>
      <c r="AX91" s="1">
        <f t="shared" si="50"/>
        <v>8.355818257920907</v>
      </c>
      <c r="AY91" s="1">
        <f t="shared" si="51"/>
        <v>6.0755377939771265</v>
      </c>
      <c r="AZ91" s="1">
        <f t="shared" si="38"/>
        <v>5.9809817183616891</v>
      </c>
      <c r="BA91" s="3">
        <f t="shared" si="39"/>
        <v>624.57459202233986</v>
      </c>
      <c r="BB91">
        <v>0</v>
      </c>
      <c r="BC91" s="23">
        <v>1</v>
      </c>
      <c r="BD91" s="23">
        <v>1</v>
      </c>
      <c r="BF91" s="1">
        <f t="shared" si="13"/>
        <v>16.942983922380382</v>
      </c>
      <c r="BG91" s="1">
        <f t="shared" si="14"/>
        <v>16.831971342332157</v>
      </c>
      <c r="BQ91" s="2">
        <f t="shared" si="26"/>
        <v>637.18735631889456</v>
      </c>
      <c r="BR91">
        <v>999</v>
      </c>
      <c r="BS91">
        <f t="shared" si="27"/>
        <v>142.71428571428572</v>
      </c>
      <c r="BT91" s="2">
        <f t="shared" si="28"/>
        <v>779.90164203318022</v>
      </c>
      <c r="BU91">
        <f t="shared" si="15"/>
        <v>764.46392895254371</v>
      </c>
      <c r="CB91">
        <v>0.17100000000000001</v>
      </c>
      <c r="CC91">
        <f t="shared" si="34"/>
        <v>5.8479532163742682</v>
      </c>
    </row>
    <row r="92" spans="1:84">
      <c r="A92">
        <v>2013</v>
      </c>
      <c r="B92" s="3">
        <f t="shared" si="46"/>
        <v>244.59900452080609</v>
      </c>
      <c r="C92" s="3">
        <f>CPIs!AB52</f>
        <v>106.69767516878358</v>
      </c>
      <c r="G92" s="2">
        <f>'Exchange Rates'!W52</f>
        <v>5.8701489792164798</v>
      </c>
      <c r="I92" s="2">
        <v>15.32</v>
      </c>
      <c r="R92" s="42"/>
      <c r="S92" s="2">
        <f>USA!Z100*G92</f>
        <v>621.8615697995217</v>
      </c>
      <c r="X92" s="2">
        <v>15.12833333333333</v>
      </c>
      <c r="Y92" s="2">
        <v>5.69</v>
      </c>
      <c r="Z92" s="32">
        <v>0.25</v>
      </c>
      <c r="AA92" s="2">
        <f t="shared" si="19"/>
        <v>3.0640000000000001</v>
      </c>
      <c r="AB92" s="2">
        <f t="shared" si="31"/>
        <v>8.7540000000000013</v>
      </c>
      <c r="AE92" s="2">
        <v>15.12833333333333</v>
      </c>
      <c r="AH92" s="2">
        <v>4.78</v>
      </c>
      <c r="AI92">
        <v>0.91</v>
      </c>
      <c r="AM92">
        <v>2013</v>
      </c>
      <c r="AN92" s="1">
        <f t="shared" si="48"/>
        <v>15.32</v>
      </c>
      <c r="AO92" s="1">
        <f t="shared" si="22"/>
        <v>5.69</v>
      </c>
      <c r="AP92" s="1">
        <f t="shared" si="23"/>
        <v>3.0640000000000001</v>
      </c>
      <c r="AQ92" s="1">
        <f t="shared" si="40"/>
        <v>8.7540000000000013</v>
      </c>
      <c r="AR92" s="1">
        <f t="shared" si="36"/>
        <v>6.5659999999999989</v>
      </c>
      <c r="AT92" s="3">
        <f>CPIs!W52</f>
        <v>104.19417572021484</v>
      </c>
      <c r="AV92" s="1">
        <f t="shared" si="37"/>
        <v>14.703317046374739</v>
      </c>
      <c r="AW92" s="1">
        <f t="shared" si="49"/>
        <v>14.610994321790763</v>
      </c>
      <c r="AX92" s="1">
        <f t="shared" si="50"/>
        <v>8.4016212417731406</v>
      </c>
      <c r="AY92" s="1">
        <f t="shared" si="51"/>
        <v>6.3016958046015983</v>
      </c>
      <c r="AZ92" s="1">
        <f t="shared" si="38"/>
        <v>6.2093730800176212</v>
      </c>
      <c r="BA92" s="3">
        <f t="shared" si="39"/>
        <v>596.82949214873781</v>
      </c>
      <c r="BB92">
        <v>0</v>
      </c>
      <c r="BC92" s="23">
        <v>1</v>
      </c>
      <c r="BD92">
        <v>0</v>
      </c>
      <c r="BF92" s="1">
        <f t="shared" si="13"/>
        <v>17.262276907763233</v>
      </c>
      <c r="BG92" s="1">
        <f t="shared" si="14"/>
        <v>17.153886370334082</v>
      </c>
      <c r="BQ92" s="2">
        <f t="shared" si="26"/>
        <v>621.8615697995217</v>
      </c>
      <c r="BR92">
        <v>1018</v>
      </c>
      <c r="BS92">
        <f t="shared" si="27"/>
        <v>145.42857142857142</v>
      </c>
      <c r="BT92" s="2">
        <f t="shared" si="28"/>
        <v>767.29014122809315</v>
      </c>
      <c r="BU92">
        <f t="shared" si="15"/>
        <v>736.40406090302247</v>
      </c>
      <c r="CB92">
        <v>0.17</v>
      </c>
      <c r="CC92">
        <f t="shared" si="34"/>
        <v>5.8823529411764701</v>
      </c>
    </row>
    <row r="93" spans="1:84">
      <c r="A93">
        <v>2014</v>
      </c>
      <c r="B93" s="3">
        <f t="shared" si="46"/>
        <v>229.52340600559756</v>
      </c>
      <c r="C93" s="3">
        <f>CPIs!AB53</f>
        <v>108.45811062912946</v>
      </c>
      <c r="G93" s="2">
        <f>'Exchange Rates'!W53</f>
        <v>6.291782231543305</v>
      </c>
      <c r="I93" s="2">
        <v>15.662558179447524</v>
      </c>
      <c r="R93" s="42"/>
      <c r="S93" s="2">
        <f>USA!Z101*G93</f>
        <v>605.20060809054905</v>
      </c>
      <c r="X93" s="2">
        <v>15.5725</v>
      </c>
      <c r="Y93" s="2">
        <v>5.9189999999999996</v>
      </c>
      <c r="Z93" s="32">
        <v>0.25</v>
      </c>
      <c r="AA93" s="2">
        <f t="shared" si="19"/>
        <v>3.1325116358895051</v>
      </c>
      <c r="AB93" s="2">
        <f t="shared" si="31"/>
        <v>9.0515116358895042</v>
      </c>
      <c r="AE93" s="2">
        <v>15.5725</v>
      </c>
      <c r="AH93" s="2">
        <v>4.87</v>
      </c>
      <c r="AI93">
        <v>0.93</v>
      </c>
      <c r="AM93">
        <v>2014</v>
      </c>
      <c r="AN93" s="1">
        <f t="shared" si="48"/>
        <v>15.662558179447524</v>
      </c>
      <c r="AO93" s="1">
        <f t="shared" si="22"/>
        <v>5.9189999999999996</v>
      </c>
      <c r="AP93" s="1">
        <f t="shared" si="23"/>
        <v>3.1325116358895051</v>
      </c>
      <c r="AQ93" s="1">
        <f t="shared" si="40"/>
        <v>9.0515116358895042</v>
      </c>
      <c r="AR93" s="1">
        <f t="shared" si="36"/>
        <v>6.6110465435580199</v>
      </c>
      <c r="AT93" s="3">
        <f>CPIs!W53</f>
        <v>106.30420684814453</v>
      </c>
      <c r="AV93" s="1">
        <f t="shared" si="37"/>
        <v>14.733714350384531</v>
      </c>
      <c r="AW93" s="1">
        <f t="shared" si="49"/>
        <v>14.535011463445027</v>
      </c>
      <c r="AX93" s="1">
        <f t="shared" si="50"/>
        <v>8.5147257143074118</v>
      </c>
      <c r="AY93" s="1">
        <f t="shared" si="51"/>
        <v>6.2189886360771194</v>
      </c>
      <c r="AZ93" s="1">
        <f t="shared" si="38"/>
        <v>6.0202857491376145</v>
      </c>
      <c r="BA93" s="3">
        <f t="shared" si="39"/>
        <v>569.31012048759055</v>
      </c>
      <c r="BB93">
        <v>0</v>
      </c>
      <c r="BC93" s="23">
        <v>1</v>
      </c>
      <c r="BD93">
        <v>0</v>
      </c>
      <c r="BF93" s="1">
        <f t="shared" si="13"/>
        <v>17.297964547321811</v>
      </c>
      <c r="BG93" s="1">
        <f t="shared" si="14"/>
        <v>17.064679483420708</v>
      </c>
      <c r="BQ93" s="2">
        <f t="shared" si="26"/>
        <v>605.20060809054905</v>
      </c>
      <c r="BR93">
        <v>1557</v>
      </c>
      <c r="BS93">
        <f t="shared" si="27"/>
        <v>222.42857142857142</v>
      </c>
      <c r="BT93" s="2">
        <f t="shared" si="28"/>
        <v>827.6291795191205</v>
      </c>
      <c r="BU93">
        <f t="shared" si="15"/>
        <v>778.54790892837207</v>
      </c>
      <c r="CB93">
        <v>0.159</v>
      </c>
      <c r="CC93">
        <f t="shared" si="34"/>
        <v>6.2893081761006284</v>
      </c>
      <c r="CE93">
        <v>2</v>
      </c>
      <c r="CF93" s="4">
        <f>CE93/'Exchange Rates'!AB53*'Exchange Rates'!W53</f>
        <v>16.614426356099031</v>
      </c>
    </row>
    <row r="94" spans="1:84">
      <c r="A94">
        <v>2015</v>
      </c>
      <c r="B94" s="3">
        <f t="shared" si="46"/>
        <v>171.67149621738324</v>
      </c>
      <c r="C94" s="3">
        <f>CPIs!AB54</f>
        <v>108.69337137051741</v>
      </c>
      <c r="G94" s="2">
        <f>'Exchange Rates'!W54</f>
        <v>8.062665178833619</v>
      </c>
      <c r="I94" s="2">
        <v>15.04457338057775</v>
      </c>
      <c r="R94" s="42"/>
      <c r="S94" s="2">
        <f>USA!Z102*G94</f>
        <v>399.23637129412117</v>
      </c>
      <c r="Y94" s="2">
        <v>5.82</v>
      </c>
      <c r="Z94" s="32">
        <v>0.25</v>
      </c>
      <c r="AA94" s="2">
        <f t="shared" si="19"/>
        <v>3.0089146761155501</v>
      </c>
      <c r="AB94" s="2">
        <f>Y94+AA94</f>
        <v>8.8289146761155504</v>
      </c>
      <c r="AH94" s="2">
        <v>4.87</v>
      </c>
      <c r="AI94">
        <v>0.95</v>
      </c>
      <c r="AM94">
        <v>2015</v>
      </c>
      <c r="AN94" s="1">
        <f t="shared" si="48"/>
        <v>15.04457338057775</v>
      </c>
      <c r="AO94" s="1">
        <f t="shared" si="22"/>
        <v>5.82</v>
      </c>
      <c r="AP94" s="1">
        <f t="shared" si="23"/>
        <v>3.0089146761155501</v>
      </c>
      <c r="AQ94" s="1">
        <f t="shared" si="40"/>
        <v>8.8289146761155504</v>
      </c>
      <c r="AR94" s="1">
        <f t="shared" si="36"/>
        <v>6.2156587044622</v>
      </c>
      <c r="AT94" s="3">
        <f>CPIs!W54</f>
        <v>108.61489105224609</v>
      </c>
      <c r="AV94" s="1">
        <f t="shared" si="37"/>
        <v>13.851299057457037</v>
      </c>
      <c r="AW94" s="1">
        <f t="shared" si="49"/>
        <v>13.841906499708873</v>
      </c>
      <c r="AX94" s="1">
        <f t="shared" si="50"/>
        <v>8.1286411012175606</v>
      </c>
      <c r="AY94" s="1">
        <f t="shared" si="51"/>
        <v>5.7226579562394768</v>
      </c>
      <c r="AZ94" s="1">
        <f t="shared" si="38"/>
        <v>5.7132653984913118</v>
      </c>
      <c r="BA94" s="3">
        <f>S94/AT94*100</f>
        <v>367.57056737467047</v>
      </c>
      <c r="BB94">
        <v>0</v>
      </c>
      <c r="BC94">
        <v>0</v>
      </c>
      <c r="BD94">
        <v>0</v>
      </c>
      <c r="BF94" s="1">
        <f t="shared" si="13"/>
        <v>16.261974023134947</v>
      </c>
      <c r="BG94" s="1">
        <f t="shared" si="14"/>
        <v>16.250946788109708</v>
      </c>
      <c r="BQ94" s="2">
        <f t="shared" si="26"/>
        <v>399.23637129412117</v>
      </c>
      <c r="BR94">
        <v>1590</v>
      </c>
      <c r="BS94">
        <f t="shared" si="27"/>
        <v>227.14285714285714</v>
      </c>
      <c r="BT94" s="2">
        <f t="shared" si="28"/>
        <v>626.37922843697834</v>
      </c>
      <c r="BU94">
        <f t="shared" si="15"/>
        <v>576.69737765116986</v>
      </c>
      <c r="CB94">
        <v>0.124</v>
      </c>
      <c r="CC94">
        <f t="shared" si="34"/>
        <v>8.064516129032258</v>
      </c>
      <c r="CE94">
        <v>1.8</v>
      </c>
      <c r="CF94" s="4">
        <f>CE94/'Exchange Rates'!AB54*'Exchange Rates'!W54</f>
        <v>16.019856298766548</v>
      </c>
    </row>
    <row r="95" spans="1:84">
      <c r="A95">
        <v>2016</v>
      </c>
      <c r="B95" s="3">
        <f t="shared" si="46"/>
        <v>159.72559733236736</v>
      </c>
      <c r="C95" s="3">
        <f>CPIs!AB55</f>
        <v>110.08253978538585</v>
      </c>
      <c r="G95" s="2">
        <f>'Exchange Rates'!W55</f>
        <v>8.3973114450670945</v>
      </c>
      <c r="I95" s="2">
        <v>14.764992229407852</v>
      </c>
      <c r="S95" s="2">
        <f>USA!Z103*G95</f>
        <v>341.63593892072822</v>
      </c>
      <c r="Y95" s="2">
        <f>AH95+AI95</f>
        <v>5.96</v>
      </c>
      <c r="Z95" s="32">
        <v>0.25</v>
      </c>
      <c r="AA95" s="2">
        <f t="shared" si="19"/>
        <v>2.9529984458815708</v>
      </c>
      <c r="AB95" s="2">
        <f t="shared" si="31"/>
        <v>8.9129984458815699</v>
      </c>
      <c r="AH95" s="2">
        <v>4.99</v>
      </c>
      <c r="AI95">
        <v>0.97</v>
      </c>
      <c r="AM95">
        <v>2016</v>
      </c>
      <c r="AN95" s="1">
        <f t="shared" si="48"/>
        <v>14.764992229407852</v>
      </c>
      <c r="AO95" s="1">
        <f t="shared" si="22"/>
        <v>5.96</v>
      </c>
      <c r="AP95" s="1">
        <f t="shared" si="23"/>
        <v>2.9529984458815708</v>
      </c>
      <c r="AQ95" s="1">
        <f t="shared" si="40"/>
        <v>8.9129984458815699</v>
      </c>
      <c r="AR95" s="1">
        <f t="shared" si="36"/>
        <v>5.8519937835262823</v>
      </c>
      <c r="AT95" s="3">
        <f>CPIs!W55</f>
        <v>112.47071838378906</v>
      </c>
      <c r="AV95" s="1">
        <f t="shared" si="37"/>
        <v>13.127854468773448</v>
      </c>
      <c r="AW95" s="1">
        <f t="shared" si="49"/>
        <v>13.199515674362942</v>
      </c>
      <c r="AX95" s="1">
        <f t="shared" si="50"/>
        <v>7.9247279416028364</v>
      </c>
      <c r="AY95" s="1">
        <f t="shared" si="51"/>
        <v>5.2031265271706113</v>
      </c>
      <c r="AZ95" s="1">
        <f t="shared" si="38"/>
        <v>5.2747877327601049</v>
      </c>
      <c r="BA95" s="3">
        <f t="shared" si="39"/>
        <v>303.7554519345631</v>
      </c>
      <c r="BB95">
        <v>0</v>
      </c>
      <c r="BC95">
        <v>0</v>
      </c>
      <c r="BD95">
        <v>0</v>
      </c>
      <c r="BF95" s="1">
        <f t="shared" si="13"/>
        <v>15.412621405770411</v>
      </c>
      <c r="BG95" s="1">
        <f t="shared" si="14"/>
        <v>15.496754501080016</v>
      </c>
      <c r="BQ95" s="2">
        <f t="shared" si="26"/>
        <v>341.63593892072822</v>
      </c>
      <c r="BR95">
        <v>1630</v>
      </c>
      <c r="BS95">
        <f t="shared" si="27"/>
        <v>232.85714285714286</v>
      </c>
      <c r="BT95" s="2">
        <f t="shared" si="28"/>
        <v>574.49308177787111</v>
      </c>
      <c r="BU95">
        <f t="shared" si="15"/>
        <v>510.79346698711538</v>
      </c>
      <c r="CB95">
        <v>0.11899999999999999</v>
      </c>
      <c r="CC95">
        <f t="shared" si="34"/>
        <v>8.4033613445378155</v>
      </c>
      <c r="CE95">
        <v>1.7</v>
      </c>
      <c r="CF95" s="4">
        <f>CE95/'Exchange Rates'!AB55*'Exchange Rates'!W55</f>
        <v>15.743562694957149</v>
      </c>
    </row>
    <row r="96" spans="1:84">
      <c r="A96">
        <v>2017</v>
      </c>
      <c r="B96" s="3">
        <f>I96/G96*100/C96*100</f>
        <v>174.62169889212979</v>
      </c>
      <c r="C96" s="3">
        <f>CPIs!AB56</f>
        <v>112.42729788281457</v>
      </c>
      <c r="G96" s="2">
        <f>'Exchange Rates'!W56</f>
        <v>8.27</v>
      </c>
      <c r="I96" s="2">
        <v>16.235867241988913</v>
      </c>
      <c r="J96" s="32">
        <f>1.8/'Exchange Rates'!AB56*Norway!G96</f>
        <v>16.78241262683202</v>
      </c>
      <c r="S96" s="2">
        <f>USA!Z104*G96</f>
        <v>434.25769999999994</v>
      </c>
      <c r="Y96" s="2">
        <f>AH96+AI96</f>
        <v>6.23</v>
      </c>
      <c r="Z96" s="32">
        <v>0.25</v>
      </c>
      <c r="AA96" s="2">
        <f t="shared" si="19"/>
        <v>3.247173448397783</v>
      </c>
      <c r="AB96" s="2">
        <f t="shared" si="31"/>
        <v>9.4771734483977834</v>
      </c>
      <c r="AH96" s="2">
        <v>5.19</v>
      </c>
      <c r="AI96">
        <v>1.04</v>
      </c>
      <c r="AM96">
        <v>2017</v>
      </c>
      <c r="AN96" s="1">
        <f t="shared" si="48"/>
        <v>16.235867241988913</v>
      </c>
      <c r="AO96" s="1">
        <f t="shared" si="22"/>
        <v>6.23</v>
      </c>
      <c r="AP96" s="1">
        <f t="shared" si="23"/>
        <v>3.247173448397783</v>
      </c>
      <c r="AQ96" s="1">
        <f t="shared" si="40"/>
        <v>9.4771734483977834</v>
      </c>
      <c r="AR96" s="1">
        <f t="shared" si="36"/>
        <v>6.7586937935911298</v>
      </c>
      <c r="AT96" s="3">
        <f>CPIs!W56</f>
        <v>114.58516788940429</v>
      </c>
      <c r="AV96" s="1">
        <f t="shared" si="37"/>
        <v>14.169257279144107</v>
      </c>
      <c r="AW96" s="1">
        <f t="shared" si="49"/>
        <v>14.062532615800691</v>
      </c>
      <c r="AX96" s="1">
        <f t="shared" si="50"/>
        <v>8.2708553148388244</v>
      </c>
      <c r="AY96" s="1">
        <f t="shared" si="51"/>
        <v>5.8984019643052825</v>
      </c>
      <c r="AZ96" s="1">
        <f t="shared" si="38"/>
        <v>5.7916773009618669</v>
      </c>
      <c r="BA96" s="3">
        <f t="shared" si="39"/>
        <v>378.98247041810708</v>
      </c>
      <c r="BB96">
        <v>0</v>
      </c>
      <c r="BC96">
        <v>0</v>
      </c>
      <c r="BD96">
        <v>0</v>
      </c>
      <c r="BF96" s="1">
        <f t="shared" si="13"/>
        <v>16.635269576141841</v>
      </c>
      <c r="BG96" s="1">
        <f t="shared" si="14"/>
        <v>16.509970591857467</v>
      </c>
      <c r="BQ96" s="2">
        <f t="shared" si="26"/>
        <v>434.25769999999994</v>
      </c>
      <c r="BR96">
        <v>1603</v>
      </c>
      <c r="BS96">
        <f t="shared" si="27"/>
        <v>229</v>
      </c>
      <c r="BT96" s="2">
        <f t="shared" si="28"/>
        <v>663.25769999999989</v>
      </c>
      <c r="BU96">
        <f t="shared" si="15"/>
        <v>578.83381611847472</v>
      </c>
      <c r="CB96">
        <v>0.121</v>
      </c>
      <c r="CC96">
        <f t="shared" si="34"/>
        <v>8.2644628099173563</v>
      </c>
      <c r="CE96">
        <v>1.8</v>
      </c>
      <c r="CF96" s="4">
        <f>CE96/'Exchange Rates'!AB56*'Exchange Rates'!W56</f>
        <v>16.78241262683202</v>
      </c>
    </row>
    <row r="97" spans="1:84">
      <c r="A97">
        <v>2018</v>
      </c>
      <c r="G97" s="2">
        <f>'Exchange Rates'!W57</f>
        <v>8.1579999999999995</v>
      </c>
      <c r="I97" s="2">
        <f>AJ173/'Exchange Rates'!AB57*Norway!G97</f>
        <v>17.465930851063831</v>
      </c>
      <c r="P97" s="2"/>
      <c r="S97" s="2">
        <f>USA!Z105*G97</f>
        <v>572.72409073593076</v>
      </c>
      <c r="Y97" s="2">
        <f>AH97+AI97</f>
        <v>6.33</v>
      </c>
      <c r="Z97" s="32">
        <v>0.25</v>
      </c>
      <c r="AA97" s="2">
        <f t="shared" ref="AA97" si="52">Z97*(I97*(1/(1+Z97)))</f>
        <v>3.4931861702127662</v>
      </c>
      <c r="AB97" s="2">
        <f t="shared" ref="AB97" si="53">Y97+AA97</f>
        <v>9.8231861702127663</v>
      </c>
      <c r="AH97" s="2">
        <v>5.17</v>
      </c>
      <c r="AI97">
        <v>1.1599999999999999</v>
      </c>
      <c r="AM97">
        <v>2018</v>
      </c>
      <c r="AN97" s="1">
        <f t="shared" ref="AN97" si="54">I97</f>
        <v>17.465930851063831</v>
      </c>
      <c r="AO97" s="1">
        <f t="shared" ref="AO97" si="55">Y97</f>
        <v>6.33</v>
      </c>
      <c r="AP97" s="1">
        <f t="shared" ref="AP97" si="56">AA97</f>
        <v>3.4931861702127662</v>
      </c>
      <c r="AQ97" s="1">
        <f t="shared" ref="AQ97" si="57">AB97</f>
        <v>9.8231861702127663</v>
      </c>
      <c r="AR97" s="1">
        <f t="shared" ref="AR97" si="58">AN97-AQ97</f>
        <v>7.6427446808510648</v>
      </c>
      <c r="AT97" s="3">
        <f>CPIs!W57</f>
        <v>117.40396301948364</v>
      </c>
      <c r="AV97" s="1">
        <f t="shared" ref="AV97" si="59">AN97/$AT97*100</f>
        <v>14.876781329915833</v>
      </c>
      <c r="AW97" s="1">
        <f t="shared" ref="AW97" si="60">AZ97+AX97</f>
        <v>14.906527760777923</v>
      </c>
      <c r="AX97" s="1">
        <f t="shared" ref="AX97" si="61">AQ97/$AT97*100</f>
        <v>8.3669970907051674</v>
      </c>
      <c r="AY97" s="1">
        <f t="shared" ref="AY97" si="62">AV97-AX97</f>
        <v>6.5097842392106653</v>
      </c>
      <c r="AZ97" s="1">
        <f t="shared" si="38"/>
        <v>6.5395306700727547</v>
      </c>
      <c r="BA97" s="3">
        <f t="shared" ref="BA97" si="63">S97/AT97*100</f>
        <v>487.82347376202705</v>
      </c>
      <c r="BB97">
        <v>0</v>
      </c>
      <c r="BC97">
        <v>0</v>
      </c>
      <c r="BD97">
        <v>0</v>
      </c>
      <c r="BF97" s="1">
        <f>AV97*$AT$97/$AT$89</f>
        <v>17.465930851063831</v>
      </c>
      <c r="BG97" s="1">
        <f>AW97*$AT$97/$AT$89</f>
        <v>17.500854339752774</v>
      </c>
      <c r="BQ97" s="2">
        <f t="shared" si="26"/>
        <v>572.72409073593076</v>
      </c>
      <c r="BR97">
        <v>1630</v>
      </c>
      <c r="BS97">
        <f t="shared" si="27"/>
        <v>232.85714285714286</v>
      </c>
      <c r="BT97" s="2">
        <f t="shared" si="28"/>
        <v>805.58123359307365</v>
      </c>
      <c r="BU97">
        <f>BT97*AT$89/AT97</f>
        <v>686.16187467145755</v>
      </c>
      <c r="CB97">
        <v>0.123</v>
      </c>
      <c r="CC97">
        <f t="shared" si="34"/>
        <v>8.1300813008130088</v>
      </c>
      <c r="CE97">
        <v>1.8</v>
      </c>
      <c r="CF97" s="4">
        <f>CE97/'Exchange Rates'!AB57*'Exchange Rates'!W57</f>
        <v>17.357446808510637</v>
      </c>
    </row>
    <row r="98" spans="1:84">
      <c r="P98" s="40"/>
      <c r="Q98" s="40"/>
      <c r="AM98">
        <v>2019</v>
      </c>
      <c r="AT98" s="3">
        <f>AT97</f>
        <v>117.40396301948364</v>
      </c>
    </row>
    <row r="99" spans="1:84">
      <c r="P99" s="40"/>
      <c r="Q99" s="40"/>
      <c r="AM99">
        <v>2020</v>
      </c>
      <c r="AT99" s="3">
        <f t="shared" ref="AT99:AT109" si="64">AT98</f>
        <v>117.40396301948364</v>
      </c>
      <c r="AV99" s="13" t="s">
        <v>88</v>
      </c>
      <c r="AW99" s="13">
        <v>3.187664946899154</v>
      </c>
    </row>
    <row r="100" spans="1:84">
      <c r="AM100">
        <v>2021</v>
      </c>
      <c r="AT100" s="3">
        <f t="shared" si="64"/>
        <v>117.40396301948364</v>
      </c>
      <c r="AV100" s="13" t="s">
        <v>229</v>
      </c>
      <c r="AW100" s="13">
        <v>6.8710627992631772E-3</v>
      </c>
    </row>
    <row r="101" spans="1:84">
      <c r="AM101">
        <v>2022</v>
      </c>
      <c r="AT101" s="3">
        <f t="shared" si="64"/>
        <v>117.40396301948364</v>
      </c>
      <c r="AV101" s="3" t="s">
        <v>282</v>
      </c>
      <c r="AW101" s="13">
        <v>1.4797041745549908</v>
      </c>
    </row>
    <row r="102" spans="1:84">
      <c r="AM102">
        <v>2023</v>
      </c>
      <c r="AT102" s="3">
        <f t="shared" si="64"/>
        <v>117.40396301948364</v>
      </c>
      <c r="AV102" t="s">
        <v>2464</v>
      </c>
      <c r="AW102" s="13">
        <v>-1.0791447878878602</v>
      </c>
    </row>
    <row r="103" spans="1:84" ht="15.75" thickBot="1">
      <c r="AM103">
        <v>2024</v>
      </c>
      <c r="AT103" s="3">
        <f t="shared" si="64"/>
        <v>117.40396301948364</v>
      </c>
      <c r="AV103" t="s">
        <v>2015</v>
      </c>
      <c r="AW103" s="14">
        <v>-0.41902968525928064</v>
      </c>
    </row>
    <row r="104" spans="1:84">
      <c r="AM104">
        <v>2025</v>
      </c>
      <c r="AT104" s="3">
        <f t="shared" si="64"/>
        <v>117.40396301948364</v>
      </c>
    </row>
    <row r="105" spans="1:84">
      <c r="AM105">
        <v>2026</v>
      </c>
      <c r="AT105" s="3">
        <f t="shared" si="64"/>
        <v>117.40396301948364</v>
      </c>
    </row>
    <row r="106" spans="1:84">
      <c r="AM106">
        <v>2027</v>
      </c>
      <c r="AT106" s="3">
        <f t="shared" si="64"/>
        <v>117.40396301948364</v>
      </c>
    </row>
    <row r="107" spans="1:84">
      <c r="AA107" s="2" t="s">
        <v>1898</v>
      </c>
      <c r="AM107">
        <v>2028</v>
      </c>
      <c r="AT107" s="3">
        <f t="shared" si="64"/>
        <v>117.40396301948364</v>
      </c>
    </row>
    <row r="108" spans="1:84">
      <c r="P108" t="s">
        <v>88</v>
      </c>
      <c r="Q108">
        <v>1.2599589733521559</v>
      </c>
      <c r="AM108">
        <v>2029</v>
      </c>
      <c r="AT108" s="3">
        <f t="shared" si="64"/>
        <v>117.40396301948364</v>
      </c>
    </row>
    <row r="109" spans="1:84">
      <c r="P109" t="s">
        <v>99</v>
      </c>
      <c r="Q109">
        <v>7.2738172143150389E-3</v>
      </c>
      <c r="AM109">
        <v>2030</v>
      </c>
      <c r="AT109" s="3">
        <f t="shared" si="64"/>
        <v>117.40396301948364</v>
      </c>
    </row>
    <row r="110" spans="1:84">
      <c r="P110" t="s">
        <v>127</v>
      </c>
      <c r="Q110">
        <v>-0.62006272997227818</v>
      </c>
    </row>
    <row r="111" spans="1:84">
      <c r="L111" s="13" t="str">
        <f t="shared" ref="L111:M115" si="65">AV99</f>
        <v>Intercept</v>
      </c>
      <c r="M111" s="13">
        <f t="shared" si="65"/>
        <v>3.187664946899154</v>
      </c>
      <c r="P111" t="s">
        <v>136</v>
      </c>
      <c r="Q111">
        <v>-0.28847664904809273</v>
      </c>
    </row>
    <row r="112" spans="1:84">
      <c r="L112" s="13" t="str">
        <f t="shared" si="65"/>
        <v>landed oil price</v>
      </c>
      <c r="M112" s="13">
        <f t="shared" si="65"/>
        <v>6.8710627992631772E-3</v>
      </c>
      <c r="P112" t="s">
        <v>141</v>
      </c>
      <c r="Q112">
        <v>1.0130446960682606</v>
      </c>
    </row>
    <row r="113" spans="1:64">
      <c r="L113" s="13" t="str">
        <f t="shared" si="65"/>
        <v>dum90</v>
      </c>
      <c r="M113" s="13">
        <f t="shared" si="65"/>
        <v>1.4797041745549908</v>
      </c>
    </row>
    <row r="114" spans="1:64">
      <c r="L114" s="13" t="str">
        <f t="shared" si="65"/>
        <v>dumPreTax</v>
      </c>
      <c r="M114" s="13">
        <f t="shared" si="65"/>
        <v>-1.0791447878878602</v>
      </c>
    </row>
    <row r="115" spans="1:64">
      <c r="L115" s="13" t="str">
        <f t="shared" si="65"/>
        <v>dum9612</v>
      </c>
      <c r="M115" s="13">
        <f t="shared" si="65"/>
        <v>-0.41902968525928064</v>
      </c>
    </row>
    <row r="116" spans="1:64">
      <c r="AI116" s="2"/>
      <c r="AJ116" s="2"/>
      <c r="AK116" s="2"/>
      <c r="AN116"/>
      <c r="AS116" s="2"/>
      <c r="AT116" s="12"/>
      <c r="AU116"/>
      <c r="AV116" s="12"/>
      <c r="AY116" s="3"/>
      <c r="BA116"/>
      <c r="BB116" s="9"/>
      <c r="BF116" s="9"/>
    </row>
    <row r="117" spans="1:64">
      <c r="AI117" s="2"/>
      <c r="AJ117" s="2"/>
      <c r="AK117" s="2"/>
      <c r="AL117" s="2"/>
      <c r="AM117" s="2"/>
      <c r="AR117"/>
      <c r="AS117"/>
      <c r="AT117" s="12"/>
      <c r="AU117" s="2"/>
      <c r="AV117" s="32"/>
      <c r="AW117" s="2"/>
      <c r="AY117" s="3"/>
      <c r="BA117"/>
      <c r="BB117" s="9"/>
      <c r="BE117" s="3"/>
      <c r="BF117" s="3"/>
      <c r="BG117" s="3"/>
      <c r="BJ117" s="9"/>
    </row>
    <row r="118" spans="1:64">
      <c r="O118" s="32"/>
      <c r="P118" s="37"/>
      <c r="R118" s="32"/>
      <c r="S118" s="37"/>
      <c r="W118" s="2"/>
      <c r="X118" s="37"/>
      <c r="AI118" s="2"/>
      <c r="AJ118" s="2"/>
      <c r="AK118" s="2"/>
      <c r="AL118" s="2"/>
      <c r="AM118" s="2"/>
      <c r="AS118"/>
      <c r="AV118" s="2"/>
      <c r="AW118" s="32"/>
      <c r="AX118" s="2"/>
      <c r="AY118" s="3"/>
      <c r="AZ118" s="3"/>
      <c r="BA118"/>
      <c r="BC118" s="9"/>
      <c r="BF118" s="3"/>
      <c r="BG118" s="3"/>
      <c r="BH118" s="3"/>
      <c r="BK118" s="9"/>
    </row>
    <row r="119" spans="1:64">
      <c r="O119" s="32"/>
      <c r="P119" s="37"/>
      <c r="R119" s="32"/>
      <c r="S119" s="37"/>
      <c r="W119" s="2"/>
      <c r="X119" s="37"/>
      <c r="Y119" s="37"/>
      <c r="Z119" s="37"/>
      <c r="AA119" s="37"/>
      <c r="AB119" s="37"/>
      <c r="AC119" s="37"/>
      <c r="AD119" s="37"/>
      <c r="AE119" s="37"/>
      <c r="AF119" s="37"/>
      <c r="AI119" s="2"/>
      <c r="AJ119" s="2"/>
      <c r="AK119" t="s">
        <v>1960</v>
      </c>
      <c r="AL119" t="s">
        <v>1960</v>
      </c>
      <c r="AM119" t="s">
        <v>1960</v>
      </c>
      <c r="AS119" s="2"/>
      <c r="AT119" s="2"/>
      <c r="AU119" s="32"/>
      <c r="AV119" s="2"/>
      <c r="AW119" s="12"/>
      <c r="AX119"/>
      <c r="AY119" s="3"/>
      <c r="AZ119" s="3"/>
      <c r="BA119"/>
      <c r="BC119" s="9"/>
      <c r="BF119" s="3"/>
      <c r="BG119" s="3"/>
      <c r="BH119" s="12"/>
      <c r="BI119" s="12"/>
      <c r="BJ119" s="3"/>
      <c r="BK119" s="3"/>
      <c r="BL119" s="3"/>
    </row>
    <row r="120" spans="1:64">
      <c r="B120" s="76" t="s">
        <v>2551</v>
      </c>
      <c r="C120" s="76"/>
      <c r="D120" s="76"/>
      <c r="E120" s="76"/>
      <c r="F120" s="26" t="s">
        <v>269</v>
      </c>
      <c r="G120" s="76" t="s">
        <v>2565</v>
      </c>
      <c r="H120" s="76"/>
      <c r="I120" s="76"/>
      <c r="J120" s="76"/>
      <c r="K120" s="26" t="s">
        <v>2613</v>
      </c>
      <c r="L120" s="26"/>
      <c r="M120" s="26"/>
      <c r="N120" s="26"/>
      <c r="O120" s="12"/>
      <c r="P120" s="77" t="s">
        <v>111</v>
      </c>
      <c r="Q120" s="26" t="s">
        <v>2614</v>
      </c>
      <c r="R120" s="26"/>
      <c r="S120" s="26"/>
      <c r="T120" s="79">
        <v>0.25</v>
      </c>
      <c r="U120" s="76" t="s">
        <v>2567</v>
      </c>
      <c r="V120" s="76"/>
      <c r="W120" s="76"/>
      <c r="X120" s="76"/>
      <c r="Y120" s="26" t="s">
        <v>2497</v>
      </c>
      <c r="Z120" s="26"/>
      <c r="AA120" s="26"/>
      <c r="AB120" s="79"/>
      <c r="AC120" s="26" t="s">
        <v>2080</v>
      </c>
      <c r="AD120" s="26"/>
      <c r="AE120" s="26"/>
      <c r="AF120" s="79"/>
      <c r="AI120" s="2"/>
      <c r="AJ120" s="2"/>
      <c r="AK120" s="3" t="s">
        <v>1957</v>
      </c>
      <c r="AL120" s="3" t="s">
        <v>1957</v>
      </c>
      <c r="AM120" s="3" t="s">
        <v>1957</v>
      </c>
      <c r="AS120" s="2"/>
      <c r="AT120" s="2"/>
      <c r="AU120" s="32"/>
      <c r="AV120"/>
      <c r="AW120" s="12"/>
      <c r="AX120"/>
      <c r="AY120" s="3"/>
      <c r="AZ120" s="3"/>
      <c r="BA120"/>
      <c r="BC120" s="9"/>
      <c r="BF120" s="3"/>
      <c r="BG120" s="3"/>
      <c r="BH120" s="3"/>
      <c r="BI120" s="3"/>
      <c r="BL120" s="9"/>
    </row>
    <row r="121" spans="1:64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2568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I121" s="2"/>
      <c r="AJ121" s="2"/>
      <c r="AK121" s="3" t="s">
        <v>268</v>
      </c>
      <c r="AL121" s="3" t="s">
        <v>267</v>
      </c>
      <c r="AM121" s="3" t="s">
        <v>266</v>
      </c>
      <c r="AS121" s="2"/>
      <c r="AT121" s="2"/>
      <c r="AU121" s="32"/>
      <c r="AV121"/>
      <c r="AW121" s="12"/>
      <c r="AX121"/>
      <c r="AY121" s="3"/>
      <c r="AZ121" s="3"/>
      <c r="BA121"/>
      <c r="BC121" s="9"/>
      <c r="BF121" s="3"/>
      <c r="BG121" s="3"/>
      <c r="BH121" s="3"/>
      <c r="BI121" s="3"/>
      <c r="BL121" s="9"/>
    </row>
    <row r="122" spans="1:64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66">AL122</f>
        <v>77.45</v>
      </c>
      <c r="E122" s="3">
        <f t="shared" si="66"/>
        <v>77.45</v>
      </c>
      <c r="F122" s="6">
        <f>'Exchange Rates'!W49</f>
        <v>6.0463641162424917</v>
      </c>
      <c r="G122" s="9">
        <f>(B122*USA!$AU97/100)/$AT89*100*$F122</f>
        <v>468.29090080298101</v>
      </c>
      <c r="H122" s="9">
        <f>(C122*USA!$AU97/100)/$AT89*100*$F122</f>
        <v>468.29090080298101</v>
      </c>
      <c r="I122" s="9">
        <f>(D122*USA!$AU97/100)/$AT89*100*$F122</f>
        <v>468.29090080298101</v>
      </c>
      <c r="J122" s="9">
        <f>(E122*USA!$AU97/100)/$AT89*100*$F122</f>
        <v>468.29090080298101</v>
      </c>
      <c r="K122" s="6">
        <f t="shared" ref="K122:K129" si="67">M$111+M$112*G122+M$114*BC89+M$115*BD89</f>
        <v>4.9071466614928188</v>
      </c>
      <c r="L122" s="6">
        <f t="shared" ref="L122:L129" si="68">M$111+M$112*H122+M$114*BC89+M$115*BD89</f>
        <v>4.9071466614928188</v>
      </c>
      <c r="M122" s="6">
        <f t="shared" ref="M122:M129" si="69">M$111+M$112*I122+M$114*BC89+M$115*BD89</f>
        <v>4.9071466614928188</v>
      </c>
      <c r="N122" s="6">
        <f t="shared" ref="N122:N129" si="70">M$111+M$112*J122+M$114*BC89+M$115*BD89</f>
        <v>4.9071466614928188</v>
      </c>
      <c r="O122">
        <v>2010</v>
      </c>
      <c r="P122" s="24">
        <f t="shared" ref="P122:P130" si="71">Y89/AT89*100</f>
        <v>5.32</v>
      </c>
      <c r="Q122" s="3">
        <f t="shared" ref="Q122:Q130" si="72">(K122+P122)*$T$120</f>
        <v>2.5567866653732048</v>
      </c>
      <c r="R122" s="3">
        <f t="shared" ref="R122:R142" si="73">(L122+P122)*$T$120</f>
        <v>2.5567866653732048</v>
      </c>
      <c r="S122" s="3">
        <f t="shared" ref="S122:S142" si="74">(M122+P122)*$T$120</f>
        <v>2.5567866653732048</v>
      </c>
      <c r="T122" s="3">
        <f t="shared" ref="T122:T142" si="75">(N122+P122)*$T$120</f>
        <v>2.5567866653732048</v>
      </c>
      <c r="U122" s="3">
        <f t="shared" ref="U122:U129" si="76">AV89</f>
        <v>12.689</v>
      </c>
      <c r="V122" s="3">
        <f t="shared" ref="V122:V142" si="77">L122+$P122+R122</f>
        <v>12.783933326866023</v>
      </c>
      <c r="W122" s="3">
        <f t="shared" ref="W122:W142" si="78">M122+$P122+S122</f>
        <v>12.783933326866023</v>
      </c>
      <c r="X122" s="3">
        <f t="shared" ref="X122:X142" si="79">N122+$P122+T122</f>
        <v>12.783933326866023</v>
      </c>
      <c r="Y122" s="3">
        <f t="shared" ref="Y122:Y130" si="80">AV89*$AT$97/100</f>
        <v>14.897388867542279</v>
      </c>
      <c r="Z122" s="3">
        <f t="shared" ref="Z122:Z142" si="81">V122*$AT$97/100</f>
        <v>15.008844355509233</v>
      </c>
      <c r="AA122" s="3">
        <f t="shared" ref="AA122:AA142" si="82">W122*$AT$97/100</f>
        <v>15.008844355509233</v>
      </c>
      <c r="AB122" s="3">
        <f t="shared" ref="AB122:AB142" si="83">X122*$AT$97/100</f>
        <v>15.008844355509233</v>
      </c>
      <c r="AC122" s="3">
        <f t="shared" ref="AC122:AC130" si="84">U122*$AT$96/100</f>
        <v>14.53971195348651</v>
      </c>
      <c r="AD122" s="3">
        <f>AC122</f>
        <v>14.53971195348651</v>
      </c>
      <c r="AE122" s="3">
        <f t="shared" ref="AE122:AF122" si="85">AD122</f>
        <v>14.53971195348651</v>
      </c>
      <c r="AF122" s="3">
        <f t="shared" si="85"/>
        <v>14.53971195348651</v>
      </c>
      <c r="AI122" s="2"/>
      <c r="AJ122" s="2"/>
      <c r="AK122" s="3">
        <f>USA!AJ135</f>
        <v>77.45</v>
      </c>
      <c r="AL122" s="3">
        <f>USA!AK135</f>
        <v>77.45</v>
      </c>
      <c r="AM122" s="3">
        <f>USA!AL135</f>
        <v>77.45</v>
      </c>
      <c r="AS122" s="2"/>
      <c r="AT122" s="2"/>
      <c r="AU122" s="32"/>
      <c r="AV122"/>
      <c r="AW122" s="12"/>
      <c r="AX122"/>
      <c r="AY122" s="3"/>
      <c r="AZ122" s="3"/>
      <c r="BA122"/>
      <c r="BC122" s="9"/>
      <c r="BF122" s="3"/>
      <c r="BG122" s="3"/>
      <c r="BH122" s="3"/>
      <c r="BI122" s="3"/>
      <c r="BL122" s="9"/>
    </row>
    <row r="123" spans="1:64">
      <c r="A123">
        <v>2011</v>
      </c>
      <c r="B123" s="3">
        <f>USA!Z98/USA!AU98*100</f>
        <v>104.18614906980585</v>
      </c>
      <c r="C123" s="3">
        <f t="shared" ref="C123:C142" si="86">AK123</f>
        <v>104.18614906980586</v>
      </c>
      <c r="D123" s="3">
        <f t="shared" ref="D123:D142" si="87">AL123</f>
        <v>104.18614906980586</v>
      </c>
      <c r="E123" s="3">
        <f t="shared" ref="E123:E142" si="88">AM123</f>
        <v>104.18614906980586</v>
      </c>
      <c r="F123" s="6">
        <f>'Exchange Rates'!W50</f>
        <v>5.6082971190704045</v>
      </c>
      <c r="G123" s="9">
        <f>(B123*USA!$AU98/100)/$AT90*100*$F123</f>
        <v>594.87244694880621</v>
      </c>
      <c r="H123" s="9">
        <f>(C123*USA!$AU98/100)/$AT90*100*$F123</f>
        <v>594.87244694880633</v>
      </c>
      <c r="I123" s="9">
        <f>(D123*USA!$AU98/100)/$AT90*100*$F123</f>
        <v>594.87244694880633</v>
      </c>
      <c r="J123" s="9">
        <f>(E123*USA!$AU98/100)/$AT90*100*$F123</f>
        <v>594.87244694880633</v>
      </c>
      <c r="K123" s="6">
        <f t="shared" si="67"/>
        <v>5.7768964142886139</v>
      </c>
      <c r="L123" s="6">
        <f>M$111+M$112*H123+M$114*BC90+M$115*BD90</f>
        <v>5.7768964142886139</v>
      </c>
      <c r="M123" s="6">
        <f t="shared" si="69"/>
        <v>5.7768964142886139</v>
      </c>
      <c r="N123" s="6">
        <f t="shared" si="70"/>
        <v>5.7768964142886139</v>
      </c>
      <c r="O123">
        <v>2011</v>
      </c>
      <c r="P123" s="24">
        <f t="shared" si="71"/>
        <v>5.4244300979385009</v>
      </c>
      <c r="Q123" s="3">
        <f t="shared" si="72"/>
        <v>2.8003316280567789</v>
      </c>
      <c r="R123" s="3">
        <f t="shared" si="73"/>
        <v>2.8003316280567789</v>
      </c>
      <c r="S123" s="3">
        <f t="shared" si="74"/>
        <v>2.8003316280567789</v>
      </c>
      <c r="T123" s="3">
        <f t="shared" si="75"/>
        <v>2.8003316280567789</v>
      </c>
      <c r="U123" s="3">
        <f t="shared" si="76"/>
        <v>13.529873805346803</v>
      </c>
      <c r="V123" s="3">
        <f t="shared" si="77"/>
        <v>14.001658140283894</v>
      </c>
      <c r="W123" s="3">
        <f t="shared" si="78"/>
        <v>14.001658140283894</v>
      </c>
      <c r="X123" s="3">
        <f t="shared" si="79"/>
        <v>14.001658140283894</v>
      </c>
      <c r="Y123" s="3">
        <f t="shared" si="80"/>
        <v>15.884608039012164</v>
      </c>
      <c r="Z123" s="3">
        <f t="shared" si="81"/>
        <v>16.438501545133423</v>
      </c>
      <c r="AA123" s="3">
        <f t="shared" si="82"/>
        <v>16.438501545133423</v>
      </c>
      <c r="AB123" s="3">
        <f t="shared" si="83"/>
        <v>16.438501545133423</v>
      </c>
      <c r="AC123" s="3">
        <f t="shared" si="84"/>
        <v>15.503228615081166</v>
      </c>
      <c r="AD123" s="3">
        <f t="shared" ref="AD123:AF123" si="89">AC123</f>
        <v>15.503228615081166</v>
      </c>
      <c r="AE123" s="3">
        <f t="shared" si="89"/>
        <v>15.503228615081166</v>
      </c>
      <c r="AF123" s="3">
        <f t="shared" si="89"/>
        <v>15.503228615081166</v>
      </c>
      <c r="AI123" s="2"/>
      <c r="AJ123" s="2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S123" s="2"/>
      <c r="AT123" s="2"/>
      <c r="AU123" s="32"/>
      <c r="AV123"/>
      <c r="AW123" s="12"/>
      <c r="AX123"/>
      <c r="AY123" s="3"/>
      <c r="AZ123" s="3"/>
      <c r="BA123"/>
      <c r="BC123" s="9"/>
      <c r="BF123" s="3"/>
      <c r="BG123" s="3"/>
      <c r="BH123" s="3"/>
      <c r="BI123" s="3"/>
      <c r="BL123" s="9"/>
    </row>
    <row r="124" spans="1:64">
      <c r="A124">
        <v>2012</v>
      </c>
      <c r="B124" s="3">
        <f>USA!Z99/USA!AU99*100</f>
        <v>104.07290773565181</v>
      </c>
      <c r="C124" s="3">
        <f t="shared" si="86"/>
        <v>104.07290773565181</v>
      </c>
      <c r="D124" s="3">
        <f t="shared" si="87"/>
        <v>104.07290773565181</v>
      </c>
      <c r="E124" s="3">
        <f t="shared" si="88"/>
        <v>104.07290773565181</v>
      </c>
      <c r="F124" s="6">
        <f>'Exchange Rates'!W51</f>
        <v>5.8192827200745221</v>
      </c>
      <c r="G124" s="9">
        <f>(B124*USA!$AU99/100)/$AT91*100*$F124</f>
        <v>624.57459202233997</v>
      </c>
      <c r="H124" s="9">
        <f>(C124*USA!$AU99/100)/$AT91*100*$F124</f>
        <v>624.57459202233997</v>
      </c>
      <c r="I124" s="9">
        <f>(D124*USA!$AU99/100)/$AT91*100*$F124</f>
        <v>624.57459202233997</v>
      </c>
      <c r="J124" s="9">
        <f>(E124*USA!$AU99/100)/$AT91*100*$F124</f>
        <v>624.57459202233997</v>
      </c>
      <c r="K124" s="6">
        <f t="shared" si="67"/>
        <v>5.9809817183616891</v>
      </c>
      <c r="L124" s="6">
        <f t="shared" si="68"/>
        <v>5.9809817183616891</v>
      </c>
      <c r="M124" s="6">
        <f t="shared" si="69"/>
        <v>5.9809817183616891</v>
      </c>
      <c r="N124" s="6">
        <f t="shared" si="70"/>
        <v>5.9809817183616891</v>
      </c>
      <c r="O124">
        <v>2012</v>
      </c>
      <c r="P124" s="24">
        <f t="shared" si="71"/>
        <v>5.4695470475413011</v>
      </c>
      <c r="Q124" s="3">
        <f t="shared" si="72"/>
        <v>2.8626321914757478</v>
      </c>
      <c r="R124" s="3">
        <f t="shared" si="73"/>
        <v>2.8626321914757478</v>
      </c>
      <c r="S124" s="3">
        <f t="shared" si="74"/>
        <v>2.8626321914757478</v>
      </c>
      <c r="T124" s="3">
        <f t="shared" si="75"/>
        <v>2.8626321914757478</v>
      </c>
      <c r="U124" s="3">
        <f t="shared" si="76"/>
        <v>14.431356051898033</v>
      </c>
      <c r="V124" s="3">
        <f t="shared" si="77"/>
        <v>14.313160957378738</v>
      </c>
      <c r="W124" s="3">
        <f t="shared" si="78"/>
        <v>14.313160957378738</v>
      </c>
      <c r="X124" s="3">
        <f t="shared" si="79"/>
        <v>14.313160957378738</v>
      </c>
      <c r="Y124" s="3">
        <f t="shared" si="80"/>
        <v>16.942983922380382</v>
      </c>
      <c r="Z124" s="3">
        <f t="shared" si="81"/>
        <v>16.804218197320104</v>
      </c>
      <c r="AA124" s="3">
        <f t="shared" si="82"/>
        <v>16.804218197320104</v>
      </c>
      <c r="AB124" s="3">
        <f t="shared" si="83"/>
        <v>16.804218197320104</v>
      </c>
      <c r="AC124" s="3">
        <f t="shared" si="84"/>
        <v>16.536193560785069</v>
      </c>
      <c r="AD124" s="3">
        <f t="shared" ref="AD124:AF124" si="90">AC124</f>
        <v>16.536193560785069</v>
      </c>
      <c r="AE124" s="3">
        <f t="shared" si="90"/>
        <v>16.536193560785069</v>
      </c>
      <c r="AF124" s="3">
        <f t="shared" si="90"/>
        <v>16.536193560785069</v>
      </c>
      <c r="AI124" s="2"/>
      <c r="AJ124" s="2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S124" s="2"/>
      <c r="AT124" s="2"/>
      <c r="AU124" s="32"/>
      <c r="AV124"/>
      <c r="AW124" s="12"/>
      <c r="AX124"/>
      <c r="AY124" s="3"/>
      <c r="AZ124" s="3"/>
      <c r="BA124"/>
      <c r="BC124" s="9"/>
      <c r="BF124" s="3"/>
      <c r="BG124" s="3"/>
      <c r="BH124" s="3"/>
      <c r="BI124" s="3"/>
      <c r="BL124" s="9"/>
    </row>
    <row r="125" spans="1:64">
      <c r="A125">
        <v>2013</v>
      </c>
      <c r="B125" s="3">
        <f>USA!Z100/USA!AU100*100</f>
        <v>99.286371359470479</v>
      </c>
      <c r="C125" s="3">
        <f t="shared" si="86"/>
        <v>99.286371359470493</v>
      </c>
      <c r="D125" s="3">
        <f t="shared" si="87"/>
        <v>99.286371359470493</v>
      </c>
      <c r="E125" s="3">
        <f t="shared" si="88"/>
        <v>99.286371359470493</v>
      </c>
      <c r="F125" s="6">
        <f>'Exchange Rates'!W52</f>
        <v>5.8701489792164798</v>
      </c>
      <c r="G125" s="9">
        <f>(B125*USA!$AU100/100)/$AT92*100*$F125</f>
        <v>596.82949214873793</v>
      </c>
      <c r="H125" s="9">
        <f>(C125*USA!$AU100/100)/$AT92*100*$F125</f>
        <v>596.82949214873793</v>
      </c>
      <c r="I125" s="9">
        <f>(D125*USA!$AU100/100)/$AT92*100*$F125</f>
        <v>596.82949214873793</v>
      </c>
      <c r="J125" s="9">
        <f>(E125*USA!$AU100/100)/$AT92*100*$F125</f>
        <v>596.82949214873793</v>
      </c>
      <c r="K125" s="6">
        <f t="shared" si="67"/>
        <v>6.2093730800176212</v>
      </c>
      <c r="L125" s="6">
        <f t="shared" si="68"/>
        <v>6.2093730800176212</v>
      </c>
      <c r="M125" s="6">
        <f t="shared" si="69"/>
        <v>6.2093730800176212</v>
      </c>
      <c r="N125" s="6">
        <f t="shared" si="70"/>
        <v>6.2093730800176212</v>
      </c>
      <c r="O125">
        <v>2013</v>
      </c>
      <c r="P125" s="24">
        <f t="shared" si="71"/>
        <v>5.4609578324981909</v>
      </c>
      <c r="Q125" s="3">
        <f t="shared" si="72"/>
        <v>2.917582728128953</v>
      </c>
      <c r="R125" s="3">
        <f t="shared" si="73"/>
        <v>2.917582728128953</v>
      </c>
      <c r="S125" s="3">
        <f t="shared" si="74"/>
        <v>2.917582728128953</v>
      </c>
      <c r="T125" s="3">
        <f t="shared" si="75"/>
        <v>2.917582728128953</v>
      </c>
      <c r="U125" s="3">
        <f t="shared" si="76"/>
        <v>14.703317046374739</v>
      </c>
      <c r="V125" s="3">
        <f t="shared" si="77"/>
        <v>14.587913640644764</v>
      </c>
      <c r="W125" s="3">
        <f t="shared" si="78"/>
        <v>14.587913640644764</v>
      </c>
      <c r="X125" s="3">
        <f t="shared" si="79"/>
        <v>14.587913640644764</v>
      </c>
      <c r="Y125" s="3">
        <f t="shared" si="80"/>
        <v>17.262276907763233</v>
      </c>
      <c r="Z125" s="3">
        <f t="shared" si="81"/>
        <v>17.126788735976788</v>
      </c>
      <c r="AA125" s="3">
        <f t="shared" si="82"/>
        <v>17.126788735976788</v>
      </c>
      <c r="AB125" s="3">
        <f t="shared" si="83"/>
        <v>17.126788735976788</v>
      </c>
      <c r="AC125" s="3">
        <f t="shared" si="84"/>
        <v>16.847820522899895</v>
      </c>
      <c r="AD125" s="3">
        <f t="shared" ref="AD125:AF125" si="91">AC125</f>
        <v>16.847820522899895</v>
      </c>
      <c r="AE125" s="3">
        <f t="shared" si="91"/>
        <v>16.847820522899895</v>
      </c>
      <c r="AF125" s="3">
        <f t="shared" si="91"/>
        <v>16.847820522899895</v>
      </c>
      <c r="AI125" s="2"/>
      <c r="AJ125" s="2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S125" s="2"/>
      <c r="AT125" s="2"/>
      <c r="AU125" s="32"/>
      <c r="AV125"/>
      <c r="AW125" s="12"/>
      <c r="AX125"/>
      <c r="AY125" s="3"/>
      <c r="AZ125" s="3"/>
      <c r="BA125"/>
      <c r="BC125" s="9"/>
      <c r="BF125" s="3"/>
      <c r="BG125" s="3"/>
      <c r="BH125" s="3"/>
      <c r="BI125" s="3"/>
      <c r="BL125" s="9"/>
    </row>
    <row r="126" spans="1:64">
      <c r="A126">
        <v>2014</v>
      </c>
      <c r="B126" s="3">
        <f>USA!Z101/USA!AU101*100</f>
        <v>88.687750298592292</v>
      </c>
      <c r="C126" s="3">
        <f t="shared" si="86"/>
        <v>88.687750298592292</v>
      </c>
      <c r="D126" s="3">
        <f t="shared" si="87"/>
        <v>88.687750298592292</v>
      </c>
      <c r="E126" s="3">
        <f t="shared" si="88"/>
        <v>88.687750298592292</v>
      </c>
      <c r="F126" s="6">
        <f>'Exchange Rates'!W53</f>
        <v>6.291782231543305</v>
      </c>
      <c r="G126" s="9">
        <f>(B126*USA!$AU101/100)/$AT93*100*$F126</f>
        <v>569.31012048759055</v>
      </c>
      <c r="H126" s="9">
        <f>(C126*USA!$AU101/100)/$AT93*100*$F126</f>
        <v>569.31012048759055</v>
      </c>
      <c r="I126" s="9">
        <f>(D126*USA!$AU101/100)/$AT93*100*$F126</f>
        <v>569.31012048759055</v>
      </c>
      <c r="J126" s="9">
        <f>(E126*USA!$AU101/100)/$AT93*100*$F126</f>
        <v>569.31012048759055</v>
      </c>
      <c r="K126" s="6">
        <f t="shared" si="67"/>
        <v>6.0202857491376145</v>
      </c>
      <c r="L126" s="6">
        <f t="shared" si="68"/>
        <v>6.0202857491376145</v>
      </c>
      <c r="M126" s="6">
        <f t="shared" si="69"/>
        <v>6.0202857491376145</v>
      </c>
      <c r="N126" s="6">
        <f t="shared" si="70"/>
        <v>6.0202857491376145</v>
      </c>
      <c r="O126">
        <v>2014</v>
      </c>
      <c r="P126" s="24">
        <f t="shared" si="71"/>
        <v>5.5679828442305075</v>
      </c>
      <c r="Q126" s="3">
        <f t="shared" si="72"/>
        <v>2.8970671483420305</v>
      </c>
      <c r="R126" s="3">
        <f t="shared" si="73"/>
        <v>2.8970671483420305</v>
      </c>
      <c r="S126" s="3">
        <f t="shared" si="74"/>
        <v>2.8970671483420305</v>
      </c>
      <c r="T126" s="3">
        <f t="shared" si="75"/>
        <v>2.8970671483420305</v>
      </c>
      <c r="U126" s="3">
        <f t="shared" si="76"/>
        <v>14.733714350384531</v>
      </c>
      <c r="V126" s="3">
        <f t="shared" si="77"/>
        <v>14.485335741710152</v>
      </c>
      <c r="W126" s="3">
        <f t="shared" si="78"/>
        <v>14.485335741710152</v>
      </c>
      <c r="X126" s="3">
        <f t="shared" si="79"/>
        <v>14.485335741710152</v>
      </c>
      <c r="Y126" s="3">
        <f t="shared" si="80"/>
        <v>17.297964547321811</v>
      </c>
      <c r="Z126" s="3">
        <f t="shared" si="81"/>
        <v>17.006358217445435</v>
      </c>
      <c r="AA126" s="3">
        <f t="shared" si="82"/>
        <v>17.006358217445435</v>
      </c>
      <c r="AB126" s="3">
        <f t="shared" si="83"/>
        <v>17.006358217445435</v>
      </c>
      <c r="AC126" s="3">
        <f t="shared" si="84"/>
        <v>16.882651324733366</v>
      </c>
      <c r="AD126" s="3">
        <f t="shared" ref="AD126:AF126" si="92">AC126</f>
        <v>16.882651324733366</v>
      </c>
      <c r="AE126" s="3">
        <f t="shared" si="92"/>
        <v>16.882651324733366</v>
      </c>
      <c r="AF126" s="3">
        <f t="shared" si="92"/>
        <v>16.882651324733366</v>
      </c>
      <c r="AI126" s="2"/>
      <c r="AJ126" s="2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S126" s="2"/>
      <c r="AT126" s="2"/>
      <c r="AU126" s="32"/>
      <c r="AV126"/>
      <c r="AW126" s="12"/>
      <c r="AX126"/>
      <c r="AY126" s="3"/>
      <c r="AZ126" s="3"/>
      <c r="BA126"/>
      <c r="BC126" s="9"/>
      <c r="BF126" s="3"/>
      <c r="BG126" s="3"/>
      <c r="BH126" s="3"/>
      <c r="BI126" s="3"/>
      <c r="BL126" s="9"/>
    </row>
    <row r="127" spans="1:64">
      <c r="A127">
        <v>2015</v>
      </c>
      <c r="B127" s="3">
        <f>USA!Z102/USA!AU102*100</f>
        <v>45.556296925601828</v>
      </c>
      <c r="C127" s="3">
        <f t="shared" si="86"/>
        <v>45.556296925601814</v>
      </c>
      <c r="D127" s="3">
        <f t="shared" si="87"/>
        <v>45.556296925601814</v>
      </c>
      <c r="E127" s="3">
        <f t="shared" si="88"/>
        <v>45.556296925601814</v>
      </c>
      <c r="F127" s="6">
        <f>'Exchange Rates'!W54</f>
        <v>8.062665178833619</v>
      </c>
      <c r="G127" s="9">
        <f>(B127*USA!$AU102/100)/$AT94*100*$F127</f>
        <v>367.57056737467053</v>
      </c>
      <c r="H127" s="9">
        <f>(C127*USA!$AU102/100)/$AT94*100*$F127</f>
        <v>367.57056737467036</v>
      </c>
      <c r="I127" s="9">
        <f>(D127*USA!$AU102/100)/$AT94*100*$F127</f>
        <v>367.57056737467036</v>
      </c>
      <c r="J127" s="9">
        <f>(E127*USA!$AU102/100)/$AT94*100*$F127</f>
        <v>367.57056737467036</v>
      </c>
      <c r="K127" s="6">
        <f t="shared" si="67"/>
        <v>5.7132653984913127</v>
      </c>
      <c r="L127" s="6">
        <f t="shared" si="68"/>
        <v>5.7132653984913109</v>
      </c>
      <c r="M127" s="6">
        <f t="shared" si="69"/>
        <v>5.7132653984913109</v>
      </c>
      <c r="N127" s="6">
        <f t="shared" si="70"/>
        <v>5.7132653984913109</v>
      </c>
      <c r="O127">
        <v>2015</v>
      </c>
      <c r="P127" s="24">
        <f t="shared" si="71"/>
        <v>5.3583812897261529</v>
      </c>
      <c r="Q127" s="3">
        <f t="shared" si="72"/>
        <v>2.7679116720543666</v>
      </c>
      <c r="R127" s="3">
        <f t="shared" si="73"/>
        <v>2.7679116720543657</v>
      </c>
      <c r="S127" s="3">
        <f t="shared" si="74"/>
        <v>2.7679116720543657</v>
      </c>
      <c r="T127" s="3">
        <f t="shared" si="75"/>
        <v>2.7679116720543657</v>
      </c>
      <c r="U127" s="3">
        <f t="shared" si="76"/>
        <v>13.851299057457037</v>
      </c>
      <c r="V127" s="3">
        <f t="shared" si="77"/>
        <v>13.839558360271829</v>
      </c>
      <c r="W127" s="3">
        <f t="shared" si="78"/>
        <v>13.839558360271829</v>
      </c>
      <c r="X127" s="3">
        <f t="shared" si="79"/>
        <v>13.839558360271829</v>
      </c>
      <c r="Y127" s="3">
        <f t="shared" si="80"/>
        <v>16.261974023134947</v>
      </c>
      <c r="Z127" s="3">
        <f t="shared" si="81"/>
        <v>16.248189979353395</v>
      </c>
      <c r="AA127" s="3">
        <f t="shared" si="82"/>
        <v>16.248189979353395</v>
      </c>
      <c r="AB127" s="3">
        <f t="shared" si="83"/>
        <v>16.248189979353395</v>
      </c>
      <c r="AC127" s="3">
        <f t="shared" si="84"/>
        <v>15.871534279850621</v>
      </c>
      <c r="AD127" s="3">
        <f t="shared" ref="AD127:AF127" si="93">AC127</f>
        <v>15.871534279850621</v>
      </c>
      <c r="AE127" s="3">
        <f t="shared" si="93"/>
        <v>15.871534279850621</v>
      </c>
      <c r="AF127" s="3">
        <f t="shared" si="93"/>
        <v>15.871534279850621</v>
      </c>
      <c r="AI127" s="2"/>
      <c r="AJ127" s="2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S127" s="2"/>
      <c r="AT127" s="2"/>
      <c r="AU127" s="32"/>
      <c r="AV127"/>
      <c r="AW127" s="12"/>
      <c r="AX127"/>
      <c r="AY127" s="3"/>
      <c r="AZ127" s="3"/>
      <c r="BA127"/>
      <c r="BC127" s="9"/>
      <c r="BF127" s="3"/>
      <c r="BG127" s="3"/>
      <c r="BH127" s="3"/>
      <c r="BI127" s="3"/>
      <c r="BL127" s="9"/>
    </row>
    <row r="128" spans="1:64">
      <c r="A128">
        <v>2016</v>
      </c>
      <c r="B128" s="3">
        <f>USA!Z103/USA!AU103*100</f>
        <v>36.957692605914716</v>
      </c>
      <c r="C128" s="3">
        <f t="shared" si="86"/>
        <v>36.957692605914716</v>
      </c>
      <c r="D128" s="3">
        <f t="shared" si="87"/>
        <v>36.957692605914716</v>
      </c>
      <c r="E128" s="3">
        <f t="shared" si="88"/>
        <v>36.957692605914716</v>
      </c>
      <c r="F128" s="6">
        <f>'Exchange Rates'!W55</f>
        <v>8.3973114450670945</v>
      </c>
      <c r="G128" s="9">
        <f>(B128*USA!$AU103/100)/$AT95*100*$F128</f>
        <v>303.7554519345631</v>
      </c>
      <c r="H128" s="9">
        <f>(C128*USA!$AU103/100)/$AT95*100*$F128</f>
        <v>303.7554519345631</v>
      </c>
      <c r="I128" s="9">
        <f>(D128*USA!$AU103/100)/$AT95*100*$F128</f>
        <v>303.7554519345631</v>
      </c>
      <c r="J128" s="9">
        <f>(E128*USA!$AU103/100)/$AT95*100*$F128</f>
        <v>303.7554519345631</v>
      </c>
      <c r="K128" s="6">
        <f t="shared" si="67"/>
        <v>5.2747877327601049</v>
      </c>
      <c r="L128" s="6">
        <f t="shared" si="68"/>
        <v>5.2747877327601049</v>
      </c>
      <c r="M128" s="6">
        <f t="shared" si="69"/>
        <v>5.2747877327601049</v>
      </c>
      <c r="N128" s="6">
        <f t="shared" si="70"/>
        <v>5.2747877327601049</v>
      </c>
      <c r="O128">
        <v>2016</v>
      </c>
      <c r="P128" s="24">
        <f t="shared" si="71"/>
        <v>5.2991570478481469</v>
      </c>
      <c r="Q128" s="3">
        <f t="shared" si="72"/>
        <v>2.6434861951520627</v>
      </c>
      <c r="R128" s="3">
        <f t="shared" si="73"/>
        <v>2.6434861951520627</v>
      </c>
      <c r="S128" s="3">
        <f t="shared" si="74"/>
        <v>2.6434861951520627</v>
      </c>
      <c r="T128" s="3">
        <f t="shared" si="75"/>
        <v>2.6434861951520627</v>
      </c>
      <c r="U128" s="3">
        <f t="shared" si="76"/>
        <v>13.127854468773448</v>
      </c>
      <c r="V128" s="3">
        <f t="shared" si="77"/>
        <v>13.217430975760314</v>
      </c>
      <c r="W128" s="3">
        <f t="shared" si="78"/>
        <v>13.217430975760314</v>
      </c>
      <c r="X128" s="3">
        <f t="shared" si="79"/>
        <v>13.217430975760314</v>
      </c>
      <c r="Y128" s="3">
        <f t="shared" si="80"/>
        <v>15.412621405770411</v>
      </c>
      <c r="Z128" s="3">
        <f t="shared" si="81"/>
        <v>15.517787774907415</v>
      </c>
      <c r="AA128" s="3">
        <f t="shared" si="82"/>
        <v>15.517787774907415</v>
      </c>
      <c r="AB128" s="3">
        <f t="shared" si="83"/>
        <v>15.517787774907415</v>
      </c>
      <c r="AC128" s="3">
        <f t="shared" si="84"/>
        <v>15.042574083320719</v>
      </c>
      <c r="AD128" s="3">
        <f t="shared" ref="AD128:AF128" si="94">AC128</f>
        <v>15.042574083320719</v>
      </c>
      <c r="AE128" s="3">
        <f t="shared" si="94"/>
        <v>15.042574083320719</v>
      </c>
      <c r="AF128" s="3">
        <f t="shared" si="94"/>
        <v>15.042574083320719</v>
      </c>
      <c r="AI128" s="2"/>
      <c r="AJ128" s="2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S128" s="2"/>
      <c r="AT128" s="2"/>
      <c r="AU128" s="32"/>
      <c r="AV128"/>
      <c r="AW128" s="12"/>
      <c r="AX128"/>
      <c r="AY128" s="3"/>
      <c r="AZ128" s="3"/>
      <c r="BA128"/>
      <c r="BC128" s="9"/>
      <c r="BF128" s="3"/>
      <c r="BG128" s="3"/>
      <c r="BH128" s="3"/>
      <c r="BI128" s="3"/>
      <c r="BL128" s="9"/>
    </row>
    <row r="129" spans="1:64">
      <c r="A129">
        <v>2017</v>
      </c>
      <c r="B129" s="3">
        <f>USA!Z104/USA!AU104*100</f>
        <v>46.705738720797434</v>
      </c>
      <c r="C129" s="3">
        <f t="shared" si="86"/>
        <v>46.705738720797434</v>
      </c>
      <c r="D129" s="3">
        <f t="shared" si="87"/>
        <v>46.705738720797434</v>
      </c>
      <c r="E129" s="3">
        <f t="shared" si="88"/>
        <v>46.705738720797434</v>
      </c>
      <c r="F129" s="6">
        <f>'Exchange Rates'!W56</f>
        <v>8.27</v>
      </c>
      <c r="G129" s="9">
        <f>(B129*USA!$AU104/100)/$AT96*100*$F129</f>
        <v>378.98247041810714</v>
      </c>
      <c r="H129" s="9">
        <f>(C129*USA!$AU104/100)/$AT96*100*$F129</f>
        <v>378.98247041810714</v>
      </c>
      <c r="I129" s="9">
        <f>(D129*USA!$AU104/100)/$AT96*100*$F129</f>
        <v>378.98247041810714</v>
      </c>
      <c r="J129" s="9">
        <f>(E129*USA!$AU104/100)/$AT96*100*$F129</f>
        <v>378.98247041810714</v>
      </c>
      <c r="K129" s="6">
        <f t="shared" si="67"/>
        <v>5.7916773009618669</v>
      </c>
      <c r="L129" s="6">
        <f t="shared" si="68"/>
        <v>5.7916773009618669</v>
      </c>
      <c r="M129" s="6">
        <f t="shared" si="69"/>
        <v>5.7916773009618669</v>
      </c>
      <c r="N129" s="6">
        <f t="shared" si="70"/>
        <v>5.7916773009618669</v>
      </c>
      <c r="O129">
        <v>2017</v>
      </c>
      <c r="P129" s="24">
        <f t="shared" si="71"/>
        <v>5.4370038590100016</v>
      </c>
      <c r="Q129" s="3">
        <f t="shared" si="72"/>
        <v>2.8071702899929671</v>
      </c>
      <c r="R129" s="3">
        <f t="shared" si="73"/>
        <v>2.8071702899929671</v>
      </c>
      <c r="S129" s="3">
        <f t="shared" si="74"/>
        <v>2.8071702899929671</v>
      </c>
      <c r="T129" s="3">
        <f t="shared" si="75"/>
        <v>2.8071702899929671</v>
      </c>
      <c r="U129" s="3">
        <f t="shared" si="76"/>
        <v>14.169257279144107</v>
      </c>
      <c r="V129" s="3">
        <f t="shared" si="77"/>
        <v>14.035851449964836</v>
      </c>
      <c r="W129" s="3">
        <f t="shared" si="78"/>
        <v>14.035851449964836</v>
      </c>
      <c r="X129" s="3">
        <f t="shared" si="79"/>
        <v>14.035851449964836</v>
      </c>
      <c r="Y129" s="3">
        <f t="shared" si="80"/>
        <v>16.635269576141841</v>
      </c>
      <c r="Z129" s="3">
        <f t="shared" si="81"/>
        <v>16.478645845786374</v>
      </c>
      <c r="AA129" s="3">
        <f t="shared" si="82"/>
        <v>16.478645845786374</v>
      </c>
      <c r="AB129" s="3">
        <f t="shared" si="83"/>
        <v>16.478645845786374</v>
      </c>
      <c r="AC129" s="3">
        <f t="shared" si="84"/>
        <v>16.235867241988913</v>
      </c>
      <c r="AD129" s="3">
        <f t="shared" ref="AD129:AF130" si="95">AC129</f>
        <v>16.235867241988913</v>
      </c>
      <c r="AE129" s="3">
        <f t="shared" si="95"/>
        <v>16.235867241988913</v>
      </c>
      <c r="AF129" s="3">
        <f t="shared" si="95"/>
        <v>16.235867241988913</v>
      </c>
      <c r="AI129" s="2"/>
      <c r="AJ129" s="2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S129" s="2"/>
      <c r="AT129" s="2"/>
      <c r="AU129" s="32"/>
      <c r="AV129"/>
      <c r="AW129" s="12"/>
      <c r="AX129"/>
      <c r="AY129" s="3"/>
      <c r="AZ129" s="3"/>
      <c r="BA129"/>
      <c r="BC129" s="9"/>
      <c r="BF129" s="3"/>
      <c r="BG129" s="3"/>
      <c r="BH129" s="3"/>
      <c r="BI129" s="3"/>
      <c r="BL129" s="9"/>
    </row>
    <row r="130" spans="1:64">
      <c r="A130">
        <v>2018</v>
      </c>
      <c r="B130" s="3">
        <f>USA!Z105/USA!AU105*100</f>
        <v>60.818458312139953</v>
      </c>
      <c r="C130" s="3">
        <f t="shared" si="86"/>
        <v>60.818458312139953</v>
      </c>
      <c r="D130" s="3">
        <f t="shared" si="87"/>
        <v>60.818458312139953</v>
      </c>
      <c r="E130" s="3">
        <f t="shared" si="88"/>
        <v>60.818458312139953</v>
      </c>
      <c r="F130" s="6">
        <f>'Exchange Rates'!W57</f>
        <v>8.1579999999999995</v>
      </c>
      <c r="G130" s="9">
        <f>(B130*USA!$AU105/100)/$AT97*100*$F130</f>
        <v>487.82347376202705</v>
      </c>
      <c r="H130" s="9">
        <f>(C130*USA!$AU105/100)/$AT97*100*$F130</f>
        <v>487.82347376202705</v>
      </c>
      <c r="I130" s="9">
        <f>(D130*USA!$AU105/100)/$AT97*100*$F130</f>
        <v>487.82347376202705</v>
      </c>
      <c r="J130" s="9">
        <f>(E130*USA!$AU105/100)/$AT97*100*$F130</f>
        <v>487.82347376202705</v>
      </c>
      <c r="K130" s="6">
        <f>M$111+M$112*G130</f>
        <v>6.5395306700727547</v>
      </c>
      <c r="L130" s="6">
        <f t="shared" ref="L130:L142" si="96">M$111+M$112*H130</f>
        <v>6.5395306700727547</v>
      </c>
      <c r="M130" s="6">
        <f t="shared" ref="M130:M142" si="97">M$111+M$112*I130</f>
        <v>6.5395306700727547</v>
      </c>
      <c r="N130" s="6">
        <f t="shared" ref="N130:N142" si="98">M$111+M$112*J130</f>
        <v>6.5395306700727547</v>
      </c>
      <c r="O130">
        <v>2018</v>
      </c>
      <c r="P130" s="24">
        <f t="shared" si="71"/>
        <v>5.3916408247219998</v>
      </c>
      <c r="Q130" s="3">
        <f t="shared" si="72"/>
        <v>2.9827928736986884</v>
      </c>
      <c r="R130" s="3">
        <f t="shared" si="73"/>
        <v>2.9827928736986884</v>
      </c>
      <c r="S130" s="3">
        <f t="shared" si="74"/>
        <v>2.9827928736986884</v>
      </c>
      <c r="T130" s="3">
        <f t="shared" si="75"/>
        <v>2.9827928736986884</v>
      </c>
      <c r="U130" s="7">
        <f>K130+$P130+Q130</f>
        <v>14.913964368493442</v>
      </c>
      <c r="V130" s="7">
        <f t="shared" si="77"/>
        <v>14.913964368493442</v>
      </c>
      <c r="W130" s="7">
        <f t="shared" si="78"/>
        <v>14.913964368493442</v>
      </c>
      <c r="X130" s="7">
        <f t="shared" si="79"/>
        <v>14.913964368493442</v>
      </c>
      <c r="Y130" s="7">
        <f t="shared" si="80"/>
        <v>17.465930851063831</v>
      </c>
      <c r="Z130" s="7">
        <f t="shared" si="81"/>
        <v>17.509585211925007</v>
      </c>
      <c r="AA130" s="7">
        <f t="shared" si="82"/>
        <v>17.509585211925007</v>
      </c>
      <c r="AB130" s="7">
        <f t="shared" si="83"/>
        <v>17.509585211925007</v>
      </c>
      <c r="AC130" s="7">
        <f t="shared" si="84"/>
        <v>17.089191110604144</v>
      </c>
      <c r="AD130" s="3">
        <f t="shared" ref="AD130:AD142" si="99">V130*$AT$96/100</f>
        <v>17.089191110604144</v>
      </c>
      <c r="AE130" s="3">
        <f t="shared" si="95"/>
        <v>17.089191110604144</v>
      </c>
      <c r="AF130" s="3">
        <f t="shared" si="95"/>
        <v>17.089191110604144</v>
      </c>
      <c r="AI130" s="2"/>
      <c r="AJ130" s="2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S130" s="2"/>
      <c r="AT130" s="2"/>
      <c r="AU130" s="32"/>
      <c r="AV130"/>
      <c r="AW130" s="12"/>
      <c r="AX130"/>
      <c r="AY130" s="3"/>
      <c r="AZ130" s="3"/>
      <c r="BA130"/>
      <c r="BC130" s="9"/>
      <c r="BF130" s="3"/>
      <c r="BG130" s="3"/>
      <c r="BH130" s="3"/>
      <c r="BI130" s="3"/>
      <c r="BL130" s="9"/>
    </row>
    <row r="131" spans="1:64">
      <c r="A131">
        <v>2019</v>
      </c>
      <c r="B131" s="3"/>
      <c r="C131" s="3">
        <f>AK131</f>
        <v>90.611761513694489</v>
      </c>
      <c r="D131" s="3">
        <f t="shared" si="87"/>
        <v>56.019786702864394</v>
      </c>
      <c r="E131" s="3">
        <f t="shared" si="88"/>
        <v>25.889074718198426</v>
      </c>
      <c r="F131" s="6">
        <f>'Exchange Rates'!W58</f>
        <v>8.3989999999999991</v>
      </c>
      <c r="G131" s="3"/>
      <c r="H131" s="9">
        <f>(C131*USA!$AU106/100)/$AT98*100*$F131</f>
        <v>748.26553303055721</v>
      </c>
      <c r="I131" s="9">
        <f>(D131*USA!$AU106/100)/$AT98*100*$F131</f>
        <v>462.60744584621909</v>
      </c>
      <c r="J131" s="9">
        <f>(E131*USA!$AU106/100)/$AT98*100*$F131</f>
        <v>213.79015229444491</v>
      </c>
      <c r="K131" s="6"/>
      <c r="L131" s="6">
        <f t="shared" si="96"/>
        <v>8.3290444148762486</v>
      </c>
      <c r="M131" s="6">
        <f t="shared" si="97"/>
        <v>6.3662697587152648</v>
      </c>
      <c r="N131" s="6">
        <f t="shared" si="98"/>
        <v>4.6566305091783233</v>
      </c>
      <c r="O131">
        <v>2019</v>
      </c>
      <c r="P131" s="3">
        <f t="shared" ref="P131:P142" si="100">P130</f>
        <v>5.3916408247219998</v>
      </c>
      <c r="Q131" s="3"/>
      <c r="R131" s="3">
        <f t="shared" si="73"/>
        <v>3.4301713098995621</v>
      </c>
      <c r="S131" s="3">
        <f t="shared" si="74"/>
        <v>2.9394776458593164</v>
      </c>
      <c r="T131" s="3">
        <f t="shared" si="75"/>
        <v>2.512067833475081</v>
      </c>
      <c r="U131" s="3"/>
      <c r="V131" s="3">
        <f t="shared" si="77"/>
        <v>17.15085654949781</v>
      </c>
      <c r="W131" s="3">
        <f t="shared" si="78"/>
        <v>14.697388229296582</v>
      </c>
      <c r="X131" s="3">
        <f t="shared" si="79"/>
        <v>12.560339167375405</v>
      </c>
      <c r="Y131" s="3"/>
      <c r="Z131" s="3">
        <f t="shared" si="81"/>
        <v>20.135785280897096</v>
      </c>
      <c r="AA131" s="3">
        <f t="shared" si="82"/>
        <v>17.255316241553302</v>
      </c>
      <c r="AB131" s="3">
        <f t="shared" si="83"/>
        <v>14.746335951187142</v>
      </c>
      <c r="AC131" s="3"/>
      <c r="AD131" s="3">
        <f t="shared" si="99"/>
        <v>19.652337771712958</v>
      </c>
      <c r="AE131" s="3">
        <f t="shared" ref="AE131:AE142" si="101">W131*$AT$96/100</f>
        <v>16.84102697789703</v>
      </c>
      <c r="AF131" s="3">
        <f t="shared" ref="AF131:AF142" si="102">X131*$AT$96/100</f>
        <v>14.392285722415714</v>
      </c>
      <c r="AI131" s="2"/>
      <c r="AJ131" s="2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S131" s="2"/>
      <c r="AT131" s="2"/>
      <c r="AU131" s="32"/>
      <c r="AV131"/>
      <c r="AW131" s="12"/>
      <c r="AX131"/>
      <c r="AY131" s="3"/>
      <c r="AZ131" s="3"/>
      <c r="BA131"/>
      <c r="BC131" s="9"/>
      <c r="BF131" s="3"/>
      <c r="BG131" s="3"/>
      <c r="BH131" s="3"/>
      <c r="BI131" s="3"/>
      <c r="BL131" s="9"/>
    </row>
    <row r="132" spans="1:64">
      <c r="A132">
        <v>2020</v>
      </c>
      <c r="B132" s="3"/>
      <c r="C132" s="3">
        <f t="shared" si="86"/>
        <v>105.28223718734027</v>
      </c>
      <c r="D132" s="3">
        <f t="shared" si="87"/>
        <v>56.251630823658907</v>
      </c>
      <c r="E132" s="3">
        <f t="shared" si="88"/>
        <v>26.752043875471706</v>
      </c>
      <c r="F132" s="6">
        <f>'Exchange Rates'!W59</f>
        <v>8.3989999999999991</v>
      </c>
      <c r="G132" s="3"/>
      <c r="H132" s="9">
        <f>(C132*USA!$AU107/100)/$AT99*100*$F132</f>
        <v>869.4132859974095</v>
      </c>
      <c r="I132" s="9">
        <f>(D132*USA!$AU107/100)/$AT99*100*$F132</f>
        <v>464.52199823686095</v>
      </c>
      <c r="J132" s="9">
        <f>(E132*USA!$AU107/100)/$AT99*100*$F132</f>
        <v>220.91649070425973</v>
      </c>
      <c r="K132" s="6"/>
      <c r="L132" s="6">
        <f t="shared" si="96"/>
        <v>9.1614582335011114</v>
      </c>
      <c r="M132" s="6">
        <f t="shared" si="97"/>
        <v>6.3794247684238439</v>
      </c>
      <c r="N132" s="6">
        <f t="shared" si="98"/>
        <v>4.7055960279209623</v>
      </c>
      <c r="O132">
        <v>2020</v>
      </c>
      <c r="P132" s="3">
        <f t="shared" si="100"/>
        <v>5.3916408247219998</v>
      </c>
      <c r="Q132" s="3"/>
      <c r="R132" s="3">
        <f t="shared" si="73"/>
        <v>3.6382747645557778</v>
      </c>
      <c r="S132" s="3">
        <f t="shared" si="74"/>
        <v>2.9427663982864609</v>
      </c>
      <c r="T132" s="3">
        <f t="shared" si="75"/>
        <v>2.5243092131607403</v>
      </c>
      <c r="U132" s="3"/>
      <c r="V132" s="3">
        <f t="shared" si="77"/>
        <v>18.191373822778889</v>
      </c>
      <c r="W132" s="3">
        <f t="shared" si="78"/>
        <v>14.713831991432304</v>
      </c>
      <c r="X132" s="3">
        <f t="shared" si="79"/>
        <v>12.621546065803702</v>
      </c>
      <c r="Y132" s="3"/>
      <c r="Z132" s="3">
        <f t="shared" si="81"/>
        <v>21.357393795631356</v>
      </c>
      <c r="AA132" s="3">
        <f t="shared" si="82"/>
        <v>17.274621869970137</v>
      </c>
      <c r="AB132" s="3">
        <f t="shared" si="83"/>
        <v>14.818195275583271</v>
      </c>
      <c r="AC132" s="3"/>
      <c r="AD132" s="3">
        <f t="shared" si="99"/>
        <v>20.844616236220332</v>
      </c>
      <c r="AE132" s="3">
        <f t="shared" si="101"/>
        <v>16.859869090347583</v>
      </c>
      <c r="AF132" s="3">
        <f t="shared" si="102"/>
        <v>14.462419749739674</v>
      </c>
      <c r="AI132" s="2"/>
      <c r="AJ132" s="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S132" s="2"/>
      <c r="AT132" s="2"/>
      <c r="AU132" s="32"/>
      <c r="AV132"/>
      <c r="AW132" s="12"/>
      <c r="AX132"/>
      <c r="AY132" s="3"/>
      <c r="AZ132" s="3"/>
      <c r="BA132"/>
      <c r="BC132" s="9"/>
      <c r="BF132" s="3"/>
      <c r="BG132" s="3"/>
      <c r="BH132" s="3"/>
      <c r="BI132" s="3"/>
      <c r="BL132" s="9"/>
    </row>
    <row r="133" spans="1:64">
      <c r="A133">
        <v>2021</v>
      </c>
      <c r="B133" s="3"/>
      <c r="C133" s="3">
        <f t="shared" si="86"/>
        <v>120.81568201825931</v>
      </c>
      <c r="D133" s="3">
        <f t="shared" si="87"/>
        <v>63.082289986431647</v>
      </c>
      <c r="E133" s="3">
        <f t="shared" si="88"/>
        <v>28.477982190018274</v>
      </c>
      <c r="F133" s="6">
        <f>'Exchange Rates'!W60</f>
        <v>8.3989999999999991</v>
      </c>
      <c r="G133" s="3"/>
      <c r="H133" s="9">
        <f>(C133*USA!$AU108/100)/$AT100*100*$F133</f>
        <v>997.68737737407605</v>
      </c>
      <c r="I133" s="9">
        <f>(D133*USA!$AU108/100)/$AT100*100*$F133</f>
        <v>520.92909963296097</v>
      </c>
      <c r="J133" s="9">
        <f>(E133*USA!$AU108/100)/$AT100*100*$F133</f>
        <v>235.16916752388946</v>
      </c>
      <c r="K133" s="6"/>
      <c r="L133" s="6">
        <f t="shared" si="96"/>
        <v>10.042837570868612</v>
      </c>
      <c r="M133" s="6">
        <f t="shared" si="97"/>
        <v>6.7670015044408531</v>
      </c>
      <c r="N133" s="6">
        <f t="shared" si="98"/>
        <v>4.8035270654062412</v>
      </c>
      <c r="O133">
        <v>2021</v>
      </c>
      <c r="P133" s="3">
        <f t="shared" si="100"/>
        <v>5.3916408247219998</v>
      </c>
      <c r="Q133" s="3"/>
      <c r="R133" s="3">
        <f t="shared" si="73"/>
        <v>3.8586195988976528</v>
      </c>
      <c r="S133" s="3">
        <f t="shared" si="74"/>
        <v>3.039660582290713</v>
      </c>
      <c r="T133" s="3">
        <f t="shared" si="75"/>
        <v>2.5487919725320602</v>
      </c>
      <c r="U133" s="3"/>
      <c r="V133" s="3">
        <f t="shared" si="77"/>
        <v>19.293097994488264</v>
      </c>
      <c r="W133" s="3">
        <f t="shared" si="78"/>
        <v>15.198302911453565</v>
      </c>
      <c r="X133" s="3">
        <f t="shared" si="79"/>
        <v>12.743959862660301</v>
      </c>
      <c r="Y133" s="3"/>
      <c r="Z133" s="3">
        <f t="shared" si="81"/>
        <v>22.650861634761739</v>
      </c>
      <c r="AA133" s="3">
        <f t="shared" si="82"/>
        <v>17.843409929752049</v>
      </c>
      <c r="AB133" s="3">
        <f t="shared" si="83"/>
        <v>14.961913924375537</v>
      </c>
      <c r="AC133" s="3"/>
      <c r="AD133" s="3">
        <f t="shared" si="99"/>
        <v>22.10702872805167</v>
      </c>
      <c r="AE133" s="3">
        <f t="shared" si="101"/>
        <v>17.415000907429288</v>
      </c>
      <c r="AF133" s="3">
        <f t="shared" si="102"/>
        <v>14.602687804387601</v>
      </c>
      <c r="AI133" s="2"/>
      <c r="AJ133" s="2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S133" s="2"/>
      <c r="AT133" s="2"/>
      <c r="AU133" s="32"/>
      <c r="AV133"/>
      <c r="AW133" s="12"/>
      <c r="AX133"/>
      <c r="AY133" s="3"/>
      <c r="AZ133" s="3"/>
      <c r="BA133"/>
      <c r="BC133" s="9"/>
      <c r="BF133" s="3"/>
      <c r="BG133" s="3"/>
      <c r="BH133" s="3"/>
      <c r="BI133" s="3"/>
      <c r="BL133" s="9"/>
    </row>
    <row r="134" spans="1:64">
      <c r="A134">
        <v>2022</v>
      </c>
      <c r="B134" s="3"/>
      <c r="C134" s="3">
        <f t="shared" si="86"/>
        <v>127.71943527644558</v>
      </c>
      <c r="D134" s="3">
        <f t="shared" si="87"/>
        <v>68.168185410991157</v>
      </c>
      <c r="E134" s="3">
        <f t="shared" si="88"/>
        <v>29.340951347291547</v>
      </c>
      <c r="F134" s="6">
        <f>'Exchange Rates'!W61</f>
        <v>8.3989999999999991</v>
      </c>
      <c r="G134" s="3"/>
      <c r="H134" s="9">
        <f>(C134*USA!$AU109/100)/$AT101*100*$F134</f>
        <v>1054.6980846525951</v>
      </c>
      <c r="I134" s="9">
        <f>(D134*USA!$AU109/100)/$AT101*100*$F134</f>
        <v>562.9280651891105</v>
      </c>
      <c r="J134" s="9">
        <f>(E134*USA!$AU109/100)/$AT101*100*$F134</f>
        <v>242.29550593370422</v>
      </c>
      <c r="K134" s="6"/>
      <c r="L134" s="6">
        <f t="shared" si="96"/>
        <v>10.434561720809725</v>
      </c>
      <c r="M134" s="6">
        <f t="shared" si="97"/>
        <v>7.0555790342812479</v>
      </c>
      <c r="N134" s="6">
        <f t="shared" si="98"/>
        <v>4.8524925841488793</v>
      </c>
      <c r="O134">
        <v>2022</v>
      </c>
      <c r="P134" s="3">
        <f t="shared" si="100"/>
        <v>5.3916408247219998</v>
      </c>
      <c r="Q134" s="3"/>
      <c r="R134" s="3">
        <f t="shared" si="73"/>
        <v>3.9565506363829313</v>
      </c>
      <c r="S134" s="3">
        <f t="shared" si="74"/>
        <v>3.1118049647508119</v>
      </c>
      <c r="T134" s="3">
        <f t="shared" si="75"/>
        <v>2.56103335221772</v>
      </c>
      <c r="U134" s="3"/>
      <c r="V134" s="3">
        <f t="shared" si="77"/>
        <v>19.782753181914657</v>
      </c>
      <c r="W134" s="3">
        <f t="shared" si="78"/>
        <v>15.55902482375406</v>
      </c>
      <c r="X134" s="3">
        <f t="shared" si="79"/>
        <v>12.8051667610886</v>
      </c>
      <c r="Y134" s="3"/>
      <c r="Z134" s="3">
        <f t="shared" si="81"/>
        <v>23.225736229930806</v>
      </c>
      <c r="AA134" s="3">
        <f t="shared" si="82"/>
        <v>18.266911750272495</v>
      </c>
      <c r="AB134" s="3">
        <f t="shared" si="83"/>
        <v>15.03377324877167</v>
      </c>
      <c r="AC134" s="3"/>
      <c r="AD134" s="3">
        <f t="shared" si="99"/>
        <v>22.668100946643381</v>
      </c>
      <c r="AE134" s="3">
        <f t="shared" si="101"/>
        <v>17.82833471625268</v>
      </c>
      <c r="AF134" s="3">
        <f t="shared" si="102"/>
        <v>14.672821831711564</v>
      </c>
      <c r="AI134" s="2"/>
      <c r="AJ134" s="2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S134" s="2"/>
      <c r="AT134" s="2"/>
      <c r="AU134" s="32"/>
      <c r="AV134"/>
      <c r="AW134" s="12"/>
      <c r="AX134"/>
      <c r="AY134" s="3"/>
      <c r="AZ134" s="3"/>
      <c r="BA134"/>
      <c r="BC134" s="9"/>
      <c r="BF134" s="3"/>
      <c r="BG134" s="3"/>
      <c r="BH134" s="3"/>
      <c r="BI134" s="3"/>
      <c r="BL134" s="9"/>
    </row>
    <row r="135" spans="1:64">
      <c r="A135">
        <v>2023</v>
      </c>
      <c r="B135" s="3"/>
      <c r="C135" s="3">
        <f t="shared" si="86"/>
        <v>132.89725022008525</v>
      </c>
      <c r="D135" s="3">
        <f t="shared" si="87"/>
        <v>70.508542947524788</v>
      </c>
      <c r="E135" s="3">
        <f t="shared" si="88"/>
        <v>29.340951347291547</v>
      </c>
      <c r="F135" s="6">
        <f>'Exchange Rates'!W62</f>
        <v>8.3989999999999991</v>
      </c>
      <c r="G135" s="3"/>
      <c r="H135" s="9">
        <f>(C135*USA!$AU110/100)/$AT102*100*$F135</f>
        <v>1097.456115111484</v>
      </c>
      <c r="I135" s="9">
        <f>(D135*USA!$AU110/100)/$AT102*100*$F135</f>
        <v>582.25457259060011</v>
      </c>
      <c r="J135" s="9">
        <f>(E135*USA!$AU110/100)/$AT102*100*$F135</f>
        <v>242.29550593370422</v>
      </c>
      <c r="K135" s="6"/>
      <c r="L135" s="6">
        <f t="shared" si="96"/>
        <v>10.728354833265559</v>
      </c>
      <c r="M135" s="6">
        <f t="shared" si="97"/>
        <v>7.1883726803273067</v>
      </c>
      <c r="N135" s="6">
        <f t="shared" si="98"/>
        <v>4.8524925841488793</v>
      </c>
      <c r="O135">
        <v>2023</v>
      </c>
      <c r="P135" s="3">
        <f t="shared" si="100"/>
        <v>5.3916408247219998</v>
      </c>
      <c r="Q135" s="3"/>
      <c r="R135" s="3">
        <f t="shared" si="73"/>
        <v>4.0299989144968897</v>
      </c>
      <c r="S135" s="3">
        <f t="shared" si="74"/>
        <v>3.1450033762623266</v>
      </c>
      <c r="T135" s="3">
        <f t="shared" si="75"/>
        <v>2.56103335221772</v>
      </c>
      <c r="U135" s="3"/>
      <c r="V135" s="3">
        <f t="shared" si="77"/>
        <v>20.149994572484449</v>
      </c>
      <c r="W135" s="3">
        <f t="shared" si="78"/>
        <v>15.725016881311634</v>
      </c>
      <c r="X135" s="3">
        <f t="shared" si="79"/>
        <v>12.8051667610886</v>
      </c>
      <c r="Y135" s="3"/>
      <c r="Z135" s="3">
        <f t="shared" si="81"/>
        <v>23.656892176307601</v>
      </c>
      <c r="AA135" s="3">
        <f t="shared" si="82"/>
        <v>18.46179300414267</v>
      </c>
      <c r="AB135" s="3">
        <f t="shared" si="83"/>
        <v>15.03377324877167</v>
      </c>
      <c r="AC135" s="3"/>
      <c r="AD135" s="3">
        <f t="shared" si="99"/>
        <v>23.088905110587156</v>
      </c>
      <c r="AE135" s="3">
        <f t="shared" si="101"/>
        <v>18.018536994088102</v>
      </c>
      <c r="AF135" s="3">
        <f t="shared" si="102"/>
        <v>14.672821831711564</v>
      </c>
      <c r="AI135" s="2"/>
      <c r="AJ135" s="2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S135" s="2"/>
      <c r="AT135" s="2"/>
      <c r="AU135" s="32"/>
      <c r="AV135"/>
      <c r="AW135" s="12"/>
      <c r="AX135"/>
      <c r="AY135" s="3"/>
      <c r="AZ135" s="3"/>
      <c r="BA135"/>
      <c r="BC135" s="9"/>
      <c r="BF135" s="3"/>
      <c r="BG135" s="3"/>
      <c r="BH135" s="3"/>
      <c r="BI135" s="3"/>
      <c r="BL135" s="9"/>
    </row>
    <row r="136" spans="1:64">
      <c r="A136">
        <v>2024</v>
      </c>
      <c r="B136" s="3"/>
      <c r="C136" s="3">
        <f t="shared" si="86"/>
        <v>137.21209600645167</v>
      </c>
      <c r="D136" s="3">
        <f t="shared" si="87"/>
        <v>71.127304204880986</v>
      </c>
      <c r="E136" s="3">
        <f t="shared" si="88"/>
        <v>29.340951347291547</v>
      </c>
      <c r="F136" s="6">
        <f>'Exchange Rates'!W63</f>
        <v>8.3989999999999991</v>
      </c>
      <c r="G136" s="3"/>
      <c r="H136" s="9">
        <f>(C136*USA!$AU111/100)/$AT103*100*$F136</f>
        <v>1133.087807160558</v>
      </c>
      <c r="I136" s="9">
        <f>(D136*USA!$AU111/100)/$AT103*100*$F136</f>
        <v>587.36425939416483</v>
      </c>
      <c r="J136" s="9">
        <f>(E136*USA!$AU111/100)/$AT103*100*$F136</f>
        <v>242.29550593370422</v>
      </c>
      <c r="K136" s="6"/>
      <c r="L136" s="6">
        <f t="shared" si="96"/>
        <v>10.973182426978752</v>
      </c>
      <c r="M136" s="6">
        <f t="shared" si="97"/>
        <v>7.2234816592391677</v>
      </c>
      <c r="N136" s="6">
        <f t="shared" si="98"/>
        <v>4.8524925841488793</v>
      </c>
      <c r="O136">
        <v>2024</v>
      </c>
      <c r="P136" s="3">
        <f t="shared" si="100"/>
        <v>5.3916408247219998</v>
      </c>
      <c r="Q136" s="3"/>
      <c r="R136" s="3">
        <f t="shared" si="73"/>
        <v>4.091205812925188</v>
      </c>
      <c r="S136" s="3">
        <f t="shared" si="74"/>
        <v>3.1537806209902919</v>
      </c>
      <c r="T136" s="3">
        <f t="shared" si="75"/>
        <v>2.56103335221772</v>
      </c>
      <c r="U136" s="3"/>
      <c r="V136" s="3">
        <f t="shared" si="77"/>
        <v>20.456029064625941</v>
      </c>
      <c r="W136" s="3">
        <f t="shared" si="78"/>
        <v>15.768903104951459</v>
      </c>
      <c r="X136" s="3">
        <f t="shared" si="79"/>
        <v>12.8051667610886</v>
      </c>
      <c r="Y136" s="3"/>
      <c r="Z136" s="3">
        <f t="shared" si="81"/>
        <v>24.016188798288269</v>
      </c>
      <c r="AA136" s="3">
        <f t="shared" si="82"/>
        <v>18.513317169915421</v>
      </c>
      <c r="AB136" s="3">
        <f t="shared" si="83"/>
        <v>15.03377324877167</v>
      </c>
      <c r="AC136" s="3"/>
      <c r="AD136" s="3">
        <f t="shared" si="99"/>
        <v>23.439575247206971</v>
      </c>
      <c r="AE136" s="3">
        <f t="shared" si="101"/>
        <v>18.068824097126114</v>
      </c>
      <c r="AF136" s="3">
        <f t="shared" si="102"/>
        <v>14.672821831711564</v>
      </c>
      <c r="AI136" s="2"/>
      <c r="AJ136" s="2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S136" s="2"/>
      <c r="AT136" s="2"/>
      <c r="AU136" s="32"/>
      <c r="AV136"/>
      <c r="AW136" s="12"/>
      <c r="AX136"/>
      <c r="AY136" s="3"/>
      <c r="AZ136" s="3"/>
      <c r="BA136"/>
      <c r="BC136" s="9"/>
      <c r="BF136" s="3"/>
      <c r="BG136" s="3"/>
      <c r="BH136" s="3"/>
      <c r="BI136" s="3"/>
      <c r="BL136" s="9"/>
    </row>
    <row r="137" spans="1:64">
      <c r="A137">
        <v>2025</v>
      </c>
      <c r="B137" s="3"/>
      <c r="C137" s="3">
        <f t="shared" si="86"/>
        <v>141.52694179281806</v>
      </c>
      <c r="D137" s="3">
        <f t="shared" si="87"/>
        <v>74.364924740814473</v>
      </c>
      <c r="E137" s="3">
        <f t="shared" si="88"/>
        <v>30.203920504564827</v>
      </c>
      <c r="F137" s="6">
        <f>'Exchange Rates'!W64</f>
        <v>8.3989999999999991</v>
      </c>
      <c r="G137" s="3"/>
      <c r="H137" s="9">
        <f>(C137*USA!$AU112/100)/$AT104*100*$F137</f>
        <v>1168.7194992096322</v>
      </c>
      <c r="I137" s="9">
        <f>(D137*USA!$AU112/100)/$AT104*100*$F137</f>
        <v>614.10030133398323</v>
      </c>
      <c r="J137" s="9">
        <f>(E137*USA!$AU112/100)/$AT104*100*$F137</f>
        <v>249.42184434351901</v>
      </c>
      <c r="K137" s="6"/>
      <c r="L137" s="6">
        <f t="shared" si="96"/>
        <v>11.218010020691949</v>
      </c>
      <c r="M137" s="6">
        <f t="shared" si="97"/>
        <v>7.4071866824113926</v>
      </c>
      <c r="N137" s="6">
        <f t="shared" si="98"/>
        <v>4.9014581028915183</v>
      </c>
      <c r="O137">
        <v>2025</v>
      </c>
      <c r="P137" s="3">
        <f t="shared" si="100"/>
        <v>5.3916408247219998</v>
      </c>
      <c r="Q137" s="3"/>
      <c r="R137" s="3">
        <f t="shared" si="73"/>
        <v>4.1524127113534872</v>
      </c>
      <c r="S137" s="3">
        <f t="shared" si="74"/>
        <v>3.1997068767833481</v>
      </c>
      <c r="T137" s="3">
        <f t="shared" si="75"/>
        <v>2.5732747319033793</v>
      </c>
      <c r="U137" s="3"/>
      <c r="V137" s="3">
        <f t="shared" si="77"/>
        <v>20.762063556767437</v>
      </c>
      <c r="W137" s="3">
        <f t="shared" si="78"/>
        <v>15.998534383916741</v>
      </c>
      <c r="X137" s="3">
        <f t="shared" si="79"/>
        <v>12.866373659516896</v>
      </c>
      <c r="Y137" s="3"/>
      <c r="Z137" s="3">
        <f t="shared" si="81"/>
        <v>24.375485420268934</v>
      </c>
      <c r="AA137" s="3">
        <f t="shared" si="82"/>
        <v>18.782913391752984</v>
      </c>
      <c r="AB137" s="3">
        <f t="shared" si="83"/>
        <v>15.105632573167799</v>
      </c>
      <c r="AC137" s="3"/>
      <c r="AD137" s="3">
        <f t="shared" si="99"/>
        <v>23.79024538382679</v>
      </c>
      <c r="AE137" s="3">
        <f t="shared" si="101"/>
        <v>18.331947483655071</v>
      </c>
      <c r="AF137" s="3">
        <f t="shared" si="102"/>
        <v>14.742955859035526</v>
      </c>
      <c r="AI137" s="2"/>
      <c r="AJ137" s="2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S137" s="2"/>
      <c r="AT137" s="2"/>
      <c r="AU137" s="32"/>
      <c r="AV137"/>
      <c r="AW137" s="12"/>
      <c r="AX137"/>
      <c r="AY137" s="3"/>
      <c r="AZ137" s="3"/>
      <c r="BA137"/>
      <c r="BC137" s="9"/>
      <c r="BF137" s="3"/>
      <c r="BG137" s="3"/>
      <c r="BH137" s="3"/>
      <c r="BI137" s="3"/>
      <c r="BL137" s="9"/>
    </row>
    <row r="138" spans="1:64">
      <c r="A138">
        <v>2026</v>
      </c>
      <c r="B138" s="3"/>
      <c r="C138" s="3">
        <f t="shared" si="86"/>
        <v>145.84178757918448</v>
      </c>
      <c r="D138" s="3">
        <f t="shared" si="87"/>
        <v>80.055420065999314</v>
      </c>
      <c r="E138" s="3">
        <f t="shared" si="88"/>
        <v>31.066889661838108</v>
      </c>
      <c r="F138" s="6">
        <f>'Exchange Rates'!W65</f>
        <v>8.3989999999999991</v>
      </c>
      <c r="G138" s="3"/>
      <c r="H138" s="9">
        <f>(C138*USA!$AU113/100)/$AT105*100*$F138</f>
        <v>1204.3511912587066</v>
      </c>
      <c r="I138" s="9">
        <f>(D138*USA!$AU113/100)/$AT105*100*$F138</f>
        <v>661.09201020903708</v>
      </c>
      <c r="J138" s="9">
        <f>(E138*USA!$AU113/100)/$AT105*100*$F138</f>
        <v>256.54818275333389</v>
      </c>
      <c r="K138" s="6"/>
      <c r="L138" s="6">
        <f t="shared" si="96"/>
        <v>11.462837614405146</v>
      </c>
      <c r="M138" s="6">
        <f t="shared" si="97"/>
        <v>7.7300696651365808</v>
      </c>
      <c r="N138" s="6">
        <f t="shared" si="98"/>
        <v>4.9504236216341573</v>
      </c>
      <c r="O138">
        <v>2026</v>
      </c>
      <c r="P138" s="3">
        <f t="shared" si="100"/>
        <v>5.3916408247219998</v>
      </c>
      <c r="Q138" s="3"/>
      <c r="R138" s="3">
        <f t="shared" si="73"/>
        <v>4.2136196097817864</v>
      </c>
      <c r="S138" s="3">
        <f t="shared" si="74"/>
        <v>3.2804276224646451</v>
      </c>
      <c r="T138" s="3">
        <f t="shared" si="75"/>
        <v>2.5855161115890395</v>
      </c>
      <c r="U138" s="3"/>
      <c r="V138" s="3">
        <f t="shared" si="77"/>
        <v>21.068098048908933</v>
      </c>
      <c r="W138" s="3">
        <f t="shared" si="78"/>
        <v>16.402138112323225</v>
      </c>
      <c r="X138" s="3">
        <f t="shared" si="79"/>
        <v>12.927580557945198</v>
      </c>
      <c r="Y138" s="3"/>
      <c r="Z138" s="3">
        <f t="shared" si="81"/>
        <v>24.734782042249599</v>
      </c>
      <c r="AA138" s="3">
        <f t="shared" si="82"/>
        <v>19.256760163796592</v>
      </c>
      <c r="AB138" s="3">
        <f t="shared" si="83"/>
        <v>15.177491897563936</v>
      </c>
      <c r="AC138" s="3"/>
      <c r="AD138" s="3">
        <f t="shared" si="99"/>
        <v>24.140915520446612</v>
      </c>
      <c r="AE138" s="3">
        <f t="shared" si="101"/>
        <v>18.794417493457537</v>
      </c>
      <c r="AF138" s="3">
        <f t="shared" si="102"/>
        <v>14.813089886359494</v>
      </c>
      <c r="AI138" s="2"/>
      <c r="AJ138" s="2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S138" s="2"/>
      <c r="AT138" s="2"/>
      <c r="AU138" s="32"/>
      <c r="AV138"/>
      <c r="AW138" s="12"/>
      <c r="AX138"/>
      <c r="AY138" s="3"/>
      <c r="AZ138" s="3"/>
      <c r="BA138"/>
      <c r="BC138" s="9"/>
      <c r="BF138" s="3"/>
      <c r="BG138" s="3"/>
      <c r="BH138" s="3"/>
      <c r="BI138" s="3"/>
      <c r="BL138" s="9"/>
    </row>
    <row r="139" spans="1:64">
      <c r="A139">
        <v>2027</v>
      </c>
      <c r="B139" s="3"/>
      <c r="C139" s="3">
        <f t="shared" si="86"/>
        <v>150.15663336555087</v>
      </c>
      <c r="D139" s="3">
        <f t="shared" si="87"/>
        <v>82.98815737026753</v>
      </c>
      <c r="E139" s="3">
        <f t="shared" si="88"/>
        <v>31.929858819111395</v>
      </c>
      <c r="F139" s="6">
        <f>'Exchange Rates'!W66</f>
        <v>8.3989999999999991</v>
      </c>
      <c r="G139" s="3"/>
      <c r="H139" s="9">
        <f>(C139*USA!$AU114/100)/$AT106*100*$F139</f>
        <v>1239.9828833077804</v>
      </c>
      <c r="I139" s="9">
        <f>(D139*USA!$AU114/100)/$AT106*100*$F139</f>
        <v>685.3103479342692</v>
      </c>
      <c r="J139" s="9">
        <f>(E139*USA!$AU114/100)/$AT106*100*$F139</f>
        <v>263.67452116314877</v>
      </c>
      <c r="K139" s="6"/>
      <c r="L139" s="6">
        <f t="shared" si="96"/>
        <v>11.707665208118337</v>
      </c>
      <c r="M139" s="6">
        <f t="shared" si="97"/>
        <v>7.8964753845404161</v>
      </c>
      <c r="N139" s="6">
        <f t="shared" si="98"/>
        <v>4.9993891403767972</v>
      </c>
      <c r="O139">
        <v>2027</v>
      </c>
      <c r="P139" s="3">
        <f t="shared" si="100"/>
        <v>5.3916408247219998</v>
      </c>
      <c r="Q139" s="3"/>
      <c r="R139" s="3">
        <f t="shared" si="73"/>
        <v>4.2748265082100847</v>
      </c>
      <c r="S139" s="3">
        <f t="shared" si="74"/>
        <v>3.322029052315604</v>
      </c>
      <c r="T139" s="3">
        <f t="shared" si="75"/>
        <v>2.5977574912746992</v>
      </c>
      <c r="U139" s="3"/>
      <c r="V139" s="3">
        <f t="shared" si="77"/>
        <v>21.374132541050422</v>
      </c>
      <c r="W139" s="3">
        <f t="shared" si="78"/>
        <v>16.610145261578019</v>
      </c>
      <c r="X139" s="3">
        <f t="shared" si="79"/>
        <v>12.988787456373496</v>
      </c>
      <c r="Y139" s="3"/>
      <c r="Z139" s="3">
        <f t="shared" si="81"/>
        <v>25.094078664230256</v>
      </c>
      <c r="AA139" s="3">
        <f t="shared" si="82"/>
        <v>19.500968800385571</v>
      </c>
      <c r="AB139" s="3">
        <f t="shared" si="83"/>
        <v>15.249351221960069</v>
      </c>
      <c r="AC139" s="3"/>
      <c r="AD139" s="3">
        <f t="shared" si="99"/>
        <v>24.49158565706642</v>
      </c>
      <c r="AE139" s="3">
        <f t="shared" si="101"/>
        <v>19.032762834653102</v>
      </c>
      <c r="AF139" s="3">
        <f t="shared" si="102"/>
        <v>14.883223913683455</v>
      </c>
      <c r="AI139" s="2"/>
      <c r="AJ139" s="2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S139" s="2"/>
      <c r="AT139" s="2"/>
      <c r="AU139" s="32"/>
      <c r="AV139"/>
      <c r="AW139" s="12"/>
      <c r="AX139"/>
      <c r="AY139" s="3"/>
      <c r="AZ139" s="3"/>
      <c r="BA139"/>
      <c r="BC139" s="9"/>
      <c r="BF139" s="3"/>
      <c r="BG139" s="3"/>
      <c r="BH139" s="3"/>
      <c r="BI139" s="3"/>
      <c r="BL139" s="9"/>
    </row>
    <row r="140" spans="1:64">
      <c r="A140">
        <v>2028</v>
      </c>
      <c r="B140" s="3"/>
      <c r="C140" s="3">
        <f t="shared" si="86"/>
        <v>153.60850999464401</v>
      </c>
      <c r="D140" s="3">
        <f t="shared" si="87"/>
        <v>84.844653255379882</v>
      </c>
      <c r="E140" s="3">
        <f t="shared" si="88"/>
        <v>31.929858819111395</v>
      </c>
      <c r="F140" s="6">
        <f>'Exchange Rates'!W67</f>
        <v>8.3989999999999991</v>
      </c>
      <c r="G140" s="3"/>
      <c r="H140" s="9">
        <f>(C140*USA!$AU115/100)/$AT107*100*$F140</f>
        <v>1268.4882369470399</v>
      </c>
      <c r="I140" s="9">
        <f>(D140*USA!$AU115/100)/$AT107*100*$F140</f>
        <v>700.64115995951249</v>
      </c>
      <c r="J140" s="9">
        <f>(E140*USA!$AU115/100)/$AT107*100*$F140</f>
        <v>263.67452116314877</v>
      </c>
      <c r="K140" s="6"/>
      <c r="L140" s="6">
        <f t="shared" si="96"/>
        <v>11.903527283088895</v>
      </c>
      <c r="M140" s="6">
        <f t="shared" si="97"/>
        <v>8.001814356729561</v>
      </c>
      <c r="N140" s="6">
        <f t="shared" si="98"/>
        <v>4.9993891403767972</v>
      </c>
      <c r="O140">
        <v>2028</v>
      </c>
      <c r="P140" s="3">
        <f t="shared" si="100"/>
        <v>5.3916408247219998</v>
      </c>
      <c r="Q140" s="3"/>
      <c r="R140" s="3">
        <f t="shared" si="73"/>
        <v>4.3237920269527237</v>
      </c>
      <c r="S140" s="3">
        <f t="shared" si="74"/>
        <v>3.3483637953628902</v>
      </c>
      <c r="T140" s="3">
        <f t="shared" si="75"/>
        <v>2.5977574912746992</v>
      </c>
      <c r="U140" s="3"/>
      <c r="V140" s="3">
        <f t="shared" si="77"/>
        <v>21.618960134763618</v>
      </c>
      <c r="W140" s="3">
        <f t="shared" si="78"/>
        <v>16.74181897681445</v>
      </c>
      <c r="X140" s="3">
        <f t="shared" si="79"/>
        <v>12.988787456373496</v>
      </c>
      <c r="Y140" s="3"/>
      <c r="Z140" s="3">
        <f t="shared" si="81"/>
        <v>25.381515961814788</v>
      </c>
      <c r="AA140" s="3">
        <f t="shared" si="82"/>
        <v>19.655558960328129</v>
      </c>
      <c r="AB140" s="3">
        <f t="shared" si="83"/>
        <v>15.249351221960069</v>
      </c>
      <c r="AC140" s="3"/>
      <c r="AD140" s="3">
        <f t="shared" si="99"/>
        <v>24.772121766362275</v>
      </c>
      <c r="AE140" s="3">
        <f t="shared" si="101"/>
        <v>19.183641382322985</v>
      </c>
      <c r="AF140" s="3">
        <f t="shared" si="102"/>
        <v>14.883223913683455</v>
      </c>
      <c r="AI140" s="2"/>
      <c r="AJ140" s="2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S140" s="2"/>
      <c r="AT140" s="2"/>
      <c r="AU140" s="32"/>
      <c r="AV140"/>
      <c r="AW140" s="12"/>
      <c r="AX140"/>
      <c r="AY140" s="3"/>
      <c r="AZ140" s="3"/>
      <c r="BA140"/>
      <c r="BC140" s="9"/>
      <c r="BF140" s="3"/>
      <c r="BG140" s="3"/>
      <c r="BH140" s="3"/>
      <c r="BI140" s="3"/>
      <c r="BL140" s="9"/>
    </row>
    <row r="141" spans="1:64">
      <c r="A141">
        <v>2029</v>
      </c>
      <c r="B141" s="3"/>
      <c r="C141" s="3">
        <f t="shared" si="86"/>
        <v>157.9233557810104</v>
      </c>
      <c r="D141" s="3">
        <f t="shared" si="87"/>
        <v>87.361009569245411</v>
      </c>
      <c r="E141" s="3">
        <f t="shared" si="88"/>
        <v>31.929858819111395</v>
      </c>
      <c r="F141" s="6">
        <f>'Exchange Rates'!W68</f>
        <v>8.3989999999999991</v>
      </c>
      <c r="G141" s="3"/>
      <c r="H141" s="9">
        <f>(C141*USA!$AU116/100)/$AT108*100*$F141</f>
        <v>1304.1199289961141</v>
      </c>
      <c r="I141" s="9">
        <f>(D141*USA!$AU116/100)/$AT108*100*$F141</f>
        <v>721.42105284576689</v>
      </c>
      <c r="J141" s="9">
        <f>(E141*USA!$AU116/100)/$AT108*100*$F141</f>
        <v>263.67452116314877</v>
      </c>
      <c r="K141" s="6"/>
      <c r="L141" s="6">
        <f t="shared" si="96"/>
        <v>12.14835487680209</v>
      </c>
      <c r="M141" s="6">
        <f t="shared" si="97"/>
        <v>8.1445943057129782</v>
      </c>
      <c r="N141" s="6">
        <f t="shared" si="98"/>
        <v>4.9993891403767972</v>
      </c>
      <c r="O141">
        <v>2029</v>
      </c>
      <c r="P141" s="3">
        <f t="shared" si="100"/>
        <v>5.3916408247219998</v>
      </c>
      <c r="Q141" s="3"/>
      <c r="R141" s="3">
        <f t="shared" si="73"/>
        <v>4.3849989253810229</v>
      </c>
      <c r="S141" s="3">
        <f t="shared" si="74"/>
        <v>3.3840587826087445</v>
      </c>
      <c r="T141" s="3">
        <f t="shared" si="75"/>
        <v>2.5977574912746992</v>
      </c>
      <c r="U141" s="3"/>
      <c r="V141" s="3">
        <f t="shared" si="77"/>
        <v>21.924994626905114</v>
      </c>
      <c r="W141" s="3">
        <f t="shared" si="78"/>
        <v>16.920293913043722</v>
      </c>
      <c r="X141" s="3">
        <f t="shared" si="79"/>
        <v>12.988787456373496</v>
      </c>
      <c r="Y141" s="3"/>
      <c r="Z141" s="3">
        <f t="shared" si="81"/>
        <v>25.740812583795456</v>
      </c>
      <c r="AA141" s="3">
        <f t="shared" si="82"/>
        <v>19.865095608457793</v>
      </c>
      <c r="AB141" s="3">
        <f t="shared" si="83"/>
        <v>15.249351221960069</v>
      </c>
      <c r="AC141" s="3"/>
      <c r="AD141" s="3">
        <f t="shared" si="99"/>
        <v>25.122791902982094</v>
      </c>
      <c r="AE141" s="3">
        <f t="shared" si="101"/>
        <v>19.388147187641803</v>
      </c>
      <c r="AF141" s="3">
        <f t="shared" si="102"/>
        <v>14.883223913683455</v>
      </c>
      <c r="AI141" s="2"/>
      <c r="AJ141" s="2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S141" s="2"/>
      <c r="AT141" s="2"/>
      <c r="AU141" s="32"/>
      <c r="AV141"/>
      <c r="AW141" s="12"/>
      <c r="AX141"/>
      <c r="AY141" s="3"/>
      <c r="AZ141" s="3"/>
      <c r="BA141"/>
      <c r="BC141" s="9"/>
      <c r="BF141" s="3"/>
      <c r="BG141" s="3"/>
      <c r="BH141" s="3"/>
      <c r="BI141" s="3"/>
      <c r="BL141" s="9"/>
    </row>
    <row r="142" spans="1:64">
      <c r="A142">
        <v>2030</v>
      </c>
      <c r="B142" s="3"/>
      <c r="C142" s="3">
        <f t="shared" si="86"/>
        <v>160.51226325283022</v>
      </c>
      <c r="D142" s="3">
        <f t="shared" si="87"/>
        <v>89.285088706337618</v>
      </c>
      <c r="E142" s="3">
        <f t="shared" si="88"/>
        <v>32.792827976384679</v>
      </c>
      <c r="F142" s="6">
        <f>'Exchange Rates'!W69</f>
        <v>8.3989999999999991</v>
      </c>
      <c r="G142" s="3"/>
      <c r="H142" s="9">
        <f>(C142*USA!$AU117/100)/$AT109*100*$F142</f>
        <v>1325.4989442255585</v>
      </c>
      <c r="I142" s="9">
        <f>(D142*USA!$AU117/100)/$AT109*100*$F142</f>
        <v>737.30996259719802</v>
      </c>
      <c r="J142" s="9">
        <f>(E142*USA!$AU117/100)/$AT109*100*$F142</f>
        <v>270.80085957296359</v>
      </c>
      <c r="K142" s="6"/>
      <c r="L142" s="6">
        <f t="shared" si="96"/>
        <v>12.295251433030007</v>
      </c>
      <c r="M142" s="6">
        <f t="shared" si="97"/>
        <v>8.2537680024268862</v>
      </c>
      <c r="N142" s="6">
        <f t="shared" si="98"/>
        <v>5.0483546591194361</v>
      </c>
      <c r="O142">
        <v>2030</v>
      </c>
      <c r="P142" s="3">
        <f t="shared" si="100"/>
        <v>5.3916408247219998</v>
      </c>
      <c r="Q142" s="3"/>
      <c r="R142" s="3">
        <f t="shared" si="73"/>
        <v>4.4217230644380017</v>
      </c>
      <c r="S142" s="3">
        <f t="shared" si="74"/>
        <v>3.4113522067872215</v>
      </c>
      <c r="T142" s="3">
        <f t="shared" si="75"/>
        <v>2.609998870960359</v>
      </c>
      <c r="U142" s="3"/>
      <c r="V142" s="3">
        <f t="shared" si="77"/>
        <v>22.108615322190008</v>
      </c>
      <c r="W142" s="3">
        <f t="shared" si="78"/>
        <v>17.056761033936109</v>
      </c>
      <c r="X142" s="3">
        <f t="shared" si="79"/>
        <v>13.049994354801795</v>
      </c>
      <c r="Y142" s="3"/>
      <c r="Z142" s="3">
        <f t="shared" si="81"/>
        <v>25.956390556983852</v>
      </c>
      <c r="AA142" s="3">
        <f t="shared" si="82"/>
        <v>20.025313416604046</v>
      </c>
      <c r="AB142" s="3">
        <f t="shared" si="83"/>
        <v>15.321210546356202</v>
      </c>
      <c r="AC142" s="3"/>
      <c r="AD142" s="3">
        <f t="shared" si="99"/>
        <v>25.333193984953983</v>
      </c>
      <c r="AE142" s="3">
        <f t="shared" si="101"/>
        <v>19.544518267230181</v>
      </c>
      <c r="AF142" s="3">
        <f t="shared" si="102"/>
        <v>14.953357941007418</v>
      </c>
      <c r="AI142" s="2"/>
      <c r="AJ142" s="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S142" s="2"/>
      <c r="AT142" s="2"/>
      <c r="AU142" s="32"/>
      <c r="AV142"/>
      <c r="AW142" s="12"/>
      <c r="AX142"/>
      <c r="AY142" s="3"/>
      <c r="AZ142" s="3"/>
      <c r="BA142"/>
      <c r="BC142" s="9"/>
      <c r="BF142" s="3"/>
      <c r="BG142" s="3"/>
      <c r="BH142" s="3"/>
      <c r="BI142" s="3"/>
      <c r="BL142" s="9"/>
    </row>
    <row r="143" spans="1:64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I143" s="2"/>
      <c r="AJ143" s="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S143" s="2"/>
      <c r="AT143" s="2"/>
      <c r="AV143"/>
      <c r="AW143" s="12"/>
      <c r="AX143"/>
      <c r="AY143" s="3"/>
      <c r="AZ143" s="3"/>
      <c r="BA143"/>
      <c r="BC143" s="9"/>
      <c r="BF143" s="3"/>
      <c r="BG143" s="3"/>
      <c r="BH143" s="9"/>
    </row>
    <row r="144" spans="1:64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O144"/>
      <c r="AS144" s="2"/>
      <c r="AT144" s="2"/>
      <c r="AV144"/>
      <c r="AW144" s="12"/>
      <c r="AX144"/>
      <c r="AY144" s="3"/>
      <c r="AZ144" s="3"/>
      <c r="BA144"/>
      <c r="BC144" s="9"/>
      <c r="BF144" s="3"/>
      <c r="BG144" s="3"/>
      <c r="BH144" s="9"/>
    </row>
    <row r="145" spans="2:60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I145" s="2"/>
      <c r="AJ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O145"/>
      <c r="AQ145"/>
      <c r="AR145"/>
      <c r="AS145"/>
      <c r="AV145"/>
      <c r="AW145" s="32"/>
      <c r="AX145" s="2"/>
      <c r="AY145" s="3"/>
      <c r="AZ145" s="3"/>
      <c r="BA145"/>
      <c r="BC145" s="9"/>
      <c r="BH145" s="9"/>
    </row>
    <row r="146" spans="2:60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/>
      <c r="U146" s="37"/>
      <c r="W146" s="2"/>
      <c r="AI146" s="2"/>
      <c r="AJ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O146"/>
      <c r="AQ146"/>
      <c r="AR146"/>
      <c r="AS146"/>
      <c r="AV146"/>
      <c r="AW146" s="32"/>
      <c r="AX146" s="2"/>
      <c r="AY146" s="3"/>
      <c r="AZ146" s="3"/>
      <c r="BA146"/>
      <c r="BC146" s="9"/>
      <c r="BH146" s="9"/>
    </row>
    <row r="147" spans="2:60">
      <c r="B147" s="2"/>
      <c r="C147" s="2"/>
      <c r="G147" s="32"/>
      <c r="J147" s="2"/>
      <c r="L147" s="37"/>
      <c r="M147" s="32"/>
      <c r="N147" s="32"/>
      <c r="O147" s="32"/>
      <c r="P147" s="37"/>
      <c r="Q147" s="2"/>
      <c r="R147" s="2">
        <v>18.670644244066718</v>
      </c>
      <c r="U147" s="37"/>
      <c r="W147" s="2"/>
      <c r="AI147" s="2"/>
      <c r="AJ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O147"/>
      <c r="AQ147"/>
      <c r="AR147"/>
      <c r="AS147"/>
      <c r="AV147"/>
      <c r="AW147" s="32"/>
      <c r="AX147" s="2"/>
      <c r="AY147" s="3"/>
      <c r="AZ147" s="3"/>
      <c r="BA147"/>
      <c r="BC147" s="9"/>
      <c r="BH147" s="9"/>
    </row>
    <row r="148" spans="2:60">
      <c r="B148" s="2"/>
      <c r="C148" s="2"/>
      <c r="G148" s="32"/>
      <c r="J148" s="2"/>
      <c r="L148" s="37"/>
      <c r="M148" s="32"/>
      <c r="N148" s="32"/>
      <c r="O148" s="32"/>
      <c r="P148" s="37"/>
      <c r="Q148" s="2"/>
      <c r="R148" s="2">
        <v>14.697388229296582</v>
      </c>
      <c r="U148" s="37"/>
      <c r="W148" s="2"/>
      <c r="AI148" s="2"/>
      <c r="AJ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O148"/>
      <c r="AQ148"/>
      <c r="AR148"/>
      <c r="AS148"/>
      <c r="AV148"/>
      <c r="AW148" s="32"/>
      <c r="AX148" s="2"/>
      <c r="AY148" s="3"/>
      <c r="AZ148" s="3"/>
      <c r="BA148"/>
      <c r="BC148" s="9"/>
      <c r="BH148" s="9"/>
    </row>
    <row r="149" spans="2:60">
      <c r="B149" s="2"/>
      <c r="C149" s="2"/>
      <c r="G149" s="32"/>
      <c r="J149" s="2"/>
      <c r="L149" s="37"/>
      <c r="M149" s="32"/>
      <c r="N149" s="32"/>
      <c r="O149" s="32"/>
      <c r="P149" s="37"/>
      <c r="Q149" s="2"/>
      <c r="R149" s="2">
        <f>R147/R148-1</f>
        <v>0.27033755608701759</v>
      </c>
      <c r="U149" s="37"/>
      <c r="W149" s="2"/>
      <c r="AI149" s="2"/>
      <c r="AJ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O149"/>
      <c r="AQ149"/>
      <c r="AR149"/>
      <c r="AS149"/>
      <c r="AV149"/>
      <c r="AW149" s="32"/>
      <c r="AX149" s="2"/>
      <c r="AY149" s="3"/>
      <c r="AZ149" s="3"/>
      <c r="BA149"/>
      <c r="BC149" s="9"/>
      <c r="BH149" s="9"/>
    </row>
    <row r="150" spans="2:60">
      <c r="B150" s="2"/>
      <c r="C150" s="2"/>
      <c r="G150" s="32"/>
      <c r="J150" s="2"/>
      <c r="L150" s="37"/>
      <c r="M150" s="32"/>
      <c r="N150" s="32"/>
      <c r="O150" s="32"/>
      <c r="P150" s="37"/>
      <c r="Q150" s="2"/>
      <c r="R150" s="2"/>
      <c r="U150" s="37"/>
      <c r="W150" s="2"/>
      <c r="AI150" s="2"/>
      <c r="AJ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O150"/>
      <c r="AQ150"/>
      <c r="AR150"/>
      <c r="AS150"/>
      <c r="AV150"/>
      <c r="AW150" s="32"/>
      <c r="AX150" s="2"/>
      <c r="AY150" s="3"/>
      <c r="AZ150" s="3"/>
      <c r="BA150"/>
      <c r="BC150" s="9"/>
      <c r="BH150" s="9"/>
    </row>
    <row r="151" spans="2:60">
      <c r="B151" s="2"/>
      <c r="C151" s="2"/>
      <c r="G151" s="32"/>
      <c r="J151" s="2"/>
      <c r="L151" s="37"/>
      <c r="M151" s="32"/>
      <c r="N151" s="32"/>
      <c r="O151" s="32"/>
      <c r="P151" s="37"/>
      <c r="Q151" s="2"/>
      <c r="R151" s="2"/>
      <c r="U151" s="37"/>
      <c r="W151" s="2"/>
      <c r="AI151" s="2"/>
      <c r="AJ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O151"/>
      <c r="AQ151"/>
      <c r="AR151"/>
      <c r="AS151"/>
      <c r="AV151"/>
      <c r="AW151" s="32"/>
      <c r="AX151" s="2"/>
      <c r="AY151" s="3"/>
      <c r="AZ151" s="3"/>
      <c r="BA151"/>
      <c r="BC151" s="9"/>
      <c r="BH151" s="9"/>
    </row>
    <row r="152" spans="2:60">
      <c r="B152" s="2"/>
      <c r="C152" s="2"/>
      <c r="G152" s="32"/>
      <c r="J152" s="2"/>
      <c r="L152" s="37"/>
      <c r="M152" s="32"/>
      <c r="N152" s="32"/>
      <c r="O152" s="32"/>
      <c r="P152" s="37"/>
      <c r="Q152" s="2"/>
      <c r="R152" s="2"/>
      <c r="U152" s="37"/>
      <c r="W152" s="2"/>
      <c r="AI152" s="2"/>
      <c r="AJ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O152"/>
      <c r="AQ152"/>
      <c r="AR152"/>
      <c r="AS152"/>
      <c r="AV152"/>
      <c r="AW152" s="32"/>
      <c r="AX152" s="2"/>
      <c r="AY152" s="3"/>
      <c r="AZ152" s="3"/>
      <c r="BA152"/>
      <c r="BC152" s="9"/>
      <c r="BH152" s="9"/>
    </row>
    <row r="153" spans="2:60">
      <c r="B153" s="2"/>
      <c r="C153" s="2"/>
      <c r="G153" s="32"/>
      <c r="J153" s="2"/>
      <c r="L153" s="37"/>
      <c r="M153" s="32"/>
      <c r="N153" s="32"/>
      <c r="O153" s="32"/>
      <c r="P153" s="37"/>
      <c r="Q153" s="2"/>
      <c r="R153" s="2"/>
      <c r="U153" s="37"/>
      <c r="W153" s="2"/>
      <c r="AI153" s="2"/>
      <c r="AJ153" s="2"/>
      <c r="AK153" s="2"/>
      <c r="AL153" s="2"/>
      <c r="AM153" s="2"/>
      <c r="AO153"/>
      <c r="AQ153"/>
      <c r="AR153"/>
      <c r="AS153"/>
      <c r="AV153"/>
      <c r="AW153" s="32"/>
      <c r="AX153" s="2"/>
      <c r="AY153" s="3"/>
      <c r="AZ153" s="3"/>
      <c r="BA153"/>
      <c r="BC153" s="9"/>
      <c r="BH153" s="9"/>
    </row>
    <row r="154" spans="2:60">
      <c r="B154" s="2"/>
      <c r="C154" s="2"/>
      <c r="G154" s="32"/>
      <c r="J154" s="2"/>
      <c r="L154" s="37"/>
      <c r="M154" s="32"/>
      <c r="N154" s="32"/>
      <c r="O154" s="32"/>
      <c r="P154" s="37"/>
      <c r="Q154" s="2">
        <v>0.27</v>
      </c>
      <c r="R154" s="2"/>
      <c r="U154" s="37"/>
      <c r="W154" s="2"/>
      <c r="AI154" s="2"/>
      <c r="AJ154" s="2"/>
      <c r="AN154"/>
      <c r="AO154"/>
      <c r="AQ154"/>
      <c r="AR154"/>
      <c r="AS154" s="2"/>
      <c r="AT154" s="2"/>
      <c r="AU154" s="32"/>
      <c r="AV154" s="23"/>
      <c r="AW154" s="12"/>
      <c r="AX154" s="23"/>
      <c r="AY154" s="3"/>
      <c r="AZ154" s="3"/>
      <c r="BA154"/>
      <c r="BC154" s="9"/>
    </row>
    <row r="155" spans="2:60">
      <c r="AN155"/>
      <c r="AS155" s="2"/>
      <c r="AT155" s="12"/>
      <c r="AU155"/>
      <c r="AV155" s="12"/>
      <c r="AY155" s="3"/>
      <c r="BA155"/>
      <c r="BB155" s="9"/>
    </row>
    <row r="158" spans="2:60">
      <c r="AJ158" t="s">
        <v>2413</v>
      </c>
    </row>
    <row r="159" spans="2:60">
      <c r="AJ159" t="s">
        <v>2414</v>
      </c>
    </row>
    <row r="160" spans="2:60">
      <c r="AI160" s="78">
        <v>43101</v>
      </c>
      <c r="AJ160" s="2">
        <v>1.7450000000000001</v>
      </c>
    </row>
    <row r="161" spans="35:36">
      <c r="AI161" s="78">
        <v>43132</v>
      </c>
      <c r="AJ161" s="2">
        <v>1.75</v>
      </c>
    </row>
    <row r="162" spans="35:36">
      <c r="AI162" s="78">
        <v>43160</v>
      </c>
      <c r="AJ162" s="2">
        <v>1.75</v>
      </c>
    </row>
    <row r="163" spans="35:36">
      <c r="AI163" s="78">
        <v>43191</v>
      </c>
      <c r="AJ163" s="2">
        <v>1.76</v>
      </c>
    </row>
    <row r="164" spans="35:36">
      <c r="AI164" s="78">
        <v>43221</v>
      </c>
      <c r="AJ164" s="2">
        <v>1.8149999999999999</v>
      </c>
    </row>
    <row r="165" spans="35:36">
      <c r="AI165" s="78">
        <v>43252</v>
      </c>
      <c r="AJ165" s="2">
        <v>1.84</v>
      </c>
    </row>
    <row r="166" spans="35:36">
      <c r="AI166" s="78">
        <v>43282</v>
      </c>
      <c r="AJ166" s="2">
        <v>1.87</v>
      </c>
    </row>
    <row r="167" spans="35:36">
      <c r="AI167" s="78">
        <v>43313</v>
      </c>
      <c r="AJ167" s="2">
        <v>1.87</v>
      </c>
    </row>
    <row r="168" spans="35:36">
      <c r="AI168" s="78">
        <v>43344</v>
      </c>
      <c r="AJ168" s="2">
        <v>1.87</v>
      </c>
    </row>
    <row r="169" spans="35:36">
      <c r="AI169" s="78">
        <v>43374</v>
      </c>
      <c r="AJ169" s="2">
        <v>1.895</v>
      </c>
    </row>
    <row r="170" spans="35:36">
      <c r="AI170" s="78">
        <v>43405</v>
      </c>
      <c r="AJ170" s="2">
        <v>1.83</v>
      </c>
    </row>
    <row r="171" spans="35:36">
      <c r="AI171" s="78">
        <v>43435</v>
      </c>
      <c r="AJ171">
        <v>1.74</v>
      </c>
    </row>
    <row r="173" spans="35:36">
      <c r="AI173">
        <v>2018</v>
      </c>
      <c r="AJ173" s="3">
        <f>AVERAGE(AJ160:AJ171)</f>
        <v>1.8112500000000002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B270"/>
  <sheetViews>
    <sheetView tabSelected="1" zoomScale="75" zoomScaleNormal="75" workbookViewId="0">
      <pane xSplit="1" ySplit="4" topLeftCell="H107" activePane="bottomRight" state="frozen"/>
      <selection activeCell="BN97" sqref="BN97"/>
      <selection pane="topRight" activeCell="BN97" sqref="BN97"/>
      <selection pane="bottomLeft" activeCell="BN97" sqref="BN97"/>
      <selection pane="bottomRight" activeCell="AI109" sqref="AI109"/>
    </sheetView>
  </sheetViews>
  <sheetFormatPr defaultRowHeight="15"/>
  <cols>
    <col min="2" max="2" width="10.7109375" customWidth="1"/>
    <col min="3" max="3" width="11" customWidth="1"/>
    <col min="4" max="5" width="11.28515625" customWidth="1"/>
    <col min="6" max="7" width="10.85546875" customWidth="1"/>
    <col min="17" max="17" width="10.7109375" customWidth="1"/>
    <col min="26" max="29" width="13.28515625" customWidth="1"/>
    <col min="30" max="30" width="15.42578125" style="3" customWidth="1"/>
    <col min="31" max="40" width="9.140625" style="3"/>
    <col min="41" max="41" width="17.7109375" style="3" customWidth="1"/>
    <col min="42" max="42" width="16" style="3" customWidth="1"/>
    <col min="43" max="45" width="9.140625" style="3"/>
    <col min="46" max="46" width="9.140625" style="3" customWidth="1"/>
    <col min="47" max="47" width="5.7109375" style="9" customWidth="1"/>
    <col min="48" max="48" width="7.140625" style="3" customWidth="1"/>
    <col min="49" max="49" width="6" style="3" customWidth="1"/>
    <col min="50" max="50" width="5.5703125" style="3" customWidth="1"/>
    <col min="51" max="52" width="6.140625" style="3" customWidth="1"/>
    <col min="53" max="53" width="7" style="3" customWidth="1"/>
    <col min="54" max="54" width="2.28515625" style="3" customWidth="1"/>
    <col min="55" max="55" width="7.42578125" style="3" customWidth="1"/>
    <col min="56" max="56" width="2.5703125" style="3" customWidth="1"/>
    <col min="57" max="57" width="7.7109375" style="3" customWidth="1"/>
    <col min="58" max="58" width="9.42578125" style="3" customWidth="1"/>
    <col min="59" max="60" width="7.5703125" style="3" customWidth="1"/>
    <col min="61" max="61" width="9.42578125" style="3" customWidth="1"/>
    <col min="62" max="62" width="9.85546875" style="3" customWidth="1"/>
    <col min="63" max="63" width="5.42578125" style="3" customWidth="1"/>
    <col min="64" max="64" width="5.5703125" style="3" customWidth="1"/>
    <col min="65" max="65" width="5.140625" style="3" customWidth="1"/>
    <col min="66" max="66" width="5.5703125" style="3" customWidth="1"/>
    <col min="67" max="67" width="9.140625" style="3"/>
    <col min="68" max="68" width="7.7109375" style="3" customWidth="1"/>
    <col min="69" max="69" width="9.42578125" style="3" customWidth="1"/>
    <col min="70" max="70" width="9.140625" style="3"/>
    <col min="71" max="71" width="9.85546875" customWidth="1"/>
  </cols>
  <sheetData>
    <row r="1" spans="1:72">
      <c r="A1" t="s">
        <v>0</v>
      </c>
      <c r="B1" s="23"/>
      <c r="C1" s="23"/>
      <c r="T1" t="s">
        <v>0</v>
      </c>
      <c r="Y1" s="8" t="s">
        <v>59</v>
      </c>
      <c r="AD1" s="3" t="s">
        <v>2094</v>
      </c>
      <c r="AI1" s="6" t="s">
        <v>60</v>
      </c>
      <c r="AJ1" s="6" t="s">
        <v>6</v>
      </c>
      <c r="AK1" s="6" t="s">
        <v>205</v>
      </c>
      <c r="AL1" s="6" t="s">
        <v>6</v>
      </c>
      <c r="AM1" s="6" t="s">
        <v>113</v>
      </c>
      <c r="AN1" s="6" t="s">
        <v>113</v>
      </c>
      <c r="AO1" s="6" t="s">
        <v>113</v>
      </c>
      <c r="AS1" s="8" t="s">
        <v>59</v>
      </c>
      <c r="BS1" s="3"/>
      <c r="BT1" s="3"/>
    </row>
    <row r="2" spans="1:72">
      <c r="D2" t="s">
        <v>45</v>
      </c>
      <c r="F2" t="s">
        <v>46</v>
      </c>
      <c r="H2" t="s">
        <v>47</v>
      </c>
      <c r="I2" s="8" t="s">
        <v>47</v>
      </c>
      <c r="K2" t="s">
        <v>47</v>
      </c>
      <c r="O2" t="s">
        <v>0</v>
      </c>
      <c r="U2" t="s">
        <v>45</v>
      </c>
      <c r="W2" t="s">
        <v>46</v>
      </c>
      <c r="Y2" t="s">
        <v>47</v>
      </c>
      <c r="Z2" t="s">
        <v>47</v>
      </c>
      <c r="AA2" s="8" t="s">
        <v>47</v>
      </c>
      <c r="AB2" s="8" t="s">
        <v>135</v>
      </c>
      <c r="AD2" s="3" t="s">
        <v>274</v>
      </c>
      <c r="AF2" s="3" t="s">
        <v>61</v>
      </c>
      <c r="AG2" s="3" t="s">
        <v>61</v>
      </c>
      <c r="AK2" s="3" t="s">
        <v>60</v>
      </c>
      <c r="AP2" s="3" t="s">
        <v>60</v>
      </c>
      <c r="AS2" t="s">
        <v>47</v>
      </c>
    </row>
    <row r="3" spans="1:72">
      <c r="B3" t="s">
        <v>182</v>
      </c>
      <c r="C3" t="s">
        <v>218</v>
      </c>
      <c r="D3" t="s">
        <v>0</v>
      </c>
      <c r="F3" t="s">
        <v>0</v>
      </c>
      <c r="H3" t="s">
        <v>0</v>
      </c>
      <c r="I3" s="8" t="s">
        <v>0</v>
      </c>
      <c r="K3" t="s">
        <v>0</v>
      </c>
      <c r="L3" t="s">
        <v>25</v>
      </c>
      <c r="M3" t="s">
        <v>44</v>
      </c>
      <c r="O3" t="s">
        <v>5</v>
      </c>
      <c r="U3" t="s">
        <v>0</v>
      </c>
      <c r="W3" t="s">
        <v>0</v>
      </c>
      <c r="Y3" t="s">
        <v>0</v>
      </c>
      <c r="Z3" t="s">
        <v>0</v>
      </c>
      <c r="AA3" s="8" t="s">
        <v>0</v>
      </c>
      <c r="AB3" s="8" t="s">
        <v>0</v>
      </c>
      <c r="AC3" s="10"/>
      <c r="AD3" s="6" t="s">
        <v>2066</v>
      </c>
      <c r="AE3" s="11"/>
      <c r="AF3" s="3" t="s">
        <v>62</v>
      </c>
      <c r="AG3" s="3" t="s">
        <v>63</v>
      </c>
      <c r="AH3" s="3" t="s">
        <v>64</v>
      </c>
      <c r="AI3" s="3" t="s">
        <v>65</v>
      </c>
      <c r="AJ3" s="3" t="s">
        <v>65</v>
      </c>
      <c r="AK3" s="3" t="s">
        <v>66</v>
      </c>
      <c r="AP3" s="3" t="s">
        <v>69</v>
      </c>
      <c r="AQ3" s="3" t="s">
        <v>70</v>
      </c>
      <c r="AS3" t="s">
        <v>0</v>
      </c>
      <c r="AU3" s="46" t="s">
        <v>2103</v>
      </c>
      <c r="AV3" s="35" t="s">
        <v>58</v>
      </c>
      <c r="AW3" s="35" t="s">
        <v>58</v>
      </c>
      <c r="AX3" s="35" t="s">
        <v>58</v>
      </c>
      <c r="AY3" s="35" t="s">
        <v>58</v>
      </c>
      <c r="AZ3" s="35" t="s">
        <v>58</v>
      </c>
      <c r="BA3" s="35" t="s">
        <v>58</v>
      </c>
      <c r="BB3" s="35"/>
      <c r="BC3" s="35"/>
      <c r="BD3" s="35"/>
      <c r="BE3" s="35" t="s">
        <v>227</v>
      </c>
      <c r="BF3" s="35" t="s">
        <v>227</v>
      </c>
      <c r="BG3" s="35" t="s">
        <v>227</v>
      </c>
      <c r="BH3" s="35" t="s">
        <v>227</v>
      </c>
      <c r="BI3" s="35" t="s">
        <v>227</v>
      </c>
      <c r="BJ3" s="35" t="s">
        <v>2099</v>
      </c>
      <c r="BK3" s="35" t="s">
        <v>2098</v>
      </c>
      <c r="BL3" s="35" t="s">
        <v>2098</v>
      </c>
      <c r="BM3" s="35" t="s">
        <v>2098</v>
      </c>
      <c r="BN3" s="35" t="s">
        <v>2098</v>
      </c>
      <c r="BP3" s="35" t="s">
        <v>2440</v>
      </c>
      <c r="BQ3" s="35" t="s">
        <v>2440</v>
      </c>
    </row>
    <row r="4" spans="1:72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380</v>
      </c>
      <c r="G4" t="s">
        <v>11</v>
      </c>
      <c r="H4" t="s">
        <v>6</v>
      </c>
      <c r="I4" s="8" t="s">
        <v>43</v>
      </c>
      <c r="K4" t="s">
        <v>8</v>
      </c>
      <c r="L4" t="s">
        <v>9</v>
      </c>
      <c r="M4" t="s">
        <v>10</v>
      </c>
      <c r="N4" t="s">
        <v>11</v>
      </c>
      <c r="O4" t="s">
        <v>10</v>
      </c>
      <c r="U4" t="s">
        <v>6</v>
      </c>
      <c r="V4" t="s">
        <v>42</v>
      </c>
      <c r="W4" t="s">
        <v>6</v>
      </c>
      <c r="X4" t="s">
        <v>11</v>
      </c>
      <c r="Y4" t="s">
        <v>6</v>
      </c>
      <c r="Z4" t="s">
        <v>43</v>
      </c>
      <c r="AA4" s="8" t="s">
        <v>133</v>
      </c>
      <c r="AB4" s="8" t="s">
        <v>133</v>
      </c>
      <c r="AC4" s="10" t="s">
        <v>11</v>
      </c>
      <c r="AD4" s="6" t="s">
        <v>207</v>
      </c>
      <c r="AE4" s="11"/>
      <c r="AF4" s="3" t="s">
        <v>58</v>
      </c>
      <c r="AK4" s="3" t="s">
        <v>67</v>
      </c>
      <c r="AM4" s="3" t="s">
        <v>111</v>
      </c>
      <c r="AN4" s="3" t="s">
        <v>64</v>
      </c>
      <c r="AO4" s="3" t="s">
        <v>87</v>
      </c>
      <c r="AQ4" s="3" t="s">
        <v>7</v>
      </c>
      <c r="AS4" s="3" t="s">
        <v>68</v>
      </c>
      <c r="AU4" s="46"/>
      <c r="AV4" s="35" t="s">
        <v>131</v>
      </c>
      <c r="AW4" s="35" t="s">
        <v>1892</v>
      </c>
      <c r="AX4" s="35" t="s">
        <v>63</v>
      </c>
      <c r="AY4" s="35" t="s">
        <v>64</v>
      </c>
      <c r="AZ4" s="35" t="s">
        <v>67</v>
      </c>
      <c r="BA4" s="35" t="s">
        <v>133</v>
      </c>
      <c r="BB4" s="35"/>
      <c r="BC4" s="35" t="s">
        <v>1861</v>
      </c>
      <c r="BD4" s="35"/>
      <c r="BE4" s="35" t="s">
        <v>131</v>
      </c>
      <c r="BF4" s="35" t="s">
        <v>2097</v>
      </c>
      <c r="BG4" s="35" t="s">
        <v>67</v>
      </c>
      <c r="BH4" s="35" t="s">
        <v>133</v>
      </c>
      <c r="BI4" s="35" t="s">
        <v>2097</v>
      </c>
      <c r="BJ4" s="35" t="s">
        <v>229</v>
      </c>
      <c r="BK4" s="46">
        <v>9403</v>
      </c>
      <c r="BL4" s="46">
        <v>8086</v>
      </c>
      <c r="BM4" s="46">
        <v>79</v>
      </c>
      <c r="BN4" s="46">
        <v>6573</v>
      </c>
      <c r="BP4" s="35" t="s">
        <v>131</v>
      </c>
      <c r="BQ4" s="35" t="s">
        <v>2097</v>
      </c>
    </row>
    <row r="5" spans="1:72">
      <c r="A5">
        <v>1926</v>
      </c>
      <c r="I5" s="3">
        <v>5</v>
      </c>
      <c r="J5" s="3"/>
      <c r="T5">
        <v>1926</v>
      </c>
      <c r="AU5" s="9">
        <v>1926</v>
      </c>
    </row>
    <row r="6" spans="1:72">
      <c r="A6">
        <v>1927</v>
      </c>
      <c r="I6" s="3">
        <v>4.3</v>
      </c>
      <c r="J6" s="3"/>
      <c r="T6">
        <v>1927</v>
      </c>
      <c r="AU6" s="9">
        <v>1927</v>
      </c>
    </row>
    <row r="7" spans="1:72">
      <c r="A7">
        <v>1928</v>
      </c>
      <c r="I7" s="3">
        <v>4.3</v>
      </c>
      <c r="J7" s="3"/>
      <c r="T7">
        <v>1928</v>
      </c>
      <c r="AU7" s="9">
        <v>1928</v>
      </c>
    </row>
    <row r="8" spans="1:72">
      <c r="A8">
        <v>1929</v>
      </c>
      <c r="I8" s="3">
        <v>4.0999999999999996</v>
      </c>
      <c r="J8" s="3"/>
      <c r="T8">
        <v>1929</v>
      </c>
      <c r="AU8" s="9">
        <v>1929</v>
      </c>
    </row>
    <row r="9" spans="1:72">
      <c r="A9">
        <v>1930</v>
      </c>
      <c r="I9" s="3">
        <v>4</v>
      </c>
      <c r="J9" s="3"/>
      <c r="T9">
        <v>1930</v>
      </c>
      <c r="AU9" s="9">
        <v>1930</v>
      </c>
    </row>
    <row r="10" spans="1:72">
      <c r="A10">
        <v>1931</v>
      </c>
      <c r="I10" s="3">
        <v>4</v>
      </c>
      <c r="J10" s="3"/>
      <c r="T10">
        <v>1931</v>
      </c>
      <c r="AU10" s="9">
        <v>1931</v>
      </c>
    </row>
    <row r="11" spans="1:72">
      <c r="A11">
        <v>1932</v>
      </c>
      <c r="I11" s="3">
        <v>4</v>
      </c>
      <c r="J11" s="3"/>
      <c r="T11">
        <v>1932</v>
      </c>
      <c r="AU11" s="9">
        <v>1932</v>
      </c>
    </row>
    <row r="12" spans="1:72">
      <c r="A12">
        <v>1933</v>
      </c>
      <c r="I12" s="3">
        <v>4</v>
      </c>
      <c r="J12" s="3"/>
      <c r="T12">
        <v>1933</v>
      </c>
      <c r="AU12" s="9">
        <v>1933</v>
      </c>
    </row>
    <row r="13" spans="1:72">
      <c r="A13">
        <v>1934</v>
      </c>
      <c r="I13" s="3">
        <v>3.9</v>
      </c>
      <c r="J13" s="3"/>
      <c r="T13">
        <v>1934</v>
      </c>
      <c r="AU13" s="9">
        <v>1934</v>
      </c>
    </row>
    <row r="14" spans="1:72">
      <c r="A14">
        <v>1935</v>
      </c>
      <c r="I14" s="3">
        <v>3.8</v>
      </c>
      <c r="J14" s="3"/>
      <c r="T14">
        <v>1935</v>
      </c>
      <c r="AU14" s="9">
        <v>1935</v>
      </c>
    </row>
    <row r="15" spans="1:72">
      <c r="A15">
        <v>1936</v>
      </c>
      <c r="I15" s="3">
        <v>3.8</v>
      </c>
      <c r="J15" s="3"/>
      <c r="T15">
        <v>1936</v>
      </c>
      <c r="AU15" s="9">
        <v>1936</v>
      </c>
    </row>
    <row r="16" spans="1:72">
      <c r="A16">
        <v>1937</v>
      </c>
      <c r="I16" s="3">
        <v>3.9</v>
      </c>
      <c r="J16" s="3"/>
      <c r="T16">
        <v>1937</v>
      </c>
      <c r="AU16" s="9">
        <v>1937</v>
      </c>
    </row>
    <row r="17" spans="1:47">
      <c r="A17">
        <v>1938</v>
      </c>
      <c r="I17" s="3">
        <v>3.9</v>
      </c>
      <c r="J17" s="3"/>
      <c r="T17">
        <v>1938</v>
      </c>
      <c r="AU17" s="9">
        <v>1938</v>
      </c>
    </row>
    <row r="18" spans="1:47">
      <c r="A18">
        <v>1939</v>
      </c>
      <c r="I18" s="3">
        <v>4</v>
      </c>
      <c r="J18" s="3"/>
      <c r="T18">
        <v>1939</v>
      </c>
      <c r="AU18" s="9">
        <v>1939</v>
      </c>
    </row>
    <row r="19" spans="1:47">
      <c r="A19">
        <v>1940</v>
      </c>
      <c r="I19" s="3">
        <v>5.5</v>
      </c>
      <c r="J19" s="3"/>
      <c r="T19">
        <v>1940</v>
      </c>
      <c r="AU19" s="9">
        <v>1940</v>
      </c>
    </row>
    <row r="20" spans="1:47">
      <c r="A20">
        <v>1941</v>
      </c>
      <c r="I20" s="3">
        <v>5.5</v>
      </c>
      <c r="J20" s="3"/>
      <c r="T20">
        <v>1941</v>
      </c>
      <c r="AU20" s="9">
        <v>1941</v>
      </c>
    </row>
    <row r="21" spans="1:47">
      <c r="A21">
        <v>1942</v>
      </c>
      <c r="I21" s="3">
        <v>6.2</v>
      </c>
      <c r="J21" s="3"/>
      <c r="T21">
        <v>1942</v>
      </c>
      <c r="AU21" s="9">
        <v>1942</v>
      </c>
    </row>
    <row r="22" spans="1:47">
      <c r="A22">
        <v>1943</v>
      </c>
      <c r="I22" s="3">
        <v>6.2</v>
      </c>
      <c r="J22" s="3"/>
      <c r="T22">
        <v>1943</v>
      </c>
      <c r="AU22" s="9">
        <v>1943</v>
      </c>
    </row>
    <row r="23" spans="1:47">
      <c r="A23">
        <v>1944</v>
      </c>
      <c r="I23" s="3">
        <v>6.2</v>
      </c>
      <c r="J23" s="3"/>
      <c r="T23">
        <v>1944</v>
      </c>
      <c r="AU23" s="9">
        <v>1944</v>
      </c>
    </row>
    <row r="24" spans="1:47">
      <c r="A24">
        <v>1945</v>
      </c>
      <c r="I24" s="3">
        <v>5.9120879120879124</v>
      </c>
      <c r="J24" s="3"/>
      <c r="T24">
        <v>1945</v>
      </c>
      <c r="AU24" s="9">
        <v>1945</v>
      </c>
    </row>
    <row r="25" spans="1:47">
      <c r="A25">
        <v>1946</v>
      </c>
      <c r="I25" s="3">
        <v>5.5</v>
      </c>
      <c r="J25" s="3"/>
      <c r="T25">
        <v>1946</v>
      </c>
      <c r="AU25" s="9">
        <v>1946</v>
      </c>
    </row>
    <row r="26" spans="1:47">
      <c r="A26">
        <v>1947</v>
      </c>
      <c r="I26" s="3">
        <v>5.3186813186813193</v>
      </c>
      <c r="J26" s="3"/>
      <c r="T26">
        <v>1947</v>
      </c>
      <c r="AU26" s="9">
        <v>1947</v>
      </c>
    </row>
    <row r="27" spans="1:47">
      <c r="A27">
        <v>1948</v>
      </c>
      <c r="G27" s="2">
        <v>0.62034730452604403</v>
      </c>
      <c r="I27" s="3">
        <v>5.8680000000000003</v>
      </c>
      <c r="J27" s="3"/>
      <c r="N27">
        <v>0.62034730452604403</v>
      </c>
      <c r="T27">
        <v>1948</v>
      </c>
      <c r="X27">
        <v>0.62034730452604403</v>
      </c>
      <c r="AU27" s="9">
        <v>1948</v>
      </c>
    </row>
    <row r="28" spans="1:47">
      <c r="A28">
        <v>1949</v>
      </c>
      <c r="G28" s="2">
        <v>0.67158999900000005</v>
      </c>
      <c r="I28" s="3">
        <v>6.1150000000000002</v>
      </c>
      <c r="J28" s="3"/>
      <c r="N28">
        <v>0.67158999900000005</v>
      </c>
      <c r="T28">
        <v>1949</v>
      </c>
      <c r="X28">
        <v>0.67158999900000005</v>
      </c>
      <c r="AU28" s="9">
        <v>1949</v>
      </c>
    </row>
    <row r="29" spans="1:47">
      <c r="A29">
        <v>1950</v>
      </c>
      <c r="G29" s="2">
        <v>0.89285699989285705</v>
      </c>
      <c r="I29" s="7">
        <v>6.593</v>
      </c>
      <c r="J29" s="7"/>
      <c r="N29">
        <v>0.89285699989285705</v>
      </c>
      <c r="T29">
        <v>1950</v>
      </c>
      <c r="X29">
        <v>0.89285699989285705</v>
      </c>
      <c r="AU29" s="9">
        <v>1950</v>
      </c>
    </row>
    <row r="30" spans="1:47">
      <c r="A30">
        <v>1951</v>
      </c>
      <c r="G30" s="2">
        <v>0.89285699989285705</v>
      </c>
      <c r="I30" s="3">
        <v>7.17</v>
      </c>
      <c r="J30" s="3"/>
      <c r="N30">
        <v>0.89285699989285705</v>
      </c>
      <c r="T30">
        <v>1951</v>
      </c>
      <c r="X30">
        <v>0.89285699989285705</v>
      </c>
      <c r="AU30" s="9">
        <v>1951</v>
      </c>
    </row>
    <row r="31" spans="1:47">
      <c r="A31">
        <v>1952</v>
      </c>
      <c r="G31" s="2">
        <v>0.89285699989285705</v>
      </c>
      <c r="I31" s="3">
        <v>7.6479999999999997</v>
      </c>
      <c r="J31" s="3"/>
      <c r="N31">
        <v>0.89285699989285705</v>
      </c>
      <c r="T31">
        <v>1952</v>
      </c>
      <c r="X31">
        <v>0.89285699989285705</v>
      </c>
      <c r="AU31" s="9">
        <v>1952</v>
      </c>
    </row>
    <row r="32" spans="1:47">
      <c r="A32">
        <v>1953</v>
      </c>
      <c r="G32" s="2">
        <v>0.89285699989285705</v>
      </c>
      <c r="I32" s="3">
        <v>7.6260000000000003</v>
      </c>
      <c r="J32" s="3"/>
      <c r="N32">
        <v>0.89285699989285705</v>
      </c>
      <c r="T32">
        <v>1953</v>
      </c>
      <c r="X32">
        <v>0.89285699989285705</v>
      </c>
      <c r="AU32" s="9">
        <v>1953</v>
      </c>
    </row>
    <row r="33" spans="1:69">
      <c r="A33">
        <v>1954</v>
      </c>
      <c r="G33" s="2">
        <v>0.89285699989285705</v>
      </c>
      <c r="I33" s="3">
        <v>7.0990000000000002</v>
      </c>
      <c r="J33" s="3"/>
      <c r="N33">
        <v>0.89285699989285705</v>
      </c>
      <c r="T33">
        <v>1954</v>
      </c>
      <c r="X33">
        <v>0.89285699989285705</v>
      </c>
      <c r="AU33" s="9">
        <v>1954</v>
      </c>
    </row>
    <row r="34" spans="1:69">
      <c r="A34">
        <v>1955</v>
      </c>
      <c r="G34" s="2">
        <v>0.89285699989285705</v>
      </c>
      <c r="I34" s="3">
        <v>7.3739999999999997</v>
      </c>
      <c r="J34" s="3"/>
      <c r="N34">
        <v>0.89285699989285705</v>
      </c>
      <c r="T34">
        <v>1955</v>
      </c>
      <c r="X34">
        <v>0.89285699989285705</v>
      </c>
      <c r="AU34" s="9">
        <v>1955</v>
      </c>
    </row>
    <row r="35" spans="1:69">
      <c r="A35">
        <v>1956</v>
      </c>
      <c r="G35" s="2">
        <v>0.89285699989285705</v>
      </c>
      <c r="I35" s="3">
        <v>8.0890000000000004</v>
      </c>
      <c r="J35" s="3"/>
      <c r="N35">
        <v>0.89285699989285705</v>
      </c>
      <c r="T35">
        <v>1956</v>
      </c>
      <c r="X35">
        <v>0.89285699989285705</v>
      </c>
      <c r="AU35" s="9">
        <v>1956</v>
      </c>
    </row>
    <row r="36" spans="1:69">
      <c r="A36">
        <v>1957</v>
      </c>
      <c r="G36" s="2">
        <v>0.89285699989285705</v>
      </c>
      <c r="I36" s="3">
        <v>8.2200000000000006</v>
      </c>
      <c r="J36" s="3"/>
      <c r="N36">
        <v>0.89285699989285705</v>
      </c>
      <c r="T36">
        <v>1957</v>
      </c>
      <c r="X36">
        <v>0.89285699989285705</v>
      </c>
      <c r="AU36" s="9">
        <v>1957</v>
      </c>
    </row>
    <row r="37" spans="1:69">
      <c r="A37">
        <v>1958</v>
      </c>
      <c r="G37" s="2">
        <v>0.89285699989285705</v>
      </c>
      <c r="I37" s="3">
        <v>7.9130000000000003</v>
      </c>
      <c r="J37" s="3"/>
      <c r="N37">
        <v>0.89285699989285705</v>
      </c>
      <c r="T37">
        <v>1958</v>
      </c>
      <c r="X37">
        <v>0.89285699989285705</v>
      </c>
      <c r="AU37" s="9">
        <v>1958</v>
      </c>
    </row>
    <row r="38" spans="1:69">
      <c r="A38">
        <v>1959</v>
      </c>
      <c r="G38" s="2">
        <v>0.89285699989285705</v>
      </c>
      <c r="I38" s="3">
        <v>7.827</v>
      </c>
      <c r="J38" s="3"/>
      <c r="N38">
        <v>0.89285699989285705</v>
      </c>
      <c r="T38">
        <v>1959</v>
      </c>
      <c r="X38">
        <v>0.89285699989285705</v>
      </c>
      <c r="AU38" s="9">
        <v>1959</v>
      </c>
    </row>
    <row r="39" spans="1:69">
      <c r="A39">
        <v>1960</v>
      </c>
      <c r="G39" s="2">
        <v>0.89285699989285705</v>
      </c>
      <c r="I39" s="3">
        <v>7.78</v>
      </c>
      <c r="J39" s="3"/>
      <c r="N39">
        <v>0.89285699989285705</v>
      </c>
      <c r="T39">
        <v>1960</v>
      </c>
      <c r="X39">
        <v>0.89285699989285705</v>
      </c>
      <c r="AU39" s="9">
        <v>1960</v>
      </c>
    </row>
    <row r="40" spans="1:69">
      <c r="A40">
        <v>1961</v>
      </c>
      <c r="G40" s="2">
        <v>0.89285699989285705</v>
      </c>
      <c r="I40" s="3">
        <v>7.569</v>
      </c>
      <c r="J40" s="3"/>
      <c r="N40">
        <v>0.89285699989285705</v>
      </c>
      <c r="T40">
        <v>1961</v>
      </c>
      <c r="X40">
        <v>0.89285699989285705</v>
      </c>
      <c r="AU40" s="9">
        <v>1961</v>
      </c>
    </row>
    <row r="41" spans="1:69">
      <c r="A41">
        <v>1962</v>
      </c>
      <c r="G41" s="2">
        <v>0.89285699989285705</v>
      </c>
      <c r="I41" s="3">
        <v>7.5069999999999997</v>
      </c>
      <c r="J41" s="3"/>
      <c r="N41">
        <v>0.89285699989285705</v>
      </c>
      <c r="T41">
        <v>1962</v>
      </c>
      <c r="X41">
        <v>0.89285699989285705</v>
      </c>
      <c r="AU41" s="9">
        <v>1962</v>
      </c>
    </row>
    <row r="42" spans="1:69">
      <c r="A42">
        <v>1963</v>
      </c>
      <c r="G42" s="2">
        <v>0.89285699989285705</v>
      </c>
      <c r="I42" s="3">
        <v>7.4790000000000001</v>
      </c>
      <c r="J42" s="3"/>
      <c r="N42">
        <v>0.89285699989285705</v>
      </c>
      <c r="T42">
        <v>1963</v>
      </c>
      <c r="X42">
        <v>0.89285699989285705</v>
      </c>
      <c r="AU42" s="46" t="s">
        <v>2103</v>
      </c>
      <c r="AV42" s="35" t="s">
        <v>58</v>
      </c>
      <c r="AW42" s="35" t="s">
        <v>58</v>
      </c>
      <c r="AX42" s="35" t="s">
        <v>58</v>
      </c>
      <c r="AY42" s="35" t="s">
        <v>58</v>
      </c>
      <c r="AZ42" s="35" t="s">
        <v>58</v>
      </c>
      <c r="BA42" s="35" t="s">
        <v>58</v>
      </c>
      <c r="BC42" s="35"/>
      <c r="BE42" s="35" t="s">
        <v>227</v>
      </c>
      <c r="BF42" s="35" t="s">
        <v>227</v>
      </c>
      <c r="BG42" s="35" t="s">
        <v>227</v>
      </c>
      <c r="BH42" s="35" t="s">
        <v>227</v>
      </c>
      <c r="BI42" s="35" t="s">
        <v>227</v>
      </c>
      <c r="BJ42" s="35" t="s">
        <v>2099</v>
      </c>
      <c r="BK42" s="35" t="s">
        <v>2098</v>
      </c>
      <c r="BL42" s="35" t="s">
        <v>2098</v>
      </c>
      <c r="BM42" s="35" t="s">
        <v>2098</v>
      </c>
      <c r="BN42" s="35" t="s">
        <v>2098</v>
      </c>
      <c r="BP42" s="35" t="s">
        <v>2440</v>
      </c>
      <c r="BQ42" s="35" t="s">
        <v>2440</v>
      </c>
    </row>
    <row r="43" spans="1:69">
      <c r="G43" s="2">
        <v>0.89285699989285705</v>
      </c>
      <c r="I43" s="3">
        <v>7.4320000000000004</v>
      </c>
      <c r="J43" s="3"/>
      <c r="N43">
        <v>0.89285699989285705</v>
      </c>
      <c r="T43">
        <v>1964</v>
      </c>
      <c r="X43">
        <v>0.89285699989285705</v>
      </c>
      <c r="AU43" s="46"/>
      <c r="AV43" s="35" t="s">
        <v>131</v>
      </c>
      <c r="AW43" s="35" t="s">
        <v>1892</v>
      </c>
      <c r="AX43" s="35" t="s">
        <v>63</v>
      </c>
      <c r="AY43" s="35" t="s">
        <v>64</v>
      </c>
      <c r="AZ43" s="35" t="s">
        <v>67</v>
      </c>
      <c r="BA43" s="35" t="s">
        <v>133</v>
      </c>
      <c r="BC43" s="140" t="s">
        <v>237</v>
      </c>
      <c r="BE43" s="35" t="s">
        <v>131</v>
      </c>
      <c r="BF43" s="35" t="s">
        <v>2097</v>
      </c>
      <c r="BG43" s="35" t="s">
        <v>67</v>
      </c>
      <c r="BH43" s="35" t="s">
        <v>133</v>
      </c>
      <c r="BI43" s="35" t="s">
        <v>2097</v>
      </c>
      <c r="BJ43" s="35" t="s">
        <v>1943</v>
      </c>
      <c r="BK43" s="46">
        <v>9403</v>
      </c>
      <c r="BL43" s="46">
        <v>8086</v>
      </c>
      <c r="BM43" s="46">
        <v>79</v>
      </c>
      <c r="BN43" s="46">
        <v>6573</v>
      </c>
      <c r="BP43" s="35" t="s">
        <v>131</v>
      </c>
      <c r="BQ43" s="35" t="s">
        <v>2097</v>
      </c>
    </row>
    <row r="44" spans="1:69">
      <c r="A44">
        <v>1965</v>
      </c>
      <c r="B44" s="3">
        <f>I44/G44*100/C44</f>
        <v>59.083812134136977</v>
      </c>
      <c r="C44" s="3">
        <f t="shared" ref="C44:C87" si="0">E44/E$89*100</f>
        <v>14.459024846529534</v>
      </c>
      <c r="D44" s="1">
        <v>42.527099999999997</v>
      </c>
      <c r="E44" s="3">
        <v>20.692699999999999</v>
      </c>
      <c r="F44" s="3">
        <f>D44*E44/100</f>
        <v>8.8000052216999975</v>
      </c>
      <c r="G44" s="2">
        <v>0.89770000000000005</v>
      </c>
      <c r="H44" s="3">
        <f>F44*G44</f>
        <v>7.8997646875200882</v>
      </c>
      <c r="I44" s="3">
        <v>7.6689999999999996</v>
      </c>
      <c r="J44" s="3"/>
      <c r="K44" s="3">
        <v>0</v>
      </c>
      <c r="M44" s="3">
        <v>0</v>
      </c>
      <c r="N44">
        <v>0.89285699989285705</v>
      </c>
      <c r="T44">
        <v>1965</v>
      </c>
      <c r="U44" s="1">
        <v>42.527099999999997</v>
      </c>
      <c r="V44" s="3">
        <v>20.692699999999999</v>
      </c>
      <c r="W44" s="3">
        <f>U44*V44/100</f>
        <v>8.8000052216999975</v>
      </c>
      <c r="X44">
        <v>0.89285699989285705</v>
      </c>
      <c r="Y44" s="3">
        <f>W44*X44</f>
        <v>7.8571462612885359</v>
      </c>
      <c r="Z44" s="3">
        <f>I44</f>
        <v>7.6689999999999996</v>
      </c>
      <c r="AA44" s="3">
        <f t="shared" ref="AA44:AA89" si="1">Z44-AI44</f>
        <v>5.0308639999999993</v>
      </c>
      <c r="AB44" s="3"/>
      <c r="AC44" s="2">
        <f>N44</f>
        <v>0.89285699989285705</v>
      </c>
      <c r="AD44" s="6">
        <f>USA!Z52*Australia!AC44</f>
        <v>2.946428099646428</v>
      </c>
      <c r="AI44" s="6">
        <f>Z44*AK44</f>
        <v>2.6381359999999998</v>
      </c>
      <c r="AJ44" s="7">
        <f t="shared" ref="AJ44:AJ89" si="2">Y44*AK44</f>
        <v>2.7028583138832563</v>
      </c>
      <c r="AK44" s="6">
        <v>0.34399999999999997</v>
      </c>
      <c r="AL44" s="7"/>
      <c r="AM44" s="7"/>
      <c r="AN44" s="7"/>
      <c r="AO44" s="7"/>
      <c r="AP44" s="3">
        <f>AI44/(AQ44/100)</f>
        <v>17.068298789817778</v>
      </c>
      <c r="AQ44" s="3">
        <v>15.456349999999999</v>
      </c>
      <c r="AS44" s="3">
        <f t="shared" ref="AS44:AS89" si="3">AD44+AI44</f>
        <v>5.5845640996464283</v>
      </c>
      <c r="AU44" s="9">
        <v>1965</v>
      </c>
      <c r="AV44" s="3">
        <f t="shared" ref="AV44:AV88" si="4">I44</f>
        <v>7.6689999999999996</v>
      </c>
      <c r="AW44" s="3">
        <f t="shared" ref="AW44:AW47" si="5">AZ44</f>
        <v>2.6381359999999998</v>
      </c>
      <c r="AX44" s="3">
        <f t="shared" ref="AX44:AX48" si="6">AG44</f>
        <v>0</v>
      </c>
      <c r="AY44" s="3">
        <f t="shared" ref="AY44:AY48" si="7">AH44</f>
        <v>0</v>
      </c>
      <c r="AZ44" s="3">
        <f>AI44</f>
        <v>2.6381359999999998</v>
      </c>
      <c r="BA44" s="3">
        <f t="shared" ref="BA44:BA75" si="8">AV44-AZ44</f>
        <v>5.0308639999999993</v>
      </c>
      <c r="BC44" s="3">
        <v>8.6905460951262476</v>
      </c>
      <c r="BE44" s="3">
        <f t="shared" ref="BE44:BE75" si="9">AV44/BC44*100</f>
        <v>88.245317567567554</v>
      </c>
      <c r="BF44" s="3">
        <f>BI44+BG44</f>
        <v>91.373773145224575</v>
      </c>
      <c r="BG44" s="3">
        <f>AZ44/BC44*100</f>
        <v>30.356389243243243</v>
      </c>
      <c r="BH44" s="3">
        <f t="shared" ref="BH44:BH51" si="10">BE44-BG44</f>
        <v>57.888928324324311</v>
      </c>
      <c r="BI44" s="7">
        <f t="shared" ref="BI44:BI93" si="11">BF$102+BF$103*BJ44+BF$104*BK44+BF$105*BL44+BF$106*BM44+BF$107*BN44</f>
        <v>61.017383901981333</v>
      </c>
      <c r="BJ44" s="3">
        <f t="shared" ref="BJ44:BJ75" si="12">AD44/BC44*100</f>
        <v>33.903831443904508</v>
      </c>
      <c r="BK44" s="9">
        <v>0</v>
      </c>
      <c r="BL44" s="9">
        <v>0</v>
      </c>
      <c r="BM44" s="9">
        <v>0</v>
      </c>
      <c r="BN44" s="45">
        <v>1</v>
      </c>
      <c r="BO44" s="9"/>
      <c r="BP44" s="3">
        <f t="shared" ref="BP44:BP96" si="13">BE44*$BC$97/$BC$89</f>
        <v>104.08281726920019</v>
      </c>
      <c r="BQ44" s="3">
        <f t="shared" ref="BQ44:BQ96" si="14">BF44*$BC$97/$BC$89</f>
        <v>107.77274075975556</v>
      </c>
    </row>
    <row r="45" spans="1:69">
      <c r="A45">
        <v>1966</v>
      </c>
      <c r="B45" s="3">
        <f t="shared" ref="B45:B88" si="15">I45/G45*100/C45</f>
        <v>60.322097268050783</v>
      </c>
      <c r="C45" s="3">
        <f t="shared" si="0"/>
        <v>14.891495218110531</v>
      </c>
      <c r="D45" s="1">
        <v>41.761299999999999</v>
      </c>
      <c r="E45" s="3">
        <v>21.311620000000001</v>
      </c>
      <c r="F45" s="3">
        <f t="shared" ref="F45:F77" si="16">D45*E45/100</f>
        <v>8.9000095630600011</v>
      </c>
      <c r="G45" s="2">
        <v>0.89859999999999995</v>
      </c>
      <c r="H45" s="3">
        <f t="shared" ref="H45:H77" si="17">F45*G45</f>
        <v>7.9975485933657167</v>
      </c>
      <c r="I45" s="3">
        <v>8.0719999999999992</v>
      </c>
      <c r="J45" s="3"/>
      <c r="N45">
        <v>0.89285699989285705</v>
      </c>
      <c r="T45">
        <v>1966</v>
      </c>
      <c r="U45" s="1">
        <v>41.761299999999999</v>
      </c>
      <c r="V45" s="3">
        <v>21.311620000000001</v>
      </c>
      <c r="W45" s="3">
        <f t="shared" ref="W45:W77" si="18">U45*V45/100</f>
        <v>8.9000095630600011</v>
      </c>
      <c r="X45">
        <v>0.89285699989285705</v>
      </c>
      <c r="Y45" s="3">
        <f t="shared" ref="Y45:Y77" si="19">W45*X45</f>
        <v>7.9464358374914905</v>
      </c>
      <c r="Z45" s="3">
        <f t="shared" ref="Z45:Z90" si="20">I45</f>
        <v>8.0719999999999992</v>
      </c>
      <c r="AA45" s="3">
        <f t="shared" si="1"/>
        <v>5.3355919999999992</v>
      </c>
      <c r="AB45" s="3"/>
      <c r="AC45" s="2">
        <f t="shared" ref="AC45:AC97" si="21">N45</f>
        <v>0.89285699989285705</v>
      </c>
      <c r="AD45" s="6">
        <f>USA!Z53*Australia!AC45</f>
        <v>2.946428099646428</v>
      </c>
      <c r="AI45" s="6">
        <f>Z45*AK45</f>
        <v>2.736408</v>
      </c>
      <c r="AJ45" s="7">
        <f t="shared" si="2"/>
        <v>2.6938417489096156</v>
      </c>
      <c r="AK45" s="6">
        <v>0.33900000000000002</v>
      </c>
      <c r="AL45" s="7"/>
      <c r="AM45" s="7"/>
      <c r="AN45" s="7"/>
      <c r="AO45" s="7"/>
      <c r="AP45" s="3">
        <f t="shared" ref="AP45:AP89" si="22">AI45/(AQ45/100)</f>
        <v>17.162430793691112</v>
      </c>
      <c r="AQ45" s="3">
        <v>15.944175</v>
      </c>
      <c r="AS45" s="3">
        <f t="shared" si="3"/>
        <v>5.682836099646428</v>
      </c>
      <c r="AU45" s="9">
        <v>1966</v>
      </c>
      <c r="AV45" s="3">
        <f t="shared" si="4"/>
        <v>8.0719999999999992</v>
      </c>
      <c r="AW45" s="3">
        <f t="shared" si="5"/>
        <v>2.736408</v>
      </c>
      <c r="AX45" s="3">
        <f t="shared" si="6"/>
        <v>0</v>
      </c>
      <c r="AY45" s="3">
        <f t="shared" si="7"/>
        <v>0</v>
      </c>
      <c r="AZ45" s="3">
        <f>AI45</f>
        <v>2.736408</v>
      </c>
      <c r="BA45" s="3">
        <f t="shared" si="8"/>
        <v>5.3355919999999992</v>
      </c>
      <c r="BC45" s="3">
        <v>8.9841456253669989</v>
      </c>
      <c r="BE45" s="3">
        <f t="shared" si="9"/>
        <v>89.847163398692814</v>
      </c>
      <c r="BF45" s="3">
        <f t="shared" ref="BF45:BF88" si="23">BI45+BG45</f>
        <v>90.872295152471537</v>
      </c>
      <c r="BG45" s="3">
        <f t="shared" ref="BG45:BG95" si="24">AZ45/BC45*100</f>
        <v>30.458188392156867</v>
      </c>
      <c r="BH45" s="3">
        <f t="shared" si="10"/>
        <v>59.388975006535944</v>
      </c>
      <c r="BI45" s="7">
        <f t="shared" si="11"/>
        <v>60.414106760314667</v>
      </c>
      <c r="BJ45" s="3">
        <f t="shared" si="12"/>
        <v>32.795863096064494</v>
      </c>
      <c r="BK45" s="9">
        <v>0</v>
      </c>
      <c r="BL45" s="9">
        <v>0</v>
      </c>
      <c r="BM45" s="9">
        <v>0</v>
      </c>
      <c r="BN45" s="45">
        <v>1</v>
      </c>
      <c r="BO45" s="9"/>
      <c r="BP45" s="3">
        <f t="shared" si="13"/>
        <v>105.9721484148078</v>
      </c>
      <c r="BQ45" s="3">
        <f t="shared" si="14"/>
        <v>107.18126187200296</v>
      </c>
    </row>
    <row r="46" spans="1:69">
      <c r="A46">
        <v>1967</v>
      </c>
      <c r="B46" s="3">
        <f t="shared" si="15"/>
        <v>60.795890454136526</v>
      </c>
      <c r="C46" s="3">
        <f t="shared" si="0"/>
        <v>15.30482682623647</v>
      </c>
      <c r="D46" s="1">
        <v>42.916200000000003</v>
      </c>
      <c r="E46" s="3">
        <v>21.90315</v>
      </c>
      <c r="F46" s="3">
        <f t="shared" si="16"/>
        <v>9.3999996603000007</v>
      </c>
      <c r="G46" s="2">
        <v>0.89890000000000003</v>
      </c>
      <c r="H46" s="3">
        <f t="shared" si="17"/>
        <v>8.4496596946436711</v>
      </c>
      <c r="I46" s="3">
        <v>8.3640000000000008</v>
      </c>
      <c r="J46" s="3"/>
      <c r="N46">
        <v>0.89285699989285705</v>
      </c>
      <c r="T46">
        <v>1967</v>
      </c>
      <c r="U46" s="1">
        <v>42.916200000000003</v>
      </c>
      <c r="V46" s="3">
        <v>21.90315</v>
      </c>
      <c r="W46" s="3">
        <f t="shared" si="18"/>
        <v>9.3999996603000007</v>
      </c>
      <c r="X46">
        <v>0.89285699989285705</v>
      </c>
      <c r="Y46" s="3">
        <f t="shared" si="19"/>
        <v>8.392855495689334</v>
      </c>
      <c r="Z46" s="3">
        <f t="shared" si="20"/>
        <v>8.3640000000000008</v>
      </c>
      <c r="AA46" s="3">
        <f t="shared" si="1"/>
        <v>5.6624280000000002</v>
      </c>
      <c r="AB46" s="3"/>
      <c r="AC46" s="2">
        <f t="shared" si="21"/>
        <v>0.89285699989285705</v>
      </c>
      <c r="AD46" s="6">
        <f>USA!Z54*Australia!AC46</f>
        <v>2.946428099646428</v>
      </c>
      <c r="AI46" s="6">
        <f>Z46*AK46</f>
        <v>2.7015720000000005</v>
      </c>
      <c r="AJ46" s="7">
        <f t="shared" si="2"/>
        <v>2.7108923251076549</v>
      </c>
      <c r="AK46" s="6">
        <v>0.32300000000000001</v>
      </c>
      <c r="AL46" s="7"/>
      <c r="AM46" s="7"/>
      <c r="AN46" s="7"/>
      <c r="AO46" s="7"/>
      <c r="AP46" s="3">
        <f t="shared" si="22"/>
        <v>16.415271294396085</v>
      </c>
      <c r="AQ46" s="3">
        <v>16.457674999999998</v>
      </c>
      <c r="AS46" s="3">
        <f t="shared" si="3"/>
        <v>5.6480000996464286</v>
      </c>
      <c r="AU46" s="9">
        <v>1967</v>
      </c>
      <c r="AV46" s="3">
        <f t="shared" si="4"/>
        <v>8.3640000000000008</v>
      </c>
      <c r="AW46" s="3">
        <f t="shared" si="5"/>
        <v>2.7015720000000005</v>
      </c>
      <c r="AX46" s="3">
        <f t="shared" si="6"/>
        <v>0</v>
      </c>
      <c r="AY46" s="3">
        <f t="shared" si="7"/>
        <v>0</v>
      </c>
      <c r="AZ46" s="3">
        <f>AI46</f>
        <v>2.7015720000000005</v>
      </c>
      <c r="BA46" s="3">
        <f t="shared" si="8"/>
        <v>5.6624280000000002</v>
      </c>
      <c r="BC46" s="3">
        <v>9.2190252495595999</v>
      </c>
      <c r="BE46" s="3">
        <f t="shared" si="9"/>
        <v>90.72542675159238</v>
      </c>
      <c r="BF46" s="3">
        <f t="shared" si="23"/>
        <v>89.263464100611912</v>
      </c>
      <c r="BG46" s="3">
        <f t="shared" si="24"/>
        <v>29.304312840764339</v>
      </c>
      <c r="BH46" s="3">
        <f t="shared" si="10"/>
        <v>61.421113910828041</v>
      </c>
      <c r="BI46" s="7">
        <f t="shared" si="11"/>
        <v>59.959151259847573</v>
      </c>
      <c r="BJ46" s="3">
        <f t="shared" si="12"/>
        <v>31.960299705081958</v>
      </c>
      <c r="BK46" s="9">
        <v>0</v>
      </c>
      <c r="BL46" s="9">
        <v>0</v>
      </c>
      <c r="BM46" s="9">
        <v>0</v>
      </c>
      <c r="BN46" s="45">
        <v>1</v>
      </c>
      <c r="BO46" s="9"/>
      <c r="BP46" s="3">
        <f t="shared" si="13"/>
        <v>107.00803481188591</v>
      </c>
      <c r="BQ46" s="3">
        <f t="shared" si="14"/>
        <v>105.28369185918605</v>
      </c>
    </row>
    <row r="47" spans="1:69">
      <c r="A47">
        <v>1968</v>
      </c>
      <c r="B47" s="3">
        <f t="shared" si="15"/>
        <v>59.444406777716871</v>
      </c>
      <c r="C47" s="3">
        <f t="shared" si="0"/>
        <v>15.950346083448959</v>
      </c>
      <c r="D47" s="1">
        <v>41.179400000000001</v>
      </c>
      <c r="E47" s="3">
        <v>22.826969999999999</v>
      </c>
      <c r="F47" s="3">
        <f t="shared" si="16"/>
        <v>9.4000092841799994</v>
      </c>
      <c r="G47" s="2">
        <v>0.89890000000000003</v>
      </c>
      <c r="H47" s="3">
        <f t="shared" si="17"/>
        <v>8.4496683455494015</v>
      </c>
      <c r="I47" s="3">
        <v>8.5229999999999997</v>
      </c>
      <c r="J47" s="3"/>
      <c r="N47">
        <v>0.89285699989285705</v>
      </c>
      <c r="T47">
        <v>1968</v>
      </c>
      <c r="U47" s="1">
        <v>41.179400000000001</v>
      </c>
      <c r="V47" s="3">
        <v>22.826969999999999</v>
      </c>
      <c r="W47" s="3">
        <f t="shared" si="18"/>
        <v>9.4000092841799994</v>
      </c>
      <c r="X47">
        <v>0.89285699989285705</v>
      </c>
      <c r="Y47" s="3">
        <f t="shared" si="19"/>
        <v>8.3928640884379568</v>
      </c>
      <c r="Z47" s="3">
        <f t="shared" si="20"/>
        <v>8.5229999999999997</v>
      </c>
      <c r="AA47" s="3">
        <f t="shared" si="1"/>
        <v>5.7700709999999997</v>
      </c>
      <c r="AB47" s="3"/>
      <c r="AC47" s="2">
        <f t="shared" si="21"/>
        <v>0.89285699989285705</v>
      </c>
      <c r="AD47" s="6">
        <f>USA!Z55*Australia!AC47</f>
        <v>2.946428099646428</v>
      </c>
      <c r="AI47" s="6">
        <f>Z47*AK47</f>
        <v>2.752929</v>
      </c>
      <c r="AJ47" s="7">
        <f t="shared" si="2"/>
        <v>2.7108951005654602</v>
      </c>
      <c r="AK47" s="6">
        <v>0.32300000000000001</v>
      </c>
      <c r="AL47" s="7"/>
      <c r="AM47" s="7"/>
      <c r="AN47" s="7"/>
      <c r="AO47" s="7"/>
      <c r="AP47" s="3">
        <f t="shared" si="22"/>
        <v>16.295161342831694</v>
      </c>
      <c r="AQ47" s="3">
        <v>16.894149999999996</v>
      </c>
      <c r="AS47" s="3">
        <f t="shared" si="3"/>
        <v>5.699357099646428</v>
      </c>
      <c r="AU47" s="9">
        <v>1968</v>
      </c>
      <c r="AV47" s="3">
        <f t="shared" si="4"/>
        <v>8.5229999999999997</v>
      </c>
      <c r="AW47" s="3">
        <f t="shared" si="5"/>
        <v>2.752929</v>
      </c>
      <c r="AX47" s="3">
        <f t="shared" si="6"/>
        <v>0</v>
      </c>
      <c r="AY47" s="3">
        <f t="shared" si="7"/>
        <v>0</v>
      </c>
      <c r="AZ47" s="3">
        <f>AI47</f>
        <v>2.752929</v>
      </c>
      <c r="BA47" s="3">
        <f t="shared" si="8"/>
        <v>5.7700709999999997</v>
      </c>
      <c r="BC47" s="3">
        <v>9.5713446858485032</v>
      </c>
      <c r="BE47" s="3">
        <f t="shared" si="9"/>
        <v>89.047049079754586</v>
      </c>
      <c r="BF47" s="3">
        <f t="shared" si="23"/>
        <v>88.080781932502802</v>
      </c>
      <c r="BG47" s="3">
        <f t="shared" si="24"/>
        <v>28.762196852760734</v>
      </c>
      <c r="BH47" s="3">
        <f t="shared" si="10"/>
        <v>60.284852226993848</v>
      </c>
      <c r="BI47" s="7">
        <f t="shared" si="11"/>
        <v>59.318585079742071</v>
      </c>
      <c r="BJ47" s="3">
        <f t="shared" si="12"/>
        <v>30.783846955201639</v>
      </c>
      <c r="BK47" s="9">
        <v>0</v>
      </c>
      <c r="BL47" s="9">
        <v>0</v>
      </c>
      <c r="BM47" s="9">
        <v>0</v>
      </c>
      <c r="BN47" s="45">
        <v>1</v>
      </c>
      <c r="BO47" s="9"/>
      <c r="BP47" s="3">
        <f t="shared" si="13"/>
        <v>105.02843655849594</v>
      </c>
      <c r="BQ47" s="3">
        <f t="shared" si="14"/>
        <v>103.88875221384353</v>
      </c>
    </row>
    <row r="48" spans="1:69">
      <c r="A48">
        <v>1969</v>
      </c>
      <c r="B48" s="3">
        <f t="shared" si="15"/>
        <v>57.055869418094197</v>
      </c>
      <c r="C48" s="3">
        <f t="shared" si="0"/>
        <v>16.814008114047141</v>
      </c>
      <c r="D48" s="1">
        <v>39.479700000000001</v>
      </c>
      <c r="E48" s="3">
        <v>24.06298</v>
      </c>
      <c r="F48" s="3">
        <f t="shared" si="16"/>
        <v>9.4999923150600001</v>
      </c>
      <c r="G48" s="2">
        <v>0.90010000000000001</v>
      </c>
      <c r="H48" s="3">
        <f t="shared" si="17"/>
        <v>8.5509430827855066</v>
      </c>
      <c r="I48" s="3">
        <v>8.6349999999999998</v>
      </c>
      <c r="J48" s="3"/>
      <c r="N48">
        <v>0.89285699989285705</v>
      </c>
      <c r="T48">
        <v>1969</v>
      </c>
      <c r="U48" s="1">
        <v>39.479700000000001</v>
      </c>
      <c r="V48" s="3">
        <v>24.06298</v>
      </c>
      <c r="W48" s="3">
        <f t="shared" si="18"/>
        <v>9.4999923150600001</v>
      </c>
      <c r="X48">
        <v>0.89285699989285705</v>
      </c>
      <c r="Y48" s="3">
        <f t="shared" si="19"/>
        <v>8.4821346374296684</v>
      </c>
      <c r="Z48" s="3">
        <f t="shared" si="20"/>
        <v>8.6349999999999998</v>
      </c>
      <c r="AA48" s="3">
        <f t="shared" si="1"/>
        <v>5.8890700000000002</v>
      </c>
      <c r="AB48" s="3"/>
      <c r="AC48" s="2">
        <f t="shared" si="21"/>
        <v>0.89285699989285705</v>
      </c>
      <c r="AD48" s="6">
        <f>USA!Z56*Australia!AC48</f>
        <v>2.946428099646428</v>
      </c>
      <c r="AI48" s="6">
        <f>Z48*AK48</f>
        <v>2.74593</v>
      </c>
      <c r="AJ48" s="7">
        <f t="shared" si="2"/>
        <v>2.6973188147026348</v>
      </c>
      <c r="AK48" s="6">
        <v>0.318</v>
      </c>
      <c r="AL48" s="7"/>
      <c r="AM48" s="7"/>
      <c r="AN48" s="7"/>
      <c r="AO48" s="7"/>
      <c r="AP48" s="3">
        <f t="shared" si="22"/>
        <v>15.774271656426917</v>
      </c>
      <c r="AQ48" s="3">
        <v>17.40765</v>
      </c>
      <c r="AS48" s="3">
        <f t="shared" si="3"/>
        <v>5.6923580996464285</v>
      </c>
      <c r="AU48" s="9">
        <v>1969</v>
      </c>
      <c r="AV48" s="3">
        <f t="shared" si="4"/>
        <v>8.6349999999999998</v>
      </c>
      <c r="AW48" s="3">
        <f>AZ48</f>
        <v>2.74593</v>
      </c>
      <c r="AX48" s="3">
        <f t="shared" si="6"/>
        <v>0</v>
      </c>
      <c r="AY48" s="3">
        <f t="shared" si="7"/>
        <v>0</v>
      </c>
      <c r="AZ48" s="3">
        <f>AI48</f>
        <v>2.74593</v>
      </c>
      <c r="BA48" s="3">
        <f t="shared" si="8"/>
        <v>5.8890700000000002</v>
      </c>
      <c r="BC48" s="3">
        <v>9.8062243100411042</v>
      </c>
      <c r="BE48" s="3">
        <f t="shared" si="9"/>
        <v>88.05631736526945</v>
      </c>
      <c r="BF48" s="3">
        <f t="shared" si="23"/>
        <v>86.91902138602326</v>
      </c>
      <c r="BG48" s="3">
        <f t="shared" si="24"/>
        <v>28.001908922155689</v>
      </c>
      <c r="BH48" s="3">
        <f t="shared" si="10"/>
        <v>60.054408443113758</v>
      </c>
      <c r="BI48" s="7">
        <f t="shared" si="11"/>
        <v>58.917112463867568</v>
      </c>
      <c r="BJ48" s="3">
        <f t="shared" si="12"/>
        <v>30.046509303580045</v>
      </c>
      <c r="BK48" s="9">
        <v>0</v>
      </c>
      <c r="BL48" s="9">
        <v>0</v>
      </c>
      <c r="BM48" s="9">
        <v>0</v>
      </c>
      <c r="BN48" s="45">
        <v>1</v>
      </c>
      <c r="BO48" s="9"/>
      <c r="BP48" s="3">
        <f t="shared" si="13"/>
        <v>103.85989695952399</v>
      </c>
      <c r="BQ48" s="3">
        <f t="shared" si="14"/>
        <v>102.51848902025014</v>
      </c>
    </row>
    <row r="49" spans="1:69">
      <c r="A49">
        <v>1970</v>
      </c>
      <c r="B49" s="3">
        <f t="shared" si="15"/>
        <v>57.530935276684552</v>
      </c>
      <c r="C49" s="3">
        <f t="shared" si="0"/>
        <v>17.805240938511318</v>
      </c>
      <c r="D49" s="1">
        <v>41.206299999999999</v>
      </c>
      <c r="E49" s="3">
        <v>25.481560000000002</v>
      </c>
      <c r="F49" s="3">
        <f t="shared" si="16"/>
        <v>10.500008058280001</v>
      </c>
      <c r="G49" s="2">
        <v>0.89285699989285705</v>
      </c>
      <c r="H49" s="3">
        <f t="shared" si="17"/>
        <v>9.3750056937667043</v>
      </c>
      <c r="I49" s="3">
        <v>9.1460000000000008</v>
      </c>
      <c r="J49" s="3"/>
      <c r="N49">
        <v>0.89285699989285705</v>
      </c>
      <c r="T49">
        <v>1970</v>
      </c>
      <c r="U49" s="1">
        <v>41.206299999999999</v>
      </c>
      <c r="V49" s="3">
        <v>25.481560000000002</v>
      </c>
      <c r="W49" s="3">
        <f t="shared" si="18"/>
        <v>10.500008058280001</v>
      </c>
      <c r="X49">
        <v>0.89285699989285705</v>
      </c>
      <c r="Y49" s="3">
        <f t="shared" si="19"/>
        <v>9.3750056937667043</v>
      </c>
      <c r="Z49" s="3">
        <f t="shared" si="20"/>
        <v>9.1460000000000008</v>
      </c>
      <c r="AA49" s="3">
        <f t="shared" si="1"/>
        <v>6.1060000000000008</v>
      </c>
      <c r="AB49" s="3"/>
      <c r="AC49" s="2">
        <f t="shared" si="21"/>
        <v>0.89285699989285705</v>
      </c>
      <c r="AD49" s="6">
        <f>USA!Z57*Australia!AC49</f>
        <v>2.9910709496410712</v>
      </c>
      <c r="AF49" s="3">
        <v>3.04</v>
      </c>
      <c r="AG49" s="3">
        <v>0</v>
      </c>
      <c r="AH49" s="3">
        <v>0</v>
      </c>
      <c r="AI49" s="3">
        <f>SUM(AF49:AH49)</f>
        <v>3.04</v>
      </c>
      <c r="AJ49" s="7">
        <f t="shared" si="2"/>
        <v>3.04</v>
      </c>
      <c r="AK49" s="3">
        <f t="shared" ref="AK49:AK77" si="25">AI49/Y49</f>
        <v>0.32426646972825296</v>
      </c>
      <c r="AL49" s="7"/>
      <c r="AM49" s="7"/>
      <c r="AN49" s="7"/>
      <c r="AO49" s="7"/>
      <c r="AP49" s="3">
        <f t="shared" si="22"/>
        <v>16.842548488118108</v>
      </c>
      <c r="AQ49" s="3">
        <v>18.049524999999999</v>
      </c>
      <c r="AS49" s="3">
        <f t="shared" si="3"/>
        <v>6.0310709496410713</v>
      </c>
      <c r="AU49" s="9">
        <v>1970</v>
      </c>
      <c r="AV49" s="3">
        <f t="shared" si="4"/>
        <v>9.1460000000000008</v>
      </c>
      <c r="AW49" s="3">
        <f>AF49</f>
        <v>3.04</v>
      </c>
      <c r="AX49" s="3">
        <f t="shared" ref="AX49:AY49" si="26">AG49</f>
        <v>0</v>
      </c>
      <c r="AY49" s="3">
        <f t="shared" si="26"/>
        <v>0</v>
      </c>
      <c r="AZ49" s="3">
        <f>SUM(AW49:AY49)</f>
        <v>3.04</v>
      </c>
      <c r="BA49" s="3">
        <f t="shared" si="8"/>
        <v>6.1060000000000008</v>
      </c>
      <c r="BC49" s="3">
        <v>10.099823840281855</v>
      </c>
      <c r="BE49" s="3">
        <f t="shared" si="9"/>
        <v>90.55603488372094</v>
      </c>
      <c r="BF49" s="3">
        <f t="shared" si="23"/>
        <v>88.781738830781549</v>
      </c>
      <c r="BG49" s="3">
        <f t="shared" si="24"/>
        <v>30.099534883720931</v>
      </c>
      <c r="BH49" s="3">
        <f t="shared" si="10"/>
        <v>60.456500000000005</v>
      </c>
      <c r="BI49" s="7">
        <f t="shared" si="11"/>
        <v>58.682203947060621</v>
      </c>
      <c r="BJ49" s="3">
        <f t="shared" si="12"/>
        <v>29.615080390922934</v>
      </c>
      <c r="BK49" s="9">
        <v>0</v>
      </c>
      <c r="BL49" s="9">
        <v>0</v>
      </c>
      <c r="BM49" s="9">
        <v>0</v>
      </c>
      <c r="BN49" s="45">
        <v>1</v>
      </c>
      <c r="BO49" s="9"/>
      <c r="BP49" s="3">
        <f t="shared" si="13"/>
        <v>106.80824196942656</v>
      </c>
      <c r="BQ49" s="3">
        <f t="shared" si="14"/>
        <v>104.71551074073386</v>
      </c>
    </row>
    <row r="50" spans="1:69">
      <c r="A50">
        <v>1971</v>
      </c>
      <c r="B50" s="3">
        <f t="shared" si="15"/>
        <v>59.944973328454871</v>
      </c>
      <c r="C50" s="3">
        <f t="shared" si="0"/>
        <v>18.563021376325832</v>
      </c>
      <c r="D50" s="1">
        <v>41.782699999999998</v>
      </c>
      <c r="E50" s="3">
        <v>26.566040000000001</v>
      </c>
      <c r="F50" s="3">
        <f t="shared" si="16"/>
        <v>11.100008795080001</v>
      </c>
      <c r="G50" s="2">
        <v>0.88267025929554799</v>
      </c>
      <c r="H50" s="3">
        <f t="shared" si="17"/>
        <v>9.7976476413361269</v>
      </c>
      <c r="I50" s="3">
        <v>9.8219999999999992</v>
      </c>
      <c r="J50" s="3"/>
      <c r="N50">
        <v>0.88267025929554799</v>
      </c>
      <c r="T50">
        <v>1971</v>
      </c>
      <c r="U50" s="1">
        <v>41.782699999999998</v>
      </c>
      <c r="V50" s="3">
        <v>26.566040000000001</v>
      </c>
      <c r="W50" s="3">
        <f t="shared" si="18"/>
        <v>11.100008795080001</v>
      </c>
      <c r="X50">
        <v>0.88267025929554799</v>
      </c>
      <c r="Y50" s="3">
        <f t="shared" si="19"/>
        <v>9.7976476413361269</v>
      </c>
      <c r="Z50" s="3">
        <f t="shared" si="20"/>
        <v>9.8219999999999992</v>
      </c>
      <c r="AA50" s="3">
        <f t="shared" si="1"/>
        <v>6.2319999999999993</v>
      </c>
      <c r="AB50" s="3"/>
      <c r="AC50" s="2">
        <f t="shared" si="21"/>
        <v>0.88267025929554799</v>
      </c>
      <c r="AD50" s="6">
        <f>USA!Z58*Australia!AC50</f>
        <v>3.1423061230921507</v>
      </c>
      <c r="AF50" s="3">
        <v>3.59</v>
      </c>
      <c r="AG50" s="3">
        <v>0</v>
      </c>
      <c r="AH50" s="3">
        <v>0</v>
      </c>
      <c r="AI50" s="3">
        <f t="shared" ref="AI50:AI97" si="27">SUM(AF50:AH50)</f>
        <v>3.59</v>
      </c>
      <c r="AJ50" s="7">
        <f t="shared" si="2"/>
        <v>3.59</v>
      </c>
      <c r="AK50" s="3">
        <f t="shared" si="25"/>
        <v>0.36641448349845163</v>
      </c>
      <c r="AL50" s="7"/>
      <c r="AM50" s="7"/>
      <c r="AN50" s="7"/>
      <c r="AO50" s="7"/>
      <c r="AP50" s="3">
        <f t="shared" si="22"/>
        <v>18.768420433529595</v>
      </c>
      <c r="AQ50" s="3">
        <v>19.127875000000003</v>
      </c>
      <c r="AS50" s="3">
        <f t="shared" si="3"/>
        <v>6.732306123092151</v>
      </c>
      <c r="AU50" s="9">
        <v>1971</v>
      </c>
      <c r="AV50" s="3">
        <f t="shared" si="4"/>
        <v>9.8219999999999992</v>
      </c>
      <c r="AW50" s="3">
        <f t="shared" ref="AW50:AW97" si="28">AF50</f>
        <v>3.59</v>
      </c>
      <c r="AX50" s="3">
        <f t="shared" ref="AX50:AX97" si="29">AG50</f>
        <v>0</v>
      </c>
      <c r="AY50" s="3">
        <f t="shared" ref="AY50:AY97" si="30">AH50</f>
        <v>0</v>
      </c>
      <c r="AZ50" s="3">
        <f t="shared" ref="AZ50:AZ97" si="31">SUM(AW50:AY50)</f>
        <v>3.59</v>
      </c>
      <c r="BA50" s="3">
        <f t="shared" si="8"/>
        <v>6.2319999999999993</v>
      </c>
      <c r="BC50" s="3">
        <v>10.569583088667057</v>
      </c>
      <c r="BE50" s="3">
        <f t="shared" si="9"/>
        <v>92.927033333333327</v>
      </c>
      <c r="BF50" s="3">
        <f t="shared" si="23"/>
        <v>92.710006026604972</v>
      </c>
      <c r="BG50" s="3">
        <f t="shared" si="24"/>
        <v>33.965388888888896</v>
      </c>
      <c r="BH50" s="3">
        <f t="shared" si="10"/>
        <v>58.961644444444431</v>
      </c>
      <c r="BI50" s="7">
        <f t="shared" si="11"/>
        <v>58.744617137716077</v>
      </c>
      <c r="BJ50" s="3">
        <f t="shared" si="12"/>
        <v>29.729707375699626</v>
      </c>
      <c r="BK50" s="9">
        <v>0</v>
      </c>
      <c r="BL50" s="9">
        <v>0</v>
      </c>
      <c r="BM50" s="9">
        <v>0</v>
      </c>
      <c r="BN50" s="45">
        <v>1</v>
      </c>
      <c r="BO50" s="9"/>
      <c r="BP50" s="3">
        <f t="shared" si="13"/>
        <v>109.60476653502303</v>
      </c>
      <c r="BQ50" s="3">
        <f t="shared" si="14"/>
        <v>109.34878906073564</v>
      </c>
    </row>
    <row r="51" spans="1:69">
      <c r="A51">
        <v>1972</v>
      </c>
      <c r="B51" s="3">
        <f t="shared" si="15"/>
        <v>62.785200051748973</v>
      </c>
      <c r="C51" s="3">
        <f t="shared" si="0"/>
        <v>19.17664269444656</v>
      </c>
      <c r="D51" s="1">
        <v>43.287799999999997</v>
      </c>
      <c r="E51" s="3">
        <v>27.444210000000002</v>
      </c>
      <c r="F51" s="3">
        <f t="shared" si="16"/>
        <v>11.879994736379999</v>
      </c>
      <c r="G51" s="2">
        <v>0.838697807262207</v>
      </c>
      <c r="H51" s="3">
        <f t="shared" si="17"/>
        <v>9.9637255356884662</v>
      </c>
      <c r="I51" s="3">
        <v>10.098000000000001</v>
      </c>
      <c r="J51" s="3"/>
      <c r="N51">
        <v>0.838697807262207</v>
      </c>
      <c r="T51">
        <v>1972</v>
      </c>
      <c r="U51" s="1">
        <v>43.287799999999997</v>
      </c>
      <c r="V51" s="3">
        <v>27.444210000000002</v>
      </c>
      <c r="W51" s="3">
        <f t="shared" si="18"/>
        <v>11.879994736379999</v>
      </c>
      <c r="X51">
        <v>0.838697807262207</v>
      </c>
      <c r="Y51" s="3">
        <f t="shared" si="19"/>
        <v>9.9637255356884662</v>
      </c>
      <c r="Z51" s="3">
        <f t="shared" si="20"/>
        <v>10.098000000000001</v>
      </c>
      <c r="AA51" s="3">
        <f t="shared" si="1"/>
        <v>6.2880000000000003</v>
      </c>
      <c r="AB51" s="3"/>
      <c r="AC51" s="2">
        <f t="shared" si="21"/>
        <v>0.838697807262207</v>
      </c>
      <c r="AD51" s="6">
        <f>USA!Z59*Australia!AC51</f>
        <v>2.9857641938534569</v>
      </c>
      <c r="AF51" s="3">
        <v>3.81</v>
      </c>
      <c r="AG51" s="3">
        <v>0</v>
      </c>
      <c r="AH51" s="3">
        <v>0</v>
      </c>
      <c r="AI51" s="3">
        <f t="shared" si="27"/>
        <v>3.81</v>
      </c>
      <c r="AJ51" s="7">
        <f t="shared" si="2"/>
        <v>3.8100000000000005</v>
      </c>
      <c r="AK51" s="3">
        <f t="shared" si="25"/>
        <v>0.38238708868015198</v>
      </c>
      <c r="AL51" s="7"/>
      <c r="AM51" s="7"/>
      <c r="AN51" s="7"/>
      <c r="AO51" s="7"/>
      <c r="AP51" s="3">
        <f t="shared" si="22"/>
        <v>18.783971996598179</v>
      </c>
      <c r="AQ51" s="3">
        <v>20.283249999999999</v>
      </c>
      <c r="AS51" s="3">
        <f t="shared" si="3"/>
        <v>6.795764193853457</v>
      </c>
      <c r="AU51" s="9">
        <v>1972</v>
      </c>
      <c r="AV51" s="3">
        <f t="shared" si="4"/>
        <v>10.098000000000001</v>
      </c>
      <c r="AW51" s="3">
        <f t="shared" si="28"/>
        <v>3.81</v>
      </c>
      <c r="AX51" s="3">
        <f t="shared" si="29"/>
        <v>0</v>
      </c>
      <c r="AY51" s="3">
        <f t="shared" si="30"/>
        <v>0</v>
      </c>
      <c r="AZ51" s="3">
        <f t="shared" si="31"/>
        <v>3.81</v>
      </c>
      <c r="BA51" s="3">
        <f t="shared" si="8"/>
        <v>6.2880000000000003</v>
      </c>
      <c r="BC51" s="3">
        <v>11.332941867293012</v>
      </c>
      <c r="BE51" s="3">
        <f t="shared" si="9"/>
        <v>89.103077720207253</v>
      </c>
      <c r="BF51" s="3">
        <f t="shared" si="23"/>
        <v>90.520971385141792</v>
      </c>
      <c r="BG51" s="3">
        <f t="shared" si="24"/>
        <v>33.618808290155435</v>
      </c>
      <c r="BH51" s="3">
        <f t="shared" si="10"/>
        <v>55.484269430051818</v>
      </c>
      <c r="BI51" s="7">
        <f t="shared" si="11"/>
        <v>56.902163094986349</v>
      </c>
      <c r="BJ51" s="3">
        <f t="shared" si="12"/>
        <v>26.345888197577395</v>
      </c>
      <c r="BK51" s="9">
        <v>0</v>
      </c>
      <c r="BL51" s="9">
        <v>0</v>
      </c>
      <c r="BM51" s="9">
        <v>0</v>
      </c>
      <c r="BN51" s="45">
        <v>1</v>
      </c>
      <c r="BO51" s="9"/>
      <c r="BP51" s="3">
        <f t="shared" si="13"/>
        <v>105.09452073051574</v>
      </c>
      <c r="BQ51" s="3">
        <f t="shared" si="14"/>
        <v>106.76688558003357</v>
      </c>
    </row>
    <row r="52" spans="1:69">
      <c r="A52">
        <v>1973</v>
      </c>
      <c r="B52" s="3">
        <f t="shared" si="15"/>
        <v>76.358119525365197</v>
      </c>
      <c r="C52" s="3">
        <f t="shared" si="0"/>
        <v>20.369443941469338</v>
      </c>
      <c r="D52" s="1">
        <v>49.397500000000001</v>
      </c>
      <c r="E52" s="3">
        <v>29.151260000000001</v>
      </c>
      <c r="F52" s="3">
        <f t="shared" si="16"/>
        <v>14.3999936585</v>
      </c>
      <c r="G52" s="2">
        <v>0.70349710157742595</v>
      </c>
      <c r="H52" s="3">
        <f t="shared" si="17"/>
        <v>10.130353801488065</v>
      </c>
      <c r="I52" s="3">
        <v>10.942</v>
      </c>
      <c r="J52" s="3"/>
      <c r="N52">
        <v>0.70349710157742595</v>
      </c>
      <c r="T52">
        <v>1973</v>
      </c>
      <c r="U52" s="1">
        <v>49.397500000000001</v>
      </c>
      <c r="V52" s="3">
        <v>29.151260000000001</v>
      </c>
      <c r="W52" s="3">
        <f t="shared" si="18"/>
        <v>14.3999936585</v>
      </c>
      <c r="X52">
        <v>0.70349710157742595</v>
      </c>
      <c r="Y52" s="3">
        <f t="shared" si="19"/>
        <v>10.130353801488065</v>
      </c>
      <c r="Z52" s="3">
        <f t="shared" si="20"/>
        <v>10.942</v>
      </c>
      <c r="AA52" s="3">
        <f t="shared" si="1"/>
        <v>6.5819999999999999</v>
      </c>
      <c r="AB52" s="3"/>
      <c r="AC52" s="2">
        <f t="shared" si="21"/>
        <v>0.70349710157742595</v>
      </c>
      <c r="AD52" s="6">
        <f>USA!Z60*Australia!AC52</f>
        <v>2.7225337831046383</v>
      </c>
      <c r="AF52" s="3">
        <v>4.3600000000000003</v>
      </c>
      <c r="AG52" s="3">
        <v>0</v>
      </c>
      <c r="AH52" s="3">
        <v>0</v>
      </c>
      <c r="AI52" s="3">
        <f t="shared" si="27"/>
        <v>4.3600000000000003</v>
      </c>
      <c r="AJ52" s="7">
        <f t="shared" si="2"/>
        <v>4.3600000000000003</v>
      </c>
      <c r="AK52" s="3">
        <f t="shared" si="25"/>
        <v>0.43038970656282038</v>
      </c>
      <c r="AL52" s="7"/>
      <c r="AM52" s="7"/>
      <c r="AN52" s="7"/>
      <c r="AO52" s="7"/>
      <c r="AP52" s="3">
        <f t="shared" si="22"/>
        <v>19.677287964246911</v>
      </c>
      <c r="AQ52" s="3">
        <v>22.157525</v>
      </c>
      <c r="AS52" s="3">
        <f t="shared" si="3"/>
        <v>7.0825337831046387</v>
      </c>
      <c r="AU52" s="9">
        <v>1973</v>
      </c>
      <c r="AV52" s="3">
        <f t="shared" si="4"/>
        <v>10.942</v>
      </c>
      <c r="AW52" s="3">
        <f t="shared" si="28"/>
        <v>4.3600000000000003</v>
      </c>
      <c r="AX52" s="3">
        <f t="shared" si="29"/>
        <v>0</v>
      </c>
      <c r="AY52" s="3">
        <f t="shared" si="30"/>
        <v>0</v>
      </c>
      <c r="AZ52" s="3">
        <f t="shared" si="31"/>
        <v>4.3600000000000003</v>
      </c>
      <c r="BA52" s="3">
        <f t="shared" si="8"/>
        <v>6.5819999999999999</v>
      </c>
      <c r="BC52" s="3">
        <v>11.978860833822665</v>
      </c>
      <c r="BE52" s="3">
        <f t="shared" si="9"/>
        <v>91.344245098039224</v>
      </c>
      <c r="BF52" s="3">
        <f t="shared" si="23"/>
        <v>91.329613238815185</v>
      </c>
      <c r="BG52" s="3">
        <f t="shared" si="24"/>
        <v>36.397450980392158</v>
      </c>
      <c r="BH52" s="3">
        <f>BE52-BG52</f>
        <v>54.946794117647066</v>
      </c>
      <c r="BI52" s="7">
        <f t="shared" si="11"/>
        <v>54.932162258423027</v>
      </c>
      <c r="BJ52" s="3">
        <f t="shared" si="12"/>
        <v>22.72781878738823</v>
      </c>
      <c r="BK52" s="9">
        <v>0</v>
      </c>
      <c r="BL52" s="9">
        <v>0</v>
      </c>
      <c r="BM52" s="9">
        <v>0</v>
      </c>
      <c r="BN52" s="45">
        <v>1</v>
      </c>
      <c r="BO52" s="9"/>
      <c r="BP52" s="3">
        <f t="shared" si="13"/>
        <v>107.73791327627852</v>
      </c>
      <c r="BQ52" s="3">
        <f t="shared" si="14"/>
        <v>107.72065541861646</v>
      </c>
    </row>
    <row r="53" spans="1:69">
      <c r="A53">
        <v>1974</v>
      </c>
      <c r="B53" s="3">
        <f t="shared" si="15"/>
        <v>81.806584401905653</v>
      </c>
      <c r="C53" s="3">
        <f t="shared" si="0"/>
        <v>22.617266903639468</v>
      </c>
      <c r="D53" s="1">
        <v>45.229599999999998</v>
      </c>
      <c r="E53" s="3">
        <v>32.368180000000002</v>
      </c>
      <c r="F53" s="3">
        <f t="shared" si="16"/>
        <v>14.63999834128</v>
      </c>
      <c r="G53" s="2">
        <v>0.69666586863809599</v>
      </c>
      <c r="H53" s="3">
        <f t="shared" si="17"/>
        <v>10.199187161288116</v>
      </c>
      <c r="I53" s="3">
        <v>12.89</v>
      </c>
      <c r="J53" s="3"/>
      <c r="N53">
        <v>0.69666586863809599</v>
      </c>
      <c r="T53">
        <v>1974</v>
      </c>
      <c r="U53" s="1">
        <v>45.229599999999998</v>
      </c>
      <c r="V53" s="3">
        <v>32.368180000000002</v>
      </c>
      <c r="W53" s="3">
        <f t="shared" si="18"/>
        <v>14.63999834128</v>
      </c>
      <c r="X53">
        <v>0.69666586863809599</v>
      </c>
      <c r="Y53" s="3">
        <f t="shared" si="19"/>
        <v>10.199187161288116</v>
      </c>
      <c r="Z53" s="3">
        <f t="shared" si="20"/>
        <v>12.89</v>
      </c>
      <c r="AA53" s="3">
        <f t="shared" si="1"/>
        <v>7.98</v>
      </c>
      <c r="AB53" s="3"/>
      <c r="AC53" s="2">
        <f t="shared" si="21"/>
        <v>0.69666586863809599</v>
      </c>
      <c r="AD53" s="6">
        <f>USA!Z61*Australia!AC53</f>
        <v>8.5550568668758178</v>
      </c>
      <c r="AF53" s="3">
        <v>4.91</v>
      </c>
      <c r="AG53" s="3">
        <v>0</v>
      </c>
      <c r="AH53" s="3">
        <v>0</v>
      </c>
      <c r="AI53" s="3">
        <f t="shared" si="27"/>
        <v>4.91</v>
      </c>
      <c r="AJ53" s="7">
        <f t="shared" si="2"/>
        <v>4.91</v>
      </c>
      <c r="AK53" s="3">
        <f t="shared" si="25"/>
        <v>0.48141091268883895</v>
      </c>
      <c r="AL53" s="7"/>
      <c r="AM53" s="7"/>
      <c r="AN53" s="7"/>
      <c r="AO53" s="7"/>
      <c r="AP53" s="3">
        <f t="shared" si="22"/>
        <v>19.143645458218121</v>
      </c>
      <c r="AQ53" s="3">
        <v>25.648197521816307</v>
      </c>
      <c r="AS53" s="3">
        <f t="shared" si="3"/>
        <v>13.465056866875818</v>
      </c>
      <c r="AU53" s="9">
        <v>1974</v>
      </c>
      <c r="AV53" s="3">
        <f t="shared" si="4"/>
        <v>12.89</v>
      </c>
      <c r="AW53" s="3">
        <f t="shared" si="28"/>
        <v>4.91</v>
      </c>
      <c r="AX53" s="3">
        <f t="shared" si="29"/>
        <v>0</v>
      </c>
      <c r="AY53" s="3">
        <f t="shared" si="30"/>
        <v>0</v>
      </c>
      <c r="AZ53" s="3">
        <f t="shared" si="31"/>
        <v>4.91</v>
      </c>
      <c r="BA53" s="3">
        <f t="shared" si="8"/>
        <v>7.98</v>
      </c>
      <c r="BC53" s="3">
        <v>13.564298297122724</v>
      </c>
      <c r="BE53" s="3">
        <f t="shared" si="9"/>
        <v>95.028874458874469</v>
      </c>
      <c r="BF53" s="3">
        <f t="shared" si="23"/>
        <v>103.08816877498111</v>
      </c>
      <c r="BG53" s="3">
        <f t="shared" si="24"/>
        <v>36.197965367965374</v>
      </c>
      <c r="BH53" s="3">
        <f t="shared" ref="BH53:BH96" si="32">BE53-BG53</f>
        <v>58.830909090909095</v>
      </c>
      <c r="BI53" s="7">
        <f t="shared" si="11"/>
        <v>66.890203407015747</v>
      </c>
      <c r="BJ53" s="3">
        <f t="shared" si="12"/>
        <v>63.07039759432692</v>
      </c>
      <c r="BK53" s="9">
        <v>0</v>
      </c>
      <c r="BL53" s="9">
        <v>0</v>
      </c>
      <c r="BM53" s="9">
        <v>0</v>
      </c>
      <c r="BN53" s="9">
        <v>0</v>
      </c>
      <c r="BO53" s="9"/>
      <c r="BP53" s="3">
        <f t="shared" si="13"/>
        <v>112.08382776828432</v>
      </c>
      <c r="BQ53" s="3">
        <f t="shared" si="14"/>
        <v>121.58953391501278</v>
      </c>
    </row>
    <row r="54" spans="1:69">
      <c r="A54">
        <v>1975</v>
      </c>
      <c r="B54" s="3">
        <f t="shared" si="15"/>
        <v>81.015681615978892</v>
      </c>
      <c r="C54" s="3">
        <f t="shared" si="0"/>
        <v>24.682660206706046</v>
      </c>
      <c r="D54" s="1">
        <v>39.746299999999998</v>
      </c>
      <c r="E54" s="3">
        <v>35.324019999999997</v>
      </c>
      <c r="F54" s="3">
        <f t="shared" si="16"/>
        <v>14.039990961259997</v>
      </c>
      <c r="G54" s="2">
        <v>0.76387124900000003</v>
      </c>
      <c r="H54" s="3">
        <f t="shared" si="17"/>
        <v>10.724745431526385</v>
      </c>
      <c r="I54" s="3">
        <v>15.275</v>
      </c>
      <c r="J54" s="3"/>
      <c r="N54">
        <v>0.76387124900000003</v>
      </c>
      <c r="T54">
        <v>1975</v>
      </c>
      <c r="U54" s="1">
        <v>39.746299999999998</v>
      </c>
      <c r="V54" s="3">
        <v>35.324019999999997</v>
      </c>
      <c r="W54" s="3">
        <f t="shared" si="18"/>
        <v>14.039990961259997</v>
      </c>
      <c r="X54">
        <v>0.76387124900000003</v>
      </c>
      <c r="Y54" s="3">
        <f t="shared" si="19"/>
        <v>10.724745431526385</v>
      </c>
      <c r="Z54" s="3">
        <f t="shared" si="20"/>
        <v>15.275</v>
      </c>
      <c r="AA54" s="3">
        <f t="shared" si="1"/>
        <v>10.365</v>
      </c>
      <c r="AB54" s="3"/>
      <c r="AC54" s="2">
        <f t="shared" si="21"/>
        <v>0.76387124900000003</v>
      </c>
      <c r="AD54" s="6">
        <f>USA!Z62*Australia!AC54</f>
        <v>9.6782487248300004</v>
      </c>
      <c r="AF54" s="3">
        <v>4.91</v>
      </c>
      <c r="AG54" s="3">
        <v>0</v>
      </c>
      <c r="AH54" s="3">
        <v>0</v>
      </c>
      <c r="AI54" s="3">
        <f t="shared" si="27"/>
        <v>4.91</v>
      </c>
      <c r="AJ54" s="7">
        <f t="shared" si="2"/>
        <v>4.91</v>
      </c>
      <c r="AK54" s="3">
        <f t="shared" si="25"/>
        <v>0.45781972461244619</v>
      </c>
      <c r="AL54" s="7"/>
      <c r="AM54" s="7"/>
      <c r="AN54" s="7"/>
      <c r="AO54" s="7"/>
      <c r="AP54" s="3">
        <f t="shared" si="22"/>
        <v>16.65746116071551</v>
      </c>
      <c r="AQ54" s="3">
        <v>29.476280644613517</v>
      </c>
      <c r="AS54" s="3">
        <f t="shared" si="3"/>
        <v>14.588248724830001</v>
      </c>
      <c r="AU54" s="9">
        <v>1975</v>
      </c>
      <c r="AV54" s="3">
        <f t="shared" si="4"/>
        <v>15.275</v>
      </c>
      <c r="AW54" s="3">
        <f t="shared" si="28"/>
        <v>4.91</v>
      </c>
      <c r="AX54" s="3">
        <f t="shared" si="29"/>
        <v>0</v>
      </c>
      <c r="AY54" s="3">
        <f t="shared" si="30"/>
        <v>0</v>
      </c>
      <c r="AZ54" s="3">
        <f t="shared" si="31"/>
        <v>4.91</v>
      </c>
      <c r="BA54" s="3">
        <f t="shared" si="8"/>
        <v>10.365</v>
      </c>
      <c r="BC54" s="3">
        <v>15.795654726952435</v>
      </c>
      <c r="BE54" s="3">
        <f t="shared" si="9"/>
        <v>96.703810408921939</v>
      </c>
      <c r="BF54" s="3">
        <f t="shared" si="23"/>
        <v>96.995269418113907</v>
      </c>
      <c r="BG54" s="3">
        <f t="shared" si="24"/>
        <v>31.084498141263943</v>
      </c>
      <c r="BH54" s="3">
        <f t="shared" si="32"/>
        <v>65.619312267657989</v>
      </c>
      <c r="BI54" s="7">
        <f t="shared" si="11"/>
        <v>65.910771276849971</v>
      </c>
      <c r="BJ54" s="3">
        <f t="shared" si="12"/>
        <v>61.271589510726741</v>
      </c>
      <c r="BK54" s="9">
        <v>0</v>
      </c>
      <c r="BL54" s="9">
        <v>0</v>
      </c>
      <c r="BM54" s="9">
        <v>0</v>
      </c>
      <c r="BN54" s="9">
        <v>0</v>
      </c>
      <c r="BO54" s="9"/>
      <c r="BP54" s="3">
        <f t="shared" si="13"/>
        <v>114.05936660968429</v>
      </c>
      <c r="BQ54" s="3">
        <f t="shared" si="14"/>
        <v>114.4031341390148</v>
      </c>
    </row>
    <row r="55" spans="1:69">
      <c r="A55">
        <v>1976</v>
      </c>
      <c r="B55" s="3">
        <f t="shared" si="15"/>
        <v>77.897896794671794</v>
      </c>
      <c r="C55" s="3">
        <f t="shared" si="0"/>
        <v>26.098712089869402</v>
      </c>
      <c r="D55" s="1">
        <v>42.858800000000002</v>
      </c>
      <c r="E55" s="3">
        <v>37.350569999999998</v>
      </c>
      <c r="F55" s="3">
        <f t="shared" si="16"/>
        <v>16.008006095159999</v>
      </c>
      <c r="G55" s="2">
        <v>0.81828408233333305</v>
      </c>
      <c r="H55" s="3">
        <f t="shared" si="17"/>
        <v>13.099096577564401</v>
      </c>
      <c r="I55" s="3">
        <v>16.635999999999999</v>
      </c>
      <c r="J55" s="3"/>
      <c r="N55">
        <v>0.81828408233333305</v>
      </c>
      <c r="T55">
        <v>1976</v>
      </c>
      <c r="U55" s="1">
        <v>42.858800000000002</v>
      </c>
      <c r="V55" s="3">
        <v>37.350569999999998</v>
      </c>
      <c r="W55" s="3">
        <f t="shared" si="18"/>
        <v>16.008006095159999</v>
      </c>
      <c r="X55">
        <v>0.81828408233333305</v>
      </c>
      <c r="Y55" s="3">
        <f t="shared" si="19"/>
        <v>13.099096577564401</v>
      </c>
      <c r="Z55" s="3">
        <f t="shared" si="20"/>
        <v>16.635999999999999</v>
      </c>
      <c r="AA55" s="3">
        <f t="shared" si="1"/>
        <v>11.725999999999999</v>
      </c>
      <c r="AB55" s="3"/>
      <c r="AC55" s="2">
        <f t="shared" si="21"/>
        <v>0.81828408233333305</v>
      </c>
      <c r="AD55" s="6">
        <f>USA!Z63*Australia!AC55</f>
        <v>10.899543976679997</v>
      </c>
      <c r="AF55" s="3">
        <v>4.91</v>
      </c>
      <c r="AG55" s="3">
        <v>0</v>
      </c>
      <c r="AH55" s="3">
        <v>0</v>
      </c>
      <c r="AI55" s="3">
        <f t="shared" si="27"/>
        <v>4.91</v>
      </c>
      <c r="AJ55" s="7">
        <f t="shared" si="2"/>
        <v>4.91</v>
      </c>
      <c r="AK55" s="3">
        <f t="shared" si="25"/>
        <v>0.37483501025632932</v>
      </c>
      <c r="AL55" s="7"/>
      <c r="AM55" s="7"/>
      <c r="AN55" s="7"/>
      <c r="AO55" s="7"/>
      <c r="AP55" s="3">
        <f t="shared" si="22"/>
        <v>14.669600174471903</v>
      </c>
      <c r="AQ55" s="3">
        <v>33.47057821347034</v>
      </c>
      <c r="AS55" s="3">
        <f t="shared" si="3"/>
        <v>15.809543976679997</v>
      </c>
      <c r="AU55" s="9">
        <v>1976</v>
      </c>
      <c r="AV55" s="3">
        <f t="shared" si="4"/>
        <v>16.635999999999999</v>
      </c>
      <c r="AW55" s="3">
        <f t="shared" si="28"/>
        <v>4.91</v>
      </c>
      <c r="AX55" s="3">
        <f t="shared" si="29"/>
        <v>0</v>
      </c>
      <c r="AY55" s="3">
        <f t="shared" si="30"/>
        <v>0</v>
      </c>
      <c r="AZ55" s="3">
        <f t="shared" si="31"/>
        <v>4.91</v>
      </c>
      <c r="BA55" s="3">
        <f t="shared" si="8"/>
        <v>11.725999999999999</v>
      </c>
      <c r="BC55" s="3">
        <v>17.850851438637697</v>
      </c>
      <c r="BE55" s="3">
        <f t="shared" si="9"/>
        <v>93.19443421052631</v>
      </c>
      <c r="BF55" s="3">
        <f t="shared" si="23"/>
        <v>93.30068672654285</v>
      </c>
      <c r="BG55" s="3">
        <f t="shared" si="24"/>
        <v>27.505690789473686</v>
      </c>
      <c r="BH55" s="7">
        <f t="shared" si="32"/>
        <v>65.688743421052621</v>
      </c>
      <c r="BI55" s="7">
        <f t="shared" si="11"/>
        <v>65.79499593706916</v>
      </c>
      <c r="BJ55" s="3">
        <f t="shared" si="12"/>
        <v>61.058958527256699</v>
      </c>
      <c r="BK55" s="9">
        <v>0</v>
      </c>
      <c r="BL55" s="9">
        <v>0</v>
      </c>
      <c r="BM55" s="9">
        <v>0</v>
      </c>
      <c r="BN55" s="9">
        <v>0</v>
      </c>
      <c r="BO55" s="9"/>
      <c r="BP55" s="3">
        <f t="shared" si="13"/>
        <v>109.9201581887183</v>
      </c>
      <c r="BQ55" s="3">
        <f t="shared" si="14"/>
        <v>110.04547997931047</v>
      </c>
    </row>
    <row r="56" spans="1:69">
      <c r="A56">
        <v>1977</v>
      </c>
      <c r="B56" s="3">
        <f t="shared" si="15"/>
        <v>70.27048293562062</v>
      </c>
      <c r="C56" s="3">
        <f t="shared" si="0"/>
        <v>27.791594761847083</v>
      </c>
      <c r="D56" s="1">
        <v>44.112499999999997</v>
      </c>
      <c r="E56" s="3">
        <v>39.773299999999999</v>
      </c>
      <c r="F56" s="3">
        <f t="shared" si="16"/>
        <v>17.544996962500001</v>
      </c>
      <c r="G56" s="2">
        <v>0.90182499900000002</v>
      </c>
      <c r="H56" s="3">
        <f t="shared" si="17"/>
        <v>15.822516868161566</v>
      </c>
      <c r="I56" s="3">
        <v>17.611999999999998</v>
      </c>
      <c r="J56" s="3"/>
      <c r="N56">
        <v>0.90182499900000002</v>
      </c>
      <c r="T56">
        <v>1977</v>
      </c>
      <c r="U56" s="1">
        <v>44.112499999999997</v>
      </c>
      <c r="V56" s="3">
        <v>39.773299999999999</v>
      </c>
      <c r="W56" s="3">
        <f t="shared" si="18"/>
        <v>17.544996962500001</v>
      </c>
      <c r="X56">
        <v>0.90182499900000002</v>
      </c>
      <c r="Y56" s="3">
        <f t="shared" si="19"/>
        <v>15.822516868161566</v>
      </c>
      <c r="Z56" s="3">
        <f t="shared" si="20"/>
        <v>17.611999999999998</v>
      </c>
      <c r="AA56" s="3">
        <f t="shared" si="1"/>
        <v>12.581999999999997</v>
      </c>
      <c r="AB56" s="3"/>
      <c r="AC56" s="2">
        <f t="shared" si="21"/>
        <v>0.90182499900000002</v>
      </c>
      <c r="AD56" s="6">
        <f>USA!Z64*Australia!AC56</f>
        <v>12.95020698564</v>
      </c>
      <c r="AF56" s="3">
        <v>5.03</v>
      </c>
      <c r="AG56" s="3">
        <v>0</v>
      </c>
      <c r="AH56" s="3">
        <v>0</v>
      </c>
      <c r="AI56" s="3">
        <f t="shared" si="27"/>
        <v>5.03</v>
      </c>
      <c r="AJ56" s="7">
        <f t="shared" si="2"/>
        <v>5.03</v>
      </c>
      <c r="AK56" s="3">
        <f t="shared" si="25"/>
        <v>0.31790138332046797</v>
      </c>
      <c r="AL56" s="7"/>
      <c r="AM56" s="7"/>
      <c r="AN56" s="7"/>
      <c r="AO56" s="7"/>
      <c r="AP56" s="3">
        <f t="shared" si="22"/>
        <v>13.686238989199033</v>
      </c>
      <c r="AQ56" s="3">
        <v>36.752244381890435</v>
      </c>
      <c r="AS56" s="3">
        <f t="shared" si="3"/>
        <v>17.980206985639999</v>
      </c>
      <c r="AU56" s="9">
        <v>1977</v>
      </c>
      <c r="AV56" s="3">
        <f t="shared" si="4"/>
        <v>17.611999999999998</v>
      </c>
      <c r="AW56" s="3">
        <f t="shared" si="28"/>
        <v>5.03</v>
      </c>
      <c r="AX56" s="3">
        <f t="shared" si="29"/>
        <v>0</v>
      </c>
      <c r="AY56" s="3">
        <f t="shared" si="30"/>
        <v>0</v>
      </c>
      <c r="AZ56" s="3">
        <f t="shared" si="31"/>
        <v>5.03</v>
      </c>
      <c r="BA56" s="3">
        <f t="shared" si="8"/>
        <v>12.581999999999997</v>
      </c>
      <c r="BC56" s="3">
        <v>20.317087492660011</v>
      </c>
      <c r="BE56" s="3">
        <f t="shared" si="9"/>
        <v>86.685653179190751</v>
      </c>
      <c r="BF56" s="3">
        <f t="shared" si="23"/>
        <v>92.012536157008697</v>
      </c>
      <c r="BG56" s="3">
        <f t="shared" si="24"/>
        <v>24.757485549132948</v>
      </c>
      <c r="BH56" s="7">
        <f t="shared" si="32"/>
        <v>61.9281676300578</v>
      </c>
      <c r="BI56" s="7">
        <f t="shared" si="11"/>
        <v>67.255050607875745</v>
      </c>
      <c r="BJ56" s="3">
        <f t="shared" si="12"/>
        <v>63.740469643193407</v>
      </c>
      <c r="BK56" s="9">
        <v>0</v>
      </c>
      <c r="BL56" s="9">
        <v>0</v>
      </c>
      <c r="BM56" s="9">
        <v>0</v>
      </c>
      <c r="BN56" s="9">
        <v>0</v>
      </c>
      <c r="BO56" s="9"/>
      <c r="BP56" s="3">
        <f t="shared" si="13"/>
        <v>102.24323792367393</v>
      </c>
      <c r="BQ56" s="3">
        <f t="shared" si="14"/>
        <v>108.52614338401315</v>
      </c>
    </row>
    <row r="57" spans="1:69">
      <c r="A57">
        <v>1978</v>
      </c>
      <c r="B57" s="3">
        <f t="shared" si="15"/>
        <v>75.310251010481096</v>
      </c>
      <c r="C57" s="3">
        <f t="shared" si="0"/>
        <v>29.916940817905406</v>
      </c>
      <c r="D57" s="1">
        <v>49.2819</v>
      </c>
      <c r="E57" s="3">
        <v>42.81494</v>
      </c>
      <c r="F57" s="3">
        <f t="shared" si="16"/>
        <v>21.100015915859998</v>
      </c>
      <c r="G57" s="2">
        <v>0.87365924900000003</v>
      </c>
      <c r="H57" s="3">
        <f t="shared" si="17"/>
        <v>18.434224058938295</v>
      </c>
      <c r="I57" s="3">
        <v>19.684000000000001</v>
      </c>
      <c r="J57" s="3"/>
      <c r="N57">
        <v>0.87365924900000003</v>
      </c>
      <c r="T57">
        <v>1978</v>
      </c>
      <c r="U57" s="1">
        <v>49.2819</v>
      </c>
      <c r="V57" s="3">
        <v>42.81494</v>
      </c>
      <c r="W57" s="3">
        <f t="shared" si="18"/>
        <v>21.100015915859998</v>
      </c>
      <c r="X57">
        <v>0.87365924900000003</v>
      </c>
      <c r="Y57" s="3">
        <f t="shared" si="19"/>
        <v>18.434224058938295</v>
      </c>
      <c r="Z57" s="3">
        <f t="shared" si="20"/>
        <v>19.684000000000001</v>
      </c>
      <c r="AA57" s="3">
        <f t="shared" si="1"/>
        <v>14.524000000000001</v>
      </c>
      <c r="AB57" s="3"/>
      <c r="AC57" s="2">
        <f t="shared" si="21"/>
        <v>0.87365924900000003</v>
      </c>
      <c r="AD57" s="6">
        <f>USA!Z65*Australia!AC57</f>
        <v>12.528273630660001</v>
      </c>
      <c r="AF57" s="3">
        <v>5.16</v>
      </c>
      <c r="AG57" s="3">
        <v>0</v>
      </c>
      <c r="AH57" s="3">
        <v>0</v>
      </c>
      <c r="AI57" s="3">
        <f t="shared" si="27"/>
        <v>5.16</v>
      </c>
      <c r="AJ57" s="7">
        <f t="shared" si="2"/>
        <v>5.16</v>
      </c>
      <c r="AK57" s="3">
        <f t="shared" si="25"/>
        <v>0.27991414140906273</v>
      </c>
      <c r="AL57" s="7"/>
      <c r="AM57" s="7"/>
      <c r="AN57" s="7"/>
      <c r="AO57" s="7"/>
      <c r="AP57" s="3">
        <f t="shared" si="22"/>
        <v>12.911544302515754</v>
      </c>
      <c r="AQ57" s="3">
        <v>39.964235718841145</v>
      </c>
      <c r="AS57" s="3">
        <f t="shared" si="3"/>
        <v>17.688273630659999</v>
      </c>
      <c r="AU57" s="9">
        <v>1978</v>
      </c>
      <c r="AV57" s="3">
        <f t="shared" si="4"/>
        <v>19.684000000000001</v>
      </c>
      <c r="AW57" s="3">
        <f t="shared" si="28"/>
        <v>5.16</v>
      </c>
      <c r="AX57" s="3">
        <f t="shared" si="29"/>
        <v>0</v>
      </c>
      <c r="AY57" s="3">
        <f t="shared" si="30"/>
        <v>0</v>
      </c>
      <c r="AZ57" s="3">
        <f t="shared" si="31"/>
        <v>5.16</v>
      </c>
      <c r="BA57" s="3">
        <f t="shared" si="8"/>
        <v>14.524000000000001</v>
      </c>
      <c r="BC57" s="3">
        <v>22.25484439224897</v>
      </c>
      <c r="BE57" s="3">
        <f t="shared" si="9"/>
        <v>88.448158311345665</v>
      </c>
      <c r="BF57" s="3">
        <f t="shared" si="23"/>
        <v>86.386810868066348</v>
      </c>
      <c r="BG57" s="3">
        <f t="shared" si="24"/>
        <v>23.185963060686017</v>
      </c>
      <c r="BH57" s="7">
        <f t="shared" si="32"/>
        <v>65.262195250659644</v>
      </c>
      <c r="BI57" s="7">
        <f t="shared" si="11"/>
        <v>63.200847807380327</v>
      </c>
      <c r="BJ57" s="3">
        <f t="shared" si="12"/>
        <v>56.294591010590992</v>
      </c>
      <c r="BK57" s="9">
        <v>0</v>
      </c>
      <c r="BL57" s="9">
        <v>0</v>
      </c>
      <c r="BM57" s="9">
        <v>0</v>
      </c>
      <c r="BN57" s="9">
        <v>0</v>
      </c>
      <c r="BO57" s="9"/>
      <c r="BP57" s="3">
        <f t="shared" si="13"/>
        <v>104.32206209998954</v>
      </c>
      <c r="BQ57" s="3">
        <f t="shared" si="14"/>
        <v>101.89076200179571</v>
      </c>
    </row>
    <row r="58" spans="1:69">
      <c r="A58">
        <v>1979</v>
      </c>
      <c r="B58" s="3">
        <f t="shared" si="15"/>
        <v>90.07063624834646</v>
      </c>
      <c r="C58" s="3">
        <f t="shared" si="0"/>
        <v>33.287054161079702</v>
      </c>
      <c r="D58" s="1">
        <v>58.566099999999999</v>
      </c>
      <c r="E58" s="3">
        <v>47.637999999999998</v>
      </c>
      <c r="F58" s="3">
        <f t="shared" si="16"/>
        <v>27.899718717999999</v>
      </c>
      <c r="G58" s="2">
        <v>0.89464091566666704</v>
      </c>
      <c r="H58" s="3">
        <f t="shared" si="17"/>
        <v>24.960229900713969</v>
      </c>
      <c r="I58" s="3">
        <v>26.823</v>
      </c>
      <c r="J58" s="3"/>
      <c r="N58">
        <v>0.89464091566666704</v>
      </c>
      <c r="T58">
        <v>1979</v>
      </c>
      <c r="U58" s="1">
        <v>58.566099999999999</v>
      </c>
      <c r="V58" s="3">
        <v>47.637999999999998</v>
      </c>
      <c r="W58" s="3">
        <f t="shared" si="18"/>
        <v>27.899718717999999</v>
      </c>
      <c r="X58">
        <v>0.89464091566666704</v>
      </c>
      <c r="Y58" s="3">
        <f t="shared" si="19"/>
        <v>24.960229900713969</v>
      </c>
      <c r="Z58" s="3">
        <f t="shared" si="20"/>
        <v>26.823</v>
      </c>
      <c r="AA58" s="3">
        <f t="shared" si="1"/>
        <v>21.663</v>
      </c>
      <c r="AB58" s="3"/>
      <c r="AC58" s="2">
        <f t="shared" si="21"/>
        <v>0.89464091566666704</v>
      </c>
      <c r="AD58" s="6">
        <f>USA!Z66*Australia!AC58</f>
        <v>19.172154822736676</v>
      </c>
      <c r="AF58" s="3">
        <v>5.16</v>
      </c>
      <c r="AG58" s="3">
        <v>0</v>
      </c>
      <c r="AH58" s="3">
        <v>0</v>
      </c>
      <c r="AI58" s="3">
        <f t="shared" si="27"/>
        <v>5.16</v>
      </c>
      <c r="AJ58" s="7">
        <f t="shared" si="2"/>
        <v>5.16</v>
      </c>
      <c r="AK58" s="3">
        <f t="shared" si="25"/>
        <v>0.206728865099612</v>
      </c>
      <c r="AL58" s="7"/>
      <c r="AM58" s="7"/>
      <c r="AN58" s="7"/>
      <c r="AO58" s="7"/>
      <c r="AP58" s="3">
        <f t="shared" si="22"/>
        <v>11.672757032273257</v>
      </c>
      <c r="AQ58" s="3">
        <v>44.205494775000005</v>
      </c>
      <c r="AS58" s="3">
        <f t="shared" si="3"/>
        <v>24.332154822736676</v>
      </c>
      <c r="AU58" s="9">
        <v>1979</v>
      </c>
      <c r="AV58" s="3">
        <f t="shared" si="4"/>
        <v>26.823</v>
      </c>
      <c r="AW58" s="3">
        <f t="shared" si="28"/>
        <v>5.16</v>
      </c>
      <c r="AX58" s="3">
        <f t="shared" si="29"/>
        <v>0</v>
      </c>
      <c r="AY58" s="3">
        <f t="shared" si="30"/>
        <v>0</v>
      </c>
      <c r="AZ58" s="3">
        <f t="shared" si="31"/>
        <v>5.16</v>
      </c>
      <c r="BA58" s="3">
        <f t="shared" si="8"/>
        <v>21.663</v>
      </c>
      <c r="BC58" s="3">
        <v>24.075161479741631</v>
      </c>
      <c r="BE58" s="3">
        <f t="shared" si="9"/>
        <v>111.41358292682928</v>
      </c>
      <c r="BF58" s="3">
        <f t="shared" si="23"/>
        <v>111.41358292682928</v>
      </c>
      <c r="BG58" s="3">
        <f t="shared" si="24"/>
        <v>21.432878048780491</v>
      </c>
      <c r="BH58" s="7">
        <f>BE58-BG58</f>
        <v>89.980704878048783</v>
      </c>
      <c r="BI58" s="7">
        <f t="shared" si="11"/>
        <v>89.980704878048783</v>
      </c>
      <c r="BJ58" s="3">
        <f t="shared" si="12"/>
        <v>79.6345845441965</v>
      </c>
      <c r="BK58" s="9">
        <v>0</v>
      </c>
      <c r="BL58" s="9">
        <v>0</v>
      </c>
      <c r="BM58" s="45">
        <v>1</v>
      </c>
      <c r="BN58" s="9">
        <v>0</v>
      </c>
      <c r="BO58" s="9"/>
      <c r="BP58" s="3">
        <f t="shared" si="13"/>
        <v>131.40912076384177</v>
      </c>
      <c r="BQ58" s="3">
        <f t="shared" si="14"/>
        <v>131.40912076384177</v>
      </c>
    </row>
    <row r="59" spans="1:69">
      <c r="A59">
        <v>1980</v>
      </c>
      <c r="B59" s="3">
        <f t="shared" si="15"/>
        <v>96.628283351573714</v>
      </c>
      <c r="C59" s="3">
        <f t="shared" si="0"/>
        <v>37.784321185500851</v>
      </c>
      <c r="D59" s="1">
        <v>64.171099999999996</v>
      </c>
      <c r="E59" s="3">
        <v>54.074159999999999</v>
      </c>
      <c r="F59" s="3">
        <f t="shared" si="16"/>
        <v>34.699983287759999</v>
      </c>
      <c r="G59" s="2">
        <v>0.87824433233333299</v>
      </c>
      <c r="H59" s="3">
        <f t="shared" si="17"/>
        <v>30.475063654536594</v>
      </c>
      <c r="I59" s="3">
        <v>32.064999999999998</v>
      </c>
      <c r="J59" s="3"/>
      <c r="N59">
        <v>0.87824433233333299</v>
      </c>
      <c r="T59">
        <v>1980</v>
      </c>
      <c r="U59" s="1">
        <v>64.171099999999996</v>
      </c>
      <c r="V59" s="3">
        <v>54.074159999999999</v>
      </c>
      <c r="W59" s="3">
        <f t="shared" si="18"/>
        <v>34.699983287759999</v>
      </c>
      <c r="X59">
        <v>0.87824433233333299</v>
      </c>
      <c r="Y59" s="3">
        <f t="shared" si="19"/>
        <v>30.475063654536594</v>
      </c>
      <c r="Z59" s="3">
        <f t="shared" si="20"/>
        <v>32.064999999999998</v>
      </c>
      <c r="AA59" s="3">
        <f t="shared" si="1"/>
        <v>26.604999999999997</v>
      </c>
      <c r="AB59" s="3"/>
      <c r="AC59" s="2">
        <f t="shared" si="21"/>
        <v>0.87824433233333299</v>
      </c>
      <c r="AD59" s="6">
        <f>USA!Z67*Australia!AC59</f>
        <v>29.675875989543322</v>
      </c>
      <c r="AF59" s="3">
        <v>5.16</v>
      </c>
      <c r="AG59" s="3">
        <v>0.3</v>
      </c>
      <c r="AH59" s="3">
        <v>0</v>
      </c>
      <c r="AI59" s="3">
        <f t="shared" si="27"/>
        <v>5.46</v>
      </c>
      <c r="AJ59" s="7">
        <f t="shared" si="2"/>
        <v>5.46</v>
      </c>
      <c r="AK59" s="3">
        <f t="shared" si="25"/>
        <v>0.17916287433864672</v>
      </c>
      <c r="AL59" s="7"/>
      <c r="AM59" s="7"/>
      <c r="AN59" s="7"/>
      <c r="AO59" s="7"/>
      <c r="AP59" s="3">
        <f t="shared" si="22"/>
        <v>11.215713513718415</v>
      </c>
      <c r="AQ59" s="3">
        <v>48.681699949999995</v>
      </c>
      <c r="AS59" s="3">
        <f t="shared" si="3"/>
        <v>35.135875989543322</v>
      </c>
      <c r="AU59" s="9">
        <v>1980</v>
      </c>
      <c r="AV59" s="3">
        <f t="shared" si="4"/>
        <v>32.064999999999998</v>
      </c>
      <c r="AW59" s="3">
        <f t="shared" si="28"/>
        <v>5.16</v>
      </c>
      <c r="AX59" s="3">
        <f t="shared" si="29"/>
        <v>0.3</v>
      </c>
      <c r="AY59" s="3">
        <f t="shared" si="30"/>
        <v>0</v>
      </c>
      <c r="AZ59" s="3">
        <f t="shared" si="31"/>
        <v>5.46</v>
      </c>
      <c r="BA59" s="3">
        <f t="shared" si="8"/>
        <v>26.604999999999997</v>
      </c>
      <c r="BC59" s="3">
        <v>26.541397533763945</v>
      </c>
      <c r="BE59" s="3">
        <f t="shared" si="9"/>
        <v>120.8112721238938</v>
      </c>
      <c r="BF59" s="3">
        <f t="shared" si="23"/>
        <v>126.49921304957032</v>
      </c>
      <c r="BG59" s="3">
        <f t="shared" si="24"/>
        <v>20.571637168141592</v>
      </c>
      <c r="BH59" s="7">
        <f t="shared" si="32"/>
        <v>100.23963495575221</v>
      </c>
      <c r="BI59" s="7">
        <f t="shared" si="11"/>
        <v>105.92757588142872</v>
      </c>
      <c r="BJ59" s="3">
        <f t="shared" si="12"/>
        <v>111.80977170396523</v>
      </c>
      <c r="BK59" s="9">
        <v>0</v>
      </c>
      <c r="BL59" s="45">
        <v>1</v>
      </c>
      <c r="BM59" s="9">
        <v>0</v>
      </c>
      <c r="BN59" s="9">
        <v>0</v>
      </c>
      <c r="BO59" s="9"/>
      <c r="BP59" s="3">
        <f t="shared" si="13"/>
        <v>142.49342522794961</v>
      </c>
      <c r="BQ59" s="3">
        <f t="shared" si="14"/>
        <v>149.20218816658257</v>
      </c>
    </row>
    <row r="60" spans="1:69">
      <c r="A60">
        <v>1981</v>
      </c>
      <c r="B60" s="3">
        <f t="shared" si="15"/>
        <v>97.854398869217405</v>
      </c>
      <c r="C60" s="3">
        <f t="shared" si="0"/>
        <v>41.681969842500045</v>
      </c>
      <c r="D60" s="1">
        <v>68.396500000000003</v>
      </c>
      <c r="E60" s="3">
        <v>59.652189999999997</v>
      </c>
      <c r="F60" s="3">
        <f t="shared" si="16"/>
        <v>40.80001013335</v>
      </c>
      <c r="G60" s="2">
        <v>0.87021458233333404</v>
      </c>
      <c r="H60" s="3">
        <f t="shared" si="17"/>
        <v>35.504763777388966</v>
      </c>
      <c r="I60" s="3">
        <v>35.494</v>
      </c>
      <c r="J60" s="3"/>
      <c r="N60">
        <v>0.87021458233333404</v>
      </c>
      <c r="T60">
        <v>1981</v>
      </c>
      <c r="U60" s="1">
        <v>68.396500000000003</v>
      </c>
      <c r="V60" s="3">
        <v>59.652189999999997</v>
      </c>
      <c r="W60" s="3">
        <f t="shared" si="18"/>
        <v>40.80001013335</v>
      </c>
      <c r="X60">
        <v>0.87021458233333404</v>
      </c>
      <c r="Y60" s="3">
        <f t="shared" si="19"/>
        <v>35.504763777388966</v>
      </c>
      <c r="Z60" s="3">
        <f t="shared" si="20"/>
        <v>35.494</v>
      </c>
      <c r="AA60" s="3">
        <f t="shared" si="1"/>
        <v>29.693999999999999</v>
      </c>
      <c r="AB60" s="3"/>
      <c r="AC60" s="2">
        <f t="shared" si="21"/>
        <v>0.87021458233333404</v>
      </c>
      <c r="AD60" s="6">
        <f>USA!Z68*Australia!AC60</f>
        <v>31.68451294275669</v>
      </c>
      <c r="AF60" s="3">
        <v>5.16</v>
      </c>
      <c r="AG60" s="3">
        <v>0.64</v>
      </c>
      <c r="AH60" s="3">
        <v>0</v>
      </c>
      <c r="AI60" s="3">
        <f t="shared" si="27"/>
        <v>5.8</v>
      </c>
      <c r="AJ60" s="7">
        <f t="shared" si="2"/>
        <v>5.7999999999999989</v>
      </c>
      <c r="AK60" s="3">
        <f t="shared" si="25"/>
        <v>0.16335836048270516</v>
      </c>
      <c r="AL60" s="7"/>
      <c r="AM60" s="7"/>
      <c r="AN60" s="7"/>
      <c r="AO60" s="7"/>
      <c r="AP60" s="3">
        <f t="shared" si="22"/>
        <v>10.930254461873631</v>
      </c>
      <c r="AQ60" s="3">
        <v>53.063723449726368</v>
      </c>
      <c r="AS60" s="3">
        <f t="shared" si="3"/>
        <v>37.484512942756687</v>
      </c>
      <c r="AU60" s="9">
        <v>1981</v>
      </c>
      <c r="AV60" s="3">
        <f t="shared" si="4"/>
        <v>35.494</v>
      </c>
      <c r="AW60" s="3">
        <f t="shared" si="28"/>
        <v>5.16</v>
      </c>
      <c r="AX60" s="3">
        <f t="shared" si="29"/>
        <v>0.64</v>
      </c>
      <c r="AY60" s="3">
        <f t="shared" si="30"/>
        <v>0</v>
      </c>
      <c r="AZ60" s="3">
        <f t="shared" si="31"/>
        <v>5.8</v>
      </c>
      <c r="BA60" s="3">
        <f t="shared" si="8"/>
        <v>29.693999999999999</v>
      </c>
      <c r="BC60" s="3">
        <v>29.007633587786259</v>
      </c>
      <c r="BE60" s="3">
        <f t="shared" si="9"/>
        <v>122.36089473684211</v>
      </c>
      <c r="BF60" s="3">
        <f t="shared" si="23"/>
        <v>124.5166682181468</v>
      </c>
      <c r="BG60" s="3">
        <f t="shared" si="24"/>
        <v>19.994736842105262</v>
      </c>
      <c r="BH60" s="7">
        <f t="shared" si="32"/>
        <v>102.36615789473686</v>
      </c>
      <c r="BI60" s="7">
        <f t="shared" si="11"/>
        <v>104.52193137604155</v>
      </c>
      <c r="BJ60" s="3">
        <f t="shared" si="12"/>
        <v>109.2281893552928</v>
      </c>
      <c r="BK60" s="9">
        <v>0</v>
      </c>
      <c r="BL60" s="45">
        <v>1</v>
      </c>
      <c r="BM60" s="9">
        <v>0</v>
      </c>
      <c r="BN60" s="9">
        <v>0</v>
      </c>
      <c r="BO60" s="9"/>
      <c r="BP60" s="3">
        <f t="shared" si="13"/>
        <v>144.32116058780284</v>
      </c>
      <c r="BQ60" s="3">
        <f t="shared" si="14"/>
        <v>146.86383348550783</v>
      </c>
    </row>
    <row r="61" spans="1:69">
      <c r="A61">
        <v>1982</v>
      </c>
      <c r="B61" s="3">
        <f t="shared" si="15"/>
        <v>89.29890759230544</v>
      </c>
      <c r="C61" s="3">
        <f t="shared" si="0"/>
        <v>44.24984128314113</v>
      </c>
      <c r="D61" s="1">
        <v>62.2166</v>
      </c>
      <c r="E61" s="3">
        <v>63.32714</v>
      </c>
      <c r="F61" s="3">
        <f t="shared" si="16"/>
        <v>39.399993385240002</v>
      </c>
      <c r="G61" s="2">
        <v>0.98586283233333405</v>
      </c>
      <c r="H61" s="3">
        <f t="shared" si="17"/>
        <v>38.842989072687338</v>
      </c>
      <c r="I61" s="3">
        <v>38.956000000000003</v>
      </c>
      <c r="J61" s="3"/>
      <c r="N61">
        <v>0.98586283233333405</v>
      </c>
      <c r="T61">
        <v>1982</v>
      </c>
      <c r="U61" s="1">
        <v>62.2166</v>
      </c>
      <c r="V61" s="3">
        <v>63.32714</v>
      </c>
      <c r="W61" s="3">
        <f t="shared" si="18"/>
        <v>39.399993385240002</v>
      </c>
      <c r="X61">
        <v>0.98586283233333405</v>
      </c>
      <c r="Y61" s="3">
        <f t="shared" si="19"/>
        <v>38.842989072687338</v>
      </c>
      <c r="Z61" s="3">
        <f t="shared" si="20"/>
        <v>38.956000000000003</v>
      </c>
      <c r="AA61" s="3">
        <f t="shared" si="1"/>
        <v>32.356000000000002</v>
      </c>
      <c r="AB61" s="3"/>
      <c r="AC61" s="2">
        <f t="shared" si="21"/>
        <v>0.98586283233333405</v>
      </c>
      <c r="AD61" s="6">
        <f>USA!Z69*Australia!AC61</f>
        <v>32.730646033466691</v>
      </c>
      <c r="AF61" s="3">
        <v>5.66</v>
      </c>
      <c r="AG61" s="3">
        <v>0.94</v>
      </c>
      <c r="AH61" s="3">
        <v>0</v>
      </c>
      <c r="AI61" s="3">
        <f t="shared" si="27"/>
        <v>6.6</v>
      </c>
      <c r="AJ61" s="7">
        <f t="shared" si="2"/>
        <v>6.6</v>
      </c>
      <c r="AK61" s="3">
        <f t="shared" si="25"/>
        <v>0.16991483296121579</v>
      </c>
      <c r="AL61" s="7"/>
      <c r="AM61" s="7"/>
      <c r="AN61" s="7"/>
      <c r="AO61" s="7"/>
      <c r="AP61" s="3">
        <f t="shared" si="22"/>
        <v>11.347633135794892</v>
      </c>
      <c r="AQ61" s="3">
        <v>58.161908488044141</v>
      </c>
      <c r="AS61" s="3">
        <f t="shared" si="3"/>
        <v>39.330646033466692</v>
      </c>
      <c r="AU61" s="9">
        <v>1982</v>
      </c>
      <c r="AV61" s="3">
        <f t="shared" si="4"/>
        <v>38.956000000000003</v>
      </c>
      <c r="AW61" s="3">
        <f t="shared" si="28"/>
        <v>5.66</v>
      </c>
      <c r="AX61" s="3">
        <f t="shared" si="29"/>
        <v>0.94</v>
      </c>
      <c r="AY61" s="3">
        <f t="shared" si="30"/>
        <v>0</v>
      </c>
      <c r="AZ61" s="3">
        <f t="shared" si="31"/>
        <v>6.6</v>
      </c>
      <c r="BA61" s="3">
        <f t="shared" si="8"/>
        <v>32.356000000000002</v>
      </c>
      <c r="BC61" s="3">
        <v>32.061068702290072</v>
      </c>
      <c r="BE61" s="3">
        <f t="shared" si="9"/>
        <v>121.50561904761908</v>
      </c>
      <c r="BF61" s="3">
        <f t="shared" si="23"/>
        <v>121.2201289907286</v>
      </c>
      <c r="BG61" s="3">
        <f t="shared" si="24"/>
        <v>20.585714285714289</v>
      </c>
      <c r="BH61" s="7">
        <f t="shared" si="32"/>
        <v>100.91990476190479</v>
      </c>
      <c r="BI61" s="7">
        <f t="shared" si="11"/>
        <v>100.63441470501431</v>
      </c>
      <c r="BJ61" s="3">
        <f t="shared" si="12"/>
        <v>102.08844358057469</v>
      </c>
      <c r="BK61" s="9">
        <v>0</v>
      </c>
      <c r="BL61" s="45">
        <v>1</v>
      </c>
      <c r="BM61" s="9">
        <v>0</v>
      </c>
      <c r="BN61" s="9">
        <v>0</v>
      </c>
      <c r="BO61" s="9"/>
      <c r="BP61" s="3">
        <f t="shared" si="13"/>
        <v>143.3123874797223</v>
      </c>
      <c r="BQ61" s="3">
        <f t="shared" si="14"/>
        <v>142.97566015817628</v>
      </c>
    </row>
    <row r="62" spans="1:69">
      <c r="A62">
        <v>1983</v>
      </c>
      <c r="B62" s="3">
        <f t="shared" si="15"/>
        <v>86.24963201365064</v>
      </c>
      <c r="C62" s="3">
        <f t="shared" si="0"/>
        <v>45.671336429076113</v>
      </c>
      <c r="D62" s="1">
        <v>60.280200000000001</v>
      </c>
      <c r="E62" s="3">
        <v>65.36148</v>
      </c>
      <c r="F62" s="3">
        <f t="shared" si="16"/>
        <v>39.400030866960002</v>
      </c>
      <c r="G62" s="2">
        <v>1.1100149991666699</v>
      </c>
      <c r="H62" s="3">
        <f t="shared" si="17"/>
        <v>43.734625229955377</v>
      </c>
      <c r="I62" s="3">
        <v>43.725000000000001</v>
      </c>
      <c r="J62" s="3"/>
      <c r="N62">
        <v>1.1100149991666699</v>
      </c>
      <c r="T62">
        <v>1983</v>
      </c>
      <c r="U62" s="1">
        <v>60.280200000000001</v>
      </c>
      <c r="V62" s="3">
        <v>65.36148</v>
      </c>
      <c r="W62" s="3">
        <f t="shared" si="18"/>
        <v>39.400030866960002</v>
      </c>
      <c r="X62">
        <v>1.1100149991666699</v>
      </c>
      <c r="Y62" s="3">
        <f t="shared" si="19"/>
        <v>43.734625229955377</v>
      </c>
      <c r="Z62" s="3">
        <f t="shared" si="20"/>
        <v>43.725000000000001</v>
      </c>
      <c r="AA62" s="3">
        <f t="shared" si="1"/>
        <v>34.225000000000001</v>
      </c>
      <c r="AB62" s="3"/>
      <c r="AC62" s="2">
        <f t="shared" si="21"/>
        <v>1.1100149991666699</v>
      </c>
      <c r="AD62" s="6">
        <f>USA!Z70*Australia!AC62</f>
        <v>32.134934225875092</v>
      </c>
      <c r="AF62" s="3">
        <v>7.55</v>
      </c>
      <c r="AG62" s="3">
        <v>1.95</v>
      </c>
      <c r="AH62" s="3">
        <v>0</v>
      </c>
      <c r="AI62" s="3">
        <f t="shared" si="27"/>
        <v>9.5</v>
      </c>
      <c r="AJ62" s="7">
        <f t="shared" si="2"/>
        <v>9.5</v>
      </c>
      <c r="AK62" s="3">
        <f t="shared" si="25"/>
        <v>0.21721919303182041</v>
      </c>
      <c r="AL62" s="7"/>
      <c r="AM62" s="7"/>
      <c r="AN62" s="7"/>
      <c r="AO62" s="7"/>
      <c r="AP62" s="3">
        <f t="shared" si="22"/>
        <v>14.8593042298335</v>
      </c>
      <c r="AQ62" s="3">
        <v>63.933006909748485</v>
      </c>
      <c r="AS62" s="3">
        <f t="shared" si="3"/>
        <v>41.634934225875092</v>
      </c>
      <c r="AU62" s="9">
        <v>1983</v>
      </c>
      <c r="AV62" s="3">
        <f t="shared" si="4"/>
        <v>43.725000000000001</v>
      </c>
      <c r="AW62" s="3">
        <f t="shared" si="28"/>
        <v>7.55</v>
      </c>
      <c r="AX62" s="3">
        <f t="shared" si="29"/>
        <v>1.95</v>
      </c>
      <c r="AY62" s="3">
        <f t="shared" si="30"/>
        <v>0</v>
      </c>
      <c r="AZ62" s="3">
        <f t="shared" si="31"/>
        <v>9.5</v>
      </c>
      <c r="BA62" s="3">
        <f t="shared" si="8"/>
        <v>34.225000000000001</v>
      </c>
      <c r="BC62" s="3">
        <v>35.760422783323541</v>
      </c>
      <c r="BE62" s="3">
        <f t="shared" si="9"/>
        <v>122.27204433497538</v>
      </c>
      <c r="BF62" s="3">
        <f t="shared" si="23"/>
        <v>120.5427783546929</v>
      </c>
      <c r="BG62" s="3">
        <f t="shared" si="24"/>
        <v>26.565681444991796</v>
      </c>
      <c r="BH62" s="7">
        <f t="shared" si="32"/>
        <v>95.706362889983581</v>
      </c>
      <c r="BI62" s="7">
        <f t="shared" si="11"/>
        <v>93.977096909701103</v>
      </c>
      <c r="BJ62" s="3">
        <f t="shared" si="12"/>
        <v>89.861729042143338</v>
      </c>
      <c r="BK62" s="9">
        <v>0</v>
      </c>
      <c r="BL62" s="45">
        <v>1</v>
      </c>
      <c r="BM62" s="9">
        <v>0</v>
      </c>
      <c r="BN62" s="9">
        <v>0</v>
      </c>
      <c r="BO62" s="9"/>
      <c r="BP62" s="3">
        <f t="shared" si="13"/>
        <v>144.21636409098352</v>
      </c>
      <c r="BQ62" s="3">
        <f t="shared" si="14"/>
        <v>142.17674453952375</v>
      </c>
    </row>
    <row r="63" spans="1:69">
      <c r="A63">
        <v>1984</v>
      </c>
      <c r="B63" s="3">
        <f t="shared" si="15"/>
        <v>87.514850474677829</v>
      </c>
      <c r="C63" s="3">
        <f t="shared" si="0"/>
        <v>47.643090239969929</v>
      </c>
      <c r="D63" s="1">
        <v>61.012</v>
      </c>
      <c r="E63" s="3">
        <v>68.183310000000006</v>
      </c>
      <c r="F63" s="3">
        <f t="shared" si="16"/>
        <v>41.6000010972</v>
      </c>
      <c r="G63" s="2">
        <v>1.1395191659166699</v>
      </c>
      <c r="H63" s="3">
        <f t="shared" si="17"/>
        <v>47.403998552413896</v>
      </c>
      <c r="I63" s="3">
        <v>47.512</v>
      </c>
      <c r="J63" s="3"/>
      <c r="N63">
        <v>1.1395191659166699</v>
      </c>
      <c r="T63">
        <v>1984</v>
      </c>
      <c r="U63" s="1">
        <v>61.012</v>
      </c>
      <c r="V63" s="3">
        <v>68.183310000000006</v>
      </c>
      <c r="W63" s="3">
        <f t="shared" si="18"/>
        <v>41.6000010972</v>
      </c>
      <c r="X63">
        <v>1.1395191659166699</v>
      </c>
      <c r="Y63" s="3">
        <f t="shared" si="19"/>
        <v>47.403998552413896</v>
      </c>
      <c r="Z63" s="3">
        <f t="shared" si="20"/>
        <v>47.512</v>
      </c>
      <c r="AA63" s="3">
        <f t="shared" si="1"/>
        <v>35.972000000000001</v>
      </c>
      <c r="AB63" s="3"/>
      <c r="AC63" s="2">
        <f t="shared" si="21"/>
        <v>1.1395191659166699</v>
      </c>
      <c r="AD63" s="6">
        <f>USA!Z71*Australia!AC63</f>
        <v>32.499086611943426</v>
      </c>
      <c r="AF63" s="3">
        <v>9.39</v>
      </c>
      <c r="AG63" s="3">
        <v>2.15</v>
      </c>
      <c r="AH63" s="3">
        <v>0</v>
      </c>
      <c r="AI63" s="3">
        <f t="shared" si="27"/>
        <v>11.540000000000001</v>
      </c>
      <c r="AJ63" s="7">
        <f t="shared" si="2"/>
        <v>11.540000000000001</v>
      </c>
      <c r="AK63" s="3">
        <f t="shared" si="25"/>
        <v>0.24343937963883774</v>
      </c>
      <c r="AL63" s="7"/>
      <c r="AM63" s="7"/>
      <c r="AN63" s="7"/>
      <c r="AO63" s="7"/>
      <c r="AP63" s="3">
        <f t="shared" si="22"/>
        <v>16.990167321884815</v>
      </c>
      <c r="AQ63" s="3">
        <v>67.921638329809014</v>
      </c>
      <c r="AS63" s="3">
        <f t="shared" si="3"/>
        <v>44.039086611943425</v>
      </c>
      <c r="AU63" s="9">
        <v>1984</v>
      </c>
      <c r="AV63" s="3">
        <f t="shared" si="4"/>
        <v>47.512</v>
      </c>
      <c r="AW63" s="3">
        <f t="shared" si="28"/>
        <v>9.39</v>
      </c>
      <c r="AX63" s="3">
        <f t="shared" si="29"/>
        <v>2.15</v>
      </c>
      <c r="AY63" s="3">
        <f t="shared" si="30"/>
        <v>0</v>
      </c>
      <c r="AZ63" s="3">
        <f t="shared" si="31"/>
        <v>11.540000000000001</v>
      </c>
      <c r="BA63" s="3">
        <f t="shared" si="8"/>
        <v>35.972000000000001</v>
      </c>
      <c r="BC63" s="3">
        <v>38.167938931297705</v>
      </c>
      <c r="BE63" s="3">
        <f t="shared" si="9"/>
        <v>124.48144000000001</v>
      </c>
      <c r="BF63" s="3">
        <f t="shared" si="23"/>
        <v>121.64510687199598</v>
      </c>
      <c r="BG63" s="3">
        <f t="shared" si="24"/>
        <v>30.234800000000007</v>
      </c>
      <c r="BH63" s="7">
        <f t="shared" si="32"/>
        <v>94.246639999999999</v>
      </c>
      <c r="BI63" s="7">
        <f t="shared" si="11"/>
        <v>91.410306871995971</v>
      </c>
      <c r="BJ63" s="3">
        <f t="shared" si="12"/>
        <v>85.147606923291789</v>
      </c>
      <c r="BK63" s="9">
        <v>0</v>
      </c>
      <c r="BL63" s="45">
        <v>1</v>
      </c>
      <c r="BM63" s="9">
        <v>0</v>
      </c>
      <c r="BN63" s="9">
        <v>0</v>
      </c>
      <c r="BO63" s="9"/>
      <c r="BP63" s="3">
        <f t="shared" si="13"/>
        <v>146.82228281411628</v>
      </c>
      <c r="BQ63" s="3">
        <f t="shared" si="14"/>
        <v>143.47690936185822</v>
      </c>
    </row>
    <row r="64" spans="1:69">
      <c r="A64">
        <v>1985</v>
      </c>
      <c r="B64" s="3">
        <f t="shared" si="15"/>
        <v>74.493311526258111</v>
      </c>
      <c r="C64" s="3">
        <f t="shared" si="0"/>
        <v>49.339718212134507</v>
      </c>
      <c r="D64" s="1">
        <v>51.974600000000002</v>
      </c>
      <c r="E64" s="3">
        <v>70.611400000000003</v>
      </c>
      <c r="F64" s="3">
        <f t="shared" si="16"/>
        <v>36.699992704400003</v>
      </c>
      <c r="G64" s="2">
        <v>1.4318949995000001</v>
      </c>
      <c r="H64" s="3">
        <f t="shared" si="17"/>
        <v>52.550536035116849</v>
      </c>
      <c r="I64" s="3">
        <v>52.628999999999998</v>
      </c>
      <c r="J64" s="3"/>
      <c r="N64">
        <v>1.4318949995000001</v>
      </c>
      <c r="T64">
        <v>1985</v>
      </c>
      <c r="U64" s="1">
        <v>51.974600000000002</v>
      </c>
      <c r="V64" s="3">
        <v>70.611400000000003</v>
      </c>
      <c r="W64" s="3">
        <f t="shared" si="18"/>
        <v>36.699992704400003</v>
      </c>
      <c r="X64">
        <v>1.4318949995000001</v>
      </c>
      <c r="Y64" s="3">
        <f t="shared" si="19"/>
        <v>52.550536035116849</v>
      </c>
      <c r="Z64" s="3">
        <f t="shared" si="20"/>
        <v>52.628999999999998</v>
      </c>
      <c r="AA64" s="3">
        <f t="shared" si="1"/>
        <v>40.308999999999997</v>
      </c>
      <c r="AB64" s="3"/>
      <c r="AC64" s="2">
        <f t="shared" si="21"/>
        <v>1.4318949995000001</v>
      </c>
      <c r="AD64" s="6">
        <f>USA!Z72*Australia!AC64</f>
        <v>38.188639636665002</v>
      </c>
      <c r="AF64" s="3">
        <v>9.82</v>
      </c>
      <c r="AG64" s="3">
        <v>2.5</v>
      </c>
      <c r="AH64" s="3">
        <v>0</v>
      </c>
      <c r="AI64" s="3">
        <f t="shared" si="27"/>
        <v>12.32</v>
      </c>
      <c r="AJ64" s="7">
        <f t="shared" si="2"/>
        <v>12.32</v>
      </c>
      <c r="AK64" s="3">
        <f t="shared" si="25"/>
        <v>0.23444099584002667</v>
      </c>
      <c r="AL64" s="7"/>
      <c r="AM64" s="7"/>
      <c r="AN64" s="7"/>
      <c r="AO64" s="7"/>
      <c r="AP64" s="3">
        <f t="shared" si="22"/>
        <v>16.955008578362165</v>
      </c>
      <c r="AQ64" s="3">
        <v>72.662894524999984</v>
      </c>
      <c r="AS64" s="3">
        <f t="shared" si="3"/>
        <v>50.508639636665002</v>
      </c>
      <c r="AU64" s="9">
        <v>1985</v>
      </c>
      <c r="AV64" s="3">
        <f t="shared" si="4"/>
        <v>52.628999999999998</v>
      </c>
      <c r="AW64" s="3">
        <f t="shared" si="28"/>
        <v>9.82</v>
      </c>
      <c r="AX64" s="3">
        <f t="shared" si="29"/>
        <v>2.5</v>
      </c>
      <c r="AY64" s="3">
        <f t="shared" si="30"/>
        <v>0</v>
      </c>
      <c r="AZ64" s="3">
        <f t="shared" si="31"/>
        <v>12.32</v>
      </c>
      <c r="BA64" s="3">
        <f t="shared" si="8"/>
        <v>40.308999999999997</v>
      </c>
      <c r="BC64" s="3">
        <v>39.812096300645919</v>
      </c>
      <c r="BE64" s="3">
        <f t="shared" si="9"/>
        <v>132.19349115044247</v>
      </c>
      <c r="BF64" s="3">
        <f t="shared" si="23"/>
        <v>128.22232986345358</v>
      </c>
      <c r="BG64" s="3">
        <f t="shared" si="24"/>
        <v>30.945368731563423</v>
      </c>
      <c r="BH64" s="7">
        <f t="shared" si="32"/>
        <v>101.24812241887905</v>
      </c>
      <c r="BI64" s="7">
        <f t="shared" si="11"/>
        <v>97.276961131890147</v>
      </c>
      <c r="BJ64" s="3">
        <f t="shared" si="12"/>
        <v>95.922202509204268</v>
      </c>
      <c r="BK64" s="9">
        <v>0</v>
      </c>
      <c r="BL64" s="45">
        <v>1</v>
      </c>
      <c r="BM64" s="9">
        <v>0</v>
      </c>
      <c r="BN64" s="9">
        <v>0</v>
      </c>
      <c r="BO64" s="9"/>
      <c r="BP64" s="3">
        <f t="shared" si="13"/>
        <v>155.91842562132669</v>
      </c>
      <c r="BQ64" s="3">
        <f t="shared" si="14"/>
        <v>151.23455495290614</v>
      </c>
    </row>
    <row r="65" spans="1:69">
      <c r="A65">
        <v>1986</v>
      </c>
      <c r="B65" s="3">
        <f t="shared" si="15"/>
        <v>69.256444642563352</v>
      </c>
      <c r="C65" s="3">
        <f t="shared" si="0"/>
        <v>50.256813657899102</v>
      </c>
      <c r="D65" s="1">
        <v>48.384500000000003</v>
      </c>
      <c r="E65" s="3">
        <v>71.923879999999997</v>
      </c>
      <c r="F65" s="3">
        <f t="shared" si="16"/>
        <v>34.800009718600002</v>
      </c>
      <c r="G65" s="2">
        <v>1.4959741664166699</v>
      </c>
      <c r="H65" s="3">
        <f t="shared" si="17"/>
        <v>52.059915530074647</v>
      </c>
      <c r="I65" s="3">
        <v>52.069000000000003</v>
      </c>
      <c r="J65" s="3"/>
      <c r="N65">
        <v>1.4959741664166699</v>
      </c>
      <c r="T65">
        <v>1986</v>
      </c>
      <c r="U65" s="1">
        <v>48.384500000000003</v>
      </c>
      <c r="V65" s="3">
        <v>71.923879999999997</v>
      </c>
      <c r="W65" s="3">
        <f t="shared" si="18"/>
        <v>34.800009718600002</v>
      </c>
      <c r="X65">
        <v>1.4959741664166699</v>
      </c>
      <c r="Y65" s="3">
        <f t="shared" si="19"/>
        <v>52.059915530074647</v>
      </c>
      <c r="Z65" s="3">
        <f t="shared" si="20"/>
        <v>52.069000000000003</v>
      </c>
      <c r="AA65" s="3">
        <f t="shared" si="1"/>
        <v>31.279000000000003</v>
      </c>
      <c r="AB65" s="3"/>
      <c r="AC65" s="2">
        <f t="shared" si="21"/>
        <v>1.4959741664166699</v>
      </c>
      <c r="AD65" s="6">
        <f>USA!Z73*Australia!AC65</f>
        <v>22.514411204570884</v>
      </c>
      <c r="AF65" s="3">
        <v>17.72</v>
      </c>
      <c r="AG65" s="3">
        <v>3.07</v>
      </c>
      <c r="AH65" s="3">
        <v>0</v>
      </c>
      <c r="AI65" s="3">
        <f t="shared" si="27"/>
        <v>20.79</v>
      </c>
      <c r="AJ65" s="7">
        <f t="shared" si="2"/>
        <v>20.79</v>
      </c>
      <c r="AK65" s="3">
        <f t="shared" si="25"/>
        <v>0.39934755537568556</v>
      </c>
      <c r="AL65" s="7"/>
      <c r="AM65" s="7"/>
      <c r="AN65" s="7"/>
      <c r="AO65" s="7"/>
      <c r="AP65" s="3">
        <f t="shared" si="22"/>
        <v>26.223992520972832</v>
      </c>
      <c r="AQ65" s="3">
        <v>79.2785461</v>
      </c>
      <c r="AS65" s="3">
        <f t="shared" si="3"/>
        <v>43.304411204570883</v>
      </c>
      <c r="AU65" s="9">
        <v>1986</v>
      </c>
      <c r="AV65" s="3">
        <f t="shared" si="4"/>
        <v>52.069000000000003</v>
      </c>
      <c r="AW65" s="3">
        <f t="shared" si="28"/>
        <v>17.72</v>
      </c>
      <c r="AX65" s="3">
        <f t="shared" si="29"/>
        <v>3.07</v>
      </c>
      <c r="AY65" s="3">
        <f t="shared" si="30"/>
        <v>0</v>
      </c>
      <c r="AZ65" s="3">
        <f t="shared" si="31"/>
        <v>20.79</v>
      </c>
      <c r="BA65" s="3">
        <f t="shared" si="8"/>
        <v>31.279000000000003</v>
      </c>
      <c r="BC65" s="3">
        <v>43.159130945390487</v>
      </c>
      <c r="BE65" s="3">
        <f t="shared" si="9"/>
        <v>120.64422721088437</v>
      </c>
      <c r="BF65" s="3">
        <f t="shared" si="23"/>
        <v>121.62276325606916</v>
      </c>
      <c r="BG65" s="3">
        <f t="shared" si="24"/>
        <v>48.170571428571428</v>
      </c>
      <c r="BH65" s="7">
        <f t="shared" si="32"/>
        <v>72.473655782312932</v>
      </c>
      <c r="BI65" s="7">
        <f t="shared" si="11"/>
        <v>73.452191827497728</v>
      </c>
      <c r="BJ65" s="3">
        <f t="shared" si="12"/>
        <v>52.166043920250637</v>
      </c>
      <c r="BK65" s="9">
        <v>0</v>
      </c>
      <c r="BL65" s="45">
        <v>1</v>
      </c>
      <c r="BM65" s="9">
        <v>0</v>
      </c>
      <c r="BN65" s="9">
        <v>0</v>
      </c>
      <c r="BO65" s="9"/>
      <c r="BP65" s="3">
        <f t="shared" si="13"/>
        <v>142.29640055133493</v>
      </c>
      <c r="BQ65" s="3">
        <f t="shared" si="14"/>
        <v>143.45055570868152</v>
      </c>
    </row>
    <row r="66" spans="1:69">
      <c r="A66">
        <v>1987</v>
      </c>
      <c r="B66" s="3">
        <f t="shared" si="15"/>
        <v>73.738112380014101</v>
      </c>
      <c r="C66" s="3">
        <f t="shared" si="0"/>
        <v>52.136856526716379</v>
      </c>
      <c r="D66" s="1">
        <v>51.0625</v>
      </c>
      <c r="E66" s="3">
        <v>74.614459999999994</v>
      </c>
      <c r="F66" s="3">
        <f t="shared" si="16"/>
        <v>38.100008637499997</v>
      </c>
      <c r="G66" s="2">
        <v>1.42818</v>
      </c>
      <c r="H66" s="3">
        <f t="shared" si="17"/>
        <v>54.413670335904747</v>
      </c>
      <c r="I66" s="3">
        <v>54.905999999999999</v>
      </c>
      <c r="J66" s="3"/>
      <c r="N66">
        <v>1.42818</v>
      </c>
      <c r="T66">
        <v>1987</v>
      </c>
      <c r="U66" s="1">
        <v>51.0625</v>
      </c>
      <c r="V66" s="3">
        <v>74.614459999999994</v>
      </c>
      <c r="W66" s="3">
        <f t="shared" si="18"/>
        <v>38.100008637499997</v>
      </c>
      <c r="X66">
        <v>1.42818</v>
      </c>
      <c r="Y66" s="3">
        <f t="shared" si="19"/>
        <v>54.413670335904747</v>
      </c>
      <c r="Z66" s="3">
        <f t="shared" si="20"/>
        <v>54.905999999999999</v>
      </c>
      <c r="AA66" s="3">
        <f t="shared" si="1"/>
        <v>31.315999999999999</v>
      </c>
      <c r="AB66" s="3"/>
      <c r="AC66" s="2">
        <f t="shared" si="21"/>
        <v>1.42818</v>
      </c>
      <c r="AD66" s="6">
        <f>USA!Z74*Australia!AC66</f>
        <v>27.421056</v>
      </c>
      <c r="AF66" s="3">
        <v>19.88</v>
      </c>
      <c r="AG66" s="3">
        <v>3.71</v>
      </c>
      <c r="AH66" s="3">
        <v>0</v>
      </c>
      <c r="AI66" s="3">
        <f t="shared" si="27"/>
        <v>23.59</v>
      </c>
      <c r="AJ66" s="7">
        <f t="shared" si="2"/>
        <v>23.59</v>
      </c>
      <c r="AK66" s="3">
        <f t="shared" si="25"/>
        <v>0.43353076266267204</v>
      </c>
      <c r="AL66" s="7"/>
      <c r="AM66" s="7" t="s">
        <v>190</v>
      </c>
      <c r="AN66" s="7"/>
      <c r="AO66" s="7"/>
      <c r="AP66" s="3">
        <f t="shared" si="22"/>
        <v>27.453221127355768</v>
      </c>
      <c r="AQ66" s="3">
        <v>85.927985974999999</v>
      </c>
      <c r="AS66" s="3">
        <f t="shared" si="3"/>
        <v>51.011055999999996</v>
      </c>
      <c r="AU66" s="9">
        <v>1987</v>
      </c>
      <c r="AV66" s="3">
        <f t="shared" si="4"/>
        <v>54.905999999999999</v>
      </c>
      <c r="AW66" s="3">
        <f t="shared" si="28"/>
        <v>19.88</v>
      </c>
      <c r="AX66" s="3">
        <f t="shared" si="29"/>
        <v>3.71</v>
      </c>
      <c r="AY66" s="3">
        <f t="shared" si="30"/>
        <v>0</v>
      </c>
      <c r="AZ66" s="3">
        <f t="shared" si="31"/>
        <v>23.59</v>
      </c>
      <c r="BA66" s="3">
        <f t="shared" si="8"/>
        <v>31.315999999999999</v>
      </c>
      <c r="BC66" s="3">
        <v>47.210804462712858</v>
      </c>
      <c r="BE66" s="3">
        <f t="shared" si="9"/>
        <v>116.29964925373135</v>
      </c>
      <c r="BF66" s="3">
        <f t="shared" si="23"/>
        <v>114.14153716080537</v>
      </c>
      <c r="BG66" s="3">
        <f t="shared" si="24"/>
        <v>49.967375621890547</v>
      </c>
      <c r="BH66" s="7">
        <f t="shared" si="32"/>
        <v>66.332273631840792</v>
      </c>
      <c r="BI66" s="7">
        <f t="shared" si="11"/>
        <v>64.174161538914831</v>
      </c>
      <c r="BJ66" s="3">
        <f t="shared" si="12"/>
        <v>58.082162149253733</v>
      </c>
      <c r="BK66" s="9">
        <v>0</v>
      </c>
      <c r="BL66" s="9">
        <v>0</v>
      </c>
      <c r="BM66" s="9">
        <v>0</v>
      </c>
      <c r="BN66" s="9">
        <v>0</v>
      </c>
      <c r="BO66" s="9"/>
      <c r="BP66" s="3">
        <f t="shared" si="13"/>
        <v>137.17209564665922</v>
      </c>
      <c r="BQ66" s="3">
        <f t="shared" si="14"/>
        <v>134.62666442372236</v>
      </c>
    </row>
    <row r="67" spans="1:69">
      <c r="A67">
        <v>1988</v>
      </c>
      <c r="B67" s="3">
        <f t="shared" si="15"/>
        <v>76.689690944708573</v>
      </c>
      <c r="C67" s="3">
        <f t="shared" si="0"/>
        <v>54.227069431021505</v>
      </c>
      <c r="D67" s="1">
        <v>53.4754</v>
      </c>
      <c r="E67" s="3">
        <v>77.605819999999994</v>
      </c>
      <c r="F67" s="3">
        <f t="shared" si="16"/>
        <v>41.500022668279996</v>
      </c>
      <c r="G67" s="2">
        <v>1.2799083333333301</v>
      </c>
      <c r="H67" s="3">
        <f t="shared" si="17"/>
        <v>53.116224846653665</v>
      </c>
      <c r="I67" s="3">
        <v>53.226999999999997</v>
      </c>
      <c r="J67" s="3"/>
      <c r="N67">
        <v>1.2799083333333301</v>
      </c>
      <c r="T67">
        <v>1988</v>
      </c>
      <c r="U67" s="1">
        <v>53.4754</v>
      </c>
      <c r="V67" s="3">
        <v>77.605819999999994</v>
      </c>
      <c r="W67" s="3">
        <f t="shared" si="18"/>
        <v>41.500022668279996</v>
      </c>
      <c r="X67">
        <v>1.2799083333333301</v>
      </c>
      <c r="Y67" s="3">
        <f t="shared" si="19"/>
        <v>53.116224846653665</v>
      </c>
      <c r="Z67" s="3">
        <f t="shared" si="20"/>
        <v>53.226999999999997</v>
      </c>
      <c r="AA67" s="3">
        <f t="shared" si="1"/>
        <v>28.336999999999996</v>
      </c>
      <c r="AB67" s="3"/>
      <c r="AC67" s="2">
        <f t="shared" si="21"/>
        <v>1.2799083333333301</v>
      </c>
      <c r="AD67" s="6">
        <f>USA!Z75*Australia!AC67</f>
        <v>20.440136083333282</v>
      </c>
      <c r="AF67" s="3">
        <v>21.06</v>
      </c>
      <c r="AG67" s="3">
        <v>3.83</v>
      </c>
      <c r="AH67" s="3">
        <v>0</v>
      </c>
      <c r="AI67" s="3">
        <f t="shared" si="27"/>
        <v>24.89</v>
      </c>
      <c r="AJ67" s="7">
        <f t="shared" si="2"/>
        <v>24.89</v>
      </c>
      <c r="AK67" s="3">
        <f t="shared" si="25"/>
        <v>0.46859504928780865</v>
      </c>
      <c r="AL67" s="7"/>
      <c r="AM67" s="7"/>
      <c r="AN67" s="7"/>
      <c r="AO67" s="7"/>
      <c r="AP67" s="3">
        <f t="shared" si="22"/>
        <v>27.107910527919298</v>
      </c>
      <c r="AQ67" s="3">
        <v>91.818216584288194</v>
      </c>
      <c r="AS67" s="3">
        <f t="shared" si="3"/>
        <v>45.330136083333286</v>
      </c>
      <c r="AU67" s="9">
        <v>1988</v>
      </c>
      <c r="AV67" s="3">
        <f t="shared" si="4"/>
        <v>53.226999999999997</v>
      </c>
      <c r="AW67" s="3">
        <f t="shared" si="28"/>
        <v>21.06</v>
      </c>
      <c r="AX67" s="3">
        <f t="shared" si="29"/>
        <v>3.83</v>
      </c>
      <c r="AY67" s="3">
        <f t="shared" si="30"/>
        <v>0</v>
      </c>
      <c r="AZ67" s="3">
        <f t="shared" si="31"/>
        <v>24.89</v>
      </c>
      <c r="BA67" s="3">
        <f t="shared" si="8"/>
        <v>28.336999999999996</v>
      </c>
      <c r="BC67" s="3">
        <v>50.675278919553726</v>
      </c>
      <c r="BE67" s="3">
        <f t="shared" si="9"/>
        <v>105.0354356894554</v>
      </c>
      <c r="BF67" s="3">
        <f t="shared" si="23"/>
        <v>103.62795101772141</v>
      </c>
      <c r="BG67" s="3">
        <f t="shared" si="24"/>
        <v>49.11665121668598</v>
      </c>
      <c r="BH67" s="7">
        <f t="shared" si="32"/>
        <v>55.918784472769417</v>
      </c>
      <c r="BI67" s="7">
        <f t="shared" si="11"/>
        <v>54.511299801035435</v>
      </c>
      <c r="BJ67" s="3">
        <f t="shared" si="12"/>
        <v>40.335517670818746</v>
      </c>
      <c r="BK67" s="9">
        <v>0</v>
      </c>
      <c r="BL67" s="9">
        <v>0</v>
      </c>
      <c r="BM67" s="9">
        <v>0</v>
      </c>
      <c r="BN67" s="9">
        <v>0</v>
      </c>
      <c r="BO67" s="9"/>
      <c r="BP67" s="3">
        <f t="shared" si="13"/>
        <v>123.8862793063861</v>
      </c>
      <c r="BQ67" s="3">
        <f t="shared" si="14"/>
        <v>122.22619156535529</v>
      </c>
    </row>
    <row r="68" spans="1:69">
      <c r="A68">
        <v>1989</v>
      </c>
      <c r="B68" s="3">
        <f t="shared" si="15"/>
        <v>77.277056693575432</v>
      </c>
      <c r="C68" s="3">
        <f t="shared" si="0"/>
        <v>56.844608024141067</v>
      </c>
      <c r="D68" s="1">
        <v>53.963099999999997</v>
      </c>
      <c r="E68" s="3">
        <v>81.351849999999999</v>
      </c>
      <c r="F68" s="3">
        <f t="shared" si="16"/>
        <v>43.899980167349995</v>
      </c>
      <c r="G68" s="2">
        <v>1.2645966666666699</v>
      </c>
      <c r="H68" s="3">
        <f t="shared" si="17"/>
        <v>55.51576858636372</v>
      </c>
      <c r="I68" s="3">
        <v>55.551000000000002</v>
      </c>
      <c r="J68" s="3"/>
      <c r="N68">
        <v>1.2645966666666699</v>
      </c>
      <c r="T68">
        <v>1989</v>
      </c>
      <c r="U68" s="1">
        <v>53.963099999999997</v>
      </c>
      <c r="V68" s="3">
        <v>81.351849999999999</v>
      </c>
      <c r="W68" s="3">
        <f t="shared" si="18"/>
        <v>43.899980167349995</v>
      </c>
      <c r="X68">
        <v>1.2645966666666699</v>
      </c>
      <c r="Y68" s="3">
        <f t="shared" si="19"/>
        <v>55.51576858636372</v>
      </c>
      <c r="Z68" s="3">
        <f t="shared" si="20"/>
        <v>55.551000000000002</v>
      </c>
      <c r="AA68" s="3">
        <f t="shared" si="1"/>
        <v>28.721000000000004</v>
      </c>
      <c r="AB68" s="3"/>
      <c r="AC68" s="2">
        <f t="shared" si="21"/>
        <v>1.2645966666666699</v>
      </c>
      <c r="AD68" s="6">
        <f>USA!Z76*Australia!AC68</f>
        <v>24.836678533333398</v>
      </c>
      <c r="AF68" s="3">
        <v>22.7</v>
      </c>
      <c r="AG68" s="3">
        <v>4.13</v>
      </c>
      <c r="AH68" s="3">
        <v>0</v>
      </c>
      <c r="AI68" s="3">
        <f t="shared" si="27"/>
        <v>26.83</v>
      </c>
      <c r="AJ68" s="7">
        <f t="shared" si="2"/>
        <v>26.83</v>
      </c>
      <c r="AK68" s="3">
        <f t="shared" si="25"/>
        <v>0.48328611281426487</v>
      </c>
      <c r="AL68" s="7"/>
      <c r="AM68" s="7"/>
      <c r="AN68" s="7"/>
      <c r="AO68" s="7"/>
      <c r="AP68" s="3">
        <f t="shared" si="22"/>
        <v>27.528231189858623</v>
      </c>
      <c r="AQ68" s="3">
        <v>97.463581350203668</v>
      </c>
      <c r="AS68" s="3">
        <f t="shared" si="3"/>
        <v>51.666678533333396</v>
      </c>
      <c r="AU68" s="9">
        <v>1989</v>
      </c>
      <c r="AV68" s="3">
        <f t="shared" si="4"/>
        <v>55.551000000000002</v>
      </c>
      <c r="AW68" s="3">
        <f t="shared" si="28"/>
        <v>22.7</v>
      </c>
      <c r="AX68" s="3">
        <f t="shared" si="29"/>
        <v>4.13</v>
      </c>
      <c r="AY68" s="3">
        <f t="shared" si="30"/>
        <v>0</v>
      </c>
      <c r="AZ68" s="3">
        <f t="shared" si="31"/>
        <v>26.83</v>
      </c>
      <c r="BA68" s="3">
        <f t="shared" si="8"/>
        <v>28.721000000000004</v>
      </c>
      <c r="BC68" s="3">
        <v>54.374633000587188</v>
      </c>
      <c r="BE68" s="3">
        <f t="shared" si="9"/>
        <v>102.16344816414689</v>
      </c>
      <c r="BF68" s="3">
        <f t="shared" si="23"/>
        <v>106.76252004945709</v>
      </c>
      <c r="BG68" s="3">
        <f t="shared" si="24"/>
        <v>49.342861771058324</v>
      </c>
      <c r="BH68" s="7">
        <f t="shared" si="32"/>
        <v>52.820586393088561</v>
      </c>
      <c r="BI68" s="7">
        <f t="shared" si="11"/>
        <v>57.419658278398771</v>
      </c>
      <c r="BJ68" s="3">
        <f t="shared" si="12"/>
        <v>45.676958468970611</v>
      </c>
      <c r="BK68" s="9">
        <v>0</v>
      </c>
      <c r="BL68" s="9">
        <v>0</v>
      </c>
      <c r="BM68" s="9">
        <v>0</v>
      </c>
      <c r="BN68" s="9">
        <v>0</v>
      </c>
      <c r="BO68" s="9"/>
      <c r="BP68" s="3">
        <f t="shared" si="13"/>
        <v>120.49885251666177</v>
      </c>
      <c r="BQ68" s="3">
        <f t="shared" si="14"/>
        <v>125.92332569939059</v>
      </c>
    </row>
    <row r="69" spans="1:69">
      <c r="A69">
        <v>1990</v>
      </c>
      <c r="B69" s="3">
        <f t="shared" si="15"/>
        <v>88.660857435183615</v>
      </c>
      <c r="C69" s="3">
        <f t="shared" si="0"/>
        <v>59.913057002261802</v>
      </c>
      <c r="D69" s="1">
        <v>71.329300000000003</v>
      </c>
      <c r="E69" s="3">
        <v>85.743189999999998</v>
      </c>
      <c r="F69" s="3">
        <f t="shared" si="16"/>
        <v>61.16001722467</v>
      </c>
      <c r="G69" s="2">
        <v>1.2810566666666701</v>
      </c>
      <c r="H69" s="3">
        <f t="shared" si="17"/>
        <v>78.349447799111871</v>
      </c>
      <c r="I69" s="3">
        <v>68.049000000000007</v>
      </c>
      <c r="J69" s="3"/>
      <c r="K69" s="4">
        <f t="shared" ref="K69:K77" si="33">L69*I$79/L$79</f>
        <v>66.16436852723605</v>
      </c>
      <c r="L69">
        <v>112.8</v>
      </c>
      <c r="N69">
        <v>1.2810566666666701</v>
      </c>
      <c r="T69">
        <v>1990</v>
      </c>
      <c r="U69" s="1">
        <v>71.329300000000003</v>
      </c>
      <c r="V69" s="3">
        <v>85.743189999999998</v>
      </c>
      <c r="W69" s="3">
        <f t="shared" si="18"/>
        <v>61.16001722467</v>
      </c>
      <c r="X69">
        <v>1.2810566666666701</v>
      </c>
      <c r="Y69" s="3">
        <f t="shared" si="19"/>
        <v>78.349447799111871</v>
      </c>
      <c r="Z69" s="3">
        <f t="shared" si="20"/>
        <v>68.049000000000007</v>
      </c>
      <c r="AA69" s="3">
        <f t="shared" si="1"/>
        <v>38.859000000000009</v>
      </c>
      <c r="AB69" s="3"/>
      <c r="AC69" s="2">
        <f t="shared" si="21"/>
        <v>1.2810566666666701</v>
      </c>
      <c r="AD69" s="6">
        <f>USA!Z77*Australia!AC69</f>
        <v>31.424320033333419</v>
      </c>
      <c r="AF69" s="3">
        <v>24.5</v>
      </c>
      <c r="AG69" s="3">
        <v>4.6900000000000004</v>
      </c>
      <c r="AH69" s="3">
        <v>0</v>
      </c>
      <c r="AI69" s="3">
        <f t="shared" si="27"/>
        <v>29.19</v>
      </c>
      <c r="AJ69" s="7">
        <f t="shared" si="2"/>
        <v>29.190000000000005</v>
      </c>
      <c r="AK69" s="3">
        <f t="shared" si="25"/>
        <v>0.37256165576103634</v>
      </c>
      <c r="AL69" s="7"/>
      <c r="AM69" s="7"/>
      <c r="AN69" s="7"/>
      <c r="AO69" s="7"/>
      <c r="AP69" s="3">
        <f t="shared" si="22"/>
        <v>28.170048677778482</v>
      </c>
      <c r="AQ69" s="3">
        <v>103.62069421280799</v>
      </c>
      <c r="AS69" s="3">
        <f t="shared" si="3"/>
        <v>60.614320033333421</v>
      </c>
      <c r="AU69" s="9">
        <v>1990</v>
      </c>
      <c r="AV69" s="3">
        <f t="shared" si="4"/>
        <v>68.049000000000007</v>
      </c>
      <c r="AW69" s="3">
        <f t="shared" si="28"/>
        <v>24.5</v>
      </c>
      <c r="AX69" s="3">
        <f t="shared" si="29"/>
        <v>4.6900000000000004</v>
      </c>
      <c r="AY69" s="3">
        <f t="shared" si="30"/>
        <v>0</v>
      </c>
      <c r="AZ69" s="3">
        <f t="shared" si="31"/>
        <v>29.19</v>
      </c>
      <c r="BA69" s="3">
        <f t="shared" si="8"/>
        <v>38.859000000000009</v>
      </c>
      <c r="BC69" s="3">
        <v>58.719906048150314</v>
      </c>
      <c r="BE69" s="3">
        <f t="shared" si="9"/>
        <v>115.88744700000002</v>
      </c>
      <c r="BF69" s="3">
        <f t="shared" si="23"/>
        <v>111.39829562205027</v>
      </c>
      <c r="BG69" s="3">
        <f t="shared" si="24"/>
        <v>49.710570000000011</v>
      </c>
      <c r="BH69" s="7">
        <f t="shared" si="32"/>
        <v>66.176877000000019</v>
      </c>
      <c r="BI69" s="7">
        <f t="shared" si="11"/>
        <v>61.687725622050259</v>
      </c>
      <c r="BJ69" s="3">
        <f t="shared" si="12"/>
        <v>53.515617016766825</v>
      </c>
      <c r="BK69" s="9">
        <v>0</v>
      </c>
      <c r="BL69" s="9">
        <v>0</v>
      </c>
      <c r="BM69" s="9">
        <v>0</v>
      </c>
      <c r="BN69" s="9">
        <v>0</v>
      </c>
      <c r="BO69" s="9"/>
      <c r="BP69" s="3">
        <f t="shared" si="13"/>
        <v>136.68591492868265</v>
      </c>
      <c r="BQ69" s="3">
        <f t="shared" si="14"/>
        <v>131.39108982697496</v>
      </c>
    </row>
    <row r="70" spans="1:69">
      <c r="A70">
        <v>1991</v>
      </c>
      <c r="B70" s="3">
        <f t="shared" si="15"/>
        <v>82.906534617372444</v>
      </c>
      <c r="C70" s="3">
        <f t="shared" si="0"/>
        <v>62.450351141377027</v>
      </c>
      <c r="D70" s="1">
        <v>57.958399999999997</v>
      </c>
      <c r="E70" s="3">
        <v>89.374380000000002</v>
      </c>
      <c r="F70" s="3">
        <f t="shared" si="16"/>
        <v>51.799960657920003</v>
      </c>
      <c r="G70" s="2">
        <v>1.2837558333333301</v>
      </c>
      <c r="H70" s="3">
        <f t="shared" si="17"/>
        <v>66.498501661041814</v>
      </c>
      <c r="I70" s="3">
        <v>66.466999999999999</v>
      </c>
      <c r="J70" s="3"/>
      <c r="K70" s="4">
        <f t="shared" si="33"/>
        <v>64.756616005379968</v>
      </c>
      <c r="L70">
        <v>110.4</v>
      </c>
      <c r="N70">
        <v>1.2837558333333301</v>
      </c>
      <c r="T70">
        <v>1991</v>
      </c>
      <c r="U70" s="1">
        <v>57.958399999999997</v>
      </c>
      <c r="V70" s="3">
        <v>89.374380000000002</v>
      </c>
      <c r="W70" s="3">
        <f t="shared" si="18"/>
        <v>51.799960657920003</v>
      </c>
      <c r="X70">
        <v>1.2837558333333301</v>
      </c>
      <c r="Y70" s="3">
        <f t="shared" si="19"/>
        <v>66.498501661041814</v>
      </c>
      <c r="Z70" s="3">
        <f t="shared" si="20"/>
        <v>66.466999999999999</v>
      </c>
      <c r="AA70" s="3">
        <f t="shared" si="1"/>
        <v>35.447000000000003</v>
      </c>
      <c r="AB70" s="3"/>
      <c r="AC70" s="2">
        <f t="shared" si="21"/>
        <v>1.2837558333333301</v>
      </c>
      <c r="AD70" s="6">
        <f>USA!Z78*Australia!AC70</f>
        <v>27.65210064999993</v>
      </c>
      <c r="AF70" s="3">
        <v>25.7</v>
      </c>
      <c r="AG70" s="3">
        <v>5.32</v>
      </c>
      <c r="AH70" s="3">
        <v>0</v>
      </c>
      <c r="AI70" s="3">
        <f t="shared" si="27"/>
        <v>31.02</v>
      </c>
      <c r="AJ70" s="7">
        <f t="shared" si="2"/>
        <v>31.02</v>
      </c>
      <c r="AK70" s="3">
        <f t="shared" si="25"/>
        <v>0.46647667579212665</v>
      </c>
      <c r="AL70" s="7"/>
      <c r="AM70" s="7"/>
      <c r="AN70" s="7"/>
      <c r="AO70" s="7"/>
      <c r="AP70" s="3">
        <f t="shared" si="22"/>
        <v>28.848470440305555</v>
      </c>
      <c r="AQ70" s="3">
        <v>107.52736462817973</v>
      </c>
      <c r="AS70" s="3">
        <f t="shared" si="3"/>
        <v>58.672100649999933</v>
      </c>
      <c r="AU70" s="9">
        <v>1991</v>
      </c>
      <c r="AV70" s="3">
        <f t="shared" si="4"/>
        <v>66.466999999999999</v>
      </c>
      <c r="AW70" s="3">
        <f t="shared" si="28"/>
        <v>25.7</v>
      </c>
      <c r="AX70" s="3">
        <f t="shared" si="29"/>
        <v>5.32</v>
      </c>
      <c r="AY70" s="3">
        <f t="shared" si="30"/>
        <v>0</v>
      </c>
      <c r="AZ70" s="3">
        <f t="shared" si="31"/>
        <v>31.02</v>
      </c>
      <c r="BA70" s="3">
        <f t="shared" si="8"/>
        <v>35.447000000000003</v>
      </c>
      <c r="BC70" s="3">
        <v>61.832061068702281</v>
      </c>
      <c r="BE70" s="3">
        <f t="shared" si="9"/>
        <v>107.49601234567902</v>
      </c>
      <c r="BF70" s="3">
        <f t="shared" si="23"/>
        <v>107.06745964400432</v>
      </c>
      <c r="BG70" s="3">
        <f t="shared" si="24"/>
        <v>50.168148148148148</v>
      </c>
      <c r="BH70" s="7">
        <f t="shared" si="32"/>
        <v>57.327864197530872</v>
      </c>
      <c r="BI70" s="7">
        <f t="shared" si="11"/>
        <v>56.899311495856168</v>
      </c>
      <c r="BJ70" s="3">
        <f t="shared" si="12"/>
        <v>44.721298582098662</v>
      </c>
      <c r="BK70" s="9">
        <v>0</v>
      </c>
      <c r="BL70" s="9">
        <v>0</v>
      </c>
      <c r="BM70" s="9">
        <v>0</v>
      </c>
      <c r="BN70" s="9">
        <v>0</v>
      </c>
      <c r="BO70" s="9"/>
      <c r="BP70" s="3">
        <f t="shared" si="13"/>
        <v>126.7884587935922</v>
      </c>
      <c r="BQ70" s="3">
        <f t="shared" si="14"/>
        <v>126.28299319192469</v>
      </c>
    </row>
    <row r="71" spans="1:69">
      <c r="A71">
        <v>1992</v>
      </c>
      <c r="B71" s="3">
        <f t="shared" si="15"/>
        <v>77.285968612805632</v>
      </c>
      <c r="C71" s="3">
        <f t="shared" si="0"/>
        <v>64.341860498266513</v>
      </c>
      <c r="D71" s="1">
        <v>54.191200000000002</v>
      </c>
      <c r="E71" s="3">
        <v>92.081370000000007</v>
      </c>
      <c r="F71" s="3">
        <f t="shared" si="16"/>
        <v>49.899999379440004</v>
      </c>
      <c r="G71" s="2">
        <v>1.36164833333333</v>
      </c>
      <c r="H71" s="3">
        <f t="shared" si="17"/>
        <v>67.94625098834868</v>
      </c>
      <c r="I71" s="3">
        <v>67.710999999999999</v>
      </c>
      <c r="J71" s="3"/>
      <c r="K71" s="4">
        <f t="shared" si="33"/>
        <v>66.105712172158704</v>
      </c>
      <c r="L71">
        <v>112.7</v>
      </c>
      <c r="N71">
        <v>1.36164833333333</v>
      </c>
      <c r="T71">
        <v>1992</v>
      </c>
      <c r="U71" s="1">
        <v>54.191200000000002</v>
      </c>
      <c r="V71" s="3">
        <v>92.081370000000007</v>
      </c>
      <c r="W71" s="3">
        <f t="shared" si="18"/>
        <v>49.899999379440004</v>
      </c>
      <c r="X71">
        <v>1.36164833333333</v>
      </c>
      <c r="Y71" s="3">
        <f t="shared" si="19"/>
        <v>67.94625098834868</v>
      </c>
      <c r="Z71" s="3">
        <f t="shared" si="20"/>
        <v>67.710999999999999</v>
      </c>
      <c r="AA71" s="3">
        <f t="shared" si="1"/>
        <v>36.111000000000004</v>
      </c>
      <c r="AB71" s="3"/>
      <c r="AC71" s="2">
        <f t="shared" si="21"/>
        <v>1.36164833333333</v>
      </c>
      <c r="AD71" s="6">
        <f>USA!Z79*Australia!AC71</f>
        <v>28.022722699999928</v>
      </c>
      <c r="AF71" s="3">
        <v>26.15</v>
      </c>
      <c r="AG71" s="3">
        <v>5.45</v>
      </c>
      <c r="AH71" s="3">
        <v>0</v>
      </c>
      <c r="AI71" s="3">
        <f t="shared" si="27"/>
        <v>31.599999999999998</v>
      </c>
      <c r="AJ71" s="7">
        <f t="shared" si="2"/>
        <v>31.599999999999998</v>
      </c>
      <c r="AK71" s="3">
        <f t="shared" si="25"/>
        <v>0.46507348882896743</v>
      </c>
      <c r="AL71" s="7"/>
      <c r="AM71" s="7"/>
      <c r="AN71" s="7"/>
      <c r="AO71" s="7"/>
      <c r="AP71" s="3">
        <f t="shared" si="22"/>
        <v>28.823259136286435</v>
      </c>
      <c r="AQ71" s="3">
        <v>109.63368108576537</v>
      </c>
      <c r="AS71" s="3">
        <f t="shared" si="3"/>
        <v>59.622722699999926</v>
      </c>
      <c r="AU71" s="9">
        <v>1992</v>
      </c>
      <c r="AV71" s="3">
        <f t="shared" si="4"/>
        <v>67.710999999999999</v>
      </c>
      <c r="AW71" s="3">
        <f t="shared" si="28"/>
        <v>26.15</v>
      </c>
      <c r="AX71" s="3">
        <f t="shared" si="29"/>
        <v>5.45</v>
      </c>
      <c r="AY71" s="3">
        <f t="shared" si="30"/>
        <v>0</v>
      </c>
      <c r="AZ71" s="3">
        <f t="shared" si="31"/>
        <v>31.599999999999998</v>
      </c>
      <c r="BA71" s="3">
        <f t="shared" si="8"/>
        <v>36.111000000000004</v>
      </c>
      <c r="BC71" s="3">
        <v>63.006459189665286</v>
      </c>
      <c r="BE71" s="3">
        <f t="shared" si="9"/>
        <v>107.46675955265613</v>
      </c>
      <c r="BF71" s="3">
        <f t="shared" si="23"/>
        <v>106.91931105967346</v>
      </c>
      <c r="BG71" s="3">
        <f t="shared" si="24"/>
        <v>50.153588070829457</v>
      </c>
      <c r="BH71" s="7">
        <f t="shared" si="32"/>
        <v>57.313171481826672</v>
      </c>
      <c r="BI71" s="7">
        <f t="shared" si="11"/>
        <v>56.765722988844004</v>
      </c>
      <c r="BJ71" s="3">
        <f t="shared" si="12"/>
        <v>44.475952244268299</v>
      </c>
      <c r="BK71" s="9">
        <v>0</v>
      </c>
      <c r="BL71" s="9">
        <v>0</v>
      </c>
      <c r="BM71" s="9">
        <v>0</v>
      </c>
      <c r="BN71" s="9">
        <v>0</v>
      </c>
      <c r="BO71" s="9"/>
      <c r="BP71" s="3">
        <f t="shared" si="13"/>
        <v>126.75395596449326</v>
      </c>
      <c r="BQ71" s="3">
        <f t="shared" si="14"/>
        <v>126.10825619219899</v>
      </c>
    </row>
    <row r="72" spans="1:69">
      <c r="A72">
        <v>1993</v>
      </c>
      <c r="B72" s="3">
        <f t="shared" si="15"/>
        <v>69.244472231673043</v>
      </c>
      <c r="C72" s="3">
        <f t="shared" si="0"/>
        <v>66.241014180537462</v>
      </c>
      <c r="D72" s="1">
        <v>48.312600000000003</v>
      </c>
      <c r="E72" s="3">
        <v>94.799300000000002</v>
      </c>
      <c r="F72" s="3">
        <f t="shared" si="16"/>
        <v>45.800006611800008</v>
      </c>
      <c r="G72" s="2">
        <v>1.4705600000000001</v>
      </c>
      <c r="H72" s="3">
        <f t="shared" si="17"/>
        <v>67.351657723048618</v>
      </c>
      <c r="I72" s="3">
        <v>67.451999999999998</v>
      </c>
      <c r="J72" s="3"/>
      <c r="K72" s="4">
        <f t="shared" si="33"/>
        <v>65.753774041694697</v>
      </c>
      <c r="L72">
        <v>112.1</v>
      </c>
      <c r="M72" s="4"/>
      <c r="N72">
        <v>1.4705600000000001</v>
      </c>
      <c r="O72" s="3"/>
      <c r="T72">
        <v>1993</v>
      </c>
      <c r="U72" s="1">
        <v>48.312600000000003</v>
      </c>
      <c r="V72" s="3">
        <v>94.799300000000002</v>
      </c>
      <c r="W72" s="3">
        <f t="shared" si="18"/>
        <v>45.800006611800008</v>
      </c>
      <c r="X72">
        <v>1.4705600000000001</v>
      </c>
      <c r="Y72" s="3">
        <f t="shared" si="19"/>
        <v>67.351657723048618</v>
      </c>
      <c r="Z72" s="3">
        <f t="shared" si="20"/>
        <v>67.451999999999998</v>
      </c>
      <c r="AA72" s="3">
        <f t="shared" si="1"/>
        <v>35.902000000000001</v>
      </c>
      <c r="AB72" s="3"/>
      <c r="AC72" s="2">
        <f t="shared" si="21"/>
        <v>1.4705600000000001</v>
      </c>
      <c r="AD72" s="6">
        <f>USA!Z80*Australia!AC72</f>
        <v>27.102420800000001</v>
      </c>
      <c r="AF72" s="3">
        <v>26.35</v>
      </c>
      <c r="AG72" s="3">
        <v>5.2</v>
      </c>
      <c r="AH72" s="3">
        <v>0</v>
      </c>
      <c r="AI72" s="3">
        <f t="shared" si="27"/>
        <v>31.55</v>
      </c>
      <c r="AJ72" s="7">
        <f t="shared" si="2"/>
        <v>31.55</v>
      </c>
      <c r="AK72" s="3">
        <f t="shared" si="25"/>
        <v>0.46843687396283906</v>
      </c>
      <c r="AL72" s="7"/>
      <c r="AM72" s="7"/>
      <c r="AN72" s="7"/>
      <c r="AO72" s="7"/>
      <c r="AP72" s="3">
        <f t="shared" si="22"/>
        <v>28.19102979162658</v>
      </c>
      <c r="AQ72" s="3">
        <v>111.91503195591358</v>
      </c>
      <c r="AS72" s="3">
        <f t="shared" si="3"/>
        <v>58.652420800000002</v>
      </c>
      <c r="AU72" s="9">
        <v>1993</v>
      </c>
      <c r="AV72" s="3">
        <f t="shared" si="4"/>
        <v>67.451999999999998</v>
      </c>
      <c r="AW72" s="3">
        <f t="shared" si="28"/>
        <v>26.35</v>
      </c>
      <c r="AX72" s="3">
        <f t="shared" si="29"/>
        <v>5.2</v>
      </c>
      <c r="AY72" s="3">
        <f t="shared" si="30"/>
        <v>0</v>
      </c>
      <c r="AZ72" s="3">
        <f t="shared" si="31"/>
        <v>31.55</v>
      </c>
      <c r="BA72" s="3">
        <f t="shared" si="8"/>
        <v>35.902000000000001</v>
      </c>
      <c r="BC72" s="3">
        <v>63.652378156194942</v>
      </c>
      <c r="BE72" s="3">
        <f t="shared" si="9"/>
        <v>105.96933210332105</v>
      </c>
      <c r="BF72" s="3">
        <f t="shared" si="23"/>
        <v>105.29884299996398</v>
      </c>
      <c r="BG72" s="3">
        <f t="shared" si="24"/>
        <v>49.566097785977867</v>
      </c>
      <c r="BH72" s="7">
        <f t="shared" si="32"/>
        <v>56.403234317343184</v>
      </c>
      <c r="BI72" s="7">
        <f t="shared" si="11"/>
        <v>55.732745213986114</v>
      </c>
      <c r="BJ72" s="3">
        <f t="shared" si="12"/>
        <v>42.57880315719558</v>
      </c>
      <c r="BK72" s="9">
        <v>0</v>
      </c>
      <c r="BL72" s="9">
        <v>0</v>
      </c>
      <c r="BM72" s="9">
        <v>0</v>
      </c>
      <c r="BN72" s="9">
        <v>0</v>
      </c>
      <c r="BO72" s="9"/>
      <c r="BP72" s="3">
        <f t="shared" si="13"/>
        <v>124.98778330084238</v>
      </c>
      <c r="BQ72" s="3">
        <f t="shared" si="14"/>
        <v>124.19696066289031</v>
      </c>
    </row>
    <row r="73" spans="1:69">
      <c r="A73">
        <v>1994</v>
      </c>
      <c r="B73" s="3">
        <f t="shared" si="15"/>
        <v>71.795858705678526</v>
      </c>
      <c r="C73" s="3">
        <f t="shared" si="0"/>
        <v>67.968212466727536</v>
      </c>
      <c r="D73" s="1">
        <v>50.066200000000002</v>
      </c>
      <c r="E73" s="3">
        <v>97.271140000000003</v>
      </c>
      <c r="F73" s="3">
        <f t="shared" si="16"/>
        <v>48.699963494680006</v>
      </c>
      <c r="G73" s="2">
        <v>1.3677508333333299</v>
      </c>
      <c r="H73" s="3">
        <f t="shared" si="17"/>
        <v>66.609415653151331</v>
      </c>
      <c r="I73" s="3">
        <v>66.744</v>
      </c>
      <c r="J73" s="3"/>
      <c r="K73" s="4">
        <f t="shared" si="33"/>
        <v>65.636461331540019</v>
      </c>
      <c r="L73">
        <v>111.9</v>
      </c>
      <c r="M73" s="4"/>
      <c r="N73">
        <v>1.3677508333333299</v>
      </c>
      <c r="O73" s="3"/>
      <c r="T73">
        <v>1994</v>
      </c>
      <c r="U73" s="1">
        <v>50.066200000000002</v>
      </c>
      <c r="V73" s="3">
        <v>97.271140000000003</v>
      </c>
      <c r="W73" s="3">
        <f t="shared" si="18"/>
        <v>48.699963494680006</v>
      </c>
      <c r="X73">
        <v>1.3677508333333299</v>
      </c>
      <c r="Y73" s="3">
        <f t="shared" si="19"/>
        <v>66.609415653151331</v>
      </c>
      <c r="Z73" s="3">
        <f t="shared" si="20"/>
        <v>66.744</v>
      </c>
      <c r="AA73" s="3">
        <f t="shared" si="1"/>
        <v>29.693999999999996</v>
      </c>
      <c r="AB73" s="3"/>
      <c r="AC73" s="2">
        <f t="shared" si="21"/>
        <v>1.3677508333333299</v>
      </c>
      <c r="AD73" s="6">
        <f>USA!Z81*Australia!AC73</f>
        <v>23.525314333333274</v>
      </c>
      <c r="AF73" s="3">
        <v>30.94</v>
      </c>
      <c r="AG73" s="3">
        <v>6.11</v>
      </c>
      <c r="AH73" s="3">
        <v>0</v>
      </c>
      <c r="AI73" s="3">
        <f t="shared" si="27"/>
        <v>37.050000000000004</v>
      </c>
      <c r="AJ73" s="7">
        <f t="shared" si="2"/>
        <v>37.050000000000004</v>
      </c>
      <c r="AK73" s="3">
        <f t="shared" si="25"/>
        <v>0.55622766896690445</v>
      </c>
      <c r="AP73" s="3">
        <f t="shared" si="22"/>
        <v>32.508173073319078</v>
      </c>
      <c r="AQ73" s="3">
        <v>113.97133858133853</v>
      </c>
      <c r="AS73" s="3">
        <f t="shared" si="3"/>
        <v>60.575314333333282</v>
      </c>
      <c r="AU73" s="9">
        <v>1994</v>
      </c>
      <c r="AV73" s="3">
        <f t="shared" si="4"/>
        <v>66.744</v>
      </c>
      <c r="AW73" s="3">
        <f t="shared" si="28"/>
        <v>30.94</v>
      </c>
      <c r="AX73" s="3">
        <f t="shared" si="29"/>
        <v>6.11</v>
      </c>
      <c r="AY73" s="3">
        <f t="shared" si="30"/>
        <v>0</v>
      </c>
      <c r="AZ73" s="3">
        <f t="shared" si="31"/>
        <v>37.050000000000004</v>
      </c>
      <c r="BA73" s="3">
        <f t="shared" si="8"/>
        <v>29.693999999999996</v>
      </c>
      <c r="BC73" s="3">
        <v>64.826776277157961</v>
      </c>
      <c r="BE73" s="3">
        <f t="shared" si="9"/>
        <v>102.95745652173913</v>
      </c>
      <c r="BF73" s="3">
        <f t="shared" si="23"/>
        <v>101.55833648839459</v>
      </c>
      <c r="BG73" s="3">
        <f t="shared" si="24"/>
        <v>57.152309782608704</v>
      </c>
      <c r="BH73" s="7">
        <f t="shared" si="32"/>
        <v>45.805146739130429</v>
      </c>
      <c r="BI73" s="7">
        <f t="shared" si="11"/>
        <v>44.406026705785877</v>
      </c>
      <c r="BJ73" s="3">
        <f t="shared" si="12"/>
        <v>36.289502092089279</v>
      </c>
      <c r="BK73" s="24">
        <v>0.5</v>
      </c>
      <c r="BL73" s="9">
        <v>0</v>
      </c>
      <c r="BM73" s="9">
        <v>0</v>
      </c>
      <c r="BN73" s="9">
        <v>0</v>
      </c>
      <c r="BO73" s="9"/>
      <c r="BP73" s="3">
        <f t="shared" si="13"/>
        <v>121.43536256695667</v>
      </c>
      <c r="BQ73" s="3">
        <f t="shared" si="14"/>
        <v>119.78514067663623</v>
      </c>
    </row>
    <row r="74" spans="1:69">
      <c r="A74">
        <v>1995</v>
      </c>
      <c r="B74" s="3">
        <f t="shared" si="15"/>
        <v>73.495986553232896</v>
      </c>
      <c r="C74" s="3">
        <f t="shared" si="0"/>
        <v>69.875003486879606</v>
      </c>
      <c r="D74" s="1">
        <v>51.4</v>
      </c>
      <c r="E74" s="3">
        <v>100</v>
      </c>
      <c r="F74" s="3">
        <f t="shared" si="16"/>
        <v>51.4</v>
      </c>
      <c r="G74" s="2">
        <v>1.3490325000000001</v>
      </c>
      <c r="H74" s="3">
        <f t="shared" si="17"/>
        <v>69.340270500000003</v>
      </c>
      <c r="I74" s="3">
        <v>69.28</v>
      </c>
      <c r="J74" s="3"/>
      <c r="K74" s="4">
        <f t="shared" si="33"/>
        <v>68.569279085406862</v>
      </c>
      <c r="L74">
        <v>116.9</v>
      </c>
      <c r="M74" s="4"/>
      <c r="N74">
        <v>1.3490325000000001</v>
      </c>
      <c r="O74" s="3"/>
      <c r="T74">
        <v>1995</v>
      </c>
      <c r="U74" s="1">
        <v>51.4</v>
      </c>
      <c r="V74" s="3">
        <v>100</v>
      </c>
      <c r="W74" s="3">
        <f t="shared" si="18"/>
        <v>51.4</v>
      </c>
      <c r="X74">
        <v>1.3490325000000001</v>
      </c>
      <c r="Y74" s="3">
        <f t="shared" si="19"/>
        <v>69.340270500000003</v>
      </c>
      <c r="Z74" s="3">
        <f t="shared" si="20"/>
        <v>69.28</v>
      </c>
      <c r="AA74" s="3">
        <f t="shared" si="1"/>
        <v>29.770000000000003</v>
      </c>
      <c r="AB74" s="3"/>
      <c r="AC74" s="2">
        <f t="shared" si="21"/>
        <v>1.3490325000000001</v>
      </c>
      <c r="AD74" s="6">
        <f>USA!Z82*Australia!AC74</f>
        <v>24.862668975000002</v>
      </c>
      <c r="AF74" s="3">
        <v>33</v>
      </c>
      <c r="AG74" s="3">
        <v>6.51</v>
      </c>
      <c r="AH74" s="3">
        <v>0</v>
      </c>
      <c r="AI74" s="3">
        <f t="shared" si="27"/>
        <v>39.51</v>
      </c>
      <c r="AJ74" s="7">
        <f t="shared" si="2"/>
        <v>39.51</v>
      </c>
      <c r="AK74" s="3">
        <f t="shared" si="25"/>
        <v>0.56979875785168732</v>
      </c>
      <c r="AP74" s="3">
        <f t="shared" si="22"/>
        <v>33.503488307841572</v>
      </c>
      <c r="AQ74" s="3">
        <v>117.92801882887099</v>
      </c>
      <c r="AS74" s="3">
        <f t="shared" si="3"/>
        <v>64.372668974999996</v>
      </c>
      <c r="AU74" s="9">
        <v>1995</v>
      </c>
      <c r="AV74" s="3">
        <f t="shared" si="4"/>
        <v>69.28</v>
      </c>
      <c r="AW74" s="3">
        <f t="shared" si="28"/>
        <v>33</v>
      </c>
      <c r="AX74" s="3">
        <f t="shared" si="29"/>
        <v>6.51</v>
      </c>
      <c r="AY74" s="3">
        <f t="shared" si="30"/>
        <v>0</v>
      </c>
      <c r="AZ74" s="3">
        <f t="shared" si="31"/>
        <v>39.51</v>
      </c>
      <c r="BA74" s="3">
        <f t="shared" si="8"/>
        <v>29.770000000000003</v>
      </c>
      <c r="BC74" s="3">
        <v>66.881972988843216</v>
      </c>
      <c r="BE74" s="3">
        <f t="shared" si="9"/>
        <v>103.58546093064092</v>
      </c>
      <c r="BF74" s="3">
        <f t="shared" si="23"/>
        <v>103.96181172621118</v>
      </c>
      <c r="BG74" s="3">
        <f t="shared" si="24"/>
        <v>59.074214223002627</v>
      </c>
      <c r="BH74" s="7">
        <f t="shared" si="32"/>
        <v>44.511246707638293</v>
      </c>
      <c r="BI74" s="7">
        <f t="shared" si="11"/>
        <v>44.887597503208546</v>
      </c>
      <c r="BJ74" s="3">
        <f t="shared" si="12"/>
        <v>37.173946676404746</v>
      </c>
      <c r="BK74" s="24">
        <v>0.5</v>
      </c>
      <c r="BL74" s="9">
        <v>0</v>
      </c>
      <c r="BM74" s="9">
        <v>0</v>
      </c>
      <c r="BN74" s="9">
        <v>0</v>
      </c>
      <c r="BO74" s="9"/>
      <c r="BP74" s="3">
        <f t="shared" si="13"/>
        <v>122.17607572814994</v>
      </c>
      <c r="BQ74" s="3">
        <f t="shared" si="14"/>
        <v>122.61997068104037</v>
      </c>
    </row>
    <row r="75" spans="1:69">
      <c r="A75">
        <v>1996</v>
      </c>
      <c r="B75" s="3">
        <f t="shared" si="15"/>
        <v>77.300131248054839</v>
      </c>
      <c r="C75" s="3">
        <f t="shared" si="0"/>
        <v>71.923179589087013</v>
      </c>
      <c r="D75" s="1">
        <v>54.405299999999997</v>
      </c>
      <c r="E75" s="3">
        <v>102.9312</v>
      </c>
      <c r="F75" s="3">
        <f t="shared" si="16"/>
        <v>56.000028153599999</v>
      </c>
      <c r="G75" s="2">
        <v>1.27786333333333</v>
      </c>
      <c r="H75" s="3">
        <f t="shared" si="17"/>
        <v>71.560382643119624</v>
      </c>
      <c r="I75" s="3">
        <v>71.045000000000002</v>
      </c>
      <c r="J75" s="3"/>
      <c r="K75" s="4">
        <f t="shared" si="33"/>
        <v>70.387626092804311</v>
      </c>
      <c r="L75">
        <v>120</v>
      </c>
      <c r="M75" s="4"/>
      <c r="N75">
        <v>1.27786333333333</v>
      </c>
      <c r="O75" s="3"/>
      <c r="T75">
        <v>1996</v>
      </c>
      <c r="U75" s="1">
        <v>54.405299999999997</v>
      </c>
      <c r="V75" s="3">
        <v>102.9312</v>
      </c>
      <c r="W75" s="3">
        <f t="shared" si="18"/>
        <v>56.000028153599999</v>
      </c>
      <c r="X75">
        <v>1.27786333333333</v>
      </c>
      <c r="Y75" s="3">
        <f t="shared" si="19"/>
        <v>71.560382643119624</v>
      </c>
      <c r="Z75" s="3">
        <f t="shared" si="20"/>
        <v>71.045000000000002</v>
      </c>
      <c r="AA75" s="3">
        <f t="shared" si="1"/>
        <v>30.635000000000005</v>
      </c>
      <c r="AB75" s="3"/>
      <c r="AC75" s="2">
        <f t="shared" si="21"/>
        <v>1.27786333333333</v>
      </c>
      <c r="AD75" s="6">
        <f>USA!Z83*Australia!AC75</f>
        <v>28.26633693333326</v>
      </c>
      <c r="AF75" s="3">
        <v>33.75</v>
      </c>
      <c r="AG75" s="3">
        <v>6.66</v>
      </c>
      <c r="AH75" s="3">
        <v>0</v>
      </c>
      <c r="AI75" s="3">
        <f t="shared" si="27"/>
        <v>40.409999999999997</v>
      </c>
      <c r="AJ75" s="7">
        <f t="shared" si="2"/>
        <v>40.409999999999997</v>
      </c>
      <c r="AK75" s="3">
        <f t="shared" si="25"/>
        <v>0.56469793071858776</v>
      </c>
      <c r="AP75" s="3">
        <f t="shared" si="22"/>
        <v>33.338952707662422</v>
      </c>
      <c r="AQ75" s="3">
        <v>121.20956634223367</v>
      </c>
      <c r="AS75" s="3">
        <f t="shared" si="3"/>
        <v>68.676336933333261</v>
      </c>
      <c r="AU75" s="9">
        <v>1996</v>
      </c>
      <c r="AV75" s="3">
        <f t="shared" si="4"/>
        <v>71.045000000000002</v>
      </c>
      <c r="AW75" s="3">
        <f t="shared" si="28"/>
        <v>33.75</v>
      </c>
      <c r="AX75" s="3">
        <f t="shared" si="29"/>
        <v>6.66</v>
      </c>
      <c r="AY75" s="3">
        <f t="shared" si="30"/>
        <v>0</v>
      </c>
      <c r="AZ75" s="3">
        <f t="shared" si="31"/>
        <v>40.409999999999997</v>
      </c>
      <c r="BA75" s="3">
        <f t="shared" si="8"/>
        <v>30.635000000000005</v>
      </c>
      <c r="BC75" s="3">
        <v>69.700528479154428</v>
      </c>
      <c r="BE75" s="3">
        <f t="shared" si="9"/>
        <v>101.92892586352148</v>
      </c>
      <c r="BF75" s="3">
        <f t="shared" si="23"/>
        <v>103.12414193264084</v>
      </c>
      <c r="BG75" s="3">
        <f t="shared" si="24"/>
        <v>57.9766048862679</v>
      </c>
      <c r="BH75" s="7">
        <f t="shared" si="32"/>
        <v>43.952320977253585</v>
      </c>
      <c r="BI75" s="7">
        <f t="shared" si="11"/>
        <v>45.147537046372946</v>
      </c>
      <c r="BJ75" s="3">
        <f t="shared" si="12"/>
        <v>40.55397792541411</v>
      </c>
      <c r="BK75" s="24">
        <v>0.6</v>
      </c>
      <c r="BL75" s="9">
        <v>0</v>
      </c>
      <c r="BM75" s="9">
        <v>0</v>
      </c>
      <c r="BN75" s="9">
        <v>0</v>
      </c>
      <c r="BO75" s="9"/>
      <c r="BP75" s="3">
        <f t="shared" si="13"/>
        <v>120.2222401996076</v>
      </c>
      <c r="BQ75" s="3">
        <f t="shared" si="14"/>
        <v>121.63196322116181</v>
      </c>
    </row>
    <row r="76" spans="1:69">
      <c r="A76">
        <v>1997</v>
      </c>
      <c r="B76" s="3">
        <f t="shared" si="15"/>
        <v>72.940033716516027</v>
      </c>
      <c r="C76" s="3">
        <f t="shared" si="0"/>
        <v>73.604511922988308</v>
      </c>
      <c r="D76" s="1">
        <v>51.453699999999998</v>
      </c>
      <c r="E76" s="3">
        <v>105.3374</v>
      </c>
      <c r="F76" s="3">
        <f t="shared" si="16"/>
        <v>54.1999897838</v>
      </c>
      <c r="G76" s="2">
        <v>1.34738</v>
      </c>
      <c r="H76" s="3">
        <f t="shared" si="17"/>
        <v>73.027982234896442</v>
      </c>
      <c r="I76" s="3">
        <v>72.337000000000003</v>
      </c>
      <c r="J76" s="3"/>
      <c r="K76" s="4">
        <f t="shared" si="33"/>
        <v>71.736722259583061</v>
      </c>
      <c r="L76">
        <v>122.3</v>
      </c>
      <c r="M76" s="4"/>
      <c r="N76">
        <v>1.34738</v>
      </c>
      <c r="O76" s="3"/>
      <c r="T76">
        <v>1997</v>
      </c>
      <c r="U76" s="1">
        <v>51.453699999999998</v>
      </c>
      <c r="V76" s="3">
        <v>105.3374</v>
      </c>
      <c r="W76" s="3">
        <f t="shared" si="18"/>
        <v>54.1999897838</v>
      </c>
      <c r="X76">
        <v>1.34738</v>
      </c>
      <c r="Y76" s="3">
        <f t="shared" si="19"/>
        <v>73.027982234896442</v>
      </c>
      <c r="Z76" s="3">
        <f t="shared" si="20"/>
        <v>72.337000000000003</v>
      </c>
      <c r="AA76" s="3">
        <f t="shared" si="1"/>
        <v>30.337000000000003</v>
      </c>
      <c r="AB76" s="3"/>
      <c r="AC76" s="2">
        <f t="shared" si="21"/>
        <v>1.34738</v>
      </c>
      <c r="AD76" s="3">
        <f>USA!Z84*Australia!AC76</f>
        <v>27.7695018</v>
      </c>
      <c r="AF76" s="3">
        <v>34.5</v>
      </c>
      <c r="AG76" s="3">
        <v>7.5</v>
      </c>
      <c r="AH76" s="3">
        <v>0</v>
      </c>
      <c r="AI76" s="3">
        <f t="shared" si="27"/>
        <v>42</v>
      </c>
      <c r="AJ76" s="7">
        <f t="shared" si="2"/>
        <v>42</v>
      </c>
      <c r="AK76" s="3">
        <f t="shared" si="25"/>
        <v>0.57512201096979354</v>
      </c>
      <c r="AP76" s="3">
        <f t="shared" si="22"/>
        <v>34.114212123992736</v>
      </c>
      <c r="AQ76" s="3">
        <v>123.11584347117645</v>
      </c>
      <c r="AS76" s="3">
        <f t="shared" si="3"/>
        <v>69.7695018</v>
      </c>
      <c r="AU76" s="44">
        <v>1997</v>
      </c>
      <c r="AV76" s="3">
        <f t="shared" si="4"/>
        <v>72.337000000000003</v>
      </c>
      <c r="AW76" s="3">
        <f t="shared" si="28"/>
        <v>34.5</v>
      </c>
      <c r="AX76" s="3">
        <f t="shared" si="29"/>
        <v>7.5</v>
      </c>
      <c r="AY76" s="3">
        <f t="shared" si="30"/>
        <v>0</v>
      </c>
      <c r="AZ76" s="3">
        <f t="shared" si="31"/>
        <v>42</v>
      </c>
      <c r="BA76" s="3">
        <f t="shared" ref="BA76:BA97" si="34">AV76-AZ76</f>
        <v>30.337000000000003</v>
      </c>
      <c r="BC76" s="3">
        <v>70.640046975924832</v>
      </c>
      <c r="BE76" s="3">
        <f t="shared" ref="BE76:BE97" si="35">AV76/BC76*100</f>
        <v>102.40225353283459</v>
      </c>
      <c r="BF76" s="3">
        <f t="shared" si="23"/>
        <v>103.92725642024951</v>
      </c>
      <c r="BG76" s="3">
        <f t="shared" si="24"/>
        <v>59.456359102244392</v>
      </c>
      <c r="BH76" s="7">
        <f t="shared" si="32"/>
        <v>42.945894430590201</v>
      </c>
      <c r="BI76" s="7">
        <f t="shared" si="11"/>
        <v>44.470897318005107</v>
      </c>
      <c r="BJ76" s="3">
        <f t="shared" ref="BJ76:BJ96" si="36">AD76/BC76*100</f>
        <v>39.31127312169577</v>
      </c>
      <c r="BK76" s="24">
        <v>0.6</v>
      </c>
      <c r="BL76" s="9">
        <v>0</v>
      </c>
      <c r="BM76" s="9">
        <v>0</v>
      </c>
      <c r="BN76" s="9">
        <v>0</v>
      </c>
      <c r="BO76" s="9"/>
      <c r="BP76" s="3">
        <f t="shared" si="13"/>
        <v>120.7805165894665</v>
      </c>
      <c r="BQ76" s="3">
        <f t="shared" si="14"/>
        <v>122.57921369024213</v>
      </c>
    </row>
    <row r="77" spans="1:69">
      <c r="A77">
        <v>1998</v>
      </c>
      <c r="B77" s="3">
        <f t="shared" si="15"/>
        <v>57.494066009816621</v>
      </c>
      <c r="C77" s="3">
        <f t="shared" si="0"/>
        <v>74.747038105002289</v>
      </c>
      <c r="D77" s="1">
        <v>40.197200000000002</v>
      </c>
      <c r="E77" s="3">
        <v>106.9725</v>
      </c>
      <c r="F77" s="3">
        <f t="shared" si="16"/>
        <v>42.999949770000001</v>
      </c>
      <c r="G77" s="2">
        <v>1.5918283333333301</v>
      </c>
      <c r="H77" s="3">
        <f t="shared" si="17"/>
        <v>68.448538375796005</v>
      </c>
      <c r="I77" s="3">
        <v>68.409000000000006</v>
      </c>
      <c r="J77" s="3"/>
      <c r="K77" s="4">
        <f t="shared" si="33"/>
        <v>68.041371889710817</v>
      </c>
      <c r="L77">
        <v>116</v>
      </c>
      <c r="M77" s="4">
        <f t="shared" ref="M77:M88" si="37">N77*O77</f>
        <v>73.22410333333319</v>
      </c>
      <c r="N77">
        <v>1.5918283333333301</v>
      </c>
      <c r="O77" s="3">
        <v>46</v>
      </c>
      <c r="T77">
        <v>1998</v>
      </c>
      <c r="U77" s="1">
        <v>40.197200000000002</v>
      </c>
      <c r="V77" s="3">
        <v>106.9725</v>
      </c>
      <c r="W77" s="3">
        <f t="shared" si="18"/>
        <v>42.999949770000001</v>
      </c>
      <c r="X77">
        <v>1.5918283333333301</v>
      </c>
      <c r="Y77" s="3">
        <f t="shared" si="19"/>
        <v>68.448538375796005</v>
      </c>
      <c r="Z77" s="3">
        <f t="shared" si="20"/>
        <v>68.409000000000006</v>
      </c>
      <c r="AA77" s="3">
        <f t="shared" si="1"/>
        <v>25.489000000000011</v>
      </c>
      <c r="AB77" s="3"/>
      <c r="AC77" s="2">
        <f t="shared" si="21"/>
        <v>1.5918283333333301</v>
      </c>
      <c r="AD77" s="3">
        <f>USA!Z85*Australia!AC77</f>
        <v>22.95416456666662</v>
      </c>
      <c r="AF77" s="3">
        <v>34.799999999999997</v>
      </c>
      <c r="AG77" s="3">
        <v>8.1199999999999992</v>
      </c>
      <c r="AH77" s="3">
        <v>0</v>
      </c>
      <c r="AI77" s="3">
        <f t="shared" si="27"/>
        <v>42.919999999999995</v>
      </c>
      <c r="AJ77" s="7">
        <f t="shared" si="2"/>
        <v>42.919999999999995</v>
      </c>
      <c r="AK77" s="3">
        <f t="shared" si="25"/>
        <v>0.6270404163250457</v>
      </c>
      <c r="AM77" s="7">
        <v>43</v>
      </c>
      <c r="AO77" s="3">
        <f>AM77+AN77</f>
        <v>43</v>
      </c>
      <c r="AP77" s="3">
        <f t="shared" si="22"/>
        <v>34.467798719171988</v>
      </c>
      <c r="AQ77" s="3">
        <v>124.52202227851195</v>
      </c>
      <c r="AS77" s="3">
        <f t="shared" si="3"/>
        <v>65.874164566666622</v>
      </c>
      <c r="AU77" s="44">
        <v>1998</v>
      </c>
      <c r="AV77" s="3">
        <f t="shared" si="4"/>
        <v>68.409000000000006</v>
      </c>
      <c r="AW77" s="3">
        <f t="shared" si="28"/>
        <v>34.799999999999997</v>
      </c>
      <c r="AX77" s="3">
        <f t="shared" si="29"/>
        <v>8.1199999999999992</v>
      </c>
      <c r="AY77" s="3">
        <f t="shared" si="30"/>
        <v>0</v>
      </c>
      <c r="AZ77" s="3">
        <f t="shared" si="31"/>
        <v>42.919999999999995</v>
      </c>
      <c r="BA77" s="3">
        <f t="shared" si="34"/>
        <v>25.489000000000011</v>
      </c>
      <c r="BC77" s="3">
        <v>70.640046975924832</v>
      </c>
      <c r="BE77" s="3">
        <f t="shared" si="35"/>
        <v>96.841668329177082</v>
      </c>
      <c r="BF77" s="3">
        <f t="shared" si="23"/>
        <v>95.196190906729399</v>
      </c>
      <c r="BG77" s="3">
        <f t="shared" si="24"/>
        <v>60.758736492103068</v>
      </c>
      <c r="BH77" s="7">
        <f t="shared" si="32"/>
        <v>36.082931837074014</v>
      </c>
      <c r="BI77" s="7">
        <f t="shared" si="11"/>
        <v>34.43745441462633</v>
      </c>
      <c r="BJ77" s="3">
        <f t="shared" si="36"/>
        <v>32.494548842089159</v>
      </c>
      <c r="BK77" s="24">
        <v>1</v>
      </c>
      <c r="BL77" s="9">
        <v>0</v>
      </c>
      <c r="BM77" s="9">
        <v>0</v>
      </c>
      <c r="BN77" s="9">
        <v>0</v>
      </c>
      <c r="BO77" s="9"/>
      <c r="BP77" s="3">
        <f t="shared" si="13"/>
        <v>114.22196606672676</v>
      </c>
      <c r="BQ77" s="3">
        <f t="shared" si="14"/>
        <v>112.28117271244957</v>
      </c>
    </row>
    <row r="78" spans="1:69">
      <c r="A78">
        <v>1999</v>
      </c>
      <c r="B78" s="3">
        <f t="shared" si="15"/>
        <v>60.073948461377874</v>
      </c>
      <c r="C78" s="3">
        <f t="shared" si="0"/>
        <v>75.889564287016256</v>
      </c>
      <c r="D78" s="2">
        <f>F78/E78*100</f>
        <v>41.976673582094044</v>
      </c>
      <c r="E78" s="3">
        <v>108.60760000000001</v>
      </c>
      <c r="F78" s="2">
        <f>I78/G78</f>
        <v>45.589857737346371</v>
      </c>
      <c r="G78" s="2">
        <v>1.5499499999999999</v>
      </c>
      <c r="I78" s="3">
        <v>70.662000000000006</v>
      </c>
      <c r="J78" s="3"/>
      <c r="K78" s="4">
        <f>L78*I$79/L$79</f>
        <v>70.622251513113653</v>
      </c>
      <c r="L78">
        <v>120.4</v>
      </c>
      <c r="M78" s="4">
        <f t="shared" si="37"/>
        <v>79.822424999999996</v>
      </c>
      <c r="N78">
        <v>1.5499499999999999</v>
      </c>
      <c r="O78" s="3">
        <f>(O77+O79)/2</f>
        <v>51.5</v>
      </c>
      <c r="T78">
        <v>1999</v>
      </c>
      <c r="V78" s="3">
        <v>108.60760000000001</v>
      </c>
      <c r="W78" s="3"/>
      <c r="X78">
        <v>1.5499499999999999</v>
      </c>
      <c r="Y78" s="6"/>
      <c r="Z78" s="3">
        <f t="shared" si="20"/>
        <v>70.662000000000006</v>
      </c>
      <c r="AA78" s="3">
        <f t="shared" si="1"/>
        <v>27.262</v>
      </c>
      <c r="AB78" s="3"/>
      <c r="AC78" s="2">
        <f t="shared" si="21"/>
        <v>1.5499499999999999</v>
      </c>
      <c r="AD78" s="3">
        <f>USA!Z86*Australia!AC78</f>
        <v>27.093125999999998</v>
      </c>
      <c r="AF78" s="3">
        <v>35.200000000000003</v>
      </c>
      <c r="AG78" s="3">
        <v>8.1999999999999993</v>
      </c>
      <c r="AH78" s="3">
        <v>0</v>
      </c>
      <c r="AI78" s="3">
        <f t="shared" si="27"/>
        <v>43.400000000000006</v>
      </c>
      <c r="AJ78" s="7">
        <f t="shared" si="2"/>
        <v>0</v>
      </c>
      <c r="AK78" s="3">
        <f t="shared" ref="AK78:AK89" si="38">AI78/Z78</f>
        <v>0.61419150321247629</v>
      </c>
      <c r="AM78" s="7">
        <v>43</v>
      </c>
      <c r="AO78" s="3">
        <f t="shared" ref="AO78:AO89" si="39">AM78+AN78</f>
        <v>43</v>
      </c>
      <c r="AP78" s="3">
        <f t="shared" si="22"/>
        <v>34.384871290454718</v>
      </c>
      <c r="AQ78" s="3">
        <v>126.2183</v>
      </c>
      <c r="AS78" s="3">
        <f t="shared" si="3"/>
        <v>70.493126000000004</v>
      </c>
      <c r="AU78" s="44">
        <v>1999</v>
      </c>
      <c r="AV78" s="3">
        <f t="shared" si="4"/>
        <v>70.662000000000006</v>
      </c>
      <c r="AW78" s="3">
        <f t="shared" si="28"/>
        <v>35.200000000000003</v>
      </c>
      <c r="AX78" s="3">
        <f t="shared" si="29"/>
        <v>8.1999999999999993</v>
      </c>
      <c r="AY78" s="3">
        <f t="shared" si="30"/>
        <v>0</v>
      </c>
      <c r="AZ78" s="3">
        <f t="shared" si="31"/>
        <v>43.400000000000006</v>
      </c>
      <c r="BA78" s="3">
        <f t="shared" si="34"/>
        <v>27.262</v>
      </c>
      <c r="BC78" s="3">
        <v>71.520845566647083</v>
      </c>
      <c r="BE78" s="3">
        <f t="shared" si="35"/>
        <v>98.799167487684741</v>
      </c>
      <c r="BF78" s="3">
        <f t="shared" si="23"/>
        <v>98.052169178573322</v>
      </c>
      <c r="BG78" s="3">
        <f t="shared" si="24"/>
        <v>60.681609195402316</v>
      </c>
      <c r="BH78" s="7">
        <f t="shared" si="32"/>
        <v>38.117558292282425</v>
      </c>
      <c r="BI78" s="7">
        <f t="shared" si="11"/>
        <v>37.370559983171006</v>
      </c>
      <c r="BJ78" s="3">
        <f t="shared" si="36"/>
        <v>37.881439719211826</v>
      </c>
      <c r="BK78" s="24">
        <v>1</v>
      </c>
      <c r="BL78" s="9">
        <v>0</v>
      </c>
      <c r="BM78" s="9">
        <v>0</v>
      </c>
      <c r="BN78" s="9">
        <v>0</v>
      </c>
      <c r="BO78" s="9"/>
      <c r="BP78" s="3">
        <f t="shared" si="13"/>
        <v>116.53078009602146</v>
      </c>
      <c r="BQ78" s="3">
        <f t="shared" si="14"/>
        <v>115.64971704757005</v>
      </c>
    </row>
    <row r="79" spans="1:69">
      <c r="A79">
        <v>2000</v>
      </c>
      <c r="B79" s="3">
        <f t="shared" si="15"/>
        <v>64.044690320762911</v>
      </c>
      <c r="C79" s="3">
        <f t="shared" si="0"/>
        <v>78.958238837304293</v>
      </c>
      <c r="D79" s="2">
        <f>F79/E79*100</f>
        <v>44.751229594794331</v>
      </c>
      <c r="E79" s="2">
        <v>112.9992628224058</v>
      </c>
      <c r="F79" s="2">
        <f>I79/G79</f>
        <v>50.568559546079889</v>
      </c>
      <c r="G79" s="2">
        <v>1.7248266666666701</v>
      </c>
      <c r="I79" s="3">
        <v>87.221999999999994</v>
      </c>
      <c r="J79" s="3"/>
      <c r="K79">
        <v>88.5</v>
      </c>
      <c r="L79">
        <v>148.69999999999999</v>
      </c>
      <c r="M79" s="4">
        <f t="shared" si="37"/>
        <v>98.315120000000192</v>
      </c>
      <c r="N79">
        <v>1.7248266666666701</v>
      </c>
      <c r="O79" s="3">
        <v>57</v>
      </c>
      <c r="T79">
        <v>2000</v>
      </c>
      <c r="X79">
        <v>1.7248266666666701</v>
      </c>
      <c r="Y79" s="6"/>
      <c r="Z79" s="3">
        <f t="shared" si="20"/>
        <v>87.221999999999994</v>
      </c>
      <c r="AA79" s="3">
        <f t="shared" si="1"/>
        <v>44.172019999999989</v>
      </c>
      <c r="AB79" s="3"/>
      <c r="AC79" s="2">
        <f t="shared" si="21"/>
        <v>1.7248266666666701</v>
      </c>
      <c r="AD79" s="3">
        <f>USA!Z87*Australia!AC79</f>
        <v>47.605216000000098</v>
      </c>
      <c r="AF79" s="3">
        <v>36.74</v>
      </c>
      <c r="AG79" s="3">
        <v>-1.54</v>
      </c>
      <c r="AH79" s="3">
        <f>0.1*(I79*(1-0.1))</f>
        <v>7.8499799999999995</v>
      </c>
      <c r="AI79" s="3">
        <f t="shared" si="27"/>
        <v>43.049980000000005</v>
      </c>
      <c r="AJ79" s="7">
        <f t="shared" si="2"/>
        <v>0</v>
      </c>
      <c r="AK79" s="3">
        <f t="shared" si="38"/>
        <v>0.49356790717938143</v>
      </c>
      <c r="AM79" s="36">
        <v>38</v>
      </c>
      <c r="AN79" s="3">
        <f>0.1*(K79*(1-0.1))</f>
        <v>7.9650000000000007</v>
      </c>
      <c r="AO79" s="7">
        <f t="shared" si="39"/>
        <v>45.965000000000003</v>
      </c>
      <c r="AP79" s="3">
        <f t="shared" si="22"/>
        <v>33.090691211438859</v>
      </c>
      <c r="AQ79" s="3">
        <v>130.09694999999999</v>
      </c>
      <c r="AS79" s="3">
        <f t="shared" si="3"/>
        <v>90.655196000000103</v>
      </c>
      <c r="AU79" s="44">
        <v>2000</v>
      </c>
      <c r="AV79" s="3">
        <f t="shared" si="4"/>
        <v>87.221999999999994</v>
      </c>
      <c r="AW79" s="3">
        <f t="shared" si="28"/>
        <v>36.74</v>
      </c>
      <c r="AX79" s="3">
        <f t="shared" si="29"/>
        <v>-1.54</v>
      </c>
      <c r="AY79" s="3">
        <f t="shared" si="30"/>
        <v>7.8499799999999995</v>
      </c>
      <c r="AZ79" s="3">
        <f t="shared" si="31"/>
        <v>43.049980000000005</v>
      </c>
      <c r="BA79" s="3">
        <f t="shared" si="34"/>
        <v>44.172019999999989</v>
      </c>
      <c r="BC79" s="3">
        <v>73.223722842043443</v>
      </c>
      <c r="BE79" s="3">
        <f t="shared" si="35"/>
        <v>119.11713392141139</v>
      </c>
      <c r="BF79" s="3">
        <f t="shared" si="23"/>
        <v>118.83827050377782</v>
      </c>
      <c r="BG79" s="3">
        <f t="shared" si="24"/>
        <v>58.79239449879713</v>
      </c>
      <c r="BH79" s="7">
        <f t="shared" si="32"/>
        <v>60.324739422614265</v>
      </c>
      <c r="BI79" s="7">
        <f t="shared" si="11"/>
        <v>60.045876004980691</v>
      </c>
      <c r="BJ79" s="3">
        <f t="shared" si="36"/>
        <v>65.013378386527805</v>
      </c>
      <c r="BK79" s="24">
        <v>0.5</v>
      </c>
      <c r="BL79" s="9">
        <v>0</v>
      </c>
      <c r="BM79" s="9">
        <v>0</v>
      </c>
      <c r="BN79" s="9">
        <v>0</v>
      </c>
      <c r="BO79" s="9"/>
      <c r="BP79" s="3">
        <f t="shared" si="13"/>
        <v>140.49523788137753</v>
      </c>
      <c r="BQ79" s="3">
        <f t="shared" si="14"/>
        <v>140.16632649048822</v>
      </c>
    </row>
    <row r="80" spans="1:69">
      <c r="A80">
        <v>2001</v>
      </c>
      <c r="B80" s="3">
        <f t="shared" si="15"/>
        <v>55.467878366777121</v>
      </c>
      <c r="C80" s="3">
        <f t="shared" si="0"/>
        <v>81.182199298191421</v>
      </c>
      <c r="D80" s="2">
        <f t="shared" ref="D80:D89" si="40">F80/E80*100</f>
        <v>38.758181942883652</v>
      </c>
      <c r="E80" s="2">
        <v>116.1820325539375</v>
      </c>
      <c r="F80" s="2">
        <f t="shared" ref="F80:F88" si="41">I80/G80</f>
        <v>45.030043562195409</v>
      </c>
      <c r="G80" s="2">
        <v>1.9334425</v>
      </c>
      <c r="I80" s="3">
        <v>87.063000000000002</v>
      </c>
      <c r="J80" s="3"/>
      <c r="K80">
        <v>87.2</v>
      </c>
      <c r="L80">
        <v>148.80000000000001</v>
      </c>
      <c r="M80" s="4">
        <f t="shared" si="37"/>
        <v>103.43917374999999</v>
      </c>
      <c r="N80">
        <v>1.9334425</v>
      </c>
      <c r="O80" s="3">
        <f>(O79+O81)/2</f>
        <v>53.5</v>
      </c>
      <c r="T80">
        <v>2001</v>
      </c>
      <c r="X80">
        <v>1.9334425</v>
      </c>
      <c r="Y80" s="6"/>
      <c r="Z80" s="3">
        <f t="shared" si="20"/>
        <v>87.063000000000002</v>
      </c>
      <c r="AA80" s="3">
        <f t="shared" si="1"/>
        <v>42.627330000000001</v>
      </c>
      <c r="AB80" s="3"/>
      <c r="AC80" s="2">
        <f t="shared" si="21"/>
        <v>1.9334425</v>
      </c>
      <c r="AD80" s="3">
        <f>USA!Z88*Australia!AC80</f>
        <v>44.701190600000004</v>
      </c>
      <c r="AF80" s="3">
        <v>38.14</v>
      </c>
      <c r="AG80" s="3">
        <v>-1.54</v>
      </c>
      <c r="AH80" s="3">
        <f t="shared" ref="AH80:AH95" si="42">0.1*(I80*(1-0.1))</f>
        <v>7.8356700000000004</v>
      </c>
      <c r="AI80" s="3">
        <f t="shared" si="27"/>
        <v>44.435670000000002</v>
      </c>
      <c r="AJ80" s="7">
        <f t="shared" si="2"/>
        <v>0</v>
      </c>
      <c r="AK80" s="3">
        <f t="shared" si="38"/>
        <v>0.51038523827573135</v>
      </c>
      <c r="AM80" s="36">
        <v>38</v>
      </c>
      <c r="AN80" s="3">
        <f t="shared" ref="AN80:AN89" si="43">0.1*(K80*(1-0.1))</f>
        <v>7.8480000000000008</v>
      </c>
      <c r="AO80" s="3">
        <f t="shared" si="39"/>
        <v>45.847999999999999</v>
      </c>
      <c r="AP80" s="3">
        <f t="shared" si="22"/>
        <v>33.154762171236705</v>
      </c>
      <c r="AQ80" s="3">
        <v>134.02500000000001</v>
      </c>
      <c r="AS80" s="3">
        <f t="shared" si="3"/>
        <v>89.136860600000006</v>
      </c>
      <c r="AU80" s="44">
        <v>2001</v>
      </c>
      <c r="AV80" s="3">
        <f t="shared" si="4"/>
        <v>87.063000000000002</v>
      </c>
      <c r="AW80" s="3">
        <f t="shared" si="28"/>
        <v>38.14</v>
      </c>
      <c r="AX80" s="3">
        <f t="shared" si="29"/>
        <v>-1.54</v>
      </c>
      <c r="AY80" s="3">
        <f t="shared" si="30"/>
        <v>7.8356700000000004</v>
      </c>
      <c r="AZ80" s="3">
        <f t="shared" si="31"/>
        <v>44.435670000000002</v>
      </c>
      <c r="BA80" s="3">
        <f t="shared" si="34"/>
        <v>42.627330000000001</v>
      </c>
      <c r="BC80" s="3">
        <v>77.627715795654723</v>
      </c>
      <c r="BE80" s="3">
        <f t="shared" si="35"/>
        <v>112.1545302571861</v>
      </c>
      <c r="BF80" s="3">
        <f t="shared" si="23"/>
        <v>113.24270684570121</v>
      </c>
      <c r="BG80" s="3">
        <f t="shared" si="24"/>
        <v>57.242016649016648</v>
      </c>
      <c r="BH80" s="7">
        <f t="shared" si="32"/>
        <v>54.912513608169448</v>
      </c>
      <c r="BI80" s="7">
        <f t="shared" si="11"/>
        <v>56.000690196684552</v>
      </c>
      <c r="BJ80" s="3">
        <f t="shared" si="36"/>
        <v>57.584060205597588</v>
      </c>
      <c r="BK80" s="24">
        <v>0.5</v>
      </c>
      <c r="BL80" s="9">
        <v>0</v>
      </c>
      <c r="BM80" s="9">
        <v>0</v>
      </c>
      <c r="BN80" s="9">
        <v>0</v>
      </c>
      <c r="BO80" s="9"/>
      <c r="BP80" s="3">
        <f t="shared" si="13"/>
        <v>132.28304685666345</v>
      </c>
      <c r="BQ80" s="3">
        <f t="shared" si="14"/>
        <v>133.56651988549942</v>
      </c>
    </row>
    <row r="81" spans="1:69">
      <c r="A81">
        <v>2002</v>
      </c>
      <c r="B81" s="3">
        <f t="shared" si="15"/>
        <v>56.546161615584431</v>
      </c>
      <c r="C81" s="3">
        <f t="shared" si="0"/>
        <v>82.47759894808965</v>
      </c>
      <c r="D81" s="2">
        <f t="shared" si="40"/>
        <v>39.511632400586194</v>
      </c>
      <c r="E81" s="2">
        <v>118.03591389240708</v>
      </c>
      <c r="F81" s="2">
        <f t="shared" si="41"/>
        <v>46.637916397840335</v>
      </c>
      <c r="G81" s="2">
        <v>1.8405625000000001</v>
      </c>
      <c r="I81" s="3">
        <v>85.84</v>
      </c>
      <c r="J81" s="3"/>
      <c r="K81">
        <v>85.7</v>
      </c>
      <c r="L81">
        <v>147.1</v>
      </c>
      <c r="M81" s="4">
        <f t="shared" si="37"/>
        <v>92.028125000000003</v>
      </c>
      <c r="N81">
        <v>1.8405625000000001</v>
      </c>
      <c r="O81" s="3">
        <v>50</v>
      </c>
      <c r="T81">
        <v>2002</v>
      </c>
      <c r="X81">
        <v>1.8405625000000001</v>
      </c>
      <c r="Y81" s="6"/>
      <c r="Z81" s="3">
        <f t="shared" si="20"/>
        <v>85.84</v>
      </c>
      <c r="AA81" s="3">
        <f t="shared" si="1"/>
        <v>41.514400000000002</v>
      </c>
      <c r="AB81" s="3"/>
      <c r="AC81" s="2">
        <f t="shared" si="21"/>
        <v>1.8405625000000001</v>
      </c>
      <c r="AD81" s="3">
        <f>USA!Z89*Australia!AC81</f>
        <v>44.836102500000003</v>
      </c>
      <c r="AF81" s="3">
        <v>38.14</v>
      </c>
      <c r="AG81" s="3">
        <v>-1.54</v>
      </c>
      <c r="AH81" s="3">
        <f t="shared" si="42"/>
        <v>7.7256</v>
      </c>
      <c r="AI81" s="3">
        <f t="shared" si="27"/>
        <v>44.325600000000001</v>
      </c>
      <c r="AJ81" s="7">
        <f t="shared" si="2"/>
        <v>0</v>
      </c>
      <c r="AK81" s="3">
        <f t="shared" si="38"/>
        <v>0.51637465051258158</v>
      </c>
      <c r="AM81" s="36">
        <v>38</v>
      </c>
      <c r="AN81" s="3">
        <f t="shared" si="43"/>
        <v>7.713000000000001</v>
      </c>
      <c r="AO81" s="3">
        <f t="shared" si="39"/>
        <v>45.713000000000001</v>
      </c>
      <c r="AP81" s="3">
        <f t="shared" si="22"/>
        <v>32.10836653386454</v>
      </c>
      <c r="AQ81" s="3">
        <v>138.05000000000001</v>
      </c>
      <c r="AS81" s="3">
        <f t="shared" si="3"/>
        <v>89.161702500000004</v>
      </c>
      <c r="AU81" s="44">
        <v>2002</v>
      </c>
      <c r="AV81" s="3">
        <f t="shared" si="4"/>
        <v>85.84</v>
      </c>
      <c r="AW81" s="3">
        <f t="shared" si="28"/>
        <v>38.14</v>
      </c>
      <c r="AX81" s="3">
        <f t="shared" si="29"/>
        <v>-1.54</v>
      </c>
      <c r="AY81" s="3">
        <f t="shared" si="30"/>
        <v>7.7256</v>
      </c>
      <c r="AZ81" s="3">
        <f t="shared" si="31"/>
        <v>44.325600000000001</v>
      </c>
      <c r="BA81" s="3">
        <f t="shared" si="34"/>
        <v>41.514400000000002</v>
      </c>
      <c r="BC81" s="3">
        <v>79.859072225484425</v>
      </c>
      <c r="BE81" s="3">
        <f t="shared" si="35"/>
        <v>107.48935294117649</v>
      </c>
      <c r="BF81" s="3">
        <f t="shared" si="23"/>
        <v>110.72138661959684</v>
      </c>
      <c r="BG81" s="3">
        <f t="shared" si="24"/>
        <v>55.504777058823542</v>
      </c>
      <c r="BH81" s="7">
        <f t="shared" si="32"/>
        <v>51.984575882352949</v>
      </c>
      <c r="BI81" s="7">
        <f t="shared" si="11"/>
        <v>55.2166095607733</v>
      </c>
      <c r="BJ81" s="3">
        <f t="shared" si="36"/>
        <v>56.144031292279429</v>
      </c>
      <c r="BK81" s="24">
        <v>0.5</v>
      </c>
      <c r="BL81" s="9">
        <v>0</v>
      </c>
      <c r="BM81" s="9">
        <v>0</v>
      </c>
      <c r="BN81" s="9">
        <v>0</v>
      </c>
      <c r="BO81" s="9"/>
      <c r="BP81" s="3">
        <f t="shared" si="13"/>
        <v>126.78060421726947</v>
      </c>
      <c r="BQ81" s="3">
        <f t="shared" si="14"/>
        <v>130.59269510244704</v>
      </c>
    </row>
    <row r="82" spans="1:69">
      <c r="A82">
        <v>2003</v>
      </c>
      <c r="B82" s="3">
        <f t="shared" si="15"/>
        <v>68.964552118553968</v>
      </c>
      <c r="C82" s="3">
        <f t="shared" si="0"/>
        <v>84.37293294912061</v>
      </c>
      <c r="D82" s="2">
        <f t="shared" si="40"/>
        <v>48.188983197550485</v>
      </c>
      <c r="E82" s="2">
        <v>120.74837744367809</v>
      </c>
      <c r="F82" s="2">
        <f t="shared" si="41"/>
        <v>58.187415317648878</v>
      </c>
      <c r="G82" s="2">
        <v>1.54191416666667</v>
      </c>
      <c r="I82" s="3">
        <v>89.72</v>
      </c>
      <c r="J82" s="3"/>
      <c r="K82">
        <v>89.4</v>
      </c>
      <c r="L82">
        <v>153.80000000000001</v>
      </c>
      <c r="M82" s="4">
        <f t="shared" si="37"/>
        <v>104.07920625000023</v>
      </c>
      <c r="N82">
        <v>1.54191416666667</v>
      </c>
      <c r="O82" s="3">
        <f>(O81+O83)/2</f>
        <v>67.5</v>
      </c>
      <c r="T82">
        <v>2003</v>
      </c>
      <c r="X82">
        <v>1.54191416666667</v>
      </c>
      <c r="Y82" s="6"/>
      <c r="Z82" s="3">
        <f t="shared" si="20"/>
        <v>89.72</v>
      </c>
      <c r="AA82" s="3">
        <f t="shared" si="1"/>
        <v>45.115199999999994</v>
      </c>
      <c r="AB82" s="3"/>
      <c r="AC82" s="2">
        <f t="shared" si="21"/>
        <v>1.54191416666667</v>
      </c>
      <c r="AD82" s="3">
        <f>USA!Z90*Australia!AC82</f>
        <v>43.327788083333431</v>
      </c>
      <c r="AF82" s="3">
        <v>38.14</v>
      </c>
      <c r="AG82" s="3">
        <v>-1.61</v>
      </c>
      <c r="AH82" s="3">
        <f t="shared" si="42"/>
        <v>8.0748000000000015</v>
      </c>
      <c r="AI82" s="3">
        <f t="shared" si="27"/>
        <v>44.604800000000004</v>
      </c>
      <c r="AJ82" s="7">
        <f t="shared" si="2"/>
        <v>0</v>
      </c>
      <c r="AK82" s="3">
        <f t="shared" si="38"/>
        <v>0.49715559518502012</v>
      </c>
      <c r="AM82" s="36">
        <v>38</v>
      </c>
      <c r="AN82" s="3">
        <f t="shared" si="43"/>
        <v>8.0460000000000012</v>
      </c>
      <c r="AO82" s="3">
        <f t="shared" si="39"/>
        <v>46.045999999999999</v>
      </c>
      <c r="AP82" s="3">
        <f t="shared" si="22"/>
        <v>31.43950660792952</v>
      </c>
      <c r="AQ82" s="3">
        <v>141.875</v>
      </c>
      <c r="AS82" s="3">
        <f t="shared" si="3"/>
        <v>87.932588083333428</v>
      </c>
      <c r="AU82" s="44">
        <v>2003</v>
      </c>
      <c r="AV82" s="3">
        <f t="shared" si="4"/>
        <v>89.72</v>
      </c>
      <c r="AW82" s="3">
        <f t="shared" si="28"/>
        <v>38.14</v>
      </c>
      <c r="AX82" s="3">
        <f t="shared" si="29"/>
        <v>-1.61</v>
      </c>
      <c r="AY82" s="3">
        <f t="shared" si="30"/>
        <v>8.0748000000000015</v>
      </c>
      <c r="AZ82" s="3">
        <f t="shared" si="31"/>
        <v>44.604800000000004</v>
      </c>
      <c r="BA82" s="3">
        <f t="shared" si="34"/>
        <v>45.115199999999994</v>
      </c>
      <c r="BC82" s="3">
        <v>82.325308279506743</v>
      </c>
      <c r="BE82" s="3">
        <f t="shared" si="35"/>
        <v>108.98228245363768</v>
      </c>
      <c r="BF82" s="3">
        <f t="shared" si="23"/>
        <v>107.48439355738734</v>
      </c>
      <c r="BG82" s="3">
        <f t="shared" si="24"/>
        <v>54.181151497860213</v>
      </c>
      <c r="BH82" s="7">
        <f t="shared" si="32"/>
        <v>54.801130955777467</v>
      </c>
      <c r="BI82" s="7">
        <f t="shared" si="11"/>
        <v>53.303242059527115</v>
      </c>
      <c r="BJ82" s="3">
        <f t="shared" si="36"/>
        <v>52.629973684676777</v>
      </c>
      <c r="BK82" s="24">
        <v>0.5</v>
      </c>
      <c r="BL82" s="9">
        <v>0</v>
      </c>
      <c r="BM82" s="9">
        <v>0</v>
      </c>
      <c r="BN82" s="9">
        <v>0</v>
      </c>
      <c r="BO82" s="9"/>
      <c r="BP82" s="3">
        <f t="shared" si="13"/>
        <v>128.5414716935785</v>
      </c>
      <c r="BQ82" s="3">
        <f t="shared" si="14"/>
        <v>126.77475476654593</v>
      </c>
    </row>
    <row r="83" spans="1:69">
      <c r="A83">
        <v>2004</v>
      </c>
      <c r="B83" s="3">
        <f t="shared" si="15"/>
        <v>82.539020577846856</v>
      </c>
      <c r="C83" s="3">
        <f t="shared" si="0"/>
        <v>86.62364207534489</v>
      </c>
      <c r="D83" s="2">
        <f t="shared" si="40"/>
        <v>57.674143506806764</v>
      </c>
      <c r="E83" s="2">
        <v>123.96942791081244</v>
      </c>
      <c r="F83" s="2">
        <f t="shared" si="41"/>
        <v>71.498305757849323</v>
      </c>
      <c r="G83" s="2">
        <v>1.3597524999999999</v>
      </c>
      <c r="I83" s="3">
        <v>97.22</v>
      </c>
      <c r="J83" s="3"/>
      <c r="K83">
        <v>97.5</v>
      </c>
      <c r="L83">
        <v>166.9</v>
      </c>
      <c r="M83" s="4">
        <f t="shared" si="37"/>
        <v>115.57896249999999</v>
      </c>
      <c r="N83">
        <v>1.3597524999999999</v>
      </c>
      <c r="O83" s="3">
        <v>85</v>
      </c>
      <c r="T83">
        <v>2004</v>
      </c>
      <c r="X83">
        <v>1.3597524999999999</v>
      </c>
      <c r="Y83" s="6"/>
      <c r="Z83" s="3">
        <f t="shared" si="20"/>
        <v>97.22</v>
      </c>
      <c r="AA83" s="3">
        <f t="shared" si="1"/>
        <v>52.090199999999996</v>
      </c>
      <c r="AB83" s="3"/>
      <c r="AC83" s="2">
        <f t="shared" si="21"/>
        <v>1.3597524999999999</v>
      </c>
      <c r="AD83" s="3">
        <f>USA!Z91*Australia!AC83</f>
        <v>49.019077624999994</v>
      </c>
      <c r="AF83" s="3">
        <v>38.14</v>
      </c>
      <c r="AG83" s="3">
        <v>-1.76</v>
      </c>
      <c r="AH83" s="3">
        <f t="shared" si="42"/>
        <v>8.7498000000000005</v>
      </c>
      <c r="AI83" s="3">
        <f t="shared" si="27"/>
        <v>45.129800000000003</v>
      </c>
      <c r="AJ83" s="7">
        <f t="shared" si="2"/>
        <v>0</v>
      </c>
      <c r="AK83" s="3">
        <f t="shared" si="38"/>
        <v>0.46420283892203251</v>
      </c>
      <c r="AM83" s="36">
        <v>38</v>
      </c>
      <c r="AN83" s="3">
        <f t="shared" si="43"/>
        <v>8.7750000000000004</v>
      </c>
      <c r="AO83" s="3">
        <f t="shared" si="39"/>
        <v>46.774999999999999</v>
      </c>
      <c r="AP83" s="3">
        <f t="shared" si="22"/>
        <v>31.081129476584024</v>
      </c>
      <c r="AQ83" s="3">
        <v>145.19999999999999</v>
      </c>
      <c r="AS83" s="3">
        <f t="shared" si="3"/>
        <v>94.148877624999997</v>
      </c>
      <c r="AU83" s="44">
        <v>2004</v>
      </c>
      <c r="AV83" s="3">
        <f t="shared" si="4"/>
        <v>97.22</v>
      </c>
      <c r="AW83" s="3">
        <f t="shared" si="28"/>
        <v>38.14</v>
      </c>
      <c r="AX83" s="3">
        <f t="shared" si="29"/>
        <v>-1.76</v>
      </c>
      <c r="AY83" s="3">
        <f t="shared" si="30"/>
        <v>8.7498000000000005</v>
      </c>
      <c r="AZ83" s="3">
        <f t="shared" si="31"/>
        <v>45.129800000000003</v>
      </c>
      <c r="BA83" s="3">
        <f t="shared" si="34"/>
        <v>52.090199999999996</v>
      </c>
      <c r="BC83" s="3">
        <v>84.263065179095705</v>
      </c>
      <c r="BE83" s="3">
        <f t="shared" si="35"/>
        <v>115.37676655052267</v>
      </c>
      <c r="BF83" s="3">
        <f t="shared" si="23"/>
        <v>117.78231267122688</v>
      </c>
      <c r="BG83" s="3">
        <f t="shared" si="24"/>
        <v>53.558222578397221</v>
      </c>
      <c r="BH83" s="7">
        <f t="shared" si="32"/>
        <v>61.818543972125454</v>
      </c>
      <c r="BI83" s="7">
        <f t="shared" si="11"/>
        <v>64.224090092829655</v>
      </c>
      <c r="BJ83" s="3">
        <f t="shared" si="36"/>
        <v>58.173860066463412</v>
      </c>
      <c r="BK83" s="9">
        <v>0</v>
      </c>
      <c r="BL83" s="9">
        <v>0</v>
      </c>
      <c r="BM83" s="9">
        <v>0</v>
      </c>
      <c r="BN83" s="9">
        <v>0</v>
      </c>
      <c r="BO83" s="9"/>
      <c r="BP83" s="3">
        <f t="shared" si="13"/>
        <v>136.08358200755958</v>
      </c>
      <c r="BQ83" s="3">
        <f t="shared" si="14"/>
        <v>138.92085455884461</v>
      </c>
    </row>
    <row r="84" spans="1:69">
      <c r="A84">
        <v>2005</v>
      </c>
      <c r="B84" s="3">
        <f t="shared" si="15"/>
        <v>94.141322548866043</v>
      </c>
      <c r="C84" s="3">
        <f t="shared" si="0"/>
        <v>89.539246597092159</v>
      </c>
      <c r="D84" s="2">
        <f t="shared" si="40"/>
        <v>65.781252413614709</v>
      </c>
      <c r="E84" s="2">
        <v>128.14202809149756</v>
      </c>
      <c r="F84" s="2">
        <f t="shared" si="41"/>
        <v>84.29343094679308</v>
      </c>
      <c r="G84" s="2">
        <v>1.3094733333333299</v>
      </c>
      <c r="I84" s="3">
        <v>110.38</v>
      </c>
      <c r="J84" s="3"/>
      <c r="K84">
        <v>112</v>
      </c>
      <c r="L84">
        <v>189.6</v>
      </c>
      <c r="M84" s="4">
        <f t="shared" si="37"/>
        <v>116.54312666666637</v>
      </c>
      <c r="N84">
        <v>1.3094733333333299</v>
      </c>
      <c r="O84" s="3">
        <f>(O83+O85)/2</f>
        <v>89</v>
      </c>
      <c r="T84">
        <v>2005</v>
      </c>
      <c r="X84">
        <v>1.3094733333333299</v>
      </c>
      <c r="Y84" s="6"/>
      <c r="Z84" s="3">
        <f t="shared" si="20"/>
        <v>110.38</v>
      </c>
      <c r="AA84" s="3">
        <f t="shared" si="1"/>
        <v>64.285799999999995</v>
      </c>
      <c r="AB84" s="3"/>
      <c r="AC84" s="2">
        <f t="shared" si="21"/>
        <v>1.3094733333333299</v>
      </c>
      <c r="AD84" s="3">
        <f>USA!Z92*Australia!AC84</f>
        <v>66.311729599999822</v>
      </c>
      <c r="AF84" s="3">
        <v>38.14</v>
      </c>
      <c r="AG84" s="3">
        <v>-1.98</v>
      </c>
      <c r="AH84" s="3">
        <f t="shared" si="42"/>
        <v>9.9342000000000006</v>
      </c>
      <c r="AI84" s="3">
        <f t="shared" si="27"/>
        <v>46.094200000000001</v>
      </c>
      <c r="AJ84" s="7">
        <f t="shared" si="2"/>
        <v>0</v>
      </c>
      <c r="AK84" s="3">
        <f t="shared" si="38"/>
        <v>0.41759557890922272</v>
      </c>
      <c r="AM84" s="36">
        <v>38</v>
      </c>
      <c r="AN84" s="3">
        <f t="shared" si="43"/>
        <v>10.08</v>
      </c>
      <c r="AO84" s="3">
        <f t="shared" si="39"/>
        <v>48.08</v>
      </c>
      <c r="AP84" s="3">
        <f t="shared" si="22"/>
        <v>30.920140868690261</v>
      </c>
      <c r="AQ84" s="3">
        <v>149.07499999999999</v>
      </c>
      <c r="AS84" s="3">
        <f t="shared" si="3"/>
        <v>112.40592959999982</v>
      </c>
      <c r="AU84" s="44">
        <v>2005</v>
      </c>
      <c r="AV84" s="3">
        <f t="shared" si="4"/>
        <v>110.38</v>
      </c>
      <c r="AW84" s="3">
        <f t="shared" si="28"/>
        <v>38.14</v>
      </c>
      <c r="AX84" s="3">
        <f t="shared" si="29"/>
        <v>-1.98</v>
      </c>
      <c r="AY84" s="3">
        <f t="shared" si="30"/>
        <v>9.9342000000000006</v>
      </c>
      <c r="AZ84" s="3">
        <f t="shared" si="31"/>
        <v>46.094200000000001</v>
      </c>
      <c r="BA84" s="3">
        <f t="shared" si="34"/>
        <v>64.285799999999995</v>
      </c>
      <c r="BC84" s="3">
        <v>86.318261890780974</v>
      </c>
      <c r="BE84" s="3">
        <f t="shared" si="35"/>
        <v>127.87560544217686</v>
      </c>
      <c r="BF84" s="3">
        <f t="shared" si="23"/>
        <v>127.77829248439582</v>
      </c>
      <c r="BG84" s="3">
        <f t="shared" si="24"/>
        <v>53.4002874829932</v>
      </c>
      <c r="BH84" s="7">
        <f t="shared" si="32"/>
        <v>74.475317959183656</v>
      </c>
      <c r="BI84" s="7">
        <f t="shared" si="11"/>
        <v>74.378005001402627</v>
      </c>
      <c r="BJ84" s="3">
        <f t="shared" si="36"/>
        <v>76.822364291700467</v>
      </c>
      <c r="BK84" s="9">
        <v>0</v>
      </c>
      <c r="BL84" s="9">
        <v>0</v>
      </c>
      <c r="BM84" s="9">
        <v>0</v>
      </c>
      <c r="BN84" s="9">
        <v>0</v>
      </c>
      <c r="BO84" s="9"/>
      <c r="BP84" s="3">
        <f t="shared" si="13"/>
        <v>150.82560345749243</v>
      </c>
      <c r="BQ84" s="3">
        <f t="shared" si="14"/>
        <v>150.71082561905479</v>
      </c>
    </row>
    <row r="85" spans="1:69">
      <c r="A85">
        <v>2006</v>
      </c>
      <c r="B85" s="3">
        <f t="shared" si="15"/>
        <v>101.22457726857232</v>
      </c>
      <c r="C85" s="3">
        <f t="shared" si="0"/>
        <v>92.424281215596963</v>
      </c>
      <c r="D85" s="2">
        <f t="shared" si="40"/>
        <v>70.730676895994051</v>
      </c>
      <c r="E85" s="2">
        <v>132.27087886006535</v>
      </c>
      <c r="F85" s="2">
        <f t="shared" si="41"/>
        <v>93.556087954004525</v>
      </c>
      <c r="G85" s="2">
        <v>1.3279734405000001</v>
      </c>
      <c r="I85" s="3">
        <v>124.24</v>
      </c>
      <c r="J85" s="3"/>
      <c r="K85">
        <v>124.1</v>
      </c>
      <c r="L85">
        <v>213.6</v>
      </c>
      <c r="M85" s="4">
        <f t="shared" si="37"/>
        <v>123.50152996650002</v>
      </c>
      <c r="N85">
        <v>1.3279734405000001</v>
      </c>
      <c r="O85" s="3">
        <v>93</v>
      </c>
      <c r="T85">
        <v>2006</v>
      </c>
      <c r="X85">
        <v>1.3279734405000001</v>
      </c>
      <c r="Y85" s="6"/>
      <c r="Z85" s="3">
        <f t="shared" si="20"/>
        <v>124.24</v>
      </c>
      <c r="AA85" s="3">
        <f t="shared" si="1"/>
        <v>77.128399999999999</v>
      </c>
      <c r="AB85" s="3"/>
      <c r="AC85" s="2">
        <f t="shared" si="21"/>
        <v>1.3279734405000001</v>
      </c>
      <c r="AD85" s="3">
        <f>USA!Z93*Australia!AC85</f>
        <v>81.11261774574001</v>
      </c>
      <c r="AF85" s="3">
        <v>38.14</v>
      </c>
      <c r="AG85" s="3">
        <v>-2.21</v>
      </c>
      <c r="AH85" s="3">
        <f t="shared" si="42"/>
        <v>11.181600000000001</v>
      </c>
      <c r="AI85" s="3">
        <f t="shared" si="27"/>
        <v>47.111600000000003</v>
      </c>
      <c r="AJ85" s="7">
        <f t="shared" si="2"/>
        <v>0</v>
      </c>
      <c r="AK85" s="3">
        <f t="shared" si="38"/>
        <v>0.37919832582099167</v>
      </c>
      <c r="AM85" s="36">
        <v>38</v>
      </c>
      <c r="AN85" s="3">
        <f t="shared" si="43"/>
        <v>11.169</v>
      </c>
      <c r="AO85" s="3">
        <f t="shared" si="39"/>
        <v>49.168999999999997</v>
      </c>
      <c r="AP85" s="3">
        <f t="shared" si="22"/>
        <v>30.522578555231622</v>
      </c>
      <c r="AQ85" s="3">
        <v>154.35</v>
      </c>
      <c r="AS85" s="3">
        <f t="shared" si="3"/>
        <v>128.22421774574002</v>
      </c>
      <c r="AU85" s="44">
        <v>2006</v>
      </c>
      <c r="AV85" s="3">
        <f t="shared" si="4"/>
        <v>124.24</v>
      </c>
      <c r="AW85" s="3">
        <f t="shared" si="28"/>
        <v>38.14</v>
      </c>
      <c r="AX85" s="3">
        <f t="shared" si="29"/>
        <v>-2.21</v>
      </c>
      <c r="AY85" s="3">
        <f t="shared" si="30"/>
        <v>11.181600000000001</v>
      </c>
      <c r="AZ85" s="3">
        <f t="shared" si="31"/>
        <v>47.111600000000003</v>
      </c>
      <c r="BA85" s="3">
        <f t="shared" si="34"/>
        <v>77.128399999999999</v>
      </c>
      <c r="BC85" s="3">
        <v>89.078097475044032</v>
      </c>
      <c r="BE85" s="3">
        <f t="shared" si="35"/>
        <v>139.47311799604483</v>
      </c>
      <c r="BF85" s="3">
        <f t="shared" si="23"/>
        <v>135.01706107953376</v>
      </c>
      <c r="BG85" s="3">
        <f t="shared" si="24"/>
        <v>52.887972841133823</v>
      </c>
      <c r="BH85" s="7">
        <f t="shared" si="32"/>
        <v>86.585145154911004</v>
      </c>
      <c r="BI85" s="7">
        <f t="shared" si="11"/>
        <v>82.12908823839993</v>
      </c>
      <c r="BJ85" s="3">
        <f t="shared" si="36"/>
        <v>91.057869493075316</v>
      </c>
      <c r="BK85" s="9">
        <v>0</v>
      </c>
      <c r="BL85" s="9">
        <v>0</v>
      </c>
      <c r="BM85" s="9">
        <v>0</v>
      </c>
      <c r="BN85" s="9">
        <v>0</v>
      </c>
      <c r="BO85" s="9"/>
      <c r="BP85" s="3">
        <f t="shared" si="13"/>
        <v>164.50453638214586</v>
      </c>
      <c r="BQ85" s="3">
        <f t="shared" si="14"/>
        <v>159.24874524708355</v>
      </c>
    </row>
    <row r="86" spans="1:69">
      <c r="A86">
        <v>2007</v>
      </c>
      <c r="B86" s="3">
        <f t="shared" si="15"/>
        <v>109.39063684354984</v>
      </c>
      <c r="C86" s="3">
        <f t="shared" si="0"/>
        <v>95.074004003893037</v>
      </c>
      <c r="D86" s="2">
        <f t="shared" si="40"/>
        <v>76.436711308750247</v>
      </c>
      <c r="E86" s="2">
        <v>136.06296852886032</v>
      </c>
      <c r="F86" s="2">
        <f t="shared" si="41"/>
        <v>104.00205845252067</v>
      </c>
      <c r="G86" s="2">
        <v>1.1950725</v>
      </c>
      <c r="I86" s="3">
        <v>124.29</v>
      </c>
      <c r="J86" s="3"/>
      <c r="K86">
        <v>121.6</v>
      </c>
      <c r="L86">
        <v>213.4</v>
      </c>
      <c r="M86" s="4">
        <f t="shared" si="37"/>
        <v>127.27522125</v>
      </c>
      <c r="N86">
        <v>1.1950725</v>
      </c>
      <c r="O86" s="3">
        <f>(O85+O87)/2</f>
        <v>106.5</v>
      </c>
      <c r="T86">
        <v>2007</v>
      </c>
      <c r="X86">
        <v>1.1950725</v>
      </c>
      <c r="Y86" s="6"/>
      <c r="Z86" s="3">
        <f t="shared" si="20"/>
        <v>124.29</v>
      </c>
      <c r="AA86" s="3">
        <f t="shared" si="1"/>
        <v>77.123899999999992</v>
      </c>
      <c r="AB86" s="3"/>
      <c r="AC86" s="2">
        <f t="shared" si="21"/>
        <v>1.1950725</v>
      </c>
      <c r="AD86" s="3">
        <f>USA!Z94*Australia!AC86</f>
        <v>82.555608300000003</v>
      </c>
      <c r="AF86" s="3">
        <v>38.14</v>
      </c>
      <c r="AG86" s="3">
        <v>-2.16</v>
      </c>
      <c r="AH86" s="3">
        <f t="shared" si="42"/>
        <v>11.186100000000001</v>
      </c>
      <c r="AI86" s="3">
        <f t="shared" si="27"/>
        <v>47.166100000000007</v>
      </c>
      <c r="AJ86" s="7">
        <f t="shared" si="2"/>
        <v>0</v>
      </c>
      <c r="AK86" s="3">
        <f t="shared" si="38"/>
        <v>0.3794842706573337</v>
      </c>
      <c r="AM86" s="36">
        <v>38</v>
      </c>
      <c r="AN86" s="3">
        <f t="shared" si="43"/>
        <v>10.944000000000001</v>
      </c>
      <c r="AO86" s="3">
        <f t="shared" si="39"/>
        <v>48.944000000000003</v>
      </c>
      <c r="AP86" s="3">
        <f t="shared" si="22"/>
        <v>29.861411839189625</v>
      </c>
      <c r="AQ86" s="3">
        <v>157.94999999999999</v>
      </c>
      <c r="AS86" s="3">
        <f t="shared" si="3"/>
        <v>129.72170830000002</v>
      </c>
      <c r="AU86" s="44">
        <v>2007</v>
      </c>
      <c r="AV86" s="3">
        <f t="shared" si="4"/>
        <v>124.29</v>
      </c>
      <c r="AW86" s="3">
        <f t="shared" si="28"/>
        <v>38.14</v>
      </c>
      <c r="AX86" s="3">
        <f t="shared" si="29"/>
        <v>-2.16</v>
      </c>
      <c r="AY86" s="3">
        <f t="shared" si="30"/>
        <v>11.186100000000001</v>
      </c>
      <c r="AZ86" s="3">
        <f t="shared" si="31"/>
        <v>47.166100000000007</v>
      </c>
      <c r="BA86" s="3">
        <f t="shared" si="34"/>
        <v>77.123899999999992</v>
      </c>
      <c r="BC86" s="3">
        <v>91.661773341162643</v>
      </c>
      <c r="BE86" s="3">
        <f t="shared" si="35"/>
        <v>135.59632927610508</v>
      </c>
      <c r="BF86" s="3">
        <f t="shared" si="23"/>
        <v>133.04541203488597</v>
      </c>
      <c r="BG86" s="3">
        <f t="shared" si="24"/>
        <v>51.4566741191544</v>
      </c>
      <c r="BH86" s="7">
        <f t="shared" si="32"/>
        <v>84.139655156950681</v>
      </c>
      <c r="BI86" s="7">
        <f t="shared" si="11"/>
        <v>81.588737915731571</v>
      </c>
      <c r="BJ86" s="3">
        <f t="shared" si="36"/>
        <v>90.065471450928897</v>
      </c>
      <c r="BK86" s="9">
        <v>0</v>
      </c>
      <c r="BL86" s="9">
        <v>0</v>
      </c>
      <c r="BM86" s="9">
        <v>0</v>
      </c>
      <c r="BN86" s="9">
        <v>0</v>
      </c>
      <c r="BO86" s="9"/>
      <c r="BP86" s="3">
        <f t="shared" si="13"/>
        <v>159.93197544575588</v>
      </c>
      <c r="BQ86" s="3">
        <f t="shared" si="14"/>
        <v>156.92324183353483</v>
      </c>
    </row>
    <row r="87" spans="1:69">
      <c r="A87">
        <v>2008</v>
      </c>
      <c r="B87" s="3">
        <f t="shared" si="15"/>
        <v>119.82512519818303</v>
      </c>
      <c r="C87" s="3">
        <f t="shared" si="0"/>
        <v>98.70291900542351</v>
      </c>
      <c r="D87" s="2">
        <f t="shared" si="40"/>
        <v>83.72781041038823</v>
      </c>
      <c r="E87" s="2">
        <v>141.25640655453694</v>
      </c>
      <c r="F87" s="2">
        <f t="shared" si="41"/>
        <v>118.2708962725099</v>
      </c>
      <c r="G87" s="2">
        <v>1.19217833333333</v>
      </c>
      <c r="I87" s="3">
        <v>141</v>
      </c>
      <c r="J87" s="3"/>
      <c r="K87">
        <v>140.80000000000001</v>
      </c>
      <c r="L87">
        <v>243.7</v>
      </c>
      <c r="M87" s="4">
        <f t="shared" si="37"/>
        <v>143.06139999999959</v>
      </c>
      <c r="N87">
        <v>1.19217833333333</v>
      </c>
      <c r="O87" s="6">
        <v>120</v>
      </c>
      <c r="T87">
        <v>2008</v>
      </c>
      <c r="X87">
        <v>1.19217833333333</v>
      </c>
      <c r="Y87" s="6"/>
      <c r="Z87" s="3">
        <f t="shared" si="20"/>
        <v>141</v>
      </c>
      <c r="AA87" s="3">
        <f t="shared" si="1"/>
        <v>92.56</v>
      </c>
      <c r="AB87" s="3"/>
      <c r="AC87" s="2">
        <f t="shared" si="21"/>
        <v>1.19217833333333</v>
      </c>
      <c r="AD87" s="3">
        <f>USA!Z95*Australia!AC87</f>
        <v>112.60124358333302</v>
      </c>
      <c r="AF87" s="3">
        <v>38.14</v>
      </c>
      <c r="AG87" s="3">
        <v>-2.39</v>
      </c>
      <c r="AH87" s="3">
        <f t="shared" si="42"/>
        <v>12.690000000000001</v>
      </c>
      <c r="AI87" s="3">
        <f t="shared" si="27"/>
        <v>48.44</v>
      </c>
      <c r="AJ87" s="7">
        <f t="shared" si="2"/>
        <v>0</v>
      </c>
      <c r="AK87" s="3">
        <f t="shared" si="38"/>
        <v>0.34354609929078012</v>
      </c>
      <c r="AM87" s="36">
        <v>38</v>
      </c>
      <c r="AN87" s="3">
        <f t="shared" si="43"/>
        <v>12.672000000000002</v>
      </c>
      <c r="AO87" s="3">
        <f t="shared" si="39"/>
        <v>50.672000000000004</v>
      </c>
      <c r="AP87" s="3">
        <f t="shared" si="22"/>
        <v>29.387854152763449</v>
      </c>
      <c r="AQ87" s="3">
        <v>164.83</v>
      </c>
      <c r="AS87" s="3">
        <f t="shared" si="3"/>
        <v>161.04124358333303</v>
      </c>
      <c r="AU87" s="44">
        <v>2008</v>
      </c>
      <c r="AV87" s="3">
        <f t="shared" si="4"/>
        <v>141</v>
      </c>
      <c r="AW87" s="3">
        <f t="shared" si="28"/>
        <v>38.14</v>
      </c>
      <c r="AX87" s="3">
        <f t="shared" si="29"/>
        <v>-2.39</v>
      </c>
      <c r="AY87" s="3">
        <f t="shared" si="30"/>
        <v>12.690000000000001</v>
      </c>
      <c r="AZ87" s="3">
        <f t="shared" si="31"/>
        <v>48.44</v>
      </c>
      <c r="BA87" s="3">
        <f t="shared" si="34"/>
        <v>92.56</v>
      </c>
      <c r="BC87" s="3">
        <v>94.773928361714624</v>
      </c>
      <c r="BE87" s="3">
        <f t="shared" si="35"/>
        <v>148.77509293680299</v>
      </c>
      <c r="BF87" s="3">
        <f t="shared" si="23"/>
        <v>148.35112993173044</v>
      </c>
      <c r="BG87" s="3">
        <f t="shared" si="24"/>
        <v>51.111102850061954</v>
      </c>
      <c r="BH87" s="7">
        <f t="shared" si="32"/>
        <v>97.663990086741038</v>
      </c>
      <c r="BI87" s="7">
        <f t="shared" si="11"/>
        <v>97.240027081668487</v>
      </c>
      <c r="BJ87" s="3">
        <f t="shared" si="36"/>
        <v>118.81035800645361</v>
      </c>
      <c r="BK87" s="9">
        <v>0</v>
      </c>
      <c r="BL87" s="9">
        <v>0</v>
      </c>
      <c r="BM87" s="9">
        <v>0</v>
      </c>
      <c r="BN87" s="9">
        <v>0</v>
      </c>
      <c r="BO87" s="9"/>
      <c r="BP87" s="3">
        <f t="shared" si="13"/>
        <v>175.47594863028354</v>
      </c>
      <c r="BQ87" s="3">
        <f t="shared" si="14"/>
        <v>174.97589644392156</v>
      </c>
    </row>
    <row r="88" spans="1:69">
      <c r="A88">
        <v>2009</v>
      </c>
      <c r="B88" s="3">
        <f t="shared" si="15"/>
        <v>94.821331996246656</v>
      </c>
      <c r="C88" s="3">
        <f>E88/E$89*100</f>
        <v>98.380597588111073</v>
      </c>
      <c r="D88" s="2">
        <f t="shared" si="40"/>
        <v>66.256409038683032</v>
      </c>
      <c r="E88" s="2">
        <v>140.7951236905254</v>
      </c>
      <c r="F88" s="2">
        <f t="shared" si="41"/>
        <v>93.285793058914223</v>
      </c>
      <c r="G88" s="2">
        <v>1.28218881008452</v>
      </c>
      <c r="I88">
        <v>119.61</v>
      </c>
      <c r="J88" s="3"/>
      <c r="K88">
        <v>128.5</v>
      </c>
      <c r="L88">
        <v>206</v>
      </c>
      <c r="M88" s="4">
        <f t="shared" si="37"/>
        <v>128.218881008452</v>
      </c>
      <c r="N88">
        <v>1.28218881008452</v>
      </c>
      <c r="O88" s="3">
        <v>100</v>
      </c>
      <c r="T88">
        <v>2009</v>
      </c>
      <c r="X88">
        <v>1.28218881008452</v>
      </c>
      <c r="Y88" s="6"/>
      <c r="Z88" s="3">
        <f t="shared" si="20"/>
        <v>119.61</v>
      </c>
      <c r="AA88" s="3">
        <f t="shared" si="1"/>
        <v>71.715099999999993</v>
      </c>
      <c r="AB88" s="3"/>
      <c r="AC88" s="2">
        <f t="shared" si="21"/>
        <v>1.28218881008452</v>
      </c>
      <c r="AD88" s="3">
        <f>USA!Z96*Australia!AC88</f>
        <v>78.290448743760791</v>
      </c>
      <c r="AF88" s="3">
        <v>38.14</v>
      </c>
      <c r="AG88" s="3">
        <v>-1.01</v>
      </c>
      <c r="AH88" s="3">
        <f t="shared" si="42"/>
        <v>10.764900000000001</v>
      </c>
      <c r="AI88" s="3">
        <f t="shared" si="27"/>
        <v>47.894900000000007</v>
      </c>
      <c r="AJ88" s="7">
        <f t="shared" si="2"/>
        <v>0</v>
      </c>
      <c r="AK88" s="3">
        <f t="shared" si="38"/>
        <v>0.40042554970320215</v>
      </c>
      <c r="AM88" s="36">
        <v>38</v>
      </c>
      <c r="AN88" s="3">
        <f t="shared" si="43"/>
        <v>11.565000000000001</v>
      </c>
      <c r="AO88" s="3">
        <f t="shared" si="39"/>
        <v>49.564999999999998</v>
      </c>
      <c r="AP88" s="3">
        <f t="shared" si="22"/>
        <v>28.537746529226006</v>
      </c>
      <c r="AQ88" s="3">
        <v>167.83</v>
      </c>
      <c r="AS88" s="3">
        <f t="shared" si="3"/>
        <v>126.1853487437608</v>
      </c>
      <c r="AU88" s="44">
        <v>2009</v>
      </c>
      <c r="AV88" s="3">
        <f t="shared" si="4"/>
        <v>119.61</v>
      </c>
      <c r="AW88" s="3">
        <f t="shared" si="28"/>
        <v>38.14</v>
      </c>
      <c r="AX88" s="3">
        <f t="shared" si="29"/>
        <v>-1.01</v>
      </c>
      <c r="AY88" s="3">
        <f t="shared" si="30"/>
        <v>10.764900000000001</v>
      </c>
      <c r="AZ88" s="3">
        <f t="shared" si="31"/>
        <v>47.894900000000007</v>
      </c>
      <c r="BA88" s="3">
        <f t="shared" si="34"/>
        <v>71.715099999999993</v>
      </c>
      <c r="BC88" s="3">
        <v>97.70992366412213</v>
      </c>
      <c r="BE88" s="3">
        <f t="shared" si="35"/>
        <v>122.41335937500001</v>
      </c>
      <c r="BF88" s="3">
        <f t="shared" si="23"/>
        <v>125.19389973992077</v>
      </c>
      <c r="BG88" s="3">
        <f t="shared" si="24"/>
        <v>49.017436718750012</v>
      </c>
      <c r="BH88" s="7">
        <f t="shared" si="32"/>
        <v>73.395922656250008</v>
      </c>
      <c r="BI88" s="7">
        <f t="shared" si="11"/>
        <v>76.176463021170747</v>
      </c>
      <c r="BJ88" s="3">
        <f t="shared" si="36"/>
        <v>80.125381136192686</v>
      </c>
      <c r="BK88" s="9">
        <v>0</v>
      </c>
      <c r="BL88" s="9">
        <v>0</v>
      </c>
      <c r="BM88" s="9">
        <v>0</v>
      </c>
      <c r="BN88" s="9">
        <v>0</v>
      </c>
      <c r="BO88" s="9"/>
      <c r="BP88" s="3">
        <f t="shared" si="13"/>
        <v>144.38304112149012</v>
      </c>
      <c r="BQ88" s="3">
        <f t="shared" si="14"/>
        <v>147.66260861231009</v>
      </c>
    </row>
    <row r="89" spans="1:69">
      <c r="A89">
        <v>2010</v>
      </c>
      <c r="B89" s="3">
        <f>I89/G89*100/C89</f>
        <v>115.90755761640831</v>
      </c>
      <c r="C89" s="3">
        <f>CPIs!AB49</f>
        <v>99.999998509883881</v>
      </c>
      <c r="D89" s="2">
        <f t="shared" si="40"/>
        <v>80.990408719171128</v>
      </c>
      <c r="E89" s="2">
        <v>143.11269411067286</v>
      </c>
      <c r="F89" s="2">
        <f>I89/G89</f>
        <v>115.9075558892511</v>
      </c>
      <c r="G89" s="2">
        <v>1.087025445453969</v>
      </c>
      <c r="I89" s="3">
        <v>125.99446257199398</v>
      </c>
      <c r="J89" s="3"/>
      <c r="K89">
        <v>125.9</v>
      </c>
      <c r="L89">
        <v>216.6</v>
      </c>
      <c r="N89">
        <v>1.0901594863867701</v>
      </c>
      <c r="T89">
        <v>2010</v>
      </c>
      <c r="X89">
        <v>1.0901594863867701</v>
      </c>
      <c r="Y89" s="6"/>
      <c r="Z89" s="3">
        <f t="shared" si="20"/>
        <v>125.99446257199398</v>
      </c>
      <c r="AA89" s="3">
        <f t="shared" si="1"/>
        <v>76.514960940514527</v>
      </c>
      <c r="AB89" s="3"/>
      <c r="AC89" s="2">
        <f t="shared" si="21"/>
        <v>1.0901594863867701</v>
      </c>
      <c r="AD89" s="3">
        <f>USA!Z97*Australia!AC89</f>
        <v>84.432852220655349</v>
      </c>
      <c r="AF89" s="3">
        <v>38.14</v>
      </c>
      <c r="AG89" s="3">
        <v>0</v>
      </c>
      <c r="AH89" s="3">
        <f t="shared" si="42"/>
        <v>11.339501631479459</v>
      </c>
      <c r="AI89" s="3">
        <f t="shared" si="27"/>
        <v>49.479501631479458</v>
      </c>
      <c r="AJ89" s="7">
        <f t="shared" si="2"/>
        <v>0</v>
      </c>
      <c r="AK89" s="3">
        <f t="shared" si="38"/>
        <v>0.39271171622488232</v>
      </c>
      <c r="AM89" s="3">
        <v>38</v>
      </c>
      <c r="AN89" s="3">
        <f t="shared" si="43"/>
        <v>11.331000000000001</v>
      </c>
      <c r="AO89" s="3">
        <f t="shared" si="39"/>
        <v>49.331000000000003</v>
      </c>
      <c r="AP89" s="3">
        <f t="shared" si="22"/>
        <v>28.667150423800383</v>
      </c>
      <c r="AQ89" s="3">
        <v>172.6</v>
      </c>
      <c r="AS89" s="3">
        <f t="shared" si="3"/>
        <v>133.9123538521348</v>
      </c>
      <c r="AT89" s="9"/>
      <c r="AU89" s="44">
        <v>2010</v>
      </c>
      <c r="AV89" s="3">
        <f>I89</f>
        <v>125.99446257199398</v>
      </c>
      <c r="AW89" s="3">
        <f t="shared" si="28"/>
        <v>38.14</v>
      </c>
      <c r="AX89" s="3">
        <f t="shared" si="29"/>
        <v>0</v>
      </c>
      <c r="AY89" s="3">
        <f t="shared" si="30"/>
        <v>11.339501631479459</v>
      </c>
      <c r="AZ89" s="3">
        <f t="shared" si="31"/>
        <v>49.479501631479458</v>
      </c>
      <c r="BA89" s="3">
        <f t="shared" si="34"/>
        <v>76.514960940514527</v>
      </c>
      <c r="BC89" s="3">
        <v>100</v>
      </c>
      <c r="BE89" s="3">
        <f t="shared" si="35"/>
        <v>125.99446257199398</v>
      </c>
      <c r="BF89" s="3">
        <f>BI89+BG89</f>
        <v>128.00133746831989</v>
      </c>
      <c r="BG89" s="3">
        <f t="shared" si="24"/>
        <v>49.479501631479458</v>
      </c>
      <c r="BH89" s="7">
        <f t="shared" si="32"/>
        <v>76.514960940514527</v>
      </c>
      <c r="BI89" s="7">
        <f t="shared" si="11"/>
        <v>78.521835836840438</v>
      </c>
      <c r="BJ89" s="3">
        <f t="shared" si="36"/>
        <v>84.432852220655349</v>
      </c>
      <c r="BK89" s="9">
        <v>0</v>
      </c>
      <c r="BL89" s="9">
        <v>0</v>
      </c>
      <c r="BM89" s="9">
        <v>0</v>
      </c>
      <c r="BN89" s="9">
        <v>0</v>
      </c>
      <c r="BO89" s="9"/>
      <c r="BP89" s="3">
        <f t="shared" si="13"/>
        <v>148.60684947698138</v>
      </c>
      <c r="BQ89" s="3">
        <f t="shared" si="14"/>
        <v>150.97390077073979</v>
      </c>
    </row>
    <row r="90" spans="1:69">
      <c r="A90">
        <v>2011</v>
      </c>
      <c r="B90" s="3">
        <f>I90/G90*100/C90</f>
        <v>142.32155271184399</v>
      </c>
      <c r="C90" s="3">
        <f>CPIs!AB50</f>
        <v>103.13271097869961</v>
      </c>
      <c r="F90" s="2">
        <f t="shared" ref="F90:F95" si="44">I90/G90</f>
        <v>146.78007561870368</v>
      </c>
      <c r="G90" s="2">
        <v>0.96091479088091858</v>
      </c>
      <c r="I90" s="3">
        <v>141.04314566863206</v>
      </c>
      <c r="J90" s="3"/>
      <c r="N90">
        <f>G90</f>
        <v>0.96091479088091858</v>
      </c>
      <c r="T90">
        <v>2011</v>
      </c>
      <c r="Z90" s="3">
        <f t="shared" si="20"/>
        <v>141.04314566863206</v>
      </c>
      <c r="AA90" s="3">
        <f>Z90-AI90</f>
        <v>90.20926255845518</v>
      </c>
      <c r="AC90" s="2">
        <f t="shared" si="21"/>
        <v>0.96091479088091858</v>
      </c>
      <c r="AD90" s="3">
        <f>USA!Z98*Australia!AC90</f>
        <v>103.25029428015471</v>
      </c>
      <c r="AF90" s="3">
        <v>38.14</v>
      </c>
      <c r="AG90" s="3">
        <v>0</v>
      </c>
      <c r="AH90" s="3">
        <f t="shared" si="42"/>
        <v>12.693883110176886</v>
      </c>
      <c r="AI90" s="3">
        <f t="shared" si="27"/>
        <v>50.833883110176885</v>
      </c>
      <c r="AM90" s="3">
        <v>38</v>
      </c>
      <c r="AT90" s="9"/>
      <c r="AU90" s="44">
        <v>2011</v>
      </c>
      <c r="AV90" s="3">
        <f>I90</f>
        <v>141.04314566863206</v>
      </c>
      <c r="AW90" s="3">
        <f t="shared" si="28"/>
        <v>38.14</v>
      </c>
      <c r="AX90" s="3">
        <f t="shared" si="29"/>
        <v>0</v>
      </c>
      <c r="AY90" s="3">
        <f t="shared" si="30"/>
        <v>12.693883110176886</v>
      </c>
      <c r="AZ90" s="3">
        <f t="shared" si="31"/>
        <v>50.833883110176885</v>
      </c>
      <c r="BA90" s="3">
        <f t="shared" si="34"/>
        <v>90.20926255845518</v>
      </c>
      <c r="BC90" s="3">
        <f>CPIs!B50</f>
        <v>103.21282196044922</v>
      </c>
      <c r="BE90" s="3">
        <f t="shared" si="35"/>
        <v>136.65273653953506</v>
      </c>
      <c r="BF90" s="3">
        <f>BI90+BG90</f>
        <v>136.26927213270005</v>
      </c>
      <c r="BG90" s="3">
        <f t="shared" si="24"/>
        <v>49.251519476578451</v>
      </c>
      <c r="BH90" s="7">
        <f t="shared" si="32"/>
        <v>87.401217062956604</v>
      </c>
      <c r="BI90" s="7">
        <f t="shared" si="11"/>
        <v>87.017752656121587</v>
      </c>
      <c r="BJ90" s="3">
        <f t="shared" si="36"/>
        <v>100.03630587653136</v>
      </c>
      <c r="BK90" s="9">
        <v>0</v>
      </c>
      <c r="BL90" s="9">
        <v>0</v>
      </c>
      <c r="BM90" s="9">
        <v>0</v>
      </c>
      <c r="BN90" s="9">
        <v>0</v>
      </c>
      <c r="BO90" s="9"/>
      <c r="BP90" s="3">
        <f t="shared" si="13"/>
        <v>161.17797746821162</v>
      </c>
      <c r="BQ90" s="3">
        <f t="shared" si="14"/>
        <v>160.72569221516926</v>
      </c>
    </row>
    <row r="91" spans="1:69">
      <c r="A91">
        <v>2012</v>
      </c>
      <c r="B91" s="3">
        <f t="shared" ref="B91:B96" si="45">I91/G91*100/C91</f>
        <v>141.63337112306453</v>
      </c>
      <c r="C91" s="3">
        <f>CPIs!AB51</f>
        <v>105.21072267093371</v>
      </c>
      <c r="F91" s="2">
        <f t="shared" si="44"/>
        <v>149.01349330178172</v>
      </c>
      <c r="G91" s="2">
        <v>0.96223237911955739</v>
      </c>
      <c r="I91" s="3">
        <v>143.38560818068964</v>
      </c>
      <c r="J91" s="3"/>
      <c r="N91">
        <f t="shared" ref="N91:N97" si="46">G91</f>
        <v>0.96223237911955739</v>
      </c>
      <c r="T91">
        <v>2012</v>
      </c>
      <c r="AC91" s="2">
        <f t="shared" si="21"/>
        <v>0.96223237911955739</v>
      </c>
      <c r="AD91" s="3">
        <f>USA!Z99*Australia!AC91</f>
        <v>105.36046026782134</v>
      </c>
      <c r="AF91" s="3">
        <v>38.14</v>
      </c>
      <c r="AG91" s="3">
        <v>0</v>
      </c>
      <c r="AH91" s="3">
        <f t="shared" si="42"/>
        <v>12.904704736262069</v>
      </c>
      <c r="AI91" s="3">
        <f t="shared" si="27"/>
        <v>51.044704736262069</v>
      </c>
      <c r="AT91" s="9"/>
      <c r="AU91" s="44">
        <v>2012</v>
      </c>
      <c r="AV91" s="3">
        <f t="shared" ref="AV91:AV96" si="47">I91</f>
        <v>143.38560818068964</v>
      </c>
      <c r="AW91" s="3">
        <f t="shared" si="28"/>
        <v>38.14</v>
      </c>
      <c r="AX91" s="3">
        <f t="shared" si="29"/>
        <v>0</v>
      </c>
      <c r="AY91" s="3">
        <f t="shared" si="30"/>
        <v>12.904704736262069</v>
      </c>
      <c r="AZ91" s="3">
        <f t="shared" si="31"/>
        <v>51.044704736262069</v>
      </c>
      <c r="BA91" s="3">
        <f t="shared" si="34"/>
        <v>92.340903444427568</v>
      </c>
      <c r="BC91" s="3">
        <f>CPIs!B51</f>
        <v>105.1121826171875</v>
      </c>
      <c r="BE91" s="3">
        <f t="shared" si="35"/>
        <v>136.41197871695971</v>
      </c>
      <c r="BF91" s="3">
        <f t="shared" ref="BF91:BF97" si="48">BI91+BG91</f>
        <v>135.68871475086095</v>
      </c>
      <c r="BG91" s="3">
        <f t="shared" si="24"/>
        <v>48.562120455783827</v>
      </c>
      <c r="BH91" s="7">
        <f t="shared" si="32"/>
        <v>87.849858261175882</v>
      </c>
      <c r="BI91" s="7">
        <f t="shared" si="11"/>
        <v>87.126594295077126</v>
      </c>
      <c r="BJ91" s="3">
        <f t="shared" si="36"/>
        <v>100.23620254517789</v>
      </c>
      <c r="BK91" s="9">
        <v>0</v>
      </c>
      <c r="BL91" s="9">
        <v>0</v>
      </c>
      <c r="BM91" s="9">
        <v>0</v>
      </c>
      <c r="BN91" s="9">
        <v>0</v>
      </c>
      <c r="BO91" s="9"/>
      <c r="BP91" s="3">
        <f t="shared" si="13"/>
        <v>160.89401053212967</v>
      </c>
      <c r="BQ91" s="3">
        <f t="shared" si="14"/>
        <v>160.04094145950478</v>
      </c>
    </row>
    <row r="92" spans="1:69">
      <c r="A92">
        <v>2013</v>
      </c>
      <c r="B92" s="3">
        <f t="shared" si="45"/>
        <v>131.45764357048287</v>
      </c>
      <c r="C92" s="3">
        <f>CPIs!AB52</f>
        <v>106.69767516878358</v>
      </c>
      <c r="F92" s="2">
        <f t="shared" si="44"/>
        <v>140.26224952137113</v>
      </c>
      <c r="G92" s="2">
        <v>1.0416214574020224</v>
      </c>
      <c r="I92" s="3">
        <v>146.10016876493671</v>
      </c>
      <c r="J92" s="3"/>
      <c r="N92">
        <f t="shared" si="46"/>
        <v>1.0416214574020224</v>
      </c>
      <c r="T92">
        <v>2013</v>
      </c>
      <c r="AC92" s="2">
        <f t="shared" si="21"/>
        <v>1.0416214574020224</v>
      </c>
      <c r="AD92" s="3">
        <f>USA!Z100*Australia!AC92</f>
        <v>110.34547111670499</v>
      </c>
      <c r="AF92" s="3">
        <v>38.14</v>
      </c>
      <c r="AG92" s="3">
        <v>0</v>
      </c>
      <c r="AH92" s="3">
        <f t="shared" si="42"/>
        <v>13.149015188844306</v>
      </c>
      <c r="AI92" s="3">
        <f t="shared" si="27"/>
        <v>51.289015188844303</v>
      </c>
      <c r="AM92" s="36" t="s">
        <v>206</v>
      </c>
      <c r="AN92" s="36"/>
      <c r="AO92" s="36"/>
      <c r="AT92" s="9"/>
      <c r="AU92" s="44">
        <v>2013</v>
      </c>
      <c r="AV92" s="3">
        <f t="shared" si="47"/>
        <v>146.10016876493671</v>
      </c>
      <c r="AW92" s="3">
        <f t="shared" si="28"/>
        <v>38.14</v>
      </c>
      <c r="AX92" s="3">
        <f t="shared" si="29"/>
        <v>0</v>
      </c>
      <c r="AY92" s="3">
        <f t="shared" si="30"/>
        <v>13.149015188844306</v>
      </c>
      <c r="AZ92" s="3">
        <f t="shared" si="31"/>
        <v>51.289015188844303</v>
      </c>
      <c r="BA92" s="3">
        <f t="shared" si="34"/>
        <v>94.811153576092408</v>
      </c>
      <c r="BC92" s="3">
        <f>CPIs!B52</f>
        <v>107.69465637207031</v>
      </c>
      <c r="BE92" s="3">
        <f t="shared" si="35"/>
        <v>135.66148376032754</v>
      </c>
      <c r="BF92" s="3">
        <f t="shared" si="48"/>
        <v>135.9626757578325</v>
      </c>
      <c r="BG92" s="3">
        <f t="shared" si="24"/>
        <v>47.624475453682464</v>
      </c>
      <c r="BH92" s="7">
        <f t="shared" si="32"/>
        <v>88.037008306645077</v>
      </c>
      <c r="BI92" s="7">
        <f t="shared" si="11"/>
        <v>88.338200304150035</v>
      </c>
      <c r="BJ92" s="3">
        <f t="shared" si="36"/>
        <v>102.46141715284041</v>
      </c>
      <c r="BK92" s="9">
        <v>0</v>
      </c>
      <c r="BL92" s="9">
        <v>0</v>
      </c>
      <c r="BM92" s="9">
        <v>0</v>
      </c>
      <c r="BN92" s="9">
        <v>0</v>
      </c>
      <c r="BO92" s="9"/>
      <c r="BP92" s="3">
        <f t="shared" si="13"/>
        <v>160.00882328836695</v>
      </c>
      <c r="BQ92" s="3">
        <f t="shared" si="14"/>
        <v>160.3640705978375</v>
      </c>
    </row>
    <row r="93" spans="1:69">
      <c r="A93">
        <v>2014</v>
      </c>
      <c r="B93" s="3">
        <f t="shared" si="45"/>
        <v>121.81618522919376</v>
      </c>
      <c r="C93" s="3">
        <f>CPIs!AB53</f>
        <v>108.45811062912946</v>
      </c>
      <c r="F93" s="2">
        <f t="shared" si="44"/>
        <v>132.11953294006423</v>
      </c>
      <c r="G93" s="2">
        <v>1.1123470522803114</v>
      </c>
      <c r="I93" s="3">
        <v>146.96277301453196</v>
      </c>
      <c r="J93" s="3"/>
      <c r="N93">
        <f t="shared" si="46"/>
        <v>1.1123470522803114</v>
      </c>
      <c r="T93">
        <v>2014</v>
      </c>
      <c r="AC93" s="2">
        <f t="shared" si="21"/>
        <v>1.1123470522803114</v>
      </c>
      <c r="AD93" s="3">
        <f>USA!Z101*Australia!AC93</f>
        <v>106.99561549870224</v>
      </c>
      <c r="AF93" s="3">
        <v>38.197500000000005</v>
      </c>
      <c r="AG93" s="3">
        <v>0</v>
      </c>
      <c r="AH93" s="3">
        <f t="shared" si="42"/>
        <v>13.226649571307878</v>
      </c>
      <c r="AI93" s="3">
        <f t="shared" si="27"/>
        <v>51.424149571307879</v>
      </c>
      <c r="AT93" s="9"/>
      <c r="AU93" s="44">
        <v>2014</v>
      </c>
      <c r="AV93" s="3">
        <f t="shared" si="47"/>
        <v>146.96277301453196</v>
      </c>
      <c r="AW93" s="3">
        <f t="shared" si="28"/>
        <v>38.197500000000005</v>
      </c>
      <c r="AX93" s="3">
        <f t="shared" si="29"/>
        <v>0</v>
      </c>
      <c r="AY93" s="3">
        <f t="shared" si="30"/>
        <v>13.226649571307878</v>
      </c>
      <c r="AZ93" s="3">
        <f t="shared" si="31"/>
        <v>51.424149571307879</v>
      </c>
      <c r="BA93" s="3">
        <f t="shared" si="34"/>
        <v>95.538623443224083</v>
      </c>
      <c r="BC93" s="3">
        <f>CPIs!B53</f>
        <v>110.31600189208984</v>
      </c>
      <c r="BE93" s="3">
        <f t="shared" si="35"/>
        <v>133.21981443661244</v>
      </c>
      <c r="BF93" s="3">
        <f t="shared" si="48"/>
        <v>131.97444589210573</v>
      </c>
      <c r="BG93" s="3">
        <f t="shared" si="24"/>
        <v>46.615313000203301</v>
      </c>
      <c r="BH93" s="7">
        <f t="shared" si="32"/>
        <v>86.604501436409137</v>
      </c>
      <c r="BI93" s="7">
        <f t="shared" si="11"/>
        <v>85.359132891902448</v>
      </c>
      <c r="BJ93" s="3">
        <f t="shared" si="36"/>
        <v>96.990113549768068</v>
      </c>
      <c r="BK93" s="9">
        <v>0</v>
      </c>
      <c r="BL93" s="9">
        <v>0</v>
      </c>
      <c r="BM93" s="9">
        <v>0</v>
      </c>
      <c r="BN93" s="9">
        <v>0</v>
      </c>
      <c r="BO93" s="9"/>
      <c r="BP93" s="3">
        <f t="shared" si="13"/>
        <v>157.12894445675116</v>
      </c>
      <c r="BQ93" s="3">
        <f t="shared" si="14"/>
        <v>155.66006803108183</v>
      </c>
    </row>
    <row r="94" spans="1:69">
      <c r="A94">
        <v>2015</v>
      </c>
      <c r="B94" s="3">
        <f t="shared" si="45"/>
        <v>87.921998816497918</v>
      </c>
      <c r="C94" s="3">
        <f>CPIs!AB54</f>
        <v>108.69337137051741</v>
      </c>
      <c r="F94" s="2">
        <f t="shared" si="44"/>
        <v>95.565384689998012</v>
      </c>
      <c r="G94" s="2">
        <v>1.3396146375226059</v>
      </c>
      <c r="I94" s="3">
        <v>128.02078817120008</v>
      </c>
      <c r="J94" s="3"/>
      <c r="N94">
        <f t="shared" si="46"/>
        <v>1.3396146375226059</v>
      </c>
      <c r="T94">
        <v>2015</v>
      </c>
      <c r="U94" s="13"/>
      <c r="V94" s="13"/>
      <c r="AC94" s="2">
        <f t="shared" si="21"/>
        <v>1.3396146375226059</v>
      </c>
      <c r="AD94" s="3">
        <f>USA!Z102*Australia!AC94</f>
        <v>66.333262631449685</v>
      </c>
      <c r="AF94" s="3">
        <v>39</v>
      </c>
      <c r="AG94" s="3">
        <v>0</v>
      </c>
      <c r="AH94" s="3">
        <f t="shared" si="42"/>
        <v>11.521870935408009</v>
      </c>
      <c r="AI94" s="3">
        <f t="shared" si="27"/>
        <v>50.52187093540801</v>
      </c>
      <c r="AT94" s="9"/>
      <c r="AU94" s="44">
        <v>2015</v>
      </c>
      <c r="AV94" s="3">
        <f t="shared" si="47"/>
        <v>128.02078817120008</v>
      </c>
      <c r="AW94" s="3">
        <f t="shared" si="28"/>
        <v>39</v>
      </c>
      <c r="AX94" s="3">
        <f t="shared" si="29"/>
        <v>0</v>
      </c>
      <c r="AY94" s="3">
        <f t="shared" si="30"/>
        <v>11.521870935408009</v>
      </c>
      <c r="AZ94" s="3">
        <f t="shared" si="31"/>
        <v>50.52187093540801</v>
      </c>
      <c r="BA94" s="3">
        <f t="shared" si="34"/>
        <v>77.498917235792078</v>
      </c>
      <c r="BC94" s="3">
        <f>CPIs!B54</f>
        <v>111.99044799804688</v>
      </c>
      <c r="BE94" s="3">
        <f t="shared" si="35"/>
        <v>114.31402450808375</v>
      </c>
      <c r="BF94" s="3">
        <f t="shared" si="48"/>
        <v>109.91244991983331</v>
      </c>
      <c r="BG94" s="3">
        <f t="shared" si="24"/>
        <v>45.112660801472209</v>
      </c>
      <c r="BH94" s="7">
        <f t="shared" si="32"/>
        <v>69.201363706611545</v>
      </c>
      <c r="BI94" s="7">
        <f t="shared" ref="BI94:BI96" si="49">BF$102+BF$103*BJ94+BF$104*BK94+BF$105*BL94+BF$106*BM94+BF$107*BN94</f>
        <v>64.799789118361105</v>
      </c>
      <c r="BJ94" s="3">
        <f t="shared" si="36"/>
        <v>59.231178923944071</v>
      </c>
      <c r="BK94" s="9">
        <v>0</v>
      </c>
      <c r="BL94" s="9">
        <v>0</v>
      </c>
      <c r="BM94" s="9">
        <v>0</v>
      </c>
      <c r="BN94" s="9">
        <v>0</v>
      </c>
      <c r="BO94" s="9"/>
      <c r="BP94" s="3">
        <f t="shared" si="13"/>
        <v>134.8301082952261</v>
      </c>
      <c r="BQ94" s="3">
        <f t="shared" si="14"/>
        <v>129.63857750137015</v>
      </c>
    </row>
    <row r="95" spans="1:69">
      <c r="A95">
        <v>2016</v>
      </c>
      <c r="B95" s="3">
        <f t="shared" si="45"/>
        <v>78.798458356068792</v>
      </c>
      <c r="C95" s="3">
        <f>CPIs!AB55</f>
        <v>110.08253978538585</v>
      </c>
      <c r="F95" s="2">
        <f t="shared" si="44"/>
        <v>86.743344270090134</v>
      </c>
      <c r="G95" s="2">
        <v>1.3451557578271249</v>
      </c>
      <c r="I95" s="3">
        <v>116.68330899809229</v>
      </c>
      <c r="N95">
        <f t="shared" si="46"/>
        <v>1.3451557578271249</v>
      </c>
      <c r="T95">
        <v>2016</v>
      </c>
      <c r="U95" s="13"/>
      <c r="V95" s="13"/>
      <c r="AC95" s="2">
        <f t="shared" si="21"/>
        <v>1.3451557578271249</v>
      </c>
      <c r="AD95" s="3">
        <f>USA!Z103*Australia!AC95</f>
        <v>54.726272012913498</v>
      </c>
      <c r="AF95" s="3">
        <v>39.516666666666666</v>
      </c>
      <c r="AG95" s="3">
        <v>0</v>
      </c>
      <c r="AH95" s="3">
        <f t="shared" si="42"/>
        <v>10.501497809828308</v>
      </c>
      <c r="AI95" s="3">
        <f t="shared" si="27"/>
        <v>50.018164476494974</v>
      </c>
      <c r="AT95" s="9"/>
      <c r="AU95" s="44">
        <v>2016</v>
      </c>
      <c r="AV95" s="3">
        <f t="shared" si="47"/>
        <v>116.68330899809229</v>
      </c>
      <c r="AW95" s="3">
        <f t="shared" si="28"/>
        <v>39.516666666666666</v>
      </c>
      <c r="AX95" s="3">
        <f t="shared" si="29"/>
        <v>0</v>
      </c>
      <c r="AY95" s="3">
        <f t="shared" si="30"/>
        <v>10.501497809828308</v>
      </c>
      <c r="AZ95" s="3">
        <f t="shared" si="31"/>
        <v>50.018164476494974</v>
      </c>
      <c r="BA95" s="3">
        <f t="shared" si="34"/>
        <v>66.665144521597313</v>
      </c>
      <c r="BC95" s="3">
        <f>CPIs!B55</f>
        <v>113.47606658935547</v>
      </c>
      <c r="BE95" s="3">
        <f t="shared" si="35"/>
        <v>102.8263602230267</v>
      </c>
      <c r="BF95" s="3">
        <f t="shared" si="48"/>
        <v>102.88637242447975</v>
      </c>
      <c r="BG95" s="3">
        <f t="shared" si="24"/>
        <v>44.078162012347093</v>
      </c>
      <c r="BH95" s="7">
        <f t="shared" si="32"/>
        <v>58.748198210679604</v>
      </c>
      <c r="BI95" s="7">
        <f t="shared" si="49"/>
        <v>58.808210412132652</v>
      </c>
      <c r="BJ95" s="3">
        <f t="shared" si="36"/>
        <v>48.227149263955063</v>
      </c>
      <c r="BK95" s="9">
        <v>0</v>
      </c>
      <c r="BL95" s="9">
        <v>0</v>
      </c>
      <c r="BM95" s="9">
        <v>0</v>
      </c>
      <c r="BN95" s="9">
        <v>0</v>
      </c>
      <c r="BO95" s="9"/>
      <c r="BP95" s="3">
        <f t="shared" si="13"/>
        <v>121.28073824829967</v>
      </c>
      <c r="BQ95" s="3">
        <f t="shared" si="14"/>
        <v>121.35152091609366</v>
      </c>
    </row>
    <row r="96" spans="1:69">
      <c r="A96">
        <v>2017</v>
      </c>
      <c r="B96" s="3">
        <f t="shared" si="45"/>
        <v>87.583013370412331</v>
      </c>
      <c r="C96" s="3">
        <f>CPIs!AB56</f>
        <v>112.42729788281457</v>
      </c>
      <c r="F96" s="2">
        <f>I96/G96</f>
        <v>98.467215336698786</v>
      </c>
      <c r="G96" s="2">
        <v>1.3001365143340053</v>
      </c>
      <c r="I96" s="3">
        <v>128.02082212403147</v>
      </c>
      <c r="N96">
        <f t="shared" si="46"/>
        <v>1.3001365143340053</v>
      </c>
      <c r="T96">
        <v>2017</v>
      </c>
      <c r="U96" s="13"/>
      <c r="V96" s="13"/>
      <c r="AC96" s="2">
        <f t="shared" si="21"/>
        <v>1.3001365143340053</v>
      </c>
      <c r="AD96" s="3">
        <f>USA!Z104*Australia!AC96</f>
        <v>68.270168367678622</v>
      </c>
      <c r="AF96" s="3">
        <v>40.141666666666666</v>
      </c>
      <c r="AG96" s="3">
        <v>0</v>
      </c>
      <c r="AH96" s="3">
        <f>0.1*(I96*(1-0.1))</f>
        <v>11.521873991162833</v>
      </c>
      <c r="AI96" s="3">
        <f t="shared" si="27"/>
        <v>51.6635406578295</v>
      </c>
      <c r="AT96" s="9"/>
      <c r="AU96" s="44">
        <v>2017</v>
      </c>
      <c r="AV96" s="3">
        <f t="shared" si="47"/>
        <v>128.02082212403147</v>
      </c>
      <c r="AW96" s="3">
        <f t="shared" si="28"/>
        <v>40.141666666666666</v>
      </c>
      <c r="AX96" s="3">
        <f t="shared" si="29"/>
        <v>0</v>
      </c>
      <c r="AY96" s="3">
        <f t="shared" si="30"/>
        <v>11.521873991162833</v>
      </c>
      <c r="AZ96" s="3">
        <f t="shared" si="31"/>
        <v>51.6635406578295</v>
      </c>
      <c r="BA96" s="3">
        <f t="shared" si="34"/>
        <v>76.357281466201968</v>
      </c>
      <c r="BC96" s="3">
        <f>CPIs!B56</f>
        <v>115.69</v>
      </c>
      <c r="BE96" s="3">
        <f t="shared" si="35"/>
        <v>110.65850300287966</v>
      </c>
      <c r="BF96" s="3">
        <f t="shared" si="48"/>
        <v>109.3369418880811</v>
      </c>
      <c r="BG96" s="3">
        <f>AZ96/BC96*100</f>
        <v>44.65687670311133</v>
      </c>
      <c r="BH96" s="7">
        <f t="shared" si="32"/>
        <v>66.001626299768333</v>
      </c>
      <c r="BI96" s="7">
        <f t="shared" si="49"/>
        <v>64.680065184969777</v>
      </c>
      <c r="BJ96" s="3">
        <f t="shared" si="36"/>
        <v>59.011296021850313</v>
      </c>
      <c r="BK96" s="9">
        <v>0</v>
      </c>
      <c r="BL96" s="9">
        <v>0</v>
      </c>
      <c r="BM96" s="9">
        <v>0</v>
      </c>
      <c r="BN96" s="9">
        <v>0</v>
      </c>
      <c r="BO96" s="9"/>
      <c r="BP96" s="3">
        <f t="shared" si="13"/>
        <v>130.51852568282894</v>
      </c>
      <c r="BQ96" s="3">
        <f t="shared" si="14"/>
        <v>128.95978230909313</v>
      </c>
    </row>
    <row r="97" spans="1:76">
      <c r="A97">
        <v>2018</v>
      </c>
      <c r="C97" s="3"/>
      <c r="G97" s="2">
        <f>'Exchange Rates'!B57</f>
        <v>1.3473457289140394</v>
      </c>
      <c r="I97" s="3">
        <v>143.63340430825156</v>
      </c>
      <c r="N97">
        <f t="shared" si="46"/>
        <v>1.3473457289140394</v>
      </c>
      <c r="T97">
        <v>2018</v>
      </c>
      <c r="U97" s="13"/>
      <c r="V97" s="13"/>
      <c r="AC97" s="2">
        <f t="shared" si="21"/>
        <v>1.3473457289140394</v>
      </c>
      <c r="AD97" s="3">
        <f>USA!Z105*Australia!AC97</f>
        <v>94.589036222019246</v>
      </c>
      <c r="AF97" s="3">
        <f>AF96*(BC97/BC96)</f>
        <v>40.924836013855035</v>
      </c>
      <c r="AG97" s="3">
        <v>0</v>
      </c>
      <c r="AH97" s="3">
        <f>0.1*(I97*(1-0.1))</f>
        <v>12.92700638774264</v>
      </c>
      <c r="AI97" s="3">
        <f t="shared" si="27"/>
        <v>53.851842401597679</v>
      </c>
      <c r="AT97" s="9"/>
      <c r="AU97" s="44">
        <v>2018</v>
      </c>
      <c r="AV97" s="3">
        <f>I97</f>
        <v>143.63340430825156</v>
      </c>
      <c r="AW97" s="3">
        <f t="shared" si="28"/>
        <v>40.924836013855035</v>
      </c>
      <c r="AX97" s="3">
        <f t="shared" si="29"/>
        <v>0</v>
      </c>
      <c r="AY97" s="3">
        <f t="shared" si="30"/>
        <v>12.92700638774264</v>
      </c>
      <c r="AZ97" s="3">
        <f t="shared" si="31"/>
        <v>53.851842401597679</v>
      </c>
      <c r="BA97" s="3">
        <f t="shared" si="34"/>
        <v>89.781561906653877</v>
      </c>
      <c r="BC97" s="3">
        <f>CPIs!B57</f>
        <v>117.94712755099577</v>
      </c>
      <c r="BE97" s="3">
        <f t="shared" si="35"/>
        <v>121.77778915908743</v>
      </c>
      <c r="BF97" s="3">
        <f t="shared" si="48"/>
        <v>121.87259956057639</v>
      </c>
      <c r="BG97" s="3">
        <f>AZ97/BC97*100</f>
        <v>45.657612457170039</v>
      </c>
      <c r="BH97" s="3">
        <f>BE97-BG97</f>
        <v>76.120176701917387</v>
      </c>
      <c r="BI97" s="7">
        <f>BF$102+BF$103*BJ97+BF$104*BK97+BF$105*BL97+BF$106*BM97+BF$107*BN97</f>
        <v>76.214987103406344</v>
      </c>
      <c r="BJ97" s="3">
        <f>AD97/BC97*100</f>
        <v>80.196133798275497</v>
      </c>
      <c r="BK97" s="9">
        <v>0</v>
      </c>
      <c r="BL97" s="9">
        <v>0</v>
      </c>
      <c r="BM97" s="9">
        <v>0</v>
      </c>
      <c r="BN97" s="9">
        <v>0</v>
      </c>
      <c r="BO97" s="9"/>
      <c r="BP97" s="3">
        <f>BE97*$BC$97/$BC$89</f>
        <v>143.63340430825156</v>
      </c>
      <c r="BQ97" s="3">
        <f>BF97*$BC$97/$BC$89</f>
        <v>143.74523045342735</v>
      </c>
      <c r="BX97" t="s">
        <v>174</v>
      </c>
    </row>
    <row r="98" spans="1:76">
      <c r="G98" s="2"/>
      <c r="U98" s="25"/>
      <c r="V98" s="13"/>
      <c r="AD98" s="174"/>
      <c r="AU98" s="44">
        <v>2019</v>
      </c>
      <c r="BC98" s="3">
        <f>BC97</f>
        <v>117.94712755099577</v>
      </c>
    </row>
    <row r="99" spans="1:76">
      <c r="AD99" s="174"/>
      <c r="AU99" s="44">
        <v>2020</v>
      </c>
      <c r="BC99" s="3">
        <f t="shared" ref="BC99:BC119" si="50">BC98</f>
        <v>117.94712755099577</v>
      </c>
    </row>
    <row r="100" spans="1:76">
      <c r="AD100" s="174"/>
      <c r="AE100"/>
      <c r="AF100" s="3" t="s">
        <v>113</v>
      </c>
      <c r="AU100" s="44">
        <v>2021</v>
      </c>
      <c r="BC100" s="3">
        <f t="shared" si="50"/>
        <v>117.94712755099577</v>
      </c>
    </row>
    <row r="101" spans="1:76">
      <c r="AD101" s="174"/>
      <c r="AE101">
        <v>2014</v>
      </c>
      <c r="AF101" s="3">
        <f>38.14*0.875+38.6*0.125</f>
        <v>38.197500000000005</v>
      </c>
      <c r="AU101" s="44">
        <v>2022</v>
      </c>
      <c r="BC101" s="3">
        <f t="shared" si="50"/>
        <v>117.94712755099577</v>
      </c>
    </row>
    <row r="102" spans="1:76">
      <c r="I102" t="s">
        <v>2512</v>
      </c>
      <c r="AE102">
        <v>2015</v>
      </c>
      <c r="AF102" s="3">
        <f>1/12*38.6+6/12*38.9+5/12*39.2</f>
        <v>39</v>
      </c>
      <c r="AU102" s="44">
        <v>2023</v>
      </c>
      <c r="BC102" s="3">
        <f t="shared" si="50"/>
        <v>117.94712755099577</v>
      </c>
      <c r="BE102" s="13" t="s">
        <v>88</v>
      </c>
      <c r="BF102" s="13">
        <v>32.54903359051157</v>
      </c>
      <c r="BP102" s="13"/>
      <c r="BQ102" s="13"/>
    </row>
    <row r="103" spans="1:76">
      <c r="Q103" t="str">
        <f t="shared" ref="Q103:R108" si="51">BE102</f>
        <v>Intercept</v>
      </c>
      <c r="R103">
        <f t="shared" si="51"/>
        <v>32.54903359051157</v>
      </c>
      <c r="AE103">
        <v>2016</v>
      </c>
      <c r="AF103" s="3">
        <f>1/12*39.2+6/12*39.5+5/12*39.6</f>
        <v>39.516666666666666</v>
      </c>
      <c r="AU103" s="44">
        <v>2024</v>
      </c>
      <c r="BC103" s="3">
        <f t="shared" si="50"/>
        <v>117.94712755099577</v>
      </c>
      <c r="BE103" s="13" t="s">
        <v>229</v>
      </c>
      <c r="BF103" s="13">
        <v>0.54448950896724835</v>
      </c>
      <c r="BP103" s="13"/>
      <c r="BQ103" s="13"/>
    </row>
    <row r="104" spans="1:76">
      <c r="Q104" t="str">
        <f t="shared" si="51"/>
        <v>landed oil price</v>
      </c>
      <c r="R104">
        <f t="shared" si="51"/>
        <v>0.54448950896724835</v>
      </c>
      <c r="AE104">
        <v>2017</v>
      </c>
      <c r="AF104" s="3">
        <f>1/12*39.6+6/12*40.1+5/12*40.3</f>
        <v>40.141666666666666</v>
      </c>
      <c r="AU104" s="44">
        <v>2025</v>
      </c>
      <c r="BC104" s="3">
        <f t="shared" si="50"/>
        <v>117.94712755099577</v>
      </c>
      <c r="BE104" s="7" t="s">
        <v>2095</v>
      </c>
      <c r="BF104" s="13">
        <v>-15.804520119026636</v>
      </c>
      <c r="BP104" s="7"/>
      <c r="BQ104" s="13"/>
    </row>
    <row r="105" spans="1:76">
      <c r="Q105" t="str">
        <f t="shared" si="51"/>
        <v>dum9403</v>
      </c>
      <c r="R105">
        <f t="shared" si="51"/>
        <v>-15.804520119026636</v>
      </c>
      <c r="AE105">
        <v>2018</v>
      </c>
      <c r="AU105" s="44">
        <v>2026</v>
      </c>
      <c r="BC105" s="3">
        <f t="shared" si="50"/>
        <v>117.94712755099577</v>
      </c>
      <c r="BE105" s="7" t="s">
        <v>2096</v>
      </c>
      <c r="BF105" s="13">
        <v>12.499294598084983</v>
      </c>
      <c r="BP105" s="7"/>
      <c r="BQ105" s="13"/>
    </row>
    <row r="106" spans="1:76">
      <c r="Q106" t="str">
        <f t="shared" si="51"/>
        <v>dum8086</v>
      </c>
      <c r="R106">
        <f t="shared" si="51"/>
        <v>12.499294598084983</v>
      </c>
      <c r="AE106">
        <v>2019</v>
      </c>
      <c r="AU106" s="44">
        <v>2027</v>
      </c>
      <c r="BC106" s="3">
        <f t="shared" si="50"/>
        <v>117.94712755099577</v>
      </c>
      <c r="BE106" s="7" t="s">
        <v>2012</v>
      </c>
      <c r="BF106" s="13">
        <v>14.071475452256834</v>
      </c>
      <c r="BP106" s="7"/>
      <c r="BQ106" s="13"/>
    </row>
    <row r="107" spans="1:76" ht="15.75" thickBot="1">
      <c r="Q107" t="str">
        <f t="shared" si="51"/>
        <v>dum79</v>
      </c>
      <c r="R107">
        <f t="shared" si="51"/>
        <v>14.071475452256834</v>
      </c>
      <c r="AU107" s="44">
        <v>2028</v>
      </c>
      <c r="BC107" s="3">
        <f t="shared" si="50"/>
        <v>117.94712755099577</v>
      </c>
      <c r="BE107" s="7" t="s">
        <v>240</v>
      </c>
      <c r="BF107" s="14">
        <v>10.008069776469837</v>
      </c>
      <c r="BP107" s="7"/>
      <c r="BQ107" s="14"/>
    </row>
    <row r="108" spans="1:76">
      <c r="Q108" t="str">
        <f t="shared" si="51"/>
        <v>dum6573</v>
      </c>
      <c r="R108">
        <f t="shared" si="51"/>
        <v>10.008069776469837</v>
      </c>
      <c r="AU108" s="44">
        <v>2029</v>
      </c>
      <c r="BC108" s="3">
        <f t="shared" si="50"/>
        <v>117.94712755099577</v>
      </c>
    </row>
    <row r="109" spans="1:76">
      <c r="AU109" s="44">
        <v>2030</v>
      </c>
      <c r="BC109" s="3">
        <f t="shared" si="50"/>
        <v>117.94712755099577</v>
      </c>
    </row>
    <row r="110" spans="1:76">
      <c r="AU110" s="44">
        <v>2031</v>
      </c>
      <c r="BC110" s="3">
        <f t="shared" si="50"/>
        <v>117.94712755099577</v>
      </c>
    </row>
    <row r="111" spans="1:76">
      <c r="AU111" s="44">
        <v>2032</v>
      </c>
      <c r="BC111" s="3">
        <f t="shared" si="50"/>
        <v>117.94712755099577</v>
      </c>
    </row>
    <row r="112" spans="1:76">
      <c r="AU112" s="44">
        <v>2033</v>
      </c>
      <c r="BC112" s="3">
        <f t="shared" si="50"/>
        <v>117.94712755099577</v>
      </c>
    </row>
    <row r="113" spans="1:80">
      <c r="AU113" s="44">
        <v>2034</v>
      </c>
      <c r="BC113" s="3">
        <f t="shared" si="50"/>
        <v>117.94712755099577</v>
      </c>
    </row>
    <row r="114" spans="1:80">
      <c r="AU114" s="44">
        <v>2035</v>
      </c>
      <c r="BC114" s="3">
        <f t="shared" si="50"/>
        <v>117.94712755099577</v>
      </c>
    </row>
    <row r="115" spans="1:80">
      <c r="AU115" s="44">
        <v>2036</v>
      </c>
      <c r="BC115" s="3">
        <f t="shared" si="50"/>
        <v>117.94712755099577</v>
      </c>
    </row>
    <row r="116" spans="1:80">
      <c r="AU116" s="44">
        <v>2037</v>
      </c>
      <c r="BC116" s="3">
        <f t="shared" si="50"/>
        <v>117.94712755099577</v>
      </c>
    </row>
    <row r="117" spans="1:80">
      <c r="AU117" s="44">
        <v>2038</v>
      </c>
      <c r="AV117" s="9"/>
      <c r="BC117" s="3">
        <f t="shared" si="50"/>
        <v>117.94712755099577</v>
      </c>
      <c r="BS117" s="3"/>
    </row>
    <row r="118" spans="1:80">
      <c r="AD118"/>
      <c r="AE118"/>
      <c r="AF118"/>
      <c r="AG118"/>
      <c r="AH118"/>
      <c r="AI118"/>
      <c r="AJ118"/>
      <c r="AK118"/>
      <c r="AL118"/>
      <c r="AM118"/>
      <c r="AU118" s="44">
        <v>2039</v>
      </c>
      <c r="BC118" s="3">
        <f t="shared" si="50"/>
        <v>117.94712755099577</v>
      </c>
      <c r="BH118" s="9"/>
      <c r="BS118" s="9"/>
      <c r="BT118" s="3"/>
      <c r="BU118" s="3"/>
      <c r="BV118" s="3"/>
      <c r="BW118" s="3"/>
      <c r="BX118" s="3"/>
      <c r="BY118" s="3"/>
      <c r="BZ118" s="3"/>
      <c r="CA118" s="3"/>
      <c r="CB118" s="3"/>
    </row>
    <row r="119" spans="1:80">
      <c r="AD119"/>
      <c r="AE119"/>
      <c r="AF119"/>
      <c r="AG119"/>
      <c r="AI119"/>
      <c r="AJ119"/>
      <c r="AK119" t="s">
        <v>1960</v>
      </c>
      <c r="AL119" t="s">
        <v>1960</v>
      </c>
      <c r="AM119" t="s">
        <v>1960</v>
      </c>
      <c r="AP119" s="9"/>
      <c r="AU119" s="44">
        <v>2040</v>
      </c>
      <c r="BC119" s="3">
        <f t="shared" si="50"/>
        <v>117.94712755099577</v>
      </c>
      <c r="BL119"/>
      <c r="BM119"/>
      <c r="BN119"/>
      <c r="BO119"/>
      <c r="BP119"/>
      <c r="BQ119"/>
      <c r="BS119" s="3"/>
    </row>
    <row r="120" spans="1:80">
      <c r="B120" s="76" t="s">
        <v>2537</v>
      </c>
      <c r="C120" s="76"/>
      <c r="D120" s="76"/>
      <c r="E120" s="76"/>
      <c r="F120" s="26" t="s">
        <v>269</v>
      </c>
      <c r="G120" s="76" t="s">
        <v>2538</v>
      </c>
      <c r="H120" s="76"/>
      <c r="I120" s="76"/>
      <c r="J120" s="76"/>
      <c r="K120" s="26" t="s">
        <v>2539</v>
      </c>
      <c r="L120" s="26"/>
      <c r="M120" s="26"/>
      <c r="N120" s="26"/>
      <c r="O120" s="12"/>
      <c r="P120" s="77" t="s">
        <v>111</v>
      </c>
      <c r="Q120" s="26" t="s">
        <v>2541</v>
      </c>
      <c r="R120" s="26"/>
      <c r="S120" s="26"/>
      <c r="T120" s="79">
        <v>0.1</v>
      </c>
      <c r="U120" s="76" t="s">
        <v>2542</v>
      </c>
      <c r="V120" s="76"/>
      <c r="W120" s="76"/>
      <c r="X120" s="76"/>
      <c r="Y120" s="26" t="s">
        <v>2067</v>
      </c>
      <c r="Z120" s="26"/>
      <c r="AA120" s="26"/>
      <c r="AB120" s="79"/>
      <c r="AD120" s="26" t="s">
        <v>2075</v>
      </c>
      <c r="AE120" s="26"/>
      <c r="AF120" s="26"/>
      <c r="AG120" s="79"/>
      <c r="AI120"/>
      <c r="AJ120"/>
      <c r="AK120" s="3" t="s">
        <v>1957</v>
      </c>
      <c r="AL120" s="3" t="s">
        <v>1957</v>
      </c>
      <c r="AM120" s="3" t="s">
        <v>1957</v>
      </c>
      <c r="AQ120" s="9"/>
      <c r="AU120" s="3"/>
      <c r="BM120"/>
      <c r="BN120"/>
      <c r="BO120"/>
      <c r="BP120"/>
      <c r="BQ120"/>
      <c r="BS120" s="3"/>
    </row>
    <row r="121" spans="1:80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2540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101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D121" s="75" t="s">
        <v>2030</v>
      </c>
      <c r="AE121" s="75" t="s">
        <v>2031</v>
      </c>
      <c r="AF121" s="75" t="s">
        <v>2032</v>
      </c>
      <c r="AG121" s="75" t="s">
        <v>2033</v>
      </c>
      <c r="AI121"/>
      <c r="AJ121"/>
      <c r="AK121" s="3" t="s">
        <v>268</v>
      </c>
      <c r="AL121" s="3" t="s">
        <v>267</v>
      </c>
      <c r="AM121" s="3" t="s">
        <v>266</v>
      </c>
      <c r="AQ121" s="9"/>
      <c r="AU121" s="3"/>
      <c r="BM121"/>
      <c r="BN121"/>
      <c r="BO121"/>
      <c r="BP121"/>
      <c r="BQ121"/>
      <c r="BS121" s="3"/>
    </row>
    <row r="122" spans="1:80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52">AL122</f>
        <v>77.45</v>
      </c>
      <c r="E122" s="3">
        <f t="shared" si="52"/>
        <v>77.45</v>
      </c>
      <c r="F122" s="66">
        <f>'Exchange Rates'!B49</f>
        <v>1.087025445453969</v>
      </c>
      <c r="G122" s="3">
        <f>(B122*USA!$AU97/100)/$BC89*100*$F122</f>
        <v>84.190120750409903</v>
      </c>
      <c r="H122" s="3">
        <f>(C122*USA!$AU97/100)/$BC89*100*$F122</f>
        <v>84.190120750409903</v>
      </c>
      <c r="I122" s="3">
        <f>(D122*USA!$AU97/100)/$BC89*100*$F122</f>
        <v>84.190120750409903</v>
      </c>
      <c r="J122" s="3">
        <f>(E122*USA!$AU97/100)/$BC89*100*$F122</f>
        <v>84.190120750409903</v>
      </c>
      <c r="K122" s="24">
        <f>$R$103+$R$104*G122</f>
        <v>78.389671097795599</v>
      </c>
      <c r="L122" s="24">
        <f>$R$103+$R$104*H122</f>
        <v>78.389671097795599</v>
      </c>
      <c r="M122" s="24">
        <f t="shared" ref="M122:N122" si="53">$R$103+$R$104*I122</f>
        <v>78.389671097795599</v>
      </c>
      <c r="N122" s="24">
        <f t="shared" si="53"/>
        <v>78.389671097795599</v>
      </c>
      <c r="O122">
        <v>2010</v>
      </c>
      <c r="P122" s="24">
        <f>AF89/BC89*BC$89</f>
        <v>38.14</v>
      </c>
      <c r="Q122" s="3">
        <f>(K122+P122)*$T$120</f>
        <v>11.65296710977956</v>
      </c>
      <c r="R122" s="3">
        <f t="shared" ref="R122:R141" si="54">(L122+P122)*$T$120</f>
        <v>11.65296710977956</v>
      </c>
      <c r="S122" s="3">
        <f t="shared" ref="S122:S142" si="55">(M122+P122)*$T$120</f>
        <v>11.65296710977956</v>
      </c>
      <c r="T122" s="3">
        <f t="shared" ref="T122:T142" si="56">(N122+P122)*$T$120</f>
        <v>11.65296710977956</v>
      </c>
      <c r="U122" s="3">
        <f t="shared" ref="U122:U130" si="57">BE89</f>
        <v>125.99446257199398</v>
      </c>
      <c r="V122" s="3">
        <f t="shared" ref="V122:X123" si="58">L122+$P122+R122</f>
        <v>128.18263820757517</v>
      </c>
      <c r="W122" s="3">
        <f>M122+P122+S122</f>
        <v>128.18263820757517</v>
      </c>
      <c r="X122" s="3">
        <f t="shared" si="58"/>
        <v>128.18263820757517</v>
      </c>
      <c r="Y122" s="3">
        <f>U122*$BC$97/100/100</f>
        <v>1.4860684947698137</v>
      </c>
      <c r="Z122" s="3">
        <f>V122*$BC$97/100/100</f>
        <v>1.5118773978492013</v>
      </c>
      <c r="AA122" s="3">
        <f>W122*$BC$97/100/100</f>
        <v>1.5118773978492013</v>
      </c>
      <c r="AB122" s="3">
        <f>X122*$BC$97/100/100</f>
        <v>1.5118773978492013</v>
      </c>
      <c r="AC122" s="3"/>
      <c r="AD122" s="3">
        <f t="shared" ref="AD122:AD130" si="59">U122*$BC$96/100/100</f>
        <v>1.4576299374953985</v>
      </c>
      <c r="AE122" s="3">
        <f>AD122</f>
        <v>1.4576299374953985</v>
      </c>
      <c r="AF122" s="3">
        <f t="shared" ref="AF122:AG122" si="60">AE122</f>
        <v>1.4576299374953985</v>
      </c>
      <c r="AG122" s="3">
        <f t="shared" si="60"/>
        <v>1.4576299374953985</v>
      </c>
      <c r="AH122"/>
      <c r="AI122"/>
      <c r="AJ122"/>
      <c r="AK122" s="3">
        <f>USA!AJ135</f>
        <v>77.45</v>
      </c>
      <c r="AL122" s="3">
        <f>USA!AK135</f>
        <v>77.45</v>
      </c>
      <c r="AM122" s="3">
        <f>USA!AL135</f>
        <v>77.45</v>
      </c>
      <c r="AQ122" s="9"/>
      <c r="AU122" s="3"/>
      <c r="BM122"/>
      <c r="BN122"/>
      <c r="BO122"/>
      <c r="BP122"/>
      <c r="BQ122"/>
      <c r="BS122" s="3"/>
    </row>
    <row r="123" spans="1:80">
      <c r="A123">
        <v>2011</v>
      </c>
      <c r="B123" s="3">
        <f>USA!Z98/USA!AU98*100</f>
        <v>104.18614906980585</v>
      </c>
      <c r="C123" s="3">
        <f t="shared" ref="C123:C142" si="61">AK123</f>
        <v>104.18614906980586</v>
      </c>
      <c r="D123" s="3">
        <f t="shared" ref="D123:D142" si="62">AL123</f>
        <v>104.18614906980586</v>
      </c>
      <c r="E123" s="3">
        <f t="shared" ref="E123:E142" si="63">AM123</f>
        <v>104.18614906980586</v>
      </c>
      <c r="F123" s="66">
        <f>'Exchange Rates'!B50</f>
        <v>0.96091479088091858</v>
      </c>
      <c r="G123" s="3">
        <f>(B123*USA!$AU98/100)/$BC90*100*$F123</f>
        <v>100.03630587653134</v>
      </c>
      <c r="H123" s="3">
        <f>(C123*USA!$AU98/100)/$BC90*100*$F123</f>
        <v>100.03630587653137</v>
      </c>
      <c r="I123" s="3">
        <f>(D123*USA!$AU98/100)/$BC90*100*$F123</f>
        <v>100.03630587653137</v>
      </c>
      <c r="J123" s="3">
        <f>(E123*USA!$AU98/100)/$BC90*100*$F123</f>
        <v>100.03630587653137</v>
      </c>
      <c r="K123" s="24">
        <f>$R$103+$R$104*G123</f>
        <v>87.017752656121587</v>
      </c>
      <c r="L123" s="24">
        <f t="shared" ref="L123:L130" si="64">$R$103+$R$104*H123</f>
        <v>87.017752656121587</v>
      </c>
      <c r="M123" s="24">
        <f>$R$103+$R$104*I123</f>
        <v>87.017752656121587</v>
      </c>
      <c r="N123" s="24">
        <f t="shared" ref="N123:N130" si="65">$R$103+$R$104*J123</f>
        <v>87.017752656121587</v>
      </c>
      <c r="O123">
        <v>2011</v>
      </c>
      <c r="P123" s="24">
        <f t="shared" ref="P123:P130" si="66">AF90/BC90*BC$89</f>
        <v>36.952773188020295</v>
      </c>
      <c r="Q123" s="3">
        <f>(K123+P123)*$T$120</f>
        <v>12.39705258441419</v>
      </c>
      <c r="R123" s="3">
        <f>(L123+P123)*$T$120</f>
        <v>12.39705258441419</v>
      </c>
      <c r="S123" s="3">
        <f t="shared" si="55"/>
        <v>12.39705258441419</v>
      </c>
      <c r="T123" s="3">
        <f t="shared" si="56"/>
        <v>12.39705258441419</v>
      </c>
      <c r="U123" s="3">
        <f t="shared" si="57"/>
        <v>136.65273653953506</v>
      </c>
      <c r="V123" s="3">
        <f t="shared" si="58"/>
        <v>136.36757842855607</v>
      </c>
      <c r="W123" s="3">
        <f t="shared" ref="W123:W141" si="67">M123+P123+S123</f>
        <v>136.36757842855607</v>
      </c>
      <c r="X123" s="3">
        <f t="shared" si="58"/>
        <v>136.36757842855607</v>
      </c>
      <c r="Y123" s="3">
        <f t="shared" ref="Y123:Y128" si="68">U123*$BC$97/100/100</f>
        <v>1.6117797746821163</v>
      </c>
      <c r="Z123" s="3">
        <f t="shared" ref="Z123:Z142" si="69">V123*$BC$97/100/100</f>
        <v>1.6084164166733321</v>
      </c>
      <c r="AA123" s="3">
        <f t="shared" ref="AA123:AA142" si="70">W123*$BC$97/100/100</f>
        <v>1.6084164166733321</v>
      </c>
      <c r="AB123" s="3">
        <f t="shared" ref="AB123:AB142" si="71">X123*$BC$97/100/100</f>
        <v>1.6084164166733321</v>
      </c>
      <c r="AC123" s="3"/>
      <c r="AD123" s="3">
        <f t="shared" si="59"/>
        <v>1.580935509025881</v>
      </c>
      <c r="AE123" s="3">
        <f t="shared" ref="AE123:AG123" si="72">AD123</f>
        <v>1.580935509025881</v>
      </c>
      <c r="AF123" s="3">
        <f t="shared" si="72"/>
        <v>1.580935509025881</v>
      </c>
      <c r="AG123" s="3">
        <f t="shared" si="72"/>
        <v>1.580935509025881</v>
      </c>
      <c r="AH123"/>
      <c r="AI123"/>
      <c r="AJ123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Q123" s="9"/>
      <c r="AU123" s="3"/>
      <c r="BM123"/>
      <c r="BN123"/>
      <c r="BO123"/>
      <c r="BP123"/>
      <c r="BQ123"/>
      <c r="BS123" s="3"/>
    </row>
    <row r="124" spans="1:80">
      <c r="A124">
        <v>2012</v>
      </c>
      <c r="B124" s="3">
        <f>USA!Z99/USA!AU99*100</f>
        <v>104.07290773565181</v>
      </c>
      <c r="C124" s="3">
        <f t="shared" si="61"/>
        <v>104.07290773565181</v>
      </c>
      <c r="D124" s="3">
        <f t="shared" si="62"/>
        <v>104.07290773565181</v>
      </c>
      <c r="E124" s="3">
        <f t="shared" si="63"/>
        <v>104.07290773565181</v>
      </c>
      <c r="F124" s="66">
        <f>'Exchange Rates'!B51</f>
        <v>0.96223237911955739</v>
      </c>
      <c r="G124" s="3">
        <f>(B124*USA!$AU99/100)/$BC91*100*$F124</f>
        <v>100.23620254517792</v>
      </c>
      <c r="H124" s="3">
        <f>(C124*USA!$AU99/100)/$BC91*100*$F124</f>
        <v>100.23620254517792</v>
      </c>
      <c r="I124" s="3">
        <f>(D124*USA!$AU99/100)/$BC91*100*$F124</f>
        <v>100.23620254517792</v>
      </c>
      <c r="J124" s="3">
        <f>(E124*USA!$AU99/100)/$BC91*100*$F124</f>
        <v>100.23620254517792</v>
      </c>
      <c r="K124" s="24">
        <f t="shared" ref="K124:K130" si="73">$R$103+$R$104*G124</f>
        <v>87.12659429507714</v>
      </c>
      <c r="L124" s="24">
        <f t="shared" si="64"/>
        <v>87.12659429507714</v>
      </c>
      <c r="M124" s="24">
        <f t="shared" ref="M124:M130" si="74">$R$103+$R$104*I124</f>
        <v>87.12659429507714</v>
      </c>
      <c r="N124" s="24">
        <f t="shared" si="65"/>
        <v>87.12659429507714</v>
      </c>
      <c r="O124">
        <v>2012</v>
      </c>
      <c r="P124" s="24">
        <f t="shared" si="66"/>
        <v>36.285042371257461</v>
      </c>
      <c r="Q124" s="3">
        <f t="shared" ref="Q124:Q130" si="75">(K124+P124)*$T$120</f>
        <v>12.341163666633461</v>
      </c>
      <c r="R124" s="3">
        <f t="shared" si="54"/>
        <v>12.341163666633461</v>
      </c>
      <c r="S124" s="3">
        <f t="shared" si="55"/>
        <v>12.341163666633461</v>
      </c>
      <c r="T124" s="3">
        <f t="shared" si="56"/>
        <v>12.341163666633461</v>
      </c>
      <c r="U124" s="3">
        <f t="shared" si="57"/>
        <v>136.41197871695971</v>
      </c>
      <c r="V124" s="3">
        <f t="shared" ref="V124:V141" si="76">L124+$P124+R124</f>
        <v>135.75280033296806</v>
      </c>
      <c r="W124" s="3">
        <f t="shared" si="67"/>
        <v>135.75280033296806</v>
      </c>
      <c r="X124" s="3">
        <f t="shared" ref="X124:X142" si="77">N124+$P124+T124</f>
        <v>135.75280033296806</v>
      </c>
      <c r="Y124" s="3">
        <f t="shared" si="68"/>
        <v>1.6089401053212966</v>
      </c>
      <c r="Z124" s="3">
        <f t="shared" si="69"/>
        <v>1.6011652856277445</v>
      </c>
      <c r="AA124" s="3">
        <f t="shared" si="70"/>
        <v>1.6011652856277445</v>
      </c>
      <c r="AB124" s="3">
        <f t="shared" si="71"/>
        <v>1.6011652856277445</v>
      </c>
      <c r="AC124" s="3"/>
      <c r="AD124" s="3">
        <f t="shared" si="59"/>
        <v>1.5781501817765069</v>
      </c>
      <c r="AE124" s="3">
        <f t="shared" ref="AE124:AG124" si="78">AD124</f>
        <v>1.5781501817765069</v>
      </c>
      <c r="AF124" s="3">
        <f t="shared" si="78"/>
        <v>1.5781501817765069</v>
      </c>
      <c r="AG124" s="3">
        <f t="shared" si="78"/>
        <v>1.5781501817765069</v>
      </c>
      <c r="AH124"/>
      <c r="AI124"/>
      <c r="AJ124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Q124" s="9"/>
      <c r="AU124" s="3"/>
      <c r="BM124"/>
      <c r="BN124"/>
      <c r="BO124"/>
      <c r="BP124"/>
      <c r="BQ124"/>
      <c r="BS124" s="3"/>
    </row>
    <row r="125" spans="1:80">
      <c r="A125">
        <v>2013</v>
      </c>
      <c r="B125" s="3">
        <f>USA!Z100/USA!AU100*100</f>
        <v>99.286371359470479</v>
      </c>
      <c r="C125" s="3">
        <f t="shared" si="61"/>
        <v>99.286371359470493</v>
      </c>
      <c r="D125" s="3">
        <f t="shared" si="62"/>
        <v>99.286371359470493</v>
      </c>
      <c r="E125" s="3">
        <f t="shared" si="63"/>
        <v>99.286371359470493</v>
      </c>
      <c r="F125" s="66">
        <f>'Exchange Rates'!B52</f>
        <v>1.0416214574020224</v>
      </c>
      <c r="G125" s="3">
        <f>(B125*USA!$AU100/100)/$BC92*100*$F125</f>
        <v>102.4614171528404</v>
      </c>
      <c r="H125" s="3">
        <f>(C125*USA!$AU100/100)/$BC92*100*$F125</f>
        <v>102.4614171528404</v>
      </c>
      <c r="I125" s="3">
        <f>(D125*USA!$AU100/100)/$BC92*100*$F125</f>
        <v>102.4614171528404</v>
      </c>
      <c r="J125" s="3">
        <f>(E125*USA!$AU100/100)/$BC92*100*$F125</f>
        <v>102.4614171528404</v>
      </c>
      <c r="K125" s="24">
        <f t="shared" si="73"/>
        <v>88.338200304150035</v>
      </c>
      <c r="L125" s="24">
        <f t="shared" si="64"/>
        <v>88.338200304150035</v>
      </c>
      <c r="M125" s="24">
        <f t="shared" si="74"/>
        <v>88.338200304150035</v>
      </c>
      <c r="N125" s="24">
        <f t="shared" si="65"/>
        <v>88.338200304150035</v>
      </c>
      <c r="O125">
        <v>2013</v>
      </c>
      <c r="P125" s="24">
        <f t="shared" si="66"/>
        <v>35.414941915252982</v>
      </c>
      <c r="Q125" s="3">
        <f t="shared" si="75"/>
        <v>12.375314221940302</v>
      </c>
      <c r="R125" s="3">
        <f t="shared" si="54"/>
        <v>12.375314221940302</v>
      </c>
      <c r="S125" s="3">
        <f t="shared" si="55"/>
        <v>12.375314221940302</v>
      </c>
      <c r="T125" s="3">
        <f t="shared" si="56"/>
        <v>12.375314221940302</v>
      </c>
      <c r="U125" s="3">
        <f t="shared" si="57"/>
        <v>135.66148376032754</v>
      </c>
      <c r="V125" s="3">
        <f t="shared" si="76"/>
        <v>136.12845644134333</v>
      </c>
      <c r="W125" s="3">
        <f t="shared" si="67"/>
        <v>136.12845644134333</v>
      </c>
      <c r="X125" s="3">
        <f t="shared" si="77"/>
        <v>136.12845644134333</v>
      </c>
      <c r="Y125" s="3">
        <f t="shared" si="68"/>
        <v>1.6000882328836696</v>
      </c>
      <c r="Z125" s="3">
        <f t="shared" si="69"/>
        <v>1.6055960415207293</v>
      </c>
      <c r="AA125" s="3">
        <f t="shared" si="70"/>
        <v>1.6055960415207293</v>
      </c>
      <c r="AB125" s="3">
        <f t="shared" si="71"/>
        <v>1.6055960415207293</v>
      </c>
      <c r="AC125" s="3"/>
      <c r="AD125" s="3">
        <f t="shared" si="59"/>
        <v>1.5694677056232293</v>
      </c>
      <c r="AE125" s="3">
        <f t="shared" ref="AE125:AG125" si="79">AD125</f>
        <v>1.5694677056232293</v>
      </c>
      <c r="AF125" s="3">
        <f t="shared" si="79"/>
        <v>1.5694677056232293</v>
      </c>
      <c r="AG125" s="3">
        <f t="shared" si="79"/>
        <v>1.5694677056232293</v>
      </c>
      <c r="AH125"/>
      <c r="AI125"/>
      <c r="AJ125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Q125" s="9"/>
      <c r="AU125" s="3"/>
      <c r="BM125"/>
      <c r="BN125"/>
      <c r="BO125"/>
      <c r="BP125"/>
      <c r="BQ125"/>
      <c r="BS125" s="3"/>
    </row>
    <row r="126" spans="1:80">
      <c r="A126">
        <v>2014</v>
      </c>
      <c r="B126" s="3">
        <f>USA!Z101/USA!AU101*100</f>
        <v>88.687750298592292</v>
      </c>
      <c r="C126" s="3">
        <f t="shared" si="61"/>
        <v>88.687750298592292</v>
      </c>
      <c r="D126" s="3">
        <f t="shared" si="62"/>
        <v>88.687750298592292</v>
      </c>
      <c r="E126" s="3">
        <f t="shared" si="63"/>
        <v>88.687750298592292</v>
      </c>
      <c r="F126" s="66">
        <f>'Exchange Rates'!B53</f>
        <v>1.1123470522803114</v>
      </c>
      <c r="G126" s="3">
        <f>(B126*USA!$AU101/100)/$BC93*100*$F126</f>
        <v>96.990113549768068</v>
      </c>
      <c r="H126" s="3">
        <f>(C126*USA!$AU101/100)/$BC93*100*$F126</f>
        <v>96.990113549768068</v>
      </c>
      <c r="I126" s="3">
        <f>(D126*USA!$AU101/100)/$BC93*100*$F126</f>
        <v>96.990113549768068</v>
      </c>
      <c r="J126" s="3">
        <f>(E126*USA!$AU101/100)/$BC93*100*$F126</f>
        <v>96.990113549768068</v>
      </c>
      <c r="K126" s="24">
        <f t="shared" si="73"/>
        <v>85.359132891902448</v>
      </c>
      <c r="L126" s="24">
        <f t="shared" si="64"/>
        <v>85.359132891902448</v>
      </c>
      <c r="M126" s="24">
        <f t="shared" si="74"/>
        <v>85.359132891902448</v>
      </c>
      <c r="N126" s="24">
        <f t="shared" si="65"/>
        <v>85.359132891902448</v>
      </c>
      <c r="O126">
        <v>2014</v>
      </c>
      <c r="P126" s="24">
        <f t="shared" si="66"/>
        <v>34.625529700908189</v>
      </c>
      <c r="Q126" s="3">
        <f t="shared" si="75"/>
        <v>11.998466259281065</v>
      </c>
      <c r="R126" s="3">
        <f t="shared" si="54"/>
        <v>11.998466259281065</v>
      </c>
      <c r="S126" s="3">
        <f t="shared" si="55"/>
        <v>11.998466259281065</v>
      </c>
      <c r="T126" s="3">
        <f t="shared" si="56"/>
        <v>11.998466259281065</v>
      </c>
      <c r="U126" s="3">
        <f t="shared" si="57"/>
        <v>133.21981443661244</v>
      </c>
      <c r="V126" s="3">
        <f t="shared" si="76"/>
        <v>131.98312885209171</v>
      </c>
      <c r="W126" s="3">
        <f t="shared" si="67"/>
        <v>131.98312885209171</v>
      </c>
      <c r="X126" s="3">
        <f t="shared" si="77"/>
        <v>131.98312885209171</v>
      </c>
      <c r="Y126" s="3">
        <f t="shared" si="68"/>
        <v>1.5712894445675116</v>
      </c>
      <c r="Z126" s="3">
        <f t="shared" si="69"/>
        <v>1.5567030933297172</v>
      </c>
      <c r="AA126" s="3">
        <f t="shared" si="70"/>
        <v>1.5567030933297172</v>
      </c>
      <c r="AB126" s="3">
        <f t="shared" si="71"/>
        <v>1.5567030933297172</v>
      </c>
      <c r="AC126" s="3"/>
      <c r="AD126" s="3">
        <f t="shared" si="59"/>
        <v>1.5412200332171693</v>
      </c>
      <c r="AE126" s="3">
        <f t="shared" ref="AE126:AG126" si="80">AD126</f>
        <v>1.5412200332171693</v>
      </c>
      <c r="AF126" s="3">
        <f t="shared" si="80"/>
        <v>1.5412200332171693</v>
      </c>
      <c r="AG126" s="3">
        <f t="shared" si="80"/>
        <v>1.5412200332171693</v>
      </c>
      <c r="AH126"/>
      <c r="AI126"/>
      <c r="AJ126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Q126" s="9"/>
      <c r="AU126" s="3"/>
      <c r="BM126"/>
      <c r="BN126"/>
      <c r="BO126"/>
      <c r="BP126"/>
      <c r="BQ126"/>
      <c r="BS126" s="3"/>
    </row>
    <row r="127" spans="1:80">
      <c r="A127">
        <v>2015</v>
      </c>
      <c r="B127" s="3">
        <f>USA!Z102/USA!AU102*100</f>
        <v>45.556296925601828</v>
      </c>
      <c r="C127" s="3">
        <f t="shared" si="61"/>
        <v>45.556296925601814</v>
      </c>
      <c r="D127" s="3">
        <f t="shared" si="62"/>
        <v>45.556296925601814</v>
      </c>
      <c r="E127" s="3">
        <f t="shared" si="63"/>
        <v>45.556296925601814</v>
      </c>
      <c r="F127" s="66">
        <f>'Exchange Rates'!B54</f>
        <v>1.3396146375226059</v>
      </c>
      <c r="G127" s="3">
        <f>(B127*USA!$AU102/100)/$BC94*100*$F127</f>
        <v>59.231178923944071</v>
      </c>
      <c r="H127" s="3">
        <f>(C127*USA!$AU102/100)/$BC94*100*$F127</f>
        <v>59.23117892394405</v>
      </c>
      <c r="I127" s="3">
        <f>(D127*USA!$AU102/100)/$BC94*100*$F127</f>
        <v>59.23117892394405</v>
      </c>
      <c r="J127" s="3">
        <f>(E127*USA!$AU102/100)/$BC94*100*$F127</f>
        <v>59.23117892394405</v>
      </c>
      <c r="K127" s="24">
        <f t="shared" si="73"/>
        <v>64.799789118361105</v>
      </c>
      <c r="L127" s="24">
        <f t="shared" si="64"/>
        <v>64.799789118361105</v>
      </c>
      <c r="M127" s="24">
        <f t="shared" si="74"/>
        <v>64.799789118361105</v>
      </c>
      <c r="N127" s="24">
        <f t="shared" si="65"/>
        <v>64.799789118361105</v>
      </c>
      <c r="O127">
        <v>2015</v>
      </c>
      <c r="P127" s="24">
        <f t="shared" si="66"/>
        <v>34.824398595744668</v>
      </c>
      <c r="Q127" s="3">
        <f>(K127+P127)*$T$120</f>
        <v>9.9624187714105776</v>
      </c>
      <c r="R127" s="3">
        <f t="shared" si="54"/>
        <v>9.9624187714105776</v>
      </c>
      <c r="S127" s="3">
        <f t="shared" si="55"/>
        <v>9.9624187714105776</v>
      </c>
      <c r="T127" s="3">
        <f t="shared" si="56"/>
        <v>9.9624187714105776</v>
      </c>
      <c r="U127" s="3">
        <f t="shared" si="57"/>
        <v>114.31402450808375</v>
      </c>
      <c r="V127" s="3">
        <f t="shared" si="76"/>
        <v>109.58660648551636</v>
      </c>
      <c r="W127" s="3">
        <f t="shared" si="67"/>
        <v>109.58660648551636</v>
      </c>
      <c r="X127" s="3">
        <f t="shared" si="77"/>
        <v>109.58660648551636</v>
      </c>
      <c r="Y127" s="3">
        <f t="shared" si="68"/>
        <v>1.348301082952261</v>
      </c>
      <c r="Z127" s="3">
        <f t="shared" si="69"/>
        <v>1.2925425453027979</v>
      </c>
      <c r="AA127" s="3">
        <f t="shared" si="70"/>
        <v>1.2925425453027979</v>
      </c>
      <c r="AB127" s="3">
        <f t="shared" si="71"/>
        <v>1.2925425453027979</v>
      </c>
      <c r="AC127" s="3"/>
      <c r="AD127" s="3">
        <f t="shared" si="59"/>
        <v>1.3224989495340207</v>
      </c>
      <c r="AE127" s="3">
        <f t="shared" ref="AE127:AG127" si="81">AD127</f>
        <v>1.3224989495340207</v>
      </c>
      <c r="AF127" s="3">
        <f t="shared" si="81"/>
        <v>1.3224989495340207</v>
      </c>
      <c r="AG127" s="3">
        <f t="shared" si="81"/>
        <v>1.3224989495340207</v>
      </c>
      <c r="AH127"/>
      <c r="AI127"/>
      <c r="AJ127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Q127" s="9"/>
      <c r="AU127" s="3"/>
      <c r="BM127"/>
      <c r="BN127"/>
      <c r="BO127"/>
      <c r="BP127"/>
      <c r="BQ127"/>
      <c r="BS127" s="3"/>
    </row>
    <row r="128" spans="1:80">
      <c r="A128">
        <v>2016</v>
      </c>
      <c r="B128" s="3">
        <f>USA!Z103/USA!AU103*100</f>
        <v>36.957692605914716</v>
      </c>
      <c r="C128" s="3">
        <f t="shared" si="61"/>
        <v>36.957692605914716</v>
      </c>
      <c r="D128" s="3">
        <f t="shared" si="62"/>
        <v>36.957692605914716</v>
      </c>
      <c r="E128" s="3">
        <f t="shared" si="63"/>
        <v>36.957692605914716</v>
      </c>
      <c r="F128" s="66">
        <f>'Exchange Rates'!B55</f>
        <v>1.3451557578271249</v>
      </c>
      <c r="G128" s="3">
        <f>(B128*USA!$AU103/100)/$BC95*100*$F128</f>
        <v>48.227149263955049</v>
      </c>
      <c r="H128" s="3">
        <f>(C128*USA!$AU103/100)/$BC95*100*$F128</f>
        <v>48.227149263955049</v>
      </c>
      <c r="I128" s="3">
        <f>(D128*USA!$AU103/100)/$BC95*100*$F128</f>
        <v>48.227149263955049</v>
      </c>
      <c r="J128" s="3">
        <f>(E128*USA!$AU103/100)/$BC95*100*$F128</f>
        <v>48.227149263955049</v>
      </c>
      <c r="K128" s="24">
        <f t="shared" si="73"/>
        <v>58.808210412132652</v>
      </c>
      <c r="L128" s="24">
        <f t="shared" si="64"/>
        <v>58.808210412132652</v>
      </c>
      <c r="M128" s="24">
        <f t="shared" si="74"/>
        <v>58.808210412132652</v>
      </c>
      <c r="N128" s="24">
        <f t="shared" si="65"/>
        <v>58.808210412132652</v>
      </c>
      <c r="O128">
        <v>2016</v>
      </c>
      <c r="P128" s="24">
        <f t="shared" si="66"/>
        <v>34.823789592274693</v>
      </c>
      <c r="Q128" s="3">
        <f>(K128+P128)*$T$120</f>
        <v>9.3632000004407345</v>
      </c>
      <c r="R128" s="3">
        <f t="shared" si="54"/>
        <v>9.3632000004407345</v>
      </c>
      <c r="S128" s="3">
        <f t="shared" si="55"/>
        <v>9.3632000004407345</v>
      </c>
      <c r="T128" s="3">
        <f t="shared" si="56"/>
        <v>9.3632000004407345</v>
      </c>
      <c r="U128" s="3">
        <f t="shared" si="57"/>
        <v>102.8263602230267</v>
      </c>
      <c r="V128" s="3">
        <f t="shared" si="76"/>
        <v>102.99520000484807</v>
      </c>
      <c r="W128" s="3">
        <f t="shared" si="67"/>
        <v>102.99520000484807</v>
      </c>
      <c r="X128" s="3">
        <f t="shared" si="77"/>
        <v>102.99520000484807</v>
      </c>
      <c r="Y128" s="3">
        <f t="shared" si="68"/>
        <v>1.2128073824829968</v>
      </c>
      <c r="Z128" s="3">
        <f t="shared" si="69"/>
        <v>1.2147987992112135</v>
      </c>
      <c r="AA128" s="3">
        <f t="shared" si="70"/>
        <v>1.2147987992112135</v>
      </c>
      <c r="AB128" s="3">
        <f t="shared" si="71"/>
        <v>1.2147987992112135</v>
      </c>
      <c r="AC128" s="3"/>
      <c r="AD128" s="3">
        <f t="shared" si="59"/>
        <v>1.1895981614201958</v>
      </c>
      <c r="AE128" s="3">
        <f t="shared" ref="AE128:AG128" si="82">AD128</f>
        <v>1.1895981614201958</v>
      </c>
      <c r="AF128" s="3">
        <f t="shared" si="82"/>
        <v>1.1895981614201958</v>
      </c>
      <c r="AG128" s="3">
        <f t="shared" si="82"/>
        <v>1.1895981614201958</v>
      </c>
      <c r="AH128"/>
      <c r="AI128"/>
      <c r="AJ128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Q128" s="9"/>
      <c r="AU128" s="3"/>
      <c r="BM128"/>
      <c r="BN128"/>
      <c r="BO128"/>
      <c r="BP128"/>
      <c r="BQ128"/>
      <c r="BS128" s="3"/>
    </row>
    <row r="129" spans="1:71">
      <c r="A129">
        <v>2017</v>
      </c>
      <c r="B129" s="3">
        <f>USA!Z104/USA!AU104*100</f>
        <v>46.705738720797434</v>
      </c>
      <c r="C129" s="3">
        <f t="shared" si="61"/>
        <v>46.705738720797434</v>
      </c>
      <c r="D129" s="3">
        <f t="shared" si="62"/>
        <v>46.705738720797434</v>
      </c>
      <c r="E129" s="3">
        <f t="shared" si="63"/>
        <v>46.705738720797434</v>
      </c>
      <c r="F129" s="66">
        <f>'Exchange Rates'!B56</f>
        <v>1.3001365143340053</v>
      </c>
      <c r="G129" s="3">
        <f>(B129*USA!$AU104/100)/$BC96*100*$F129</f>
        <v>59.011296021850299</v>
      </c>
      <c r="H129" s="3">
        <f>(C129*USA!$AU104/100)/$BC96*100*$F129</f>
        <v>59.011296021850299</v>
      </c>
      <c r="I129" s="3">
        <f>(D129*USA!$AU104/100)/$BC96*100*$F129</f>
        <v>59.011296021850299</v>
      </c>
      <c r="J129" s="3">
        <f>(E129*USA!$AU104/100)/$BC96*100*$F129</f>
        <v>59.011296021850299</v>
      </c>
      <c r="K129" s="24">
        <f t="shared" si="73"/>
        <v>64.680065184969777</v>
      </c>
      <c r="L129" s="24">
        <f t="shared" si="64"/>
        <v>64.680065184969777</v>
      </c>
      <c r="M129" s="24">
        <f t="shared" si="74"/>
        <v>64.680065184969777</v>
      </c>
      <c r="N129" s="24">
        <f t="shared" si="65"/>
        <v>64.680065184969777</v>
      </c>
      <c r="O129">
        <v>2017</v>
      </c>
      <c r="P129" s="24">
        <f t="shared" si="66"/>
        <v>34.697611432852163</v>
      </c>
      <c r="Q129" s="3">
        <f t="shared" si="75"/>
        <v>9.9377676617821962</v>
      </c>
      <c r="R129" s="3">
        <f t="shared" si="54"/>
        <v>9.9377676617821962</v>
      </c>
      <c r="S129" s="3">
        <f t="shared" si="55"/>
        <v>9.9377676617821962</v>
      </c>
      <c r="T129" s="3">
        <f t="shared" si="56"/>
        <v>9.9377676617821962</v>
      </c>
      <c r="U129" s="3">
        <f t="shared" si="57"/>
        <v>110.65850300287966</v>
      </c>
      <c r="V129" s="3">
        <f t="shared" si="76"/>
        <v>109.31544427960415</v>
      </c>
      <c r="W129" s="3">
        <f t="shared" si="67"/>
        <v>109.31544427960415</v>
      </c>
      <c r="X129" s="3">
        <f t="shared" si="77"/>
        <v>109.31544427960415</v>
      </c>
      <c r="Y129" s="3">
        <f>U129*$BC$97/100/100</f>
        <v>1.3051852568282893</v>
      </c>
      <c r="Z129" s="3">
        <f t="shared" si="69"/>
        <v>1.2893442649740243</v>
      </c>
      <c r="AA129" s="3">
        <f t="shared" si="70"/>
        <v>1.2893442649740243</v>
      </c>
      <c r="AB129" s="3">
        <f t="shared" si="71"/>
        <v>1.2893442649740243</v>
      </c>
      <c r="AC129" s="3"/>
      <c r="AD129" s="3">
        <f t="shared" si="59"/>
        <v>1.2802082212403147</v>
      </c>
      <c r="AE129" s="3">
        <f t="shared" ref="AE129:AG129" si="83">AD129</f>
        <v>1.2802082212403147</v>
      </c>
      <c r="AF129" s="3">
        <f t="shared" si="83"/>
        <v>1.2802082212403147</v>
      </c>
      <c r="AG129" s="3">
        <f t="shared" si="83"/>
        <v>1.2802082212403147</v>
      </c>
      <c r="AH129"/>
      <c r="AI129"/>
      <c r="AJ129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Q129" s="9"/>
      <c r="AU129" s="3"/>
      <c r="BM129"/>
      <c r="BN129"/>
      <c r="BO129"/>
      <c r="BP129"/>
      <c r="BQ129"/>
      <c r="BS129" s="3"/>
    </row>
    <row r="130" spans="1:71">
      <c r="A130">
        <v>2018</v>
      </c>
      <c r="B130" s="3">
        <f>USA!Z105/USA!AU105*100</f>
        <v>60.818458312139953</v>
      </c>
      <c r="C130" s="3">
        <f t="shared" si="61"/>
        <v>60.818458312139953</v>
      </c>
      <c r="D130" s="3">
        <f t="shared" si="62"/>
        <v>60.818458312139953</v>
      </c>
      <c r="E130" s="3">
        <f t="shared" si="63"/>
        <v>60.818458312139953</v>
      </c>
      <c r="F130" s="66">
        <f>'Exchange Rates'!B57</f>
        <v>1.3473457289140394</v>
      </c>
      <c r="G130" s="3">
        <f>(B130*USA!$AU105/100)/$BC97*100*$F130</f>
        <v>80.196133798275525</v>
      </c>
      <c r="H130" s="3">
        <f>(C130*USA!$AU105/100)/$BC97*100*$F130</f>
        <v>80.196133798275525</v>
      </c>
      <c r="I130" s="3">
        <f>(D130*USA!$AU105/100)/$BC97*100*$F130</f>
        <v>80.196133798275525</v>
      </c>
      <c r="J130" s="3">
        <f>(E130*USA!$AU105/100)/$BC97*100*$F130</f>
        <v>80.196133798275525</v>
      </c>
      <c r="K130" s="24">
        <f t="shared" si="73"/>
        <v>76.214987103406358</v>
      </c>
      <c r="L130" s="24">
        <f t="shared" si="64"/>
        <v>76.214987103406358</v>
      </c>
      <c r="M130" s="24">
        <f t="shared" si="74"/>
        <v>76.214987103406358</v>
      </c>
      <c r="N130" s="24">
        <f t="shared" si="65"/>
        <v>76.214987103406358</v>
      </c>
      <c r="O130">
        <v>2018</v>
      </c>
      <c r="P130" s="24">
        <f t="shared" si="66"/>
        <v>34.697611432852163</v>
      </c>
      <c r="Q130" s="3">
        <f t="shared" si="75"/>
        <v>11.091259853625852</v>
      </c>
      <c r="R130" s="3">
        <f t="shared" si="54"/>
        <v>11.091259853625852</v>
      </c>
      <c r="S130" s="3">
        <f t="shared" si="55"/>
        <v>11.091259853625852</v>
      </c>
      <c r="T130" s="3">
        <f t="shared" si="56"/>
        <v>11.091259853625852</v>
      </c>
      <c r="U130" s="7">
        <f t="shared" si="57"/>
        <v>121.77778915908743</v>
      </c>
      <c r="V130" s="3">
        <f t="shared" si="76"/>
        <v>122.00385838988437</v>
      </c>
      <c r="W130" s="3">
        <f t="shared" si="67"/>
        <v>122.00385838988437</v>
      </c>
      <c r="X130" s="3">
        <f t="shared" si="77"/>
        <v>122.00385838988437</v>
      </c>
      <c r="Y130" s="3">
        <f>U130*$BC$97/100/100</f>
        <v>1.4363340430825156</v>
      </c>
      <c r="Z130" s="3">
        <f t="shared" si="69"/>
        <v>1.4390004647225316</v>
      </c>
      <c r="AA130" s="3">
        <f t="shared" si="70"/>
        <v>1.4390004647225316</v>
      </c>
      <c r="AB130" s="3">
        <f t="shared" si="71"/>
        <v>1.4390004647225316</v>
      </c>
      <c r="AC130" s="3"/>
      <c r="AD130" s="3">
        <f t="shared" si="59"/>
        <v>1.4088472427814824</v>
      </c>
      <c r="AE130" s="3">
        <f t="shared" ref="AE130:AE142" si="84">V130*$BC$96/100/100</f>
        <v>1.4114626377125723</v>
      </c>
      <c r="AF130" s="3">
        <f t="shared" ref="AF130:AF142" si="85">W130*$BC$96/100/100</f>
        <v>1.4114626377125723</v>
      </c>
      <c r="AG130" s="3">
        <f t="shared" ref="AG130:AG142" si="86">X130*$BC$96/100/100</f>
        <v>1.4114626377125723</v>
      </c>
      <c r="AH130"/>
      <c r="AI130"/>
      <c r="AJ130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Q130" s="9"/>
      <c r="AU130" s="3"/>
      <c r="BM130"/>
      <c r="BN130"/>
      <c r="BO130"/>
      <c r="BP130"/>
      <c r="BQ130"/>
      <c r="BS130" s="3"/>
    </row>
    <row r="131" spans="1:71">
      <c r="A131">
        <v>2019</v>
      </c>
      <c r="B131" s="3"/>
      <c r="C131" s="3">
        <f>AK131</f>
        <v>90.611761513694489</v>
      </c>
      <c r="D131" s="3">
        <f t="shared" si="62"/>
        <v>56.019786702864394</v>
      </c>
      <c r="E131" s="3">
        <f t="shared" si="63"/>
        <v>25.889074718198426</v>
      </c>
      <c r="F131" s="66">
        <f>'Exchange Rates'!B58</f>
        <v>1.3979999999999999</v>
      </c>
      <c r="G131" s="3"/>
      <c r="H131" s="3">
        <f>(C131*USA!$AU106/100)/$BC98*100*$F131</f>
        <v>123.97403013304471</v>
      </c>
      <c r="I131" s="3">
        <f>(D131*USA!$AU106/100)/$BC98*100*$F131</f>
        <v>76.645665074042554</v>
      </c>
      <c r="J131" s="3">
        <f>(E131*USA!$AU106/100)/$BC98*100*$F131</f>
        <v>35.421151466584199</v>
      </c>
      <c r="K131" s="24"/>
      <c r="L131" s="24">
        <f t="shared" ref="L131:L141" si="87">$R$103+$R$104*H131</f>
        <v>100.05159238234393</v>
      </c>
      <c r="M131" s="24">
        <f t="shared" ref="M131:M142" si="88">$R$103+$R$104*I131</f>
        <v>74.281794131145176</v>
      </c>
      <c r="N131" s="24">
        <f t="shared" ref="N131:N142" si="89">$R$103+$R$104*J131</f>
        <v>51.835478959606533</v>
      </c>
      <c r="O131">
        <v>2019</v>
      </c>
      <c r="P131" s="7">
        <f t="shared" ref="P131:P152" si="90">P130</f>
        <v>34.697611432852163</v>
      </c>
      <c r="Q131" s="3"/>
      <c r="R131" s="3">
        <f t="shared" si="54"/>
        <v>13.47492038151961</v>
      </c>
      <c r="S131" s="3">
        <f t="shared" si="55"/>
        <v>10.897940556399735</v>
      </c>
      <c r="T131" s="3">
        <f t="shared" si="56"/>
        <v>8.6533090392458689</v>
      </c>
      <c r="U131" s="3"/>
      <c r="V131" s="3">
        <f>L131+$P131+R131</f>
        <v>148.22412419671571</v>
      </c>
      <c r="W131" s="3">
        <f t="shared" si="67"/>
        <v>119.87734612039708</v>
      </c>
      <c r="X131" s="3">
        <f t="shared" si="77"/>
        <v>95.186399431704558</v>
      </c>
      <c r="Y131" s="3"/>
      <c r="Z131" s="3">
        <f t="shared" si="69"/>
        <v>1.7482609682764667</v>
      </c>
      <c r="AA131" s="3">
        <f t="shared" si="70"/>
        <v>1.4139188633337343</v>
      </c>
      <c r="AB131" s="3">
        <f t="shared" si="71"/>
        <v>1.1226962394891289</v>
      </c>
      <c r="AC131" s="3"/>
      <c r="AE131" s="3">
        <f t="shared" si="84"/>
        <v>1.7148048928318038</v>
      </c>
      <c r="AF131" s="3">
        <f t="shared" si="85"/>
        <v>1.3868610172668738</v>
      </c>
      <c r="AG131" s="3">
        <f t="shared" si="86"/>
        <v>1.10121145502539</v>
      </c>
      <c r="AH131"/>
      <c r="AI131"/>
      <c r="AJ131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Q131" s="9"/>
      <c r="AU131" s="3"/>
      <c r="BM131"/>
      <c r="BN131"/>
      <c r="BO131"/>
      <c r="BP131"/>
      <c r="BQ131"/>
      <c r="BS131" s="3"/>
    </row>
    <row r="132" spans="1:71">
      <c r="A132">
        <v>2020</v>
      </c>
      <c r="B132" s="3"/>
      <c r="C132" s="3">
        <f t="shared" si="61"/>
        <v>105.28223718734027</v>
      </c>
      <c r="D132" s="3">
        <f t="shared" si="62"/>
        <v>56.251630823658907</v>
      </c>
      <c r="E132" s="3">
        <f t="shared" si="63"/>
        <v>26.752043875471706</v>
      </c>
      <c r="F132" s="66">
        <f>'Exchange Rates'!B59</f>
        <v>1.3979999999999999</v>
      </c>
      <c r="G132" s="3"/>
      <c r="H132" s="3">
        <f>(C132*USA!$AU107/100)/$BC99*100*$F132</f>
        <v>144.04601596410913</v>
      </c>
      <c r="I132" s="3">
        <f>(D132*USA!$AU107/100)/$BC99*100*$F132</f>
        <v>76.96287168759244</v>
      </c>
      <c r="J132" s="3">
        <f>(E132*USA!$AU107/100)/$BC99*100*$F132</f>
        <v>36.601856515470331</v>
      </c>
      <c r="K132" s="24"/>
      <c r="L132" s="24">
        <f t="shared" si="87"/>
        <v>110.98057809149776</v>
      </c>
      <c r="M132" s="24">
        <f t="shared" si="88"/>
        <v>74.454509804398114</v>
      </c>
      <c r="N132" s="24">
        <f t="shared" si="89"/>
        <v>52.478360471909689</v>
      </c>
      <c r="O132">
        <v>2020</v>
      </c>
      <c r="P132" s="7">
        <f t="shared" si="90"/>
        <v>34.697611432852163</v>
      </c>
      <c r="Q132" s="3"/>
      <c r="R132" s="3">
        <f t="shared" si="54"/>
        <v>14.567818952434994</v>
      </c>
      <c r="S132" s="3">
        <f t="shared" si="55"/>
        <v>10.915212123725027</v>
      </c>
      <c r="T132" s="3">
        <f t="shared" si="56"/>
        <v>8.7175971904761855</v>
      </c>
      <c r="U132" s="3"/>
      <c r="V132" s="3">
        <f t="shared" si="76"/>
        <v>160.24600847678494</v>
      </c>
      <c r="W132" s="3">
        <f t="shared" si="67"/>
        <v>120.0673333609753</v>
      </c>
      <c r="X132" s="3">
        <f t="shared" si="77"/>
        <v>95.893569095238036</v>
      </c>
      <c r="Y132" s="3"/>
      <c r="Z132" s="3">
        <f t="shared" si="69"/>
        <v>1.8900556401349302</v>
      </c>
      <c r="AA132" s="3">
        <f t="shared" si="70"/>
        <v>1.4161597082634885</v>
      </c>
      <c r="AB132" s="3">
        <f t="shared" si="71"/>
        <v>1.1310371025396266</v>
      </c>
      <c r="AC132" s="3"/>
      <c r="AE132" s="3">
        <f t="shared" si="84"/>
        <v>1.8538860720679247</v>
      </c>
      <c r="AF132" s="3">
        <f t="shared" si="85"/>
        <v>1.3890589796531234</v>
      </c>
      <c r="AG132" s="3">
        <f t="shared" si="86"/>
        <v>1.1093927008628088</v>
      </c>
      <c r="AH132"/>
      <c r="AI132"/>
      <c r="AJ13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Q132" s="9"/>
      <c r="AU132" s="3"/>
      <c r="BM132"/>
      <c r="BN132"/>
      <c r="BO132"/>
      <c r="BP132"/>
      <c r="BQ132"/>
      <c r="BS132" s="3"/>
    </row>
    <row r="133" spans="1:71">
      <c r="A133">
        <v>2021</v>
      </c>
      <c r="B133" s="3"/>
      <c r="C133" s="3">
        <f t="shared" si="61"/>
        <v>120.81568201825931</v>
      </c>
      <c r="D133" s="3">
        <f t="shared" si="62"/>
        <v>63.082289986431647</v>
      </c>
      <c r="E133" s="3">
        <f t="shared" si="63"/>
        <v>28.477982190018274</v>
      </c>
      <c r="F133" s="66">
        <f>'Exchange Rates'!B60</f>
        <v>1.3979999999999999</v>
      </c>
      <c r="G133" s="3"/>
      <c r="H133" s="3">
        <f>(C133*USA!$AU108/100)/$BC100*100*$F133</f>
        <v>165.29870684405958</v>
      </c>
      <c r="I133" s="3">
        <f>(D133*USA!$AU108/100)/$BC100*100*$F133</f>
        <v>86.308505529465847</v>
      </c>
      <c r="J133" s="3">
        <f>(E133*USA!$AU108/100)/$BC100*100*$F133</f>
        <v>38.963266613242624</v>
      </c>
      <c r="K133" s="24"/>
      <c r="L133" s="24">
        <f t="shared" si="87"/>
        <v>122.5524453129547</v>
      </c>
      <c r="M133" s="24">
        <f t="shared" si="88"/>
        <v>79.543109385947474</v>
      </c>
      <c r="N133" s="24">
        <f t="shared" si="89"/>
        <v>53.764123496516028</v>
      </c>
      <c r="O133">
        <v>2021</v>
      </c>
      <c r="P133" s="7">
        <f t="shared" si="90"/>
        <v>34.697611432852163</v>
      </c>
      <c r="Q133" s="3"/>
      <c r="R133" s="3">
        <f t="shared" si="54"/>
        <v>15.725005674580686</v>
      </c>
      <c r="S133" s="3">
        <f t="shared" si="55"/>
        <v>11.424072081879965</v>
      </c>
      <c r="T133" s="3">
        <f t="shared" si="56"/>
        <v>8.8461734929368188</v>
      </c>
      <c r="U133" s="3"/>
      <c r="V133" s="3">
        <f t="shared" si="76"/>
        <v>172.97506242038753</v>
      </c>
      <c r="W133" s="3">
        <f t="shared" si="67"/>
        <v>125.66479290067961</v>
      </c>
      <c r="X133" s="3">
        <f t="shared" si="77"/>
        <v>97.307908422305005</v>
      </c>
      <c r="Y133" s="3"/>
      <c r="Z133" s="3">
        <f t="shared" si="69"/>
        <v>2.0401911750438906</v>
      </c>
      <c r="AA133" s="3">
        <f t="shared" si="70"/>
        <v>1.4821801356925928</v>
      </c>
      <c r="AB133" s="3">
        <f t="shared" si="71"/>
        <v>1.1477188286406226</v>
      </c>
      <c r="AC133" s="3"/>
      <c r="AE133" s="3">
        <f t="shared" si="84"/>
        <v>2.0011484971414633</v>
      </c>
      <c r="AF133" s="3">
        <f t="shared" si="85"/>
        <v>1.4538159890679625</v>
      </c>
      <c r="AG133" s="3">
        <f t="shared" si="86"/>
        <v>1.1257551925376466</v>
      </c>
      <c r="AH133"/>
      <c r="AI133"/>
      <c r="AJ133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Q133" s="9"/>
      <c r="AU133" s="3"/>
      <c r="BM133"/>
      <c r="BN133"/>
      <c r="BO133"/>
      <c r="BP133"/>
      <c r="BQ133"/>
      <c r="BS133" s="3"/>
    </row>
    <row r="134" spans="1:71">
      <c r="A134">
        <v>2022</v>
      </c>
      <c r="B134" s="3"/>
      <c r="C134" s="3">
        <f t="shared" si="61"/>
        <v>127.71943527644558</v>
      </c>
      <c r="D134" s="3">
        <f t="shared" si="62"/>
        <v>68.168185410991157</v>
      </c>
      <c r="E134" s="3">
        <f t="shared" si="63"/>
        <v>29.340951347291547</v>
      </c>
      <c r="F134" s="66">
        <f>'Exchange Rates'!B61</f>
        <v>1.3979999999999999</v>
      </c>
      <c r="G134" s="3"/>
      <c r="H134" s="3">
        <f>(C134*USA!$AU109/100)/$BC101*100*$F134</f>
        <v>174.74434723514875</v>
      </c>
      <c r="I134" s="3">
        <f>(D134*USA!$AU109/100)/$BC101*100*$F134</f>
        <v>93.266972532919496</v>
      </c>
      <c r="J134" s="3">
        <f>(E134*USA!$AU109/100)/$BC101*100*$F134</f>
        <v>40.143971662128756</v>
      </c>
      <c r="K134" s="24"/>
      <c r="L134" s="24">
        <f t="shared" si="87"/>
        <v>127.69549741138006</v>
      </c>
      <c r="M134" s="24">
        <f t="shared" si="88"/>
        <v>83.331921667822741</v>
      </c>
      <c r="N134" s="24">
        <f t="shared" si="89"/>
        <v>54.407005008819183</v>
      </c>
      <c r="O134">
        <v>2022</v>
      </c>
      <c r="P134" s="7">
        <f t="shared" si="90"/>
        <v>34.697611432852163</v>
      </c>
      <c r="Q134" s="3"/>
      <c r="R134" s="3">
        <f t="shared" si="54"/>
        <v>16.239310884423222</v>
      </c>
      <c r="S134" s="3">
        <f t="shared" si="55"/>
        <v>11.802953310067492</v>
      </c>
      <c r="T134" s="3">
        <f t="shared" si="56"/>
        <v>8.9104616441671336</v>
      </c>
      <c r="U134" s="3"/>
      <c r="V134" s="3">
        <f t="shared" si="76"/>
        <v>178.63241972865544</v>
      </c>
      <c r="W134" s="3">
        <f t="shared" si="67"/>
        <v>129.8324864107424</v>
      </c>
      <c r="X134" s="3">
        <f t="shared" si="77"/>
        <v>98.015078085838468</v>
      </c>
      <c r="Y134" s="3"/>
      <c r="Z134" s="3">
        <f t="shared" si="69"/>
        <v>2.1069180794478739</v>
      </c>
      <c r="AA134" s="3">
        <f t="shared" si="70"/>
        <v>1.531336883495076</v>
      </c>
      <c r="AB134" s="3">
        <f t="shared" si="71"/>
        <v>1.1560596916911201</v>
      </c>
      <c r="AC134" s="3"/>
      <c r="AE134" s="3">
        <f t="shared" si="84"/>
        <v>2.0665984638408146</v>
      </c>
      <c r="AF134" s="3">
        <f t="shared" si="85"/>
        <v>1.5020320352858789</v>
      </c>
      <c r="AG134" s="3">
        <f t="shared" si="86"/>
        <v>1.1339364383750652</v>
      </c>
      <c r="AH134"/>
      <c r="AI134"/>
      <c r="AJ134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Q134" s="9"/>
      <c r="AU134" s="3"/>
      <c r="BM134"/>
      <c r="BN134"/>
      <c r="BO134"/>
      <c r="BP134"/>
      <c r="BQ134"/>
      <c r="BS134" s="3"/>
    </row>
    <row r="135" spans="1:71">
      <c r="A135">
        <v>2023</v>
      </c>
      <c r="B135" s="3"/>
      <c r="C135" s="3">
        <f t="shared" si="61"/>
        <v>132.89725022008525</v>
      </c>
      <c r="D135" s="3">
        <f t="shared" si="62"/>
        <v>70.508542947524788</v>
      </c>
      <c r="E135" s="3">
        <f t="shared" si="63"/>
        <v>29.340951347291547</v>
      </c>
      <c r="F135" s="66">
        <f>'Exchange Rates'!B62</f>
        <v>1.3979999999999999</v>
      </c>
      <c r="G135" s="3"/>
      <c r="H135" s="3">
        <f>(C135*USA!$AU110/100)/$BC102*100*$F135</f>
        <v>181.82857752846559</v>
      </c>
      <c r="I135" s="3">
        <f>(D135*USA!$AU110/100)/$BC102*100*$F135</f>
        <v>96.469024351683302</v>
      </c>
      <c r="J135" s="3">
        <f>(E135*USA!$AU110/100)/$BC102*100*$F135</f>
        <v>40.143971662128756</v>
      </c>
      <c r="K135" s="24"/>
      <c r="L135" s="24">
        <f t="shared" si="87"/>
        <v>131.55278648519905</v>
      </c>
      <c r="M135" s="24">
        <f t="shared" si="88"/>
        <v>85.075405290309135</v>
      </c>
      <c r="N135" s="24">
        <f t="shared" si="89"/>
        <v>54.407005008819183</v>
      </c>
      <c r="O135">
        <v>2023</v>
      </c>
      <c r="P135" s="7">
        <f t="shared" si="90"/>
        <v>34.697611432852163</v>
      </c>
      <c r="Q135" s="3"/>
      <c r="R135" s="3">
        <f t="shared" si="54"/>
        <v>16.625039791805122</v>
      </c>
      <c r="S135" s="3">
        <f t="shared" si="55"/>
        <v>11.977301672316131</v>
      </c>
      <c r="T135" s="3">
        <f t="shared" si="56"/>
        <v>8.9104616441671336</v>
      </c>
      <c r="U135" s="3"/>
      <c r="V135" s="3">
        <f t="shared" si="76"/>
        <v>182.87543770985633</v>
      </c>
      <c r="W135" s="3">
        <f t="shared" si="67"/>
        <v>131.75031839547745</v>
      </c>
      <c r="X135" s="3">
        <f t="shared" si="77"/>
        <v>98.015078085838468</v>
      </c>
      <c r="Y135" s="3"/>
      <c r="Z135" s="3">
        <f t="shared" si="69"/>
        <v>2.1569632577508608</v>
      </c>
      <c r="AA135" s="3">
        <f t="shared" si="70"/>
        <v>1.5539571608675684</v>
      </c>
      <c r="AB135" s="3">
        <f t="shared" si="71"/>
        <v>1.1560596916911201</v>
      </c>
      <c r="AC135" s="3"/>
      <c r="AE135" s="3">
        <f t="shared" si="84"/>
        <v>2.1156859388653277</v>
      </c>
      <c r="AF135" s="3">
        <f t="shared" si="85"/>
        <v>1.5242194335172785</v>
      </c>
      <c r="AG135" s="3">
        <f t="shared" si="86"/>
        <v>1.1339364383750652</v>
      </c>
      <c r="AH135"/>
      <c r="AI135"/>
      <c r="AJ135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Q135" s="9"/>
      <c r="AU135" s="3"/>
      <c r="BM135"/>
      <c r="BN135"/>
      <c r="BO135"/>
      <c r="BP135"/>
      <c r="BQ135"/>
      <c r="BS135" s="3"/>
    </row>
    <row r="136" spans="1:71">
      <c r="A136">
        <v>2024</v>
      </c>
      <c r="B136" s="3"/>
      <c r="C136" s="3">
        <f t="shared" si="61"/>
        <v>137.21209600645167</v>
      </c>
      <c r="D136" s="3">
        <f t="shared" si="62"/>
        <v>71.127304204880986</v>
      </c>
      <c r="E136" s="3">
        <f t="shared" si="63"/>
        <v>29.340951347291547</v>
      </c>
      <c r="F136" s="66">
        <f>'Exchange Rates'!B63</f>
        <v>1.3979999999999999</v>
      </c>
      <c r="G136" s="3"/>
      <c r="H136" s="3">
        <f>(C136*USA!$AU111/100)/$BC103*100*$F136</f>
        <v>187.73210277289627</v>
      </c>
      <c r="I136" s="3">
        <f>(D136*USA!$AU111/100)/$BC103*100*$F136</f>
        <v>97.31560679841175</v>
      </c>
      <c r="J136" s="3">
        <f>(E136*USA!$AU111/100)/$BC103*100*$F136</f>
        <v>40.143971662128756</v>
      </c>
      <c r="K136" s="24"/>
      <c r="L136" s="24">
        <f t="shared" si="87"/>
        <v>134.76719404671485</v>
      </c>
      <c r="M136" s="24">
        <f t="shared" si="88"/>
        <v>85.536360551028594</v>
      </c>
      <c r="N136" s="24">
        <f t="shared" si="89"/>
        <v>54.407005008819183</v>
      </c>
      <c r="O136">
        <v>2024</v>
      </c>
      <c r="P136" s="7">
        <f t="shared" si="90"/>
        <v>34.697611432852163</v>
      </c>
      <c r="Q136" s="3"/>
      <c r="R136" s="3">
        <f t="shared" si="54"/>
        <v>16.946480547956703</v>
      </c>
      <c r="S136" s="3">
        <f t="shared" si="55"/>
        <v>12.023397198388077</v>
      </c>
      <c r="T136" s="3">
        <f t="shared" si="56"/>
        <v>8.9104616441671336</v>
      </c>
      <c r="U136" s="3"/>
      <c r="V136" s="3">
        <f t="shared" si="76"/>
        <v>186.41128602752372</v>
      </c>
      <c r="W136" s="3">
        <f t="shared" si="67"/>
        <v>132.25736918226883</v>
      </c>
      <c r="X136" s="3">
        <f t="shared" si="77"/>
        <v>98.015078085838468</v>
      </c>
      <c r="Y136" s="3"/>
      <c r="Z136" s="3">
        <f t="shared" si="69"/>
        <v>2.1986675730033496</v>
      </c>
      <c r="AA136" s="3">
        <f t="shared" si="70"/>
        <v>1.5599376792500201</v>
      </c>
      <c r="AB136" s="3">
        <f t="shared" si="71"/>
        <v>1.1560596916911201</v>
      </c>
      <c r="AC136" s="3"/>
      <c r="AE136" s="3">
        <f t="shared" si="84"/>
        <v>2.1565921680524216</v>
      </c>
      <c r="AF136" s="3">
        <f t="shared" si="85"/>
        <v>1.5300855040696681</v>
      </c>
      <c r="AG136" s="3">
        <f t="shared" si="86"/>
        <v>1.1339364383750652</v>
      </c>
      <c r="AH136"/>
      <c r="AI136"/>
      <c r="AJ136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Q136" s="9"/>
      <c r="AU136" s="3"/>
      <c r="BM136"/>
      <c r="BN136"/>
      <c r="BO136"/>
      <c r="BP136"/>
      <c r="BQ136"/>
      <c r="BS136" s="3"/>
    </row>
    <row r="137" spans="1:71" s="71" customFormat="1">
      <c r="A137">
        <v>2025</v>
      </c>
      <c r="B137" s="3"/>
      <c r="C137" s="3">
        <f t="shared" si="61"/>
        <v>141.52694179281806</v>
      </c>
      <c r="D137" s="3">
        <f t="shared" si="62"/>
        <v>74.364924740814473</v>
      </c>
      <c r="E137" s="3">
        <f t="shared" si="63"/>
        <v>30.203920504564827</v>
      </c>
      <c r="F137" s="66">
        <f>'Exchange Rates'!B64</f>
        <v>1.3979999999999999</v>
      </c>
      <c r="G137" s="3"/>
      <c r="H137" s="3">
        <f>(C137*USA!$AU112/100)/$BC104*100*$F137</f>
        <v>193.63562801732698</v>
      </c>
      <c r="I137" s="3">
        <f>(D137*USA!$AU112/100)/$BC104*100*$F137</f>
        <v>101.74528412921302</v>
      </c>
      <c r="J137" s="3">
        <f>(E137*USA!$AU112/100)/$BC104*100*$F137</f>
        <v>41.324676711014895</v>
      </c>
      <c r="K137" s="24"/>
      <c r="L137" s="24">
        <f t="shared" si="87"/>
        <v>137.98160160823068</v>
      </c>
      <c r="M137" s="24">
        <f t="shared" si="88"/>
        <v>87.948273385759933</v>
      </c>
      <c r="N137" s="24">
        <f t="shared" si="89"/>
        <v>55.049886521122353</v>
      </c>
      <c r="O137">
        <v>2025</v>
      </c>
      <c r="P137" s="7">
        <f t="shared" si="90"/>
        <v>34.697611432852163</v>
      </c>
      <c r="Q137" s="3"/>
      <c r="R137" s="3">
        <f t="shared" si="54"/>
        <v>17.267921304108285</v>
      </c>
      <c r="S137" s="3">
        <f t="shared" si="55"/>
        <v>12.26458848186121</v>
      </c>
      <c r="T137" s="3">
        <f t="shared" si="56"/>
        <v>8.974749795397452</v>
      </c>
      <c r="U137" s="3"/>
      <c r="V137" s="3">
        <f t="shared" si="76"/>
        <v>189.94713434519113</v>
      </c>
      <c r="W137" s="3">
        <f t="shared" si="67"/>
        <v>134.91047330047331</v>
      </c>
      <c r="X137" s="3">
        <f t="shared" si="77"/>
        <v>98.722247749371974</v>
      </c>
      <c r="Y137" s="3"/>
      <c r="Z137" s="3">
        <f t="shared" si="69"/>
        <v>2.2403718882558388</v>
      </c>
      <c r="AA137" s="3">
        <f t="shared" si="70"/>
        <v>1.5912302802336133</v>
      </c>
      <c r="AB137" s="3">
        <f t="shared" si="71"/>
        <v>1.1644005547416183</v>
      </c>
      <c r="AC137" s="3"/>
      <c r="AD137" s="3"/>
      <c r="AE137" s="3">
        <f t="shared" si="84"/>
        <v>2.1974983972395163</v>
      </c>
      <c r="AF137" s="3">
        <f t="shared" si="85"/>
        <v>1.5607792656131758</v>
      </c>
      <c r="AG137" s="3">
        <f t="shared" si="86"/>
        <v>1.1421176842124843</v>
      </c>
      <c r="AH137"/>
      <c r="AI137"/>
      <c r="AJ137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N137" s="3"/>
      <c r="AO137" s="3"/>
      <c r="AP137" s="72"/>
      <c r="AQ137" s="73"/>
      <c r="AR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R137" s="72"/>
      <c r="BS137" s="72"/>
    </row>
    <row r="138" spans="1:71">
      <c r="A138">
        <v>2026</v>
      </c>
      <c r="B138" s="3"/>
      <c r="C138" s="3">
        <f t="shared" si="61"/>
        <v>145.84178757918448</v>
      </c>
      <c r="D138" s="3">
        <f t="shared" si="62"/>
        <v>80.055420065999314</v>
      </c>
      <c r="E138" s="3">
        <f t="shared" si="63"/>
        <v>31.066889661838108</v>
      </c>
      <c r="F138" s="66">
        <f>'Exchange Rates'!B65</f>
        <v>1.3979999999999999</v>
      </c>
      <c r="G138" s="3"/>
      <c r="H138" s="3">
        <f>(C138*USA!$AU113/100)/$BC105*100*$F138</f>
        <v>199.53915326175772</v>
      </c>
      <c r="I138" s="3">
        <f>(D138*USA!$AU113/100)/$BC105*100*$F138</f>
        <v>109.53095816458418</v>
      </c>
      <c r="J138" s="3">
        <f>(E138*USA!$AU113/100)/$BC105*100*$F138</f>
        <v>42.505381759901034</v>
      </c>
      <c r="K138" s="24"/>
      <c r="L138" s="24">
        <f t="shared" si="87"/>
        <v>141.19600916974656</v>
      </c>
      <c r="M138" s="24">
        <f t="shared" si="88"/>
        <v>92.187491218258231</v>
      </c>
      <c r="N138" s="24">
        <f t="shared" si="89"/>
        <v>55.692768033425523</v>
      </c>
      <c r="O138">
        <v>2026</v>
      </c>
      <c r="P138" s="7">
        <f t="shared" si="90"/>
        <v>34.697611432852163</v>
      </c>
      <c r="Q138" s="3"/>
      <c r="R138" s="3">
        <f t="shared" si="54"/>
        <v>17.589362060259873</v>
      </c>
      <c r="S138" s="3">
        <f t="shared" si="55"/>
        <v>12.688510265111042</v>
      </c>
      <c r="T138" s="3">
        <f t="shared" si="56"/>
        <v>9.0390379466277704</v>
      </c>
      <c r="U138" s="3"/>
      <c r="V138" s="3">
        <f t="shared" si="76"/>
        <v>193.4829826628586</v>
      </c>
      <c r="W138" s="3">
        <f t="shared" si="67"/>
        <v>139.57361291622144</v>
      </c>
      <c r="X138" s="3">
        <f t="shared" si="77"/>
        <v>99.429417412905465</v>
      </c>
      <c r="Y138" s="3"/>
      <c r="Z138" s="3">
        <f t="shared" si="69"/>
        <v>2.2820762035083288</v>
      </c>
      <c r="AA138" s="3">
        <f t="shared" si="70"/>
        <v>1.6462306725382883</v>
      </c>
      <c r="AB138" s="3">
        <f t="shared" si="71"/>
        <v>1.172741417792116</v>
      </c>
      <c r="AC138" s="3"/>
      <c r="AE138" s="3">
        <f t="shared" si="84"/>
        <v>2.2384046264266111</v>
      </c>
      <c r="AF138" s="3">
        <f t="shared" si="85"/>
        <v>1.6147271278277657</v>
      </c>
      <c r="AG138" s="3">
        <f t="shared" si="86"/>
        <v>1.1502989300499034</v>
      </c>
      <c r="AH138"/>
      <c r="AI138"/>
      <c r="AJ138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Q138" s="9"/>
      <c r="AU138" s="3"/>
      <c r="BM138"/>
      <c r="BN138"/>
      <c r="BO138"/>
      <c r="BP138"/>
      <c r="BQ138"/>
      <c r="BS138" s="3"/>
    </row>
    <row r="139" spans="1:71">
      <c r="A139">
        <v>2027</v>
      </c>
      <c r="B139" s="3"/>
      <c r="C139" s="3">
        <f t="shared" si="61"/>
        <v>150.15663336555087</v>
      </c>
      <c r="D139" s="3">
        <f t="shared" si="62"/>
        <v>82.98815737026753</v>
      </c>
      <c r="E139" s="3">
        <f t="shared" si="63"/>
        <v>31.929858819111395</v>
      </c>
      <c r="F139" s="66">
        <f>'Exchange Rates'!B66</f>
        <v>1.3979999999999999</v>
      </c>
      <c r="G139" s="3"/>
      <c r="H139" s="3">
        <f>(C139*USA!$AU114/100)/$BC106*100*$F139</f>
        <v>205.44267850618837</v>
      </c>
      <c r="I139" s="3">
        <f>(D139*USA!$AU114/100)/$BC106*100*$F139</f>
        <v>113.54349756187537</v>
      </c>
      <c r="J139" s="3">
        <f>(E139*USA!$AU114/100)/$BC106*100*$F139</f>
        <v>43.686086808787188</v>
      </c>
      <c r="K139" s="24"/>
      <c r="L139" s="24">
        <f t="shared" si="87"/>
        <v>144.41041673126233</v>
      </c>
      <c r="M139" s="24">
        <f t="shared" si="88"/>
        <v>94.372276824401041</v>
      </c>
      <c r="N139" s="24">
        <f t="shared" si="89"/>
        <v>56.335649545728693</v>
      </c>
      <c r="O139">
        <v>2027</v>
      </c>
      <c r="P139" s="7">
        <f t="shared" si="90"/>
        <v>34.697611432852163</v>
      </c>
      <c r="Q139" s="3"/>
      <c r="R139" s="3">
        <f t="shared" si="54"/>
        <v>17.910802816411451</v>
      </c>
      <c r="S139" s="3">
        <f t="shared" si="55"/>
        <v>12.906988825725321</v>
      </c>
      <c r="T139" s="3">
        <f t="shared" si="56"/>
        <v>9.1033260978580852</v>
      </c>
      <c r="U139" s="3"/>
      <c r="V139" s="3">
        <f t="shared" si="76"/>
        <v>197.01883098052596</v>
      </c>
      <c r="W139" s="3">
        <f t="shared" si="67"/>
        <v>141.97687708297855</v>
      </c>
      <c r="X139" s="3">
        <f t="shared" si="77"/>
        <v>100.13658707643894</v>
      </c>
      <c r="Y139" s="3"/>
      <c r="Z139" s="3">
        <f t="shared" si="69"/>
        <v>2.3237805187608176</v>
      </c>
      <c r="AA139" s="3">
        <f t="shared" si="70"/>
        <v>1.674576483059812</v>
      </c>
      <c r="AB139" s="3">
        <f t="shared" si="71"/>
        <v>1.1810822808426138</v>
      </c>
      <c r="AC139" s="3"/>
      <c r="AE139" s="3">
        <f t="shared" si="84"/>
        <v>2.2793108556137049</v>
      </c>
      <c r="AF139" s="3">
        <f t="shared" si="85"/>
        <v>1.642530490972979</v>
      </c>
      <c r="AG139" s="3">
        <f t="shared" si="86"/>
        <v>1.1584801758873222</v>
      </c>
      <c r="AH139"/>
      <c r="AI139"/>
      <c r="AJ139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Q139" s="9"/>
      <c r="AU139" s="3"/>
      <c r="BM139"/>
      <c r="BN139"/>
      <c r="BO139"/>
      <c r="BP139"/>
      <c r="BQ139"/>
      <c r="BS139" s="3"/>
    </row>
    <row r="140" spans="1:71">
      <c r="A140">
        <v>2028</v>
      </c>
      <c r="B140" s="3"/>
      <c r="C140" s="3">
        <f t="shared" si="61"/>
        <v>153.60850999464401</v>
      </c>
      <c r="D140" s="3">
        <f t="shared" si="62"/>
        <v>84.844653255379882</v>
      </c>
      <c r="E140" s="3">
        <f t="shared" si="63"/>
        <v>31.929858819111395</v>
      </c>
      <c r="F140" s="66">
        <f>'Exchange Rates'!B67</f>
        <v>1.3979999999999999</v>
      </c>
      <c r="G140" s="3"/>
      <c r="H140" s="3">
        <f>(C140*USA!$AU115/100)/$BC107*100*$F140</f>
        <v>210.16549870173293</v>
      </c>
      <c r="I140" s="3">
        <f>(D140*USA!$AU115/100)/$BC107*100*$F140</f>
        <v>116.08353511282847</v>
      </c>
      <c r="J140" s="3">
        <f>(E140*USA!$AU115/100)/$BC107*100*$F140</f>
        <v>43.686086808787188</v>
      </c>
      <c r="K140" s="24"/>
      <c r="L140" s="24">
        <f t="shared" si="87"/>
        <v>146.98194278047501</v>
      </c>
      <c r="M140" s="24">
        <f t="shared" si="88"/>
        <v>95.755300623277876</v>
      </c>
      <c r="N140" s="24">
        <f t="shared" si="89"/>
        <v>56.335649545728693</v>
      </c>
      <c r="O140">
        <v>2028</v>
      </c>
      <c r="P140" s="7">
        <f t="shared" si="90"/>
        <v>34.697611432852163</v>
      </c>
      <c r="Q140" s="3"/>
      <c r="R140" s="3">
        <f t="shared" si="54"/>
        <v>18.167955421332717</v>
      </c>
      <c r="S140" s="3">
        <f t="shared" si="55"/>
        <v>13.045291205613005</v>
      </c>
      <c r="T140" s="3">
        <f t="shared" si="56"/>
        <v>9.1033260978580852</v>
      </c>
      <c r="U140" s="3"/>
      <c r="V140" s="3">
        <f t="shared" si="76"/>
        <v>199.8475096346599</v>
      </c>
      <c r="W140" s="3">
        <f t="shared" si="67"/>
        <v>143.49820326174304</v>
      </c>
      <c r="X140" s="3">
        <f t="shared" si="77"/>
        <v>100.13658707643894</v>
      </c>
      <c r="Y140" s="3"/>
      <c r="Z140" s="3">
        <f t="shared" si="69"/>
        <v>2.357143970962809</v>
      </c>
      <c r="AA140" s="3">
        <f t="shared" si="70"/>
        <v>1.6925200883451526</v>
      </c>
      <c r="AB140" s="3">
        <f t="shared" si="71"/>
        <v>1.1810822808426138</v>
      </c>
      <c r="AC140" s="3"/>
      <c r="AE140" s="3">
        <f t="shared" si="84"/>
        <v>2.3120358389633804</v>
      </c>
      <c r="AF140" s="3">
        <f t="shared" si="85"/>
        <v>1.6601307135351053</v>
      </c>
      <c r="AG140" s="3">
        <f t="shared" si="86"/>
        <v>1.1584801758873222</v>
      </c>
      <c r="AH140"/>
      <c r="AI140"/>
      <c r="AJ140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Q140" s="9"/>
      <c r="AU140" s="3"/>
      <c r="BM140"/>
      <c r="BN140"/>
      <c r="BO140"/>
      <c r="BP140"/>
      <c r="BQ140"/>
      <c r="BS140" s="3"/>
    </row>
    <row r="141" spans="1:71">
      <c r="A141">
        <v>2029</v>
      </c>
      <c r="B141" s="3"/>
      <c r="C141" s="3">
        <f t="shared" si="61"/>
        <v>157.9233557810104</v>
      </c>
      <c r="D141" s="3">
        <f t="shared" si="62"/>
        <v>87.361009569245411</v>
      </c>
      <c r="E141" s="3">
        <f t="shared" si="63"/>
        <v>31.929858819111395</v>
      </c>
      <c r="F141" s="66">
        <f>'Exchange Rates'!B68</f>
        <v>1.3979999999999999</v>
      </c>
      <c r="G141" s="3"/>
      <c r="H141" s="3">
        <f>(C141*USA!$AU116/100)/$BC108*100*$F141</f>
        <v>216.06902394616361</v>
      </c>
      <c r="I141" s="3">
        <f>(D141*USA!$AU116/100)/$BC108*100*$F141</f>
        <v>119.52638655141898</v>
      </c>
      <c r="J141" s="3">
        <f>(E141*USA!$AU116/100)/$BC108*100*$F141</f>
        <v>43.686086808787188</v>
      </c>
      <c r="K141" s="24"/>
      <c r="L141" s="24">
        <f t="shared" si="87"/>
        <v>150.19635034199081</v>
      </c>
      <c r="M141" s="24">
        <f t="shared" si="88"/>
        <v>97.62989711252321</v>
      </c>
      <c r="N141" s="24">
        <f t="shared" si="89"/>
        <v>56.335649545728693</v>
      </c>
      <c r="O141">
        <v>2029</v>
      </c>
      <c r="P141" s="7">
        <f t="shared" si="90"/>
        <v>34.697611432852163</v>
      </c>
      <c r="Q141" s="3"/>
      <c r="R141" s="3">
        <f t="shared" si="54"/>
        <v>18.489396177484299</v>
      </c>
      <c r="S141" s="3">
        <f t="shared" si="55"/>
        <v>13.232750854537537</v>
      </c>
      <c r="T141" s="3">
        <f t="shared" si="56"/>
        <v>9.1033260978580852</v>
      </c>
      <c r="U141" s="3"/>
      <c r="V141" s="3">
        <f t="shared" si="76"/>
        <v>203.38335795232729</v>
      </c>
      <c r="W141" s="3">
        <f t="shared" si="67"/>
        <v>145.56025939991289</v>
      </c>
      <c r="X141" s="3">
        <f t="shared" si="77"/>
        <v>100.13658707643894</v>
      </c>
      <c r="Y141" s="3"/>
      <c r="Z141" s="3">
        <f t="shared" si="69"/>
        <v>2.3988482862152978</v>
      </c>
      <c r="AA141" s="3">
        <f t="shared" si="70"/>
        <v>1.7168414481797558</v>
      </c>
      <c r="AB141" s="3">
        <f t="shared" si="71"/>
        <v>1.1810822808426138</v>
      </c>
      <c r="AC141" s="3"/>
      <c r="AE141" s="3">
        <f t="shared" si="84"/>
        <v>2.3529420681504742</v>
      </c>
      <c r="AF141" s="3">
        <f t="shared" si="85"/>
        <v>1.6839866409975923</v>
      </c>
      <c r="AG141" s="3">
        <f t="shared" si="86"/>
        <v>1.1584801758873222</v>
      </c>
      <c r="AH141"/>
      <c r="AI141"/>
      <c r="AJ141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Q141" s="9"/>
      <c r="AU141" s="3"/>
      <c r="BM141"/>
      <c r="BN141"/>
      <c r="BO141"/>
      <c r="BP141"/>
      <c r="BQ141"/>
      <c r="BS141" s="3"/>
    </row>
    <row r="142" spans="1:71">
      <c r="A142">
        <v>2030</v>
      </c>
      <c r="B142" s="3"/>
      <c r="C142" s="3">
        <f t="shared" si="61"/>
        <v>160.51226325283022</v>
      </c>
      <c r="D142" s="3">
        <f t="shared" si="62"/>
        <v>89.285088706337618</v>
      </c>
      <c r="E142" s="3">
        <f t="shared" si="63"/>
        <v>32.792827976384679</v>
      </c>
      <c r="F142" s="66">
        <f>'Exchange Rates'!B69</f>
        <v>1.3979999999999999</v>
      </c>
      <c r="G142" s="3"/>
      <c r="H142" s="3">
        <f>(C142*USA!$AU117/100)/$BC109*100*$F142</f>
        <v>219.61113909282201</v>
      </c>
      <c r="I142" s="3">
        <f>(D142*USA!$AU117/100)/$BC109*100*$F142</f>
        <v>122.15889077532351</v>
      </c>
      <c r="J142" s="3">
        <f>(E142*USA!$AU117/100)/$BC109*100*$F142</f>
        <v>44.866791857673327</v>
      </c>
      <c r="K142" s="24"/>
      <c r="L142" s="24">
        <f>$R$103+$R$104*H142</f>
        <v>152.12499487890031</v>
      </c>
      <c r="M142" s="24">
        <f t="shared" si="88"/>
        <v>99.063268044751197</v>
      </c>
      <c r="N142" s="24">
        <f t="shared" si="89"/>
        <v>56.978531058031855</v>
      </c>
      <c r="O142">
        <v>2030</v>
      </c>
      <c r="P142" s="7">
        <f t="shared" si="90"/>
        <v>34.697611432852163</v>
      </c>
      <c r="Q142" s="3"/>
      <c r="R142" s="3">
        <f>(L142+P142)*$T$120</f>
        <v>18.68226063117525</v>
      </c>
      <c r="S142" s="3">
        <f t="shared" si="55"/>
        <v>13.376087947760338</v>
      </c>
      <c r="T142" s="3">
        <f t="shared" si="56"/>
        <v>9.1676142490884018</v>
      </c>
      <c r="U142" s="3"/>
      <c r="V142" s="3">
        <f>L142+$P142+R142</f>
        <v>205.50486694292772</v>
      </c>
      <c r="W142" s="3">
        <f>M142+P142+S142</f>
        <v>147.13696742536371</v>
      </c>
      <c r="X142" s="3">
        <f t="shared" si="77"/>
        <v>100.84375673997242</v>
      </c>
      <c r="Y142" s="3"/>
      <c r="Z142" s="3">
        <f>V142*$BC$97/100/100</f>
        <v>2.423870875366791</v>
      </c>
      <c r="AA142" s="3">
        <f>W142*$BC$97/100/100</f>
        <v>1.7354382664386085</v>
      </c>
      <c r="AB142" s="3">
        <f t="shared" si="71"/>
        <v>1.1894231438931115</v>
      </c>
      <c r="AC142" s="3"/>
      <c r="AE142" s="3">
        <f t="shared" si="84"/>
        <v>2.3774858056627308</v>
      </c>
      <c r="AF142" s="3">
        <f t="shared" si="85"/>
        <v>1.7022275761440326</v>
      </c>
      <c r="AG142" s="3">
        <f t="shared" si="86"/>
        <v>1.1666614217247409</v>
      </c>
      <c r="AH142"/>
      <c r="AI142"/>
      <c r="AJ14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Q142" s="9"/>
      <c r="AU142" s="3"/>
      <c r="BM142"/>
      <c r="BN142"/>
      <c r="BO142"/>
      <c r="BP142"/>
      <c r="BQ142"/>
      <c r="BS142" s="3"/>
    </row>
    <row r="143" spans="1:71">
      <c r="A143">
        <v>2031</v>
      </c>
      <c r="B143" s="12"/>
      <c r="C143" s="3">
        <f t="shared" ref="C143:C152" si="91">AK143</f>
        <v>162.23820156737682</v>
      </c>
      <c r="D143" s="3">
        <f t="shared" ref="D143:D152" si="92">AL143</f>
        <v>90.882363255178021</v>
      </c>
      <c r="E143" s="3">
        <f t="shared" ref="E143:E152" si="93">AM143</f>
        <v>33.224312555021314</v>
      </c>
      <c r="F143" s="66">
        <f>'Exchange Rates'!B70</f>
        <v>1.3979999999999999</v>
      </c>
      <c r="G143" s="12"/>
      <c r="H143" s="3">
        <f>(C143*USA!$AU118/100)/$BC110*100*$F143</f>
        <v>221.97254919059435</v>
      </c>
      <c r="I143" s="3">
        <f>(D143*USA!$AU118/100)/$BC110*100*$F143</f>
        <v>124.34426450320053</v>
      </c>
      <c r="J143" s="3">
        <f>(E143*USA!$AU118/100)/$BC110*100*$F143</f>
        <v>45.457144382116397</v>
      </c>
      <c r="L143" s="24">
        <f t="shared" ref="L143:L152" si="94">$R$103+$R$104*H143</f>
        <v>153.41075790350666</v>
      </c>
      <c r="M143" s="24">
        <f t="shared" ref="M143:M152" si="95">$R$103+$R$104*I143</f>
        <v>100.25318111275288</v>
      </c>
      <c r="N143" s="24">
        <f t="shared" ref="N143:N152" si="96">$R$103+$R$104*J143</f>
        <v>57.299971814183436</v>
      </c>
      <c r="O143">
        <v>2031</v>
      </c>
      <c r="P143" s="7">
        <f t="shared" si="90"/>
        <v>34.697611432852163</v>
      </c>
      <c r="R143" s="3">
        <f t="shared" ref="R143:R152" si="97">(L143+P143)*$T$120</f>
        <v>18.810836933635883</v>
      </c>
      <c r="S143" s="3">
        <f t="shared" ref="S143:S152" si="98">(M143+P143)*$T$120</f>
        <v>13.495079254560506</v>
      </c>
      <c r="T143" s="3">
        <f t="shared" ref="T143:T152" si="99">(N143+P143)*$T$120</f>
        <v>9.199758324703561</v>
      </c>
      <c r="V143" s="3">
        <f t="shared" ref="V143:V152" si="100">L143+$P143+R143</f>
        <v>206.91920626999473</v>
      </c>
      <c r="W143" s="3">
        <f t="shared" ref="W143:W152" si="101">M143+P143+S143</f>
        <v>148.44587180016555</v>
      </c>
      <c r="X143" s="3">
        <f t="shared" ref="X143:X152" si="102">N143+$P143+T143</f>
        <v>101.19734157173917</v>
      </c>
      <c r="Z143" s="3">
        <f t="shared" ref="Z143:Z152" si="103">V143*$BC$97/100/100</f>
        <v>2.4405526014677874</v>
      </c>
      <c r="AA143" s="3">
        <f t="shared" ref="AA143:AA152" si="104">W143*$BC$97/100/100</f>
        <v>1.7508764175632894</v>
      </c>
      <c r="AB143" s="3">
        <f t="shared" ref="AB143:AB152" si="105">X143*$BC$97/100/100</f>
        <v>1.1935935754183609</v>
      </c>
      <c r="AD143"/>
      <c r="AE143"/>
      <c r="AF143"/>
      <c r="AG143"/>
      <c r="AI143"/>
      <c r="AJ14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P143" s="9"/>
      <c r="AU143" s="3"/>
      <c r="BL143"/>
      <c r="BM143"/>
      <c r="BN143"/>
      <c r="BO143"/>
      <c r="BP143"/>
      <c r="BQ143"/>
      <c r="BS143" s="3"/>
    </row>
    <row r="144" spans="1:71">
      <c r="A144">
        <v>2032</v>
      </c>
      <c r="B144" s="7"/>
      <c r="C144" s="3">
        <f t="shared" si="91"/>
        <v>164.82710903919664</v>
      </c>
      <c r="D144" s="3">
        <f t="shared" si="92"/>
        <v>91.529643316939641</v>
      </c>
      <c r="E144" s="3">
        <f t="shared" si="93"/>
        <v>33.655797133657956</v>
      </c>
      <c r="F144" s="66">
        <f>'Exchange Rates'!B71</f>
        <v>1.3979999999999999</v>
      </c>
      <c r="G144" s="12"/>
      <c r="H144" s="3">
        <f>(C144*USA!$AU119/100)/$BC111*100*$F144</f>
        <v>225.51466433725278</v>
      </c>
      <c r="I144" s="3">
        <f>(D144*USA!$AU119/100)/$BC111*100*$F144</f>
        <v>125.22986606905494</v>
      </c>
      <c r="J144" s="3">
        <f>(E144*USA!$AU119/100)/$BC111*100*$F144</f>
        <v>46.047496906559473</v>
      </c>
      <c r="L144" s="24">
        <f t="shared" si="94"/>
        <v>155.33940244041617</v>
      </c>
      <c r="M144" s="24">
        <f t="shared" si="95"/>
        <v>100.73538187448557</v>
      </c>
      <c r="N144" s="24">
        <f t="shared" si="96"/>
        <v>57.621412570335025</v>
      </c>
      <c r="O144">
        <v>2032</v>
      </c>
      <c r="P144" s="7">
        <f t="shared" si="90"/>
        <v>34.697611432852163</v>
      </c>
      <c r="R144" s="3">
        <f t="shared" si="97"/>
        <v>19.003701387326835</v>
      </c>
      <c r="S144" s="3">
        <f t="shared" si="98"/>
        <v>13.543299330733774</v>
      </c>
      <c r="T144" s="3">
        <f t="shared" si="99"/>
        <v>9.2319024003187202</v>
      </c>
      <c r="V144" s="3">
        <f t="shared" si="100"/>
        <v>209.04071526059516</v>
      </c>
      <c r="W144" s="3">
        <f t="shared" si="101"/>
        <v>148.97629263807153</v>
      </c>
      <c r="X144" s="3">
        <f t="shared" si="102"/>
        <v>101.55092640350591</v>
      </c>
      <c r="Z144" s="3">
        <f t="shared" si="103"/>
        <v>2.4655751906192807</v>
      </c>
      <c r="AA144" s="3">
        <f t="shared" si="104"/>
        <v>1.7571325789857095</v>
      </c>
      <c r="AB144" s="3">
        <f t="shared" si="105"/>
        <v>1.1977640069436095</v>
      </c>
      <c r="AD144" s="175"/>
      <c r="AE144" s="175"/>
      <c r="AF144" s="175"/>
      <c r="AG144" s="175"/>
      <c r="AI144"/>
      <c r="AJ144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P144" s="9"/>
      <c r="AU144" s="3"/>
      <c r="BL144"/>
      <c r="BM144"/>
      <c r="BN144"/>
      <c r="BO144"/>
      <c r="BP144"/>
      <c r="BQ144"/>
      <c r="BS144" s="3"/>
    </row>
    <row r="145" spans="1:77">
      <c r="A145">
        <v>2033</v>
      </c>
      <c r="B145" s="7"/>
      <c r="C145" s="3">
        <f t="shared" si="91"/>
        <v>166.55304735374321</v>
      </c>
      <c r="D145" s="3">
        <f t="shared" si="92"/>
        <v>91.468448273790386</v>
      </c>
      <c r="E145" s="3">
        <f t="shared" si="93"/>
        <v>34.08728171229459</v>
      </c>
      <c r="F145" s="66">
        <f>'Exchange Rates'!B72</f>
        <v>1.3979999999999999</v>
      </c>
      <c r="G145" s="12"/>
      <c r="H145" s="3">
        <f>(C145*USA!$AU120/100)/$BC112*100*$F145</f>
        <v>227.87607443502506</v>
      </c>
      <c r="I145" s="3">
        <f>(D145*USA!$AU120/100)/$BC112*100*$F145</f>
        <v>125.14613967419582</v>
      </c>
      <c r="J145" s="3">
        <f>(E145*USA!$AU120/100)/$BC112*100*$F145</f>
        <v>46.637849431002529</v>
      </c>
      <c r="L145" s="24">
        <f t="shared" si="94"/>
        <v>156.62516546502252</v>
      </c>
      <c r="M145" s="24">
        <f t="shared" si="95"/>
        <v>100.68979373086113</v>
      </c>
      <c r="N145" s="24">
        <f t="shared" si="96"/>
        <v>57.942853326486599</v>
      </c>
      <c r="O145">
        <v>2033</v>
      </c>
      <c r="P145" s="7">
        <f t="shared" si="90"/>
        <v>34.697611432852163</v>
      </c>
      <c r="R145" s="3">
        <f t="shared" si="97"/>
        <v>19.132277689787468</v>
      </c>
      <c r="S145" s="3">
        <f t="shared" si="98"/>
        <v>13.538740516371329</v>
      </c>
      <c r="T145" s="3">
        <f t="shared" si="99"/>
        <v>9.2640464759338759</v>
      </c>
      <c r="V145" s="3">
        <f t="shared" si="100"/>
        <v>210.45505458766215</v>
      </c>
      <c r="W145" s="3">
        <f t="shared" si="101"/>
        <v>148.9261456800846</v>
      </c>
      <c r="X145" s="3">
        <f t="shared" si="102"/>
        <v>101.90451123527264</v>
      </c>
      <c r="Z145" s="3">
        <f t="shared" si="103"/>
        <v>2.4822569167202762</v>
      </c>
      <c r="AA145" s="3">
        <f t="shared" si="104"/>
        <v>1.7565411100207116</v>
      </c>
      <c r="AB145" s="3">
        <f t="shared" si="105"/>
        <v>1.2019344384688584</v>
      </c>
      <c r="AD145"/>
      <c r="AE145"/>
      <c r="AF145"/>
      <c r="AG145"/>
      <c r="AI145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P145" s="9"/>
      <c r="AU145" s="3"/>
      <c r="BL145"/>
      <c r="BM145"/>
      <c r="BN145"/>
      <c r="BO145"/>
      <c r="BP145"/>
      <c r="BQ145"/>
      <c r="BS145" s="3"/>
    </row>
    <row r="146" spans="1:77">
      <c r="A146">
        <v>2034</v>
      </c>
      <c r="B146" s="7"/>
      <c r="C146" s="3">
        <f t="shared" si="91"/>
        <v>169.14195482556306</v>
      </c>
      <c r="D146" s="3">
        <f t="shared" si="92"/>
        <v>90.153207715955162</v>
      </c>
      <c r="E146" s="3">
        <f t="shared" si="93"/>
        <v>34.518766290931239</v>
      </c>
      <c r="F146" s="66">
        <f>'Exchange Rates'!B73</f>
        <v>1.3979999999999999</v>
      </c>
      <c r="H146" s="3">
        <f>(C146*USA!$AU121/100)/$BC113*100*$F146</f>
        <v>231.41818958168349</v>
      </c>
      <c r="I146" s="3">
        <f>(D146*USA!$AU121/100)/$BC113*100*$F146</f>
        <v>123.34664179637754</v>
      </c>
      <c r="J146" s="3">
        <f>(E146*USA!$AU121/100)/$BC113*100*$F146</f>
        <v>47.228201955445613</v>
      </c>
      <c r="L146" s="24">
        <f t="shared" si="94"/>
        <v>158.55381000193199</v>
      </c>
      <c r="M146" s="24">
        <f t="shared" si="95"/>
        <v>99.709986014980245</v>
      </c>
      <c r="N146" s="24">
        <f t="shared" si="96"/>
        <v>58.264294082638187</v>
      </c>
      <c r="O146">
        <v>2034</v>
      </c>
      <c r="P146" s="7">
        <f t="shared" si="90"/>
        <v>34.697611432852163</v>
      </c>
      <c r="R146" s="3">
        <f t="shared" si="97"/>
        <v>19.325142143478416</v>
      </c>
      <c r="S146" s="3">
        <f t="shared" si="98"/>
        <v>13.440759744783243</v>
      </c>
      <c r="T146" s="3">
        <f t="shared" si="99"/>
        <v>9.2961905515490351</v>
      </c>
      <c r="V146" s="3">
        <f t="shared" si="100"/>
        <v>212.57656357826258</v>
      </c>
      <c r="W146" s="3">
        <f t="shared" si="101"/>
        <v>147.84835719261565</v>
      </c>
      <c r="X146" s="3">
        <f t="shared" si="102"/>
        <v>102.25809606703938</v>
      </c>
      <c r="Z146" s="3">
        <f t="shared" si="103"/>
        <v>2.5072795058717698</v>
      </c>
      <c r="AA146" s="3">
        <f t="shared" si="104"/>
        <v>1.7438289044002622</v>
      </c>
      <c r="AB146" s="3">
        <f t="shared" si="105"/>
        <v>1.2061048699941075</v>
      </c>
      <c r="AD146"/>
      <c r="AE146"/>
      <c r="AF146"/>
      <c r="AG146"/>
      <c r="AH146"/>
      <c r="AI146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U146" s="3"/>
      <c r="BE146" s="9"/>
      <c r="BS146" s="3"/>
      <c r="BT146" s="3"/>
      <c r="BU146" s="3"/>
      <c r="BV146" s="3"/>
      <c r="BW146" s="3"/>
      <c r="BX146" s="3"/>
      <c r="BY146" s="3"/>
    </row>
    <row r="147" spans="1:77">
      <c r="A147">
        <v>2035</v>
      </c>
      <c r="B147" s="7"/>
      <c r="C147" s="3">
        <f t="shared" si="91"/>
        <v>171.73086229738288</v>
      </c>
      <c r="D147" s="3">
        <f t="shared" si="92"/>
        <v>90.054464673113912</v>
      </c>
      <c r="E147" s="3">
        <f t="shared" si="93"/>
        <v>34.950250869567881</v>
      </c>
      <c r="F147" s="66">
        <f>'Exchange Rates'!B74</f>
        <v>1.3979999999999999</v>
      </c>
      <c r="H147" s="3">
        <f>(C147*USA!$AU122/100)/$BC114*100*$F147</f>
        <v>234.96030472834184</v>
      </c>
      <c r="I147" s="3">
        <f>(D147*USA!$AU122/100)/$BC114*100*$F147</f>
        <v>123.21154263525177</v>
      </c>
      <c r="J147" s="3">
        <f>(E147*USA!$AU122/100)/$BC114*100*$F147</f>
        <v>47.818554479888675</v>
      </c>
      <c r="L147" s="24">
        <f t="shared" si="94"/>
        <v>160.48245453884147</v>
      </c>
      <c r="M147" s="24">
        <f t="shared" si="95"/>
        <v>99.636425939077</v>
      </c>
      <c r="N147" s="24">
        <f t="shared" si="96"/>
        <v>58.585734838789769</v>
      </c>
      <c r="O147">
        <v>2035</v>
      </c>
      <c r="P147" s="7">
        <f t="shared" si="90"/>
        <v>34.697611432852163</v>
      </c>
      <c r="R147" s="3">
        <f t="shared" si="97"/>
        <v>19.518006597169364</v>
      </c>
      <c r="S147" s="3">
        <f t="shared" si="98"/>
        <v>13.433403737192917</v>
      </c>
      <c r="T147" s="3">
        <f t="shared" si="99"/>
        <v>9.3283346271641943</v>
      </c>
      <c r="V147" s="3">
        <f t="shared" si="100"/>
        <v>214.69807256886301</v>
      </c>
      <c r="W147" s="3">
        <f t="shared" si="101"/>
        <v>147.76744110912207</v>
      </c>
      <c r="X147" s="3">
        <f t="shared" si="102"/>
        <v>102.61168089880613</v>
      </c>
      <c r="Z147" s="3">
        <f t="shared" si="103"/>
        <v>2.5323020950232631</v>
      </c>
      <c r="AA147" s="3">
        <f t="shared" si="104"/>
        <v>1.7428745224381876</v>
      </c>
      <c r="AB147" s="3">
        <f t="shared" si="105"/>
        <v>1.2102753015193561</v>
      </c>
      <c r="AD147"/>
      <c r="AE147"/>
      <c r="AF147"/>
      <c r="AG147"/>
      <c r="AH147"/>
      <c r="AI147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U147" s="3"/>
      <c r="BE147" s="9"/>
      <c r="BS147" s="3"/>
      <c r="BT147" s="3"/>
      <c r="BU147" s="3"/>
      <c r="BV147" s="3"/>
      <c r="BW147" s="3"/>
      <c r="BX147" s="3"/>
      <c r="BY147" s="3"/>
    </row>
    <row r="148" spans="1:77">
      <c r="A148">
        <v>2036</v>
      </c>
      <c r="B148" s="7"/>
      <c r="C148" s="3">
        <f t="shared" si="91"/>
        <v>173.45680061192945</v>
      </c>
      <c r="D148" s="3">
        <f t="shared" si="92"/>
        <v>91.250057240640103</v>
      </c>
      <c r="E148" s="3">
        <f t="shared" si="93"/>
        <v>35.381735448204516</v>
      </c>
      <c r="F148" s="66">
        <f>'Exchange Rates'!B75</f>
        <v>1.3979999999999999</v>
      </c>
      <c r="H148" s="3">
        <f>(C148*USA!$AU123/100)/$BC115*100*$F148</f>
        <v>237.32171482611415</v>
      </c>
      <c r="I148" s="3">
        <f>(D148*USA!$AU123/100)/$BC115*100*$F148</f>
        <v>124.84733942936811</v>
      </c>
      <c r="J148" s="3">
        <f>(E148*USA!$AU123/100)/$BC115*100*$F148</f>
        <v>48.408907004331745</v>
      </c>
      <c r="L148" s="24">
        <f t="shared" si="94"/>
        <v>161.76821756344782</v>
      </c>
      <c r="M148" s="24">
        <f t="shared" si="95"/>
        <v>100.52710013227559</v>
      </c>
      <c r="N148" s="24">
        <f t="shared" si="96"/>
        <v>58.90717559494135</v>
      </c>
      <c r="O148">
        <v>2036</v>
      </c>
      <c r="P148" s="7">
        <f t="shared" si="90"/>
        <v>34.697611432852163</v>
      </c>
      <c r="R148" s="3">
        <f t="shared" si="97"/>
        <v>19.646582899630001</v>
      </c>
      <c r="S148" s="3">
        <f t="shared" si="98"/>
        <v>13.522471156512777</v>
      </c>
      <c r="T148" s="3">
        <f t="shared" si="99"/>
        <v>9.3604787027793517</v>
      </c>
      <c r="V148" s="3">
        <f t="shared" si="100"/>
        <v>216.11241189592999</v>
      </c>
      <c r="W148" s="3">
        <f t="shared" si="101"/>
        <v>148.74718272164054</v>
      </c>
      <c r="X148" s="3">
        <f t="shared" si="102"/>
        <v>102.96526573057287</v>
      </c>
      <c r="Z148" s="3">
        <f t="shared" si="103"/>
        <v>2.548983821124259</v>
      </c>
      <c r="AA148" s="3">
        <f t="shared" si="104"/>
        <v>1.754430293332061</v>
      </c>
      <c r="AB148" s="3">
        <f t="shared" si="105"/>
        <v>1.2144457330446052</v>
      </c>
      <c r="AD148"/>
      <c r="AE148"/>
      <c r="AF148"/>
      <c r="AG148"/>
      <c r="AH148"/>
      <c r="AI148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U148" s="3"/>
      <c r="BE148" s="9"/>
      <c r="BS148" s="3"/>
      <c r="BT148" s="3"/>
      <c r="BU148" s="3"/>
      <c r="BV148" s="3"/>
      <c r="BW148" s="3"/>
      <c r="BX148" s="3"/>
      <c r="BY148" s="3"/>
    </row>
    <row r="149" spans="1:77">
      <c r="A149">
        <v>2037</v>
      </c>
      <c r="B149" s="7"/>
      <c r="C149" s="3">
        <f t="shared" si="91"/>
        <v>175.18273892647602</v>
      </c>
      <c r="D149" s="3">
        <f t="shared" si="92"/>
        <v>91.751958188656559</v>
      </c>
      <c r="E149" s="3">
        <f t="shared" si="93"/>
        <v>36.2447046054778</v>
      </c>
      <c r="F149" s="66">
        <f>'Exchange Rates'!B76</f>
        <v>1.3979999999999999</v>
      </c>
      <c r="H149" s="3">
        <f>(C149*USA!$AU124/100)/$BC116*100*$F149</f>
        <v>239.6831249238864</v>
      </c>
      <c r="I149" s="3">
        <f>(D149*USA!$AU124/100)/$BC116*100*$F149</f>
        <v>125.53403486728642</v>
      </c>
      <c r="J149" s="3">
        <f>(E149*USA!$AU124/100)/$BC116*100*$F149</f>
        <v>49.589612053217891</v>
      </c>
      <c r="L149" s="24">
        <f t="shared" si="94"/>
        <v>163.05398058805412</v>
      </c>
      <c r="M149" s="24">
        <f t="shared" si="95"/>
        <v>100.90099859407779</v>
      </c>
      <c r="N149" s="24">
        <f t="shared" si="96"/>
        <v>59.55005710724452</v>
      </c>
      <c r="O149">
        <v>2037</v>
      </c>
      <c r="P149" s="7">
        <f t="shared" si="90"/>
        <v>34.697611432852163</v>
      </c>
      <c r="R149" s="3">
        <f t="shared" si="97"/>
        <v>19.775159202090631</v>
      </c>
      <c r="S149" s="3">
        <f t="shared" si="98"/>
        <v>13.559861002692996</v>
      </c>
      <c r="T149" s="3">
        <f t="shared" si="99"/>
        <v>9.4247668540096683</v>
      </c>
      <c r="V149" s="3">
        <f t="shared" si="100"/>
        <v>217.52675122299692</v>
      </c>
      <c r="W149" s="3">
        <f t="shared" si="101"/>
        <v>149.15847102962294</v>
      </c>
      <c r="X149" s="3">
        <f t="shared" si="102"/>
        <v>103.67243539410634</v>
      </c>
      <c r="Z149" s="3">
        <f t="shared" si="103"/>
        <v>2.5656655472252545</v>
      </c>
      <c r="AA149" s="3">
        <f t="shared" si="104"/>
        <v>1.7592813207842446</v>
      </c>
      <c r="AB149" s="3">
        <f t="shared" si="105"/>
        <v>1.222786596095103</v>
      </c>
      <c r="AD149"/>
      <c r="AE149"/>
      <c r="AF149"/>
      <c r="AG149"/>
      <c r="AH149"/>
      <c r="AI149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U149" s="3"/>
      <c r="BE149" s="9"/>
      <c r="BS149" s="3"/>
      <c r="BT149" s="3"/>
      <c r="BU149" s="3"/>
      <c r="BV149" s="3"/>
      <c r="BW149" s="3"/>
      <c r="BX149" s="3"/>
      <c r="BY149" s="3"/>
    </row>
    <row r="150" spans="1:77">
      <c r="A150">
        <v>2038</v>
      </c>
      <c r="B150" s="7"/>
      <c r="C150" s="3">
        <f t="shared" si="91"/>
        <v>177.77164639829587</v>
      </c>
      <c r="D150" s="3">
        <f t="shared" si="92"/>
        <v>91.990526082750478</v>
      </c>
      <c r="E150" s="3">
        <f t="shared" si="93"/>
        <v>37.107673762751077</v>
      </c>
      <c r="F150" s="66">
        <f>'Exchange Rates'!B77</f>
        <v>1.3979999999999999</v>
      </c>
      <c r="H150" s="3">
        <f>(C150*USA!$AU125/100)/$BC117*100*$F150</f>
        <v>243.22524007054488</v>
      </c>
      <c r="I150" s="3">
        <f>(D150*USA!$AU125/100)/$BC117*100*$F150</f>
        <v>125.86044087459825</v>
      </c>
      <c r="J150" s="3">
        <f>(E150*USA!$AU125/100)/$BC117*100*$F150</f>
        <v>50.770317102104016</v>
      </c>
      <c r="L150" s="24">
        <f t="shared" si="94"/>
        <v>164.98262512496365</v>
      </c>
      <c r="M150" s="24">
        <f t="shared" si="95"/>
        <v>101.07872324072297</v>
      </c>
      <c r="N150" s="24">
        <f t="shared" si="96"/>
        <v>60.192938619547675</v>
      </c>
      <c r="O150">
        <v>2038</v>
      </c>
      <c r="P150" s="7">
        <f t="shared" si="90"/>
        <v>34.697611432852163</v>
      </c>
      <c r="R150" s="3">
        <f t="shared" si="97"/>
        <v>19.968023655781582</v>
      </c>
      <c r="S150" s="3">
        <f t="shared" si="98"/>
        <v>13.577633467357513</v>
      </c>
      <c r="T150" s="3">
        <f t="shared" si="99"/>
        <v>9.4890550052399849</v>
      </c>
      <c r="V150" s="3">
        <f t="shared" si="100"/>
        <v>219.64826021359741</v>
      </c>
      <c r="W150" s="3">
        <f t="shared" si="101"/>
        <v>149.35396814093264</v>
      </c>
      <c r="X150" s="3">
        <f t="shared" si="102"/>
        <v>104.37960505763984</v>
      </c>
      <c r="Z150" s="3">
        <f t="shared" si="103"/>
        <v>2.5906881363767487</v>
      </c>
      <c r="AA150" s="3">
        <f t="shared" si="104"/>
        <v>1.7615871530565943</v>
      </c>
      <c r="AB150" s="3">
        <f t="shared" si="105"/>
        <v>1.231127459145601</v>
      </c>
      <c r="AD150"/>
      <c r="AE150"/>
      <c r="AF150"/>
      <c r="AG150"/>
      <c r="AH150"/>
      <c r="AI150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U150" s="3"/>
      <c r="BE150" s="9"/>
      <c r="BS150" s="3"/>
      <c r="BT150" s="3"/>
      <c r="BU150" s="3"/>
      <c r="BV150" s="3"/>
      <c r="BW150" s="3"/>
      <c r="BX150" s="3"/>
      <c r="BY150" s="3"/>
    </row>
    <row r="151" spans="1:77">
      <c r="A151">
        <v>2039</v>
      </c>
      <c r="B151" s="7"/>
      <c r="C151" s="3">
        <f t="shared" si="91"/>
        <v>180.36055387011569</v>
      </c>
      <c r="D151" s="3">
        <f t="shared" si="92"/>
        <v>92.727792343203248</v>
      </c>
      <c r="E151" s="3">
        <f t="shared" si="93"/>
        <v>37.970642920024368</v>
      </c>
      <c r="F151" s="66">
        <f>'Exchange Rates'!B78</f>
        <v>1.3979999999999999</v>
      </c>
      <c r="H151" s="3">
        <f>(C151*USA!$AU126/100)/$BC118*100*$F151</f>
        <v>246.76735521720326</v>
      </c>
      <c r="I151" s="3">
        <f>(D151*USA!$AU126/100)/$BC118*100*$F151</f>
        <v>126.86916058231117</v>
      </c>
      <c r="J151" s="3">
        <f>(E151*USA!$AU126/100)/$BC118*100*$F151</f>
        <v>51.951022150990184</v>
      </c>
      <c r="L151" s="24">
        <f t="shared" si="94"/>
        <v>166.91126966187312</v>
      </c>
      <c r="M151" s="24">
        <f t="shared" si="95"/>
        <v>101.62796053906116</v>
      </c>
      <c r="N151" s="24">
        <f t="shared" si="96"/>
        <v>60.835820131850852</v>
      </c>
      <c r="O151">
        <v>2039</v>
      </c>
      <c r="P151" s="7">
        <f t="shared" si="90"/>
        <v>34.697611432852163</v>
      </c>
      <c r="R151" s="3">
        <f t="shared" si="97"/>
        <v>20.160888109472531</v>
      </c>
      <c r="S151" s="3">
        <f t="shared" si="98"/>
        <v>13.632557197191332</v>
      </c>
      <c r="T151" s="3">
        <f t="shared" si="99"/>
        <v>9.5533431564703033</v>
      </c>
      <c r="V151" s="3">
        <f t="shared" si="100"/>
        <v>221.76976920419781</v>
      </c>
      <c r="W151" s="3">
        <f t="shared" si="101"/>
        <v>149.95812916910467</v>
      </c>
      <c r="X151" s="3">
        <f t="shared" si="102"/>
        <v>105.08677472117333</v>
      </c>
      <c r="Z151" s="3">
        <f t="shared" si="103"/>
        <v>2.6157107255282415</v>
      </c>
      <c r="AA151" s="3">
        <f t="shared" si="104"/>
        <v>1.7687130588417088</v>
      </c>
      <c r="AB151" s="3">
        <f t="shared" si="105"/>
        <v>1.2394683221960989</v>
      </c>
      <c r="AD151"/>
      <c r="AE151"/>
      <c r="AF151"/>
      <c r="AG151"/>
      <c r="AH151"/>
      <c r="AI151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U151" s="3"/>
      <c r="BE151" s="9"/>
      <c r="BS151" s="3"/>
      <c r="BT151" s="3"/>
      <c r="BU151" s="3"/>
      <c r="BV151" s="3"/>
      <c r="BW151" s="3"/>
      <c r="BX151" s="3"/>
      <c r="BY151" s="3"/>
    </row>
    <row r="152" spans="1:77">
      <c r="A152">
        <v>2040</v>
      </c>
      <c r="B152" s="7"/>
      <c r="C152" s="3">
        <f t="shared" si="91"/>
        <v>181.22352302738898</v>
      </c>
      <c r="D152" s="3">
        <f t="shared" si="92"/>
        <v>93.367803080926592</v>
      </c>
      <c r="E152" s="3">
        <f t="shared" si="93"/>
        <v>38.833612077297637</v>
      </c>
      <c r="F152" s="66">
        <f>'Exchange Rates'!B79</f>
        <v>1.3979999999999999</v>
      </c>
      <c r="H152" s="3">
        <f>(C152*USA!$AU127/100)/$BC119*100*$F152</f>
        <v>247.94806026608941</v>
      </c>
      <c r="I152" s="3">
        <f>(D152*USA!$AU127/100)/$BC119*100*$F152</f>
        <v>127.74481633779492</v>
      </c>
      <c r="J152" s="3">
        <f>(E152*USA!$AU127/100)/$BC119*100*$F152</f>
        <v>53.131727199876309</v>
      </c>
      <c r="L152" s="24">
        <f t="shared" si="94"/>
        <v>167.5541511741763</v>
      </c>
      <c r="M152" s="24">
        <f t="shared" si="95"/>
        <v>102.10474591138885</v>
      </c>
      <c r="N152" s="24">
        <f t="shared" si="96"/>
        <v>61.478701644154015</v>
      </c>
      <c r="O152">
        <v>2040</v>
      </c>
      <c r="P152" s="7">
        <f t="shared" si="90"/>
        <v>34.697611432852163</v>
      </c>
      <c r="R152" s="3">
        <f t="shared" si="97"/>
        <v>20.225176260702849</v>
      </c>
      <c r="S152" s="3">
        <f t="shared" si="98"/>
        <v>13.680235734424102</v>
      </c>
      <c r="T152" s="3">
        <f t="shared" si="99"/>
        <v>9.6176313077006181</v>
      </c>
      <c r="V152" s="3">
        <f t="shared" si="100"/>
        <v>222.47693886773132</v>
      </c>
      <c r="W152" s="3">
        <f t="shared" si="101"/>
        <v>150.4825930786651</v>
      </c>
      <c r="X152" s="3">
        <f t="shared" si="102"/>
        <v>105.79394438470679</v>
      </c>
      <c r="Z152" s="3">
        <f t="shared" si="103"/>
        <v>2.6240515885787392</v>
      </c>
      <c r="AA152" s="3">
        <f t="shared" si="104"/>
        <v>1.7748989600053908</v>
      </c>
      <c r="AB152" s="3">
        <f t="shared" si="105"/>
        <v>1.2478091852465965</v>
      </c>
      <c r="AD152"/>
      <c r="AE152"/>
      <c r="AF152"/>
      <c r="AG152"/>
      <c r="AH152"/>
      <c r="AI15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U152" s="3"/>
      <c r="BE152" s="9"/>
      <c r="BS152" s="3"/>
      <c r="BT152" s="3"/>
      <c r="BU152" s="3"/>
      <c r="BV152" s="3"/>
      <c r="BW152" s="3"/>
      <c r="BX152" s="3"/>
      <c r="BY152" s="3"/>
    </row>
    <row r="153" spans="1:77">
      <c r="A153" s="12"/>
      <c r="B153" s="7"/>
      <c r="C153" s="12"/>
      <c r="O153" s="12"/>
      <c r="AD153"/>
      <c r="AE153"/>
      <c r="AK153" s="174"/>
      <c r="AL153" s="174"/>
      <c r="AM153" s="174"/>
      <c r="AU153" s="3"/>
      <c r="AX153" s="9"/>
      <c r="AY153" s="9"/>
      <c r="AZ153" s="9"/>
      <c r="BA153" s="9"/>
      <c r="BS153" s="3"/>
      <c r="BT153" s="3"/>
      <c r="BU153" s="3"/>
    </row>
    <row r="154" spans="1:77">
      <c r="A154" s="12"/>
      <c r="B154" s="7"/>
      <c r="C154" s="12"/>
      <c r="O154" s="12"/>
      <c r="AD154"/>
      <c r="AE154"/>
      <c r="AK154" s="174"/>
      <c r="AL154" s="174"/>
      <c r="AM154" s="174"/>
      <c r="AU154" s="3"/>
      <c r="AW154" s="9"/>
      <c r="AX154" s="9"/>
      <c r="AY154" s="9"/>
      <c r="AZ154" s="9"/>
      <c r="BS154" s="3"/>
      <c r="BT154" s="3"/>
    </row>
    <row r="155" spans="1:77">
      <c r="A155" s="12"/>
      <c r="B155" s="7"/>
      <c r="C155" s="12"/>
      <c r="O155" s="12"/>
      <c r="AD155"/>
      <c r="AK155" s="174"/>
      <c r="AL155" s="174"/>
      <c r="AM155" s="174"/>
      <c r="AU155" s="3"/>
      <c r="AV155" s="9"/>
      <c r="AW155" s="9"/>
      <c r="AX155" s="9"/>
      <c r="AY155" s="9"/>
      <c r="BS155" s="3"/>
    </row>
    <row r="156" spans="1:77">
      <c r="A156" s="12"/>
      <c r="B156" s="7"/>
      <c r="C156" s="12"/>
      <c r="O156" s="12"/>
      <c r="AD156"/>
      <c r="AK156" s="3" t="s">
        <v>330</v>
      </c>
      <c r="AU156" s="3"/>
      <c r="AV156" s="9"/>
      <c r="AW156" s="9"/>
      <c r="AX156" s="9"/>
      <c r="AY156" s="9"/>
      <c r="BS156" s="3"/>
    </row>
    <row r="157" spans="1:77">
      <c r="C157" s="12"/>
      <c r="O157" s="12"/>
      <c r="AD157"/>
      <c r="AL157" s="3" t="s">
        <v>2510</v>
      </c>
      <c r="AU157" s="3"/>
      <c r="AV157" s="9"/>
      <c r="AW157" s="9"/>
      <c r="AX157" s="9"/>
      <c r="AY157" s="9"/>
      <c r="BS157" s="3"/>
    </row>
    <row r="158" spans="1:77">
      <c r="C158" s="12"/>
      <c r="O158" s="12"/>
      <c r="AD158"/>
      <c r="AJ158"/>
      <c r="AK158" t="s">
        <v>2416</v>
      </c>
      <c r="AL158" s="3" t="s">
        <v>2511</v>
      </c>
      <c r="AU158" s="3"/>
      <c r="AV158" s="9"/>
      <c r="AW158" s="9"/>
      <c r="AX158" s="9"/>
      <c r="AY158" s="9"/>
      <c r="BS158" s="3"/>
    </row>
    <row r="159" spans="1:77">
      <c r="O159" s="12"/>
      <c r="AA159" s="3"/>
      <c r="AB159" s="3"/>
      <c r="AC159" s="3"/>
      <c r="AJ159"/>
      <c r="AK159" t="s">
        <v>131</v>
      </c>
      <c r="AR159" s="9"/>
      <c r="AU159" s="3"/>
      <c r="BN159"/>
      <c r="BO159"/>
      <c r="BR159"/>
    </row>
    <row r="160" spans="1:77">
      <c r="O160" s="12"/>
      <c r="AA160" s="3"/>
      <c r="AB160" s="3"/>
      <c r="AC160" s="3"/>
      <c r="AJ160" s="78">
        <v>43101</v>
      </c>
      <c r="AK160">
        <v>1.1000000000000001</v>
      </c>
      <c r="AR160" s="9"/>
      <c r="AU160" s="3"/>
      <c r="BN160"/>
      <c r="BO160"/>
      <c r="BR160"/>
    </row>
    <row r="161" spans="3:37">
      <c r="C161" s="3"/>
      <c r="R161" s="12"/>
      <c r="AJ161" s="78">
        <v>43132</v>
      </c>
      <c r="AK161">
        <v>1.1299999999999999</v>
      </c>
    </row>
    <row r="162" spans="3:37">
      <c r="C162" s="3"/>
      <c r="R162" s="12"/>
      <c r="AJ162" s="78">
        <v>43160</v>
      </c>
      <c r="AK162">
        <v>1.1000000000000001</v>
      </c>
    </row>
    <row r="163" spans="3:37">
      <c r="C163" s="3"/>
      <c r="R163" s="12"/>
      <c r="AJ163" s="78">
        <v>43191</v>
      </c>
      <c r="AK163">
        <v>1.03</v>
      </c>
    </row>
    <row r="164" spans="3:37">
      <c r="C164" s="3"/>
      <c r="R164" s="12"/>
      <c r="AJ164" s="78">
        <v>43221</v>
      </c>
      <c r="AK164">
        <v>1.1100000000000001</v>
      </c>
    </row>
    <row r="165" spans="3:37">
      <c r="C165" s="3"/>
      <c r="R165" s="12"/>
      <c r="AJ165" s="78">
        <v>43252</v>
      </c>
      <c r="AK165">
        <v>1.1599999999999999</v>
      </c>
    </row>
    <row r="166" spans="3:37">
      <c r="C166" s="3"/>
      <c r="R166" s="12"/>
      <c r="AJ166" s="78">
        <v>43282</v>
      </c>
      <c r="AK166">
        <v>1.1100000000000001</v>
      </c>
    </row>
    <row r="167" spans="3:37">
      <c r="C167" s="3"/>
      <c r="R167" s="12"/>
      <c r="AJ167" s="78">
        <v>43313</v>
      </c>
      <c r="AK167">
        <v>1.0900000000000001</v>
      </c>
    </row>
    <row r="168" spans="3:37">
      <c r="C168" s="3"/>
      <c r="R168" s="12"/>
      <c r="AJ168" s="78">
        <v>43344</v>
      </c>
      <c r="AK168">
        <v>1.07</v>
      </c>
    </row>
    <row r="169" spans="3:37">
      <c r="C169" s="3"/>
      <c r="R169" s="12"/>
      <c r="AJ169" s="78">
        <v>43374</v>
      </c>
      <c r="AK169">
        <v>1.1299999999999999</v>
      </c>
    </row>
    <row r="170" spans="3:37">
      <c r="C170" s="3"/>
      <c r="R170" s="12"/>
      <c r="AJ170" s="78">
        <v>43405</v>
      </c>
      <c r="AK170">
        <v>1.1399999999999999</v>
      </c>
    </row>
    <row r="171" spans="3:37">
      <c r="C171" s="3"/>
      <c r="R171" s="12"/>
      <c r="AJ171" s="78">
        <v>43435</v>
      </c>
      <c r="AK171">
        <v>0.99</v>
      </c>
    </row>
    <row r="172" spans="3:37">
      <c r="C172" s="3"/>
      <c r="R172" s="12"/>
      <c r="AJ172"/>
      <c r="AK172"/>
    </row>
    <row r="173" spans="3:37">
      <c r="C173" s="3"/>
      <c r="R173" s="12"/>
      <c r="AJ173">
        <v>2018</v>
      </c>
      <c r="AK173" s="3">
        <f>AVERAGE(AK160:AK171)</f>
        <v>1.0966666666666669</v>
      </c>
    </row>
    <row r="174" spans="3:37">
      <c r="C174" s="3"/>
      <c r="R174" s="12"/>
    </row>
    <row r="175" spans="3:37">
      <c r="C175" s="3"/>
      <c r="R175" s="12"/>
    </row>
    <row r="176" spans="3:37">
      <c r="C176" s="3"/>
      <c r="R176" s="12"/>
    </row>
    <row r="177" spans="3:18">
      <c r="C177" s="3"/>
      <c r="R177" s="12"/>
    </row>
    <row r="178" spans="3:18">
      <c r="C178" s="3"/>
      <c r="R178" s="12"/>
    </row>
    <row r="179" spans="3:18">
      <c r="C179" s="3"/>
      <c r="R179" s="12"/>
    </row>
    <row r="180" spans="3:18">
      <c r="C180" s="3"/>
      <c r="R180" s="12"/>
    </row>
    <row r="181" spans="3:18">
      <c r="C181" s="3"/>
      <c r="R181" s="12"/>
    </row>
    <row r="182" spans="3:18">
      <c r="C182" s="3"/>
      <c r="R182" s="12"/>
    </row>
    <row r="183" spans="3:18">
      <c r="C183" s="3"/>
      <c r="R183" s="12"/>
    </row>
    <row r="184" spans="3:18">
      <c r="C184" s="3"/>
      <c r="R184" s="12"/>
    </row>
    <row r="185" spans="3:18">
      <c r="C185" s="3"/>
      <c r="R185" s="12"/>
    </row>
    <row r="186" spans="3:18">
      <c r="C186" s="3"/>
      <c r="R186" s="12"/>
    </row>
    <row r="187" spans="3:18">
      <c r="C187" s="3"/>
      <c r="R187" s="12"/>
    </row>
    <row r="188" spans="3:18">
      <c r="C188" s="3"/>
      <c r="R188" s="12"/>
    </row>
    <row r="189" spans="3:18">
      <c r="C189" s="3"/>
      <c r="R189" s="12"/>
    </row>
    <row r="190" spans="3:18">
      <c r="C190" s="3"/>
      <c r="R190" s="12"/>
    </row>
    <row r="191" spans="3:18">
      <c r="C191" s="3"/>
      <c r="R191" s="12"/>
    </row>
    <row r="192" spans="3:18">
      <c r="C192" s="3"/>
      <c r="R192" s="12"/>
    </row>
    <row r="193" spans="3:70">
      <c r="C193" s="3"/>
      <c r="R193" s="12"/>
    </row>
    <row r="194" spans="3:70">
      <c r="C194" s="3"/>
      <c r="R194" s="12"/>
    </row>
    <row r="195" spans="3:70">
      <c r="C195" s="3"/>
      <c r="R195" s="12"/>
    </row>
    <row r="196" spans="3:70">
      <c r="C196" s="3"/>
      <c r="R196" s="12"/>
    </row>
    <row r="197" spans="3:70">
      <c r="C197" s="3"/>
      <c r="R197" s="12"/>
    </row>
    <row r="198" spans="3:70">
      <c r="C198" s="3"/>
      <c r="R198" s="12"/>
    </row>
    <row r="199" spans="3:70">
      <c r="C199" s="3"/>
      <c r="R199" s="12"/>
    </row>
    <row r="200" spans="3:70">
      <c r="C200" s="3"/>
      <c r="R200" s="12"/>
    </row>
    <row r="201" spans="3:70">
      <c r="C201" s="3"/>
      <c r="R201" s="12"/>
    </row>
    <row r="202" spans="3:70">
      <c r="C202" s="3"/>
      <c r="R202" s="12"/>
    </row>
    <row r="203" spans="3:70">
      <c r="C203" s="3"/>
      <c r="R203" s="12"/>
    </row>
    <row r="204" spans="3:70">
      <c r="C204" s="3"/>
      <c r="R204" s="12"/>
    </row>
    <row r="205" spans="3:70" s="116" customFormat="1">
      <c r="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20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</row>
    <row r="206" spans="3:70" s="116" customFormat="1">
      <c r="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20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</row>
    <row r="207" spans="3:70" s="116" customFormat="1"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20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</row>
    <row r="208" spans="3:70" s="116" customFormat="1"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20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  <c r="BN208" s="117"/>
      <c r="BO208" s="117"/>
      <c r="BP208" s="117"/>
      <c r="BQ208" s="117"/>
      <c r="BR208" s="117"/>
    </row>
    <row r="209" spans="2:70" s="116" customFormat="1">
      <c r="B209" s="13"/>
      <c r="C209" s="117"/>
      <c r="D209" s="13"/>
      <c r="G209" s="13"/>
      <c r="H209" s="13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20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</row>
    <row r="210" spans="2:70" s="116" customFormat="1">
      <c r="B210" s="13"/>
      <c r="C210" s="117"/>
      <c r="D210" s="13"/>
      <c r="G210" s="13"/>
      <c r="H210" s="13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20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17"/>
      <c r="BR210" s="117"/>
    </row>
    <row r="211" spans="2:70" s="116" customFormat="1">
      <c r="B211" s="13"/>
      <c r="C211" s="117"/>
      <c r="D211" s="13"/>
      <c r="G211" s="13"/>
      <c r="H211" s="13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20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17"/>
      <c r="BR211" s="117"/>
    </row>
    <row r="212" spans="2:70" s="116" customFormat="1">
      <c r="B212" s="13"/>
      <c r="C212" s="117"/>
      <c r="D212" s="13"/>
      <c r="G212" s="13"/>
      <c r="H212" s="13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20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  <c r="BN212" s="117"/>
      <c r="BO212" s="117"/>
      <c r="BP212" s="117"/>
      <c r="BQ212" s="117"/>
      <c r="BR212" s="117"/>
    </row>
    <row r="213" spans="2:70" s="116" customFormat="1">
      <c r="B213" s="13"/>
      <c r="C213" s="117"/>
      <c r="D213" s="13"/>
      <c r="G213" s="13"/>
      <c r="H213" s="13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20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17"/>
      <c r="BR213" s="117"/>
    </row>
    <row r="214" spans="2:70" s="116" customFormat="1">
      <c r="B214" s="13"/>
      <c r="C214" s="117"/>
      <c r="D214" s="13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20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  <c r="BN214" s="117"/>
      <c r="BO214" s="117"/>
      <c r="BP214" s="117"/>
      <c r="BQ214" s="117"/>
      <c r="BR214" s="117"/>
    </row>
    <row r="215" spans="2:70" s="116" customFormat="1">
      <c r="B215" s="13"/>
      <c r="C215" s="117"/>
      <c r="D215" s="13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20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17"/>
      <c r="BR215" s="117"/>
    </row>
    <row r="216" spans="2:70" s="116" customFormat="1">
      <c r="B216" s="13"/>
      <c r="C216" s="117"/>
      <c r="D216" s="13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20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  <c r="BN216" s="117"/>
      <c r="BO216" s="117"/>
      <c r="BP216" s="117"/>
      <c r="BQ216" s="117"/>
      <c r="BR216" s="117"/>
    </row>
    <row r="217" spans="2:70" s="116" customFormat="1">
      <c r="B217" s="118"/>
      <c r="C217" s="117"/>
      <c r="D217" s="13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20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</row>
    <row r="218" spans="2:70" s="116" customFormat="1"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20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</row>
    <row r="219" spans="2:70" s="116" customFormat="1"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20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17"/>
      <c r="BR219" s="117"/>
    </row>
    <row r="220" spans="2:70" s="116" customFormat="1"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20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</row>
    <row r="221" spans="2:70" s="116" customFormat="1">
      <c r="B221" s="119"/>
      <c r="C221" s="119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20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17"/>
      <c r="BR221" s="117"/>
    </row>
    <row r="222" spans="2:70" s="119" customFormat="1"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9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</row>
    <row r="223" spans="2:70" s="116" customFormat="1">
      <c r="B223" s="120"/>
      <c r="C223" s="120"/>
      <c r="D223" s="120"/>
      <c r="E223" s="120"/>
      <c r="F223" s="120"/>
      <c r="G223" s="120"/>
      <c r="K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20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  <c r="BN223" s="117"/>
      <c r="BO223" s="117"/>
      <c r="BP223" s="117"/>
      <c r="BQ223" s="117"/>
      <c r="BR223" s="117"/>
    </row>
    <row r="224" spans="2:70" s="116" customFormat="1">
      <c r="B224" s="120"/>
      <c r="C224" s="120"/>
      <c r="D224" s="120"/>
      <c r="E224" s="120"/>
      <c r="F224" s="120"/>
      <c r="G224" s="120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20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</row>
    <row r="225" spans="2:70" s="116" customFormat="1">
      <c r="B225" s="120"/>
      <c r="C225" s="120"/>
      <c r="D225" s="120"/>
      <c r="E225" s="120"/>
      <c r="F225" s="120"/>
      <c r="G225" s="120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20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</row>
    <row r="226" spans="2:70" s="116" customFormat="1">
      <c r="B226" s="120"/>
      <c r="C226" s="120"/>
      <c r="D226" s="120"/>
      <c r="E226" s="120"/>
      <c r="F226" s="120"/>
      <c r="G226" s="120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20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  <c r="BN226" s="117"/>
      <c r="BO226" s="117"/>
      <c r="BP226" s="117"/>
      <c r="BQ226" s="117"/>
      <c r="BR226" s="117"/>
    </row>
    <row r="227" spans="2:70" s="116" customFormat="1">
      <c r="B227" s="120"/>
      <c r="C227" s="120"/>
      <c r="D227" s="120"/>
      <c r="E227" s="120"/>
      <c r="F227" s="120"/>
      <c r="G227" s="120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20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  <c r="BN227" s="117"/>
      <c r="BO227" s="117"/>
      <c r="BP227" s="117"/>
      <c r="BQ227" s="117"/>
      <c r="BR227" s="117"/>
    </row>
    <row r="228" spans="2:70" s="116" customFormat="1">
      <c r="B228" s="120"/>
      <c r="C228" s="120"/>
      <c r="D228" s="120"/>
      <c r="E228" s="120"/>
      <c r="F228" s="120"/>
      <c r="G228" s="120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20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  <c r="BN228" s="117"/>
      <c r="BO228" s="117"/>
      <c r="BP228" s="117"/>
      <c r="BQ228" s="117"/>
      <c r="BR228" s="117"/>
    </row>
    <row r="229" spans="2:70" s="116" customFormat="1">
      <c r="B229" s="120"/>
      <c r="C229" s="120"/>
      <c r="D229" s="120"/>
      <c r="E229" s="120"/>
      <c r="F229" s="120"/>
      <c r="G229" s="120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20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  <c r="BN229" s="117"/>
      <c r="BO229" s="117"/>
      <c r="BP229" s="117"/>
      <c r="BQ229" s="117"/>
      <c r="BR229" s="117"/>
    </row>
    <row r="230" spans="2:70" s="116" customFormat="1">
      <c r="B230" s="120"/>
      <c r="C230" s="120"/>
      <c r="D230" s="120"/>
      <c r="E230" s="120"/>
      <c r="F230" s="120"/>
      <c r="G230" s="120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20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  <c r="BN230" s="117"/>
      <c r="BO230" s="117"/>
      <c r="BP230" s="117"/>
      <c r="BQ230" s="117"/>
      <c r="BR230" s="117"/>
    </row>
    <row r="231" spans="2:70" s="116" customFormat="1">
      <c r="B231" s="120"/>
      <c r="C231" s="120"/>
      <c r="D231" s="120"/>
      <c r="E231" s="120"/>
      <c r="F231" s="120"/>
      <c r="G231" s="120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20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  <c r="BN231" s="117"/>
      <c r="BO231" s="117"/>
      <c r="BP231" s="117"/>
      <c r="BQ231" s="117"/>
      <c r="BR231" s="117"/>
    </row>
    <row r="232" spans="2:70" s="116" customFormat="1">
      <c r="B232" s="120"/>
      <c r="C232" s="120"/>
      <c r="D232" s="120"/>
      <c r="E232" s="120"/>
      <c r="F232" s="120"/>
      <c r="G232" s="120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20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</row>
    <row r="233" spans="2:70" s="116" customFormat="1">
      <c r="B233" s="120"/>
      <c r="C233" s="120"/>
      <c r="D233" s="120"/>
      <c r="E233" s="120"/>
      <c r="F233" s="120"/>
      <c r="G233" s="120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20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  <c r="BN233" s="117"/>
      <c r="BO233" s="117"/>
      <c r="BP233" s="117"/>
      <c r="BQ233" s="117"/>
      <c r="BR233" s="117"/>
    </row>
    <row r="234" spans="2:70" s="116" customFormat="1">
      <c r="B234" s="120"/>
      <c r="C234" s="120"/>
      <c r="D234" s="120"/>
      <c r="E234" s="120"/>
      <c r="F234" s="120"/>
      <c r="G234" s="120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20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17"/>
      <c r="BR234" s="117"/>
    </row>
    <row r="235" spans="2:70" s="116" customFormat="1">
      <c r="B235" s="120"/>
      <c r="C235" s="120"/>
      <c r="D235" s="120"/>
      <c r="E235" s="120"/>
      <c r="F235" s="120"/>
      <c r="G235" s="120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20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  <c r="BN235" s="117"/>
      <c r="BO235" s="117"/>
      <c r="BP235" s="117"/>
      <c r="BQ235" s="117"/>
      <c r="BR235" s="117"/>
    </row>
    <row r="236" spans="2:70" s="116" customFormat="1">
      <c r="B236" s="120"/>
      <c r="C236" s="120"/>
      <c r="D236" s="120"/>
      <c r="E236" s="120"/>
      <c r="F236" s="120"/>
      <c r="G236" s="120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20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  <c r="BN236" s="117"/>
      <c r="BO236" s="117"/>
      <c r="BP236" s="117"/>
      <c r="BQ236" s="117"/>
      <c r="BR236" s="117"/>
    </row>
    <row r="237" spans="2:70" s="116" customFormat="1">
      <c r="B237" s="120"/>
      <c r="C237" s="120"/>
      <c r="D237" s="120"/>
      <c r="E237" s="120"/>
      <c r="F237" s="120"/>
      <c r="G237" s="120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20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  <c r="BN237" s="117"/>
      <c r="BO237" s="117"/>
      <c r="BP237" s="117"/>
      <c r="BQ237" s="117"/>
      <c r="BR237" s="117"/>
    </row>
    <row r="238" spans="2:70" s="116" customFormat="1">
      <c r="B238" s="120"/>
      <c r="C238" s="120"/>
      <c r="D238" s="120"/>
      <c r="E238" s="120"/>
      <c r="F238" s="120"/>
      <c r="G238" s="120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20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  <c r="BN238" s="117"/>
      <c r="BO238" s="117"/>
      <c r="BP238" s="117"/>
      <c r="BQ238" s="117"/>
      <c r="BR238" s="117"/>
    </row>
    <row r="239" spans="2:70" s="116" customFormat="1">
      <c r="B239" s="120"/>
      <c r="C239" s="120"/>
      <c r="D239" s="120"/>
      <c r="E239" s="120"/>
      <c r="F239" s="120"/>
      <c r="G239" s="120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20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  <c r="BN239" s="117"/>
      <c r="BO239" s="117"/>
      <c r="BP239" s="117"/>
      <c r="BQ239" s="117"/>
      <c r="BR239" s="117"/>
    </row>
    <row r="240" spans="2:70" s="116" customFormat="1">
      <c r="B240" s="120"/>
      <c r="C240" s="120"/>
      <c r="D240" s="120"/>
      <c r="E240" s="120"/>
      <c r="F240" s="120"/>
      <c r="G240" s="120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20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  <c r="BN240" s="117"/>
      <c r="BO240" s="117"/>
      <c r="BP240" s="117"/>
      <c r="BQ240" s="117"/>
      <c r="BR240" s="117"/>
    </row>
    <row r="241" spans="1:70" s="116" customFormat="1">
      <c r="B241" s="120"/>
      <c r="C241" s="120"/>
      <c r="D241" s="120"/>
      <c r="E241" s="120"/>
      <c r="F241" s="120"/>
      <c r="G241" s="120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20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  <c r="BN241" s="117"/>
      <c r="BO241" s="117"/>
      <c r="BP241" s="117"/>
      <c r="BQ241" s="117"/>
      <c r="BR241" s="117"/>
    </row>
    <row r="242" spans="1:70" s="116" customFormat="1">
      <c r="B242" s="120"/>
      <c r="C242" s="120"/>
      <c r="D242" s="120"/>
      <c r="E242" s="120"/>
      <c r="F242" s="120"/>
      <c r="G242" s="120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20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  <c r="BN242" s="117"/>
      <c r="BO242" s="117"/>
      <c r="BP242" s="117"/>
      <c r="BQ242" s="117"/>
      <c r="BR242" s="117"/>
    </row>
    <row r="243" spans="1:70" s="116" customFormat="1">
      <c r="B243" s="120"/>
      <c r="C243" s="120"/>
      <c r="D243" s="120"/>
      <c r="E243" s="120"/>
      <c r="F243" s="120"/>
      <c r="G243" s="120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20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  <c r="BN243" s="117"/>
      <c r="BO243" s="117"/>
      <c r="BP243" s="117"/>
      <c r="BQ243" s="117"/>
      <c r="BR243" s="117"/>
    </row>
    <row r="244" spans="1:70" s="116" customFormat="1"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20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  <c r="BN244" s="117"/>
      <c r="BO244" s="117"/>
      <c r="BP244" s="117"/>
      <c r="BQ244" s="117"/>
      <c r="BR244" s="117"/>
    </row>
    <row r="245" spans="1:70" s="116" customFormat="1"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20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  <c r="BN245" s="117"/>
      <c r="BO245" s="117"/>
      <c r="BP245" s="117"/>
      <c r="BQ245" s="117"/>
      <c r="BR245" s="117"/>
    </row>
    <row r="246" spans="1:70" s="116" customFormat="1"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20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  <c r="BN246" s="117"/>
      <c r="BO246" s="117"/>
      <c r="BP246" s="117"/>
      <c r="BQ246" s="117"/>
      <c r="BR246" s="117"/>
    </row>
    <row r="247" spans="1:70" s="116" customFormat="1">
      <c r="B247" s="119"/>
      <c r="C247" s="119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20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  <c r="BN247" s="117"/>
      <c r="BO247" s="117"/>
      <c r="BP247" s="117"/>
      <c r="BQ247" s="117"/>
      <c r="BR247" s="117"/>
    </row>
    <row r="248" spans="1:70" s="116" customFormat="1">
      <c r="A248" s="119"/>
      <c r="B248" s="119"/>
      <c r="C248" s="119"/>
      <c r="D248" s="119"/>
      <c r="E248" s="119"/>
      <c r="F248" s="119"/>
      <c r="G248" s="119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20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  <c r="BN248" s="117"/>
      <c r="BO248" s="117"/>
      <c r="BP248" s="117"/>
      <c r="BQ248" s="117"/>
      <c r="BR248" s="117"/>
    </row>
    <row r="249" spans="1:70" s="116" customFormat="1">
      <c r="B249" s="120"/>
      <c r="C249" s="120"/>
      <c r="D249" s="120"/>
      <c r="E249" s="120"/>
      <c r="F249" s="120"/>
      <c r="G249" s="120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20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  <c r="BN249" s="117"/>
      <c r="BO249" s="117"/>
      <c r="BP249" s="117"/>
      <c r="BQ249" s="117"/>
      <c r="BR249" s="117"/>
    </row>
    <row r="250" spans="1:70" s="116" customFormat="1">
      <c r="B250" s="120"/>
      <c r="C250" s="120"/>
      <c r="D250" s="120"/>
      <c r="E250" s="120"/>
      <c r="F250" s="120"/>
      <c r="G250" s="120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20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  <c r="BN250" s="117"/>
      <c r="BO250" s="117"/>
      <c r="BP250" s="117"/>
      <c r="BQ250" s="117"/>
      <c r="BR250" s="117"/>
    </row>
    <row r="251" spans="1:70" s="116" customFormat="1">
      <c r="B251" s="120"/>
      <c r="C251" s="120"/>
      <c r="D251" s="120"/>
      <c r="E251" s="120"/>
      <c r="F251" s="120"/>
      <c r="G251" s="120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20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17"/>
      <c r="BR251" s="117"/>
    </row>
    <row r="252" spans="1:70" s="116" customFormat="1">
      <c r="B252" s="120"/>
      <c r="C252" s="120"/>
      <c r="D252" s="120"/>
      <c r="E252" s="120"/>
      <c r="F252" s="120"/>
      <c r="G252" s="120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20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  <c r="BN252" s="117"/>
      <c r="BO252" s="117"/>
      <c r="BP252" s="117"/>
      <c r="BQ252" s="117"/>
      <c r="BR252" s="117"/>
    </row>
    <row r="253" spans="1:70" s="116" customFormat="1">
      <c r="B253" s="120"/>
      <c r="C253" s="120"/>
      <c r="D253" s="120"/>
      <c r="E253" s="120"/>
      <c r="F253" s="120"/>
      <c r="G253" s="120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20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  <c r="BN253" s="117"/>
      <c r="BO253" s="117"/>
      <c r="BP253" s="117"/>
      <c r="BQ253" s="117"/>
      <c r="BR253" s="117"/>
    </row>
    <row r="254" spans="1:70" s="116" customFormat="1">
      <c r="B254" s="120"/>
      <c r="C254" s="120"/>
      <c r="D254" s="120"/>
      <c r="E254" s="120"/>
      <c r="F254" s="120"/>
      <c r="G254" s="120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20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  <c r="BN254" s="117"/>
      <c r="BO254" s="117"/>
      <c r="BP254" s="117"/>
      <c r="BQ254" s="117"/>
      <c r="BR254" s="117"/>
    </row>
    <row r="255" spans="1:70" s="116" customFormat="1">
      <c r="B255" s="120"/>
      <c r="C255" s="120"/>
      <c r="D255" s="120"/>
      <c r="E255" s="120"/>
      <c r="F255" s="120"/>
      <c r="G255" s="120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20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  <c r="BN255" s="117"/>
      <c r="BO255" s="117"/>
      <c r="BP255" s="117"/>
      <c r="BQ255" s="117"/>
      <c r="BR255" s="117"/>
    </row>
    <row r="256" spans="1:70" s="116" customFormat="1">
      <c r="B256" s="120"/>
      <c r="C256" s="120"/>
      <c r="D256" s="120"/>
      <c r="E256" s="120"/>
      <c r="F256" s="120"/>
      <c r="G256" s="120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20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</row>
    <row r="257" spans="2:70" s="116" customFormat="1">
      <c r="B257" s="120"/>
      <c r="C257" s="120"/>
      <c r="D257" s="120"/>
      <c r="E257" s="120"/>
      <c r="F257" s="120"/>
      <c r="G257" s="120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20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17"/>
      <c r="BR257" s="117"/>
    </row>
    <row r="258" spans="2:70" s="116" customFormat="1">
      <c r="B258" s="120"/>
      <c r="C258" s="120"/>
      <c r="D258" s="120"/>
      <c r="E258" s="120"/>
      <c r="F258" s="120"/>
      <c r="G258" s="120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20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  <c r="BN258" s="117"/>
      <c r="BO258" s="117"/>
      <c r="BP258" s="117"/>
      <c r="BQ258" s="117"/>
      <c r="BR258" s="117"/>
    </row>
    <row r="259" spans="2:70" s="116" customFormat="1">
      <c r="B259" s="120"/>
      <c r="C259" s="120"/>
      <c r="D259" s="120"/>
      <c r="E259" s="120"/>
      <c r="F259" s="120"/>
      <c r="G259" s="120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20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  <c r="BN259" s="117"/>
      <c r="BO259" s="117"/>
      <c r="BP259" s="117"/>
      <c r="BQ259" s="117"/>
      <c r="BR259" s="117"/>
    </row>
    <row r="260" spans="2:70" s="116" customFormat="1">
      <c r="B260" s="120"/>
      <c r="C260" s="120"/>
      <c r="D260" s="120"/>
      <c r="E260" s="120"/>
      <c r="F260" s="120"/>
      <c r="G260" s="120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20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  <c r="BN260" s="117"/>
      <c r="BO260" s="117"/>
      <c r="BP260" s="117"/>
      <c r="BQ260" s="117"/>
      <c r="BR260" s="117"/>
    </row>
    <row r="261" spans="2:70" s="116" customFormat="1">
      <c r="B261" s="120"/>
      <c r="C261" s="120"/>
      <c r="D261" s="120"/>
      <c r="E261" s="120"/>
      <c r="F261" s="120"/>
      <c r="G261" s="120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20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  <c r="BN261" s="117"/>
      <c r="BO261" s="117"/>
      <c r="BP261" s="117"/>
      <c r="BQ261" s="117"/>
      <c r="BR261" s="117"/>
    </row>
    <row r="262" spans="2:70" s="116" customFormat="1">
      <c r="B262" s="120"/>
      <c r="C262" s="120"/>
      <c r="D262" s="120"/>
      <c r="E262" s="120"/>
      <c r="F262" s="120"/>
      <c r="G262" s="120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20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  <c r="BN262" s="117"/>
      <c r="BO262" s="117"/>
      <c r="BP262" s="117"/>
      <c r="BQ262" s="117"/>
      <c r="BR262" s="117"/>
    </row>
    <row r="263" spans="2:70" s="116" customFormat="1">
      <c r="B263" s="120"/>
      <c r="C263" s="120"/>
      <c r="D263" s="120"/>
      <c r="E263" s="120"/>
      <c r="F263" s="120"/>
      <c r="G263" s="120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20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  <c r="BN263" s="117"/>
      <c r="BO263" s="117"/>
      <c r="BP263" s="117"/>
      <c r="BQ263" s="117"/>
      <c r="BR263" s="117"/>
    </row>
    <row r="264" spans="2:70" s="116" customFormat="1">
      <c r="B264" s="120"/>
      <c r="C264" s="120"/>
      <c r="D264" s="120"/>
      <c r="E264" s="120"/>
      <c r="F264" s="120"/>
      <c r="G264" s="120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20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  <c r="BN264" s="117"/>
      <c r="BO264" s="117"/>
      <c r="BP264" s="117"/>
      <c r="BQ264" s="117"/>
      <c r="BR264" s="117"/>
    </row>
    <row r="265" spans="2:70" s="116" customFormat="1">
      <c r="B265" s="120"/>
      <c r="C265" s="120"/>
      <c r="D265" s="120"/>
      <c r="E265" s="120"/>
      <c r="F265" s="120"/>
      <c r="G265" s="120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20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  <c r="BN265" s="117"/>
      <c r="BO265" s="117"/>
      <c r="BP265" s="117"/>
      <c r="BQ265" s="117"/>
      <c r="BR265" s="117"/>
    </row>
    <row r="266" spans="2:70" s="116" customFormat="1">
      <c r="B266" s="120"/>
      <c r="C266" s="120"/>
      <c r="D266" s="120"/>
      <c r="E266" s="120"/>
      <c r="F266" s="120"/>
      <c r="G266" s="120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20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2:70" s="116" customFormat="1">
      <c r="B267" s="120"/>
      <c r="C267" s="120"/>
      <c r="D267" s="120"/>
      <c r="E267" s="120"/>
      <c r="F267" s="120"/>
      <c r="G267" s="120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20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17"/>
      <c r="BR267" s="117"/>
    </row>
    <row r="268" spans="2:70" s="116" customFormat="1">
      <c r="B268" s="120"/>
      <c r="C268" s="120"/>
      <c r="D268" s="120"/>
      <c r="E268" s="120"/>
      <c r="F268" s="120"/>
      <c r="G268" s="120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20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17"/>
      <c r="BR268" s="117"/>
    </row>
    <row r="269" spans="2:70" s="116" customFormat="1">
      <c r="B269" s="120"/>
      <c r="C269" s="120"/>
      <c r="D269" s="120"/>
      <c r="E269" s="120"/>
      <c r="F269" s="120"/>
      <c r="G269" s="120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20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  <c r="BN269" s="117"/>
      <c r="BO269" s="117"/>
      <c r="BP269" s="117"/>
      <c r="BQ269" s="117"/>
      <c r="BR269" s="117"/>
    </row>
    <row r="270" spans="2:70" s="116" customFormat="1"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20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  <c r="BN270" s="117"/>
      <c r="BO270" s="117"/>
      <c r="BP270" s="117"/>
      <c r="BQ270" s="117"/>
      <c r="BR270" s="117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showGridLines="0" workbookViewId="0">
      <selection activeCell="A3" sqref="A3:G25"/>
    </sheetView>
  </sheetViews>
  <sheetFormatPr defaultRowHeight="15"/>
  <cols>
    <col min="1" max="1" width="18.140625" customWidth="1"/>
    <col min="2" max="7" width="13.42578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0.9947471825509544</v>
      </c>
    </row>
    <row r="5" spans="1:7">
      <c r="A5" s="13" t="s">
        <v>80</v>
      </c>
      <c r="B5" s="13">
        <v>0.98952195719306191</v>
      </c>
    </row>
    <row r="6" spans="1:7">
      <c r="A6" s="13" t="s">
        <v>81</v>
      </c>
      <c r="B6" s="13">
        <v>0.987659194027384</v>
      </c>
    </row>
    <row r="7" spans="1:7">
      <c r="A7" s="13" t="s">
        <v>82</v>
      </c>
      <c r="B7" s="13">
        <v>1.7601948390049901E-2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8</v>
      </c>
      <c r="C12" s="13">
        <v>1.316677055145409</v>
      </c>
      <c r="D12" s="13">
        <v>0.16458463189317613</v>
      </c>
      <c r="E12" s="13">
        <v>531.21189823021041</v>
      </c>
      <c r="F12" s="13">
        <v>6.7887553142876782E-42</v>
      </c>
    </row>
    <row r="13" spans="1:7">
      <c r="A13" s="13" t="s">
        <v>86</v>
      </c>
      <c r="B13" s="13">
        <v>45</v>
      </c>
      <c r="C13" s="13">
        <v>1.3942286420669114E-2</v>
      </c>
      <c r="D13" s="13">
        <v>3.0982858712598032E-4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1.3306193415660781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0.31485412291069198</v>
      </c>
      <c r="C17" s="13">
        <v>1.2265926607616221E-2</v>
      </c>
      <c r="D17" s="13">
        <v>25.669004306221037</v>
      </c>
      <c r="E17" s="13">
        <v>1.640415088021937E-28</v>
      </c>
      <c r="F17" s="13">
        <v>0.29014927856252842</v>
      </c>
      <c r="G17" s="13">
        <v>0.33955896725885554</v>
      </c>
    </row>
    <row r="18" spans="1:7">
      <c r="A18" s="13" t="s">
        <v>229</v>
      </c>
      <c r="B18" s="13">
        <v>5.3537441926416159E-3</v>
      </c>
      <c r="C18" s="13">
        <v>1.9457083698823434E-4</v>
      </c>
      <c r="D18" s="13">
        <v>27.515655868640561</v>
      </c>
      <c r="E18" s="13">
        <v>8.6479506460620402E-30</v>
      </c>
      <c r="F18" s="13">
        <v>4.9618584104862305E-3</v>
      </c>
      <c r="G18" s="13">
        <v>5.7456299747970013E-3</v>
      </c>
    </row>
    <row r="19" spans="1:7">
      <c r="A19" s="13" t="s">
        <v>2003</v>
      </c>
      <c r="B19" s="13">
        <v>-0.16530278513360941</v>
      </c>
      <c r="C19" s="13">
        <v>1.188962510154268E-2</v>
      </c>
      <c r="D19" s="13">
        <v>-13.903111639084512</v>
      </c>
      <c r="E19" s="13">
        <v>6.7355844879061942E-18</v>
      </c>
      <c r="F19" s="13">
        <v>-0.1892497193431493</v>
      </c>
      <c r="G19" s="13">
        <v>-0.14135585092406952</v>
      </c>
    </row>
    <row r="20" spans="1:7">
      <c r="A20" s="13" t="s">
        <v>283</v>
      </c>
      <c r="B20" s="13">
        <v>0.20291301882559989</v>
      </c>
      <c r="C20" s="13">
        <v>1.366835358538755E-2</v>
      </c>
      <c r="D20" s="13">
        <v>14.845461639398065</v>
      </c>
      <c r="E20" s="13">
        <v>5.9069455486020398E-19</v>
      </c>
      <c r="F20" s="13">
        <v>0.17538354154884916</v>
      </c>
      <c r="G20" s="13">
        <v>0.23044249610235062</v>
      </c>
    </row>
    <row r="21" spans="1:7">
      <c r="A21" s="13" t="s">
        <v>2167</v>
      </c>
      <c r="B21" s="13">
        <v>-3.0465736777438124E-2</v>
      </c>
      <c r="C21" s="13">
        <v>1.2290208577964905E-2</v>
      </c>
      <c r="D21" s="13">
        <v>-2.478862468783491</v>
      </c>
      <c r="E21" s="13">
        <v>1.6994593015703444E-2</v>
      </c>
      <c r="F21" s="13">
        <v>-5.5219487524369684E-2</v>
      </c>
      <c r="G21" s="13">
        <v>-5.7119860305065683E-3</v>
      </c>
    </row>
    <row r="22" spans="1:7">
      <c r="A22" s="13" t="s">
        <v>1913</v>
      </c>
      <c r="B22" s="13">
        <v>0.22729146493021618</v>
      </c>
      <c r="C22" s="13">
        <v>1.2640026620466573E-2</v>
      </c>
      <c r="D22" s="13">
        <v>17.981881823111724</v>
      </c>
      <c r="E22" s="13">
        <v>3.6008561812576683E-22</v>
      </c>
      <c r="F22" s="13">
        <v>0.20183314447839035</v>
      </c>
      <c r="G22" s="13">
        <v>0.25274978538204201</v>
      </c>
    </row>
    <row r="23" spans="1:7">
      <c r="A23" s="13" t="s">
        <v>2436</v>
      </c>
      <c r="B23" s="13">
        <v>-0.12824595174774064</v>
      </c>
      <c r="C23" s="13">
        <v>1.3573483466789311E-2</v>
      </c>
      <c r="D23" s="13">
        <v>-9.448271113419354</v>
      </c>
      <c r="E23" s="13">
        <v>2.9838739402898655E-12</v>
      </c>
      <c r="F23" s="13">
        <v>-0.15558435079711913</v>
      </c>
      <c r="G23" s="13">
        <v>-0.10090755269836216</v>
      </c>
    </row>
    <row r="24" spans="1:7">
      <c r="A24" s="13" t="s">
        <v>1912</v>
      </c>
      <c r="B24" s="13">
        <v>-0.19217430218170872</v>
      </c>
      <c r="C24" s="13">
        <v>1.8442156940039568E-2</v>
      </c>
      <c r="D24" s="13">
        <v>-10.420381021944412</v>
      </c>
      <c r="E24" s="13">
        <v>1.4090760615190035E-13</v>
      </c>
      <c r="F24" s="13">
        <v>-0.22931871297291484</v>
      </c>
      <c r="G24" s="13">
        <v>-0.15502989139050261</v>
      </c>
    </row>
    <row r="25" spans="1:7" ht="15.75" thickBot="1">
      <c r="A25" s="14" t="s">
        <v>2209</v>
      </c>
      <c r="B25" s="14">
        <v>3.327078401861653E-2</v>
      </c>
      <c r="C25" s="14">
        <v>9.7543712689036177E-3</v>
      </c>
      <c r="D25" s="14">
        <v>3.4108588961219777</v>
      </c>
      <c r="E25" s="14">
        <v>1.3776651000289137E-3</v>
      </c>
      <c r="F25" s="14">
        <v>1.3624471789515799E-2</v>
      </c>
      <c r="G25" s="14">
        <v>5.291709624771726E-2</v>
      </c>
    </row>
    <row r="43" spans="19:19">
      <c r="S43" t="s">
        <v>1909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V154"/>
  <sheetViews>
    <sheetView zoomScale="75" zoomScaleNormal="75" workbookViewId="0">
      <pane xSplit="1" ySplit="4" topLeftCell="AM52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I97"/>
    </sheetView>
  </sheetViews>
  <sheetFormatPr defaultRowHeight="15"/>
  <cols>
    <col min="1" max="1" width="6.7109375" customWidth="1"/>
    <col min="2" max="3" width="9.42578125" customWidth="1"/>
    <col min="4" max="7" width="9.42578125" style="2" customWidth="1"/>
    <col min="8" max="9" width="9.28515625" style="2" bestFit="1" customWidth="1"/>
    <col min="10" max="10" width="9.28515625" style="32" bestFit="1" customWidth="1"/>
    <col min="11" max="11" width="9.28515625" style="2" bestFit="1" customWidth="1"/>
    <col min="12" max="12" width="8.7109375" style="2" customWidth="1"/>
    <col min="13" max="13" width="9.85546875" style="2" customWidth="1"/>
    <col min="14" max="14" width="8.28515625" style="2" customWidth="1"/>
    <col min="15" max="15" width="9" style="37" customWidth="1"/>
    <col min="16" max="16" width="10.42578125" style="32" customWidth="1"/>
    <col min="17" max="17" width="10.5703125" style="32" customWidth="1"/>
    <col min="18" max="18" width="9.5703125" style="37" customWidth="1"/>
    <col min="19" max="22" width="9.28515625" style="2" bestFit="1" customWidth="1"/>
    <col min="23" max="23" width="10.42578125" style="37" customWidth="1"/>
    <col min="24" max="26" width="9.28515625" style="2" bestFit="1" customWidth="1"/>
    <col min="27" max="27" width="9.28515625" style="2" customWidth="1"/>
    <col min="28" max="29" width="9.28515625" style="2" bestFit="1" customWidth="1"/>
    <col min="30" max="33" width="9.140625" style="2"/>
    <col min="34" max="34" width="9.85546875" style="2" bestFit="1" customWidth="1"/>
    <col min="40" max="40" width="8.42578125" style="2" customWidth="1"/>
    <col min="41" max="41" width="8.5703125" style="2" customWidth="1"/>
    <col min="42" max="42" width="8.42578125" style="2" customWidth="1"/>
    <col min="43" max="43" width="8" style="2" customWidth="1"/>
    <col min="44" max="44" width="8.42578125" style="32" customWidth="1"/>
    <col min="45" max="45" width="7.140625" style="12" customWidth="1"/>
    <col min="46" max="46" width="3.140625" style="12" customWidth="1"/>
    <col min="47" max="47" width="7.5703125" style="12" customWidth="1"/>
    <col min="48" max="48" width="3.140625" style="7" customWidth="1"/>
    <col min="49" max="49" width="9.140625" style="7"/>
    <col min="50" max="50" width="8.5703125" style="3" customWidth="1"/>
    <col min="51" max="51" width="7.85546875" customWidth="1"/>
    <col min="53" max="53" width="9.7109375" style="9" customWidth="1"/>
    <col min="54" max="54" width="7.85546875" customWidth="1"/>
    <col min="55" max="55" width="5.5703125" customWidth="1"/>
    <col min="56" max="56" width="6.140625" customWidth="1"/>
    <col min="57" max="57" width="6" customWidth="1"/>
    <col min="58" max="58" width="5.5703125" customWidth="1"/>
    <col min="59" max="59" width="6.28515625" customWidth="1"/>
    <col min="60" max="60" width="5.140625" customWidth="1"/>
    <col min="61" max="61" width="6.28515625" customWidth="1"/>
    <col min="62" max="62" width="10.28515625" customWidth="1"/>
    <col min="63" max="63" width="11" customWidth="1"/>
  </cols>
  <sheetData>
    <row r="1" spans="1:67">
      <c r="A1" s="23" t="s">
        <v>211</v>
      </c>
      <c r="B1" s="23"/>
      <c r="C1" s="23"/>
      <c r="G1" s="39"/>
      <c r="L1" s="12" t="s">
        <v>1870</v>
      </c>
      <c r="O1" s="2"/>
      <c r="P1" s="37"/>
      <c r="R1" s="32"/>
      <c r="S1" s="37"/>
      <c r="W1" s="2"/>
      <c r="X1" s="37"/>
      <c r="AE1"/>
      <c r="AF1"/>
      <c r="AG1"/>
      <c r="AH1"/>
      <c r="AN1"/>
      <c r="AR1" s="2"/>
      <c r="AS1" s="32"/>
      <c r="AV1" s="12"/>
      <c r="AX1" s="7"/>
      <c r="AY1" s="3"/>
      <c r="BA1"/>
      <c r="BB1" s="9"/>
      <c r="BK1" s="7"/>
      <c r="BL1" s="7"/>
      <c r="BN1" s="7"/>
      <c r="BO1" s="7"/>
    </row>
    <row r="2" spans="1:67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L2" s="12" t="s">
        <v>1871</v>
      </c>
      <c r="P2" s="37"/>
      <c r="Q2" s="37"/>
      <c r="R2" s="38" t="s">
        <v>142</v>
      </c>
      <c r="S2" s="37"/>
      <c r="T2" s="37"/>
      <c r="W2" s="2"/>
      <c r="X2" s="37"/>
      <c r="Y2" s="37"/>
      <c r="Z2" s="37"/>
      <c r="AA2" s="37"/>
      <c r="AB2" s="37"/>
      <c r="AC2" s="37"/>
      <c r="AD2" s="2" t="s">
        <v>113</v>
      </c>
      <c r="AE2"/>
      <c r="AF2"/>
      <c r="AG2"/>
      <c r="AH2"/>
      <c r="AN2"/>
      <c r="AR2" s="2"/>
      <c r="AS2" s="32"/>
      <c r="AV2" s="12"/>
      <c r="AX2" s="7"/>
      <c r="AY2" s="3"/>
      <c r="BA2"/>
      <c r="BB2" s="9"/>
      <c r="BK2" s="7"/>
      <c r="BL2" s="7"/>
      <c r="BN2" s="7"/>
      <c r="BO2" s="7"/>
    </row>
    <row r="3" spans="1:67">
      <c r="B3" t="s">
        <v>182</v>
      </c>
      <c r="C3" t="s">
        <v>218</v>
      </c>
      <c r="D3" s="37"/>
      <c r="F3" s="37"/>
      <c r="H3" s="37"/>
      <c r="I3" s="37"/>
      <c r="J3" s="37"/>
      <c r="K3" s="37"/>
      <c r="L3" s="12"/>
      <c r="M3" s="2" t="s">
        <v>25</v>
      </c>
      <c r="N3" s="2" t="s">
        <v>169</v>
      </c>
      <c r="O3" s="2" t="s">
        <v>5</v>
      </c>
      <c r="P3" s="37"/>
      <c r="Q3" s="38" t="s">
        <v>133</v>
      </c>
      <c r="R3" s="38" t="s">
        <v>133</v>
      </c>
      <c r="S3" s="37"/>
      <c r="T3" s="2" t="s">
        <v>128</v>
      </c>
      <c r="W3" s="2"/>
      <c r="X3" s="37"/>
      <c r="Y3" s="2" t="s">
        <v>61</v>
      </c>
      <c r="Z3" s="2" t="s">
        <v>61</v>
      </c>
      <c r="AA3" s="2" t="s">
        <v>61</v>
      </c>
      <c r="AB3" s="2" t="s">
        <v>61</v>
      </c>
      <c r="AC3" s="38" t="s">
        <v>61</v>
      </c>
      <c r="AD3" s="2" t="s">
        <v>61</v>
      </c>
      <c r="AE3"/>
      <c r="AF3"/>
      <c r="AG3"/>
      <c r="AH3"/>
      <c r="AN3" s="46" t="s">
        <v>2103</v>
      </c>
      <c r="AO3" s="46" t="s">
        <v>1703</v>
      </c>
      <c r="AP3" s="46" t="s">
        <v>1703</v>
      </c>
      <c r="AQ3" s="46" t="s">
        <v>1703</v>
      </c>
      <c r="AR3" s="46" t="s">
        <v>1703</v>
      </c>
      <c r="AS3" s="46" t="s">
        <v>1703</v>
      </c>
      <c r="AT3" s="3"/>
      <c r="AU3" s="46"/>
      <c r="AV3" s="3"/>
      <c r="AW3" s="46" t="s">
        <v>2115</v>
      </c>
      <c r="AX3" s="46" t="s">
        <v>2115</v>
      </c>
      <c r="AY3" s="46" t="s">
        <v>2115</v>
      </c>
      <c r="AZ3" s="46" t="s">
        <v>2115</v>
      </c>
      <c r="BA3" s="46" t="s">
        <v>2115</v>
      </c>
      <c r="BB3" s="46" t="s">
        <v>2102</v>
      </c>
      <c r="BC3" s="46" t="s">
        <v>2098</v>
      </c>
      <c r="BD3" s="46" t="s">
        <v>2098</v>
      </c>
      <c r="BE3" s="46" t="s">
        <v>2098</v>
      </c>
      <c r="BF3" s="46" t="s">
        <v>2098</v>
      </c>
      <c r="BG3" s="46" t="s">
        <v>2098</v>
      </c>
      <c r="BH3" s="46" t="s">
        <v>2098</v>
      </c>
      <c r="BI3" s="46" t="s">
        <v>2098</v>
      </c>
      <c r="BK3" s="46" t="s">
        <v>2444</v>
      </c>
      <c r="BL3" s="46" t="s">
        <v>2444</v>
      </c>
      <c r="BN3" s="44"/>
      <c r="BO3" s="44"/>
    </row>
    <row r="4" spans="1:67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41" t="s">
        <v>1872</v>
      </c>
      <c r="M4" s="2" t="s">
        <v>9</v>
      </c>
      <c r="N4" s="41" t="s">
        <v>145</v>
      </c>
      <c r="O4" s="2" t="s">
        <v>10</v>
      </c>
      <c r="P4" s="37"/>
      <c r="Q4" s="38" t="s">
        <v>101</v>
      </c>
      <c r="R4" s="38" t="s">
        <v>103</v>
      </c>
      <c r="S4" s="37"/>
      <c r="T4" s="13" t="s">
        <v>229</v>
      </c>
      <c r="U4" s="2" t="s">
        <v>126</v>
      </c>
      <c r="V4" s="2" t="s">
        <v>126</v>
      </c>
      <c r="W4" s="2" t="s">
        <v>126</v>
      </c>
      <c r="X4" s="37"/>
      <c r="Y4" s="2" t="s">
        <v>109</v>
      </c>
      <c r="Z4" s="2" t="s">
        <v>111</v>
      </c>
      <c r="AA4" s="2" t="s">
        <v>152</v>
      </c>
      <c r="AB4" s="2" t="s">
        <v>112</v>
      </c>
      <c r="AC4" s="38" t="s">
        <v>87</v>
      </c>
      <c r="AD4" s="2" t="s">
        <v>87</v>
      </c>
      <c r="AE4"/>
      <c r="AF4"/>
      <c r="AG4"/>
      <c r="AH4"/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T4" s="3"/>
      <c r="AU4" s="139" t="s">
        <v>237</v>
      </c>
      <c r="AV4" s="3"/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1943</v>
      </c>
      <c r="BC4" s="46">
        <v>8909</v>
      </c>
      <c r="BD4" s="46">
        <v>9394</v>
      </c>
      <c r="BE4" s="46" t="s">
        <v>293</v>
      </c>
      <c r="BF4" s="46">
        <v>8288</v>
      </c>
      <c r="BG4" s="46">
        <v>7579</v>
      </c>
      <c r="BH4" s="46">
        <v>80</v>
      </c>
      <c r="BI4" s="46">
        <v>6574</v>
      </c>
      <c r="BK4" s="46" t="s">
        <v>131</v>
      </c>
      <c r="BL4" s="46" t="s">
        <v>2097</v>
      </c>
      <c r="BN4" s="44"/>
      <c r="BO4" s="44"/>
    </row>
    <row r="5" spans="1:67">
      <c r="A5">
        <v>1926</v>
      </c>
      <c r="O5" s="2"/>
      <c r="P5" s="37"/>
      <c r="R5" s="32"/>
      <c r="S5" s="37"/>
      <c r="W5" s="2"/>
      <c r="X5" s="37"/>
      <c r="AE5"/>
      <c r="AF5"/>
      <c r="AG5"/>
      <c r="AH5"/>
      <c r="AN5">
        <v>1926</v>
      </c>
      <c r="AR5" s="2"/>
      <c r="AS5" s="32"/>
      <c r="AV5" s="12"/>
      <c r="AX5" s="7"/>
      <c r="AY5" s="3"/>
      <c r="BA5"/>
      <c r="BB5" s="9"/>
      <c r="BK5" s="7"/>
      <c r="BL5" s="7"/>
      <c r="BN5" s="7"/>
      <c r="BO5" s="7"/>
    </row>
    <row r="6" spans="1:67">
      <c r="A6">
        <v>1927</v>
      </c>
      <c r="O6" s="2"/>
      <c r="P6" s="37"/>
      <c r="R6" s="32"/>
      <c r="S6" s="37"/>
      <c r="W6" s="2"/>
      <c r="X6" s="37"/>
      <c r="AE6"/>
      <c r="AF6"/>
      <c r="AG6"/>
      <c r="AH6"/>
      <c r="AN6">
        <v>1927</v>
      </c>
      <c r="AR6" s="2"/>
      <c r="AS6" s="32"/>
      <c r="AV6" s="12"/>
      <c r="AX6" s="7"/>
      <c r="AY6" s="3"/>
      <c r="BA6"/>
      <c r="BB6" s="9"/>
      <c r="BK6" s="7"/>
      <c r="BL6" s="7"/>
      <c r="BN6" s="7"/>
      <c r="BO6" s="7"/>
    </row>
    <row r="7" spans="1:67">
      <c r="A7">
        <v>1928</v>
      </c>
      <c r="O7" s="2"/>
      <c r="P7" s="37"/>
      <c r="R7" s="32"/>
      <c r="S7" s="37"/>
      <c r="W7" s="2"/>
      <c r="X7" s="37"/>
      <c r="AE7"/>
      <c r="AF7"/>
      <c r="AG7"/>
      <c r="AH7"/>
      <c r="AN7">
        <v>1928</v>
      </c>
      <c r="AR7" s="2"/>
      <c r="AS7" s="32"/>
      <c r="AV7" s="12"/>
      <c r="AX7" s="7"/>
      <c r="AY7" s="3"/>
      <c r="BA7"/>
      <c r="BB7" s="9"/>
      <c r="BK7" s="7"/>
      <c r="BL7" s="7"/>
      <c r="BN7" s="7"/>
      <c r="BO7" s="7"/>
    </row>
    <row r="8" spans="1:67">
      <c r="A8">
        <v>1929</v>
      </c>
      <c r="O8" s="2"/>
      <c r="P8" s="37"/>
      <c r="R8" s="32"/>
      <c r="S8" s="37"/>
      <c r="W8" s="2"/>
      <c r="X8" s="37"/>
      <c r="AE8"/>
      <c r="AF8"/>
      <c r="AG8"/>
      <c r="AH8"/>
      <c r="AN8">
        <v>1929</v>
      </c>
      <c r="AR8" s="2"/>
      <c r="AS8" s="32"/>
      <c r="AV8" s="12"/>
      <c r="AX8" s="7"/>
      <c r="AY8" s="3"/>
      <c r="BA8"/>
      <c r="BB8" s="9"/>
      <c r="BK8" s="7"/>
      <c r="BL8" s="7"/>
      <c r="BN8" s="7"/>
      <c r="BO8" s="7"/>
    </row>
    <row r="9" spans="1:67">
      <c r="A9">
        <v>1930</v>
      </c>
      <c r="O9" s="2"/>
      <c r="P9" s="37"/>
      <c r="R9" s="32"/>
      <c r="S9" s="37"/>
      <c r="W9" s="2"/>
      <c r="X9" s="37"/>
      <c r="AE9"/>
      <c r="AF9"/>
      <c r="AG9"/>
      <c r="AH9"/>
      <c r="AN9">
        <v>1930</v>
      </c>
      <c r="AR9" s="2"/>
      <c r="AS9" s="32"/>
      <c r="AV9" s="12"/>
      <c r="AX9" s="7"/>
      <c r="AY9" s="3"/>
      <c r="BA9"/>
      <c r="BB9" s="9"/>
      <c r="BK9" s="7"/>
      <c r="BL9" s="7"/>
      <c r="BN9" s="7"/>
      <c r="BO9" s="7"/>
    </row>
    <row r="10" spans="1:67">
      <c r="A10">
        <v>1931</v>
      </c>
      <c r="O10" s="2"/>
      <c r="P10" s="37"/>
      <c r="R10" s="32"/>
      <c r="S10" s="37"/>
      <c r="W10" s="2"/>
      <c r="X10" s="37"/>
      <c r="AE10"/>
      <c r="AF10"/>
      <c r="AG10"/>
      <c r="AH10"/>
      <c r="AN10">
        <v>1931</v>
      </c>
      <c r="AR10" s="2"/>
      <c r="AS10" s="32"/>
      <c r="AV10" s="12"/>
      <c r="AX10" s="7"/>
      <c r="AY10" s="3"/>
      <c r="BA10"/>
      <c r="BB10" s="9"/>
      <c r="BK10" s="7"/>
      <c r="BL10" s="7"/>
      <c r="BN10" s="7"/>
      <c r="BO10" s="7"/>
    </row>
    <row r="11" spans="1:67">
      <c r="A11">
        <v>1932</v>
      </c>
      <c r="O11" s="2"/>
      <c r="P11" s="37"/>
      <c r="R11" s="32"/>
      <c r="S11" s="37"/>
      <c r="W11" s="2"/>
      <c r="X11" s="37"/>
      <c r="AE11"/>
      <c r="AF11"/>
      <c r="AG11"/>
      <c r="AH11"/>
      <c r="AN11">
        <v>1932</v>
      </c>
      <c r="AR11" s="2"/>
      <c r="AS11" s="32"/>
      <c r="AV11" s="12"/>
      <c r="AX11" s="7"/>
      <c r="AY11" s="3"/>
      <c r="BA11"/>
      <c r="BB11" s="9"/>
      <c r="BK11" s="7"/>
      <c r="BL11" s="7"/>
      <c r="BN11" s="7"/>
      <c r="BO11" s="7"/>
    </row>
    <row r="12" spans="1:67">
      <c r="A12">
        <v>1933</v>
      </c>
      <c r="O12" s="2"/>
      <c r="P12" s="37"/>
      <c r="R12" s="32"/>
      <c r="S12" s="37"/>
      <c r="W12" s="2"/>
      <c r="X12" s="37"/>
      <c r="AE12"/>
      <c r="AF12"/>
      <c r="AG12"/>
      <c r="AH12"/>
      <c r="AN12">
        <v>1933</v>
      </c>
      <c r="AR12" s="2"/>
      <c r="AS12" s="32"/>
      <c r="AV12" s="12"/>
      <c r="AX12" s="7"/>
      <c r="AY12" s="3"/>
      <c r="BA12"/>
      <c r="BB12" s="9"/>
      <c r="BK12" s="7"/>
      <c r="BL12" s="7"/>
      <c r="BN12" s="7"/>
      <c r="BO12" s="7"/>
    </row>
    <row r="13" spans="1:67">
      <c r="A13">
        <v>1934</v>
      </c>
      <c r="O13" s="2"/>
      <c r="P13" s="37"/>
      <c r="R13" s="32"/>
      <c r="S13" s="37"/>
      <c r="W13" s="2"/>
      <c r="X13" s="37"/>
      <c r="AE13"/>
      <c r="AF13"/>
      <c r="AG13"/>
      <c r="AH13"/>
      <c r="AN13">
        <v>1934</v>
      </c>
      <c r="AR13" s="2"/>
      <c r="AS13" s="32"/>
      <c r="AV13" s="12"/>
      <c r="AX13" s="7"/>
      <c r="AY13" s="3"/>
      <c r="BA13"/>
      <c r="BB13" s="9"/>
      <c r="BK13" s="7"/>
      <c r="BL13" s="7"/>
      <c r="BN13" s="7"/>
      <c r="BO13" s="7"/>
    </row>
    <row r="14" spans="1:67">
      <c r="A14">
        <v>1935</v>
      </c>
      <c r="O14" s="2"/>
      <c r="P14" s="37"/>
      <c r="R14" s="32"/>
      <c r="S14" s="37"/>
      <c r="W14" s="2"/>
      <c r="X14" s="37"/>
      <c r="AE14"/>
      <c r="AF14"/>
      <c r="AG14"/>
      <c r="AH14"/>
      <c r="AN14">
        <v>1935</v>
      </c>
      <c r="AR14" s="2"/>
      <c r="AS14" s="32"/>
      <c r="AV14" s="12"/>
      <c r="AX14" s="7"/>
      <c r="AY14" s="3"/>
      <c r="BA14"/>
      <c r="BB14" s="9"/>
      <c r="BK14" s="7"/>
      <c r="BL14" s="7"/>
      <c r="BN14" s="7"/>
      <c r="BO14" s="7"/>
    </row>
    <row r="15" spans="1:67">
      <c r="A15">
        <v>1936</v>
      </c>
      <c r="O15" s="2"/>
      <c r="P15" s="37"/>
      <c r="R15" s="32"/>
      <c r="S15" s="37"/>
      <c r="W15" s="2"/>
      <c r="X15" s="37"/>
      <c r="AE15"/>
      <c r="AF15"/>
      <c r="AG15"/>
      <c r="AH15"/>
      <c r="AN15">
        <v>1936</v>
      </c>
      <c r="AR15" s="2"/>
      <c r="AS15" s="32"/>
      <c r="AV15" s="12"/>
      <c r="AX15" s="7"/>
      <c r="AY15" s="3"/>
      <c r="BA15"/>
      <c r="BB15" s="9"/>
      <c r="BK15" s="7"/>
      <c r="BL15" s="7"/>
      <c r="BN15" s="7"/>
      <c r="BO15" s="7"/>
    </row>
    <row r="16" spans="1:67">
      <c r="A16">
        <v>1937</v>
      </c>
      <c r="O16" s="2"/>
      <c r="P16" s="37"/>
      <c r="R16" s="32"/>
      <c r="S16" s="37"/>
      <c r="W16" s="2"/>
      <c r="X16" s="37"/>
      <c r="AE16"/>
      <c r="AF16"/>
      <c r="AG16"/>
      <c r="AH16"/>
      <c r="AN16">
        <v>1937</v>
      </c>
      <c r="AR16" s="2"/>
      <c r="AS16" s="32"/>
      <c r="AV16" s="12"/>
      <c r="AX16" s="7"/>
      <c r="AY16" s="3"/>
      <c r="BA16"/>
      <c r="BB16" s="9"/>
      <c r="BK16" s="7"/>
      <c r="BL16" s="7"/>
      <c r="BN16" s="7"/>
      <c r="BO16" s="7"/>
    </row>
    <row r="17" spans="1:67">
      <c r="A17">
        <v>1938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N17">
        <v>1938</v>
      </c>
      <c r="AR17" s="2"/>
      <c r="AS17" s="32"/>
      <c r="AV17" s="12"/>
      <c r="AX17" s="7"/>
      <c r="AY17" s="3"/>
      <c r="BA17"/>
      <c r="BB17" s="9"/>
      <c r="BK17" s="7"/>
      <c r="BL17" s="7"/>
      <c r="BN17" s="7"/>
      <c r="BO17" s="7"/>
    </row>
    <row r="18" spans="1:67">
      <c r="A18">
        <v>1939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N18">
        <v>1939</v>
      </c>
      <c r="AR18" s="2"/>
      <c r="AS18" s="32"/>
      <c r="AV18" s="12"/>
      <c r="AX18" s="7"/>
      <c r="AY18" s="3"/>
      <c r="BA18"/>
      <c r="BB18" s="9"/>
      <c r="BK18" s="7"/>
      <c r="BL18" s="7"/>
      <c r="BN18" s="7"/>
      <c r="BO18" s="7"/>
    </row>
    <row r="19" spans="1:67">
      <c r="A19">
        <v>1940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N19">
        <v>1940</v>
      </c>
      <c r="AR19" s="2"/>
      <c r="AS19" s="32"/>
      <c r="AV19" s="12"/>
      <c r="AX19" s="7"/>
      <c r="AY19" s="3"/>
      <c r="BA19"/>
      <c r="BB19" s="9"/>
      <c r="BK19" s="7"/>
      <c r="BL19" s="7"/>
      <c r="BN19" s="7"/>
      <c r="BO19" s="7"/>
    </row>
    <row r="20" spans="1:67">
      <c r="A20">
        <v>1941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N20">
        <v>1941</v>
      </c>
      <c r="AR20" s="2"/>
      <c r="AS20" s="32"/>
      <c r="AV20" s="12"/>
      <c r="AX20" s="7"/>
      <c r="AY20" s="3"/>
      <c r="BA20"/>
      <c r="BB20" s="9"/>
      <c r="BK20" s="7"/>
      <c r="BL20" s="7"/>
      <c r="BN20" s="7"/>
      <c r="BO20" s="7"/>
    </row>
    <row r="21" spans="1:67">
      <c r="A21">
        <v>1942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N21">
        <v>1942</v>
      </c>
      <c r="AR21" s="2"/>
      <c r="AS21" s="32"/>
      <c r="AV21" s="12"/>
      <c r="AX21" s="7"/>
      <c r="AY21" s="3"/>
      <c r="BA21"/>
      <c r="BB21" s="9"/>
      <c r="BK21" s="7"/>
      <c r="BL21" s="7"/>
      <c r="BN21" s="7"/>
      <c r="BO21" s="7"/>
    </row>
    <row r="22" spans="1:67">
      <c r="A22">
        <v>1943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N22">
        <v>1943</v>
      </c>
      <c r="AR22" s="2"/>
      <c r="AS22" s="32"/>
      <c r="AV22" s="12"/>
      <c r="AX22" s="7"/>
      <c r="AY22" s="3"/>
      <c r="BA22"/>
      <c r="BB22" s="9"/>
      <c r="BK22" s="7"/>
      <c r="BL22" s="7"/>
      <c r="BN22" s="7"/>
      <c r="BO22" s="7"/>
    </row>
    <row r="23" spans="1:67">
      <c r="A23">
        <v>1944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N23">
        <v>1944</v>
      </c>
      <c r="AR23" s="2"/>
      <c r="AS23" s="32"/>
      <c r="AV23" s="12"/>
      <c r="AX23" s="7"/>
      <c r="AY23" s="3"/>
      <c r="BA23"/>
      <c r="BB23" s="9"/>
      <c r="BK23" s="7"/>
      <c r="BL23" s="7"/>
      <c r="BN23" s="7"/>
      <c r="BO23" s="7"/>
    </row>
    <row r="24" spans="1:67">
      <c r="A24">
        <v>1945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N24">
        <v>1945</v>
      </c>
      <c r="AR24" s="2"/>
      <c r="AS24" s="32"/>
      <c r="AV24" s="12"/>
      <c r="AX24" s="7"/>
      <c r="AY24" s="3"/>
      <c r="BA24"/>
      <c r="BB24" s="9"/>
      <c r="BK24" s="7"/>
      <c r="BL24" s="7"/>
      <c r="BN24" s="7"/>
      <c r="BO24" s="7"/>
    </row>
    <row r="25" spans="1:67">
      <c r="A25">
        <v>1946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N25">
        <v>1946</v>
      </c>
      <c r="AR25" s="2"/>
      <c r="AS25" s="32"/>
      <c r="AV25" s="12"/>
      <c r="AX25" s="7"/>
      <c r="AY25" s="3"/>
      <c r="BA25"/>
      <c r="BB25" s="9"/>
      <c r="BK25" s="7"/>
      <c r="BL25" s="7"/>
      <c r="BN25" s="7"/>
      <c r="BO25" s="7"/>
    </row>
    <row r="26" spans="1:67">
      <c r="A26">
        <v>1947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N26">
        <v>1947</v>
      </c>
      <c r="AR26" s="2"/>
      <c r="AS26" s="32"/>
      <c r="AV26" s="12"/>
      <c r="AX26" s="7"/>
      <c r="AY26" s="3"/>
      <c r="BA26"/>
      <c r="BB26" s="9"/>
      <c r="BK26" s="7"/>
      <c r="BL26" s="7"/>
      <c r="BN26" s="7"/>
      <c r="BO26" s="7"/>
    </row>
    <row r="27" spans="1:67">
      <c r="A27">
        <v>1948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N27">
        <v>1948</v>
      </c>
      <c r="AR27" s="2"/>
      <c r="AS27" s="32"/>
      <c r="AV27" s="12"/>
      <c r="AX27" s="7"/>
      <c r="AY27" s="3"/>
      <c r="BA27"/>
      <c r="BB27" s="9"/>
      <c r="BK27" s="7"/>
      <c r="BL27" s="7"/>
      <c r="BN27" s="7"/>
      <c r="BO27" s="7"/>
    </row>
    <row r="28" spans="1:67">
      <c r="A28">
        <v>1949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N28">
        <v>1949</v>
      </c>
      <c r="AR28" s="2"/>
      <c r="AS28" s="32"/>
      <c r="AV28" s="12"/>
      <c r="AX28" s="7"/>
      <c r="AY28" s="3"/>
      <c r="BA28"/>
      <c r="BB28" s="9"/>
      <c r="BK28" s="7"/>
      <c r="BL28" s="7"/>
      <c r="BN28" s="7"/>
      <c r="BO28" s="7"/>
    </row>
    <row r="29" spans="1:67">
      <c r="A29">
        <v>1950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N29">
        <v>1950</v>
      </c>
      <c r="AR29" s="2"/>
      <c r="AS29" s="32"/>
      <c r="AV29" s="12"/>
      <c r="AX29" s="7"/>
      <c r="AY29" s="3"/>
      <c r="BA29"/>
      <c r="BB29" s="9"/>
      <c r="BK29" s="7"/>
      <c r="BL29" s="7"/>
      <c r="BN29" s="7"/>
      <c r="BO29" s="7"/>
    </row>
    <row r="30" spans="1:67">
      <c r="A30">
        <v>1951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N30">
        <v>1951</v>
      </c>
      <c r="AR30" s="2"/>
      <c r="AS30" s="32"/>
      <c r="AV30" s="12"/>
      <c r="AX30" s="7"/>
      <c r="AY30" s="3"/>
      <c r="BA30"/>
      <c r="BB30" s="9"/>
      <c r="BK30" s="7"/>
      <c r="BL30" s="7"/>
      <c r="BN30" s="7"/>
      <c r="BO30" s="7"/>
    </row>
    <row r="31" spans="1:67">
      <c r="A31">
        <v>1952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N31">
        <v>1952</v>
      </c>
      <c r="AR31" s="2"/>
      <c r="AS31" s="32"/>
      <c r="AV31" s="12"/>
      <c r="AX31" s="7"/>
      <c r="AY31" s="3"/>
      <c r="BA31"/>
      <c r="BB31" s="9"/>
      <c r="BK31" s="7"/>
      <c r="BL31" s="7"/>
      <c r="BN31" s="7"/>
      <c r="BO31" s="7"/>
    </row>
    <row r="32" spans="1:67">
      <c r="A32">
        <v>1953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N32">
        <v>1953</v>
      </c>
      <c r="AR32" s="2"/>
      <c r="AS32" s="32"/>
      <c r="AV32" s="12"/>
      <c r="AX32" s="7"/>
      <c r="AY32" s="3"/>
      <c r="BA32"/>
      <c r="BB32" s="9"/>
      <c r="BK32" s="7"/>
      <c r="BL32" s="7"/>
      <c r="BN32" s="7"/>
      <c r="BO32" s="7"/>
    </row>
    <row r="33" spans="1:74">
      <c r="A33">
        <v>1954</v>
      </c>
      <c r="O33" s="2"/>
      <c r="P33" s="37"/>
      <c r="R33" s="32"/>
      <c r="S33" s="37"/>
      <c r="W33" s="2"/>
      <c r="X33" s="37"/>
      <c r="AG33"/>
      <c r="AH33"/>
      <c r="AN33">
        <v>1954</v>
      </c>
      <c r="AR33" s="2"/>
      <c r="AS33" s="32"/>
      <c r="AV33" s="12"/>
      <c r="AX33" s="7"/>
      <c r="AY33" s="3"/>
      <c r="BA33"/>
      <c r="BB33" s="9"/>
      <c r="BK33" s="7"/>
      <c r="BL33" s="7"/>
      <c r="BN33" s="7"/>
      <c r="BO33" s="7"/>
    </row>
    <row r="34" spans="1:74">
      <c r="A34">
        <v>1955</v>
      </c>
      <c r="O34" s="2"/>
      <c r="P34" s="37"/>
      <c r="R34" s="32"/>
      <c r="S34" s="37"/>
      <c r="W34" s="2"/>
      <c r="X34" s="37"/>
      <c r="AG34"/>
      <c r="AH34"/>
      <c r="AN34">
        <v>1955</v>
      </c>
      <c r="AR34" s="2"/>
      <c r="AS34" s="32"/>
      <c r="AV34" s="12"/>
      <c r="AX34" s="7"/>
      <c r="AY34" s="3"/>
      <c r="BA34"/>
      <c r="BB34" s="9"/>
      <c r="BK34" s="7"/>
      <c r="BL34" s="7"/>
      <c r="BN34" s="7"/>
      <c r="BO34" s="7"/>
    </row>
    <row r="35" spans="1:74">
      <c r="A35">
        <v>1956</v>
      </c>
      <c r="O35" s="2"/>
      <c r="P35" s="37"/>
      <c r="R35" s="32"/>
      <c r="S35" s="37"/>
      <c r="W35" s="2"/>
      <c r="X35" s="37"/>
      <c r="AG35"/>
      <c r="AH35"/>
      <c r="AN35">
        <v>1956</v>
      </c>
      <c r="AR35" s="2"/>
      <c r="AS35" s="32"/>
      <c r="AV35" s="12"/>
      <c r="AX35" s="7"/>
      <c r="AY35" s="3"/>
      <c r="BA35"/>
      <c r="BB35" s="9"/>
      <c r="BK35" s="7"/>
      <c r="BL35" s="7"/>
      <c r="BN35" s="7"/>
      <c r="BO35" s="7"/>
    </row>
    <row r="36" spans="1:74">
      <c r="A36">
        <v>1957</v>
      </c>
      <c r="O36" s="2"/>
      <c r="P36" s="37"/>
      <c r="R36" s="32"/>
      <c r="S36" s="37"/>
      <c r="W36" s="2"/>
      <c r="X36" s="37"/>
      <c r="AG36"/>
      <c r="AH36"/>
      <c r="AN36">
        <v>1957</v>
      </c>
      <c r="AR36" s="2"/>
      <c r="AS36" s="32"/>
      <c r="AV36" s="12"/>
      <c r="AX36" s="7"/>
      <c r="AY36" s="3"/>
      <c r="BA36"/>
      <c r="BB36" s="9"/>
      <c r="BK36" s="7"/>
      <c r="BL36" s="7"/>
      <c r="BN36" s="7"/>
      <c r="BO36" s="7"/>
    </row>
    <row r="37" spans="1:74">
      <c r="A37">
        <v>1958</v>
      </c>
      <c r="O37" s="2"/>
      <c r="P37" s="37"/>
      <c r="R37" s="32"/>
      <c r="S37" s="37"/>
      <c r="W37" s="2"/>
      <c r="X37" s="37"/>
      <c r="AG37"/>
      <c r="AH37"/>
      <c r="AN37">
        <v>1958</v>
      </c>
      <c r="AR37" s="2"/>
      <c r="AS37" s="32"/>
      <c r="AV37" s="12"/>
      <c r="AX37" s="7"/>
      <c r="AY37" s="3"/>
      <c r="BA37"/>
      <c r="BB37" s="9"/>
      <c r="BK37" s="7"/>
      <c r="BL37" s="7"/>
      <c r="BN37" s="7"/>
      <c r="BO37" s="7"/>
    </row>
    <row r="38" spans="1:74">
      <c r="A38">
        <v>1959</v>
      </c>
      <c r="O38" s="2"/>
      <c r="P38" s="37"/>
      <c r="R38" s="32"/>
      <c r="S38" s="37"/>
      <c r="W38" s="2"/>
      <c r="X38" s="37"/>
      <c r="AG38"/>
      <c r="AH38"/>
      <c r="AN38">
        <v>1959</v>
      </c>
      <c r="AR38" s="2"/>
      <c r="AS38" s="32"/>
      <c r="AV38" s="12"/>
      <c r="AX38" s="7"/>
      <c r="AY38" s="3"/>
      <c r="BA38"/>
      <c r="BB38" s="9"/>
      <c r="BK38" s="7"/>
      <c r="BL38" s="7"/>
      <c r="BN38" s="7"/>
      <c r="BO38" s="7"/>
    </row>
    <row r="39" spans="1:74">
      <c r="A39">
        <v>1960</v>
      </c>
      <c r="O39" s="2"/>
      <c r="P39" s="37"/>
      <c r="R39" s="32"/>
      <c r="S39" s="37"/>
      <c r="W39" s="2"/>
      <c r="X39" s="37"/>
      <c r="AG39"/>
      <c r="AH39"/>
      <c r="AN39">
        <v>1960</v>
      </c>
      <c r="AR39" s="2"/>
      <c r="AS39" s="32"/>
      <c r="AV39" s="12"/>
      <c r="AX39" s="7"/>
      <c r="AY39" s="3"/>
      <c r="BA39"/>
      <c r="BB39" s="9" t="s">
        <v>174</v>
      </c>
      <c r="BK39" s="7"/>
      <c r="BL39" s="7"/>
      <c r="BN39" s="7"/>
      <c r="BO39" s="7"/>
    </row>
    <row r="40" spans="1:74">
      <c r="A40">
        <v>1961</v>
      </c>
      <c r="O40" s="2"/>
      <c r="P40" s="37"/>
      <c r="R40" s="32"/>
      <c r="S40" s="37"/>
      <c r="W40" s="2"/>
      <c r="X40" s="37"/>
      <c r="AG40"/>
      <c r="AH40"/>
      <c r="AN40">
        <v>1961</v>
      </c>
      <c r="AR40" s="2"/>
      <c r="AS40" s="32"/>
      <c r="AV40" s="12"/>
      <c r="AX40" s="7"/>
      <c r="AY40" s="3"/>
      <c r="BA40"/>
      <c r="BB40" s="9"/>
      <c r="BK40" s="7"/>
      <c r="BL40" s="7"/>
      <c r="BN40" s="7"/>
      <c r="BO40" s="7"/>
    </row>
    <row r="41" spans="1:74">
      <c r="A41">
        <v>1962</v>
      </c>
      <c r="O41" s="2"/>
      <c r="P41" s="37"/>
      <c r="R41" s="32"/>
      <c r="S41" s="37"/>
      <c r="W41" s="2"/>
      <c r="X41" s="37"/>
      <c r="AG41"/>
      <c r="AH41" t="s">
        <v>11</v>
      </c>
      <c r="AN41">
        <v>1962</v>
      </c>
      <c r="AR41" s="2"/>
      <c r="AS41" s="32"/>
      <c r="AV41" s="12"/>
      <c r="AX41" s="7"/>
      <c r="AY41" s="3"/>
      <c r="BA41"/>
      <c r="BB41" s="9"/>
      <c r="BK41" s="7"/>
      <c r="BL41" s="7"/>
      <c r="BN41" s="7"/>
      <c r="BO41" s="7"/>
    </row>
    <row r="42" spans="1:74">
      <c r="A42">
        <v>1963</v>
      </c>
      <c r="O42" s="2"/>
      <c r="P42" s="37"/>
      <c r="R42" s="32"/>
      <c r="S42" s="37"/>
      <c r="W42" s="2"/>
      <c r="X42" s="37"/>
      <c r="AG42"/>
      <c r="AH42">
        <v>60.000000059000001</v>
      </c>
      <c r="AN42" s="46" t="s">
        <v>2103</v>
      </c>
      <c r="AO42" s="46" t="s">
        <v>1703</v>
      </c>
      <c r="AP42" s="46" t="s">
        <v>1703</v>
      </c>
      <c r="AQ42" s="46" t="s">
        <v>1703</v>
      </c>
      <c r="AR42" s="46" t="s">
        <v>1703</v>
      </c>
      <c r="AS42" s="46" t="s">
        <v>1703</v>
      </c>
      <c r="AT42" s="3"/>
      <c r="AU42" s="46"/>
      <c r="AV42" s="3"/>
      <c r="AW42" s="46" t="s">
        <v>2115</v>
      </c>
      <c r="AX42" s="46" t="s">
        <v>2115</v>
      </c>
      <c r="AY42" s="46" t="s">
        <v>2115</v>
      </c>
      <c r="AZ42" s="46" t="s">
        <v>2115</v>
      </c>
      <c r="BA42" s="46" t="s">
        <v>2115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F42" s="46" t="s">
        <v>2098</v>
      </c>
      <c r="BG42" s="46" t="s">
        <v>2098</v>
      </c>
      <c r="BH42" s="46" t="s">
        <v>2098</v>
      </c>
      <c r="BI42" s="46" t="s">
        <v>2098</v>
      </c>
      <c r="BK42" s="46" t="s">
        <v>2444</v>
      </c>
      <c r="BL42" s="46" t="s">
        <v>2444</v>
      </c>
      <c r="BN42" s="44"/>
      <c r="BO42" s="44"/>
      <c r="BR42" s="44"/>
      <c r="BS42" s="44"/>
      <c r="BT42" s="44"/>
      <c r="BU42" s="44"/>
      <c r="BV42" s="44"/>
    </row>
    <row r="43" spans="1:74">
      <c r="A43">
        <v>1964</v>
      </c>
      <c r="O43" s="2"/>
      <c r="P43" s="37"/>
      <c r="R43" s="32"/>
      <c r="S43" s="37"/>
      <c r="W43" s="2"/>
      <c r="X43" s="37"/>
      <c r="AG43"/>
      <c r="AH43">
        <v>60.000000059000001</v>
      </c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T43" s="3"/>
      <c r="AU43" s="139" t="s">
        <v>237</v>
      </c>
      <c r="AV43" s="3"/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8909</v>
      </c>
      <c r="BD43" s="46">
        <v>9394</v>
      </c>
      <c r="BE43" s="46" t="s">
        <v>293</v>
      </c>
      <c r="BF43" s="46">
        <v>8288</v>
      </c>
      <c r="BG43" s="46">
        <v>7579</v>
      </c>
      <c r="BH43" s="46">
        <v>80</v>
      </c>
      <c r="BI43" s="46">
        <v>6574</v>
      </c>
      <c r="BK43" s="46" t="s">
        <v>131</v>
      </c>
      <c r="BL43" s="46" t="s">
        <v>2097</v>
      </c>
      <c r="BN43" s="44"/>
      <c r="BO43" s="44"/>
      <c r="BR43" s="44"/>
      <c r="BS43" s="44"/>
      <c r="BT43" s="44"/>
      <c r="BU43" s="44"/>
      <c r="BV43" s="44"/>
    </row>
    <row r="44" spans="1:74">
      <c r="A44">
        <v>1965</v>
      </c>
      <c r="B44" s="3">
        <f t="shared" ref="B44:B88" si="0">I44/G44*100/C44*100</f>
        <v>96.133662465738738</v>
      </c>
      <c r="C44" s="3">
        <f t="shared" ref="C44:C87" si="1">E44/E$89*100</f>
        <v>14.459024846529534</v>
      </c>
      <c r="D44" s="2">
        <v>67.173400000000001</v>
      </c>
      <c r="E44" s="2">
        <v>20.692699999999999</v>
      </c>
      <c r="F44" s="2">
        <f>D44*E44/100</f>
        <v>13.899990141799998</v>
      </c>
      <c r="G44" s="2">
        <f>AH44*G$49/AH$49</f>
        <v>0.35904763621340935</v>
      </c>
      <c r="H44" s="2">
        <f>F44*G44/100</f>
        <v>4.9907586038029826E-2</v>
      </c>
      <c r="I44" s="32">
        <f t="shared" ref="I44:I73" si="2">H44</f>
        <v>4.9907586038029826E-2</v>
      </c>
      <c r="J44" s="32">
        <f t="shared" ref="J44:J89" si="3">R44+AC44</f>
        <v>2.9395568176399565E-2</v>
      </c>
      <c r="O44" s="2"/>
      <c r="P44" s="37"/>
      <c r="Q44" s="32">
        <f t="shared" ref="Q44:Q78" si="4">I44-AC44</f>
        <v>2.0512017861630261E-2</v>
      </c>
      <c r="R44" s="32">
        <f t="shared" ref="R44:R88" si="5">R$92+R$93*T44+R$94*U44+R$95*V44+R$96*W44</f>
        <v>0</v>
      </c>
      <c r="S44" s="37"/>
      <c r="T44" s="2">
        <f>USA!Z52*G44</f>
        <v>1.1848571995042507</v>
      </c>
      <c r="U44" s="2">
        <v>0</v>
      </c>
      <c r="V44" s="2">
        <v>0</v>
      </c>
      <c r="W44" s="2">
        <v>0</v>
      </c>
      <c r="X44" s="37"/>
      <c r="Y44" s="2">
        <v>0.58899999999999997</v>
      </c>
      <c r="Z44" s="2">
        <f t="shared" ref="Z44:Z78" si="6">AC44-AB44</f>
        <v>2.4048326815182083E-2</v>
      </c>
      <c r="AA44" s="39">
        <v>0.12</v>
      </c>
      <c r="AB44" s="2">
        <f t="shared" ref="AB44:AB75" si="7">AA44*(I44*(1/(1+AA44)))</f>
        <v>5.3472413612174812E-3</v>
      </c>
      <c r="AC44" s="2">
        <f t="shared" ref="AC44:AC77" si="8">I44*Y44</f>
        <v>2.9395568176399565E-2</v>
      </c>
      <c r="AF44" s="2">
        <v>0</v>
      </c>
      <c r="AG44"/>
      <c r="AH44">
        <v>60.000000059000001</v>
      </c>
      <c r="AN44">
        <v>1965</v>
      </c>
      <c r="AO44" s="1">
        <f t="shared" ref="AO44:AO75" si="9">I44</f>
        <v>4.9907586038029826E-2</v>
      </c>
      <c r="AP44" s="1">
        <f>Z44</f>
        <v>2.4048326815182083E-2</v>
      </c>
      <c r="AQ44" s="1">
        <f>AB44</f>
        <v>5.3472413612174812E-3</v>
      </c>
      <c r="AR44" s="1">
        <f>AC44</f>
        <v>2.9395568176399565E-2</v>
      </c>
      <c r="AS44" s="22">
        <f t="shared" ref="AS44:AS75" si="10">AO44-AR44</f>
        <v>2.0512017861630261E-2</v>
      </c>
      <c r="AU44" s="7">
        <v>4.0122598719610858</v>
      </c>
      <c r="AV44" s="12"/>
      <c r="AW44" s="22">
        <f t="shared" ref="AW44:AW75" si="11">AO44/$AU44*100</f>
        <v>1.2438772071270729</v>
      </c>
      <c r="AX44" s="22">
        <f>BA44+AY44</f>
        <v>1.2388695662448774</v>
      </c>
      <c r="AY44" s="1">
        <f t="shared" ref="AY44:AY75" si="12">AR44/$AU44*100</f>
        <v>0.73264367499784588</v>
      </c>
      <c r="AZ44" s="1">
        <f t="shared" ref="AZ44:AZ51" si="13">AW44-AY44</f>
        <v>0.51123353212922706</v>
      </c>
      <c r="BA44" s="1">
        <f t="shared" ref="BA44:BA75" si="14">AX$99+AX$100*BB44+AX$101*BC44+AX$102*BD44+AX$103*BE44+AX$104*BF44+AX$105*BG44+AX$106*BH44+AX$107*BI44</f>
        <v>0.50622589124703155</v>
      </c>
      <c r="BB44" s="3">
        <f t="shared" ref="BB44:BB75" si="15">T44/AU44*100</f>
        <v>29.530918667168088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 s="23">
        <v>1</v>
      </c>
      <c r="BK44" s="22">
        <f t="shared" ref="BK44:BK96" si="16">AW44*$AU$97/$AU$89</f>
        <v>1.3296024276164817</v>
      </c>
      <c r="BL44" s="22">
        <f t="shared" ref="BL44:BL96" si="17">AX44*$AU$97/$AU$89</f>
        <v>1.3242496713834313</v>
      </c>
      <c r="BN44" s="22"/>
      <c r="BO44" s="22"/>
      <c r="BR44" s="12"/>
      <c r="BS44" s="12"/>
      <c r="BT44" s="12"/>
      <c r="BU44" s="12"/>
      <c r="BV44" s="12"/>
    </row>
    <row r="45" spans="1:74">
      <c r="A45">
        <v>1966</v>
      </c>
      <c r="B45" s="3">
        <f t="shared" si="0"/>
        <v>93.341820029027716</v>
      </c>
      <c r="C45" s="3">
        <f t="shared" si="1"/>
        <v>14.891495218110531</v>
      </c>
      <c r="D45" s="2">
        <v>65.2226</v>
      </c>
      <c r="E45" s="2">
        <v>21.311620000000001</v>
      </c>
      <c r="F45" s="2">
        <f t="shared" ref="F45:F78" si="18">D45*E45/100</f>
        <v>13.899992666120001</v>
      </c>
      <c r="G45" s="2">
        <f>AH45*G$49/AH$49</f>
        <v>0.35904763621340935</v>
      </c>
      <c r="H45" s="2">
        <f t="shared" ref="H45:H78" si="19">F45*G45/100</f>
        <v>4.9907595101541122E-2</v>
      </c>
      <c r="I45" s="32">
        <f t="shared" si="2"/>
        <v>4.9907595101541122E-2</v>
      </c>
      <c r="J45" s="32">
        <f t="shared" si="3"/>
        <v>2.9395573514807719E-2</v>
      </c>
      <c r="O45" s="2"/>
      <c r="P45" s="37"/>
      <c r="Q45" s="32">
        <f t="shared" si="4"/>
        <v>2.0512021586733403E-2</v>
      </c>
      <c r="R45" s="32">
        <f t="shared" si="5"/>
        <v>0</v>
      </c>
      <c r="S45" s="37"/>
      <c r="T45" s="2">
        <f>USA!Z53*G45</f>
        <v>1.1848571995042507</v>
      </c>
      <c r="U45" s="2">
        <v>0</v>
      </c>
      <c r="V45" s="2">
        <v>0</v>
      </c>
      <c r="W45" s="2">
        <v>0</v>
      </c>
      <c r="X45" s="37"/>
      <c r="Y45" s="2">
        <v>0.58899999999999997</v>
      </c>
      <c r="Z45" s="2">
        <f t="shared" si="6"/>
        <v>2.4048331182499744E-2</v>
      </c>
      <c r="AA45" s="39">
        <v>0.12</v>
      </c>
      <c r="AB45" s="2">
        <f t="shared" si="7"/>
        <v>5.3472423323079766E-3</v>
      </c>
      <c r="AC45" s="2">
        <f t="shared" si="8"/>
        <v>2.9395573514807719E-2</v>
      </c>
      <c r="AG45"/>
      <c r="AH45">
        <v>60.000000059000001</v>
      </c>
      <c r="AN45">
        <v>1966</v>
      </c>
      <c r="AO45" s="1">
        <f t="shared" si="9"/>
        <v>4.9907595101541122E-2</v>
      </c>
      <c r="AP45" s="1">
        <f t="shared" ref="AP45:AP96" si="20">Z45</f>
        <v>2.4048331182499744E-2</v>
      </c>
      <c r="AQ45" s="1">
        <f t="shared" ref="AQ45:AQ96" si="21">AB45</f>
        <v>5.3472423323079766E-3</v>
      </c>
      <c r="AR45" s="1">
        <f t="shared" ref="AR45:AR76" si="22">AC45</f>
        <v>2.9395573514807719E-2</v>
      </c>
      <c r="AS45" s="22">
        <f t="shared" si="10"/>
        <v>2.0512021586733403E-2</v>
      </c>
      <c r="AU45" s="7">
        <v>4.2626394925973923</v>
      </c>
      <c r="AV45" s="12"/>
      <c r="AW45" s="22">
        <f t="shared" si="11"/>
        <v>1.1708143554765051</v>
      </c>
      <c r="AX45" s="22">
        <f t="shared" ref="AX45:AX89" si="23">BA45+AY45</f>
        <v>1.1865489849642552</v>
      </c>
      <c r="AY45" s="1">
        <f t="shared" si="12"/>
        <v>0.68960965537566143</v>
      </c>
      <c r="AZ45" s="1">
        <f t="shared" si="13"/>
        <v>0.48120470010084371</v>
      </c>
      <c r="BA45" s="1">
        <f t="shared" si="14"/>
        <v>0.49693932958859366</v>
      </c>
      <c r="BB45" s="3">
        <f t="shared" si="15"/>
        <v>27.79632670231446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 s="23">
        <v>1</v>
      </c>
      <c r="BK45" s="22">
        <f t="shared" si="16"/>
        <v>1.2515042484983452</v>
      </c>
      <c r="BL45" s="22">
        <f t="shared" si="17"/>
        <v>1.2683232732740126</v>
      </c>
      <c r="BN45" s="22"/>
      <c r="BO45" s="22"/>
      <c r="BR45" s="12"/>
      <c r="BS45" s="12"/>
      <c r="BT45" s="12"/>
      <c r="BU45" s="12"/>
      <c r="BV45" s="12"/>
    </row>
    <row r="46" spans="1:74">
      <c r="A46">
        <v>1967</v>
      </c>
      <c r="B46" s="3">
        <f t="shared" si="0"/>
        <v>90.821033034962312</v>
      </c>
      <c r="C46" s="3">
        <f t="shared" si="1"/>
        <v>15.30482682623647</v>
      </c>
      <c r="D46" s="2">
        <v>63.461199999999998</v>
      </c>
      <c r="E46" s="2">
        <v>21.90315</v>
      </c>
      <c r="F46" s="2">
        <f t="shared" si="18"/>
        <v>13.900001827799999</v>
      </c>
      <c r="G46" s="2">
        <f>AH46*G$49/AH$49</f>
        <v>0.36902118166494541</v>
      </c>
      <c r="H46" s="2">
        <f t="shared" si="19"/>
        <v>5.129395099639656E-2</v>
      </c>
      <c r="I46" s="32">
        <f t="shared" si="2"/>
        <v>5.129395099639656E-2</v>
      </c>
      <c r="J46" s="32">
        <f t="shared" si="3"/>
        <v>3.0212137136877572E-2</v>
      </c>
      <c r="O46" s="2"/>
      <c r="P46" s="37"/>
      <c r="Q46" s="32">
        <f t="shared" si="4"/>
        <v>2.1081813859518989E-2</v>
      </c>
      <c r="R46" s="32">
        <f t="shared" si="5"/>
        <v>0</v>
      </c>
      <c r="S46" s="37"/>
      <c r="T46" s="2">
        <f>USA!Z54*G46</f>
        <v>1.2177698994943198</v>
      </c>
      <c r="U46" s="2">
        <v>0</v>
      </c>
      <c r="V46" s="2">
        <v>0</v>
      </c>
      <c r="W46" s="2">
        <v>0</v>
      </c>
      <c r="X46" s="37"/>
      <c r="Y46" s="2">
        <v>0.58899999999999997</v>
      </c>
      <c r="Z46" s="2">
        <f t="shared" si="6"/>
        <v>2.4716356672977939E-2</v>
      </c>
      <c r="AA46" s="39">
        <v>0.12</v>
      </c>
      <c r="AB46" s="2">
        <f t="shared" si="7"/>
        <v>5.495780463899631E-3</v>
      </c>
      <c r="AC46" s="2">
        <f t="shared" si="8"/>
        <v>3.0212137136877572E-2</v>
      </c>
      <c r="AG46"/>
      <c r="AH46">
        <v>61.666666727500001</v>
      </c>
      <c r="AN46">
        <v>1967</v>
      </c>
      <c r="AO46" s="1">
        <f t="shared" si="9"/>
        <v>5.129395099639656E-2</v>
      </c>
      <c r="AP46" s="1">
        <f t="shared" si="20"/>
        <v>2.4716356672977939E-2</v>
      </c>
      <c r="AQ46" s="1">
        <f t="shared" si="21"/>
        <v>5.495780463899631E-3</v>
      </c>
      <c r="AR46" s="1">
        <f t="shared" si="22"/>
        <v>3.0212137136877572E-2</v>
      </c>
      <c r="AS46" s="22">
        <f t="shared" si="10"/>
        <v>2.1081813859518989E-2</v>
      </c>
      <c r="AU46" s="7">
        <v>4.5350918929564639</v>
      </c>
      <c r="AV46" s="12"/>
      <c r="AW46" s="22">
        <f t="shared" si="11"/>
        <v>1.1310454607559806</v>
      </c>
      <c r="AX46" s="22">
        <f t="shared" si="23"/>
        <v>1.1580702516161019</v>
      </c>
      <c r="AY46" s="1">
        <f t="shared" si="12"/>
        <v>0.66618577638527254</v>
      </c>
      <c r="AZ46" s="1">
        <f t="shared" si="13"/>
        <v>0.46485968437070802</v>
      </c>
      <c r="BA46" s="1">
        <f t="shared" si="14"/>
        <v>0.49188447523082929</v>
      </c>
      <c r="BB46" s="3">
        <f t="shared" si="15"/>
        <v>26.852154889863666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 s="23">
        <v>1</v>
      </c>
      <c r="BK46" s="22">
        <f t="shared" si="16"/>
        <v>1.2089945709666208</v>
      </c>
      <c r="BL46" s="22">
        <f t="shared" si="17"/>
        <v>1.2378818496526223</v>
      </c>
      <c r="BN46" s="22"/>
      <c r="BO46" s="22"/>
      <c r="BR46" s="12"/>
      <c r="BS46" s="12"/>
      <c r="BT46" s="12"/>
      <c r="BU46" s="12"/>
      <c r="BV46" s="12"/>
    </row>
    <row r="47" spans="1:74">
      <c r="A47">
        <v>1968</v>
      </c>
      <c r="B47" s="3">
        <f t="shared" si="0"/>
        <v>87.145469712117915</v>
      </c>
      <c r="C47" s="3">
        <f t="shared" si="1"/>
        <v>15.950346083448959</v>
      </c>
      <c r="D47" s="2">
        <v>60.892899999999997</v>
      </c>
      <c r="E47" s="2">
        <v>22.826969999999999</v>
      </c>
      <c r="F47" s="2">
        <f t="shared" si="18"/>
        <v>13.900004015129998</v>
      </c>
      <c r="G47" s="2">
        <f>AH47*G$49/AH$49</f>
        <v>0.4188889089226257</v>
      </c>
      <c r="H47" s="2">
        <f t="shared" si="19"/>
        <v>5.8225575159179213E-2</v>
      </c>
      <c r="I47" s="32">
        <f t="shared" si="2"/>
        <v>5.8225575159179213E-2</v>
      </c>
      <c r="J47" s="32">
        <f t="shared" si="3"/>
        <v>3.4294863768756553E-2</v>
      </c>
      <c r="O47" s="2"/>
      <c r="P47" s="37"/>
      <c r="Q47" s="32">
        <f t="shared" si="4"/>
        <v>2.393071139042266E-2</v>
      </c>
      <c r="R47" s="32">
        <f t="shared" si="5"/>
        <v>0</v>
      </c>
      <c r="S47" s="37"/>
      <c r="T47" s="2">
        <f>USA!Z55*G47</f>
        <v>1.3823333994446647</v>
      </c>
      <c r="U47" s="2">
        <v>0</v>
      </c>
      <c r="V47" s="2">
        <v>0</v>
      </c>
      <c r="W47" s="2">
        <v>0</v>
      </c>
      <c r="X47" s="37"/>
      <c r="Y47" s="2">
        <v>0.58899999999999997</v>
      </c>
      <c r="Z47" s="2">
        <f t="shared" si="6"/>
        <v>2.8056409287415922E-2</v>
      </c>
      <c r="AA47" s="39">
        <v>0.12</v>
      </c>
      <c r="AB47" s="2">
        <f t="shared" si="7"/>
        <v>6.2384544813406297E-3</v>
      </c>
      <c r="AC47" s="2">
        <f t="shared" si="8"/>
        <v>3.4294863768756553E-2</v>
      </c>
      <c r="AG47"/>
      <c r="AH47">
        <v>70.000000069999999</v>
      </c>
      <c r="AN47">
        <v>1968</v>
      </c>
      <c r="AO47" s="1">
        <f t="shared" si="9"/>
        <v>5.8225575159179213E-2</v>
      </c>
      <c r="AP47" s="1">
        <f t="shared" si="20"/>
        <v>2.8056409287415922E-2</v>
      </c>
      <c r="AQ47" s="1">
        <f t="shared" si="21"/>
        <v>6.2384544813406297E-3</v>
      </c>
      <c r="AR47" s="1">
        <f t="shared" si="22"/>
        <v>3.4294863768756553E-2</v>
      </c>
      <c r="AS47" s="22">
        <f t="shared" si="10"/>
        <v>2.393071139042266E-2</v>
      </c>
      <c r="AU47" s="7">
        <v>4.7597769891207742</v>
      </c>
      <c r="AV47" s="12"/>
      <c r="AW47" s="22">
        <f t="shared" si="11"/>
        <v>1.2232836809846974</v>
      </c>
      <c r="AX47" s="22">
        <f t="shared" si="23"/>
        <v>1.2241223175985416</v>
      </c>
      <c r="AY47" s="1">
        <f t="shared" si="12"/>
        <v>0.72051408809998685</v>
      </c>
      <c r="AZ47" s="1">
        <f t="shared" si="13"/>
        <v>0.50276959288471057</v>
      </c>
      <c r="BA47" s="1">
        <f t="shared" si="14"/>
        <v>0.50360822949855488</v>
      </c>
      <c r="BB47" s="3">
        <f t="shared" si="15"/>
        <v>29.041978281844028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 s="23">
        <v>1</v>
      </c>
      <c r="BK47" s="22">
        <f t="shared" si="16"/>
        <v>1.3075896419530744</v>
      </c>
      <c r="BL47" s="22">
        <f t="shared" si="17"/>
        <v>1.3084860755168271</v>
      </c>
      <c r="BN47" s="22"/>
      <c r="BO47" s="22"/>
      <c r="BR47" s="12"/>
      <c r="BS47" s="12"/>
      <c r="BT47" s="12"/>
      <c r="BU47" s="12"/>
      <c r="BV47" s="12"/>
    </row>
    <row r="48" spans="1:74">
      <c r="A48">
        <v>1969</v>
      </c>
      <c r="B48" s="3">
        <f t="shared" si="0"/>
        <v>82.669190865724275</v>
      </c>
      <c r="C48" s="3">
        <f t="shared" si="1"/>
        <v>16.814008114047141</v>
      </c>
      <c r="D48" s="2">
        <v>57.765099999999997</v>
      </c>
      <c r="E48" s="2">
        <v>24.06298</v>
      </c>
      <c r="F48" s="2">
        <f t="shared" si="18"/>
        <v>13.900004459979998</v>
      </c>
      <c r="G48" s="2">
        <f>AH48*G$49/AH$49</f>
        <v>0.4188889089226257</v>
      </c>
      <c r="H48" s="2">
        <f t="shared" si="19"/>
        <v>5.8225577022606521E-2</v>
      </c>
      <c r="I48" s="32">
        <f t="shared" si="2"/>
        <v>5.8225577022606521E-2</v>
      </c>
      <c r="J48" s="32">
        <f t="shared" si="3"/>
        <v>3.4294864866315236E-2</v>
      </c>
      <c r="O48" s="2"/>
      <c r="P48" s="37"/>
      <c r="Q48" s="32">
        <f t="shared" si="4"/>
        <v>2.3930712156291285E-2</v>
      </c>
      <c r="R48" s="32">
        <f t="shared" si="5"/>
        <v>0</v>
      </c>
      <c r="S48" s="37"/>
      <c r="T48" s="2">
        <f>USA!Z56*G48</f>
        <v>1.3823333994446647</v>
      </c>
      <c r="U48" s="2">
        <v>0</v>
      </c>
      <c r="V48" s="2">
        <v>0</v>
      </c>
      <c r="W48" s="2">
        <v>0</v>
      </c>
      <c r="X48" s="37"/>
      <c r="Y48" s="2">
        <v>0.58899999999999997</v>
      </c>
      <c r="Z48" s="2">
        <f t="shared" si="6"/>
        <v>2.8056410185321682E-2</v>
      </c>
      <c r="AA48" s="39">
        <v>0.12</v>
      </c>
      <c r="AB48" s="2">
        <f t="shared" si="7"/>
        <v>6.238454680993555E-3</v>
      </c>
      <c r="AC48" s="2">
        <f t="shared" si="8"/>
        <v>3.4294864866315236E-2</v>
      </c>
      <c r="AG48"/>
      <c r="AH48">
        <v>70.000000069999999</v>
      </c>
      <c r="AN48">
        <v>1969</v>
      </c>
      <c r="AO48" s="1">
        <f t="shared" si="9"/>
        <v>5.8225577022606521E-2</v>
      </c>
      <c r="AP48" s="1">
        <f t="shared" si="20"/>
        <v>2.8056410185321682E-2</v>
      </c>
      <c r="AQ48" s="1">
        <f t="shared" si="21"/>
        <v>6.238454680993555E-3</v>
      </c>
      <c r="AR48" s="1">
        <f t="shared" si="22"/>
        <v>3.4294864866315236E-2</v>
      </c>
      <c r="AS48" s="22">
        <f t="shared" si="10"/>
        <v>2.3930712156291285E-2</v>
      </c>
      <c r="AU48" s="7">
        <v>4.862604545718626</v>
      </c>
      <c r="AV48" s="12"/>
      <c r="AW48" s="22">
        <f t="shared" si="11"/>
        <v>1.197415427784938</v>
      </c>
      <c r="AX48" s="22">
        <f t="shared" si="23"/>
        <v>1.2055979727289587</v>
      </c>
      <c r="AY48" s="1">
        <f t="shared" si="12"/>
        <v>0.70527768696532833</v>
      </c>
      <c r="AZ48" s="1">
        <f t="shared" si="13"/>
        <v>0.4921377408196097</v>
      </c>
      <c r="BA48" s="1">
        <f t="shared" si="14"/>
        <v>0.5003202857636303</v>
      </c>
      <c r="BB48" s="3">
        <f t="shared" si="15"/>
        <v>28.427839164132045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 s="23">
        <v>1</v>
      </c>
      <c r="BK48" s="22">
        <f t="shared" si="16"/>
        <v>1.2799386069027279</v>
      </c>
      <c r="BL48" s="22">
        <f t="shared" si="17"/>
        <v>1.288685074447365</v>
      </c>
      <c r="BN48" s="22"/>
      <c r="BO48" s="22"/>
      <c r="BR48" s="12"/>
      <c r="BS48" s="12"/>
      <c r="BT48" s="12"/>
      <c r="BU48" s="12"/>
      <c r="BV48" s="12"/>
    </row>
    <row r="49" spans="1:74">
      <c r="A49">
        <v>1970</v>
      </c>
      <c r="B49" s="3">
        <f t="shared" si="0"/>
        <v>78.066972848513274</v>
      </c>
      <c r="C49" s="3">
        <f t="shared" si="1"/>
        <v>17.805240938511318</v>
      </c>
      <c r="D49" s="2">
        <v>54.549300000000002</v>
      </c>
      <c r="E49" s="2">
        <v>25.481560000000002</v>
      </c>
      <c r="F49" s="2">
        <f t="shared" si="18"/>
        <v>13.900012609080001</v>
      </c>
      <c r="G49" s="2">
        <v>0.4188889089226257</v>
      </c>
      <c r="H49" s="2">
        <f t="shared" si="19"/>
        <v>5.8225611158282613E-2</v>
      </c>
      <c r="I49" s="32">
        <f t="shared" si="2"/>
        <v>5.8225611158282613E-2</v>
      </c>
      <c r="J49" s="32">
        <f t="shared" si="3"/>
        <v>3.4294884972228455E-2</v>
      </c>
      <c r="O49" s="2"/>
      <c r="P49" s="37"/>
      <c r="Q49" s="32">
        <f t="shared" si="4"/>
        <v>2.3930726186054158E-2</v>
      </c>
      <c r="R49" s="32">
        <f t="shared" si="5"/>
        <v>0</v>
      </c>
      <c r="S49" s="37"/>
      <c r="T49" s="2">
        <f>USA!Z57*G49</f>
        <v>1.4032778448907961</v>
      </c>
      <c r="U49" s="2">
        <v>0</v>
      </c>
      <c r="V49" s="2">
        <v>0</v>
      </c>
      <c r="W49" s="2">
        <v>0</v>
      </c>
      <c r="X49" s="37"/>
      <c r="Y49" s="2">
        <v>0.58899999999999997</v>
      </c>
      <c r="Z49" s="2">
        <f t="shared" si="6"/>
        <v>2.8056426633841034E-2</v>
      </c>
      <c r="AA49" s="39">
        <v>0.12</v>
      </c>
      <c r="AB49" s="2">
        <f t="shared" si="7"/>
        <v>6.2384583383874219E-3</v>
      </c>
      <c r="AC49" s="2">
        <f t="shared" si="8"/>
        <v>3.4294884972228455E-2</v>
      </c>
      <c r="AD49"/>
      <c r="AE49"/>
      <c r="AF49"/>
      <c r="AG49"/>
      <c r="AH49">
        <v>70.000000069999999</v>
      </c>
      <c r="AN49">
        <v>1970</v>
      </c>
      <c r="AO49" s="1">
        <f t="shared" si="9"/>
        <v>5.8225611158282613E-2</v>
      </c>
      <c r="AP49" s="1">
        <f t="shared" si="20"/>
        <v>2.8056426633841034E-2</v>
      </c>
      <c r="AQ49" s="1">
        <f t="shared" si="21"/>
        <v>6.2384583383874219E-3</v>
      </c>
      <c r="AR49" s="1">
        <f t="shared" si="22"/>
        <v>3.4294884972228455E-2</v>
      </c>
      <c r="AS49" s="22">
        <f t="shared" si="10"/>
        <v>2.3930726186054158E-2</v>
      </c>
      <c r="AU49" s="7">
        <v>5.1412876088884882</v>
      </c>
      <c r="AV49" s="12"/>
      <c r="AW49" s="22">
        <f t="shared" si="11"/>
        <v>1.1325102890104723</v>
      </c>
      <c r="AX49" s="22">
        <f t="shared" si="23"/>
        <v>1.1613001028217971</v>
      </c>
      <c r="AY49" s="1">
        <f t="shared" si="12"/>
        <v>0.66704856022716807</v>
      </c>
      <c r="AZ49" s="1">
        <f t="shared" si="13"/>
        <v>0.46546172878330427</v>
      </c>
      <c r="BA49" s="1">
        <f t="shared" si="14"/>
        <v>0.49425154259462889</v>
      </c>
      <c r="BB49" s="3">
        <f t="shared" si="15"/>
        <v>27.294287961341563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 s="23">
        <v>1</v>
      </c>
      <c r="BK49" s="22">
        <f t="shared" si="16"/>
        <v>1.2105603518910191</v>
      </c>
      <c r="BL49" s="22">
        <f t="shared" si="17"/>
        <v>1.2413342949416961</v>
      </c>
      <c r="BN49" s="22"/>
      <c r="BO49" s="22"/>
      <c r="BR49" s="12"/>
      <c r="BS49" s="12"/>
      <c r="BT49" s="12"/>
      <c r="BU49" s="12"/>
      <c r="BV49" s="12"/>
    </row>
    <row r="50" spans="1:74">
      <c r="A50">
        <v>1971</v>
      </c>
      <c r="B50" s="3">
        <f t="shared" si="0"/>
        <v>86.73158780074985</v>
      </c>
      <c r="C50" s="3">
        <f t="shared" si="1"/>
        <v>18.563021376325832</v>
      </c>
      <c r="D50" s="2">
        <v>60.603700000000003</v>
      </c>
      <c r="E50" s="2">
        <v>26.566040000000001</v>
      </c>
      <c r="F50" s="2">
        <f t="shared" si="18"/>
        <v>16.100003183480002</v>
      </c>
      <c r="G50" s="2">
        <v>0.41610872709643038</v>
      </c>
      <c r="H50" s="2">
        <f t="shared" si="19"/>
        <v>6.6993518309263408E-2</v>
      </c>
      <c r="I50" s="32">
        <f t="shared" si="2"/>
        <v>6.6993518309263408E-2</v>
      </c>
      <c r="J50" s="32">
        <f t="shared" si="3"/>
        <v>3.664545451516709E-2</v>
      </c>
      <c r="O50" s="2"/>
      <c r="P50" s="37"/>
      <c r="Q50" s="32">
        <f t="shared" si="4"/>
        <v>3.0348063794096318E-2</v>
      </c>
      <c r="R50" s="32">
        <f t="shared" si="5"/>
        <v>0</v>
      </c>
      <c r="S50" s="37"/>
      <c r="T50" s="2">
        <f>USA!Z58*G50</f>
        <v>1.4813470684632921</v>
      </c>
      <c r="U50" s="2">
        <v>0</v>
      </c>
      <c r="V50" s="2">
        <v>0</v>
      </c>
      <c r="W50" s="2">
        <v>0</v>
      </c>
      <c r="X50" s="37"/>
      <c r="Y50" s="2">
        <v>0.54700000000000004</v>
      </c>
      <c r="Z50" s="2">
        <f t="shared" si="6"/>
        <v>2.9467577553460297E-2</v>
      </c>
      <c r="AA50" s="39">
        <v>0.12</v>
      </c>
      <c r="AB50" s="2">
        <f t="shared" si="7"/>
        <v>7.1778769617067929E-3</v>
      </c>
      <c r="AC50" s="2">
        <f t="shared" si="8"/>
        <v>3.664545451516709E-2</v>
      </c>
      <c r="AD50"/>
      <c r="AE50"/>
      <c r="AF50"/>
      <c r="AG50"/>
      <c r="AH50"/>
      <c r="AN50">
        <v>1971</v>
      </c>
      <c r="AO50" s="1">
        <f t="shared" si="9"/>
        <v>6.6993518309263408E-2</v>
      </c>
      <c r="AP50" s="1">
        <f t="shared" si="20"/>
        <v>2.9467577553460297E-2</v>
      </c>
      <c r="AQ50" s="1">
        <f t="shared" si="21"/>
        <v>7.1778769617067929E-3</v>
      </c>
      <c r="AR50" s="1">
        <f t="shared" si="22"/>
        <v>3.664545451516709E-2</v>
      </c>
      <c r="AS50" s="22">
        <f t="shared" si="10"/>
        <v>3.0348063794096318E-2</v>
      </c>
      <c r="AU50" s="7">
        <v>5.5647693511003782</v>
      </c>
      <c r="AV50" s="12"/>
      <c r="AW50" s="22">
        <f t="shared" si="11"/>
        <v>1.2038867036962835</v>
      </c>
      <c r="AX50" s="22">
        <f t="shared" si="23"/>
        <v>1.1491681302468142</v>
      </c>
      <c r="AY50" s="1">
        <f t="shared" si="12"/>
        <v>0.65852602692186712</v>
      </c>
      <c r="AZ50" s="1">
        <f t="shared" si="13"/>
        <v>0.54536067677441635</v>
      </c>
      <c r="BA50" s="1">
        <f t="shared" si="14"/>
        <v>0.49064210332494718</v>
      </c>
      <c r="BB50" s="3">
        <f t="shared" si="15"/>
        <v>26.620098246666242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 s="23">
        <v>1</v>
      </c>
      <c r="BK50" s="22">
        <f t="shared" si="16"/>
        <v>1.286855868600427</v>
      </c>
      <c r="BL50" s="22">
        <f t="shared" si="17"/>
        <v>1.228366214093322</v>
      </c>
      <c r="BN50" s="22"/>
      <c r="BO50" s="22"/>
      <c r="BR50" s="12"/>
      <c r="BS50" s="12"/>
      <c r="BT50" s="12"/>
      <c r="BU50" s="12"/>
      <c r="BV50" s="12"/>
    </row>
    <row r="51" spans="1:74">
      <c r="A51">
        <v>1972</v>
      </c>
      <c r="B51" s="3">
        <f t="shared" si="0"/>
        <v>78.845935242557672</v>
      </c>
      <c r="C51" s="3">
        <f t="shared" si="1"/>
        <v>19.17664269444656</v>
      </c>
      <c r="D51" s="2">
        <v>55.093600000000002</v>
      </c>
      <c r="E51" s="2">
        <v>27.444210000000002</v>
      </c>
      <c r="F51" s="2">
        <f t="shared" si="18"/>
        <v>15.120003280560002</v>
      </c>
      <c r="G51" s="2">
        <v>0.38627899382560232</v>
      </c>
      <c r="H51" s="2">
        <f t="shared" si="19"/>
        <v>5.8405396538545241E-2</v>
      </c>
      <c r="I51" s="32">
        <f t="shared" si="2"/>
        <v>5.8405396538545241E-2</v>
      </c>
      <c r="J51" s="32">
        <f t="shared" si="3"/>
        <v>3.1947751906584249E-2</v>
      </c>
      <c r="O51" s="2"/>
      <c r="P51" s="37"/>
      <c r="Q51" s="32">
        <f t="shared" si="4"/>
        <v>2.6457644631960993E-2</v>
      </c>
      <c r="R51" s="32">
        <f t="shared" si="5"/>
        <v>0</v>
      </c>
      <c r="S51" s="37"/>
      <c r="T51" s="2">
        <f>USA!Z59*G51</f>
        <v>1.3751532180191444</v>
      </c>
      <c r="U51" s="2">
        <v>0</v>
      </c>
      <c r="V51" s="2">
        <v>0</v>
      </c>
      <c r="W51" s="2">
        <v>0</v>
      </c>
      <c r="X51" s="37"/>
      <c r="Y51" s="2">
        <v>0.54700000000000004</v>
      </c>
      <c r="Z51" s="2">
        <f t="shared" si="6"/>
        <v>2.5690030848882973E-2</v>
      </c>
      <c r="AA51" s="39">
        <v>0.12</v>
      </c>
      <c r="AB51" s="2">
        <f t="shared" si="7"/>
        <v>6.2577210577012751E-3</v>
      </c>
      <c r="AC51" s="2">
        <f t="shared" si="8"/>
        <v>3.1947751906584249E-2</v>
      </c>
      <c r="AD51"/>
      <c r="AE51"/>
      <c r="AF51"/>
      <c r="AG51"/>
      <c r="AH51"/>
      <c r="AN51">
        <v>1972</v>
      </c>
      <c r="AO51" s="1">
        <f t="shared" si="9"/>
        <v>5.8405396538545241E-2</v>
      </c>
      <c r="AP51" s="1">
        <f t="shared" si="20"/>
        <v>2.5690030848882973E-2</v>
      </c>
      <c r="AQ51" s="1">
        <f t="shared" si="21"/>
        <v>6.2577210577012751E-3</v>
      </c>
      <c r="AR51" s="1">
        <f t="shared" si="22"/>
        <v>3.1947751906584249E-2</v>
      </c>
      <c r="AS51" s="22">
        <f t="shared" si="10"/>
        <v>2.6457644631960993E-2</v>
      </c>
      <c r="AU51" s="7">
        <v>6.0251032096545201</v>
      </c>
      <c r="AV51" s="12"/>
      <c r="AW51" s="22">
        <f t="shared" si="11"/>
        <v>0.9693675694211753</v>
      </c>
      <c r="AX51" s="22">
        <f t="shared" si="23"/>
        <v>1.0005613730558482</v>
      </c>
      <c r="AY51" s="1">
        <f t="shared" si="12"/>
        <v>0.53024406047338291</v>
      </c>
      <c r="AZ51" s="1">
        <f t="shared" si="13"/>
        <v>0.4391235089477924</v>
      </c>
      <c r="BA51" s="1">
        <f t="shared" si="14"/>
        <v>0.4703173125824654</v>
      </c>
      <c r="BB51" s="3">
        <f t="shared" si="15"/>
        <v>22.823728825352283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 s="23">
        <v>1</v>
      </c>
      <c r="BK51" s="22">
        <f t="shared" si="16"/>
        <v>1.0361742028635899</v>
      </c>
      <c r="BL51" s="22">
        <f t="shared" si="17"/>
        <v>1.0695178133113179</v>
      </c>
      <c r="BN51" s="22"/>
      <c r="BO51" s="22"/>
      <c r="BR51" s="12"/>
      <c r="BS51" s="12"/>
      <c r="BT51" s="12"/>
      <c r="BU51" s="12"/>
      <c r="BV51" s="12"/>
    </row>
    <row r="52" spans="1:74">
      <c r="A52">
        <v>1973</v>
      </c>
      <c r="B52" s="3">
        <f t="shared" si="0"/>
        <v>94.258886172888921</v>
      </c>
      <c r="C52" s="3">
        <f t="shared" si="1"/>
        <v>20.369443941469338</v>
      </c>
      <c r="D52" s="2">
        <v>65.863399999999999</v>
      </c>
      <c r="E52" s="2">
        <v>29.151260000000001</v>
      </c>
      <c r="F52" s="2">
        <f t="shared" si="18"/>
        <v>19.200010978840002</v>
      </c>
      <c r="G52" s="2">
        <v>0.3501501528574118</v>
      </c>
      <c r="H52" s="2">
        <f t="shared" si="19"/>
        <v>6.7228867791048114E-2</v>
      </c>
      <c r="I52" s="32">
        <f t="shared" si="2"/>
        <v>6.7228867791048114E-2</v>
      </c>
      <c r="J52" s="32">
        <f t="shared" si="3"/>
        <v>3.3614433895524057E-2</v>
      </c>
      <c r="O52" s="2"/>
      <c r="P52" s="37"/>
      <c r="Q52" s="32">
        <f t="shared" si="4"/>
        <v>3.3614433895524057E-2</v>
      </c>
      <c r="R52" s="32">
        <f t="shared" si="5"/>
        <v>0</v>
      </c>
      <c r="S52" s="37"/>
      <c r="T52" s="2">
        <f>USA!Z60*G52</f>
        <v>1.3550810915581837</v>
      </c>
      <c r="U52" s="2">
        <v>0</v>
      </c>
      <c r="V52" s="2">
        <v>0</v>
      </c>
      <c r="W52" s="2">
        <v>0</v>
      </c>
      <c r="X52" s="37"/>
      <c r="Y52" s="2">
        <v>0.5</v>
      </c>
      <c r="Z52" s="2">
        <f t="shared" si="6"/>
        <v>2.6411340917911759E-2</v>
      </c>
      <c r="AA52" s="39">
        <v>0.12</v>
      </c>
      <c r="AB52" s="2">
        <f t="shared" si="7"/>
        <v>7.203092977612297E-3</v>
      </c>
      <c r="AC52" s="2">
        <f t="shared" si="8"/>
        <v>3.3614433895524057E-2</v>
      </c>
      <c r="AD52"/>
      <c r="AE52"/>
      <c r="AF52"/>
      <c r="AG52"/>
      <c r="AH52"/>
      <c r="AN52">
        <v>1973</v>
      </c>
      <c r="AO52" s="1">
        <f t="shared" si="9"/>
        <v>6.7228867791048114E-2</v>
      </c>
      <c r="AP52" s="1">
        <f t="shared" si="20"/>
        <v>2.6411340917911759E-2</v>
      </c>
      <c r="AQ52" s="1">
        <f t="shared" si="21"/>
        <v>7.203092977612297E-3</v>
      </c>
      <c r="AR52" s="1">
        <f t="shared" si="22"/>
        <v>3.3614433895524057E-2</v>
      </c>
      <c r="AS52" s="22">
        <f t="shared" si="10"/>
        <v>3.3614433895524057E-2</v>
      </c>
      <c r="AU52" s="7">
        <v>6.7129717703014684</v>
      </c>
      <c r="AV52" s="12"/>
      <c r="AW52" s="22">
        <f t="shared" si="11"/>
        <v>1.0014769924770439</v>
      </c>
      <c r="AX52" s="22">
        <f t="shared" si="23"/>
        <v>0.95693413208975908</v>
      </c>
      <c r="AY52" s="1">
        <f t="shared" si="12"/>
        <v>0.50073849623852196</v>
      </c>
      <c r="AZ52" s="1">
        <f>AW52-AY52</f>
        <v>0.50073849623852196</v>
      </c>
      <c r="BA52" s="1">
        <f t="shared" si="14"/>
        <v>0.45619563585123707</v>
      </c>
      <c r="BB52" s="3">
        <f t="shared" si="15"/>
        <v>20.186009086961036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 s="23">
        <v>1</v>
      </c>
      <c r="BK52" s="22">
        <f t="shared" si="16"/>
        <v>1.0704965351644227</v>
      </c>
      <c r="BL52" s="22">
        <f t="shared" si="17"/>
        <v>1.022883880985556</v>
      </c>
      <c r="BN52" s="22"/>
      <c r="BO52" s="22"/>
      <c r="BR52" s="12"/>
      <c r="BS52" s="12"/>
      <c r="BT52" s="12"/>
      <c r="BU52" s="12"/>
      <c r="BV52" s="12"/>
    </row>
    <row r="53" spans="1:74">
      <c r="A53">
        <v>1974</v>
      </c>
      <c r="B53" s="3">
        <f t="shared" si="0"/>
        <v>134.85265874468715</v>
      </c>
      <c r="C53" s="3">
        <f t="shared" si="1"/>
        <v>22.617266903639468</v>
      </c>
      <c r="D53" s="2">
        <v>94.228300000000004</v>
      </c>
      <c r="E53" s="2">
        <v>32.368180000000002</v>
      </c>
      <c r="F53" s="2">
        <f t="shared" si="18"/>
        <v>30.499985754940003</v>
      </c>
      <c r="G53" s="2">
        <v>0.34670284759535064</v>
      </c>
      <c r="H53" s="2">
        <f t="shared" si="19"/>
        <v>0.1057443191285533</v>
      </c>
      <c r="I53" s="32">
        <f t="shared" si="2"/>
        <v>0.1057443191285533</v>
      </c>
      <c r="J53" s="32">
        <f t="shared" si="3"/>
        <v>5.6044489138133251E-2</v>
      </c>
      <c r="O53" s="2"/>
      <c r="P53" s="37"/>
      <c r="Q53" s="32">
        <f t="shared" si="4"/>
        <v>4.9699829990420046E-2</v>
      </c>
      <c r="R53" s="32">
        <f t="shared" si="5"/>
        <v>0</v>
      </c>
      <c r="S53" s="37"/>
      <c r="T53" s="2">
        <f>USA!Z61*G53</f>
        <v>4.257510968470906</v>
      </c>
      <c r="U53" s="2">
        <v>0</v>
      </c>
      <c r="V53" s="2">
        <v>0</v>
      </c>
      <c r="W53" s="2">
        <v>0</v>
      </c>
      <c r="X53" s="37"/>
      <c r="Y53" s="2">
        <v>0.53</v>
      </c>
      <c r="Z53" s="2">
        <f t="shared" si="6"/>
        <v>4.4714740660073971E-2</v>
      </c>
      <c r="AA53" s="39">
        <v>0.12</v>
      </c>
      <c r="AB53" s="2">
        <f t="shared" si="7"/>
        <v>1.132974847805928E-2</v>
      </c>
      <c r="AC53" s="2">
        <f t="shared" si="8"/>
        <v>5.6044489138133251E-2</v>
      </c>
      <c r="AD53"/>
      <c r="AE53"/>
      <c r="AF53"/>
      <c r="AG53"/>
      <c r="AH53"/>
      <c r="AN53">
        <v>1974</v>
      </c>
      <c r="AO53" s="1">
        <f t="shared" si="9"/>
        <v>0.1057443191285533</v>
      </c>
      <c r="AP53" s="1">
        <f t="shared" si="20"/>
        <v>4.4714740660073971E-2</v>
      </c>
      <c r="AQ53" s="1">
        <f t="shared" si="21"/>
        <v>1.132974847805928E-2</v>
      </c>
      <c r="AR53" s="1">
        <f t="shared" si="22"/>
        <v>5.6044489138133251E-2</v>
      </c>
      <c r="AS53" s="22">
        <f t="shared" si="10"/>
        <v>4.9699829990420046E-2</v>
      </c>
      <c r="AU53" s="7">
        <v>7.7655912531774662</v>
      </c>
      <c r="AV53" s="12"/>
      <c r="AW53" s="22">
        <f t="shared" si="11"/>
        <v>1.3617033871733286</v>
      </c>
      <c r="AX53" s="22">
        <f t="shared" si="23"/>
        <v>1.3467130979077599</v>
      </c>
      <c r="AY53" s="1">
        <f t="shared" si="12"/>
        <v>0.7217027952018642</v>
      </c>
      <c r="AZ53" s="1">
        <f t="shared" ref="AZ53:AZ89" si="24">AW53-AY53</f>
        <v>0.64000059197146442</v>
      </c>
      <c r="BA53" s="1">
        <f t="shared" si="14"/>
        <v>0.62501030270589575</v>
      </c>
      <c r="BB53" s="3">
        <f t="shared" si="15"/>
        <v>54.825329194719721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 s="23">
        <v>0.5</v>
      </c>
      <c r="BK53" s="22">
        <f t="shared" si="16"/>
        <v>1.4555489230813463</v>
      </c>
      <c r="BL53" s="22">
        <f t="shared" si="17"/>
        <v>1.4395255367824629</v>
      </c>
      <c r="BN53" s="22"/>
      <c r="BO53" s="22"/>
      <c r="BR53" s="12"/>
      <c r="BS53" s="12"/>
      <c r="BT53" s="12"/>
      <c r="BU53" s="12"/>
      <c r="BV53" s="12"/>
    </row>
    <row r="54" spans="1:74">
      <c r="A54">
        <v>1975</v>
      </c>
      <c r="B54" s="3">
        <f t="shared" si="0"/>
        <v>142.20507340462296</v>
      </c>
      <c r="C54" s="3">
        <f t="shared" si="1"/>
        <v>24.682660206706046</v>
      </c>
      <c r="D54" s="2">
        <v>99.365799999999993</v>
      </c>
      <c r="E54" s="2">
        <v>35.324019999999997</v>
      </c>
      <c r="F54" s="2">
        <f t="shared" si="18"/>
        <v>35.099995065159995</v>
      </c>
      <c r="G54" s="2">
        <v>0.34502251792017757</v>
      </c>
      <c r="H54" s="2">
        <f t="shared" si="19"/>
        <v>0.12110288676367309</v>
      </c>
      <c r="I54" s="32">
        <f t="shared" si="2"/>
        <v>0.12110288676367309</v>
      </c>
      <c r="J54" s="32">
        <f t="shared" si="3"/>
        <v>7.7263641755223433E-2</v>
      </c>
      <c r="O54" s="2"/>
      <c r="P54" s="37"/>
      <c r="Q54" s="32">
        <f t="shared" si="4"/>
        <v>4.3839245008449657E-2</v>
      </c>
      <c r="R54" s="32">
        <f t="shared" si="5"/>
        <v>0</v>
      </c>
      <c r="S54" s="37"/>
      <c r="T54" s="2">
        <f>USA!Z62*G54</f>
        <v>4.3714353020486501</v>
      </c>
      <c r="U54" s="2">
        <v>0</v>
      </c>
      <c r="V54" s="2">
        <v>0</v>
      </c>
      <c r="W54" s="2">
        <v>0</v>
      </c>
      <c r="X54" s="37"/>
      <c r="Y54" s="2">
        <v>0.63800000000000001</v>
      </c>
      <c r="Z54" s="2">
        <f t="shared" si="6"/>
        <v>6.428833245911561E-2</v>
      </c>
      <c r="AA54" s="39">
        <v>0.12</v>
      </c>
      <c r="AB54" s="2">
        <f t="shared" si="7"/>
        <v>1.297530929610783E-2</v>
      </c>
      <c r="AC54" s="2">
        <f t="shared" si="8"/>
        <v>7.7263641755223433E-2</v>
      </c>
      <c r="AD54"/>
      <c r="AE54"/>
      <c r="AF54"/>
      <c r="AG54"/>
      <c r="AH54"/>
      <c r="AN54">
        <v>1975</v>
      </c>
      <c r="AO54" s="1">
        <f t="shared" si="9"/>
        <v>0.12110288676367309</v>
      </c>
      <c r="AP54" s="1">
        <f t="shared" si="20"/>
        <v>6.428833245911561E-2</v>
      </c>
      <c r="AQ54" s="1">
        <f t="shared" si="21"/>
        <v>1.297530929610783E-2</v>
      </c>
      <c r="AR54" s="1">
        <f t="shared" si="22"/>
        <v>7.7263641755223433E-2</v>
      </c>
      <c r="AS54" s="22">
        <f t="shared" si="10"/>
        <v>4.3839245008449657E-2</v>
      </c>
      <c r="AU54" s="7">
        <v>9.0821144585432769</v>
      </c>
      <c r="AV54" s="12"/>
      <c r="AW54" s="22">
        <f t="shared" si="11"/>
        <v>1.3334217193195048</v>
      </c>
      <c r="AX54" s="22">
        <f t="shared" si="23"/>
        <v>1.3463179088933421</v>
      </c>
      <c r="AY54" s="1">
        <f t="shared" si="12"/>
        <v>0.85072305692584405</v>
      </c>
      <c r="AZ54" s="22">
        <f t="shared" si="24"/>
        <v>0.48269866239366077</v>
      </c>
      <c r="BA54" s="1">
        <f t="shared" si="14"/>
        <v>0.49559485196749808</v>
      </c>
      <c r="BB54" s="3">
        <f t="shared" si="15"/>
        <v>48.132352020036151</v>
      </c>
      <c r="BC54">
        <v>0</v>
      </c>
      <c r="BD54">
        <v>0</v>
      </c>
      <c r="BE54">
        <v>0</v>
      </c>
      <c r="BF54">
        <v>0</v>
      </c>
      <c r="BG54" s="23">
        <v>0.6</v>
      </c>
      <c r="BH54">
        <v>0</v>
      </c>
      <c r="BI54">
        <v>0</v>
      </c>
      <c r="BK54" s="22">
        <f t="shared" si="16"/>
        <v>1.4253181462650897</v>
      </c>
      <c r="BL54" s="22">
        <f t="shared" si="17"/>
        <v>1.43910311222968</v>
      </c>
      <c r="BN54" s="22"/>
      <c r="BO54" s="22"/>
      <c r="BR54" s="12"/>
      <c r="BS54" s="12"/>
      <c r="BT54" s="12"/>
      <c r="BU54" s="12"/>
      <c r="BV54" s="12"/>
    </row>
    <row r="55" spans="1:74">
      <c r="A55">
        <v>1976</v>
      </c>
      <c r="B55" s="3">
        <f t="shared" si="0"/>
        <v>146.67333794014641</v>
      </c>
      <c r="C55" s="3">
        <f t="shared" si="1"/>
        <v>26.098712089869402</v>
      </c>
      <c r="D55" s="2">
        <v>102.488</v>
      </c>
      <c r="E55" s="2">
        <v>37.350569999999998</v>
      </c>
      <c r="F55" s="2">
        <f t="shared" si="18"/>
        <v>38.279852181599999</v>
      </c>
      <c r="G55" s="2">
        <v>0.40209462735246154</v>
      </c>
      <c r="H55" s="2">
        <f t="shared" si="19"/>
        <v>0.15392122898067762</v>
      </c>
      <c r="I55" s="32">
        <f t="shared" si="2"/>
        <v>0.15392122898067762</v>
      </c>
      <c r="J55" s="32">
        <f t="shared" si="3"/>
        <v>9.8509586547633671E-2</v>
      </c>
      <c r="O55" s="2"/>
      <c r="P55" s="37"/>
      <c r="Q55" s="32">
        <f t="shared" si="4"/>
        <v>5.5411642433043945E-2</v>
      </c>
      <c r="R55" s="32">
        <f t="shared" si="5"/>
        <v>0</v>
      </c>
      <c r="S55" s="37"/>
      <c r="T55" s="2">
        <f>USA!Z63*G55</f>
        <v>5.355900436334788</v>
      </c>
      <c r="U55" s="2">
        <v>0</v>
      </c>
      <c r="V55" s="2">
        <v>0</v>
      </c>
      <c r="W55" s="2">
        <v>0</v>
      </c>
      <c r="X55" s="37"/>
      <c r="Y55" s="2">
        <v>0.64</v>
      </c>
      <c r="Z55" s="2">
        <f t="shared" si="6"/>
        <v>8.2018026299703922E-2</v>
      </c>
      <c r="AA55" s="39">
        <v>0.12</v>
      </c>
      <c r="AB55" s="2">
        <f t="shared" si="7"/>
        <v>1.6491560247929745E-2</v>
      </c>
      <c r="AC55" s="2">
        <f t="shared" si="8"/>
        <v>9.8509586547633671E-2</v>
      </c>
      <c r="AD55"/>
      <c r="AE55"/>
      <c r="AF55"/>
      <c r="AG55"/>
      <c r="AH55"/>
      <c r="AN55">
        <v>1976</v>
      </c>
      <c r="AO55" s="1">
        <f t="shared" si="9"/>
        <v>0.15392122898067762</v>
      </c>
      <c r="AP55" s="1">
        <f t="shared" si="20"/>
        <v>8.2018026299703922E-2</v>
      </c>
      <c r="AQ55" s="1">
        <f t="shared" si="21"/>
        <v>1.6491560247929745E-2</v>
      </c>
      <c r="AR55" s="1">
        <f t="shared" si="22"/>
        <v>9.8509586547633671E-2</v>
      </c>
      <c r="AS55" s="22">
        <f t="shared" si="10"/>
        <v>5.5411642433043945E-2</v>
      </c>
      <c r="AU55" s="7">
        <v>10.682826233324178</v>
      </c>
      <c r="AV55" s="12"/>
      <c r="AW55" s="22">
        <f t="shared" si="11"/>
        <v>1.4408287247108194</v>
      </c>
      <c r="AX55" s="22">
        <f t="shared" si="23"/>
        <v>1.4284501835490337</v>
      </c>
      <c r="AY55" s="1">
        <f t="shared" si="12"/>
        <v>0.92213038381492429</v>
      </c>
      <c r="AZ55" s="22">
        <f t="shared" si="24"/>
        <v>0.51869834089589506</v>
      </c>
      <c r="BA55" s="1">
        <f t="shared" si="14"/>
        <v>0.50631979973410945</v>
      </c>
      <c r="BB55" s="3">
        <f t="shared" si="15"/>
        <v>50.135613173483129</v>
      </c>
      <c r="BC55">
        <v>0</v>
      </c>
      <c r="BD55">
        <v>0</v>
      </c>
      <c r="BE55">
        <v>0</v>
      </c>
      <c r="BF55">
        <v>0</v>
      </c>
      <c r="BG55" s="23">
        <v>0.6</v>
      </c>
      <c r="BH55">
        <v>0</v>
      </c>
      <c r="BI55">
        <v>0</v>
      </c>
      <c r="BK55" s="22">
        <f t="shared" si="16"/>
        <v>1.5401274009833645</v>
      </c>
      <c r="BL55" s="22">
        <f t="shared" si="17"/>
        <v>1.5268957585955485</v>
      </c>
      <c r="BN55" s="22"/>
      <c r="BO55" s="22"/>
      <c r="BR55" s="12"/>
      <c r="BS55" s="12"/>
      <c r="BT55" s="12"/>
      <c r="BU55" s="12"/>
      <c r="BV55" s="12"/>
    </row>
    <row r="56" spans="1:74">
      <c r="A56">
        <v>1977</v>
      </c>
      <c r="B56" s="3">
        <f t="shared" si="0"/>
        <v>126.30410818737433</v>
      </c>
      <c r="C56" s="3">
        <f t="shared" si="1"/>
        <v>27.791594761847083</v>
      </c>
      <c r="D56" s="2">
        <v>88.254999999999995</v>
      </c>
      <c r="E56" s="2">
        <v>39.773299999999999</v>
      </c>
      <c r="F56" s="2">
        <f t="shared" si="18"/>
        <v>35.101925914999995</v>
      </c>
      <c r="G56" s="2">
        <v>0.45653981304516811</v>
      </c>
      <c r="H56" s="2">
        <f t="shared" si="19"/>
        <v>0.1602542669475944</v>
      </c>
      <c r="I56" s="32">
        <f t="shared" si="2"/>
        <v>0.1602542669475944</v>
      </c>
      <c r="J56" s="32">
        <f t="shared" si="3"/>
        <v>0.10256273084646042</v>
      </c>
      <c r="O56" s="2"/>
      <c r="P56" s="37"/>
      <c r="Q56" s="32">
        <f t="shared" si="4"/>
        <v>5.7691536101133978E-2</v>
      </c>
      <c r="R56" s="32">
        <f t="shared" si="5"/>
        <v>0</v>
      </c>
      <c r="S56" s="37"/>
      <c r="T56" s="2">
        <f>USA!Z64*G56</f>
        <v>6.5559117153286142</v>
      </c>
      <c r="U56" s="2">
        <v>0</v>
      </c>
      <c r="V56" s="2">
        <v>0</v>
      </c>
      <c r="W56" s="2">
        <v>0</v>
      </c>
      <c r="X56" s="37"/>
      <c r="Y56" s="2">
        <v>0.64</v>
      </c>
      <c r="Z56" s="2">
        <f t="shared" si="6"/>
        <v>8.5392630816361031E-2</v>
      </c>
      <c r="AA56" s="39">
        <v>0.12</v>
      </c>
      <c r="AB56" s="2">
        <f t="shared" si="7"/>
        <v>1.7170100030099396E-2</v>
      </c>
      <c r="AC56" s="2">
        <f t="shared" si="8"/>
        <v>0.10256273084646042</v>
      </c>
      <c r="AD56"/>
      <c r="AE56"/>
      <c r="AF56"/>
      <c r="AG56"/>
      <c r="AH56"/>
      <c r="AN56">
        <v>1977</v>
      </c>
      <c r="AO56" s="1">
        <f t="shared" si="9"/>
        <v>0.1602542669475944</v>
      </c>
      <c r="AP56" s="1">
        <f t="shared" si="20"/>
        <v>8.5392630816361031E-2</v>
      </c>
      <c r="AQ56" s="1">
        <f t="shared" si="21"/>
        <v>1.7170100030099396E-2</v>
      </c>
      <c r="AR56" s="1">
        <f t="shared" si="22"/>
        <v>0.10256273084646042</v>
      </c>
      <c r="AS56" s="22">
        <f t="shared" si="10"/>
        <v>5.7691536101133978E-2</v>
      </c>
      <c r="AU56" s="7">
        <v>13.304183475870381</v>
      </c>
      <c r="AV56" s="12"/>
      <c r="AW56" s="22">
        <f t="shared" si="11"/>
        <v>1.2045404157139399</v>
      </c>
      <c r="AX56" s="22">
        <f t="shared" si="23"/>
        <v>1.2213308609811333</v>
      </c>
      <c r="AY56" s="1">
        <f t="shared" si="12"/>
        <v>0.77090586605692157</v>
      </c>
      <c r="AZ56" s="22">
        <f t="shared" si="24"/>
        <v>0.43363454965701831</v>
      </c>
      <c r="BA56" s="1">
        <f t="shared" si="14"/>
        <v>0.45042499492421173</v>
      </c>
      <c r="BB56" s="3">
        <f t="shared" si="15"/>
        <v>49.277069331003915</v>
      </c>
      <c r="BC56">
        <v>0</v>
      </c>
      <c r="BD56">
        <v>0</v>
      </c>
      <c r="BE56">
        <v>0</v>
      </c>
      <c r="BF56">
        <v>0</v>
      </c>
      <c r="BG56" s="23">
        <v>1</v>
      </c>
      <c r="BH56">
        <v>0</v>
      </c>
      <c r="BI56">
        <v>0</v>
      </c>
      <c r="BK56" s="22">
        <f t="shared" si="16"/>
        <v>1.2875546329805909</v>
      </c>
      <c r="BL56" s="22">
        <f t="shared" si="17"/>
        <v>1.3055022379854162</v>
      </c>
      <c r="BN56" s="22"/>
      <c r="BO56" s="22"/>
      <c r="BR56" s="12"/>
      <c r="BS56" s="12"/>
      <c r="BT56" s="12"/>
      <c r="BU56" s="12"/>
      <c r="BV56" s="12"/>
    </row>
    <row r="57" spans="1:74">
      <c r="A57">
        <v>1978</v>
      </c>
      <c r="B57" s="3">
        <f t="shared" si="0"/>
        <v>147.74238976515318</v>
      </c>
      <c r="C57" s="3">
        <f t="shared" si="1"/>
        <v>29.916940817905406</v>
      </c>
      <c r="D57" s="2">
        <v>103.235</v>
      </c>
      <c r="E57" s="2">
        <v>42.81494</v>
      </c>
      <c r="F57" s="2">
        <f t="shared" si="18"/>
        <v>44.200003309000003</v>
      </c>
      <c r="G57" s="2">
        <v>0.46078295850211753</v>
      </c>
      <c r="H57" s="2">
        <f t="shared" si="19"/>
        <v>0.20366608290524407</v>
      </c>
      <c r="I57" s="32">
        <f t="shared" si="2"/>
        <v>0.20366608290524407</v>
      </c>
      <c r="J57" s="32">
        <f t="shared" si="3"/>
        <v>0.12627297140125132</v>
      </c>
      <c r="O57" s="2"/>
      <c r="P57" s="37"/>
      <c r="Q57" s="32">
        <f t="shared" si="4"/>
        <v>7.7393111503992751E-2</v>
      </c>
      <c r="R57" s="32">
        <f t="shared" si="5"/>
        <v>0</v>
      </c>
      <c r="S57" s="37"/>
      <c r="T57" s="2">
        <f>USA!Z65*G57</f>
        <v>6.6076276249203652</v>
      </c>
      <c r="U57" s="2">
        <v>0</v>
      </c>
      <c r="V57" s="2">
        <v>0</v>
      </c>
      <c r="W57" s="2">
        <v>0</v>
      </c>
      <c r="X57" s="37"/>
      <c r="Y57" s="2">
        <v>0.62</v>
      </c>
      <c r="Z57" s="2">
        <f t="shared" si="6"/>
        <v>0.10445160537568945</v>
      </c>
      <c r="AA57" s="39">
        <v>0.12</v>
      </c>
      <c r="AB57" s="2">
        <f t="shared" si="7"/>
        <v>2.1821366025561863E-2</v>
      </c>
      <c r="AC57" s="2">
        <f t="shared" si="8"/>
        <v>0.12627297140125132</v>
      </c>
      <c r="AD57"/>
      <c r="AE57"/>
      <c r="AF57"/>
      <c r="AG57"/>
      <c r="AH57"/>
      <c r="AN57">
        <v>1978</v>
      </c>
      <c r="AO57" s="1">
        <f t="shared" si="9"/>
        <v>0.20366608290524407</v>
      </c>
      <c r="AP57" s="1">
        <f t="shared" si="20"/>
        <v>0.10445160537568945</v>
      </c>
      <c r="AQ57" s="1">
        <f t="shared" si="21"/>
        <v>2.1821366025561863E-2</v>
      </c>
      <c r="AR57" s="1">
        <f t="shared" si="22"/>
        <v>0.12627297140125132</v>
      </c>
      <c r="AS57" s="22">
        <f t="shared" si="10"/>
        <v>7.7393111503992751E-2</v>
      </c>
      <c r="AU57" s="7">
        <v>15.934911473420216</v>
      </c>
      <c r="AV57" s="12"/>
      <c r="AW57" s="22">
        <f t="shared" si="11"/>
        <v>1.2781124215529129</v>
      </c>
      <c r="AX57" s="22">
        <f t="shared" si="23"/>
        <v>1.252336532818894</v>
      </c>
      <c r="AY57" s="1">
        <f t="shared" si="12"/>
        <v>0.79242970136280588</v>
      </c>
      <c r="AZ57" s="22">
        <f t="shared" si="24"/>
        <v>0.48568272019010705</v>
      </c>
      <c r="BA57" s="1">
        <f t="shared" si="14"/>
        <v>0.45990683145608813</v>
      </c>
      <c r="BB57" s="3">
        <f t="shared" si="15"/>
        <v>41.466359169563219</v>
      </c>
      <c r="BC57">
        <v>0</v>
      </c>
      <c r="BD57">
        <v>0</v>
      </c>
      <c r="BE57">
        <v>0</v>
      </c>
      <c r="BF57">
        <v>0</v>
      </c>
      <c r="BG57" s="23">
        <v>0.6</v>
      </c>
      <c r="BH57">
        <v>0</v>
      </c>
      <c r="BI57">
        <v>0</v>
      </c>
      <c r="BK57" s="22">
        <f t="shared" si="16"/>
        <v>1.3661970560490595</v>
      </c>
      <c r="BL57" s="22">
        <f t="shared" si="17"/>
        <v>1.338644751015768</v>
      </c>
      <c r="BN57" s="22"/>
      <c r="BO57" s="22"/>
      <c r="BR57" s="12"/>
      <c r="BS57" s="12"/>
      <c r="BT57" s="12"/>
      <c r="BU57" s="12"/>
      <c r="BV57" s="12"/>
    </row>
    <row r="58" spans="1:74">
      <c r="A58">
        <v>1979</v>
      </c>
      <c r="B58" s="3">
        <f t="shared" si="0"/>
        <v>182.4114399134636</v>
      </c>
      <c r="C58" s="3">
        <f t="shared" si="1"/>
        <v>33.287054161079702</v>
      </c>
      <c r="D58" s="2">
        <v>127.46</v>
      </c>
      <c r="E58" s="2">
        <v>47.637999999999998</v>
      </c>
      <c r="F58" s="2">
        <f t="shared" si="18"/>
        <v>60.719394799999989</v>
      </c>
      <c r="G58" s="2">
        <v>0.40342937506761389</v>
      </c>
      <c r="H58" s="2">
        <f t="shared" si="19"/>
        <v>0.24495987498647723</v>
      </c>
      <c r="I58" s="32">
        <f t="shared" si="2"/>
        <v>0.24495987498647723</v>
      </c>
      <c r="J58" s="32">
        <f t="shared" si="3"/>
        <v>0.15432472124148067</v>
      </c>
      <c r="O58" s="2"/>
      <c r="P58" s="37"/>
      <c r="Q58" s="32">
        <f t="shared" si="4"/>
        <v>9.0635153744996561E-2</v>
      </c>
      <c r="R58" s="32">
        <f t="shared" si="5"/>
        <v>0</v>
      </c>
      <c r="S58" s="37"/>
      <c r="T58" s="2">
        <f>USA!Z66*G58</f>
        <v>8.6454915076989653</v>
      </c>
      <c r="U58" s="2">
        <v>0</v>
      </c>
      <c r="V58" s="2">
        <v>0</v>
      </c>
      <c r="W58" s="2">
        <v>0</v>
      </c>
      <c r="X58" s="37"/>
      <c r="Y58" s="2">
        <v>0.63</v>
      </c>
      <c r="Z58" s="2">
        <f t="shared" si="6"/>
        <v>0.1280790203500724</v>
      </c>
      <c r="AA58" s="39">
        <v>0.12</v>
      </c>
      <c r="AB58" s="2">
        <f t="shared" si="7"/>
        <v>2.624570089140827E-2</v>
      </c>
      <c r="AC58" s="2">
        <f t="shared" si="8"/>
        <v>0.15432472124148067</v>
      </c>
      <c r="AD58"/>
      <c r="AE58"/>
      <c r="AF58"/>
      <c r="AG58"/>
      <c r="AH58"/>
      <c r="AN58">
        <v>1979</v>
      </c>
      <c r="AO58" s="1">
        <f t="shared" si="9"/>
        <v>0.24495987498647723</v>
      </c>
      <c r="AP58" s="1">
        <f t="shared" si="20"/>
        <v>0.1280790203500724</v>
      </c>
      <c r="AQ58" s="1">
        <f t="shared" si="21"/>
        <v>2.624570089140827E-2</v>
      </c>
      <c r="AR58" s="1">
        <f t="shared" si="22"/>
        <v>0.15432472124148067</v>
      </c>
      <c r="AS58" s="22">
        <f t="shared" si="10"/>
        <v>9.0635153744996561E-2</v>
      </c>
      <c r="AU58" s="7">
        <v>18.430355260454213</v>
      </c>
      <c r="AV58" s="12"/>
      <c r="AW58" s="22">
        <f t="shared" si="11"/>
        <v>1.3291109776493817</v>
      </c>
      <c r="AX58" s="22">
        <f t="shared" si="23"/>
        <v>1.326385142526026</v>
      </c>
      <c r="AY58" s="1">
        <f t="shared" si="12"/>
        <v>0.8373399159191105</v>
      </c>
      <c r="AZ58" s="22">
        <f t="shared" si="24"/>
        <v>0.49177106173027119</v>
      </c>
      <c r="BA58" s="1">
        <f t="shared" si="14"/>
        <v>0.48904522660691552</v>
      </c>
      <c r="BB58" s="3">
        <f t="shared" si="15"/>
        <v>46.908979157062106</v>
      </c>
      <c r="BC58">
        <v>0</v>
      </c>
      <c r="BD58">
        <v>0</v>
      </c>
      <c r="BE58">
        <v>0</v>
      </c>
      <c r="BF58">
        <v>0</v>
      </c>
      <c r="BG58" s="23">
        <v>0.6</v>
      </c>
      <c r="BH58">
        <v>0</v>
      </c>
      <c r="BI58">
        <v>0</v>
      </c>
      <c r="BK58" s="22">
        <f t="shared" si="16"/>
        <v>1.4207103179709599</v>
      </c>
      <c r="BL58" s="22">
        <f t="shared" si="17"/>
        <v>1.4177966244194342</v>
      </c>
      <c r="BN58" s="22"/>
      <c r="BO58" s="22"/>
      <c r="BR58" s="12"/>
      <c r="BS58" s="12"/>
      <c r="BT58" s="12"/>
      <c r="BU58" s="12"/>
      <c r="BV58" s="12"/>
    </row>
    <row r="59" spans="1:74">
      <c r="A59">
        <v>1980</v>
      </c>
      <c r="B59" s="3">
        <f t="shared" si="0"/>
        <v>172.76993771122764</v>
      </c>
      <c r="C59" s="3">
        <f t="shared" si="1"/>
        <v>37.784321185500851</v>
      </c>
      <c r="D59" s="2">
        <v>120.723</v>
      </c>
      <c r="E59" s="2">
        <v>54.074159999999999</v>
      </c>
      <c r="F59" s="2">
        <f t="shared" si="18"/>
        <v>65.279948176800005</v>
      </c>
      <c r="G59" s="2">
        <v>0.43093719824183924</v>
      </c>
      <c r="H59" s="2">
        <f t="shared" si="19"/>
        <v>0.28131557968682658</v>
      </c>
      <c r="I59" s="32">
        <f t="shared" si="2"/>
        <v>0.28131557968682658</v>
      </c>
      <c r="J59" s="32">
        <f t="shared" si="3"/>
        <v>0.17722881520270076</v>
      </c>
      <c r="O59" s="2"/>
      <c r="P59" s="37"/>
      <c r="Q59" s="32">
        <f t="shared" si="4"/>
        <v>0.10408676448412582</v>
      </c>
      <c r="R59" s="32">
        <f t="shared" si="5"/>
        <v>0</v>
      </c>
      <c r="S59" s="37"/>
      <c r="T59" s="2">
        <f>USA!Z67*G59</f>
        <v>14.561367928591748</v>
      </c>
      <c r="U59" s="2">
        <v>0</v>
      </c>
      <c r="V59" s="2">
        <v>0</v>
      </c>
      <c r="W59" s="2">
        <v>0</v>
      </c>
      <c r="X59" s="37"/>
      <c r="Y59" s="2">
        <v>0.63</v>
      </c>
      <c r="Z59" s="2">
        <f t="shared" si="6"/>
        <v>0.14708786023625506</v>
      </c>
      <c r="AA59" s="39">
        <v>0.12</v>
      </c>
      <c r="AB59" s="2">
        <f t="shared" si="7"/>
        <v>3.0140954966445706E-2</v>
      </c>
      <c r="AC59" s="2">
        <f t="shared" si="8"/>
        <v>0.17722881520270076</v>
      </c>
      <c r="AD59"/>
      <c r="AE59"/>
      <c r="AF59"/>
      <c r="AG59"/>
      <c r="AH59"/>
      <c r="AN59">
        <v>1980</v>
      </c>
      <c r="AO59" s="1">
        <f t="shared" si="9"/>
        <v>0.28131557968682658</v>
      </c>
      <c r="AP59" s="1">
        <f t="shared" si="20"/>
        <v>0.14708786023625506</v>
      </c>
      <c r="AQ59" s="1">
        <f t="shared" si="21"/>
        <v>3.0140954966445706E-2</v>
      </c>
      <c r="AR59" s="1">
        <f t="shared" si="22"/>
        <v>0.17722881520270076</v>
      </c>
      <c r="AS59" s="22">
        <f t="shared" si="10"/>
        <v>0.10408676448412582</v>
      </c>
      <c r="AU59" s="7">
        <v>21.298470558766365</v>
      </c>
      <c r="AV59" s="12"/>
      <c r="AW59" s="22">
        <f t="shared" si="11"/>
        <v>1.3208252625963239</v>
      </c>
      <c r="AX59" s="22">
        <f t="shared" si="23"/>
        <v>1.3208252625963239</v>
      </c>
      <c r="AY59" s="1">
        <f t="shared" si="12"/>
        <v>0.83211991543568409</v>
      </c>
      <c r="AZ59" s="22">
        <f t="shared" si="24"/>
        <v>0.48870534716063985</v>
      </c>
      <c r="BA59" s="1">
        <f t="shared" si="14"/>
        <v>0.48870534716063974</v>
      </c>
      <c r="BB59" s="3">
        <f t="shared" si="15"/>
        <v>68.368138869006017</v>
      </c>
      <c r="BC59">
        <v>0</v>
      </c>
      <c r="BD59">
        <v>0</v>
      </c>
      <c r="BE59">
        <v>0</v>
      </c>
      <c r="BF59">
        <v>0</v>
      </c>
      <c r="BG59">
        <v>0</v>
      </c>
      <c r="BH59" s="23">
        <v>1</v>
      </c>
      <c r="BI59">
        <v>0</v>
      </c>
      <c r="BK59" s="22">
        <f t="shared" si="16"/>
        <v>1.4118535700653296</v>
      </c>
      <c r="BL59" s="22">
        <f t="shared" si="17"/>
        <v>1.4118535700653296</v>
      </c>
      <c r="BN59" s="22"/>
      <c r="BO59" s="22"/>
      <c r="BR59" s="12"/>
      <c r="BS59" s="12"/>
      <c r="BT59" s="12"/>
      <c r="BU59" s="12"/>
      <c r="BV59" s="12"/>
    </row>
    <row r="60" spans="1:74">
      <c r="A60">
        <v>1981</v>
      </c>
      <c r="B60" s="3">
        <f t="shared" si="0"/>
        <v>158.63040353309316</v>
      </c>
      <c r="C60" s="3">
        <f t="shared" si="1"/>
        <v>41.681969842500045</v>
      </c>
      <c r="D60" s="2">
        <v>110.843</v>
      </c>
      <c r="E60" s="2">
        <v>59.652189999999997</v>
      </c>
      <c r="F60" s="2">
        <f t="shared" si="18"/>
        <v>66.1202769617</v>
      </c>
      <c r="G60" s="2">
        <v>0.55486539332235485</v>
      </c>
      <c r="H60" s="2">
        <f t="shared" si="19"/>
        <v>0.36687853482936711</v>
      </c>
      <c r="I60" s="32">
        <f t="shared" si="2"/>
        <v>0.36687853482936711</v>
      </c>
      <c r="J60" s="32">
        <f t="shared" si="3"/>
        <v>0.18343926741468355</v>
      </c>
      <c r="O60" s="2"/>
      <c r="P60" s="37"/>
      <c r="Q60" s="32">
        <f t="shared" si="4"/>
        <v>0.18343926741468355</v>
      </c>
      <c r="R60" s="32">
        <f t="shared" si="5"/>
        <v>0</v>
      </c>
      <c r="S60" s="37"/>
      <c r="T60" s="2">
        <f>USA!Z68*G60</f>
        <v>20.202648970866939</v>
      </c>
      <c r="U60" s="2">
        <v>0</v>
      </c>
      <c r="V60" s="2">
        <v>0</v>
      </c>
      <c r="W60" s="2">
        <v>0</v>
      </c>
      <c r="X60" s="37"/>
      <c r="Y60" s="2">
        <v>0.5</v>
      </c>
      <c r="Z60" s="2">
        <f t="shared" si="6"/>
        <v>0.14413085296867995</v>
      </c>
      <c r="AA60" s="39">
        <v>0.12</v>
      </c>
      <c r="AB60" s="2">
        <f t="shared" si="7"/>
        <v>3.9308414446003616E-2</v>
      </c>
      <c r="AC60" s="2">
        <f t="shared" si="8"/>
        <v>0.18343926741468355</v>
      </c>
      <c r="AD60"/>
      <c r="AE60"/>
      <c r="AF60"/>
      <c r="AG60"/>
      <c r="AH60"/>
      <c r="AN60">
        <v>1981</v>
      </c>
      <c r="AO60" s="1">
        <f t="shared" si="9"/>
        <v>0.36687853482936711</v>
      </c>
      <c r="AP60" s="1">
        <f t="shared" si="20"/>
        <v>0.14413085296867995</v>
      </c>
      <c r="AQ60" s="1">
        <f t="shared" si="21"/>
        <v>3.9308414446003616E-2</v>
      </c>
      <c r="AR60" s="1">
        <f t="shared" si="22"/>
        <v>0.18343926741468355</v>
      </c>
      <c r="AS60" s="22">
        <f t="shared" si="10"/>
        <v>0.18343926741468355</v>
      </c>
      <c r="AU60" s="7">
        <v>24.397259585008239</v>
      </c>
      <c r="AV60" s="12"/>
      <c r="AW60" s="22">
        <f t="shared" si="11"/>
        <v>1.5037694440682536</v>
      </c>
      <c r="AX60" s="22">
        <f t="shared" si="23"/>
        <v>1.5100665647114218</v>
      </c>
      <c r="AY60" s="1">
        <f t="shared" si="12"/>
        <v>0.75188472203412682</v>
      </c>
      <c r="AZ60" s="22">
        <f t="shared" si="24"/>
        <v>0.75188472203412682</v>
      </c>
      <c r="BA60" s="1">
        <f t="shared" si="14"/>
        <v>0.75818184267729494</v>
      </c>
      <c r="BB60" s="3">
        <f t="shared" si="15"/>
        <v>82.8070419158108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K60" s="22">
        <f t="shared" si="16"/>
        <v>1.6074058532084508</v>
      </c>
      <c r="BL60" s="22">
        <f t="shared" si="17"/>
        <v>1.6141369572484452</v>
      </c>
      <c r="BN60" s="22"/>
      <c r="BO60" s="22"/>
      <c r="BR60" s="12"/>
      <c r="BS60" s="12"/>
      <c r="BT60" s="12"/>
      <c r="BU60" s="12"/>
      <c r="BV60" s="12"/>
    </row>
    <row r="61" spans="1:74">
      <c r="A61">
        <v>1982</v>
      </c>
      <c r="B61" s="3">
        <f t="shared" si="0"/>
        <v>141.69544910089485</v>
      </c>
      <c r="C61" s="3">
        <f t="shared" si="1"/>
        <v>44.24984128314113</v>
      </c>
      <c r="D61" s="2">
        <v>99.009699999999995</v>
      </c>
      <c r="E61" s="2">
        <v>63.32714</v>
      </c>
      <c r="F61" s="2">
        <f t="shared" si="18"/>
        <v>62.700011332579997</v>
      </c>
      <c r="G61" s="2">
        <v>0.66026688944181999</v>
      </c>
      <c r="H61" s="2">
        <f t="shared" si="19"/>
        <v>0.41398741450529458</v>
      </c>
      <c r="I61" s="32">
        <f t="shared" si="2"/>
        <v>0.41398741450529458</v>
      </c>
      <c r="J61" s="32">
        <f t="shared" si="3"/>
        <v>0.17801458823727667</v>
      </c>
      <c r="O61" s="2"/>
      <c r="P61" s="37"/>
      <c r="Q61" s="32">
        <f t="shared" si="4"/>
        <v>0.23597282626801791</v>
      </c>
      <c r="R61" s="32">
        <f t="shared" si="5"/>
        <v>0</v>
      </c>
      <c r="S61" s="37"/>
      <c r="T61" s="2">
        <f>USA!Z69*G61</f>
        <v>21.920860729468426</v>
      </c>
      <c r="U61" s="2">
        <v>0</v>
      </c>
      <c r="V61" s="2">
        <v>0</v>
      </c>
      <c r="W61" s="2">
        <v>0</v>
      </c>
      <c r="X61" s="37"/>
      <c r="Y61" s="2">
        <v>0.43</v>
      </c>
      <c r="Z61" s="2">
        <f t="shared" si="6"/>
        <v>0.1336587938259951</v>
      </c>
      <c r="AA61" s="39">
        <v>0.12</v>
      </c>
      <c r="AB61" s="2">
        <f t="shared" si="7"/>
        <v>4.4355794411281561E-2</v>
      </c>
      <c r="AC61" s="2">
        <f t="shared" si="8"/>
        <v>0.17801458823727667</v>
      </c>
      <c r="AD61"/>
      <c r="AE61"/>
      <c r="AF61"/>
      <c r="AG61"/>
      <c r="AH61"/>
      <c r="AN61">
        <v>1982</v>
      </c>
      <c r="AO61" s="1">
        <f t="shared" si="9"/>
        <v>0.41398741450529458</v>
      </c>
      <c r="AP61" s="1">
        <f t="shared" si="20"/>
        <v>0.1336587938259951</v>
      </c>
      <c r="AQ61" s="1">
        <f t="shared" si="21"/>
        <v>4.4355794411281561E-2</v>
      </c>
      <c r="AR61" s="1">
        <f t="shared" si="22"/>
        <v>0.17801458823727667</v>
      </c>
      <c r="AS61" s="22">
        <f t="shared" si="10"/>
        <v>0.23597282626801791</v>
      </c>
      <c r="AU61" s="7">
        <v>27.914122114461218</v>
      </c>
      <c r="AV61" s="12"/>
      <c r="AW61" s="22">
        <f t="shared" si="11"/>
        <v>1.4830751717992372</v>
      </c>
      <c r="AX61" s="22">
        <f t="shared" si="23"/>
        <v>1.4752852316573546</v>
      </c>
      <c r="AY61" s="1">
        <f t="shared" si="12"/>
        <v>0.637722323873672</v>
      </c>
      <c r="AZ61" s="22">
        <f t="shared" si="24"/>
        <v>0.8453528479255652</v>
      </c>
      <c r="BA61" s="1">
        <f t="shared" si="14"/>
        <v>0.83756290778368259</v>
      </c>
      <c r="BB61" s="3">
        <f t="shared" si="15"/>
        <v>78.529644025996731</v>
      </c>
      <c r="BC61">
        <v>0</v>
      </c>
      <c r="BD61">
        <v>0</v>
      </c>
      <c r="BE61">
        <v>0</v>
      </c>
      <c r="BF61" s="23">
        <v>0.45</v>
      </c>
      <c r="BG61">
        <v>0</v>
      </c>
      <c r="BH61">
        <v>0</v>
      </c>
      <c r="BI61">
        <v>0</v>
      </c>
      <c r="BK61" s="22">
        <f t="shared" si="16"/>
        <v>1.585285378221863</v>
      </c>
      <c r="BL61" s="22">
        <f t="shared" si="17"/>
        <v>1.5769585729196287</v>
      </c>
      <c r="BN61" s="22"/>
      <c r="BO61" s="22"/>
      <c r="BR61" s="12"/>
      <c r="BS61" s="12"/>
      <c r="BT61" s="12"/>
      <c r="BU61" s="12"/>
      <c r="BV61" s="12"/>
    </row>
    <row r="62" spans="1:74">
      <c r="A62">
        <v>1983</v>
      </c>
      <c r="B62" s="3">
        <f t="shared" si="0"/>
        <v>121.84886690701498</v>
      </c>
      <c r="C62" s="3">
        <f t="shared" si="1"/>
        <v>45.671336429076113</v>
      </c>
      <c r="D62" s="2">
        <v>85.141900000000007</v>
      </c>
      <c r="E62" s="2">
        <v>65.36148</v>
      </c>
      <c r="F62" s="2">
        <f t="shared" si="18"/>
        <v>55.65000594012001</v>
      </c>
      <c r="G62" s="2">
        <v>0.86203116047423867</v>
      </c>
      <c r="H62" s="2">
        <f t="shared" si="19"/>
        <v>0.47972039200959926</v>
      </c>
      <c r="I62" s="32">
        <f t="shared" si="2"/>
        <v>0.47972039200959926</v>
      </c>
      <c r="J62" s="32">
        <f t="shared" si="3"/>
        <v>0.17269934112345572</v>
      </c>
      <c r="O62" s="2"/>
      <c r="P62" s="37"/>
      <c r="Q62" s="32">
        <f t="shared" si="4"/>
        <v>0.30702105088614351</v>
      </c>
      <c r="R62" s="32">
        <f t="shared" si="5"/>
        <v>0</v>
      </c>
      <c r="S62" s="37"/>
      <c r="T62" s="2">
        <f>USA!Z70*G62</f>
        <v>24.955802095729208</v>
      </c>
      <c r="U62" s="2">
        <v>0</v>
      </c>
      <c r="V62" s="2">
        <v>0</v>
      </c>
      <c r="W62" s="2">
        <v>0</v>
      </c>
      <c r="X62" s="37"/>
      <c r="Y62" s="2">
        <v>0.36</v>
      </c>
      <c r="Z62" s="2">
        <f t="shared" si="6"/>
        <v>0.1213007276938558</v>
      </c>
      <c r="AA62" s="39">
        <v>0.12</v>
      </c>
      <c r="AB62" s="2">
        <f t="shared" si="7"/>
        <v>5.1398613429599914E-2</v>
      </c>
      <c r="AC62" s="2">
        <f t="shared" si="8"/>
        <v>0.17269934112345572</v>
      </c>
      <c r="AD62"/>
      <c r="AE62"/>
      <c r="AF62"/>
      <c r="AG62"/>
      <c r="AH62"/>
      <c r="AN62">
        <v>1983</v>
      </c>
      <c r="AO62" s="1">
        <f t="shared" si="9"/>
        <v>0.47972039200959926</v>
      </c>
      <c r="AP62" s="1">
        <f t="shared" si="20"/>
        <v>0.1213007276938558</v>
      </c>
      <c r="AQ62" s="1">
        <f t="shared" si="21"/>
        <v>5.1398613429599914E-2</v>
      </c>
      <c r="AR62" s="1">
        <f t="shared" si="22"/>
        <v>0.17269934112345572</v>
      </c>
      <c r="AS62" s="22">
        <f t="shared" si="10"/>
        <v>0.30702105088614351</v>
      </c>
      <c r="AU62" s="7">
        <v>31.31240967197342</v>
      </c>
      <c r="AV62" s="12"/>
      <c r="AW62" s="22">
        <f t="shared" si="11"/>
        <v>1.5320455916204343</v>
      </c>
      <c r="AX62" s="22">
        <f t="shared" si="23"/>
        <v>1.5203721915262287</v>
      </c>
      <c r="AY62" s="1">
        <f t="shared" si="12"/>
        <v>0.55153641298335632</v>
      </c>
      <c r="AZ62" s="22">
        <f t="shared" si="24"/>
        <v>0.98050917863707798</v>
      </c>
      <c r="BA62" s="1">
        <f t="shared" si="14"/>
        <v>0.96883577854287251</v>
      </c>
      <c r="BB62" s="3">
        <f t="shared" si="15"/>
        <v>79.699398280631925</v>
      </c>
      <c r="BC62">
        <v>0</v>
      </c>
      <c r="BD62">
        <v>0</v>
      </c>
      <c r="BE62">
        <v>0</v>
      </c>
      <c r="BF62" s="23">
        <v>1</v>
      </c>
      <c r="BG62">
        <v>0</v>
      </c>
      <c r="BH62">
        <v>0</v>
      </c>
      <c r="BI62">
        <v>0</v>
      </c>
      <c r="BK62" s="22">
        <f t="shared" si="16"/>
        <v>1.6376307292762862</v>
      </c>
      <c r="BL62" s="22">
        <f t="shared" si="17"/>
        <v>1.62515282469305</v>
      </c>
      <c r="BN62" s="22"/>
      <c r="BO62" s="22"/>
      <c r="BR62" s="12"/>
      <c r="BS62" s="12"/>
      <c r="BT62" s="12"/>
      <c r="BU62" s="12"/>
      <c r="BV62" s="12"/>
    </row>
    <row r="63" spans="1:74">
      <c r="A63">
        <v>1984</v>
      </c>
      <c r="B63" s="3">
        <f t="shared" si="0"/>
        <v>104.90503948778186</v>
      </c>
      <c r="C63" s="3">
        <f t="shared" si="1"/>
        <v>47.643090239969929</v>
      </c>
      <c r="D63" s="2">
        <v>73.302400000000006</v>
      </c>
      <c r="E63" s="2">
        <v>68.183310000000006</v>
      </c>
      <c r="F63" s="2">
        <f t="shared" si="18"/>
        <v>49.980002629440008</v>
      </c>
      <c r="G63" s="2">
        <v>0.96619306912841241</v>
      </c>
      <c r="H63" s="2">
        <f t="shared" si="19"/>
        <v>0.48290332135584763</v>
      </c>
      <c r="I63" s="32">
        <f t="shared" si="2"/>
        <v>0.48290332135584763</v>
      </c>
      <c r="J63" s="32">
        <f t="shared" si="3"/>
        <v>0.17867422890166362</v>
      </c>
      <c r="O63" s="2"/>
      <c r="P63" s="37"/>
      <c r="Q63" s="32">
        <f t="shared" si="4"/>
        <v>0.304229092454184</v>
      </c>
      <c r="R63" s="32">
        <f t="shared" si="5"/>
        <v>0</v>
      </c>
      <c r="S63" s="37"/>
      <c r="T63" s="2">
        <f>USA!Z71*G63</f>
        <v>27.55582633154232</v>
      </c>
      <c r="U63" s="2">
        <v>0</v>
      </c>
      <c r="V63" s="2">
        <v>0</v>
      </c>
      <c r="W63" s="2">
        <v>0</v>
      </c>
      <c r="X63" s="37"/>
      <c r="Y63" s="2">
        <v>0.37</v>
      </c>
      <c r="Z63" s="2">
        <f t="shared" si="6"/>
        <v>0.12693458732782281</v>
      </c>
      <c r="AA63" s="39">
        <v>0.12</v>
      </c>
      <c r="AB63" s="2">
        <f t="shared" si="7"/>
        <v>5.1739641573840811E-2</v>
      </c>
      <c r="AC63" s="2">
        <f t="shared" si="8"/>
        <v>0.17867422890166362</v>
      </c>
      <c r="AD63"/>
      <c r="AE63"/>
      <c r="AF63"/>
      <c r="AG63"/>
      <c r="AH63"/>
      <c r="AN63">
        <v>1984</v>
      </c>
      <c r="AO63" s="1">
        <f t="shared" si="9"/>
        <v>0.48290332135584763</v>
      </c>
      <c r="AP63" s="1">
        <f t="shared" si="20"/>
        <v>0.12693458732782281</v>
      </c>
      <c r="AQ63" s="1">
        <f t="shared" si="21"/>
        <v>5.1739641573840811E-2</v>
      </c>
      <c r="AR63" s="1">
        <f t="shared" si="22"/>
        <v>0.17867422890166362</v>
      </c>
      <c r="AS63" s="22">
        <f t="shared" si="10"/>
        <v>0.304229092454184</v>
      </c>
      <c r="AU63" s="7">
        <v>34.844534026478136</v>
      </c>
      <c r="AV63" s="12"/>
      <c r="AW63" s="22">
        <f t="shared" si="11"/>
        <v>1.3858796934661044</v>
      </c>
      <c r="AX63" s="22">
        <f t="shared" si="23"/>
        <v>1.3987549651621074</v>
      </c>
      <c r="AY63" s="1">
        <f t="shared" si="12"/>
        <v>0.51277548658245864</v>
      </c>
      <c r="AZ63" s="22">
        <f t="shared" si="24"/>
        <v>0.87310420688364576</v>
      </c>
      <c r="BA63" s="1">
        <f t="shared" si="14"/>
        <v>0.88597947857964887</v>
      </c>
      <c r="BB63" s="3">
        <f t="shared" si="15"/>
        <v>79.082206439043858</v>
      </c>
      <c r="BC63">
        <v>0</v>
      </c>
      <c r="BD63">
        <v>0</v>
      </c>
      <c r="BE63">
        <v>0</v>
      </c>
      <c r="BF63" s="23">
        <v>0.65</v>
      </c>
      <c r="BG63">
        <v>0</v>
      </c>
      <c r="BH63">
        <v>0</v>
      </c>
      <c r="BI63">
        <v>0</v>
      </c>
      <c r="BK63" s="22">
        <f t="shared" si="16"/>
        <v>1.481391406047907</v>
      </c>
      <c r="BL63" s="22">
        <f t="shared" si="17"/>
        <v>1.4951540125215528</v>
      </c>
      <c r="BN63" s="22"/>
      <c r="BO63" s="22"/>
      <c r="BR63" s="12"/>
      <c r="BS63" s="12"/>
      <c r="BT63" s="12"/>
      <c r="BU63" s="12"/>
      <c r="BV63" s="12"/>
    </row>
    <row r="64" spans="1:74">
      <c r="A64">
        <v>1985</v>
      </c>
      <c r="B64" s="3">
        <f t="shared" si="0"/>
        <v>100.3248608254639</v>
      </c>
      <c r="C64" s="3">
        <f t="shared" si="1"/>
        <v>49.339718212134507</v>
      </c>
      <c r="D64" s="2">
        <v>70.102000000000004</v>
      </c>
      <c r="E64" s="2">
        <v>70.611400000000003</v>
      </c>
      <c r="F64" s="2">
        <f t="shared" si="18"/>
        <v>49.500003628000002</v>
      </c>
      <c r="G64" s="2">
        <v>1.021985523621779</v>
      </c>
      <c r="H64" s="2">
        <f t="shared" si="19"/>
        <v>0.50588287127041542</v>
      </c>
      <c r="I64" s="32">
        <f t="shared" si="2"/>
        <v>0.50588287127041542</v>
      </c>
      <c r="J64" s="32">
        <f t="shared" si="3"/>
        <v>0.18211783365734954</v>
      </c>
      <c r="O64" s="2"/>
      <c r="P64" s="37"/>
      <c r="Q64" s="32">
        <f t="shared" si="4"/>
        <v>0.32376503761306585</v>
      </c>
      <c r="R64" s="32">
        <f t="shared" si="5"/>
        <v>0</v>
      </c>
      <c r="S64" s="37"/>
      <c r="T64" s="2">
        <f>USA!Z72*G64</f>
        <v>27.256353914992847</v>
      </c>
      <c r="U64" s="2">
        <v>0</v>
      </c>
      <c r="V64" s="2">
        <v>0</v>
      </c>
      <c r="W64" s="2">
        <v>0</v>
      </c>
      <c r="X64" s="37"/>
      <c r="Y64" s="2">
        <v>0.36</v>
      </c>
      <c r="Z64" s="2">
        <f t="shared" si="6"/>
        <v>0.12791609744980503</v>
      </c>
      <c r="AA64" s="39">
        <v>0.12</v>
      </c>
      <c r="AB64" s="2">
        <f t="shared" si="7"/>
        <v>5.4201736207544503E-2</v>
      </c>
      <c r="AC64" s="2">
        <f t="shared" si="8"/>
        <v>0.18211783365734954</v>
      </c>
      <c r="AD64"/>
      <c r="AE64"/>
      <c r="AF64"/>
      <c r="AG64"/>
      <c r="AH64"/>
      <c r="AN64">
        <v>1985</v>
      </c>
      <c r="AO64" s="1">
        <f t="shared" si="9"/>
        <v>0.50588287127041542</v>
      </c>
      <c r="AP64" s="1">
        <f t="shared" si="20"/>
        <v>0.12791609744980503</v>
      </c>
      <c r="AQ64" s="1">
        <f t="shared" si="21"/>
        <v>5.4201736207544503E-2</v>
      </c>
      <c r="AR64" s="1">
        <f t="shared" si="22"/>
        <v>0.18211783365734954</v>
      </c>
      <c r="AS64" s="22">
        <f t="shared" si="10"/>
        <v>0.32376503761306585</v>
      </c>
      <c r="AU64" s="7">
        <v>37.915889449756399</v>
      </c>
      <c r="AV64" s="12"/>
      <c r="AW64" s="22">
        <f t="shared" si="11"/>
        <v>1.3342239325303908</v>
      </c>
      <c r="AX64" s="22">
        <f t="shared" si="23"/>
        <v>1.3277753891329769</v>
      </c>
      <c r="AY64" s="1">
        <f t="shared" si="12"/>
        <v>0.4803206157109407</v>
      </c>
      <c r="AZ64" s="22">
        <f t="shared" si="24"/>
        <v>0.85390331681945009</v>
      </c>
      <c r="BA64" s="1">
        <f t="shared" si="14"/>
        <v>0.84745477342203612</v>
      </c>
      <c r="BB64" s="3">
        <f t="shared" si="15"/>
        <v>71.886362974844999</v>
      </c>
      <c r="BC64">
        <v>0</v>
      </c>
      <c r="BD64">
        <v>0</v>
      </c>
      <c r="BE64">
        <v>0</v>
      </c>
      <c r="BF64" s="23">
        <v>0.65</v>
      </c>
      <c r="BG64">
        <v>0</v>
      </c>
      <c r="BH64">
        <v>0</v>
      </c>
      <c r="BI64">
        <v>0</v>
      </c>
      <c r="BK64" s="22">
        <f t="shared" si="16"/>
        <v>1.4261756462068433</v>
      </c>
      <c r="BL64" s="22">
        <f t="shared" si="17"/>
        <v>1.419282683696826</v>
      </c>
      <c r="BN64" s="22"/>
      <c r="BO64" s="22"/>
      <c r="BR64" s="12"/>
      <c r="BS64" s="12"/>
      <c r="BT64" s="12"/>
      <c r="BU64" s="12"/>
      <c r="BV64" s="12"/>
    </row>
    <row r="65" spans="1:74">
      <c r="A65">
        <v>1986</v>
      </c>
      <c r="B65" s="3">
        <f t="shared" si="0"/>
        <v>109.23892120353536</v>
      </c>
      <c r="C65" s="3">
        <f t="shared" si="1"/>
        <v>50.256813657899102</v>
      </c>
      <c r="D65" s="2">
        <v>76.330699999999993</v>
      </c>
      <c r="E65" s="2">
        <v>71.923879999999997</v>
      </c>
      <c r="F65" s="2">
        <f t="shared" si="18"/>
        <v>54.900001071159998</v>
      </c>
      <c r="G65" s="2">
        <v>0.84170793616450101</v>
      </c>
      <c r="H65" s="2">
        <f t="shared" si="19"/>
        <v>0.46209766597034979</v>
      </c>
      <c r="I65" s="32">
        <f t="shared" si="2"/>
        <v>0.46209766597034979</v>
      </c>
      <c r="J65" s="32">
        <f t="shared" si="3"/>
        <v>0.20655765668874637</v>
      </c>
      <c r="O65" s="2"/>
      <c r="P65" s="37"/>
      <c r="Q65" s="32">
        <f t="shared" si="4"/>
        <v>0.25554000928160342</v>
      </c>
      <c r="R65" s="32">
        <f t="shared" si="5"/>
        <v>0</v>
      </c>
      <c r="S65" s="37"/>
      <c r="T65" s="2">
        <f>USA!Z73*G65</f>
        <v>12.667704439275742</v>
      </c>
      <c r="U65" s="2">
        <v>0</v>
      </c>
      <c r="V65" s="2">
        <v>0</v>
      </c>
      <c r="W65" s="2">
        <v>0</v>
      </c>
      <c r="X65" s="37"/>
      <c r="Y65" s="2">
        <v>0.44700000000000001</v>
      </c>
      <c r="Z65" s="2">
        <f t="shared" si="6"/>
        <v>0.15704719247763749</v>
      </c>
      <c r="AA65" s="2">
        <v>0.12</v>
      </c>
      <c r="AB65" s="2">
        <f t="shared" si="7"/>
        <v>4.9510464211108898E-2</v>
      </c>
      <c r="AC65" s="2">
        <f t="shared" si="8"/>
        <v>0.20655765668874637</v>
      </c>
      <c r="AE65"/>
      <c r="AF65"/>
      <c r="AG65"/>
      <c r="AH65"/>
      <c r="AN65">
        <v>1986</v>
      </c>
      <c r="AO65" s="1">
        <f t="shared" si="9"/>
        <v>0.46209766597034979</v>
      </c>
      <c r="AP65" s="1">
        <f t="shared" si="20"/>
        <v>0.15704719247763749</v>
      </c>
      <c r="AQ65" s="1">
        <f t="shared" si="21"/>
        <v>4.9510464211108898E-2</v>
      </c>
      <c r="AR65" s="1">
        <f t="shared" si="22"/>
        <v>0.20655765668874637</v>
      </c>
      <c r="AS65" s="22">
        <f t="shared" si="10"/>
        <v>0.25554000928160342</v>
      </c>
      <c r="AU65" s="7">
        <v>41.250568798169908</v>
      </c>
      <c r="AV65" s="12"/>
      <c r="AW65" s="22">
        <f t="shared" si="11"/>
        <v>1.1202213192048176</v>
      </c>
      <c r="AX65" s="22">
        <f t="shared" si="23"/>
        <v>1.1277415082434501</v>
      </c>
      <c r="AY65" s="1">
        <f t="shared" si="12"/>
        <v>0.50073892968455347</v>
      </c>
      <c r="AZ65" s="22">
        <f t="shared" si="24"/>
        <v>0.61948238952026413</v>
      </c>
      <c r="BA65" s="1">
        <f t="shared" si="14"/>
        <v>0.62700257855889663</v>
      </c>
      <c r="BB65" s="3">
        <f t="shared" si="15"/>
        <v>30.709163069377475</v>
      </c>
      <c r="BC65">
        <v>0</v>
      </c>
      <c r="BD65">
        <v>0</v>
      </c>
      <c r="BE65">
        <v>0</v>
      </c>
      <c r="BF65" s="23">
        <v>0.65</v>
      </c>
      <c r="BG65">
        <v>0</v>
      </c>
      <c r="BH65">
        <v>0</v>
      </c>
      <c r="BI65">
        <v>0</v>
      </c>
      <c r="BK65" s="22">
        <f t="shared" si="16"/>
        <v>1.1974244539158141</v>
      </c>
      <c r="BL65" s="22">
        <f t="shared" si="17"/>
        <v>1.2054629174752474</v>
      </c>
      <c r="BN65" s="22"/>
      <c r="BO65" s="22"/>
      <c r="BR65" s="12"/>
      <c r="BS65" s="12"/>
      <c r="BT65" s="12"/>
      <c r="BU65" s="12"/>
      <c r="BV65" s="12"/>
    </row>
    <row r="66" spans="1:74">
      <c r="A66">
        <v>1987</v>
      </c>
      <c r="B66" s="3">
        <f t="shared" si="0"/>
        <v>125.2855751433887</v>
      </c>
      <c r="C66" s="3">
        <f t="shared" si="1"/>
        <v>52.136856526716379</v>
      </c>
      <c r="D66" s="2">
        <v>87.543300000000002</v>
      </c>
      <c r="E66" s="2">
        <v>74.614459999999994</v>
      </c>
      <c r="F66" s="2">
        <f t="shared" si="18"/>
        <v>65.319960561179997</v>
      </c>
      <c r="G66" s="2">
        <v>0.74211972962468797</v>
      </c>
      <c r="H66" s="2">
        <f t="shared" si="19"/>
        <v>0.48475231470758184</v>
      </c>
      <c r="I66" s="32">
        <f t="shared" si="2"/>
        <v>0.48475231470758184</v>
      </c>
      <c r="J66" s="32">
        <f t="shared" si="3"/>
        <v>0.2166842846742891</v>
      </c>
      <c r="O66" s="2"/>
      <c r="P66" s="37"/>
      <c r="Q66" s="32">
        <f t="shared" si="4"/>
        <v>0.26806803003329271</v>
      </c>
      <c r="R66" s="32">
        <f t="shared" si="5"/>
        <v>0</v>
      </c>
      <c r="S66" s="37"/>
      <c r="T66" s="2">
        <f>USA!Z74*G66</f>
        <v>14.248698808794009</v>
      </c>
      <c r="U66" s="2">
        <v>0</v>
      </c>
      <c r="V66" s="2">
        <v>0</v>
      </c>
      <c r="W66" s="2">
        <v>0</v>
      </c>
      <c r="X66" s="37"/>
      <c r="Y66" s="2">
        <v>0.44700000000000001</v>
      </c>
      <c r="Z66" s="2">
        <f t="shared" si="6"/>
        <v>0.16474653666990535</v>
      </c>
      <c r="AA66" s="2">
        <v>0.12</v>
      </c>
      <c r="AB66" s="2">
        <f t="shared" si="7"/>
        <v>5.1937748004383763E-2</v>
      </c>
      <c r="AC66" s="2">
        <f t="shared" si="8"/>
        <v>0.2166842846742891</v>
      </c>
      <c r="AE66"/>
      <c r="AF66"/>
      <c r="AG66"/>
      <c r="AH66"/>
      <c r="AN66">
        <v>1987</v>
      </c>
      <c r="AO66" s="1">
        <f t="shared" si="9"/>
        <v>0.48475231470758184</v>
      </c>
      <c r="AP66" s="1">
        <f t="shared" si="20"/>
        <v>0.16474653666990535</v>
      </c>
      <c r="AQ66" s="1">
        <f t="shared" si="21"/>
        <v>5.1937748004383763E-2</v>
      </c>
      <c r="AR66" s="1">
        <f t="shared" si="22"/>
        <v>0.2166842846742891</v>
      </c>
      <c r="AS66" s="22">
        <f t="shared" si="10"/>
        <v>0.26806803003329271</v>
      </c>
      <c r="AU66" s="7">
        <v>43.415408548834378</v>
      </c>
      <c r="AV66" s="12"/>
      <c r="AW66" s="22">
        <f t="shared" si="11"/>
        <v>1.1165444041884907</v>
      </c>
      <c r="AX66" s="22">
        <f t="shared" si="23"/>
        <v>1.1260312966463406</v>
      </c>
      <c r="AY66" s="1">
        <f t="shared" si="12"/>
        <v>0.49909534867225541</v>
      </c>
      <c r="AZ66" s="22">
        <f t="shared" si="24"/>
        <v>0.6174490555162353</v>
      </c>
      <c r="BA66" s="1">
        <f t="shared" si="14"/>
        <v>0.62693594797408525</v>
      </c>
      <c r="BB66" s="3">
        <f t="shared" si="15"/>
        <v>32.819451169662109</v>
      </c>
      <c r="BC66">
        <v>0</v>
      </c>
      <c r="BD66">
        <v>0</v>
      </c>
      <c r="BE66">
        <v>0</v>
      </c>
      <c r="BF66" s="23">
        <v>0.6</v>
      </c>
      <c r="BG66">
        <v>0</v>
      </c>
      <c r="BH66">
        <v>0</v>
      </c>
      <c r="BI66">
        <v>0</v>
      </c>
      <c r="BK66" s="22">
        <f t="shared" si="16"/>
        <v>1.1934941341834193</v>
      </c>
      <c r="BL66" s="22">
        <f t="shared" si="17"/>
        <v>1.2036348419399567</v>
      </c>
      <c r="BN66" s="22"/>
      <c r="BO66" s="22"/>
      <c r="BR66" s="12"/>
      <c r="BS66" s="12"/>
      <c r="BT66" s="12"/>
      <c r="BU66" s="12"/>
      <c r="BV66" s="12"/>
    </row>
    <row r="67" spans="1:74">
      <c r="A67">
        <v>1988</v>
      </c>
      <c r="B67" s="3">
        <f t="shared" si="0"/>
        <v>116.14124644049309</v>
      </c>
      <c r="C67" s="3">
        <f t="shared" si="1"/>
        <v>54.227069431021505</v>
      </c>
      <c r="D67" s="2">
        <v>81.153700000000001</v>
      </c>
      <c r="E67" s="2">
        <v>77.605819999999994</v>
      </c>
      <c r="F67" s="2">
        <f t="shared" si="18"/>
        <v>62.979994345339989</v>
      </c>
      <c r="G67" s="2">
        <v>0.70100198734669183</v>
      </c>
      <c r="H67" s="2">
        <f t="shared" si="19"/>
        <v>0.44149101199166746</v>
      </c>
      <c r="I67" s="32">
        <f t="shared" si="2"/>
        <v>0.44149101199166746</v>
      </c>
      <c r="J67" s="32">
        <f t="shared" si="3"/>
        <v>0.19734648236027535</v>
      </c>
      <c r="O67" s="2"/>
      <c r="P67" s="37"/>
      <c r="Q67" s="32">
        <f t="shared" si="4"/>
        <v>0.2441445296313921</v>
      </c>
      <c r="R67" s="32">
        <f t="shared" si="5"/>
        <v>0</v>
      </c>
      <c r="S67" s="37"/>
      <c r="T67" s="2">
        <f>USA!Z75*G67</f>
        <v>11.195001737926669</v>
      </c>
      <c r="U67" s="2">
        <v>0</v>
      </c>
      <c r="V67" s="2">
        <v>0</v>
      </c>
      <c r="W67" s="2">
        <v>0</v>
      </c>
      <c r="X67" s="37"/>
      <c r="Y67" s="2">
        <v>0.44700000000000001</v>
      </c>
      <c r="Z67" s="2">
        <f t="shared" si="6"/>
        <v>0.15004387393259672</v>
      </c>
      <c r="AA67" s="2">
        <v>0.12</v>
      </c>
      <c r="AB67" s="2">
        <f t="shared" si="7"/>
        <v>4.7302608427678652E-2</v>
      </c>
      <c r="AC67" s="2">
        <f t="shared" si="8"/>
        <v>0.19734648236027535</v>
      </c>
      <c r="AE67"/>
      <c r="AF67"/>
      <c r="AG67"/>
      <c r="AH67"/>
      <c r="AN67">
        <v>1988</v>
      </c>
      <c r="AO67" s="1">
        <f t="shared" si="9"/>
        <v>0.44149101199166746</v>
      </c>
      <c r="AP67" s="1">
        <f t="shared" si="20"/>
        <v>0.15004387393259672</v>
      </c>
      <c r="AQ67" s="1">
        <f t="shared" si="21"/>
        <v>4.7302608427678652E-2</v>
      </c>
      <c r="AR67" s="1">
        <f t="shared" si="22"/>
        <v>0.19734648236027535</v>
      </c>
      <c r="AS67" s="22">
        <f t="shared" si="10"/>
        <v>0.2441445296313921</v>
      </c>
      <c r="AU67" s="7">
        <v>45.515527779482319</v>
      </c>
      <c r="AV67" s="12"/>
      <c r="AW67" s="22">
        <f t="shared" si="11"/>
        <v>0.9699788918863963</v>
      </c>
      <c r="AX67" s="22">
        <f t="shared" si="23"/>
        <v>0.97103199542176832</v>
      </c>
      <c r="AY67" s="1">
        <f t="shared" si="12"/>
        <v>0.43358056467321909</v>
      </c>
      <c r="AZ67" s="22">
        <f t="shared" si="24"/>
        <v>0.53639832721317715</v>
      </c>
      <c r="BA67" s="1">
        <f t="shared" si="14"/>
        <v>0.53745143074854917</v>
      </c>
      <c r="BB67" s="3">
        <f t="shared" si="15"/>
        <v>24.596005548183932</v>
      </c>
      <c r="BC67">
        <v>0</v>
      </c>
      <c r="BD67">
        <v>0</v>
      </c>
      <c r="BE67">
        <v>0</v>
      </c>
      <c r="BF67" s="23">
        <v>0.4</v>
      </c>
      <c r="BG67">
        <v>0</v>
      </c>
      <c r="BH67">
        <v>0</v>
      </c>
      <c r="BI67">
        <v>0</v>
      </c>
      <c r="BK67" s="22">
        <f t="shared" si="16"/>
        <v>1.0368276562986694</v>
      </c>
      <c r="BL67" s="22">
        <f t="shared" si="17"/>
        <v>1.0379533373619925</v>
      </c>
      <c r="BN67" s="22"/>
      <c r="BO67" s="22"/>
      <c r="BR67" s="12"/>
      <c r="BS67" s="12"/>
      <c r="BT67" s="12"/>
      <c r="BU67" s="12"/>
      <c r="BV67" s="12"/>
    </row>
    <row r="68" spans="1:74">
      <c r="A68">
        <v>1989</v>
      </c>
      <c r="B68" s="3">
        <f t="shared" si="0"/>
        <v>126.7490455533644</v>
      </c>
      <c r="C68" s="3">
        <f t="shared" si="1"/>
        <v>56.844608024141067</v>
      </c>
      <c r="D68" s="2">
        <v>88.565899999999999</v>
      </c>
      <c r="E68" s="2">
        <v>81.351849999999999</v>
      </c>
      <c r="F68" s="2">
        <f t="shared" si="18"/>
        <v>72.04999811914999</v>
      </c>
      <c r="G68" s="2">
        <v>0.71090215923615363</v>
      </c>
      <c r="H68" s="2">
        <f t="shared" si="19"/>
        <v>0.51220499235864536</v>
      </c>
      <c r="I68" s="32">
        <f t="shared" si="2"/>
        <v>0.51220499235864536</v>
      </c>
      <c r="J68" s="32">
        <f t="shared" si="3"/>
        <v>0.32781119510953305</v>
      </c>
      <c r="O68" s="2"/>
      <c r="P68" s="37"/>
      <c r="Q68" s="32">
        <f t="shared" si="4"/>
        <v>0.18439379724911231</v>
      </c>
      <c r="R68" s="32">
        <f t="shared" si="5"/>
        <v>0</v>
      </c>
      <c r="S68" s="37"/>
      <c r="T68" s="2">
        <f>USA!Z76*G68</f>
        <v>13.962118407398057</v>
      </c>
      <c r="U68" s="2">
        <v>0</v>
      </c>
      <c r="V68" s="2">
        <v>0</v>
      </c>
      <c r="W68" s="2">
        <v>0</v>
      </c>
      <c r="X68" s="37"/>
      <c r="Y68" s="2">
        <v>0.64</v>
      </c>
      <c r="Z68" s="2">
        <f t="shared" si="6"/>
        <v>0.27293208878539249</v>
      </c>
      <c r="AA68" s="2">
        <v>0.12</v>
      </c>
      <c r="AB68" s="2">
        <f t="shared" si="7"/>
        <v>5.4879106324140565E-2</v>
      </c>
      <c r="AC68" s="2">
        <f t="shared" si="8"/>
        <v>0.32781119510953305</v>
      </c>
      <c r="AE68"/>
      <c r="AF68"/>
      <c r="AG68"/>
      <c r="AH68"/>
      <c r="AN68">
        <v>1989</v>
      </c>
      <c r="AO68" s="1">
        <f t="shared" si="9"/>
        <v>0.51220499235864536</v>
      </c>
      <c r="AP68" s="1">
        <f t="shared" si="20"/>
        <v>0.27293208878539249</v>
      </c>
      <c r="AQ68" s="1">
        <f t="shared" si="21"/>
        <v>5.4879106324140565E-2</v>
      </c>
      <c r="AR68" s="1">
        <f t="shared" si="22"/>
        <v>0.32781119510953305</v>
      </c>
      <c r="AS68" s="22">
        <f t="shared" si="10"/>
        <v>0.18439379724911231</v>
      </c>
      <c r="AU68" s="7">
        <v>48.606685718688084</v>
      </c>
      <c r="AV68" s="12"/>
      <c r="AW68" s="22">
        <f t="shared" si="11"/>
        <v>1.053774773542552</v>
      </c>
      <c r="AX68" s="22">
        <f t="shared" si="23"/>
        <v>1.0686683516905042</v>
      </c>
      <c r="AY68" s="1">
        <f t="shared" si="12"/>
        <v>0.67441585506723334</v>
      </c>
      <c r="AZ68" s="22">
        <f t="shared" si="24"/>
        <v>0.37935891847531866</v>
      </c>
      <c r="BA68" s="1">
        <f t="shared" si="14"/>
        <v>0.39425249662327083</v>
      </c>
      <c r="BB68" s="3">
        <f t="shared" si="15"/>
        <v>28.724687151483696</v>
      </c>
      <c r="BC68" s="23">
        <v>0.45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 s="3"/>
      <c r="BK68" s="22">
        <f t="shared" si="16"/>
        <v>1.1263985617191639</v>
      </c>
      <c r="BL68" s="22">
        <f t="shared" si="17"/>
        <v>1.1423185717876416</v>
      </c>
      <c r="BN68" s="22"/>
      <c r="BO68" s="22"/>
      <c r="BR68" s="12"/>
      <c r="BS68" s="12"/>
      <c r="BT68" s="12"/>
      <c r="BU68" s="12"/>
      <c r="BV68" s="12"/>
    </row>
    <row r="69" spans="1:74">
      <c r="A69">
        <v>1990</v>
      </c>
      <c r="B69" s="3">
        <f t="shared" si="0"/>
        <v>134.5617106375602</v>
      </c>
      <c r="C69" s="3">
        <f t="shared" si="1"/>
        <v>59.913057002261802</v>
      </c>
      <c r="D69" s="2">
        <v>94.025000000000006</v>
      </c>
      <c r="E69" s="2">
        <v>85.743189999999998</v>
      </c>
      <c r="F69" s="2">
        <f t="shared" si="18"/>
        <v>80.620034397500007</v>
      </c>
      <c r="G69" s="2">
        <v>0.6125755772721263</v>
      </c>
      <c r="H69" s="2">
        <f t="shared" si="19"/>
        <v>0.49385864110747252</v>
      </c>
      <c r="I69" s="32">
        <f t="shared" si="2"/>
        <v>0.49385864110747252</v>
      </c>
      <c r="J69" s="32">
        <f t="shared" si="3"/>
        <v>0.34076246236415603</v>
      </c>
      <c r="K69" s="2">
        <f t="shared" ref="K69:K78" si="25">K$79*M69/M$79</f>
        <v>0</v>
      </c>
      <c r="O69" s="2"/>
      <c r="P69" s="37"/>
      <c r="Q69" s="32">
        <f t="shared" si="4"/>
        <v>0.15309617874331649</v>
      </c>
      <c r="R69" s="32">
        <f t="shared" si="5"/>
        <v>0</v>
      </c>
      <c r="S69" s="37"/>
      <c r="T69" s="2">
        <f>USA!Z77*G69</f>
        <v>15.02647891048526</v>
      </c>
      <c r="U69" s="2">
        <v>0</v>
      </c>
      <c r="V69" s="2">
        <v>0</v>
      </c>
      <c r="W69" s="2">
        <v>0</v>
      </c>
      <c r="X69" s="37"/>
      <c r="Y69" s="2">
        <v>0.69</v>
      </c>
      <c r="Z69" s="2">
        <f t="shared" si="6"/>
        <v>0.28784903653121252</v>
      </c>
      <c r="AA69" s="2">
        <v>0.12</v>
      </c>
      <c r="AB69" s="2">
        <f t="shared" si="7"/>
        <v>5.2913425832943478E-2</v>
      </c>
      <c r="AC69" s="2">
        <f t="shared" si="8"/>
        <v>0.34076246236415603</v>
      </c>
      <c r="AE69"/>
      <c r="AF69"/>
      <c r="AG69"/>
      <c r="AH69"/>
      <c r="AN69">
        <v>1990</v>
      </c>
      <c r="AO69" s="1">
        <f t="shared" si="9"/>
        <v>0.49385864110747252</v>
      </c>
      <c r="AP69" s="1">
        <f t="shared" si="20"/>
        <v>0.28784903653121252</v>
      </c>
      <c r="AQ69" s="1">
        <f t="shared" si="21"/>
        <v>5.2913425832943478E-2</v>
      </c>
      <c r="AR69" s="1">
        <f t="shared" si="22"/>
        <v>0.34076246236415603</v>
      </c>
      <c r="AS69" s="22">
        <f t="shared" si="10"/>
        <v>0.15309617874331649</v>
      </c>
      <c r="AU69" s="7">
        <v>51.873940126730865</v>
      </c>
      <c r="AV69" s="12"/>
      <c r="AW69" s="22">
        <f t="shared" si="11"/>
        <v>0.95203610888424695</v>
      </c>
      <c r="AX69" s="22">
        <f t="shared" si="23"/>
        <v>0.96153975727631136</v>
      </c>
      <c r="AY69" s="1">
        <f t="shared" si="12"/>
        <v>0.65690491513013038</v>
      </c>
      <c r="AZ69" s="22">
        <f t="shared" si="24"/>
        <v>0.29513119375411656</v>
      </c>
      <c r="BA69" s="1">
        <f t="shared" si="14"/>
        <v>0.30463484214618103</v>
      </c>
      <c r="BB69" s="3">
        <f t="shared" si="15"/>
        <v>28.9672981727911</v>
      </c>
      <c r="BC69" s="23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 s="3"/>
      <c r="BK69" s="22">
        <f t="shared" si="16"/>
        <v>1.0176482970330112</v>
      </c>
      <c r="BL69" s="22">
        <f t="shared" si="17"/>
        <v>1.0278069155050766</v>
      </c>
      <c r="BN69" s="22"/>
      <c r="BO69" s="22"/>
      <c r="BR69" s="12"/>
      <c r="BS69" s="12"/>
      <c r="BT69" s="12"/>
      <c r="BU69" s="12"/>
      <c r="BV69" s="12"/>
    </row>
    <row r="70" spans="1:74">
      <c r="A70">
        <v>1991</v>
      </c>
      <c r="B70" s="3">
        <f t="shared" si="0"/>
        <v>135.09938502933394</v>
      </c>
      <c r="C70" s="3">
        <f t="shared" si="1"/>
        <v>62.450351141377027</v>
      </c>
      <c r="D70" s="2">
        <v>94.400700000000001</v>
      </c>
      <c r="E70" s="2">
        <v>89.374380000000002</v>
      </c>
      <c r="F70" s="2">
        <f t="shared" si="18"/>
        <v>84.370040340659997</v>
      </c>
      <c r="G70" s="2">
        <v>0.62422719860244635</v>
      </c>
      <c r="H70" s="2">
        <f t="shared" si="19"/>
        <v>0.52666073927825574</v>
      </c>
      <c r="I70" s="32">
        <f t="shared" si="2"/>
        <v>0.52666073927825574</v>
      </c>
      <c r="J70" s="32">
        <f t="shared" si="3"/>
        <v>0.37129582119117027</v>
      </c>
      <c r="K70" s="2">
        <f t="shared" si="25"/>
        <v>0</v>
      </c>
      <c r="O70" s="2"/>
      <c r="P70" s="37"/>
      <c r="Q70" s="32">
        <f t="shared" si="4"/>
        <v>0.15536491808708547</v>
      </c>
      <c r="R70" s="32">
        <f t="shared" si="5"/>
        <v>0</v>
      </c>
      <c r="S70" s="37"/>
      <c r="T70" s="2">
        <f>USA!Z78*G70</f>
        <v>13.445853857896694</v>
      </c>
      <c r="U70" s="2">
        <v>0</v>
      </c>
      <c r="V70" s="2">
        <v>0</v>
      </c>
      <c r="W70" s="2">
        <v>0</v>
      </c>
      <c r="X70" s="37"/>
      <c r="Y70" s="2">
        <v>0.70499999999999996</v>
      </c>
      <c r="Z70" s="2">
        <f t="shared" si="6"/>
        <v>0.31486788483992861</v>
      </c>
      <c r="AA70" s="2">
        <v>0.12</v>
      </c>
      <c r="AB70" s="2">
        <f t="shared" si="7"/>
        <v>5.642793635124168E-2</v>
      </c>
      <c r="AC70" s="2">
        <f t="shared" si="8"/>
        <v>0.37129582119117027</v>
      </c>
      <c r="AE70"/>
      <c r="AF70"/>
      <c r="AG70"/>
      <c r="AH70"/>
      <c r="AN70">
        <v>1991</v>
      </c>
      <c r="AO70" s="1">
        <f t="shared" si="9"/>
        <v>0.52666073927825574</v>
      </c>
      <c r="AP70" s="1">
        <f t="shared" si="20"/>
        <v>0.31486788483992861</v>
      </c>
      <c r="AQ70" s="1">
        <f t="shared" si="21"/>
        <v>5.642793635124168E-2</v>
      </c>
      <c r="AR70" s="1">
        <f t="shared" si="22"/>
        <v>0.37129582119117027</v>
      </c>
      <c r="AS70" s="22">
        <f t="shared" si="10"/>
        <v>0.15536491808708547</v>
      </c>
      <c r="AU70" s="7">
        <v>54.952250744082946</v>
      </c>
      <c r="AV70" s="12"/>
      <c r="AW70" s="22">
        <f t="shared" si="11"/>
        <v>0.95839703041638302</v>
      </c>
      <c r="AX70" s="22">
        <f t="shared" si="23"/>
        <v>0.95621799327476187</v>
      </c>
      <c r="AY70" s="1">
        <f t="shared" si="12"/>
        <v>0.67566990644354996</v>
      </c>
      <c r="AZ70" s="22">
        <f t="shared" si="24"/>
        <v>0.28272712397283306</v>
      </c>
      <c r="BA70" s="1">
        <f t="shared" si="14"/>
        <v>0.28054808683121196</v>
      </c>
      <c r="BB70" s="3">
        <f t="shared" si="15"/>
        <v>24.468249572733821</v>
      </c>
      <c r="BC70" s="23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 s="3"/>
      <c r="BK70" s="22">
        <f t="shared" si="16"/>
        <v>1.0244475989757971</v>
      </c>
      <c r="BL70" s="22">
        <f t="shared" si="17"/>
        <v>1.0221183874935338</v>
      </c>
      <c r="BN70" s="22"/>
      <c r="BO70" s="22"/>
      <c r="BR70" s="12"/>
      <c r="BS70" s="12"/>
      <c r="BT70" s="12"/>
      <c r="BU70" s="12"/>
      <c r="BV70" s="12"/>
    </row>
    <row r="71" spans="1:74">
      <c r="A71">
        <v>1992</v>
      </c>
      <c r="B71" s="3">
        <f t="shared" si="0"/>
        <v>130.83233694173015</v>
      </c>
      <c r="C71" s="3">
        <f t="shared" si="1"/>
        <v>64.341860498266513</v>
      </c>
      <c r="D71" s="2">
        <v>91.4191</v>
      </c>
      <c r="E71" s="2">
        <v>92.081370000000007</v>
      </c>
      <c r="F71" s="2">
        <f t="shared" si="18"/>
        <v>84.179959721670002</v>
      </c>
      <c r="G71" s="2">
        <v>0.61600084542369349</v>
      </c>
      <c r="H71" s="2">
        <f t="shared" si="19"/>
        <v>0.51854926356281195</v>
      </c>
      <c r="I71" s="32">
        <f t="shared" si="2"/>
        <v>0.51854926356281195</v>
      </c>
      <c r="J71" s="32">
        <f t="shared" si="3"/>
        <v>0.36246593523040554</v>
      </c>
      <c r="K71" s="2">
        <f t="shared" si="25"/>
        <v>0</v>
      </c>
      <c r="O71" s="2"/>
      <c r="P71" s="37"/>
      <c r="Q71" s="32">
        <f t="shared" si="4"/>
        <v>0.1560833283324064</v>
      </c>
      <c r="R71" s="32">
        <f t="shared" si="5"/>
        <v>0</v>
      </c>
      <c r="S71" s="37"/>
      <c r="T71" s="2">
        <f>USA!Z79*G71</f>
        <v>12.677297398819611</v>
      </c>
      <c r="U71" s="2">
        <v>0</v>
      </c>
      <c r="V71" s="2">
        <v>0</v>
      </c>
      <c r="W71" s="2">
        <v>0</v>
      </c>
      <c r="X71" s="37"/>
      <c r="Y71" s="2">
        <v>0.69899999999999995</v>
      </c>
      <c r="Z71" s="2">
        <f t="shared" si="6"/>
        <v>0.29878444672269178</v>
      </c>
      <c r="AA71" s="2">
        <v>0.14000000000000001</v>
      </c>
      <c r="AB71" s="2">
        <f t="shared" si="7"/>
        <v>6.3681488507713754E-2</v>
      </c>
      <c r="AC71" s="2">
        <f t="shared" si="8"/>
        <v>0.36246593523040554</v>
      </c>
      <c r="AE71"/>
      <c r="AF71"/>
      <c r="AG71"/>
      <c r="AH71"/>
      <c r="AN71">
        <v>1992</v>
      </c>
      <c r="AO71" s="1">
        <f t="shared" si="9"/>
        <v>0.51854926356281195</v>
      </c>
      <c r="AP71" s="1">
        <f t="shared" si="20"/>
        <v>0.29878444672269178</v>
      </c>
      <c r="AQ71" s="1">
        <f t="shared" si="21"/>
        <v>6.3681488507713754E-2</v>
      </c>
      <c r="AR71" s="1">
        <f t="shared" si="22"/>
        <v>0.36246593523040554</v>
      </c>
      <c r="AS71" s="22">
        <f t="shared" si="10"/>
        <v>0.1560833283324064</v>
      </c>
      <c r="AU71" s="7">
        <v>58.20791387461388</v>
      </c>
      <c r="AV71" s="12"/>
      <c r="AW71" s="22">
        <f t="shared" si="11"/>
        <v>0.89085697982549761</v>
      </c>
      <c r="AX71" s="22">
        <f t="shared" si="23"/>
        <v>0.88886136267287064</v>
      </c>
      <c r="AY71" s="1">
        <f t="shared" si="12"/>
        <v>0.62270902889802282</v>
      </c>
      <c r="AZ71" s="22">
        <f t="shared" si="24"/>
        <v>0.26814795092747479</v>
      </c>
      <c r="BA71" s="1">
        <f t="shared" si="14"/>
        <v>0.26615233377484782</v>
      </c>
      <c r="BB71" s="3">
        <f t="shared" si="15"/>
        <v>21.779336442339915</v>
      </c>
      <c r="BC71" s="23">
        <v>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 s="3"/>
      <c r="BK71" s="22">
        <f t="shared" si="16"/>
        <v>0.95225283994938836</v>
      </c>
      <c r="BL71" s="22">
        <f t="shared" si="17"/>
        <v>0.95011968934937518</v>
      </c>
      <c r="BN71" s="22"/>
      <c r="BO71" s="22"/>
      <c r="BR71" s="12"/>
      <c r="BS71" s="12"/>
      <c r="BT71" s="12"/>
      <c r="BU71" s="12"/>
      <c r="BV71" s="12"/>
    </row>
    <row r="72" spans="1:74">
      <c r="A72">
        <v>1993</v>
      </c>
      <c r="B72" s="3">
        <f t="shared" si="0"/>
        <v>109.61487825096413</v>
      </c>
      <c r="C72" s="3">
        <f t="shared" si="1"/>
        <v>66.241014180537462</v>
      </c>
      <c r="D72" s="2">
        <v>76.593400000000003</v>
      </c>
      <c r="E72" s="2">
        <v>94.799300000000002</v>
      </c>
      <c r="F72" s="2">
        <f t="shared" si="18"/>
        <v>72.61000704620001</v>
      </c>
      <c r="G72" s="2">
        <v>0.76432862941192958</v>
      </c>
      <c r="H72" s="2">
        <f t="shared" si="19"/>
        <v>0.55497907167212601</v>
      </c>
      <c r="I72" s="32">
        <f t="shared" si="2"/>
        <v>0.55497907167212601</v>
      </c>
      <c r="J72" s="32">
        <f t="shared" si="3"/>
        <v>0.26805489161763685</v>
      </c>
      <c r="K72" s="2">
        <f t="shared" si="25"/>
        <v>0</v>
      </c>
      <c r="O72" s="2"/>
      <c r="P72" s="37"/>
      <c r="Q72" s="32">
        <f t="shared" si="4"/>
        <v>0.28692418005448916</v>
      </c>
      <c r="R72" s="32">
        <f t="shared" si="5"/>
        <v>0</v>
      </c>
      <c r="S72" s="37"/>
      <c r="T72" s="2">
        <f>USA!Z80*G72</f>
        <v>14.086576640061862</v>
      </c>
      <c r="U72" s="2">
        <v>0</v>
      </c>
      <c r="V72" s="2">
        <v>0</v>
      </c>
      <c r="W72" s="2">
        <v>0</v>
      </c>
      <c r="X72" s="37"/>
      <c r="Y72" s="2">
        <v>0.48299999999999998</v>
      </c>
      <c r="Z72" s="2">
        <f t="shared" si="6"/>
        <v>0.19566631705170737</v>
      </c>
      <c r="AA72" s="2">
        <v>0.15</v>
      </c>
      <c r="AB72" s="2">
        <f t="shared" si="7"/>
        <v>7.2388574565929481E-2</v>
      </c>
      <c r="AC72" s="2">
        <f t="shared" si="8"/>
        <v>0.26805489161763685</v>
      </c>
      <c r="AE72"/>
      <c r="AF72"/>
      <c r="AG72"/>
      <c r="AH72"/>
      <c r="AN72">
        <v>1993</v>
      </c>
      <c r="AO72" s="1">
        <f t="shared" si="9"/>
        <v>0.55497907167212601</v>
      </c>
      <c r="AP72" s="1">
        <f t="shared" si="20"/>
        <v>0.19566631705170737</v>
      </c>
      <c r="AQ72" s="1">
        <f t="shared" si="21"/>
        <v>7.2388574565929481E-2</v>
      </c>
      <c r="AR72" s="1">
        <f t="shared" si="22"/>
        <v>0.26805489161763685</v>
      </c>
      <c r="AS72" s="22">
        <f t="shared" si="10"/>
        <v>0.28692418005448916</v>
      </c>
      <c r="AU72" s="7">
        <v>60.867475369242982</v>
      </c>
      <c r="AV72" s="12"/>
      <c r="AW72" s="22">
        <f t="shared" si="11"/>
        <v>0.91178263646624502</v>
      </c>
      <c r="AX72" s="22">
        <f t="shared" si="23"/>
        <v>0.93328749828304236</v>
      </c>
      <c r="AY72" s="1">
        <f t="shared" si="12"/>
        <v>0.44039101341319636</v>
      </c>
      <c r="AZ72" s="22">
        <f t="shared" si="24"/>
        <v>0.47139162305304866</v>
      </c>
      <c r="BA72" s="1">
        <f t="shared" si="14"/>
        <v>0.49289648486984594</v>
      </c>
      <c r="BB72" s="3">
        <f t="shared" si="15"/>
        <v>23.143027626179428</v>
      </c>
      <c r="BC72" s="23">
        <v>0.9</v>
      </c>
      <c r="BD72" s="23">
        <v>1</v>
      </c>
      <c r="BE72">
        <v>0</v>
      </c>
      <c r="BF72">
        <v>0</v>
      </c>
      <c r="BG72">
        <v>0</v>
      </c>
      <c r="BH72">
        <v>0</v>
      </c>
      <c r="BI72">
        <v>0</v>
      </c>
      <c r="BJ72" s="3"/>
      <c r="BK72" s="22">
        <f t="shared" si="16"/>
        <v>0.97462064579838203</v>
      </c>
      <c r="BL72" s="22">
        <f t="shared" si="17"/>
        <v>0.99760757434192404</v>
      </c>
      <c r="BN72" s="22"/>
      <c r="BO72" s="22"/>
      <c r="BR72" s="12"/>
      <c r="BS72" s="12"/>
      <c r="BT72" s="12"/>
      <c r="BU72" s="12"/>
      <c r="BV72" s="12"/>
    </row>
    <row r="73" spans="1:74">
      <c r="A73">
        <v>1994</v>
      </c>
      <c r="B73" s="3">
        <f t="shared" si="0"/>
        <v>120.29151456970266</v>
      </c>
      <c r="C73" s="3">
        <f t="shared" si="1"/>
        <v>67.968212466727536</v>
      </c>
      <c r="D73" s="2">
        <v>84.053700000000006</v>
      </c>
      <c r="E73" s="2">
        <v>97.271140000000003</v>
      </c>
      <c r="F73" s="2">
        <f t="shared" si="18"/>
        <v>81.759992202180015</v>
      </c>
      <c r="G73" s="2">
        <v>0.80457891088593181</v>
      </c>
      <c r="H73" s="2">
        <f t="shared" si="19"/>
        <v>0.65782365480072269</v>
      </c>
      <c r="I73" s="32">
        <f t="shared" si="2"/>
        <v>0.65782365480072269</v>
      </c>
      <c r="J73" s="32">
        <f t="shared" si="3"/>
        <v>0.33483224029356784</v>
      </c>
      <c r="K73" s="2">
        <f t="shared" si="25"/>
        <v>0</v>
      </c>
      <c r="O73" s="2"/>
      <c r="P73" s="37"/>
      <c r="Q73" s="32">
        <f t="shared" si="4"/>
        <v>0.32299141450715485</v>
      </c>
      <c r="R73" s="32">
        <f t="shared" si="5"/>
        <v>0</v>
      </c>
      <c r="S73" s="37"/>
      <c r="T73" s="2">
        <f>USA!Z81*G73</f>
        <v>13.838757267238027</v>
      </c>
      <c r="U73" s="2">
        <v>0</v>
      </c>
      <c r="V73" s="2">
        <v>0</v>
      </c>
      <c r="W73" s="2">
        <v>0</v>
      </c>
      <c r="X73" s="37"/>
      <c r="Y73" s="2">
        <v>0.50900000000000001</v>
      </c>
      <c r="Z73" s="2">
        <f t="shared" si="6"/>
        <v>0.24902915488477792</v>
      </c>
      <c r="AA73" s="32">
        <v>0.15</v>
      </c>
      <c r="AB73" s="2">
        <f t="shared" si="7"/>
        <v>8.580308540878992E-2</v>
      </c>
      <c r="AC73" s="2">
        <f t="shared" si="8"/>
        <v>0.33483224029356784</v>
      </c>
      <c r="AE73"/>
      <c r="AF73"/>
      <c r="AG73"/>
      <c r="AH73"/>
      <c r="AN73">
        <v>1994</v>
      </c>
      <c r="AO73" s="1">
        <f t="shared" si="9"/>
        <v>0.65782365480072269</v>
      </c>
      <c r="AP73" s="1">
        <f t="shared" si="20"/>
        <v>0.24902915488477792</v>
      </c>
      <c r="AQ73" s="1">
        <f t="shared" si="21"/>
        <v>8.580308540878992E-2</v>
      </c>
      <c r="AR73" s="1">
        <f t="shared" si="22"/>
        <v>0.33483224029356784</v>
      </c>
      <c r="AS73" s="22">
        <f t="shared" si="10"/>
        <v>0.32299141450715485</v>
      </c>
      <c r="AU73" s="7">
        <v>63.739454239837137</v>
      </c>
      <c r="AV73" s="12"/>
      <c r="AW73" s="22">
        <f t="shared" si="11"/>
        <v>1.0320509685029324</v>
      </c>
      <c r="AX73" s="22">
        <f t="shared" si="23"/>
        <v>1.0105461066861352</v>
      </c>
      <c r="AY73" s="1">
        <f t="shared" si="12"/>
        <v>0.52531394296799261</v>
      </c>
      <c r="AZ73" s="22">
        <f t="shared" si="24"/>
        <v>0.50673702553493982</v>
      </c>
      <c r="BA73" s="1">
        <f t="shared" si="14"/>
        <v>0.48523216371814248</v>
      </c>
      <c r="BB73" s="3">
        <f t="shared" si="15"/>
        <v>21.711446124351671</v>
      </c>
      <c r="BC73" s="23">
        <v>0.9</v>
      </c>
      <c r="BD73" s="23">
        <v>1</v>
      </c>
      <c r="BE73">
        <v>0</v>
      </c>
      <c r="BF73">
        <v>0</v>
      </c>
      <c r="BG73">
        <v>0</v>
      </c>
      <c r="BH73">
        <v>0</v>
      </c>
      <c r="BI73">
        <v>0</v>
      </c>
      <c r="BJ73" s="3"/>
      <c r="BK73" s="22">
        <f t="shared" si="16"/>
        <v>1.1031776008781358</v>
      </c>
      <c r="BL73" s="22">
        <f t="shared" si="17"/>
        <v>1.0801906723345938</v>
      </c>
      <c r="BN73" s="22"/>
      <c r="BO73" s="22"/>
      <c r="BR73" s="12"/>
      <c r="BS73" s="12"/>
      <c r="BT73" s="12"/>
      <c r="BU73" s="12"/>
      <c r="BV73" s="12"/>
    </row>
    <row r="74" spans="1:74">
      <c r="A74">
        <v>1995</v>
      </c>
      <c r="B74" s="3">
        <f t="shared" si="0"/>
        <v>132.2075068194396</v>
      </c>
      <c r="C74" s="3">
        <f t="shared" si="1"/>
        <v>69.875003486879606</v>
      </c>
      <c r="D74" s="2">
        <v>92.38</v>
      </c>
      <c r="E74" s="2">
        <v>100</v>
      </c>
      <c r="F74" s="2">
        <f t="shared" si="18"/>
        <v>92.38</v>
      </c>
      <c r="G74" s="2">
        <v>0.74898128448306955</v>
      </c>
      <c r="H74" s="2">
        <f t="shared" si="19"/>
        <v>0.69190891060545967</v>
      </c>
      <c r="I74" s="32">
        <f>H74</f>
        <v>0.69190891060545967</v>
      </c>
      <c r="J74" s="32">
        <f t="shared" si="3"/>
        <v>0.47949287504958349</v>
      </c>
      <c r="K74" s="2">
        <f t="shared" si="25"/>
        <v>0</v>
      </c>
      <c r="N74" s="2">
        <f t="shared" ref="N74:N88" si="26">G74*O74/100</f>
        <v>0.66659334318993191</v>
      </c>
      <c r="O74" s="39">
        <v>89</v>
      </c>
      <c r="P74" s="37"/>
      <c r="Q74" s="32">
        <f t="shared" si="4"/>
        <v>0.21241603555587618</v>
      </c>
      <c r="R74" s="32">
        <f t="shared" si="5"/>
        <v>0</v>
      </c>
      <c r="S74" s="37"/>
      <c r="T74" s="2">
        <f>USA!Z82*G74</f>
        <v>13.803725073022971</v>
      </c>
      <c r="U74" s="2">
        <v>0</v>
      </c>
      <c r="V74" s="2">
        <v>0</v>
      </c>
      <c r="W74" s="2">
        <v>0</v>
      </c>
      <c r="X74" s="37"/>
      <c r="Y74" s="2">
        <v>0.69299999999999995</v>
      </c>
      <c r="Z74" s="2">
        <f t="shared" si="6"/>
        <v>0.38405716324193384</v>
      </c>
      <c r="AA74" s="32">
        <v>0.16</v>
      </c>
      <c r="AB74" s="2">
        <f t="shared" si="7"/>
        <v>9.543571180764962E-2</v>
      </c>
      <c r="AC74" s="2">
        <f t="shared" si="8"/>
        <v>0.47949287504958349</v>
      </c>
      <c r="AE74"/>
      <c r="AF74"/>
      <c r="AG74"/>
      <c r="AH74"/>
      <c r="AN74">
        <v>1995</v>
      </c>
      <c r="AO74" s="1">
        <f t="shared" si="9"/>
        <v>0.69190891060545967</v>
      </c>
      <c r="AP74" s="1">
        <f t="shared" si="20"/>
        <v>0.38405716324193384</v>
      </c>
      <c r="AQ74" s="1">
        <f t="shared" si="21"/>
        <v>9.543571180764962E-2</v>
      </c>
      <c r="AR74" s="1">
        <f t="shared" si="22"/>
        <v>0.47949287504958349</v>
      </c>
      <c r="AS74" s="22">
        <f t="shared" si="10"/>
        <v>0.21241603555587618</v>
      </c>
      <c r="AU74" s="7">
        <v>66.718511401676807</v>
      </c>
      <c r="AV74" s="12"/>
      <c r="AW74" s="22">
        <f t="shared" si="11"/>
        <v>1.037056876823649</v>
      </c>
      <c r="AX74" s="22">
        <f t="shared" si="23"/>
        <v>0.99552831162272803</v>
      </c>
      <c r="AY74" s="1">
        <f t="shared" si="12"/>
        <v>0.71868041563878871</v>
      </c>
      <c r="AZ74" s="22">
        <f t="shared" si="24"/>
        <v>0.31837646118486029</v>
      </c>
      <c r="BA74" s="1">
        <f t="shared" si="14"/>
        <v>0.27684789598393933</v>
      </c>
      <c r="BB74" s="3">
        <f t="shared" si="15"/>
        <v>20.689497986425469</v>
      </c>
      <c r="BC74" s="23">
        <v>0.9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 s="3"/>
      <c r="BK74" s="22">
        <f t="shared" si="16"/>
        <v>1.1085285051454654</v>
      </c>
      <c r="BL74" s="22">
        <f t="shared" si="17"/>
        <v>1.0641378846001264</v>
      </c>
      <c r="BN74" s="22"/>
      <c r="BO74" s="22"/>
      <c r="BR74" s="12"/>
      <c r="BS74" s="12"/>
      <c r="BT74" s="12"/>
      <c r="BU74" s="12"/>
      <c r="BV74" s="12"/>
    </row>
    <row r="75" spans="1:74">
      <c r="A75">
        <v>1996</v>
      </c>
      <c r="B75" s="3">
        <f t="shared" si="0"/>
        <v>118.86390510425278</v>
      </c>
      <c r="C75" s="3">
        <f t="shared" si="1"/>
        <v>71.923179589087013</v>
      </c>
      <c r="D75" s="2">
        <v>83.939599999999999</v>
      </c>
      <c r="E75" s="2">
        <v>102.9312</v>
      </c>
      <c r="F75" s="2">
        <f t="shared" si="18"/>
        <v>86.400037555200001</v>
      </c>
      <c r="G75" s="2">
        <v>0.7610380881404285</v>
      </c>
      <c r="H75" s="2">
        <f t="shared" si="19"/>
        <v>0.65753719396270627</v>
      </c>
      <c r="I75" s="32">
        <f>K75</f>
        <v>0.65061678832116776</v>
      </c>
      <c r="J75" s="32">
        <f t="shared" si="3"/>
        <v>0.4489255839416057</v>
      </c>
      <c r="K75" s="2">
        <f t="shared" si="25"/>
        <v>0.65061678832116776</v>
      </c>
      <c r="M75" s="2">
        <v>65.3</v>
      </c>
      <c r="N75" s="2">
        <f t="shared" si="26"/>
        <v>0.66463993030930757</v>
      </c>
      <c r="O75" s="2">
        <f>O74+(O$77-O$74)/3</f>
        <v>87.333333333333329</v>
      </c>
      <c r="P75" s="37"/>
      <c r="Q75" s="32">
        <f t="shared" si="4"/>
        <v>0.20169120437956206</v>
      </c>
      <c r="R75" s="32">
        <f t="shared" si="5"/>
        <v>0</v>
      </c>
      <c r="S75" s="37"/>
      <c r="T75" s="2">
        <f>USA!Z83*G75</f>
        <v>16.834162509666278</v>
      </c>
      <c r="U75" s="2">
        <v>0</v>
      </c>
      <c r="V75" s="2">
        <v>0</v>
      </c>
      <c r="W75" s="2">
        <v>0</v>
      </c>
      <c r="X75" s="37"/>
      <c r="Y75" s="2">
        <v>0.69</v>
      </c>
      <c r="Z75" s="2">
        <f t="shared" si="6"/>
        <v>0.35918533727661706</v>
      </c>
      <c r="AA75" s="32">
        <v>0.16</v>
      </c>
      <c r="AB75" s="2">
        <f t="shared" si="7"/>
        <v>8.9740246664988671E-2</v>
      </c>
      <c r="AC75" s="2">
        <f t="shared" si="8"/>
        <v>0.4489255839416057</v>
      </c>
      <c r="AE75"/>
      <c r="AF75"/>
      <c r="AG75"/>
      <c r="AH75"/>
      <c r="AN75">
        <v>1996</v>
      </c>
      <c r="AO75" s="1">
        <f t="shared" si="9"/>
        <v>0.65061678832116776</v>
      </c>
      <c r="AP75" s="1">
        <f t="shared" si="20"/>
        <v>0.35918533727661706</v>
      </c>
      <c r="AQ75" s="1">
        <f t="shared" si="21"/>
        <v>8.9740246664988671E-2</v>
      </c>
      <c r="AR75" s="1">
        <f t="shared" si="22"/>
        <v>0.4489255839416057</v>
      </c>
      <c r="AS75" s="22">
        <f t="shared" si="10"/>
        <v>0.20169120437956206</v>
      </c>
      <c r="AU75" s="7">
        <v>69.092918474399582</v>
      </c>
      <c r="AV75" s="12"/>
      <c r="AW75" s="22">
        <f t="shared" si="11"/>
        <v>0.94165480730450735</v>
      </c>
      <c r="AX75" s="22">
        <f t="shared" si="23"/>
        <v>0.94626487619347821</v>
      </c>
      <c r="AY75" s="1">
        <f t="shared" si="12"/>
        <v>0.64974181704011003</v>
      </c>
      <c r="AZ75" s="22">
        <f t="shared" si="24"/>
        <v>0.29191299026439732</v>
      </c>
      <c r="BA75" s="1">
        <f t="shared" si="14"/>
        <v>0.29652305915336818</v>
      </c>
      <c r="BB75" s="3">
        <f t="shared" si="15"/>
        <v>24.36452661339483</v>
      </c>
      <c r="BC75" s="23">
        <v>0.9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 s="3"/>
      <c r="BK75" s="22">
        <f t="shared" si="16"/>
        <v>1.0065515394888154</v>
      </c>
      <c r="BL75" s="22">
        <f t="shared" si="17"/>
        <v>1.0114793239607345</v>
      </c>
      <c r="BN75" s="22"/>
      <c r="BO75" s="22"/>
      <c r="BR75" s="12"/>
      <c r="BS75" s="12"/>
      <c r="BT75" s="12"/>
      <c r="BU75" s="12"/>
      <c r="BV75" s="12"/>
    </row>
    <row r="76" spans="1:74">
      <c r="A76">
        <v>1997</v>
      </c>
      <c r="B76" s="3">
        <f t="shared" si="0"/>
        <v>103.70421322034306</v>
      </c>
      <c r="C76" s="3">
        <f t="shared" si="1"/>
        <v>73.604511922988308</v>
      </c>
      <c r="D76" s="2">
        <v>74.332599999999999</v>
      </c>
      <c r="E76" s="2">
        <v>105.3374</v>
      </c>
      <c r="F76" s="2">
        <f t="shared" si="18"/>
        <v>78.300028192400006</v>
      </c>
      <c r="G76" s="2">
        <v>0.87977403948248833</v>
      </c>
      <c r="H76" s="2">
        <f t="shared" si="19"/>
        <v>0.68886332094420466</v>
      </c>
      <c r="I76" s="32">
        <f>K76</f>
        <v>0.67154014598540146</v>
      </c>
      <c r="J76" s="32">
        <f t="shared" si="3"/>
        <v>0.46134808029197083</v>
      </c>
      <c r="K76" s="2">
        <f t="shared" si="25"/>
        <v>0.67154014598540146</v>
      </c>
      <c r="M76" s="2">
        <v>67.400000000000006</v>
      </c>
      <c r="N76" s="2">
        <f t="shared" si="26"/>
        <v>0.75367309382333159</v>
      </c>
      <c r="O76" s="2">
        <f>O75+(O$77-O$74)/3</f>
        <v>85.666666666666657</v>
      </c>
      <c r="P76" s="37"/>
      <c r="Q76" s="32">
        <f t="shared" si="4"/>
        <v>0.21019206569343063</v>
      </c>
      <c r="R76" s="32">
        <f t="shared" si="5"/>
        <v>0</v>
      </c>
      <c r="S76" s="37"/>
      <c r="T76" s="2">
        <f>USA!Z84*G76</f>
        <v>18.132142953734085</v>
      </c>
      <c r="U76" s="2">
        <v>0</v>
      </c>
      <c r="V76" s="2">
        <v>0</v>
      </c>
      <c r="W76" s="2">
        <v>0</v>
      </c>
      <c r="X76" s="37"/>
      <c r="Y76" s="2">
        <v>0.68700000000000006</v>
      </c>
      <c r="Z76" s="2">
        <f t="shared" si="6"/>
        <v>0.36872185325950169</v>
      </c>
      <c r="AA76" s="32">
        <v>0.16</v>
      </c>
      <c r="AB76" s="2">
        <f t="shared" ref="AB76:AB97" si="27">AA76*(I76*(1/(1+AA76)))</f>
        <v>9.2626227032469172E-2</v>
      </c>
      <c r="AC76" s="2">
        <f t="shared" si="8"/>
        <v>0.46134808029197083</v>
      </c>
      <c r="AE76"/>
      <c r="AF76"/>
      <c r="AG76"/>
      <c r="AH76"/>
      <c r="AN76">
        <v>1997</v>
      </c>
      <c r="AO76" s="1">
        <f t="shared" ref="AO76:AO97" si="28">I76</f>
        <v>0.67154014598540146</v>
      </c>
      <c r="AP76" s="1">
        <f t="shared" si="20"/>
        <v>0.36872185325950169</v>
      </c>
      <c r="AQ76" s="1">
        <f t="shared" si="21"/>
        <v>9.2626227032469172E-2</v>
      </c>
      <c r="AR76" s="1">
        <f t="shared" si="22"/>
        <v>0.46134808029197083</v>
      </c>
      <c r="AS76" s="22">
        <f t="shared" ref="AS76:AS96" si="29">AO76-AR76</f>
        <v>0.21019206569343063</v>
      </c>
      <c r="AU76" s="7">
        <v>70.454793790006406</v>
      </c>
      <c r="AV76" s="12"/>
      <c r="AW76" s="22">
        <f t="shared" ref="AW76:AW97" si="30">AO76/$AU76*100</f>
        <v>0.95315039596447648</v>
      </c>
      <c r="AX76" s="22">
        <f t="shared" si="23"/>
        <v>0.95867911788143001</v>
      </c>
      <c r="AY76" s="1">
        <f t="shared" ref="AY76:AY97" si="31">AR76/$AU76*100</f>
        <v>0.65481432202759537</v>
      </c>
      <c r="AZ76" s="22">
        <f t="shared" si="24"/>
        <v>0.29833607393688111</v>
      </c>
      <c r="BA76" s="1">
        <f t="shared" ref="BA76:BA97" si="32">AX$99+AX$100*BB76+AX$101*BC76+AX$102*BD76+AX$103*BE76+AX$104*BF76+AX$105*BG76+AX$106*BH76+AX$107*BI76</f>
        <v>0.30386479585383463</v>
      </c>
      <c r="BB76" s="3">
        <f t="shared" ref="BB76:BB96" si="33">T76/AU76*100</f>
        <v>25.735854124813322</v>
      </c>
      <c r="BC76" s="23">
        <v>0.9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 s="3"/>
      <c r="BK76" s="22">
        <f t="shared" si="16"/>
        <v>1.0188393782735436</v>
      </c>
      <c r="BL76" s="22">
        <f t="shared" si="17"/>
        <v>1.024749127274714</v>
      </c>
      <c r="BN76" s="22"/>
      <c r="BO76" s="22"/>
      <c r="BR76" s="12"/>
      <c r="BS76" s="12"/>
      <c r="BT76" s="12"/>
      <c r="BU76" s="12"/>
      <c r="BV76" s="12"/>
    </row>
    <row r="77" spans="1:74">
      <c r="A77">
        <v>1998</v>
      </c>
      <c r="B77" s="3">
        <f t="shared" si="0"/>
        <v>96.367369405000318</v>
      </c>
      <c r="C77" s="3">
        <f t="shared" si="1"/>
        <v>74.747038105002289</v>
      </c>
      <c r="D77" s="2">
        <v>65.904799999999994</v>
      </c>
      <c r="E77" s="2">
        <v>106.9725</v>
      </c>
      <c r="F77" s="2">
        <f t="shared" si="18"/>
        <v>70.500012179999999</v>
      </c>
      <c r="G77" s="2">
        <v>0.89770323224309756</v>
      </c>
      <c r="H77" s="2">
        <f t="shared" si="19"/>
        <v>0.63288088807163745</v>
      </c>
      <c r="I77" s="32">
        <f>K77</f>
        <v>0.64663138686131383</v>
      </c>
      <c r="J77" s="32">
        <f t="shared" si="3"/>
        <v>0.44423576277372262</v>
      </c>
      <c r="K77" s="2">
        <f t="shared" si="25"/>
        <v>0.64663138686131383</v>
      </c>
      <c r="M77" s="2">
        <v>64.900000000000006</v>
      </c>
      <c r="N77" s="2">
        <f t="shared" si="26"/>
        <v>0.75407071508420187</v>
      </c>
      <c r="O77" s="39">
        <v>84</v>
      </c>
      <c r="P77" s="37"/>
      <c r="Q77" s="32">
        <f t="shared" si="4"/>
        <v>0.20239562408759121</v>
      </c>
      <c r="R77" s="32">
        <f t="shared" si="5"/>
        <v>0</v>
      </c>
      <c r="S77" s="37"/>
      <c r="T77" s="2">
        <f>USA!Z85*G77</f>
        <v>12.944880608945466</v>
      </c>
      <c r="U77" s="2">
        <v>0</v>
      </c>
      <c r="V77" s="2">
        <v>0</v>
      </c>
      <c r="W77" s="2">
        <v>0</v>
      </c>
      <c r="X77" s="37"/>
      <c r="Y77" s="2">
        <v>0.68700000000000006</v>
      </c>
      <c r="Z77" s="2">
        <f t="shared" si="6"/>
        <v>0.35504522665492072</v>
      </c>
      <c r="AA77" s="32">
        <v>0.16</v>
      </c>
      <c r="AB77" s="2">
        <f t="shared" si="27"/>
        <v>8.9190536118801914E-2</v>
      </c>
      <c r="AC77" s="2">
        <f t="shared" si="8"/>
        <v>0.44423576277372262</v>
      </c>
      <c r="AE77"/>
      <c r="AF77"/>
      <c r="AG77"/>
      <c r="AH77"/>
      <c r="AN77">
        <v>1998</v>
      </c>
      <c r="AO77" s="1">
        <f t="shared" si="28"/>
        <v>0.64663138686131383</v>
      </c>
      <c r="AP77" s="1">
        <f t="shared" si="20"/>
        <v>0.35504522665492072</v>
      </c>
      <c r="AQ77" s="1">
        <f t="shared" si="21"/>
        <v>8.9190536118801914E-2</v>
      </c>
      <c r="AR77" s="1">
        <f t="shared" ref="AR77:AR96" si="34">AC77</f>
        <v>0.44423576277372262</v>
      </c>
      <c r="AS77" s="22">
        <f t="shared" si="29"/>
        <v>0.20239562408759121</v>
      </c>
      <c r="AU77" s="7">
        <v>71.747167208934627</v>
      </c>
      <c r="AV77" s="12"/>
      <c r="AW77" s="22">
        <f t="shared" si="30"/>
        <v>0.90126399691608894</v>
      </c>
      <c r="AX77" s="22">
        <f t="shared" si="23"/>
        <v>0.90663956815862945</v>
      </c>
      <c r="AY77" s="1">
        <f t="shared" si="31"/>
        <v>0.61916836588135327</v>
      </c>
      <c r="AZ77" s="22">
        <f t="shared" si="24"/>
        <v>0.28209563103473567</v>
      </c>
      <c r="BA77" s="1">
        <f t="shared" si="32"/>
        <v>0.28747120227727618</v>
      </c>
      <c r="BB77" s="3">
        <f t="shared" si="33"/>
        <v>18.04235778570704</v>
      </c>
      <c r="BC77" s="23">
        <v>0.75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 s="3"/>
      <c r="BK77" s="22">
        <f t="shared" si="16"/>
        <v>0.96337708525962729</v>
      </c>
      <c r="BL77" s="22">
        <f t="shared" si="17"/>
        <v>0.96912312878623486</v>
      </c>
      <c r="BN77" s="22"/>
      <c r="BO77" s="22"/>
      <c r="BR77" s="12"/>
      <c r="BS77" s="12"/>
      <c r="BT77" s="12"/>
      <c r="BU77" s="12"/>
      <c r="BV77" s="12"/>
    </row>
    <row r="78" spans="1:74">
      <c r="A78">
        <v>1999</v>
      </c>
      <c r="B78" s="3">
        <f t="shared" si="0"/>
        <v>96.226362388700252</v>
      </c>
      <c r="C78" s="3">
        <f t="shared" si="1"/>
        <v>75.889564287016256</v>
      </c>
      <c r="D78" s="38">
        <v>75.685299999999998</v>
      </c>
      <c r="E78" s="2">
        <v>108.60760000000001</v>
      </c>
      <c r="F78" s="2">
        <f t="shared" si="18"/>
        <v>82.199987882800002</v>
      </c>
      <c r="G78" s="2">
        <v>0.9386947619791729</v>
      </c>
      <c r="H78" s="32">
        <f t="shared" si="19"/>
        <v>0.77160698060335842</v>
      </c>
      <c r="I78" s="32">
        <f>K78</f>
        <v>0.68548905109489044</v>
      </c>
      <c r="J78" s="32">
        <f t="shared" si="3"/>
        <v>0.46460064000755097</v>
      </c>
      <c r="K78" s="2">
        <f t="shared" si="25"/>
        <v>0.68548905109489044</v>
      </c>
      <c r="M78" s="2">
        <v>68.8</v>
      </c>
      <c r="N78" s="2">
        <f t="shared" si="26"/>
        <v>0.73687538815365072</v>
      </c>
      <c r="O78" s="2">
        <f>(O77+O79)/2</f>
        <v>78.5</v>
      </c>
      <c r="P78" s="37"/>
      <c r="Q78" s="32">
        <f t="shared" si="4"/>
        <v>0.22088841108733948</v>
      </c>
      <c r="R78" s="32">
        <f t="shared" si="5"/>
        <v>0</v>
      </c>
      <c r="S78" s="37"/>
      <c r="T78" s="2">
        <f>USA!Z86*G78</f>
        <v>16.408384439395942</v>
      </c>
      <c r="U78" s="2">
        <v>0</v>
      </c>
      <c r="V78" s="2">
        <v>0</v>
      </c>
      <c r="W78" s="2">
        <v>0</v>
      </c>
      <c r="X78" s="37"/>
      <c r="Y78" s="34">
        <v>0.57999999999999996</v>
      </c>
      <c r="Z78" s="2">
        <f t="shared" si="6"/>
        <v>0.37005042606342814</v>
      </c>
      <c r="AA78" s="32">
        <v>0.16</v>
      </c>
      <c r="AB78" s="2">
        <f t="shared" si="27"/>
        <v>9.455021394412283E-2</v>
      </c>
      <c r="AC78" s="2">
        <f>(AC77+AC79)/2</f>
        <v>0.46460064000755097</v>
      </c>
      <c r="AE78"/>
      <c r="AF78"/>
      <c r="AG78"/>
      <c r="AH78"/>
      <c r="AN78">
        <v>1999</v>
      </c>
      <c r="AO78" s="1">
        <f t="shared" si="28"/>
        <v>0.68548905109489044</v>
      </c>
      <c r="AP78" s="1">
        <f t="shared" si="20"/>
        <v>0.37005042606342814</v>
      </c>
      <c r="AQ78" s="1">
        <f t="shared" si="21"/>
        <v>9.455021394412283E-2</v>
      </c>
      <c r="AR78" s="1">
        <f t="shared" si="34"/>
        <v>0.46460064000755097</v>
      </c>
      <c r="AS78" s="22">
        <f t="shared" si="29"/>
        <v>0.22088841108733948</v>
      </c>
      <c r="AU78" s="7">
        <v>73.404774299187892</v>
      </c>
      <c r="AV78" s="12"/>
      <c r="AW78" s="22">
        <f t="shared" si="30"/>
        <v>0.93384804685990885</v>
      </c>
      <c r="AX78" s="22">
        <f t="shared" si="23"/>
        <v>0.94348057815544983</v>
      </c>
      <c r="AY78" s="1">
        <f t="shared" si="31"/>
        <v>0.63292973031141253</v>
      </c>
      <c r="AZ78" s="22">
        <f t="shared" si="24"/>
        <v>0.30091831654849632</v>
      </c>
      <c r="BA78" s="1">
        <f t="shared" si="32"/>
        <v>0.3105508478440373</v>
      </c>
      <c r="BB78" s="3">
        <f t="shared" si="33"/>
        <v>22.353293223840719</v>
      </c>
      <c r="BC78" s="23">
        <v>0.75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 s="3"/>
      <c r="BK78" s="22">
        <f t="shared" si="16"/>
        <v>0.99820675466641928</v>
      </c>
      <c r="BL78" s="22">
        <f t="shared" si="17"/>
        <v>1.0085031383618999</v>
      </c>
      <c r="BN78" s="22"/>
      <c r="BO78" s="22"/>
      <c r="BR78" s="12"/>
      <c r="BS78" s="12"/>
      <c r="BT78" s="12"/>
      <c r="BU78" s="12"/>
      <c r="BV78" s="12"/>
    </row>
    <row r="79" spans="1:74">
      <c r="A79">
        <v>2000</v>
      </c>
      <c r="B79" s="3">
        <f t="shared" si="0"/>
        <v>95.580887980410097</v>
      </c>
      <c r="C79" s="3">
        <f t="shared" si="1"/>
        <v>78.958238837304293</v>
      </c>
      <c r="D79" s="2">
        <f>F79/E79*100</f>
        <v>66.787148809102035</v>
      </c>
      <c r="E79" s="2">
        <v>112.9992628224058</v>
      </c>
      <c r="F79" s="2">
        <f>I79/G79*100</f>
        <v>75.468985814388475</v>
      </c>
      <c r="G79" s="2">
        <v>1.0852140003766344</v>
      </c>
      <c r="H79" s="32">
        <f t="shared" ref="H79:H89" si="35">(R79+Z79)+AA79*(R79+Z79)</f>
        <v>0.43152000000000001</v>
      </c>
      <c r="I79" s="32">
        <f>K79</f>
        <v>0.81899999999999995</v>
      </c>
      <c r="J79" s="32">
        <f t="shared" si="3"/>
        <v>0.48496551724137932</v>
      </c>
      <c r="K79" s="2">
        <v>0.81899999999999995</v>
      </c>
      <c r="M79" s="2">
        <v>82.2</v>
      </c>
      <c r="N79" s="2">
        <f t="shared" si="26"/>
        <v>0.79220622027494314</v>
      </c>
      <c r="O79" s="39">
        <v>73</v>
      </c>
      <c r="P79" s="37"/>
      <c r="Q79" s="32">
        <f t="shared" ref="Q79:Q89" si="36">K79-AC79</f>
        <v>0.33403448275862063</v>
      </c>
      <c r="R79" s="32">
        <f t="shared" si="5"/>
        <v>0</v>
      </c>
      <c r="S79" s="37"/>
      <c r="T79" s="2">
        <f>USA!Z87*G79</f>
        <v>29.951906410395111</v>
      </c>
      <c r="U79" s="2">
        <v>0</v>
      </c>
      <c r="V79" s="2">
        <v>0</v>
      </c>
      <c r="W79" s="2">
        <v>0</v>
      </c>
      <c r="X79" s="37"/>
      <c r="Z79" s="32">
        <v>0.372</v>
      </c>
      <c r="AA79" s="32">
        <v>0.16</v>
      </c>
      <c r="AB79" s="2">
        <f t="shared" si="27"/>
        <v>0.11296551724137931</v>
      </c>
      <c r="AC79" s="2">
        <f t="shared" ref="AC79:AC96" si="37">Z79+AB79</f>
        <v>0.48496551724137932</v>
      </c>
      <c r="AE79"/>
      <c r="AF79"/>
      <c r="AG79"/>
      <c r="AH79"/>
      <c r="AN79">
        <v>2000</v>
      </c>
      <c r="AO79" s="1">
        <f t="shared" si="28"/>
        <v>0.81899999999999995</v>
      </c>
      <c r="AP79" s="1">
        <f t="shared" si="20"/>
        <v>0.372</v>
      </c>
      <c r="AQ79" s="1">
        <f t="shared" si="21"/>
        <v>0.11296551724137931</v>
      </c>
      <c r="AR79" s="1">
        <f t="shared" si="34"/>
        <v>0.48496551724137932</v>
      </c>
      <c r="AS79" s="22">
        <f t="shared" si="29"/>
        <v>0.33403448275862063</v>
      </c>
      <c r="AU79" s="7">
        <v>75.925139703562152</v>
      </c>
      <c r="AV79" s="12"/>
      <c r="AW79" s="22">
        <f t="shared" si="30"/>
        <v>1.0786940968402001</v>
      </c>
      <c r="AX79" s="22">
        <f t="shared" si="23"/>
        <v>1.0821456672474346</v>
      </c>
      <c r="AY79" s="1">
        <f t="shared" si="31"/>
        <v>0.63874168573788792</v>
      </c>
      <c r="AZ79" s="22">
        <f t="shared" si="24"/>
        <v>0.4399524111023122</v>
      </c>
      <c r="BA79" s="1">
        <f t="shared" si="32"/>
        <v>0.44340398150954657</v>
      </c>
      <c r="BB79" s="3">
        <f t="shared" si="33"/>
        <v>39.449260847378945</v>
      </c>
      <c r="BC79" s="23">
        <v>0.5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 s="3"/>
      <c r="BK79" s="22">
        <f t="shared" si="16"/>
        <v>1.1530352687520375</v>
      </c>
      <c r="BL79" s="22">
        <f t="shared" si="17"/>
        <v>1.1567247136315266</v>
      </c>
      <c r="BN79" s="22"/>
      <c r="BO79" s="22"/>
      <c r="BR79" s="12"/>
      <c r="BS79" s="12"/>
      <c r="BT79" s="12"/>
      <c r="BU79" s="12"/>
      <c r="BV79" s="12"/>
    </row>
    <row r="80" spans="1:74">
      <c r="A80">
        <v>2001</v>
      </c>
      <c r="B80" s="3">
        <f t="shared" si="0"/>
        <v>88.937767381480143</v>
      </c>
      <c r="C80" s="3">
        <f t="shared" si="1"/>
        <v>81.182199298191421</v>
      </c>
      <c r="D80" s="2">
        <f t="shared" ref="D80:D89" si="38">F80/E80*100</f>
        <v>62.145268058962124</v>
      </c>
      <c r="E80" s="2">
        <v>116.1820325539375</v>
      </c>
      <c r="F80" s="2">
        <f t="shared" ref="F80:F89" si="39">I80/G80*100</f>
        <v>72.201635566995094</v>
      </c>
      <c r="G80" s="2">
        <v>1.1177032122093602</v>
      </c>
      <c r="H80" s="32">
        <f t="shared" si="35"/>
        <v>0.43152000000000001</v>
      </c>
      <c r="I80" s="32">
        <f t="shared" ref="I80:I89" si="40">K80</f>
        <v>0.80700000000000005</v>
      </c>
      <c r="J80" s="32">
        <f t="shared" si="3"/>
        <v>0.48331034482758622</v>
      </c>
      <c r="K80" s="2">
        <v>0.80700000000000005</v>
      </c>
      <c r="M80" s="2">
        <v>80.5</v>
      </c>
      <c r="N80" s="2">
        <f t="shared" si="26"/>
        <v>0.87180850552330102</v>
      </c>
      <c r="O80" s="2">
        <f>(O79+O81)/2</f>
        <v>78</v>
      </c>
      <c r="P80" s="37"/>
      <c r="Q80" s="32">
        <f t="shared" si="36"/>
        <v>0.32368965517241383</v>
      </c>
      <c r="R80" s="32">
        <f t="shared" si="5"/>
        <v>0</v>
      </c>
      <c r="S80" s="37"/>
      <c r="T80" s="2">
        <f>USA!Z88*G80</f>
        <v>25.841298266280408</v>
      </c>
      <c r="U80" s="2">
        <v>0</v>
      </c>
      <c r="V80" s="2">
        <v>0</v>
      </c>
      <c r="W80" s="2">
        <v>0</v>
      </c>
      <c r="X80" s="37"/>
      <c r="Z80" s="32">
        <v>0.372</v>
      </c>
      <c r="AA80" s="32">
        <v>0.16</v>
      </c>
      <c r="AB80" s="2">
        <f t="shared" si="27"/>
        <v>0.11131034482758623</v>
      </c>
      <c r="AC80" s="2">
        <f t="shared" si="37"/>
        <v>0.48331034482758622</v>
      </c>
      <c r="AE80"/>
      <c r="AF80"/>
      <c r="AG80"/>
      <c r="AH80"/>
      <c r="AN80">
        <v>2001</v>
      </c>
      <c r="AO80" s="1">
        <f t="shared" si="28"/>
        <v>0.80700000000000005</v>
      </c>
      <c r="AP80" s="1">
        <f t="shared" si="20"/>
        <v>0.372</v>
      </c>
      <c r="AQ80" s="1">
        <f t="shared" si="21"/>
        <v>0.11131034482758623</v>
      </c>
      <c r="AR80" s="1">
        <f t="shared" si="34"/>
        <v>0.48331034482758622</v>
      </c>
      <c r="AS80" s="22">
        <f t="shared" si="29"/>
        <v>0.32368965517241383</v>
      </c>
      <c r="AU80" s="7">
        <v>78.65072542393672</v>
      </c>
      <c r="AV80" s="12"/>
      <c r="AW80" s="22">
        <f t="shared" si="30"/>
        <v>1.0260553804814572</v>
      </c>
      <c r="AX80" s="22">
        <f t="shared" si="23"/>
        <v>1.0226061779919469</v>
      </c>
      <c r="AY80" s="1">
        <f t="shared" si="31"/>
        <v>0.61450208147793461</v>
      </c>
      <c r="AZ80" s="22">
        <f t="shared" si="24"/>
        <v>0.41155329900352255</v>
      </c>
      <c r="BA80" s="1">
        <f t="shared" si="32"/>
        <v>0.4081040965140123</v>
      </c>
      <c r="BB80" s="3">
        <f t="shared" si="33"/>
        <v>32.855765953832908</v>
      </c>
      <c r="BC80" s="23">
        <v>0.5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 s="3"/>
      <c r="BK80" s="22">
        <f t="shared" si="16"/>
        <v>1.0967688104101811</v>
      </c>
      <c r="BL80" s="22">
        <f t="shared" si="17"/>
        <v>1.093081896639982</v>
      </c>
      <c r="BN80" s="22"/>
      <c r="BO80" s="22"/>
      <c r="BR80" s="12"/>
      <c r="BS80" s="12"/>
      <c r="BT80" s="12"/>
      <c r="BU80" s="12"/>
      <c r="BV80" s="12"/>
    </row>
    <row r="81" spans="1:74">
      <c r="A81">
        <v>2002</v>
      </c>
      <c r="B81" s="3">
        <f t="shared" si="0"/>
        <v>92.991087030694075</v>
      </c>
      <c r="C81" s="3">
        <f t="shared" si="1"/>
        <v>82.47759894808965</v>
      </c>
      <c r="D81" s="2">
        <f t="shared" si="38"/>
        <v>64.977525305184727</v>
      </c>
      <c r="E81" s="2">
        <v>118.03591389240708</v>
      </c>
      <c r="F81" s="2">
        <f t="shared" si="39"/>
        <v>76.696815818644865</v>
      </c>
      <c r="G81" s="2">
        <v>1.0613217658536978</v>
      </c>
      <c r="H81" s="32">
        <f t="shared" si="35"/>
        <v>0.43152000000000001</v>
      </c>
      <c r="I81" s="32">
        <f t="shared" si="40"/>
        <v>0.81399999999999995</v>
      </c>
      <c r="J81" s="32">
        <f t="shared" si="3"/>
        <v>0.4842758620689655</v>
      </c>
      <c r="K81" s="2">
        <v>0.81399999999999995</v>
      </c>
      <c r="M81" s="2">
        <v>80.900000000000006</v>
      </c>
      <c r="N81" s="2">
        <f t="shared" si="26"/>
        <v>0.88089706565856918</v>
      </c>
      <c r="O81" s="39">
        <v>83</v>
      </c>
      <c r="P81" s="37"/>
      <c r="Q81" s="32">
        <f t="shared" si="36"/>
        <v>0.32972413793103444</v>
      </c>
      <c r="R81" s="32">
        <f t="shared" si="5"/>
        <v>0</v>
      </c>
      <c r="S81" s="37"/>
      <c r="T81" s="2">
        <f>USA!Z89*G81</f>
        <v>25.853798216196076</v>
      </c>
      <c r="U81" s="2">
        <v>0</v>
      </c>
      <c r="V81" s="2">
        <v>0</v>
      </c>
      <c r="W81" s="2">
        <v>0</v>
      </c>
      <c r="X81" s="37"/>
      <c r="Z81" s="32">
        <v>0.372</v>
      </c>
      <c r="AA81" s="32">
        <v>0.16</v>
      </c>
      <c r="AB81" s="2">
        <f t="shared" si="27"/>
        <v>0.11227586206896552</v>
      </c>
      <c r="AC81" s="2">
        <f t="shared" si="37"/>
        <v>0.4842758620689655</v>
      </c>
      <c r="AE81"/>
      <c r="AF81"/>
      <c r="AG81"/>
      <c r="AH81"/>
      <c r="AN81">
        <v>2002</v>
      </c>
      <c r="AO81" s="1">
        <f t="shared" si="28"/>
        <v>0.81399999999999995</v>
      </c>
      <c r="AP81" s="1">
        <f t="shared" si="20"/>
        <v>0.372</v>
      </c>
      <c r="AQ81" s="1">
        <f t="shared" si="21"/>
        <v>0.11227586206896552</v>
      </c>
      <c r="AR81" s="1">
        <f t="shared" si="34"/>
        <v>0.4842758620689655</v>
      </c>
      <c r="AS81" s="22">
        <f t="shared" si="29"/>
        <v>0.32972413793103444</v>
      </c>
      <c r="AU81" s="7">
        <v>81.062427223930086</v>
      </c>
      <c r="AV81" s="12"/>
      <c r="AW81" s="22">
        <f t="shared" si="30"/>
        <v>1.0041643556408371</v>
      </c>
      <c r="AX81" s="22">
        <f t="shared" si="23"/>
        <v>1.0086295265498573</v>
      </c>
      <c r="AY81" s="1">
        <f t="shared" si="31"/>
        <v>0.59741100612640485</v>
      </c>
      <c r="AZ81" s="22">
        <f t="shared" si="24"/>
        <v>0.40675334951443221</v>
      </c>
      <c r="BA81" s="1">
        <f t="shared" si="32"/>
        <v>0.41121852042345247</v>
      </c>
      <c r="BB81" s="3">
        <f t="shared" si="33"/>
        <v>31.893688730509524</v>
      </c>
      <c r="BC81" s="23">
        <v>0.45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 s="3"/>
      <c r="BK81" s="22">
        <f t="shared" si="16"/>
        <v>1.07336910535543</v>
      </c>
      <c r="BL81" s="22">
        <f t="shared" si="17"/>
        <v>1.0781420058043962</v>
      </c>
      <c r="BN81" s="22"/>
      <c r="BO81" s="22"/>
      <c r="BR81" s="12"/>
      <c r="BS81" s="12"/>
      <c r="BT81" s="12"/>
      <c r="BU81" s="12"/>
      <c r="BV81" s="12"/>
    </row>
    <row r="82" spans="1:74">
      <c r="A82">
        <v>2003</v>
      </c>
      <c r="B82" s="3">
        <f t="shared" si="0"/>
        <v>109.3729307965712</v>
      </c>
      <c r="C82" s="3">
        <f t="shared" si="1"/>
        <v>84.37293294912061</v>
      </c>
      <c r="D82" s="2">
        <f t="shared" si="38"/>
        <v>76.42433920780654</v>
      </c>
      <c r="E82" s="2">
        <v>120.74837744367809</v>
      </c>
      <c r="F82" s="2">
        <f t="shared" si="39"/>
        <v>92.281149565479097</v>
      </c>
      <c r="G82" s="2">
        <v>0.88533790903882137</v>
      </c>
      <c r="H82" s="32">
        <f t="shared" si="35"/>
        <v>0.43152000000000001</v>
      </c>
      <c r="I82" s="32">
        <f t="shared" si="40"/>
        <v>0.81699999999999995</v>
      </c>
      <c r="J82" s="32">
        <f t="shared" si="3"/>
        <v>0.4846896551724138</v>
      </c>
      <c r="K82" s="2">
        <v>0.81699999999999995</v>
      </c>
      <c r="M82" s="2">
        <v>82.2</v>
      </c>
      <c r="N82" s="2">
        <f t="shared" si="26"/>
        <v>0.90304466721959786</v>
      </c>
      <c r="O82" s="2">
        <f>(O81+O83)/2</f>
        <v>102</v>
      </c>
      <c r="P82" s="37"/>
      <c r="Q82" s="32">
        <f t="shared" si="36"/>
        <v>0.33231034482758615</v>
      </c>
      <c r="R82" s="32">
        <f t="shared" si="5"/>
        <v>0</v>
      </c>
      <c r="S82" s="37"/>
      <c r="T82" s="2">
        <f>USA!Z90*G82</f>
        <v>24.877995243990881</v>
      </c>
      <c r="U82" s="2">
        <v>0</v>
      </c>
      <c r="V82" s="2">
        <v>0</v>
      </c>
      <c r="W82" s="2">
        <v>0</v>
      </c>
      <c r="X82" s="37"/>
      <c r="Z82" s="32">
        <v>0.372</v>
      </c>
      <c r="AA82" s="32">
        <v>0.16</v>
      </c>
      <c r="AB82" s="2">
        <f t="shared" si="27"/>
        <v>0.11268965517241381</v>
      </c>
      <c r="AC82" s="2">
        <f t="shared" si="37"/>
        <v>0.4846896551724138</v>
      </c>
      <c r="AE82"/>
      <c r="AF82"/>
      <c r="AG82"/>
      <c r="AH82"/>
      <c r="AN82">
        <v>2003</v>
      </c>
      <c r="AO82" s="1">
        <f t="shared" si="28"/>
        <v>0.81699999999999995</v>
      </c>
      <c r="AP82" s="1">
        <f t="shared" si="20"/>
        <v>0.372</v>
      </c>
      <c r="AQ82" s="1">
        <f t="shared" si="21"/>
        <v>0.11268965517241381</v>
      </c>
      <c r="AR82" s="1">
        <f t="shared" si="34"/>
        <v>0.4846896551724138</v>
      </c>
      <c r="AS82" s="22">
        <f t="shared" si="29"/>
        <v>0.33231034482758615</v>
      </c>
      <c r="AU82" s="7">
        <v>83.526022200293539</v>
      </c>
      <c r="AV82" s="12"/>
      <c r="AW82" s="22">
        <f t="shared" si="30"/>
        <v>0.97813828370858136</v>
      </c>
      <c r="AX82" s="22">
        <f t="shared" si="23"/>
        <v>0.98021347397381686</v>
      </c>
      <c r="AY82" s="1">
        <f t="shared" si="31"/>
        <v>0.58028581082209185</v>
      </c>
      <c r="AZ82" s="22">
        <f t="shared" si="24"/>
        <v>0.39785247288648951</v>
      </c>
      <c r="BA82" s="1">
        <f t="shared" si="32"/>
        <v>0.39992766315172507</v>
      </c>
      <c r="BB82" s="3">
        <f t="shared" si="33"/>
        <v>29.784724075970004</v>
      </c>
      <c r="BC82" s="23">
        <v>0.45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 s="3"/>
      <c r="BK82" s="22">
        <f t="shared" si="16"/>
        <v>1.0455493750603695</v>
      </c>
      <c r="BL82" s="22">
        <f t="shared" si="17"/>
        <v>1.0477675827730069</v>
      </c>
      <c r="BN82" s="22"/>
      <c r="BO82" s="22"/>
      <c r="BR82" s="12"/>
      <c r="BS82" s="12"/>
      <c r="BT82" s="12"/>
      <c r="BU82" s="12"/>
      <c r="BV82" s="12"/>
    </row>
    <row r="83" spans="1:74">
      <c r="A83">
        <v>2004</v>
      </c>
      <c r="B83" s="3">
        <f t="shared" si="0"/>
        <v>124.64424855017577</v>
      </c>
      <c r="C83" s="3">
        <f t="shared" si="1"/>
        <v>86.62364207534489</v>
      </c>
      <c r="D83" s="2">
        <f t="shared" si="38"/>
        <v>87.095173020630199</v>
      </c>
      <c r="E83" s="2">
        <v>123.96942791081244</v>
      </c>
      <c r="F83" s="2">
        <f t="shared" si="39"/>
        <v>107.97138773160752</v>
      </c>
      <c r="G83" s="2">
        <v>0.80484285536844047</v>
      </c>
      <c r="H83" s="32">
        <f t="shared" si="35"/>
        <v>0.43152000000000001</v>
      </c>
      <c r="I83" s="32">
        <f t="shared" si="40"/>
        <v>0.86899999999999999</v>
      </c>
      <c r="J83" s="32">
        <f t="shared" si="3"/>
        <v>0.49186206896551726</v>
      </c>
      <c r="K83" s="2">
        <v>0.86899999999999999</v>
      </c>
      <c r="M83" s="2">
        <v>88.3</v>
      </c>
      <c r="N83" s="2">
        <f t="shared" si="26"/>
        <v>0.97385985499581296</v>
      </c>
      <c r="O83" s="39">
        <v>121</v>
      </c>
      <c r="P83" s="37"/>
      <c r="Q83" s="32">
        <f t="shared" si="36"/>
        <v>0.37713793103448273</v>
      </c>
      <c r="R83" s="32">
        <f t="shared" si="5"/>
        <v>0</v>
      </c>
      <c r="S83" s="37"/>
      <c r="T83" s="2">
        <f>USA!Z91*G83</f>
        <v>29.014584936032275</v>
      </c>
      <c r="U83" s="2">
        <v>0</v>
      </c>
      <c r="V83" s="2">
        <v>0</v>
      </c>
      <c r="W83" s="2">
        <v>0</v>
      </c>
      <c r="X83" s="37"/>
      <c r="Z83" s="32">
        <v>0.372</v>
      </c>
      <c r="AA83" s="32">
        <v>0.16</v>
      </c>
      <c r="AB83" s="2">
        <f t="shared" si="27"/>
        <v>0.11986206896551725</v>
      </c>
      <c r="AC83" s="2">
        <f t="shared" si="37"/>
        <v>0.49186206896551726</v>
      </c>
      <c r="AE83"/>
      <c r="AF83"/>
      <c r="AG83"/>
      <c r="AH83"/>
      <c r="AN83">
        <v>2004</v>
      </c>
      <c r="AO83" s="1">
        <f t="shared" si="28"/>
        <v>0.86899999999999999</v>
      </c>
      <c r="AP83" s="1">
        <f t="shared" si="20"/>
        <v>0.372</v>
      </c>
      <c r="AQ83" s="1">
        <f t="shared" si="21"/>
        <v>0.11986206896551725</v>
      </c>
      <c r="AR83" s="1">
        <f t="shared" si="34"/>
        <v>0.49186206896551726</v>
      </c>
      <c r="AS83" s="22">
        <f t="shared" si="29"/>
        <v>0.37713793103448273</v>
      </c>
      <c r="AU83" s="7">
        <v>86.064518338677743</v>
      </c>
      <c r="AV83" s="12"/>
      <c r="AW83" s="22">
        <f t="shared" si="30"/>
        <v>1.0097076202533837</v>
      </c>
      <c r="AX83" s="22">
        <f t="shared" si="23"/>
        <v>1.0172558007335211</v>
      </c>
      <c r="AY83" s="1">
        <f t="shared" si="31"/>
        <v>0.57150388854784595</v>
      </c>
      <c r="AZ83" s="22">
        <f t="shared" si="24"/>
        <v>0.43820373170553772</v>
      </c>
      <c r="BA83" s="1">
        <f t="shared" si="32"/>
        <v>0.44575191218567511</v>
      </c>
      <c r="BB83" s="3">
        <f t="shared" si="33"/>
        <v>33.712597823246057</v>
      </c>
      <c r="BC83" s="23">
        <v>0.3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 s="3"/>
      <c r="BK83" s="22">
        <f t="shared" si="16"/>
        <v>1.0792943993020772</v>
      </c>
      <c r="BL83" s="22">
        <f t="shared" si="17"/>
        <v>1.0873627834102304</v>
      </c>
      <c r="BN83" s="22"/>
      <c r="BO83" s="22"/>
      <c r="BR83" s="12"/>
      <c r="BS83" s="12"/>
      <c r="BT83" s="12"/>
      <c r="BU83" s="12"/>
      <c r="BV83" s="12"/>
    </row>
    <row r="84" spans="1:74">
      <c r="A84">
        <v>2005</v>
      </c>
      <c r="B84" s="3">
        <f t="shared" si="0"/>
        <v>132.53612163228919</v>
      </c>
      <c r="C84" s="3">
        <f t="shared" si="1"/>
        <v>89.539246597092159</v>
      </c>
      <c r="D84" s="2">
        <f t="shared" si="38"/>
        <v>92.609619611937063</v>
      </c>
      <c r="E84" s="2">
        <v>128.14202809149756</v>
      </c>
      <c r="F84" s="2">
        <f t="shared" si="39"/>
        <v>118.67184477855743</v>
      </c>
      <c r="G84" s="2">
        <v>0.80474016543859861</v>
      </c>
      <c r="H84" s="32">
        <f t="shared" si="35"/>
        <v>0.43152000000000001</v>
      </c>
      <c r="I84" s="32">
        <f t="shared" si="40"/>
        <v>0.95499999999999996</v>
      </c>
      <c r="J84" s="32">
        <f t="shared" si="3"/>
        <v>0.50372413793103443</v>
      </c>
      <c r="K84" s="2">
        <v>0.95499999999999996</v>
      </c>
      <c r="L84" s="2">
        <f>'EU petrol prices nominal'!AJ3</f>
        <v>0.96293061224489807</v>
      </c>
      <c r="M84" s="2">
        <v>100</v>
      </c>
      <c r="N84" s="2">
        <f t="shared" si="26"/>
        <v>0.94959339521754627</v>
      </c>
      <c r="O84" s="2">
        <f>(O83+O85)/2</f>
        <v>118</v>
      </c>
      <c r="P84" s="37"/>
      <c r="Q84" s="32">
        <f t="shared" si="36"/>
        <v>0.45127586206896553</v>
      </c>
      <c r="R84" s="32">
        <f t="shared" si="5"/>
        <v>0</v>
      </c>
      <c r="S84" s="37"/>
      <c r="T84" s="2">
        <f>USA!Z92*G84</f>
        <v>40.752041977810634</v>
      </c>
      <c r="U84" s="2">
        <v>0</v>
      </c>
      <c r="V84" s="2">
        <v>0</v>
      </c>
      <c r="W84" s="2">
        <v>0</v>
      </c>
      <c r="X84" s="37"/>
      <c r="Z84" s="32">
        <v>0.372</v>
      </c>
      <c r="AA84" s="32">
        <v>0.16</v>
      </c>
      <c r="AB84" s="2">
        <f t="shared" si="27"/>
        <v>0.13172413793103449</v>
      </c>
      <c r="AC84" s="2">
        <f t="shared" si="37"/>
        <v>0.50372413793103443</v>
      </c>
      <c r="AE84"/>
      <c r="AF84"/>
      <c r="AG84"/>
      <c r="AH84"/>
      <c r="AN84">
        <v>2005</v>
      </c>
      <c r="AO84" s="1">
        <f t="shared" si="28"/>
        <v>0.95499999999999996</v>
      </c>
      <c r="AP84" s="1">
        <f t="shared" si="20"/>
        <v>0.372</v>
      </c>
      <c r="AQ84" s="1">
        <f t="shared" si="21"/>
        <v>0.13172413793103449</v>
      </c>
      <c r="AR84" s="1">
        <f t="shared" si="34"/>
        <v>0.50372413793103443</v>
      </c>
      <c r="AS84" s="22">
        <f t="shared" si="29"/>
        <v>0.45127586206896553</v>
      </c>
      <c r="AU84" s="7">
        <v>88.964165361511206</v>
      </c>
      <c r="AV84" s="12"/>
      <c r="AW84" s="22">
        <f t="shared" si="30"/>
        <v>1.0734659243070515</v>
      </c>
      <c r="AX84" s="22">
        <f t="shared" si="23"/>
        <v>1.0767137664197197</v>
      </c>
      <c r="AY84" s="1">
        <f t="shared" si="31"/>
        <v>0.56621015426168653</v>
      </c>
      <c r="AZ84" s="22">
        <f t="shared" si="24"/>
        <v>0.50725577004536493</v>
      </c>
      <c r="BA84" s="1">
        <f t="shared" si="32"/>
        <v>0.51050361215803319</v>
      </c>
      <c r="BB84" s="3">
        <f t="shared" si="33"/>
        <v>45.807254878649481</v>
      </c>
      <c r="BC84" s="23">
        <v>0.3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 s="3"/>
      <c r="BK84" s="22">
        <f t="shared" si="16"/>
        <v>1.1474467823224748</v>
      </c>
      <c r="BL84" s="22">
        <f t="shared" si="17"/>
        <v>1.1509184584113812</v>
      </c>
      <c r="BN84" s="22"/>
      <c r="BO84" s="22"/>
      <c r="BR84" s="12"/>
      <c r="BS84" s="12"/>
      <c r="BT84" s="12"/>
      <c r="BU84" s="12"/>
      <c r="BV84" s="12"/>
    </row>
    <row r="85" spans="1:74">
      <c r="A85">
        <v>2006</v>
      </c>
      <c r="B85" s="3">
        <f t="shared" si="0"/>
        <v>138.48689343827058</v>
      </c>
      <c r="C85" s="3">
        <f t="shared" si="1"/>
        <v>92.424281215596963</v>
      </c>
      <c r="D85" s="2">
        <f t="shared" si="38"/>
        <v>96.767721618862808</v>
      </c>
      <c r="E85" s="2">
        <v>132.27087886006535</v>
      </c>
      <c r="F85" s="2">
        <f t="shared" si="39"/>
        <v>127.9955158381313</v>
      </c>
      <c r="G85" s="2">
        <v>0.79690291751309206</v>
      </c>
      <c r="H85" s="32">
        <f t="shared" si="35"/>
        <v>0.43152000000000001</v>
      </c>
      <c r="I85" s="32">
        <f t="shared" si="40"/>
        <v>1.02</v>
      </c>
      <c r="J85" s="32">
        <f t="shared" si="3"/>
        <v>0.51268965517241383</v>
      </c>
      <c r="K85" s="2">
        <v>1.02</v>
      </c>
      <c r="L85" s="2">
        <f>'EU petrol prices nominal'!AJ4</f>
        <v>1.0352216326530614</v>
      </c>
      <c r="M85" s="2">
        <v>107</v>
      </c>
      <c r="N85" s="2">
        <f t="shared" si="26"/>
        <v>0.91643835514005589</v>
      </c>
      <c r="O85" s="39">
        <v>115</v>
      </c>
      <c r="P85" s="37"/>
      <c r="Q85" s="32">
        <f t="shared" si="36"/>
        <v>0.50731034482758619</v>
      </c>
      <c r="R85" s="32">
        <f t="shared" si="5"/>
        <v>0</v>
      </c>
      <c r="S85" s="37"/>
      <c r="T85" s="2">
        <f>USA!Z93*G85</f>
        <v>48.674830201699663</v>
      </c>
      <c r="U85" s="2">
        <v>0</v>
      </c>
      <c r="V85" s="2">
        <v>0</v>
      </c>
      <c r="W85" s="2">
        <v>0</v>
      </c>
      <c r="X85" s="37"/>
      <c r="Z85" s="32">
        <v>0.372</v>
      </c>
      <c r="AA85" s="32">
        <v>0.16</v>
      </c>
      <c r="AB85" s="2">
        <f t="shared" si="27"/>
        <v>0.1406896551724138</v>
      </c>
      <c r="AC85" s="2">
        <f t="shared" si="37"/>
        <v>0.51268965517241383</v>
      </c>
      <c r="AE85"/>
      <c r="AF85"/>
      <c r="AG85"/>
      <c r="AH85"/>
      <c r="AN85">
        <v>2006</v>
      </c>
      <c r="AO85" s="1">
        <f t="shared" si="28"/>
        <v>1.02</v>
      </c>
      <c r="AP85" s="1">
        <f t="shared" si="20"/>
        <v>0.372</v>
      </c>
      <c r="AQ85" s="1">
        <f t="shared" si="21"/>
        <v>0.1406896551724138</v>
      </c>
      <c r="AR85" s="1">
        <f t="shared" si="34"/>
        <v>0.51268965517241383</v>
      </c>
      <c r="AS85" s="22">
        <f t="shared" si="29"/>
        <v>0.50731034482758619</v>
      </c>
      <c r="AU85" s="7">
        <v>92.091738849386246</v>
      </c>
      <c r="AV85" s="12"/>
      <c r="AW85" s="22">
        <f t="shared" si="30"/>
        <v>1.1075912049702794</v>
      </c>
      <c r="AX85" s="22">
        <f t="shared" si="23"/>
        <v>1.10495016303843</v>
      </c>
      <c r="AY85" s="1">
        <f t="shared" si="31"/>
        <v>0.55671622838059887</v>
      </c>
      <c r="AZ85" s="22">
        <f t="shared" si="24"/>
        <v>0.55087497658968054</v>
      </c>
      <c r="BA85" s="1">
        <f t="shared" si="32"/>
        <v>0.5482339346578311</v>
      </c>
      <c r="BB85" s="3">
        <f t="shared" si="33"/>
        <v>52.854719445906149</v>
      </c>
      <c r="BC85" s="23">
        <v>0.3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 s="3"/>
      <c r="BK85" s="22">
        <f t="shared" si="16"/>
        <v>1.1839239006046867</v>
      </c>
      <c r="BL85" s="22">
        <f t="shared" si="17"/>
        <v>1.181100844000784</v>
      </c>
      <c r="BN85" s="22"/>
      <c r="BO85" s="22"/>
      <c r="BR85" s="12"/>
      <c r="BS85" s="12"/>
      <c r="BT85" s="12"/>
      <c r="BU85" s="12"/>
      <c r="BV85" s="12"/>
    </row>
    <row r="86" spans="1:74">
      <c r="A86">
        <v>2007</v>
      </c>
      <c r="B86" s="3">
        <f t="shared" si="0"/>
        <v>148.9966852562211</v>
      </c>
      <c r="C86" s="3">
        <f t="shared" si="1"/>
        <v>95.074004003893037</v>
      </c>
      <c r="D86" s="2">
        <f t="shared" si="38"/>
        <v>104.1114390181195</v>
      </c>
      <c r="E86" s="2">
        <v>136.06296852886032</v>
      </c>
      <c r="F86" s="2">
        <f t="shared" si="39"/>
        <v>141.65711450616755</v>
      </c>
      <c r="G86" s="2">
        <v>0.73063749999999994</v>
      </c>
      <c r="H86" s="32">
        <f t="shared" si="35"/>
        <v>0.43152000000000001</v>
      </c>
      <c r="I86" s="32">
        <f t="shared" si="40"/>
        <v>1.0349999999999999</v>
      </c>
      <c r="J86" s="32">
        <f t="shared" si="3"/>
        <v>0.51475862068965517</v>
      </c>
      <c r="K86" s="2">
        <v>1.0349999999999999</v>
      </c>
      <c r="L86" s="2">
        <f>'EU petrol prices nominal'!AJ5</f>
        <v>1.0497285714285713</v>
      </c>
      <c r="M86" s="2">
        <v>108.3</v>
      </c>
      <c r="N86" s="2">
        <f t="shared" si="26"/>
        <v>0.96809468749999994</v>
      </c>
      <c r="O86" s="2">
        <f>(O85+O87)/2</f>
        <v>132.5</v>
      </c>
      <c r="P86" s="37"/>
      <c r="Q86" s="32">
        <f t="shared" si="36"/>
        <v>0.52024137931034475</v>
      </c>
      <c r="R86" s="32">
        <f t="shared" si="5"/>
        <v>0</v>
      </c>
      <c r="S86" s="37"/>
      <c r="T86" s="2">
        <f>USA!Z94*G86</f>
        <v>50.472438499999996</v>
      </c>
      <c r="U86" s="2">
        <v>0</v>
      </c>
      <c r="V86" s="2">
        <v>0</v>
      </c>
      <c r="W86" s="2">
        <v>0</v>
      </c>
      <c r="X86" s="37"/>
      <c r="Z86" s="32">
        <v>0.372</v>
      </c>
      <c r="AA86" s="32">
        <v>0.16</v>
      </c>
      <c r="AB86" s="2">
        <f t="shared" si="27"/>
        <v>0.14275862068965517</v>
      </c>
      <c r="AC86" s="2">
        <f t="shared" si="37"/>
        <v>0.51475862068965517</v>
      </c>
      <c r="AE86"/>
      <c r="AF86"/>
      <c r="AG86"/>
      <c r="AH86"/>
      <c r="AN86">
        <v>2007</v>
      </c>
      <c r="AO86" s="1">
        <f t="shared" si="28"/>
        <v>1.0349999999999999</v>
      </c>
      <c r="AP86" s="1">
        <f t="shared" si="20"/>
        <v>0.372</v>
      </c>
      <c r="AQ86" s="1">
        <f t="shared" si="21"/>
        <v>0.14275862068965517</v>
      </c>
      <c r="AR86" s="1">
        <f t="shared" si="34"/>
        <v>0.51475862068965517</v>
      </c>
      <c r="AS86" s="22">
        <f t="shared" si="29"/>
        <v>0.52024137931034475</v>
      </c>
      <c r="AU86" s="7">
        <v>94.657708466377073</v>
      </c>
      <c r="AV86" s="12"/>
      <c r="AW86" s="22">
        <f t="shared" si="30"/>
        <v>1.0934133276294529</v>
      </c>
      <c r="AX86" s="22">
        <f t="shared" si="23"/>
        <v>1.0945408580148623</v>
      </c>
      <c r="AY86" s="1">
        <f t="shared" si="31"/>
        <v>0.54381056654514326</v>
      </c>
      <c r="AZ86" s="22">
        <f t="shared" si="24"/>
        <v>0.54960276108430961</v>
      </c>
      <c r="BA86" s="1">
        <f t="shared" si="32"/>
        <v>0.55073029146971908</v>
      </c>
      <c r="BB86" s="3">
        <f t="shared" si="33"/>
        <v>53.321001868461749</v>
      </c>
      <c r="BC86" s="23">
        <v>0.3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 s="3"/>
      <c r="BK86" s="22">
        <f t="shared" si="16"/>
        <v>1.1687689158338417</v>
      </c>
      <c r="BL86" s="22">
        <f t="shared" si="17"/>
        <v>1.169974153078372</v>
      </c>
      <c r="BN86" s="22"/>
      <c r="BO86" s="22"/>
      <c r="BR86" s="12"/>
      <c r="BS86" s="12"/>
      <c r="BT86" s="12"/>
      <c r="BU86" s="12"/>
      <c r="BV86" s="12"/>
    </row>
    <row r="87" spans="1:74">
      <c r="A87">
        <v>2008</v>
      </c>
      <c r="B87" s="3">
        <f t="shared" si="0"/>
        <v>164.43576950152672</v>
      </c>
      <c r="C87" s="3">
        <f t="shared" si="1"/>
        <v>98.70291900542351</v>
      </c>
      <c r="D87" s="2">
        <f t="shared" si="38"/>
        <v>114.8994996728691</v>
      </c>
      <c r="E87" s="2">
        <v>141.25640655453694</v>
      </c>
      <c r="F87" s="2">
        <f t="shared" si="39"/>
        <v>162.30290438703682</v>
      </c>
      <c r="G87" s="2">
        <v>0.68267416666666658</v>
      </c>
      <c r="H87" s="32">
        <f t="shared" si="35"/>
        <v>0.43152000000000001</v>
      </c>
      <c r="I87" s="32">
        <f t="shared" si="40"/>
        <v>1.1080000000000001</v>
      </c>
      <c r="J87" s="32">
        <f t="shared" si="3"/>
        <v>0.52482758620689651</v>
      </c>
      <c r="K87" s="2">
        <v>1.1080000000000001</v>
      </c>
      <c r="L87" s="2">
        <f>'EU petrol prices nominal'!AJ6</f>
        <v>1.131721632653061</v>
      </c>
      <c r="M87" s="2">
        <v>123.2</v>
      </c>
      <c r="N87" s="2">
        <f t="shared" si="26"/>
        <v>1.02401125</v>
      </c>
      <c r="O87" s="39">
        <v>150</v>
      </c>
      <c r="P87" s="37"/>
      <c r="Q87" s="32">
        <f t="shared" si="36"/>
        <v>0.58317241379310358</v>
      </c>
      <c r="R87" s="32">
        <f t="shared" si="5"/>
        <v>0</v>
      </c>
      <c r="S87" s="37"/>
      <c r="T87" s="2">
        <f>USA!Z95*G87</f>
        <v>64.478575041666659</v>
      </c>
      <c r="U87" s="2">
        <v>0</v>
      </c>
      <c r="V87" s="2">
        <v>0</v>
      </c>
      <c r="W87" s="2">
        <v>0</v>
      </c>
      <c r="X87" s="37"/>
      <c r="Z87" s="32">
        <v>0.372</v>
      </c>
      <c r="AA87" s="32">
        <v>0.16</v>
      </c>
      <c r="AB87" s="2">
        <f t="shared" si="27"/>
        <v>0.15282758620689657</v>
      </c>
      <c r="AC87" s="2">
        <f t="shared" si="37"/>
        <v>0.52482758620689651</v>
      </c>
      <c r="AE87"/>
      <c r="AF87"/>
      <c r="AG87"/>
      <c r="AH87"/>
      <c r="AN87">
        <v>2008</v>
      </c>
      <c r="AO87" s="1">
        <f t="shared" si="28"/>
        <v>1.1080000000000001</v>
      </c>
      <c r="AP87" s="1">
        <f t="shared" si="20"/>
        <v>0.372</v>
      </c>
      <c r="AQ87" s="1">
        <f t="shared" si="21"/>
        <v>0.15282758620689657</v>
      </c>
      <c r="AR87" s="1">
        <f t="shared" si="34"/>
        <v>0.52482758620689651</v>
      </c>
      <c r="AS87" s="22">
        <f t="shared" si="29"/>
        <v>0.58317241379310358</v>
      </c>
      <c r="AU87" s="7">
        <v>98.515489054386777</v>
      </c>
      <c r="AV87" s="12"/>
      <c r="AW87" s="22">
        <f t="shared" si="30"/>
        <v>1.1246962387694326</v>
      </c>
      <c r="AX87" s="22">
        <f t="shared" si="23"/>
        <v>1.1331701072046374</v>
      </c>
      <c r="AY87" s="1">
        <f t="shared" si="31"/>
        <v>0.53273611210228933</v>
      </c>
      <c r="AZ87" s="22">
        <f t="shared" si="24"/>
        <v>0.59196012666714326</v>
      </c>
      <c r="BA87" s="1">
        <f t="shared" si="32"/>
        <v>0.60043399510234796</v>
      </c>
      <c r="BB87" s="3">
        <f t="shared" si="33"/>
        <v>65.450190280302436</v>
      </c>
      <c r="BC87" s="23">
        <v>0.3</v>
      </c>
      <c r="BD87">
        <v>0</v>
      </c>
      <c r="BE87" s="23">
        <v>0.5</v>
      </c>
      <c r="BF87">
        <v>0</v>
      </c>
      <c r="BG87">
        <v>0</v>
      </c>
      <c r="BH87">
        <v>0</v>
      </c>
      <c r="BI87">
        <v>0</v>
      </c>
      <c r="BJ87" s="3"/>
      <c r="BK87" s="22">
        <f t="shared" si="16"/>
        <v>1.2022077748758009</v>
      </c>
      <c r="BL87" s="22">
        <f t="shared" si="17"/>
        <v>1.2112656432716478</v>
      </c>
      <c r="BN87" s="22"/>
      <c r="BO87" s="22"/>
      <c r="BR87" s="12"/>
      <c r="BS87" s="12"/>
      <c r="BT87" s="12"/>
      <c r="BU87" s="12"/>
      <c r="BV87" s="12"/>
    </row>
    <row r="88" spans="1:74">
      <c r="A88">
        <v>2009</v>
      </c>
      <c r="B88" s="3">
        <f t="shared" si="0"/>
        <v>141.48805472118892</v>
      </c>
      <c r="C88" s="3">
        <f>E88/E$89*100</f>
        <v>98.380597588111073</v>
      </c>
      <c r="D88" s="2">
        <f t="shared" si="38"/>
        <v>98.864783169948865</v>
      </c>
      <c r="E88" s="2">
        <v>140.7951236905254</v>
      </c>
      <c r="F88" s="2">
        <f t="shared" si="39"/>
        <v>139.19679375049924</v>
      </c>
      <c r="G88" s="2">
        <v>0.71984416666666673</v>
      </c>
      <c r="H88" s="32">
        <f t="shared" si="35"/>
        <v>0.44891999999999999</v>
      </c>
      <c r="I88" s="32">
        <f t="shared" si="40"/>
        <v>1.002</v>
      </c>
      <c r="J88" s="32">
        <f t="shared" si="3"/>
        <v>0.52520689655172415</v>
      </c>
      <c r="K88" s="2">
        <v>1.002</v>
      </c>
      <c r="L88" s="2">
        <f>'EU petrol prices nominal'!AJ7</f>
        <v>1.0062034</v>
      </c>
      <c r="M88" s="2">
        <v>102.6</v>
      </c>
      <c r="N88" s="2">
        <f t="shared" si="26"/>
        <v>0.88540832500000011</v>
      </c>
      <c r="O88" s="2">
        <v>123</v>
      </c>
      <c r="P88" s="37"/>
      <c r="Q88" s="32">
        <f t="shared" si="36"/>
        <v>0.47679310344827586</v>
      </c>
      <c r="R88" s="32">
        <f t="shared" si="5"/>
        <v>0</v>
      </c>
      <c r="S88" s="37"/>
      <c r="T88" s="2">
        <f>USA!Z96*G88</f>
        <v>43.953684816666673</v>
      </c>
      <c r="U88" s="2">
        <v>0</v>
      </c>
      <c r="V88" s="2">
        <v>0</v>
      </c>
      <c r="W88" s="2">
        <v>0</v>
      </c>
      <c r="X88" s="37"/>
      <c r="Z88" s="32">
        <v>0.38700000000000001</v>
      </c>
      <c r="AA88" s="32">
        <v>0.16</v>
      </c>
      <c r="AB88" s="2">
        <f t="shared" si="27"/>
        <v>0.13820689655172413</v>
      </c>
      <c r="AC88" s="2">
        <f t="shared" si="37"/>
        <v>0.52520689655172415</v>
      </c>
      <c r="AE88"/>
      <c r="AF88"/>
      <c r="AG88"/>
      <c r="AH88"/>
      <c r="AN88">
        <v>2009</v>
      </c>
      <c r="AO88" s="1">
        <f t="shared" si="28"/>
        <v>1.002</v>
      </c>
      <c r="AP88" s="1">
        <f t="shared" si="20"/>
        <v>0.38700000000000001</v>
      </c>
      <c r="AQ88" s="1">
        <f t="shared" si="21"/>
        <v>0.13820689655172413</v>
      </c>
      <c r="AR88" s="1">
        <f t="shared" si="34"/>
        <v>0.52520689655172415</v>
      </c>
      <c r="AS88" s="22">
        <f t="shared" si="29"/>
        <v>0.47679310344827586</v>
      </c>
      <c r="AU88" s="7">
        <v>98.231771144963389</v>
      </c>
      <c r="AV88" s="12"/>
      <c r="AW88" s="22">
        <f t="shared" si="30"/>
        <v>1.0200365811600001</v>
      </c>
      <c r="AX88" s="22">
        <f t="shared" si="23"/>
        <v>1.0090110993459742</v>
      </c>
      <c r="AY88" s="1">
        <f t="shared" si="31"/>
        <v>0.53466092530965514</v>
      </c>
      <c r="AZ88" s="22">
        <f t="shared" si="24"/>
        <v>0.48537565585034492</v>
      </c>
      <c r="BA88" s="1">
        <f t="shared" si="32"/>
        <v>0.47435017403631918</v>
      </c>
      <c r="BB88" s="3">
        <f t="shared" si="33"/>
        <v>44.744876636503875</v>
      </c>
      <c r="BC88" s="23">
        <v>0.3</v>
      </c>
      <c r="BD88">
        <v>0</v>
      </c>
      <c r="BE88" s="23">
        <v>1</v>
      </c>
      <c r="BF88">
        <v>0</v>
      </c>
      <c r="BG88">
        <v>0</v>
      </c>
      <c r="BH88">
        <v>0</v>
      </c>
      <c r="BI88">
        <v>0</v>
      </c>
      <c r="BJ88" s="3"/>
      <c r="BK88" s="22">
        <f t="shared" si="16"/>
        <v>1.0903352089716365</v>
      </c>
      <c r="BL88" s="22">
        <f t="shared" si="17"/>
        <v>1.0785498757397263</v>
      </c>
      <c r="BN88" s="22"/>
      <c r="BO88" s="22"/>
      <c r="BR88" s="12"/>
      <c r="BS88" s="12"/>
      <c r="BT88" s="12"/>
      <c r="BU88" s="12"/>
      <c r="BV88" s="12"/>
    </row>
    <row r="89" spans="1:74">
      <c r="A89">
        <v>2010</v>
      </c>
      <c r="B89" s="3">
        <f>I89/G89*100/C89*100</f>
        <v>153.55794120308323</v>
      </c>
      <c r="C89" s="3">
        <f>CPIs!AB49</f>
        <v>99.999998509883881</v>
      </c>
      <c r="D89" s="2">
        <f t="shared" si="38"/>
        <v>107.29861517116095</v>
      </c>
      <c r="E89" s="2">
        <v>143.11269411067286</v>
      </c>
      <c r="F89" s="2">
        <f t="shared" si="39"/>
        <v>153.55793891489159</v>
      </c>
      <c r="G89" s="2">
        <f>'Exchange Rates'!X49</f>
        <v>0.75867129256384003</v>
      </c>
      <c r="H89" s="32">
        <f t="shared" si="35"/>
        <v>0.46917000000000003</v>
      </c>
      <c r="I89" s="32">
        <f t="shared" si="40"/>
        <v>1.165</v>
      </c>
      <c r="J89" s="32">
        <f t="shared" si="3"/>
        <v>0.57027350427350432</v>
      </c>
      <c r="K89" s="2">
        <v>1.165</v>
      </c>
      <c r="L89" s="2">
        <f>'EU petrol prices nominal'!AJ8</f>
        <v>1.1621830612244899</v>
      </c>
      <c r="M89" s="2">
        <v>120.5</v>
      </c>
      <c r="O89" s="2"/>
      <c r="P89" s="37"/>
      <c r="Q89" s="32">
        <f t="shared" si="36"/>
        <v>0.59472649572649572</v>
      </c>
      <c r="R89" s="32">
        <f>R$92+R$93*T89+R$94*U89+R$95*V89+R$96*W89</f>
        <v>0</v>
      </c>
      <c r="S89" s="37"/>
      <c r="T89" s="2">
        <f>USA!Z97*G89</f>
        <v>58.759091609069415</v>
      </c>
      <c r="U89" s="2">
        <v>0</v>
      </c>
      <c r="V89" s="2">
        <v>0</v>
      </c>
      <c r="W89" s="2">
        <v>0</v>
      </c>
      <c r="X89" s="37"/>
      <c r="Z89" s="32">
        <v>0.40100000000000002</v>
      </c>
      <c r="AA89" s="32">
        <v>0.17</v>
      </c>
      <c r="AB89" s="2">
        <f t="shared" si="27"/>
        <v>0.16927350427350429</v>
      </c>
      <c r="AC89" s="2">
        <f t="shared" si="37"/>
        <v>0.57027350427350432</v>
      </c>
      <c r="AE89"/>
      <c r="AF89"/>
      <c r="AG89"/>
      <c r="AH89"/>
      <c r="AN89">
        <v>2010</v>
      </c>
      <c r="AO89" s="1">
        <f t="shared" si="28"/>
        <v>1.165</v>
      </c>
      <c r="AP89" s="1">
        <f t="shared" si="20"/>
        <v>0.40100000000000002</v>
      </c>
      <c r="AQ89" s="1">
        <f t="shared" si="21"/>
        <v>0.16927350427350429</v>
      </c>
      <c r="AR89" s="1">
        <f t="shared" si="34"/>
        <v>0.57027350427350432</v>
      </c>
      <c r="AS89" s="22">
        <f t="shared" si="29"/>
        <v>0.59472649572649572</v>
      </c>
      <c r="AU89" s="7">
        <v>100</v>
      </c>
      <c r="AV89" s="12"/>
      <c r="AW89" s="22">
        <f t="shared" si="30"/>
        <v>1.165</v>
      </c>
      <c r="AX89" s="22">
        <f t="shared" si="23"/>
        <v>1.1692430358737103</v>
      </c>
      <c r="AY89" s="1">
        <f t="shared" si="31"/>
        <v>0.57027350427350432</v>
      </c>
      <c r="AZ89" s="22">
        <f t="shared" si="24"/>
        <v>0.59472649572649572</v>
      </c>
      <c r="BA89" s="1">
        <f t="shared" si="32"/>
        <v>0.59896953160020594</v>
      </c>
      <c r="BB89" s="3">
        <f t="shared" si="33"/>
        <v>58.759091609069415</v>
      </c>
      <c r="BC89">
        <v>0</v>
      </c>
      <c r="BD89">
        <v>0</v>
      </c>
      <c r="BE89" s="23">
        <v>1</v>
      </c>
      <c r="BF89">
        <v>0</v>
      </c>
      <c r="BG89">
        <v>0</v>
      </c>
      <c r="BH89">
        <v>0</v>
      </c>
      <c r="BI89">
        <v>0</v>
      </c>
      <c r="BK89" s="22">
        <f t="shared" si="16"/>
        <v>1.2452891807148925</v>
      </c>
      <c r="BL89" s="22">
        <f t="shared" si="17"/>
        <v>1.2498246370813444</v>
      </c>
      <c r="BN89" s="22"/>
      <c r="BO89" s="22"/>
      <c r="BR89" s="12"/>
      <c r="BS89" s="12"/>
      <c r="BT89" s="12"/>
      <c r="BU89" s="12"/>
      <c r="BV89" s="12"/>
    </row>
    <row r="90" spans="1:74">
      <c r="A90">
        <v>2011</v>
      </c>
      <c r="B90" s="3">
        <f t="shared" ref="B90:B96" si="41">I90/G90*100/C90*100</f>
        <v>178.55572483987555</v>
      </c>
      <c r="C90" s="3">
        <f>CPIs!AB50</f>
        <v>103.13271097869961</v>
      </c>
      <c r="G90" s="2">
        <f>'Exchange Rates'!X50</f>
        <v>0.71544109992713056</v>
      </c>
      <c r="I90" s="2">
        <v>1.3174802040816329</v>
      </c>
      <c r="L90" s="2">
        <f>'EU petrol prices nominal'!AJ9</f>
        <v>1.3174802040816329</v>
      </c>
      <c r="O90" s="2"/>
      <c r="P90" s="37"/>
      <c r="R90" s="32"/>
      <c r="S90" s="37"/>
      <c r="T90" s="2">
        <f>USA!Z98*G90</f>
        <v>76.874146187170183</v>
      </c>
      <c r="W90" s="2"/>
      <c r="X90" s="37"/>
      <c r="Z90" s="32">
        <v>0.40100000000000002</v>
      </c>
      <c r="AA90" s="32">
        <v>0.18</v>
      </c>
      <c r="AB90" s="2">
        <f t="shared" si="27"/>
        <v>0.20097155655482535</v>
      </c>
      <c r="AC90" s="2">
        <f t="shared" si="37"/>
        <v>0.60197155655482537</v>
      </c>
      <c r="AE90"/>
      <c r="AF90"/>
      <c r="AG90"/>
      <c r="AH90"/>
      <c r="AN90">
        <v>2011</v>
      </c>
      <c r="AO90" s="1">
        <f t="shared" si="28"/>
        <v>1.3174802040816329</v>
      </c>
      <c r="AP90" s="1">
        <f t="shared" si="20"/>
        <v>0.40100000000000002</v>
      </c>
      <c r="AQ90" s="1">
        <f t="shared" si="21"/>
        <v>0.20097155655482535</v>
      </c>
      <c r="AR90" s="1">
        <f t="shared" si="34"/>
        <v>0.60197155655482537</v>
      </c>
      <c r="AS90" s="22">
        <f t="shared" si="29"/>
        <v>0.71550864752680754</v>
      </c>
      <c r="AU90" s="7">
        <f>CPIs!X50</f>
        <v>103.19624328613281</v>
      </c>
      <c r="AV90" s="12"/>
      <c r="AW90" s="22">
        <f t="shared" si="30"/>
        <v>1.2766745785780671</v>
      </c>
      <c r="AX90" s="22">
        <f t="shared" ref="AX90:AX96" si="42">BA90+AY90</f>
        <v>1.2817656020234929</v>
      </c>
      <c r="AY90" s="1">
        <f t="shared" si="31"/>
        <v>0.58332700628038892</v>
      </c>
      <c r="AZ90" s="22">
        <f t="shared" ref="AZ90:AZ96" si="43">AW90-AY90</f>
        <v>0.69334757229767818</v>
      </c>
      <c r="BA90" s="1">
        <f t="shared" si="32"/>
        <v>0.69843859574310407</v>
      </c>
      <c r="BB90" s="3">
        <f t="shared" si="33"/>
        <v>74.493163451716754</v>
      </c>
      <c r="BC90">
        <v>0</v>
      </c>
      <c r="BD90">
        <v>0</v>
      </c>
      <c r="BE90" s="23">
        <v>0.5</v>
      </c>
      <c r="BF90">
        <v>0</v>
      </c>
      <c r="BG90">
        <v>0</v>
      </c>
      <c r="BH90">
        <v>0</v>
      </c>
      <c r="BI90">
        <v>0</v>
      </c>
      <c r="BK90" s="22">
        <f t="shared" si="16"/>
        <v>1.3646601201691089</v>
      </c>
      <c r="BL90" s="22">
        <f t="shared" si="17"/>
        <v>1.3701020055041773</v>
      </c>
      <c r="BN90" s="22"/>
      <c r="BO90" s="22"/>
      <c r="BR90" s="12"/>
      <c r="BS90" s="12"/>
      <c r="BT90" s="12"/>
      <c r="BU90" s="12"/>
      <c r="BV90" s="12"/>
    </row>
    <row r="91" spans="1:74">
      <c r="A91">
        <v>2012</v>
      </c>
      <c r="B91" s="3">
        <f t="shared" si="41"/>
        <v>175.09213478034559</v>
      </c>
      <c r="C91" s="3">
        <f>CPIs!AB51</f>
        <v>105.21072267093371</v>
      </c>
      <c r="G91" s="2">
        <f>'Exchange Rates'!X51</f>
        <v>0.773899446716382</v>
      </c>
      <c r="I91" s="2">
        <v>1.4256442857142855</v>
      </c>
      <c r="L91" s="2">
        <f>'EU petrol prices nominal'!AJ10</f>
        <v>1.4256442857142855</v>
      </c>
      <c r="O91" s="2"/>
      <c r="P91" s="37"/>
      <c r="R91" s="32"/>
      <c r="S91" s="37"/>
      <c r="T91" s="2">
        <f>USA!Z99*G91</f>
        <v>84.738784181902005</v>
      </c>
      <c r="W91" s="2"/>
      <c r="X91" s="37"/>
      <c r="Z91" s="32">
        <v>0.40100000000000002</v>
      </c>
      <c r="AA91" s="32">
        <v>0.19</v>
      </c>
      <c r="AB91" s="2">
        <f t="shared" si="27"/>
        <v>0.22762387755102037</v>
      </c>
      <c r="AC91" s="2">
        <f t="shared" si="37"/>
        <v>0.62862387755102045</v>
      </c>
      <c r="AE91"/>
      <c r="AF91"/>
      <c r="AG91"/>
      <c r="AH91"/>
      <c r="AN91">
        <v>2012</v>
      </c>
      <c r="AO91" s="1">
        <f t="shared" si="28"/>
        <v>1.4256442857142855</v>
      </c>
      <c r="AP91" s="1">
        <f t="shared" si="20"/>
        <v>0.40100000000000002</v>
      </c>
      <c r="AQ91" s="1">
        <f t="shared" si="21"/>
        <v>0.22762387755102037</v>
      </c>
      <c r="AR91" s="1">
        <f t="shared" si="34"/>
        <v>0.62862387755102045</v>
      </c>
      <c r="AS91" s="22">
        <f t="shared" si="29"/>
        <v>0.79702040816326503</v>
      </c>
      <c r="AU91" s="7">
        <f>CPIs!X51</f>
        <v>105.72032928466797</v>
      </c>
      <c r="AV91" s="12"/>
      <c r="AW91" s="22">
        <f t="shared" si="30"/>
        <v>1.3485053398533433</v>
      </c>
      <c r="AX91" s="22">
        <f t="shared" si="42"/>
        <v>1.3385868889543449</v>
      </c>
      <c r="AY91" s="1">
        <f t="shared" si="31"/>
        <v>0.59461021527690816</v>
      </c>
      <c r="AZ91" s="22">
        <f t="shared" si="43"/>
        <v>0.75389512457643515</v>
      </c>
      <c r="BA91" s="1">
        <f t="shared" si="32"/>
        <v>0.7439766736774367</v>
      </c>
      <c r="BB91" s="3">
        <f t="shared" si="33"/>
        <v>80.153727060128631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K91" s="22">
        <f t="shared" si="16"/>
        <v>1.4414412960134144</v>
      </c>
      <c r="BL91" s="22">
        <f t="shared" si="17"/>
        <v>1.430839287778243</v>
      </c>
      <c r="BN91" s="22"/>
      <c r="BO91" s="22"/>
      <c r="BR91" s="12"/>
      <c r="BS91" s="12"/>
      <c r="BT91" s="12"/>
      <c r="BU91" s="12"/>
      <c r="BV91" s="12"/>
    </row>
    <row r="92" spans="1:74">
      <c r="A92">
        <v>2013</v>
      </c>
      <c r="B92" s="3">
        <f t="shared" si="41"/>
        <v>178.52863841830228</v>
      </c>
      <c r="C92" s="3">
        <f>CPIs!AB52</f>
        <v>106.69767516878358</v>
      </c>
      <c r="G92" s="2">
        <f>'Exchange Rates'!X52</f>
        <v>0.75166876437654617</v>
      </c>
      <c r="I92" s="2">
        <v>1.43182306122449</v>
      </c>
      <c r="L92" s="2">
        <f>'EU petrol prices nominal'!AJ11</f>
        <v>1.43182306122449</v>
      </c>
      <c r="O92" s="2"/>
      <c r="P92" s="37"/>
      <c r="Q92" s="40" t="s">
        <v>88</v>
      </c>
      <c r="R92" s="40"/>
      <c r="S92" s="42"/>
      <c r="T92" s="2">
        <f>USA!Z100*G92</f>
        <v>79.628970140184876</v>
      </c>
      <c r="W92" s="2"/>
      <c r="X92" s="37"/>
      <c r="Z92" s="2">
        <v>0.42399999999999999</v>
      </c>
      <c r="AA92" s="2">
        <v>0.21</v>
      </c>
      <c r="AB92" s="2">
        <f t="shared" si="27"/>
        <v>0.24849821723730817</v>
      </c>
      <c r="AC92" s="2">
        <f t="shared" si="37"/>
        <v>0.67249821723730818</v>
      </c>
      <c r="AE92"/>
      <c r="AF92"/>
      <c r="AG92"/>
      <c r="AH92"/>
      <c r="AN92">
        <v>2013</v>
      </c>
      <c r="AO92" s="1">
        <f t="shared" si="28"/>
        <v>1.43182306122449</v>
      </c>
      <c r="AP92" s="1">
        <f t="shared" si="20"/>
        <v>0.42399999999999999</v>
      </c>
      <c r="AQ92" s="1">
        <f t="shared" si="21"/>
        <v>0.24849821723730817</v>
      </c>
      <c r="AR92" s="1">
        <f t="shared" si="34"/>
        <v>0.67249821723730818</v>
      </c>
      <c r="AS92" s="22">
        <f t="shared" si="29"/>
        <v>0.75932484398718181</v>
      </c>
      <c r="AU92" s="7">
        <f>CPIs!X52</f>
        <v>107.20954132080078</v>
      </c>
      <c r="AV92" s="12"/>
      <c r="AW92" s="22">
        <f t="shared" si="30"/>
        <v>1.3355369714157035</v>
      </c>
      <c r="AX92" s="22">
        <f t="shared" si="42"/>
        <v>1.3397734912376269</v>
      </c>
      <c r="AY92" s="1">
        <f t="shared" si="31"/>
        <v>0.62727459604085645</v>
      </c>
      <c r="AZ92" s="22">
        <f t="shared" si="43"/>
        <v>0.70826237537484704</v>
      </c>
      <c r="BA92" s="1">
        <f t="shared" si="32"/>
        <v>0.71249889519677045</v>
      </c>
      <c r="BB92" s="3">
        <f t="shared" si="33"/>
        <v>74.274144968042393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K92" s="22">
        <f t="shared" si="16"/>
        <v>1.4275791767800086</v>
      </c>
      <c r="BL92" s="22">
        <f t="shared" si="17"/>
        <v>1.4321076680230349</v>
      </c>
      <c r="BN92" s="22"/>
      <c r="BO92" s="22"/>
      <c r="BR92" s="12"/>
      <c r="BS92" s="12"/>
      <c r="BT92" s="12"/>
      <c r="BU92" s="12"/>
      <c r="BV92" s="12"/>
    </row>
    <row r="93" spans="1:74">
      <c r="A93">
        <v>2014</v>
      </c>
      <c r="B93" s="3">
        <f t="shared" si="41"/>
        <v>169.53543154554148</v>
      </c>
      <c r="C93" s="3">
        <f>CPIs!AB53</f>
        <v>108.45811062912946</v>
      </c>
      <c r="G93" s="2">
        <f>'Exchange Rates'!X53</f>
        <v>0.757387838338895</v>
      </c>
      <c r="I93" s="2">
        <v>1.3926463265306119</v>
      </c>
      <c r="L93" s="2">
        <f>'EU petrol prices nominal'!AJ12</f>
        <v>1.3926463265306119</v>
      </c>
      <c r="O93" s="2"/>
      <c r="P93" s="37"/>
      <c r="Q93" s="40" t="s">
        <v>99</v>
      </c>
      <c r="R93" s="40"/>
      <c r="S93" s="42"/>
      <c r="T93" s="2">
        <f>USA!Z101*G93</f>
        <v>72.852422962937197</v>
      </c>
      <c r="W93" s="2"/>
      <c r="X93" s="37"/>
      <c r="Z93" s="2">
        <v>0.42399999999999999</v>
      </c>
      <c r="AA93" s="2">
        <v>0.21</v>
      </c>
      <c r="AB93" s="2">
        <f t="shared" si="27"/>
        <v>0.24169894923258553</v>
      </c>
      <c r="AC93" s="2">
        <f t="shared" si="37"/>
        <v>0.66569894923258555</v>
      </c>
      <c r="AE93"/>
      <c r="AF93"/>
      <c r="AG93"/>
      <c r="AH93"/>
      <c r="AN93">
        <v>2014</v>
      </c>
      <c r="AO93" s="1">
        <f t="shared" si="28"/>
        <v>1.3926463265306119</v>
      </c>
      <c r="AP93" s="1">
        <f t="shared" si="20"/>
        <v>0.42399999999999999</v>
      </c>
      <c r="AQ93" s="1">
        <f t="shared" si="21"/>
        <v>0.24169894923258553</v>
      </c>
      <c r="AR93" s="1">
        <f t="shared" si="34"/>
        <v>0.66569894923258555</v>
      </c>
      <c r="AS93" s="22">
        <f t="shared" si="29"/>
        <v>0.72694737729802639</v>
      </c>
      <c r="AU93" s="7">
        <f>CPIs!X53</f>
        <v>107.05191040039063</v>
      </c>
      <c r="AV93" s="12"/>
      <c r="AW93" s="22">
        <f t="shared" si="30"/>
        <v>1.3009074955522983</v>
      </c>
      <c r="AX93" s="22">
        <f t="shared" si="42"/>
        <v>1.3010412742111035</v>
      </c>
      <c r="AY93" s="1">
        <f t="shared" si="31"/>
        <v>0.62184686545318901</v>
      </c>
      <c r="AZ93" s="22">
        <f t="shared" si="43"/>
        <v>0.67906063009910933</v>
      </c>
      <c r="BA93" s="1">
        <f t="shared" si="32"/>
        <v>0.67919440875791448</v>
      </c>
      <c r="BB93" s="3">
        <f t="shared" si="33"/>
        <v>68.05336092598246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K93" s="22">
        <f t="shared" si="16"/>
        <v>1.3905631152980122</v>
      </c>
      <c r="BL93" s="22">
        <f t="shared" si="17"/>
        <v>1.3907061136812058</v>
      </c>
      <c r="BN93" s="22"/>
      <c r="BO93" s="22"/>
      <c r="BR93" s="12"/>
      <c r="BS93" s="12"/>
      <c r="BT93" s="12"/>
      <c r="BU93" s="12"/>
      <c r="BV93" s="12"/>
    </row>
    <row r="94" spans="1:74">
      <c r="A94">
        <v>2015</v>
      </c>
      <c r="B94" s="3">
        <f t="shared" si="41"/>
        <v>125.09193192156</v>
      </c>
      <c r="C94" s="3">
        <f>CPIs!AB54</f>
        <v>108.69337137051741</v>
      </c>
      <c r="G94" s="2">
        <f>'Exchange Rates'!X54</f>
        <v>0.90592556207997499</v>
      </c>
      <c r="I94" s="2">
        <v>1.2317565306122449</v>
      </c>
      <c r="L94" s="2">
        <f>'EU petrol prices nominal'!AJ13</f>
        <v>1.2317565306122449</v>
      </c>
      <c r="O94" s="2"/>
      <c r="P94" s="37"/>
      <c r="Q94" s="40" t="s">
        <v>127</v>
      </c>
      <c r="R94" s="40"/>
      <c r="S94" s="42"/>
      <c r="T94" s="2">
        <f>USA!Z102*G94</f>
        <v>44.858421631706442</v>
      </c>
      <c r="W94" s="2"/>
      <c r="X94" s="37"/>
      <c r="Z94" s="2">
        <v>0.42399999999999999</v>
      </c>
      <c r="AA94" s="2">
        <v>0.21</v>
      </c>
      <c r="AB94" s="2">
        <f t="shared" si="27"/>
        <v>0.21377592680047225</v>
      </c>
      <c r="AC94" s="2">
        <f t="shared" si="37"/>
        <v>0.63777592680047224</v>
      </c>
      <c r="AE94"/>
      <c r="AF94"/>
      <c r="AG94"/>
      <c r="AH94"/>
      <c r="AN94">
        <v>2015</v>
      </c>
      <c r="AO94" s="1">
        <f t="shared" si="28"/>
        <v>1.2317565306122449</v>
      </c>
      <c r="AP94" s="1">
        <f t="shared" si="20"/>
        <v>0.42399999999999999</v>
      </c>
      <c r="AQ94" s="1">
        <f t="shared" si="21"/>
        <v>0.21377592680047225</v>
      </c>
      <c r="AR94" s="1">
        <f t="shared" si="34"/>
        <v>0.63777592680047224</v>
      </c>
      <c r="AS94" s="22">
        <f t="shared" si="29"/>
        <v>0.59398060381177264</v>
      </c>
      <c r="AU94" s="7">
        <f>CPIs!X54</f>
        <v>106.51537322998047</v>
      </c>
      <c r="AV94" s="12"/>
      <c r="AW94" s="22">
        <f t="shared" si="30"/>
        <v>1.1564119744036603</v>
      </c>
      <c r="AX94" s="22">
        <f t="shared" si="42"/>
        <v>1.1390886108345255</v>
      </c>
      <c r="AY94" s="1">
        <f t="shared" si="31"/>
        <v>0.59876420413364317</v>
      </c>
      <c r="AZ94" s="22">
        <f t="shared" si="43"/>
        <v>0.55764777027001711</v>
      </c>
      <c r="BA94" s="1">
        <f t="shared" si="32"/>
        <v>0.54032440670088233</v>
      </c>
      <c r="BB94" s="3">
        <f t="shared" si="33"/>
        <v>42.114504480823918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K94" s="22">
        <f t="shared" si="16"/>
        <v>1.236109287703026</v>
      </c>
      <c r="BL94" s="22">
        <f t="shared" si="17"/>
        <v>1.2175920368650568</v>
      </c>
      <c r="BN94" s="22"/>
      <c r="BO94" s="22"/>
      <c r="BR94" s="12"/>
      <c r="BS94" s="12"/>
      <c r="BT94" s="12"/>
      <c r="BU94" s="12"/>
      <c r="BV94" s="12"/>
    </row>
    <row r="95" spans="1:74">
      <c r="A95">
        <v>2016</v>
      </c>
      <c r="B95" s="3">
        <f t="shared" si="41"/>
        <v>115.15701293317274</v>
      </c>
      <c r="C95" s="3">
        <f>CPIs!AB55</f>
        <v>110.08253978538585</v>
      </c>
      <c r="G95" s="2">
        <f>'Exchange Rates'!X55</f>
        <v>0.90674707708863456</v>
      </c>
      <c r="I95" s="2">
        <v>1.1494630000000006</v>
      </c>
      <c r="L95" s="2">
        <f>'EU petrol prices nominal'!AJ14</f>
        <v>1.1494630000000006</v>
      </c>
      <c r="O95" s="2"/>
      <c r="P95" s="37"/>
      <c r="Q95" s="40" t="s">
        <v>136</v>
      </c>
      <c r="R95" s="40"/>
      <c r="S95" s="37"/>
      <c r="T95" s="2">
        <f>USA!Z103*G95</f>
        <v>36.890067859371442</v>
      </c>
      <c r="W95" s="2"/>
      <c r="X95" s="37"/>
      <c r="Z95" s="2">
        <v>0.42399999999999999</v>
      </c>
      <c r="AA95" s="2">
        <v>0.21</v>
      </c>
      <c r="AB95" s="2">
        <f t="shared" si="27"/>
        <v>0.1994935785123968</v>
      </c>
      <c r="AC95" s="2">
        <f t="shared" si="37"/>
        <v>0.62349357851239673</v>
      </c>
      <c r="AE95"/>
      <c r="AF95"/>
      <c r="AG95"/>
      <c r="AH95"/>
      <c r="AN95">
        <v>2016</v>
      </c>
      <c r="AO95" s="1">
        <f t="shared" si="28"/>
        <v>1.1494630000000006</v>
      </c>
      <c r="AP95" s="1">
        <f t="shared" si="20"/>
        <v>0.42399999999999999</v>
      </c>
      <c r="AQ95" s="1">
        <f t="shared" si="21"/>
        <v>0.1994935785123968</v>
      </c>
      <c r="AR95" s="1">
        <f t="shared" si="34"/>
        <v>0.62349357851239673</v>
      </c>
      <c r="AS95" s="22">
        <f t="shared" si="29"/>
        <v>0.52596942148760384</v>
      </c>
      <c r="AU95" s="7">
        <f>CPIs!X55</f>
        <v>103.19615173339844</v>
      </c>
      <c r="AV95" s="12"/>
      <c r="AW95" s="22">
        <f t="shared" si="30"/>
        <v>1.1138622716955326</v>
      </c>
      <c r="AX95" s="22">
        <f t="shared" si="42"/>
        <v>1.1104201893679502</v>
      </c>
      <c r="AY95" s="1">
        <f t="shared" si="31"/>
        <v>0.60418297391859921</v>
      </c>
      <c r="AZ95" s="22">
        <f t="shared" si="43"/>
        <v>0.50967929777693344</v>
      </c>
      <c r="BA95" s="1">
        <f t="shared" si="32"/>
        <v>0.50623721544935107</v>
      </c>
      <c r="BB95" s="3">
        <f t="shared" si="33"/>
        <v>35.747522790069631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K95" s="22">
        <f t="shared" si="16"/>
        <v>1.190627155149321</v>
      </c>
      <c r="BL95" s="22">
        <f t="shared" si="17"/>
        <v>1.1869478522466013</v>
      </c>
      <c r="BN95" s="22"/>
      <c r="BO95" s="22"/>
      <c r="BR95" s="12"/>
      <c r="BS95" s="12"/>
      <c r="BT95" s="12"/>
      <c r="BU95" s="12"/>
      <c r="BV95" s="12"/>
    </row>
    <row r="96" spans="1:74" ht="15.75" thickBot="1">
      <c r="A96">
        <v>2017</v>
      </c>
      <c r="B96" s="3">
        <f t="shared" si="41"/>
        <v>122.0259758186742</v>
      </c>
      <c r="C96" s="3">
        <f>CPIs!AB56</f>
        <v>112.42729788281457</v>
      </c>
      <c r="G96" s="2">
        <f>'Exchange Rates'!X56</f>
        <v>0.88700000000000001</v>
      </c>
      <c r="I96" s="2">
        <v>1.2168797999999996</v>
      </c>
      <c r="L96" s="2">
        <f>'EU petrol prices nominal'!AJ15</f>
        <v>1.2168797999999996</v>
      </c>
      <c r="O96" s="2"/>
      <c r="P96" s="37"/>
      <c r="Q96" s="49" t="s">
        <v>141</v>
      </c>
      <c r="R96" s="49"/>
      <c r="S96" s="37"/>
      <c r="T96" s="2">
        <f>USA!Z104*G96</f>
        <v>46.576369999999997</v>
      </c>
      <c r="W96" s="2"/>
      <c r="X96" s="37"/>
      <c r="Z96" s="2">
        <v>0.42399999999999999</v>
      </c>
      <c r="AA96" s="2">
        <v>0.21</v>
      </c>
      <c r="AB96" s="2">
        <f t="shared" si="27"/>
        <v>0.21119401487603298</v>
      </c>
      <c r="AC96" s="2">
        <f t="shared" si="37"/>
        <v>0.635194014876033</v>
      </c>
      <c r="AE96"/>
      <c r="AF96"/>
      <c r="AG96"/>
      <c r="AH96"/>
      <c r="AN96">
        <v>2017</v>
      </c>
      <c r="AO96" s="1">
        <f t="shared" si="28"/>
        <v>1.2168797999999996</v>
      </c>
      <c r="AP96" s="1">
        <f t="shared" si="20"/>
        <v>0.42399999999999999</v>
      </c>
      <c r="AQ96" s="1">
        <f t="shared" si="21"/>
        <v>0.21119401487603298</v>
      </c>
      <c r="AR96" s="1">
        <f t="shared" si="34"/>
        <v>0.635194014876033</v>
      </c>
      <c r="AS96" s="22">
        <f t="shared" si="29"/>
        <v>0.58168578512396663</v>
      </c>
      <c r="AU96" s="7">
        <f>CPIs!X56</f>
        <v>105.21879630737305</v>
      </c>
      <c r="AV96" s="12"/>
      <c r="AW96" s="22">
        <f t="shared" si="30"/>
        <v>1.1565232094512456</v>
      </c>
      <c r="AX96" s="22">
        <f t="shared" si="42"/>
        <v>1.1555328004103285</v>
      </c>
      <c r="AY96" s="1">
        <f t="shared" si="31"/>
        <v>0.60368872974031795</v>
      </c>
      <c r="AZ96" s="22">
        <f t="shared" si="43"/>
        <v>0.5528344797109277</v>
      </c>
      <c r="BA96" s="1">
        <f t="shared" si="32"/>
        <v>0.55184407067001051</v>
      </c>
      <c r="BB96" s="3">
        <f t="shared" si="33"/>
        <v>44.266206832415769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K96" s="22">
        <f t="shared" si="16"/>
        <v>1.2362281888199997</v>
      </c>
      <c r="BL96" s="22">
        <f t="shared" si="17"/>
        <v>1.2351695230147326</v>
      </c>
      <c r="BN96" s="22"/>
      <c r="BO96" s="22"/>
      <c r="BR96" s="12"/>
      <c r="BS96" s="12"/>
      <c r="BT96" s="12"/>
      <c r="BU96" s="12"/>
      <c r="BV96" s="12"/>
    </row>
    <row r="97" spans="1:74">
      <c r="A97">
        <v>2018</v>
      </c>
      <c r="D97"/>
      <c r="E97"/>
      <c r="F97"/>
      <c r="G97" s="2">
        <f>'Exchange Rates'!X57</f>
        <v>0.84599999999999997</v>
      </c>
      <c r="H97"/>
      <c r="I97" s="2">
        <f>L97</f>
        <v>1.2890000000000001</v>
      </c>
      <c r="J97"/>
      <c r="K97"/>
      <c r="L97" s="3">
        <v>1.2890000000000001</v>
      </c>
      <c r="M97"/>
      <c r="N97"/>
      <c r="O97"/>
      <c r="P97"/>
      <c r="Q97" s="2"/>
      <c r="R97" s="32"/>
      <c r="S97"/>
      <c r="T97" s="2">
        <f>USA!Z105*G97</f>
        <v>59.392569350649353</v>
      </c>
      <c r="U97"/>
      <c r="V97"/>
      <c r="W97"/>
      <c r="X97"/>
      <c r="Y97"/>
      <c r="Z97" s="2">
        <v>0.42399999999999999</v>
      </c>
      <c r="AA97" s="2">
        <v>0.21</v>
      </c>
      <c r="AB97" s="2">
        <f t="shared" si="27"/>
        <v>0.22371074380165293</v>
      </c>
      <c r="AC97" s="2">
        <f t="shared" ref="AC97" si="44">Z97+AB97</f>
        <v>0.64771074380165294</v>
      </c>
      <c r="AE97"/>
      <c r="AF97"/>
      <c r="AG97"/>
      <c r="AH97"/>
      <c r="AN97">
        <v>2018</v>
      </c>
      <c r="AO97" s="1">
        <f t="shared" si="28"/>
        <v>1.2890000000000001</v>
      </c>
      <c r="AP97" s="1">
        <f t="shared" ref="AP97" si="45">Z97</f>
        <v>0.42399999999999999</v>
      </c>
      <c r="AQ97" s="1">
        <f t="shared" ref="AQ97" si="46">AB97</f>
        <v>0.22371074380165293</v>
      </c>
      <c r="AR97" s="1">
        <f t="shared" ref="AR97" si="47">AC97</f>
        <v>0.64771074380165294</v>
      </c>
      <c r="AS97" s="22">
        <f t="shared" ref="AS97" si="48">AO97-AR97</f>
        <v>0.6412892561983472</v>
      </c>
      <c r="AU97" s="7">
        <f>CPIs!X57</f>
        <v>106.8917751686603</v>
      </c>
      <c r="AV97" s="12"/>
      <c r="AW97" s="22">
        <f t="shared" si="30"/>
        <v>1.205892593668819</v>
      </c>
      <c r="AX97" s="22">
        <f t="shared" ref="AX97" si="49">BA97+AY97</f>
        <v>1.2182757056517801</v>
      </c>
      <c r="AY97" s="1">
        <f t="shared" si="31"/>
        <v>0.60595003009320014</v>
      </c>
      <c r="AZ97" s="22">
        <f t="shared" ref="AZ97" si="50">AW97-AY97</f>
        <v>0.59994256357561881</v>
      </c>
      <c r="BA97" s="1">
        <f t="shared" si="32"/>
        <v>0.61232567555857997</v>
      </c>
      <c r="BB97" s="3">
        <f t="shared" ref="BB97" si="51">T97/AU97*100</f>
        <v>55.563273466958677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K97" s="22">
        <f>AW97*$AU$97/$AU$89</f>
        <v>1.2890000000000004</v>
      </c>
      <c r="BL97" s="22">
        <f>AX97*$AU$97/$AU$89</f>
        <v>1.3022365282197106</v>
      </c>
      <c r="BN97" s="22"/>
      <c r="BO97" s="22"/>
      <c r="BR97" s="12"/>
      <c r="BS97" s="12"/>
      <c r="BT97" s="12"/>
      <c r="BU97" s="12"/>
      <c r="BV97" s="12"/>
    </row>
    <row r="98" spans="1:74">
      <c r="D98"/>
      <c r="E98"/>
      <c r="F98"/>
      <c r="G98"/>
      <c r="H98"/>
      <c r="I98"/>
      <c r="J98"/>
      <c r="K98"/>
      <c r="L98"/>
      <c r="M98"/>
      <c r="N98"/>
      <c r="O98"/>
      <c r="P98"/>
      <c r="Q98" s="40"/>
      <c r="R98" s="40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N98">
        <v>2019</v>
      </c>
      <c r="AR98" s="2"/>
      <c r="AS98" s="32"/>
      <c r="AU98" s="7">
        <f>AU97</f>
        <v>106.8917751686603</v>
      </c>
      <c r="AV98" s="12"/>
      <c r="AX98" s="7"/>
      <c r="AY98" s="3"/>
      <c r="BA98"/>
      <c r="BB98" s="9"/>
    </row>
    <row r="99" spans="1:74">
      <c r="D99"/>
      <c r="E99"/>
      <c r="F99"/>
      <c r="G99"/>
      <c r="H99"/>
      <c r="I99"/>
      <c r="J99"/>
      <c r="K99"/>
      <c r="L99"/>
      <c r="M99"/>
      <c r="N99"/>
      <c r="O99"/>
      <c r="P99"/>
      <c r="Q99" s="40"/>
      <c r="R99" s="40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N99">
        <v>2020</v>
      </c>
      <c r="AR99" s="2"/>
      <c r="AS99" s="32"/>
      <c r="AU99" s="7">
        <f t="shared" ref="AU99:AU109" si="52">AU98</f>
        <v>106.8917751686603</v>
      </c>
      <c r="AV99" s="12"/>
      <c r="AW99" s="13" t="s">
        <v>88</v>
      </c>
      <c r="AX99" s="13">
        <v>0.31485412291069198</v>
      </c>
      <c r="AY99" s="3"/>
      <c r="BA99"/>
      <c r="BB99" s="9"/>
    </row>
    <row r="100" spans="1:74">
      <c r="O100" s="2"/>
      <c r="P100" s="37"/>
      <c r="R100" s="32"/>
      <c r="S100" s="37"/>
      <c r="W100" s="2"/>
      <c r="X100" s="37"/>
      <c r="AI100" s="2"/>
      <c r="AN100">
        <v>2021</v>
      </c>
      <c r="AR100" s="2"/>
      <c r="AS100" s="32"/>
      <c r="AU100" s="7">
        <f t="shared" si="52"/>
        <v>106.8917751686603</v>
      </c>
      <c r="AV100" s="12"/>
      <c r="AW100" s="13" t="s">
        <v>229</v>
      </c>
      <c r="AX100" s="13">
        <v>5.3537441926416159E-3</v>
      </c>
      <c r="AY100" s="3"/>
      <c r="BA100"/>
      <c r="BB100" s="9"/>
      <c r="BQ100" t="s">
        <v>2419</v>
      </c>
    </row>
    <row r="101" spans="1:74">
      <c r="O101" s="2"/>
      <c r="P101" s="37"/>
      <c r="R101" s="32"/>
      <c r="S101" s="37"/>
      <c r="W101" s="2"/>
      <c r="X101" s="37"/>
      <c r="AI101" s="2"/>
      <c r="AN101">
        <v>2022</v>
      </c>
      <c r="AR101" s="2"/>
      <c r="AS101" s="32"/>
      <c r="AU101" s="7">
        <f t="shared" si="52"/>
        <v>106.8917751686603</v>
      </c>
      <c r="AV101" s="12"/>
      <c r="AW101" s="44" t="s">
        <v>2003</v>
      </c>
      <c r="AX101" s="13">
        <v>-0.16530278513360941</v>
      </c>
      <c r="AY101" s="3"/>
      <c r="BA101"/>
      <c r="BB101" s="9"/>
    </row>
    <row r="102" spans="1:74">
      <c r="O102" s="2"/>
      <c r="P102" s="37"/>
      <c r="R102" s="32"/>
      <c r="S102" s="37"/>
      <c r="W102" s="2"/>
      <c r="X102" s="37"/>
      <c r="AI102" s="2"/>
      <c r="AN102">
        <v>2023</v>
      </c>
      <c r="AR102" s="2"/>
      <c r="AS102" s="32"/>
      <c r="AU102" s="7">
        <f t="shared" si="52"/>
        <v>106.8917751686603</v>
      </c>
      <c r="AV102" s="12"/>
      <c r="AW102" s="44" t="s">
        <v>283</v>
      </c>
      <c r="AX102" s="13">
        <v>0.20291301882559989</v>
      </c>
      <c r="AY102" s="3"/>
      <c r="BA102"/>
      <c r="BB102" s="9"/>
      <c r="BQ102" t="s">
        <v>2416</v>
      </c>
    </row>
    <row r="103" spans="1:74">
      <c r="O103" s="2"/>
      <c r="P103" s="37"/>
      <c r="R103" s="32"/>
      <c r="S103" s="37"/>
      <c r="W103" s="2"/>
      <c r="X103" s="37"/>
      <c r="AI103" s="2"/>
      <c r="AN103">
        <v>2024</v>
      </c>
      <c r="AR103" s="2"/>
      <c r="AS103" s="32"/>
      <c r="AU103" s="7">
        <f t="shared" si="52"/>
        <v>106.8917751686603</v>
      </c>
      <c r="AV103" s="12"/>
      <c r="AW103" s="44" t="s">
        <v>2167</v>
      </c>
      <c r="AX103" s="13">
        <v>-3.0465736777438124E-2</v>
      </c>
      <c r="AY103" s="3"/>
      <c r="BA103"/>
      <c r="BB103" s="9"/>
      <c r="BP103" s="78">
        <v>43101</v>
      </c>
      <c r="BQ103" s="12">
        <v>1.56</v>
      </c>
    </row>
    <row r="104" spans="1:74">
      <c r="O104" s="2"/>
      <c r="P104" s="37"/>
      <c r="R104" s="32"/>
      <c r="S104" s="37"/>
      <c r="W104" s="2"/>
      <c r="X104" s="37"/>
      <c r="AI104" s="2"/>
      <c r="AN104">
        <v>2025</v>
      </c>
      <c r="AR104" s="2"/>
      <c r="AS104" s="32"/>
      <c r="AU104" s="7">
        <f t="shared" si="52"/>
        <v>106.8917751686603</v>
      </c>
      <c r="AV104" s="12"/>
      <c r="AW104" s="44" t="s">
        <v>1913</v>
      </c>
      <c r="AX104" s="13">
        <v>0.22729146493021618</v>
      </c>
      <c r="AY104" s="3"/>
      <c r="BA104"/>
      <c r="BB104" s="9"/>
      <c r="BP104" s="78">
        <v>43132</v>
      </c>
      <c r="BQ104" s="12">
        <v>1.49</v>
      </c>
    </row>
    <row r="105" spans="1:74">
      <c r="O105" s="2"/>
      <c r="P105" s="37"/>
      <c r="R105" s="32"/>
      <c r="S105" s="37"/>
      <c r="W105" s="2"/>
      <c r="X105" s="37"/>
      <c r="AI105" s="2"/>
      <c r="AN105">
        <v>2026</v>
      </c>
      <c r="AR105" s="2"/>
      <c r="AS105" s="32"/>
      <c r="AU105" s="7">
        <f t="shared" si="52"/>
        <v>106.8917751686603</v>
      </c>
      <c r="AV105" s="12"/>
      <c r="AW105" s="44" t="s">
        <v>2436</v>
      </c>
      <c r="AX105" s="13">
        <v>-0.12824595174774064</v>
      </c>
      <c r="AY105" s="3"/>
      <c r="BA105"/>
      <c r="BB105" s="9"/>
      <c r="BP105" s="78">
        <v>43160</v>
      </c>
      <c r="BQ105" s="12">
        <v>1.54</v>
      </c>
    </row>
    <row r="106" spans="1:74">
      <c r="O106" s="2"/>
      <c r="P106" s="37"/>
      <c r="R106" s="32"/>
      <c r="S106" s="37"/>
      <c r="W106" s="2"/>
      <c r="X106" s="37"/>
      <c r="AI106" s="2"/>
      <c r="AN106">
        <v>2027</v>
      </c>
      <c r="AR106" s="2"/>
      <c r="AS106" s="32"/>
      <c r="AU106" s="7">
        <f t="shared" si="52"/>
        <v>106.8917751686603</v>
      </c>
      <c r="AV106" s="12"/>
      <c r="AW106" s="44" t="s">
        <v>1912</v>
      </c>
      <c r="AX106" s="13">
        <v>-0.19217430218170872</v>
      </c>
      <c r="AY106" s="3"/>
      <c r="BA106"/>
      <c r="BB106" s="9"/>
      <c r="BP106" s="78">
        <v>43191</v>
      </c>
      <c r="BQ106" s="12">
        <v>1.57</v>
      </c>
    </row>
    <row r="107" spans="1:74" ht="15.75" thickBot="1">
      <c r="O107" s="2"/>
      <c r="P107" s="37"/>
      <c r="R107" s="32"/>
      <c r="S107" s="37"/>
      <c r="W107" s="2"/>
      <c r="X107" s="37"/>
      <c r="AI107" s="2"/>
      <c r="AN107">
        <v>2028</v>
      </c>
      <c r="AR107" s="2"/>
      <c r="AS107" s="32"/>
      <c r="AU107" s="7">
        <f t="shared" si="52"/>
        <v>106.8917751686603</v>
      </c>
      <c r="AV107" s="12"/>
      <c r="AW107" s="44" t="s">
        <v>2209</v>
      </c>
      <c r="AX107" s="14">
        <v>3.327078401861653E-2</v>
      </c>
      <c r="AY107" s="3"/>
      <c r="BA107"/>
      <c r="BB107" s="9"/>
      <c r="BP107" s="78">
        <v>43221</v>
      </c>
      <c r="BQ107" s="12">
        <v>1.55</v>
      </c>
    </row>
    <row r="108" spans="1:74">
      <c r="O108" s="2"/>
      <c r="P108" s="37"/>
      <c r="R108" s="32"/>
      <c r="S108" s="37"/>
      <c r="W108" s="2"/>
      <c r="X108" s="37"/>
      <c r="AI108" s="2"/>
      <c r="AN108">
        <v>2029</v>
      </c>
      <c r="AR108" s="2"/>
      <c r="AS108" s="32"/>
      <c r="AU108" s="7">
        <f t="shared" si="52"/>
        <v>106.8917751686603</v>
      </c>
      <c r="AV108" s="12"/>
      <c r="AX108" s="7"/>
      <c r="AY108" s="3"/>
      <c r="BA108"/>
      <c r="BB108" s="9"/>
      <c r="BP108" s="78">
        <v>43252</v>
      </c>
      <c r="BQ108" s="12">
        <v>1.54</v>
      </c>
    </row>
    <row r="109" spans="1:74">
      <c r="O109" s="2"/>
      <c r="P109" s="37"/>
      <c r="R109" s="32"/>
      <c r="S109" s="37"/>
      <c r="W109" s="2"/>
      <c r="X109" s="37"/>
      <c r="AI109" s="2"/>
      <c r="AN109">
        <v>2030</v>
      </c>
      <c r="AR109" s="2"/>
      <c r="AS109" s="32"/>
      <c r="AU109" s="7">
        <f t="shared" si="52"/>
        <v>106.8917751686603</v>
      </c>
      <c r="AV109" s="12"/>
      <c r="AX109" s="7"/>
      <c r="AY109" s="3"/>
      <c r="BA109"/>
      <c r="BB109" s="9"/>
      <c r="BP109" s="78">
        <v>43282</v>
      </c>
      <c r="BQ109" s="12">
        <v>1.55</v>
      </c>
    </row>
    <row r="110" spans="1:74">
      <c r="O110" s="2"/>
      <c r="P110" s="37"/>
      <c r="R110" s="32"/>
      <c r="S110" s="37"/>
      <c r="W110" s="2"/>
      <c r="X110" s="37"/>
      <c r="AI110" s="2"/>
      <c r="AN110"/>
      <c r="AR110" s="2"/>
      <c r="AS110" s="32"/>
      <c r="AV110" s="12"/>
      <c r="AX110" s="7"/>
      <c r="AY110" s="3"/>
      <c r="BA110"/>
      <c r="BB110" s="9"/>
      <c r="BP110" s="78">
        <v>43313</v>
      </c>
      <c r="BQ110" s="12">
        <v>1.58</v>
      </c>
    </row>
    <row r="111" spans="1:74">
      <c r="O111" s="2"/>
      <c r="P111" s="37"/>
      <c r="R111" s="32"/>
      <c r="S111" s="13" t="str">
        <f t="shared" ref="S111:T117" si="53">AW99</f>
        <v>Intercept</v>
      </c>
      <c r="T111" s="13">
        <f t="shared" si="53"/>
        <v>0.31485412291069198</v>
      </c>
      <c r="W111" s="2"/>
      <c r="X111" s="37"/>
      <c r="AI111" s="2"/>
      <c r="AN111"/>
      <c r="AR111" s="2"/>
      <c r="AS111" s="32"/>
      <c r="AV111" s="12"/>
      <c r="AX111" s="7"/>
      <c r="AY111" s="3"/>
      <c r="BA111"/>
      <c r="BB111" s="9"/>
      <c r="BP111" s="78">
        <v>43344</v>
      </c>
      <c r="BQ111" s="12">
        <v>1.58</v>
      </c>
    </row>
    <row r="112" spans="1:74">
      <c r="O112" s="2"/>
      <c r="P112" s="37"/>
      <c r="R112" s="32"/>
      <c r="S112" s="13" t="str">
        <f t="shared" si="53"/>
        <v>landed oil price</v>
      </c>
      <c r="T112" s="13">
        <f t="shared" si="53"/>
        <v>5.3537441926416159E-3</v>
      </c>
      <c r="W112" s="2"/>
      <c r="X112" s="37"/>
      <c r="AI112" s="2"/>
      <c r="AN112"/>
      <c r="AR112" s="2"/>
      <c r="AS112" s="32"/>
      <c r="AV112" s="12"/>
      <c r="AX112" s="7"/>
      <c r="AY112" s="3"/>
      <c r="BA112"/>
      <c r="BB112" s="9"/>
      <c r="BP112" s="78">
        <v>43374</v>
      </c>
      <c r="BQ112" s="12">
        <v>1.55</v>
      </c>
    </row>
    <row r="113" spans="1:69">
      <c r="O113" s="2"/>
      <c r="P113" s="37"/>
      <c r="R113" s="32"/>
      <c r="S113" s="13" t="str">
        <f t="shared" si="53"/>
        <v>dum8909</v>
      </c>
      <c r="T113" s="13">
        <f t="shared" si="53"/>
        <v>-0.16530278513360941</v>
      </c>
      <c r="W113" s="2"/>
      <c r="X113" s="37"/>
      <c r="AI113" s="2"/>
      <c r="AN113"/>
      <c r="AR113" s="2"/>
      <c r="AS113" s="32"/>
      <c r="AV113" s="12"/>
      <c r="AX113" s="7"/>
      <c r="AY113" s="3"/>
      <c r="BA113"/>
      <c r="BB113" s="9"/>
      <c r="BP113" s="78">
        <v>43405</v>
      </c>
      <c r="BQ113" s="12">
        <v>1.47</v>
      </c>
    </row>
    <row r="114" spans="1:69">
      <c r="O114" s="2"/>
      <c r="P114" s="37"/>
      <c r="R114" s="32"/>
      <c r="S114" s="13" t="str">
        <f t="shared" si="53"/>
        <v>dum9394</v>
      </c>
      <c r="T114" s="13">
        <f t="shared" si="53"/>
        <v>0.20291301882559989</v>
      </c>
      <c r="W114" s="2"/>
      <c r="X114" s="37"/>
      <c r="AI114" s="2"/>
      <c r="AN114"/>
      <c r="AR114" s="2"/>
      <c r="AS114" s="32"/>
      <c r="AV114" s="12"/>
      <c r="AX114" s="7"/>
      <c r="AY114" s="3"/>
      <c r="BA114"/>
      <c r="BB114" s="9"/>
      <c r="BP114" s="78">
        <v>43435</v>
      </c>
      <c r="BQ114" s="12">
        <v>1.38</v>
      </c>
    </row>
    <row r="115" spans="1:69">
      <c r="O115" s="2"/>
      <c r="P115" s="37"/>
      <c r="R115" s="32"/>
      <c r="S115" s="13" t="str">
        <f t="shared" si="53"/>
        <v>dumGFC</v>
      </c>
      <c r="T115" s="13">
        <f t="shared" si="53"/>
        <v>-3.0465736777438124E-2</v>
      </c>
      <c r="W115" s="2"/>
      <c r="X115" s="37"/>
      <c r="AI115" s="2"/>
      <c r="AN115"/>
      <c r="AR115" s="2"/>
      <c r="AS115" s="32"/>
      <c r="AV115" s="12"/>
      <c r="AX115" s="7"/>
      <c r="AY115" s="3"/>
      <c r="BA115"/>
      <c r="BB115" s="9"/>
    </row>
    <row r="116" spans="1:69">
      <c r="O116" s="2"/>
      <c r="P116" s="37"/>
      <c r="R116" s="32"/>
      <c r="S116" s="13" t="str">
        <f t="shared" si="53"/>
        <v>dum8288</v>
      </c>
      <c r="T116" s="13">
        <f t="shared" si="53"/>
        <v>0.22729146493021618</v>
      </c>
      <c r="W116" s="2"/>
      <c r="X116" s="37"/>
      <c r="AI116" s="2"/>
      <c r="AN116"/>
      <c r="AR116" s="2"/>
      <c r="AS116" s="32"/>
      <c r="AV116" s="12"/>
      <c r="AX116" s="7"/>
      <c r="AY116" s="3"/>
      <c r="BA116"/>
      <c r="BB116" s="9"/>
      <c r="BP116">
        <v>2018</v>
      </c>
      <c r="BQ116" s="3">
        <f>AVERAGE(BQ103:BQ114)</f>
        <v>1.53</v>
      </c>
    </row>
    <row r="117" spans="1:69">
      <c r="O117" s="2"/>
      <c r="P117" s="37"/>
      <c r="R117" s="32"/>
      <c r="S117" s="13" t="str">
        <f t="shared" si="53"/>
        <v>dum7579</v>
      </c>
      <c r="T117" s="13">
        <f t="shared" si="53"/>
        <v>-0.12824595174774064</v>
      </c>
      <c r="W117" s="2"/>
      <c r="X117" s="37"/>
      <c r="AI117" s="2"/>
      <c r="AN117"/>
      <c r="AO117"/>
      <c r="AR117" s="2"/>
      <c r="AS117" s="2"/>
      <c r="AT117" s="32"/>
      <c r="AV117" s="12"/>
      <c r="AW117" s="12"/>
      <c r="AX117" s="7"/>
      <c r="AY117" s="7"/>
      <c r="AZ117" s="3"/>
      <c r="BA117"/>
      <c r="BC117" s="9"/>
    </row>
    <row r="118" spans="1:69">
      <c r="O118" s="32"/>
      <c r="P118" s="2"/>
      <c r="Q118" s="37"/>
      <c r="R118" s="32"/>
      <c r="S118" s="32"/>
      <c r="T118" s="13"/>
      <c r="U118" s="13"/>
      <c r="W118" s="2"/>
      <c r="Y118" s="37"/>
      <c r="AI118" s="2"/>
      <c r="AJ118" s="2"/>
      <c r="AN118"/>
      <c r="AO118"/>
      <c r="AP118"/>
      <c r="AR118" s="2"/>
      <c r="AS118" s="2"/>
      <c r="AT118" s="2"/>
      <c r="AU118" s="32"/>
      <c r="AV118" s="12"/>
      <c r="AW118" s="12"/>
      <c r="AX118" s="12"/>
      <c r="AY118" s="7"/>
      <c r="AZ118" s="7"/>
      <c r="BA118" s="3"/>
      <c r="BD118" s="9"/>
    </row>
    <row r="119" spans="1:69">
      <c r="O119" s="32"/>
      <c r="P119" s="37"/>
      <c r="R119" s="32"/>
      <c r="S119" s="37"/>
      <c r="W119" s="2"/>
      <c r="X119" s="37"/>
      <c r="Y119" s="37"/>
      <c r="Z119" s="37"/>
      <c r="AA119" s="37"/>
      <c r="AB119" s="37"/>
      <c r="AC119" s="37"/>
      <c r="AD119" s="37"/>
      <c r="AE119" s="37"/>
      <c r="AF119" s="37"/>
      <c r="AI119" s="2"/>
      <c r="AJ119" s="2"/>
      <c r="AK119" t="s">
        <v>1960</v>
      </c>
      <c r="AL119" t="s">
        <v>1960</v>
      </c>
      <c r="AM119" t="s">
        <v>1960</v>
      </c>
      <c r="AR119" s="2"/>
      <c r="AS119" s="2"/>
      <c r="AT119" s="32"/>
      <c r="AV119" s="12"/>
      <c r="AW119" s="12"/>
      <c r="AX119" s="12"/>
      <c r="AY119" s="12"/>
      <c r="AZ119" s="7"/>
      <c r="BA119" s="3"/>
      <c r="BD119" s="9"/>
      <c r="BF119" s="3"/>
      <c r="BG119" s="3"/>
      <c r="BH119" s="3"/>
      <c r="BK119" s="9"/>
    </row>
    <row r="120" spans="1:69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2598</v>
      </c>
      <c r="R120" s="26"/>
      <c r="S120" s="26"/>
      <c r="T120" s="79">
        <v>0.21</v>
      </c>
      <c r="U120" s="76" t="s">
        <v>2548</v>
      </c>
      <c r="V120" s="76"/>
      <c r="W120" s="76"/>
      <c r="X120" s="76"/>
      <c r="Y120" s="26" t="s">
        <v>2550</v>
      </c>
      <c r="Z120" s="26"/>
      <c r="AA120" s="26"/>
      <c r="AB120" s="79"/>
      <c r="AC120" s="26" t="s">
        <v>2485</v>
      </c>
      <c r="AD120" s="26"/>
      <c r="AE120" s="26"/>
      <c r="AF120" s="79"/>
      <c r="AI120" s="2"/>
      <c r="AJ120" s="2"/>
      <c r="AK120" s="3" t="s">
        <v>1957</v>
      </c>
      <c r="AL120" s="3" t="s">
        <v>1957</v>
      </c>
      <c r="AM120" s="3" t="s">
        <v>1957</v>
      </c>
      <c r="AR120" s="2"/>
      <c r="AS120" s="2"/>
      <c r="AT120" s="32"/>
      <c r="AV120" s="12"/>
      <c r="AW120" s="32"/>
      <c r="AX120" s="32"/>
      <c r="AY120" s="32"/>
      <c r="AZ120" s="7"/>
      <c r="BA120" s="3"/>
      <c r="BD120" s="9"/>
      <c r="BH120" s="9"/>
    </row>
    <row r="121" spans="1:69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I121" s="2"/>
      <c r="AJ121" s="2"/>
      <c r="AK121" s="3" t="s">
        <v>268</v>
      </c>
      <c r="AL121" s="3" t="s">
        <v>267</v>
      </c>
      <c r="AM121" s="3" t="s">
        <v>266</v>
      </c>
      <c r="AR121" s="2"/>
      <c r="AS121" s="2"/>
      <c r="AT121" s="32"/>
      <c r="AV121" s="12"/>
      <c r="AW121" s="32"/>
      <c r="AX121" s="32"/>
      <c r="AY121" s="32"/>
      <c r="AZ121" s="7"/>
      <c r="BA121" s="3"/>
      <c r="BD121" s="9"/>
      <c r="BH121" s="9"/>
    </row>
    <row r="122" spans="1:69">
      <c r="A122">
        <v>2010</v>
      </c>
      <c r="B122" s="3">
        <f>USA!Z97/USA!AU97*100</f>
        <v>77.45</v>
      </c>
      <c r="C122" s="3">
        <f>AK122</f>
        <v>77.45</v>
      </c>
      <c r="D122" s="3">
        <f>AL122</f>
        <v>77.45</v>
      </c>
      <c r="E122" s="3">
        <f>AM122</f>
        <v>77.45</v>
      </c>
      <c r="F122" s="6">
        <f>'Exchange Rates'!X49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 t="shared" ref="K122:K129" si="54">T$111+T$112*G122+T$117*BG89</f>
        <v>0.62943526837764407</v>
      </c>
      <c r="L122" s="6">
        <f t="shared" ref="L122:L129" si="55">T$111+T$112*H122+T$117*BG89</f>
        <v>0.62943526837764407</v>
      </c>
      <c r="M122" s="6">
        <f t="shared" ref="M122:M129" si="56">T$111+T$112*I122+T$117*BG89</f>
        <v>0.62943526837764407</v>
      </c>
      <c r="N122" s="6">
        <f t="shared" ref="N122:N129" si="57">T$111+T$112*J122+T$117*BG89</f>
        <v>0.62943526837764407</v>
      </c>
      <c r="O122">
        <v>2010</v>
      </c>
      <c r="P122" s="24">
        <f t="shared" ref="P122:P130" si="58">Z89/AU89*100</f>
        <v>0.40100000000000008</v>
      </c>
      <c r="Q122" s="3">
        <f t="shared" ref="Q122:T129" si="59">(K122+$P122)*$AA89</f>
        <v>0.1751739956241995</v>
      </c>
      <c r="R122" s="3">
        <f t="shared" si="59"/>
        <v>0.1751739956241995</v>
      </c>
      <c r="S122" s="3">
        <f t="shared" si="59"/>
        <v>0.1751739956241995</v>
      </c>
      <c r="T122" s="3">
        <f t="shared" si="59"/>
        <v>0.1751739956241995</v>
      </c>
      <c r="U122" s="3">
        <f t="shared" ref="U122:U130" si="60">AW89</f>
        <v>1.165</v>
      </c>
      <c r="V122" s="3">
        <f t="shared" ref="V122:V142" si="61">L122+$P122+R122</f>
        <v>1.2056092640018437</v>
      </c>
      <c r="W122" s="3">
        <f t="shared" ref="W122:W142" si="62">M122+$P122+S122</f>
        <v>1.2056092640018437</v>
      </c>
      <c r="X122" s="3">
        <f t="shared" ref="X122:X142" si="63">N122+$P122+T122</f>
        <v>1.2056092640018437</v>
      </c>
      <c r="Y122" s="9">
        <f t="shared" ref="Y122:Y130" si="64">AW89*$AU$97/100*100</f>
        <v>124.52891807148924</v>
      </c>
      <c r="Z122" s="9">
        <f t="shared" ref="Z122:Z142" si="65">V122*$AU$97/100*100</f>
        <v>128.86971438893909</v>
      </c>
      <c r="AA122" s="9">
        <f t="shared" ref="AA122:AA142" si="66">W122*$AU$97/100*100</f>
        <v>128.86971438893909</v>
      </c>
      <c r="AB122" s="9">
        <f t="shared" ref="AB122:AB142" si="67">X122*$AU$97/100*100</f>
        <v>128.86971438893909</v>
      </c>
      <c r="AC122" s="3">
        <f t="shared" ref="AC122:AC130" si="68">U122*$AU$96/100</f>
        <v>1.2257989769808961</v>
      </c>
      <c r="AD122" s="3">
        <f>AC122</f>
        <v>1.2257989769808961</v>
      </c>
      <c r="AE122" s="3">
        <f t="shared" ref="AE122:AF122" si="69">AD122</f>
        <v>1.2257989769808961</v>
      </c>
      <c r="AF122" s="3">
        <f t="shared" si="69"/>
        <v>1.2257989769808961</v>
      </c>
      <c r="AI122" s="2"/>
      <c r="AJ122" s="2"/>
      <c r="AK122" s="3">
        <f>USA!AJ135</f>
        <v>77.45</v>
      </c>
      <c r="AL122" s="3">
        <f>USA!AK135</f>
        <v>77.45</v>
      </c>
      <c r="AM122" s="3">
        <f>USA!AL135</f>
        <v>77.45</v>
      </c>
      <c r="AR122" s="2"/>
      <c r="AS122" s="2"/>
      <c r="AT122" s="32"/>
      <c r="AV122" s="12"/>
      <c r="AW122" s="32"/>
      <c r="AX122" s="32"/>
      <c r="AY122" s="32"/>
      <c r="AZ122" s="7"/>
      <c r="BA122" s="3"/>
      <c r="BD122" s="9"/>
      <c r="BH122" s="9"/>
    </row>
    <row r="123" spans="1:69">
      <c r="A123">
        <v>2011</v>
      </c>
      <c r="B123" s="3">
        <f>USA!Z98/USA!AU98*100</f>
        <v>104.18614906980585</v>
      </c>
      <c r="C123" s="3">
        <f t="shared" ref="C123:C142" si="70">AK123</f>
        <v>104.18614906980586</v>
      </c>
      <c r="D123" s="3">
        <f t="shared" ref="D123:D142" si="71">AL123</f>
        <v>104.18614906980586</v>
      </c>
      <c r="E123" s="3">
        <f t="shared" ref="E123:E142" si="72">AM123</f>
        <v>104.18614906980586</v>
      </c>
      <c r="F123" s="6">
        <f>'Exchange Rates'!X50</f>
        <v>0.71544109992713056</v>
      </c>
      <c r="G123" s="3">
        <f>(B123*USA!$AU98/100)/$AU90*100*$F123</f>
        <v>74.49316345171674</v>
      </c>
      <c r="H123" s="3">
        <f>(C123*USA!$AU98/100)/$AU90*100*$F123</f>
        <v>74.493163451716754</v>
      </c>
      <c r="I123" s="3">
        <f>(D123*USA!$AU98/100)/$AU90*100*$F123</f>
        <v>74.493163451716754</v>
      </c>
      <c r="J123" s="3">
        <f>(E123*USA!$AU98/100)/$AU90*100*$F123</f>
        <v>74.493163451716754</v>
      </c>
      <c r="K123" s="6">
        <f t="shared" si="54"/>
        <v>0.71367146413182314</v>
      </c>
      <c r="L123" s="6">
        <f t="shared" si="55"/>
        <v>0.71367146413182314</v>
      </c>
      <c r="M123" s="6">
        <f t="shared" si="56"/>
        <v>0.71367146413182314</v>
      </c>
      <c r="N123" s="6">
        <f t="shared" si="57"/>
        <v>0.71367146413182314</v>
      </c>
      <c r="O123">
        <v>2011</v>
      </c>
      <c r="P123" s="24">
        <f t="shared" si="58"/>
        <v>0.38858003666678548</v>
      </c>
      <c r="Q123" s="3">
        <f t="shared" si="59"/>
        <v>0.19840527014374956</v>
      </c>
      <c r="R123" s="3">
        <f t="shared" si="59"/>
        <v>0.19840527014374956</v>
      </c>
      <c r="S123" s="3">
        <f t="shared" si="59"/>
        <v>0.19840527014374956</v>
      </c>
      <c r="T123" s="3">
        <f t="shared" si="59"/>
        <v>0.19840527014374956</v>
      </c>
      <c r="U123" s="3">
        <f t="shared" si="60"/>
        <v>1.2766745785780671</v>
      </c>
      <c r="V123" s="3">
        <f t="shared" si="61"/>
        <v>1.3006567709423582</v>
      </c>
      <c r="W123" s="3">
        <f t="shared" si="62"/>
        <v>1.3006567709423582</v>
      </c>
      <c r="X123" s="3">
        <f t="shared" si="63"/>
        <v>1.3006567709423582</v>
      </c>
      <c r="Y123" s="9">
        <f t="shared" si="64"/>
        <v>136.46601201691089</v>
      </c>
      <c r="Z123" s="9">
        <f t="shared" si="65"/>
        <v>139.02951113116626</v>
      </c>
      <c r="AA123" s="9">
        <f t="shared" si="66"/>
        <v>139.02951113116626</v>
      </c>
      <c r="AB123" s="9">
        <f t="shared" si="67"/>
        <v>139.02951113116626</v>
      </c>
      <c r="AC123" s="3">
        <f t="shared" si="68"/>
        <v>1.3433016243420699</v>
      </c>
      <c r="AD123" s="3">
        <f t="shared" ref="AD123:AF123" si="73">AC123</f>
        <v>1.3433016243420699</v>
      </c>
      <c r="AE123" s="3">
        <f t="shared" si="73"/>
        <v>1.3433016243420699</v>
      </c>
      <c r="AF123" s="3">
        <f t="shared" si="73"/>
        <v>1.3433016243420699</v>
      </c>
      <c r="AI123" s="2"/>
      <c r="AJ123" s="2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R123" s="2"/>
      <c r="AS123" s="2"/>
      <c r="AT123" s="32"/>
      <c r="AV123" s="12"/>
      <c r="AW123" s="32"/>
      <c r="AX123" s="32"/>
      <c r="AY123" s="32"/>
      <c r="AZ123" s="7"/>
      <c r="BA123" s="3"/>
      <c r="BD123" s="9"/>
      <c r="BH123" s="9"/>
    </row>
    <row r="124" spans="1:69">
      <c r="A124">
        <v>2012</v>
      </c>
      <c r="B124" s="3">
        <f>USA!Z99/USA!AU99*100</f>
        <v>104.07290773565181</v>
      </c>
      <c r="C124" s="3">
        <f t="shared" si="70"/>
        <v>104.07290773565181</v>
      </c>
      <c r="D124" s="3">
        <f t="shared" si="71"/>
        <v>104.07290773565181</v>
      </c>
      <c r="E124" s="3">
        <f t="shared" si="72"/>
        <v>104.07290773565181</v>
      </c>
      <c r="F124" s="6">
        <f>'Exchange Rates'!X51</f>
        <v>0.773899446716382</v>
      </c>
      <c r="G124" s="3">
        <f>(B124*USA!$AU99/100)/$AU91*100*$F124</f>
        <v>80.153727060128631</v>
      </c>
      <c r="H124" s="3">
        <f>(C124*USA!$AU99/100)/$AU91*100*$F124</f>
        <v>80.153727060128631</v>
      </c>
      <c r="I124" s="3">
        <f>(D124*USA!$AU99/100)/$AU91*100*$F124</f>
        <v>80.153727060128631</v>
      </c>
      <c r="J124" s="3">
        <f>(E124*USA!$AU99/100)/$AU91*100*$F124</f>
        <v>80.153727060128631</v>
      </c>
      <c r="K124" s="6">
        <f t="shared" si="54"/>
        <v>0.7439766736774367</v>
      </c>
      <c r="L124" s="6">
        <f t="shared" si="55"/>
        <v>0.7439766736774367</v>
      </c>
      <c r="M124" s="6">
        <f t="shared" si="56"/>
        <v>0.7439766736774367</v>
      </c>
      <c r="N124" s="6">
        <f t="shared" si="57"/>
        <v>0.7439766736774367</v>
      </c>
      <c r="O124">
        <v>2012</v>
      </c>
      <c r="P124" s="24">
        <f t="shared" si="58"/>
        <v>0.37930264000620628</v>
      </c>
      <c r="Q124" s="3">
        <f t="shared" si="59"/>
        <v>0.21342306959989216</v>
      </c>
      <c r="R124" s="3">
        <f t="shared" si="59"/>
        <v>0.21342306959989216</v>
      </c>
      <c r="S124" s="3">
        <f t="shared" si="59"/>
        <v>0.21342306959989216</v>
      </c>
      <c r="T124" s="3">
        <f t="shared" si="59"/>
        <v>0.21342306959989216</v>
      </c>
      <c r="U124" s="3">
        <f t="shared" si="60"/>
        <v>1.3485053398533433</v>
      </c>
      <c r="V124" s="3">
        <f t="shared" si="61"/>
        <v>1.3367023832835352</v>
      </c>
      <c r="W124" s="3">
        <f t="shared" si="62"/>
        <v>1.3367023832835352</v>
      </c>
      <c r="X124" s="3">
        <f t="shared" si="63"/>
        <v>1.3367023832835352</v>
      </c>
      <c r="Y124" s="9">
        <f t="shared" si="64"/>
        <v>144.14412960134143</v>
      </c>
      <c r="Z124" s="9">
        <f t="shared" si="65"/>
        <v>142.88249062135603</v>
      </c>
      <c r="AA124" s="9">
        <f t="shared" si="66"/>
        <v>142.88249062135603</v>
      </c>
      <c r="AB124" s="9">
        <f t="shared" si="67"/>
        <v>142.88249062135603</v>
      </c>
      <c r="AC124" s="3">
        <f t="shared" si="68"/>
        <v>1.418881086734338</v>
      </c>
      <c r="AD124" s="3">
        <f t="shared" ref="AD124:AF124" si="74">AC124</f>
        <v>1.418881086734338</v>
      </c>
      <c r="AE124" s="3">
        <f t="shared" si="74"/>
        <v>1.418881086734338</v>
      </c>
      <c r="AF124" s="3">
        <f t="shared" si="74"/>
        <v>1.418881086734338</v>
      </c>
      <c r="AI124" s="2"/>
      <c r="AJ124" s="2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R124" s="2"/>
      <c r="AS124" s="2"/>
      <c r="AT124" s="32"/>
      <c r="AV124" s="12"/>
      <c r="AW124" s="32"/>
      <c r="AX124" s="32"/>
      <c r="AY124" s="32"/>
      <c r="AZ124" s="7"/>
      <c r="BA124" s="3"/>
      <c r="BD124" s="9"/>
      <c r="BH124" s="9"/>
    </row>
    <row r="125" spans="1:69">
      <c r="A125">
        <v>2013</v>
      </c>
      <c r="B125" s="3">
        <f>USA!Z100/USA!AU100*100</f>
        <v>99.286371359470479</v>
      </c>
      <c r="C125" s="3">
        <f t="shared" si="70"/>
        <v>99.286371359470493</v>
      </c>
      <c r="D125" s="3">
        <f t="shared" si="71"/>
        <v>99.286371359470493</v>
      </c>
      <c r="E125" s="3">
        <f t="shared" si="72"/>
        <v>99.286371359470493</v>
      </c>
      <c r="F125" s="6">
        <f>'Exchange Rates'!X52</f>
        <v>0.75166876437654617</v>
      </c>
      <c r="G125" s="3">
        <f>(B125*USA!$AU100/100)/$AU92*100*$F125</f>
        <v>74.274144968042393</v>
      </c>
      <c r="H125" s="3">
        <f>(C125*USA!$AU100/100)/$AU92*100*$F125</f>
        <v>74.274144968042407</v>
      </c>
      <c r="I125" s="3">
        <f>(D125*USA!$AU100/100)/$AU92*100*$F125</f>
        <v>74.274144968042407</v>
      </c>
      <c r="J125" s="3">
        <f>(E125*USA!$AU100/100)/$AU92*100*$F125</f>
        <v>74.274144968042407</v>
      </c>
      <c r="K125" s="6">
        <f t="shared" si="54"/>
        <v>0.71249889519677045</v>
      </c>
      <c r="L125" s="6">
        <f t="shared" si="55"/>
        <v>0.71249889519677057</v>
      </c>
      <c r="M125" s="6">
        <f t="shared" si="56"/>
        <v>0.71249889519677057</v>
      </c>
      <c r="N125" s="6">
        <f t="shared" si="57"/>
        <v>0.71249889519677057</v>
      </c>
      <c r="O125">
        <v>2013</v>
      </c>
      <c r="P125" s="24">
        <f t="shared" si="58"/>
        <v>0.39548718777862696</v>
      </c>
      <c r="Q125" s="3">
        <f t="shared" si="59"/>
        <v>0.23267707742483343</v>
      </c>
      <c r="R125" s="3">
        <f t="shared" si="59"/>
        <v>0.23267707742483348</v>
      </c>
      <c r="S125" s="3">
        <f t="shared" si="59"/>
        <v>0.23267707742483348</v>
      </c>
      <c r="T125" s="3">
        <f t="shared" si="59"/>
        <v>0.23267707742483348</v>
      </c>
      <c r="U125" s="3">
        <f t="shared" si="60"/>
        <v>1.3355369714157035</v>
      </c>
      <c r="V125" s="3">
        <f t="shared" si="61"/>
        <v>1.340663160400231</v>
      </c>
      <c r="W125" s="3">
        <f t="shared" si="62"/>
        <v>1.340663160400231</v>
      </c>
      <c r="X125" s="3">
        <f t="shared" si="63"/>
        <v>1.340663160400231</v>
      </c>
      <c r="Y125" s="9">
        <f t="shared" si="64"/>
        <v>142.75791767800087</v>
      </c>
      <c r="Z125" s="9">
        <f t="shared" si="65"/>
        <v>143.30586511840707</v>
      </c>
      <c r="AA125" s="9">
        <f t="shared" si="66"/>
        <v>143.30586511840707</v>
      </c>
      <c r="AB125" s="9">
        <f t="shared" si="67"/>
        <v>143.30586511840707</v>
      </c>
      <c r="AC125" s="3">
        <f t="shared" si="68"/>
        <v>1.4052359255635483</v>
      </c>
      <c r="AD125" s="3">
        <f t="shared" ref="AD125:AF125" si="75">AC125</f>
        <v>1.4052359255635483</v>
      </c>
      <c r="AE125" s="3">
        <f t="shared" si="75"/>
        <v>1.4052359255635483</v>
      </c>
      <c r="AF125" s="3">
        <f t="shared" si="75"/>
        <v>1.4052359255635483</v>
      </c>
      <c r="AI125" s="2"/>
      <c r="AJ125" s="2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R125" s="2"/>
      <c r="AS125" s="2"/>
      <c r="AT125" s="32"/>
      <c r="AV125" s="12"/>
      <c r="AW125" s="32"/>
      <c r="AX125" s="32"/>
      <c r="AY125" s="32"/>
      <c r="AZ125" s="7"/>
      <c r="BA125" s="3"/>
      <c r="BD125" s="9"/>
      <c r="BH125" s="9"/>
    </row>
    <row r="126" spans="1:69">
      <c r="A126">
        <v>2014</v>
      </c>
      <c r="B126" s="3">
        <f>USA!Z101/USA!AU101*100</f>
        <v>88.687750298592292</v>
      </c>
      <c r="C126" s="3">
        <f t="shared" si="70"/>
        <v>88.687750298592292</v>
      </c>
      <c r="D126" s="3">
        <f t="shared" si="71"/>
        <v>88.687750298592292</v>
      </c>
      <c r="E126" s="3">
        <f t="shared" si="72"/>
        <v>88.687750298592292</v>
      </c>
      <c r="F126" s="6">
        <f>'Exchange Rates'!X53</f>
        <v>0.757387838338895</v>
      </c>
      <c r="G126" s="3">
        <f>(B126*USA!$AU101/100)/$AU93*100*$F126</f>
        <v>68.053360925982474</v>
      </c>
      <c r="H126" s="3">
        <f>(C126*USA!$AU101/100)/$AU93*100*$F126</f>
        <v>68.053360925982474</v>
      </c>
      <c r="I126" s="3">
        <f>(D126*USA!$AU101/100)/$AU93*100*$F126</f>
        <v>68.053360925982474</v>
      </c>
      <c r="J126" s="3">
        <f>(E126*USA!$AU101/100)/$AU93*100*$F126</f>
        <v>68.053360925982474</v>
      </c>
      <c r="K126" s="6">
        <f t="shared" si="54"/>
        <v>0.67919440875791448</v>
      </c>
      <c r="L126" s="6">
        <f t="shared" si="55"/>
        <v>0.67919440875791448</v>
      </c>
      <c r="M126" s="6">
        <f t="shared" si="56"/>
        <v>0.67919440875791448</v>
      </c>
      <c r="N126" s="6">
        <f t="shared" si="57"/>
        <v>0.67919440875791448</v>
      </c>
      <c r="O126">
        <v>2014</v>
      </c>
      <c r="P126" s="24">
        <f t="shared" si="58"/>
        <v>0.39606953151436042</v>
      </c>
      <c r="Q126" s="3">
        <f t="shared" si="59"/>
        <v>0.22580542745717769</v>
      </c>
      <c r="R126" s="3">
        <f t="shared" si="59"/>
        <v>0.22580542745717769</v>
      </c>
      <c r="S126" s="3">
        <f t="shared" si="59"/>
        <v>0.22580542745717769</v>
      </c>
      <c r="T126" s="3">
        <f t="shared" si="59"/>
        <v>0.22580542745717769</v>
      </c>
      <c r="U126" s="3">
        <f t="shared" si="60"/>
        <v>1.3009074955522983</v>
      </c>
      <c r="V126" s="3">
        <f t="shared" si="61"/>
        <v>1.3010693677294525</v>
      </c>
      <c r="W126" s="3">
        <f t="shared" si="62"/>
        <v>1.3010693677294525</v>
      </c>
      <c r="X126" s="3">
        <f t="shared" si="63"/>
        <v>1.3010693677294525</v>
      </c>
      <c r="Y126" s="9">
        <f t="shared" si="64"/>
        <v>139.05631152980123</v>
      </c>
      <c r="Z126" s="9">
        <f t="shared" si="65"/>
        <v>139.07361433416764</v>
      </c>
      <c r="AA126" s="9">
        <f t="shared" si="66"/>
        <v>139.07361433416764</v>
      </c>
      <c r="AB126" s="9">
        <f t="shared" si="67"/>
        <v>139.07361433416764</v>
      </c>
      <c r="AC126" s="3">
        <f t="shared" si="68"/>
        <v>1.3687992078925211</v>
      </c>
      <c r="AD126" s="3">
        <f t="shared" ref="AD126:AF126" si="76">AC126</f>
        <v>1.3687992078925211</v>
      </c>
      <c r="AE126" s="3">
        <f t="shared" si="76"/>
        <v>1.3687992078925211</v>
      </c>
      <c r="AF126" s="3">
        <f t="shared" si="76"/>
        <v>1.3687992078925211</v>
      </c>
      <c r="AI126" s="2"/>
      <c r="AJ126" s="2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R126" s="2"/>
      <c r="AS126" s="2"/>
      <c r="AT126" s="32"/>
      <c r="AV126" s="12"/>
      <c r="AW126" s="32"/>
      <c r="AX126" s="32"/>
      <c r="AY126" s="32"/>
      <c r="AZ126" s="7"/>
      <c r="BA126" s="3"/>
      <c r="BD126" s="9"/>
      <c r="BH126" s="9"/>
    </row>
    <row r="127" spans="1:69">
      <c r="A127">
        <v>2015</v>
      </c>
      <c r="B127" s="3">
        <f>USA!Z102/USA!AU102*100</f>
        <v>45.556296925601828</v>
      </c>
      <c r="C127" s="3">
        <f t="shared" si="70"/>
        <v>45.556296925601814</v>
      </c>
      <c r="D127" s="3">
        <f t="shared" si="71"/>
        <v>45.556296925601814</v>
      </c>
      <c r="E127" s="3">
        <f t="shared" si="72"/>
        <v>45.556296925601814</v>
      </c>
      <c r="F127" s="6">
        <f>'Exchange Rates'!X54</f>
        <v>0.90592556207997499</v>
      </c>
      <c r="G127" s="3">
        <f>(B127*USA!$AU102/100)/$AU94*100*$F127</f>
        <v>42.114504480823925</v>
      </c>
      <c r="H127" s="3">
        <f>(C127*USA!$AU102/100)/$AU94*100*$F127</f>
        <v>42.114504480823904</v>
      </c>
      <c r="I127" s="3">
        <f>(D127*USA!$AU102/100)/$AU94*100*$F127</f>
        <v>42.114504480823904</v>
      </c>
      <c r="J127" s="3">
        <f>(E127*USA!$AU102/100)/$AU94*100*$F127</f>
        <v>42.114504480823904</v>
      </c>
      <c r="K127" s="6">
        <f t="shared" si="54"/>
        <v>0.54032440670088233</v>
      </c>
      <c r="L127" s="6">
        <f t="shared" si="55"/>
        <v>0.54032440670088233</v>
      </c>
      <c r="M127" s="6">
        <f t="shared" si="56"/>
        <v>0.54032440670088233</v>
      </c>
      <c r="N127" s="6">
        <f t="shared" si="57"/>
        <v>0.54032440670088233</v>
      </c>
      <c r="O127">
        <v>2015</v>
      </c>
      <c r="P127" s="24">
        <f t="shared" si="58"/>
        <v>0.3980646052701981</v>
      </c>
      <c r="Q127" s="3">
        <f t="shared" si="59"/>
        <v>0.19706169251392688</v>
      </c>
      <c r="R127" s="3">
        <f t="shared" si="59"/>
        <v>0.19706169251392688</v>
      </c>
      <c r="S127" s="3">
        <f t="shared" si="59"/>
        <v>0.19706169251392688</v>
      </c>
      <c r="T127" s="3">
        <f t="shared" si="59"/>
        <v>0.19706169251392688</v>
      </c>
      <c r="U127" s="3">
        <f t="shared" si="60"/>
        <v>1.1564119744036603</v>
      </c>
      <c r="V127" s="3">
        <f t="shared" si="61"/>
        <v>1.1354507044850073</v>
      </c>
      <c r="W127" s="3">
        <f t="shared" si="62"/>
        <v>1.1354507044850073</v>
      </c>
      <c r="X127" s="3">
        <f t="shared" si="63"/>
        <v>1.1354507044850073</v>
      </c>
      <c r="Y127" s="9">
        <f t="shared" si="64"/>
        <v>123.61092877030259</v>
      </c>
      <c r="Z127" s="9">
        <f t="shared" si="65"/>
        <v>121.37034141890834</v>
      </c>
      <c r="AA127" s="9">
        <f t="shared" si="66"/>
        <v>121.37034141890834</v>
      </c>
      <c r="AB127" s="9">
        <f t="shared" si="67"/>
        <v>121.37034141890834</v>
      </c>
      <c r="AC127" s="3">
        <f t="shared" si="68"/>
        <v>1.2167627598218582</v>
      </c>
      <c r="AD127" s="3">
        <f t="shared" ref="AD127:AF127" si="77">AC127</f>
        <v>1.2167627598218582</v>
      </c>
      <c r="AE127" s="3">
        <f t="shared" si="77"/>
        <v>1.2167627598218582</v>
      </c>
      <c r="AF127" s="3">
        <f t="shared" si="77"/>
        <v>1.2167627598218582</v>
      </c>
      <c r="AI127" s="2"/>
      <c r="AJ127" s="2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R127" s="2"/>
      <c r="AS127" s="2"/>
      <c r="AT127" s="32"/>
      <c r="AV127" s="12"/>
      <c r="AW127" s="32"/>
      <c r="AX127" s="32"/>
      <c r="AY127" s="32"/>
      <c r="AZ127" s="7"/>
      <c r="BA127" s="3"/>
      <c r="BD127" s="9"/>
      <c r="BH127" s="9"/>
    </row>
    <row r="128" spans="1:69">
      <c r="A128">
        <v>2016</v>
      </c>
      <c r="B128" s="3">
        <f>USA!Z103/USA!AU103*100</f>
        <v>36.957692605914716</v>
      </c>
      <c r="C128" s="3">
        <f t="shared" si="70"/>
        <v>36.957692605914716</v>
      </c>
      <c r="D128" s="3">
        <f t="shared" si="71"/>
        <v>36.957692605914716</v>
      </c>
      <c r="E128" s="3">
        <f t="shared" si="72"/>
        <v>36.957692605914716</v>
      </c>
      <c r="F128" s="6">
        <f>'Exchange Rates'!X55</f>
        <v>0.90674707708863456</v>
      </c>
      <c r="G128" s="3">
        <f>(B128*USA!$AU103/100)/$AU95*100*$F128</f>
        <v>35.747522790069631</v>
      </c>
      <c r="H128" s="3">
        <f>(C128*USA!$AU103/100)/$AU95*100*$F128</f>
        <v>35.747522790069631</v>
      </c>
      <c r="I128" s="3">
        <f>(D128*USA!$AU103/100)/$AU95*100*$F128</f>
        <v>35.747522790069631</v>
      </c>
      <c r="J128" s="3">
        <f>(E128*USA!$AU103/100)/$AU95*100*$F128</f>
        <v>35.747522790069631</v>
      </c>
      <c r="K128" s="6">
        <f t="shared" si="54"/>
        <v>0.50623721544935107</v>
      </c>
      <c r="L128" s="6">
        <f t="shared" si="55"/>
        <v>0.50623721544935107</v>
      </c>
      <c r="M128" s="6">
        <f t="shared" si="56"/>
        <v>0.50623721544935107</v>
      </c>
      <c r="N128" s="6">
        <f t="shared" si="57"/>
        <v>0.50623721544935107</v>
      </c>
      <c r="O128">
        <v>2016</v>
      </c>
      <c r="P128" s="24">
        <f t="shared" si="58"/>
        <v>0.41086803420284568</v>
      </c>
      <c r="Q128" s="3">
        <f t="shared" si="59"/>
        <v>0.19259210242696131</v>
      </c>
      <c r="R128" s="3">
        <f t="shared" si="59"/>
        <v>0.19259210242696131</v>
      </c>
      <c r="S128" s="3">
        <f t="shared" si="59"/>
        <v>0.19259210242696131</v>
      </c>
      <c r="T128" s="3">
        <f t="shared" si="59"/>
        <v>0.19259210242696131</v>
      </c>
      <c r="U128" s="3">
        <f t="shared" si="60"/>
        <v>1.1138622716955326</v>
      </c>
      <c r="V128" s="3">
        <f t="shared" si="61"/>
        <v>1.109697352079158</v>
      </c>
      <c r="W128" s="3">
        <f t="shared" si="62"/>
        <v>1.109697352079158</v>
      </c>
      <c r="X128" s="3">
        <f t="shared" si="63"/>
        <v>1.109697352079158</v>
      </c>
      <c r="Y128" s="9">
        <f t="shared" si="64"/>
        <v>119.06271551493211</v>
      </c>
      <c r="Z128" s="9">
        <f t="shared" si="65"/>
        <v>118.61751986370301</v>
      </c>
      <c r="AA128" s="9">
        <f t="shared" si="66"/>
        <v>118.61751986370301</v>
      </c>
      <c r="AB128" s="9">
        <f t="shared" si="67"/>
        <v>118.61751986370301</v>
      </c>
      <c r="AC128" s="3">
        <f t="shared" si="68"/>
        <v>1.1719924748000006</v>
      </c>
      <c r="AD128" s="3">
        <f t="shared" ref="AD128:AF128" si="78">AC128</f>
        <v>1.1719924748000006</v>
      </c>
      <c r="AE128" s="3">
        <f t="shared" si="78"/>
        <v>1.1719924748000006</v>
      </c>
      <c r="AF128" s="3">
        <f t="shared" si="78"/>
        <v>1.1719924748000006</v>
      </c>
      <c r="AI128" s="2"/>
      <c r="AJ128" s="2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R128" s="2"/>
      <c r="AS128" s="2"/>
      <c r="AT128" s="32"/>
      <c r="AV128" s="12"/>
      <c r="AW128" s="32"/>
      <c r="AX128" s="32"/>
      <c r="AY128" s="32"/>
      <c r="AZ128" s="7"/>
      <c r="BA128" s="3"/>
      <c r="BD128" s="9"/>
      <c r="BH128" s="9"/>
    </row>
    <row r="129" spans="1:60">
      <c r="A129">
        <v>2017</v>
      </c>
      <c r="B129" s="3">
        <f>USA!Z104/USA!AU104*100</f>
        <v>46.705738720797434</v>
      </c>
      <c r="C129" s="3">
        <f t="shared" si="70"/>
        <v>46.705738720797434</v>
      </c>
      <c r="D129" s="3">
        <f t="shared" si="71"/>
        <v>46.705738720797434</v>
      </c>
      <c r="E129" s="3">
        <f t="shared" si="72"/>
        <v>46.705738720797434</v>
      </c>
      <c r="F129" s="6">
        <f>'Exchange Rates'!X56</f>
        <v>0.88700000000000001</v>
      </c>
      <c r="G129" s="3">
        <f>(B129*USA!$AU104/100)/$AU96*100*$F129</f>
        <v>44.266206832415762</v>
      </c>
      <c r="H129" s="3">
        <f>(C129*USA!$AU104/100)/$AU96*100*$F129</f>
        <v>44.266206832415762</v>
      </c>
      <c r="I129" s="3">
        <f>(D129*USA!$AU104/100)/$AU96*100*$F129</f>
        <v>44.266206832415762</v>
      </c>
      <c r="J129" s="3">
        <f>(E129*USA!$AU104/100)/$AU96*100*$F129</f>
        <v>44.266206832415762</v>
      </c>
      <c r="K129" s="6">
        <f t="shared" si="54"/>
        <v>0.55184407067001051</v>
      </c>
      <c r="L129" s="6">
        <f t="shared" si="55"/>
        <v>0.55184407067001051</v>
      </c>
      <c r="M129" s="6">
        <f t="shared" si="56"/>
        <v>0.55184407067001051</v>
      </c>
      <c r="N129" s="6">
        <f t="shared" si="57"/>
        <v>0.55184407067001051</v>
      </c>
      <c r="O129">
        <v>2017</v>
      </c>
      <c r="P129" s="24">
        <f t="shared" si="58"/>
        <v>0.40296982562068029</v>
      </c>
      <c r="Q129" s="3">
        <f t="shared" si="59"/>
        <v>0.20051091822104505</v>
      </c>
      <c r="R129" s="3">
        <f t="shared" si="59"/>
        <v>0.20051091822104505</v>
      </c>
      <c r="S129" s="3">
        <f t="shared" si="59"/>
        <v>0.20051091822104505</v>
      </c>
      <c r="T129" s="3">
        <f t="shared" si="59"/>
        <v>0.20051091822104505</v>
      </c>
      <c r="U129" s="3">
        <f t="shared" si="60"/>
        <v>1.1565232094512456</v>
      </c>
      <c r="V129" s="3">
        <f t="shared" si="61"/>
        <v>1.1553248145117359</v>
      </c>
      <c r="W129" s="3">
        <f t="shared" si="62"/>
        <v>1.1553248145117359</v>
      </c>
      <c r="X129" s="3">
        <f t="shared" si="63"/>
        <v>1.1553248145117359</v>
      </c>
      <c r="Y129" s="9">
        <f t="shared" si="64"/>
        <v>123.62281888199998</v>
      </c>
      <c r="Z129" s="9">
        <f t="shared" si="65"/>
        <v>123.49472031956263</v>
      </c>
      <c r="AA129" s="9">
        <f t="shared" si="66"/>
        <v>123.49472031956263</v>
      </c>
      <c r="AB129" s="9">
        <f t="shared" si="67"/>
        <v>123.49472031956263</v>
      </c>
      <c r="AC129" s="3">
        <f t="shared" si="68"/>
        <v>1.2168797999999996</v>
      </c>
      <c r="AD129" s="3">
        <f t="shared" ref="AD129:AF129" si="79">AC129</f>
        <v>1.2168797999999996</v>
      </c>
      <c r="AE129" s="3">
        <f t="shared" si="79"/>
        <v>1.2168797999999996</v>
      </c>
      <c r="AF129" s="3">
        <f t="shared" si="79"/>
        <v>1.2168797999999996</v>
      </c>
      <c r="AI129" s="2"/>
      <c r="AJ129" s="2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R129" s="2"/>
      <c r="AS129" s="2"/>
      <c r="AT129" s="32"/>
      <c r="AV129" s="12"/>
      <c r="AW129" s="32"/>
      <c r="AX129" s="32"/>
      <c r="AY129" s="32"/>
      <c r="AZ129" s="7"/>
      <c r="BA129" s="3"/>
      <c r="BD129" s="9"/>
      <c r="BH129" s="9"/>
    </row>
    <row r="130" spans="1:60">
      <c r="A130">
        <v>2018</v>
      </c>
      <c r="B130" s="3">
        <f>USA!Z105/USA!AU105*100</f>
        <v>60.818458312139953</v>
      </c>
      <c r="C130" s="3">
        <f t="shared" si="70"/>
        <v>60.818458312139953</v>
      </c>
      <c r="D130" s="3">
        <f t="shared" si="71"/>
        <v>60.818458312139953</v>
      </c>
      <c r="E130" s="3">
        <f t="shared" si="72"/>
        <v>60.818458312139953</v>
      </c>
      <c r="F130" s="6">
        <f>'Exchange Rates'!X57</f>
        <v>0.84599999999999997</v>
      </c>
      <c r="G130" s="3">
        <f>(B130*USA!$AU105/100)/$AU97*100*$F130</f>
        <v>55.563273466958677</v>
      </c>
      <c r="H130" s="3">
        <f>(C130*USA!$AU105/100)/$AU97*100*$F130</f>
        <v>55.563273466958677</v>
      </c>
      <c r="I130" s="3">
        <f>(D130*USA!$AU105/100)/$AU97*100*$F130</f>
        <v>55.563273466958677</v>
      </c>
      <c r="J130" s="3">
        <f>(E130*USA!$AU105/100)/$AU97*100*$F130</f>
        <v>55.563273466958677</v>
      </c>
      <c r="K130" s="6">
        <f>T$111+T$112*G130</f>
        <v>0.61232567555857997</v>
      </c>
      <c r="L130" s="6">
        <f t="shared" ref="L130:L142" si="80">T$111+T$112*H130</f>
        <v>0.61232567555857997</v>
      </c>
      <c r="M130" s="6">
        <f t="shared" ref="M130:M142" si="81">T$111+T$112*I130</f>
        <v>0.61232567555857997</v>
      </c>
      <c r="N130" s="6">
        <f t="shared" ref="N130:N142" si="82">T$111+T$112*J130</f>
        <v>0.61232567555857997</v>
      </c>
      <c r="O130">
        <v>2018</v>
      </c>
      <c r="P130" s="24">
        <f t="shared" si="58"/>
        <v>0.39666288573745473</v>
      </c>
      <c r="Q130" s="3">
        <f>(K130+$P130)*$AA97</f>
        <v>0.21188759787216729</v>
      </c>
      <c r="R130" s="3">
        <f t="shared" ref="R130:R142" si="83">(L130+P130)*$T$120</f>
        <v>0.21188759787216729</v>
      </c>
      <c r="S130" s="3">
        <f t="shared" ref="S130:S142" si="84">(M130+P130)*$T$120</f>
        <v>0.21188759787216729</v>
      </c>
      <c r="T130" s="3">
        <f t="shared" ref="T130:T142" si="85">(N130+P130)*$T$120</f>
        <v>0.21188759787216729</v>
      </c>
      <c r="U130" s="3">
        <f t="shared" si="60"/>
        <v>1.205892593668819</v>
      </c>
      <c r="V130" s="3">
        <f t="shared" si="61"/>
        <v>1.220876159168202</v>
      </c>
      <c r="W130" s="3">
        <f t="shared" si="62"/>
        <v>1.220876159168202</v>
      </c>
      <c r="X130" s="3">
        <f t="shared" si="63"/>
        <v>1.220876159168202</v>
      </c>
      <c r="Y130" s="9">
        <f t="shared" si="64"/>
        <v>128.90000000000003</v>
      </c>
      <c r="Z130" s="9">
        <f t="shared" si="65"/>
        <v>130.50161991458498</v>
      </c>
      <c r="AA130" s="9">
        <f t="shared" si="66"/>
        <v>130.50161991458498</v>
      </c>
      <c r="AB130" s="9">
        <f t="shared" si="67"/>
        <v>130.50161991458498</v>
      </c>
      <c r="AC130" s="3">
        <f t="shared" si="68"/>
        <v>1.2688256718180926</v>
      </c>
      <c r="AD130" s="3">
        <f t="shared" ref="AD130:AD141" si="86">V130*$AU$96/100</f>
        <v>1.2845911990804699</v>
      </c>
      <c r="AE130" s="3">
        <f t="shared" ref="AE130:AE141" si="87">W130*$AU$96/100</f>
        <v>1.2845911990804699</v>
      </c>
      <c r="AF130" s="3">
        <f t="shared" ref="AF130:AF141" si="88">X130*$AU$96/100</f>
        <v>1.2845911990804699</v>
      </c>
      <c r="AI130" s="2"/>
      <c r="AJ130" s="2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R130" s="2"/>
      <c r="AS130" s="2"/>
      <c r="AT130" s="32"/>
      <c r="AV130" s="12"/>
      <c r="AW130" s="32"/>
      <c r="AX130" s="32"/>
      <c r="AY130" s="32"/>
      <c r="AZ130" s="7"/>
      <c r="BA130" s="3"/>
      <c r="BD130" s="9"/>
      <c r="BH130" s="9"/>
    </row>
    <row r="131" spans="1:60">
      <c r="A131">
        <v>2019</v>
      </c>
      <c r="B131" s="3"/>
      <c r="C131" s="3">
        <f>AK131</f>
        <v>90.611761513694489</v>
      </c>
      <c r="D131" s="3">
        <f t="shared" si="71"/>
        <v>56.019786702864394</v>
      </c>
      <c r="E131" s="3">
        <f t="shared" si="72"/>
        <v>25.889074718198426</v>
      </c>
      <c r="F131" s="6">
        <f>'Exchange Rates'!X58</f>
        <v>0.86199999999999999</v>
      </c>
      <c r="G131" s="3"/>
      <c r="H131" s="3">
        <f>(C131*USA!$AU106/100)/$AU98*100*$F131</f>
        <v>84.34782590720306</v>
      </c>
      <c r="I131" s="3">
        <f>(D131*USA!$AU106/100)/$AU98*100*$F131</f>
        <v>52.147173139965119</v>
      </c>
      <c r="J131" s="3">
        <f>(E131*USA!$AU106/100)/$AU98*100*$F131</f>
        <v>24.099378830629444</v>
      </c>
      <c r="K131" s="6"/>
      <c r="L131" s="6">
        <f t="shared" si="80"/>
        <v>0.76643080602332647</v>
      </c>
      <c r="M131" s="6">
        <f t="shared" si="81"/>
        <v>0.59403674827145703</v>
      </c>
      <c r="N131" s="6">
        <f t="shared" si="82"/>
        <v>0.44387603237144468</v>
      </c>
      <c r="O131">
        <v>2019</v>
      </c>
      <c r="P131" s="3">
        <f t="shared" ref="P131:P142" si="89">P130</f>
        <v>0.39666288573745473</v>
      </c>
      <c r="Q131" s="3"/>
      <c r="R131" s="3">
        <f t="shared" si="83"/>
        <v>0.24424967526976404</v>
      </c>
      <c r="S131" s="3">
        <f t="shared" si="84"/>
        <v>0.20804692314187148</v>
      </c>
      <c r="T131" s="3">
        <f t="shared" si="85"/>
        <v>0.17651317280286885</v>
      </c>
      <c r="U131" s="3"/>
      <c r="V131" s="3">
        <f t="shared" si="61"/>
        <v>1.4073433670305453</v>
      </c>
      <c r="W131" s="3">
        <f t="shared" si="62"/>
        <v>1.1987465571507834</v>
      </c>
      <c r="X131" s="3">
        <f t="shared" si="63"/>
        <v>1.0170520909117682</v>
      </c>
      <c r="Y131" s="9"/>
      <c r="Z131" s="9">
        <f t="shared" si="65"/>
        <v>150.43343077373441</v>
      </c>
      <c r="AA131" s="9">
        <f t="shared" si="66"/>
        <v>128.13614747116713</v>
      </c>
      <c r="AB131" s="9">
        <f t="shared" si="67"/>
        <v>108.71450343655657</v>
      </c>
      <c r="AC131" s="3"/>
      <c r="AD131" s="3">
        <f t="shared" si="86"/>
        <v>1.4807897507011949</v>
      </c>
      <c r="AE131" s="3">
        <f t="shared" si="87"/>
        <v>1.26130669821013</v>
      </c>
      <c r="AF131" s="3">
        <f t="shared" si="88"/>
        <v>1.0701299678763321</v>
      </c>
      <c r="AI131" s="2"/>
      <c r="AJ131" s="2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R131" s="2"/>
      <c r="AS131" s="2"/>
      <c r="AT131" s="32"/>
      <c r="AV131" s="12"/>
      <c r="AW131" s="32"/>
      <c r="AX131" s="32"/>
      <c r="AY131" s="32"/>
      <c r="AZ131" s="7"/>
      <c r="BA131" s="3"/>
      <c r="BD131" s="9"/>
      <c r="BH131" s="9"/>
    </row>
    <row r="132" spans="1:60">
      <c r="A132">
        <v>2020</v>
      </c>
      <c r="B132" s="3"/>
      <c r="C132" s="3">
        <f t="shared" si="70"/>
        <v>105.28223718734027</v>
      </c>
      <c r="D132" s="3">
        <f t="shared" si="71"/>
        <v>56.251630823658907</v>
      </c>
      <c r="E132" s="3">
        <f t="shared" si="72"/>
        <v>26.752043875471706</v>
      </c>
      <c r="F132" s="6">
        <f>'Exchange Rates'!X59</f>
        <v>0.86199999999999999</v>
      </c>
      <c r="G132" s="3"/>
      <c r="H132" s="3">
        <f>(C132*USA!$AU107/100)/$AU99*100*$F132</f>
        <v>98.004140577893097</v>
      </c>
      <c r="I132" s="3">
        <f>(D132*USA!$AU107/100)/$AU99*100*$F132</f>
        <v>52.362990018609835</v>
      </c>
      <c r="J132" s="3">
        <f>(E132*USA!$AU107/100)/$AU99*100*$F132</f>
        <v>24.902691458317086</v>
      </c>
      <c r="K132" s="6"/>
      <c r="L132" s="6">
        <f t="shared" si="80"/>
        <v>0.83954322138441961</v>
      </c>
      <c r="M132" s="6">
        <f t="shared" si="81"/>
        <v>0.59519217663217527</v>
      </c>
      <c r="N132" s="6">
        <f t="shared" si="82"/>
        <v>0.44817676268680307</v>
      </c>
      <c r="O132">
        <v>2020</v>
      </c>
      <c r="P132" s="3">
        <f t="shared" si="89"/>
        <v>0.39666288573745473</v>
      </c>
      <c r="Q132" s="3"/>
      <c r="R132" s="3">
        <f t="shared" si="83"/>
        <v>0.25960328249559361</v>
      </c>
      <c r="S132" s="3">
        <f t="shared" si="84"/>
        <v>0.20828956309762231</v>
      </c>
      <c r="T132" s="3">
        <f t="shared" si="85"/>
        <v>0.17741632616909411</v>
      </c>
      <c r="U132" s="3"/>
      <c r="V132" s="3">
        <f t="shared" si="61"/>
        <v>1.495809389617468</v>
      </c>
      <c r="W132" s="3">
        <f t="shared" si="62"/>
        <v>1.2001446254672523</v>
      </c>
      <c r="X132" s="3">
        <f t="shared" si="63"/>
        <v>1.0222559745933519</v>
      </c>
      <c r="Y132" s="9"/>
      <c r="Z132" s="9">
        <f t="shared" si="65"/>
        <v>159.88972097016139</v>
      </c>
      <c r="AA132" s="9">
        <f t="shared" si="66"/>
        <v>128.28558947532156</v>
      </c>
      <c r="AB132" s="9">
        <f t="shared" si="67"/>
        <v>109.2707558010523</v>
      </c>
      <c r="AC132" s="3"/>
      <c r="AD132" s="3">
        <f t="shared" si="86"/>
        <v>1.573872634808164</v>
      </c>
      <c r="AE132" s="3">
        <f t="shared" si="87"/>
        <v>1.2627777288642734</v>
      </c>
      <c r="AF132" s="3">
        <f t="shared" si="88"/>
        <v>1.0756054316473302</v>
      </c>
      <c r="AI132" s="2"/>
      <c r="AJ132" s="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R132" s="2"/>
      <c r="AS132" s="2"/>
      <c r="AT132" s="32"/>
      <c r="AV132" s="12"/>
      <c r="AW132" s="32"/>
      <c r="AX132" s="32"/>
      <c r="AY132" s="32"/>
      <c r="AZ132" s="7"/>
      <c r="BA132" s="3"/>
      <c r="BD132" s="9"/>
      <c r="BH132" s="9"/>
    </row>
    <row r="133" spans="1:60">
      <c r="A133">
        <v>2021</v>
      </c>
      <c r="B133" s="3"/>
      <c r="C133" s="3">
        <f t="shared" si="70"/>
        <v>120.81568201825931</v>
      </c>
      <c r="D133" s="3">
        <f t="shared" si="71"/>
        <v>63.082289986431647</v>
      </c>
      <c r="E133" s="3">
        <f t="shared" si="72"/>
        <v>28.477982190018274</v>
      </c>
      <c r="F133" s="6">
        <f>'Exchange Rates'!X60</f>
        <v>0.86199999999999999</v>
      </c>
      <c r="G133" s="3"/>
      <c r="H133" s="3">
        <f>(C133*USA!$AU108/100)/$AU100*100*$F133</f>
        <v>112.46376787627071</v>
      </c>
      <c r="I133" s="3">
        <f>(D133*USA!$AU108/100)/$AU100*100*$F133</f>
        <v>58.721449894769734</v>
      </c>
      <c r="J133" s="3">
        <f>(E133*USA!$AU108/100)/$AU100*100*$F133</f>
        <v>26.509316713692396</v>
      </c>
      <c r="K133" s="6"/>
      <c r="L133" s="6">
        <f t="shared" si="80"/>
        <v>0.91695636706087091</v>
      </c>
      <c r="M133" s="6">
        <f t="shared" si="81"/>
        <v>0.62923374426831113</v>
      </c>
      <c r="N133" s="6">
        <f t="shared" si="82"/>
        <v>0.45677822331751994</v>
      </c>
      <c r="O133">
        <v>2021</v>
      </c>
      <c r="P133" s="3">
        <f t="shared" si="89"/>
        <v>0.39666288573745473</v>
      </c>
      <c r="Q133" s="3"/>
      <c r="R133" s="3">
        <f t="shared" si="83"/>
        <v>0.27586004308764839</v>
      </c>
      <c r="S133" s="3">
        <f t="shared" si="84"/>
        <v>0.21543829230121084</v>
      </c>
      <c r="T133" s="3">
        <f t="shared" si="85"/>
        <v>0.17922263290154469</v>
      </c>
      <c r="U133" s="3"/>
      <c r="V133" s="3">
        <f t="shared" si="61"/>
        <v>1.589479295885974</v>
      </c>
      <c r="W133" s="3">
        <f t="shared" si="62"/>
        <v>1.2413349223069767</v>
      </c>
      <c r="X133" s="3">
        <f t="shared" si="63"/>
        <v>1.0326637419565194</v>
      </c>
      <c r="Y133" s="9"/>
      <c r="Z133" s="9">
        <f t="shared" si="65"/>
        <v>169.90226353108403</v>
      </c>
      <c r="AA133" s="9">
        <f t="shared" si="66"/>
        <v>132.68849342424377</v>
      </c>
      <c r="AB133" s="9">
        <f t="shared" si="67"/>
        <v>110.3832605300437</v>
      </c>
      <c r="AC133" s="3"/>
      <c r="AD133" s="3">
        <f t="shared" si="86"/>
        <v>1.6724309826861303</v>
      </c>
      <c r="AE133" s="3">
        <f t="shared" si="87"/>
        <v>1.3061176633944656</v>
      </c>
      <c r="AF133" s="3">
        <f t="shared" si="88"/>
        <v>1.0865563591893268</v>
      </c>
      <c r="AI133" s="2"/>
      <c r="AJ133" s="2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R133" s="2"/>
      <c r="AS133" s="2"/>
      <c r="AT133" s="32"/>
      <c r="AV133" s="12"/>
      <c r="AW133" s="32"/>
      <c r="AX133" s="32"/>
      <c r="AY133" s="32"/>
      <c r="AZ133" s="7"/>
      <c r="BA133" s="3"/>
      <c r="BD133" s="9"/>
      <c r="BH133" s="9"/>
    </row>
    <row r="134" spans="1:60">
      <c r="A134">
        <v>2022</v>
      </c>
      <c r="B134" s="3"/>
      <c r="C134" s="3">
        <f t="shared" si="70"/>
        <v>127.71943527644558</v>
      </c>
      <c r="D134" s="3">
        <f t="shared" si="71"/>
        <v>68.168185410991157</v>
      </c>
      <c r="E134" s="3">
        <f t="shared" si="72"/>
        <v>29.340951347291547</v>
      </c>
      <c r="F134" s="6">
        <f>'Exchange Rates'!X61</f>
        <v>0.86199999999999999</v>
      </c>
      <c r="G134" s="3"/>
      <c r="H134" s="3">
        <f>(C134*USA!$AU109/100)/$AU101*100*$F134</f>
        <v>118.89026889777196</v>
      </c>
      <c r="I134" s="3">
        <f>(D134*USA!$AU109/100)/$AU101*100*$F134</f>
        <v>63.455760481901976</v>
      </c>
      <c r="J134" s="3">
        <f>(E134*USA!$AU109/100)/$AU101*100*$F134</f>
        <v>27.312629341380038</v>
      </c>
      <c r="K134" s="6"/>
      <c r="L134" s="6">
        <f t="shared" si="80"/>
        <v>0.95136220958373885</v>
      </c>
      <c r="M134" s="6">
        <f t="shared" si="81"/>
        <v>0.65458003208033211</v>
      </c>
      <c r="N134" s="6">
        <f t="shared" si="82"/>
        <v>0.46107895363287837</v>
      </c>
      <c r="O134">
        <v>2022</v>
      </c>
      <c r="P134" s="3">
        <f t="shared" si="89"/>
        <v>0.39666288573745473</v>
      </c>
      <c r="Q134" s="3"/>
      <c r="R134" s="3">
        <f t="shared" si="83"/>
        <v>0.28308527001745065</v>
      </c>
      <c r="S134" s="3">
        <f t="shared" si="84"/>
        <v>0.22076101274173524</v>
      </c>
      <c r="T134" s="3">
        <f t="shared" si="85"/>
        <v>0.18012578626776996</v>
      </c>
      <c r="U134" s="3"/>
      <c r="V134" s="3">
        <f t="shared" si="61"/>
        <v>1.6311103653386443</v>
      </c>
      <c r="W134" s="3">
        <f t="shared" si="62"/>
        <v>1.2720039305595221</v>
      </c>
      <c r="X134" s="3">
        <f t="shared" si="63"/>
        <v>1.037867625638103</v>
      </c>
      <c r="Y134" s="9"/>
      <c r="Z134" s="9">
        <f t="shared" si="65"/>
        <v>174.35228244704973</v>
      </c>
      <c r="AA134" s="9">
        <f t="shared" si="66"/>
        <v>135.96675815902063</v>
      </c>
      <c r="AB134" s="9">
        <f t="shared" si="67"/>
        <v>110.9395128945394</v>
      </c>
      <c r="AC134" s="3"/>
      <c r="AD134" s="3">
        <f t="shared" si="86"/>
        <v>1.7162346928541166</v>
      </c>
      <c r="AE134" s="3">
        <f t="shared" si="87"/>
        <v>1.3383872247172024</v>
      </c>
      <c r="AF134" s="3">
        <f t="shared" si="88"/>
        <v>1.0920318229603247</v>
      </c>
      <c r="AI134" s="2"/>
      <c r="AJ134" s="2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R134" s="2"/>
      <c r="AS134" s="2"/>
      <c r="AT134" s="32"/>
      <c r="AV134" s="12"/>
      <c r="AW134" s="32"/>
      <c r="AX134" s="32"/>
      <c r="AY134" s="32"/>
      <c r="AZ134" s="7"/>
      <c r="BA134" s="3"/>
      <c r="BD134" s="9"/>
      <c r="BH134" s="9"/>
    </row>
    <row r="135" spans="1:60">
      <c r="A135">
        <v>2023</v>
      </c>
      <c r="B135" s="3"/>
      <c r="C135" s="3">
        <f t="shared" si="70"/>
        <v>132.89725022008525</v>
      </c>
      <c r="D135" s="3">
        <f t="shared" si="71"/>
        <v>70.508542947524788</v>
      </c>
      <c r="E135" s="3">
        <f t="shared" si="72"/>
        <v>29.340951347291547</v>
      </c>
      <c r="F135" s="6">
        <f>'Exchange Rates'!X62</f>
        <v>0.86199999999999999</v>
      </c>
      <c r="G135" s="3"/>
      <c r="H135" s="3">
        <f>(C135*USA!$AU110/100)/$AU102*100*$F135</f>
        <v>123.71014466389784</v>
      </c>
      <c r="I135" s="3">
        <f>(D135*USA!$AU110/100)/$AU102*100*$F135</f>
        <v>65.63433053455806</v>
      </c>
      <c r="J135" s="3">
        <f>(E135*USA!$AU110/100)/$AU102*100*$F135</f>
        <v>27.312629341380038</v>
      </c>
      <c r="K135" s="6"/>
      <c r="L135" s="6">
        <f t="shared" si="80"/>
        <v>0.97716659147588913</v>
      </c>
      <c r="M135" s="6">
        <f t="shared" si="81"/>
        <v>0.66624353884800247</v>
      </c>
      <c r="N135" s="6">
        <f t="shared" si="82"/>
        <v>0.46107895363287837</v>
      </c>
      <c r="O135">
        <v>2023</v>
      </c>
      <c r="P135" s="3">
        <f t="shared" si="89"/>
        <v>0.39666288573745473</v>
      </c>
      <c r="Q135" s="3"/>
      <c r="R135" s="3">
        <f t="shared" si="83"/>
        <v>0.28850419021480223</v>
      </c>
      <c r="S135" s="3">
        <f t="shared" si="84"/>
        <v>0.22321034916294599</v>
      </c>
      <c r="T135" s="3">
        <f t="shared" si="85"/>
        <v>0.18012578626776996</v>
      </c>
      <c r="U135" s="3"/>
      <c r="V135" s="3">
        <f t="shared" si="61"/>
        <v>1.6623336674281461</v>
      </c>
      <c r="W135" s="3">
        <f t="shared" si="62"/>
        <v>1.2861167737484032</v>
      </c>
      <c r="X135" s="3">
        <f t="shared" si="63"/>
        <v>1.037867625638103</v>
      </c>
      <c r="Y135" s="9"/>
      <c r="Z135" s="9">
        <f t="shared" si="65"/>
        <v>177.68979663402393</v>
      </c>
      <c r="AA135" s="9">
        <f t="shared" si="66"/>
        <v>137.47530502015707</v>
      </c>
      <c r="AB135" s="9">
        <f t="shared" si="67"/>
        <v>110.9395128945394</v>
      </c>
      <c r="AC135" s="3"/>
      <c r="AD135" s="3">
        <f t="shared" si="86"/>
        <v>1.7490874754801053</v>
      </c>
      <c r="AE135" s="3">
        <f t="shared" si="87"/>
        <v>1.3532365884452904</v>
      </c>
      <c r="AF135" s="3">
        <f t="shared" si="88"/>
        <v>1.0920318229603247</v>
      </c>
      <c r="AI135" s="2"/>
      <c r="AJ135" s="2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R135" s="2"/>
      <c r="AS135" s="2"/>
      <c r="AT135" s="32"/>
      <c r="AV135" s="12"/>
      <c r="AW135" s="32"/>
      <c r="AX135" s="32"/>
      <c r="AY135" s="32"/>
      <c r="AZ135" s="7"/>
      <c r="BA135" s="3"/>
      <c r="BD135" s="9"/>
      <c r="BH135" s="9"/>
    </row>
    <row r="136" spans="1:60">
      <c r="A136">
        <v>2024</v>
      </c>
      <c r="B136" s="3"/>
      <c r="C136" s="3">
        <f t="shared" si="70"/>
        <v>137.21209600645167</v>
      </c>
      <c r="D136" s="3">
        <f t="shared" si="71"/>
        <v>71.127304204880986</v>
      </c>
      <c r="E136" s="3">
        <f t="shared" si="72"/>
        <v>29.340951347291547</v>
      </c>
      <c r="F136" s="6">
        <f>'Exchange Rates'!X63</f>
        <v>0.86199999999999999</v>
      </c>
      <c r="G136" s="3"/>
      <c r="H136" s="3">
        <f>(C136*USA!$AU111/100)/$AU103*100*$F136</f>
        <v>127.72670780233608</v>
      </c>
      <c r="I136" s="3">
        <f>(D136*USA!$AU111/100)/$AU103*100*$F136</f>
        <v>66.210317204960816</v>
      </c>
      <c r="J136" s="3">
        <f>(E136*USA!$AU111/100)/$AU103*100*$F136</f>
        <v>27.312629341380038</v>
      </c>
      <c r="K136" s="6"/>
      <c r="L136" s="6">
        <f t="shared" si="80"/>
        <v>0.99867024305268126</v>
      </c>
      <c r="M136" s="6">
        <f t="shared" si="81"/>
        <v>0.66932722413971024</v>
      </c>
      <c r="N136" s="6">
        <f t="shared" si="82"/>
        <v>0.46107895363287837</v>
      </c>
      <c r="O136">
        <v>2024</v>
      </c>
      <c r="P136" s="3">
        <f t="shared" si="89"/>
        <v>0.39666288573745473</v>
      </c>
      <c r="Q136" s="3"/>
      <c r="R136" s="3">
        <f t="shared" si="83"/>
        <v>0.29301995704592854</v>
      </c>
      <c r="S136" s="3">
        <f t="shared" si="84"/>
        <v>0.22385792307420463</v>
      </c>
      <c r="T136" s="3">
        <f t="shared" si="85"/>
        <v>0.18012578626776996</v>
      </c>
      <c r="U136" s="3"/>
      <c r="V136" s="3">
        <f t="shared" si="61"/>
        <v>1.6883530858360647</v>
      </c>
      <c r="W136" s="3">
        <f t="shared" si="62"/>
        <v>1.2898480329513695</v>
      </c>
      <c r="X136" s="3">
        <f t="shared" si="63"/>
        <v>1.037867625638103</v>
      </c>
      <c r="Y136" s="9"/>
      <c r="Z136" s="9">
        <f t="shared" si="65"/>
        <v>180.47105845650245</v>
      </c>
      <c r="AA136" s="9">
        <f t="shared" si="66"/>
        <v>137.87414593997653</v>
      </c>
      <c r="AB136" s="9">
        <f t="shared" si="67"/>
        <v>110.9395128945394</v>
      </c>
      <c r="AC136" s="3"/>
      <c r="AD136" s="3">
        <f t="shared" si="86"/>
        <v>1.7764647943350962</v>
      </c>
      <c r="AE136" s="3">
        <f t="shared" si="87"/>
        <v>1.3571625744657596</v>
      </c>
      <c r="AF136" s="3">
        <f t="shared" si="88"/>
        <v>1.0920318229603247</v>
      </c>
      <c r="AI136" s="2"/>
      <c r="AJ136" s="2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R136" s="2"/>
      <c r="AS136" s="2"/>
      <c r="AT136" s="32"/>
      <c r="AV136" s="12"/>
      <c r="AW136" s="32"/>
      <c r="AX136" s="32"/>
      <c r="AY136" s="32"/>
      <c r="AZ136" s="7"/>
      <c r="BA136" s="3"/>
      <c r="BD136" s="9"/>
      <c r="BH136" s="9"/>
    </row>
    <row r="137" spans="1:60">
      <c r="A137">
        <v>2025</v>
      </c>
      <c r="B137" s="3"/>
      <c r="C137" s="3">
        <f t="shared" si="70"/>
        <v>141.52694179281806</v>
      </c>
      <c r="D137" s="3">
        <f t="shared" si="71"/>
        <v>74.364924740814473</v>
      </c>
      <c r="E137" s="3">
        <f t="shared" si="72"/>
        <v>30.203920504564827</v>
      </c>
      <c r="F137" s="6">
        <f>'Exchange Rates'!X64</f>
        <v>0.86199999999999999</v>
      </c>
      <c r="G137" s="3"/>
      <c r="H137" s="3">
        <f>(C137*USA!$AU112/100)/$AU104*100*$F137</f>
        <v>131.74327094077429</v>
      </c>
      <c r="I137" s="3">
        <f>(D137*USA!$AU112/100)/$AU104*100*$F137</f>
        <v>69.224123015117499</v>
      </c>
      <c r="J137" s="3">
        <f>(E137*USA!$AU112/100)/$AU104*100*$F137</f>
        <v>28.115941969067677</v>
      </c>
      <c r="K137" s="6"/>
      <c r="L137" s="6">
        <f t="shared" si="80"/>
        <v>1.0201738946294734</v>
      </c>
      <c r="M137" s="6">
        <f t="shared" si="81"/>
        <v>0.68546236949358619</v>
      </c>
      <c r="N137" s="6">
        <f t="shared" si="82"/>
        <v>0.4653796839482367</v>
      </c>
      <c r="O137">
        <v>2025</v>
      </c>
      <c r="P137" s="3">
        <f t="shared" si="89"/>
        <v>0.39666288573745473</v>
      </c>
      <c r="Q137" s="3"/>
      <c r="R137" s="3">
        <f t="shared" si="83"/>
        <v>0.2975357238770549</v>
      </c>
      <c r="S137" s="3">
        <f t="shared" si="84"/>
        <v>0.22724630359851861</v>
      </c>
      <c r="T137" s="3">
        <f t="shared" si="85"/>
        <v>0.18102893963399522</v>
      </c>
      <c r="U137" s="3"/>
      <c r="V137" s="3">
        <f t="shared" si="61"/>
        <v>1.714372504243983</v>
      </c>
      <c r="W137" s="3">
        <f t="shared" si="62"/>
        <v>1.3093715588295596</v>
      </c>
      <c r="X137" s="3">
        <f t="shared" si="63"/>
        <v>1.0430715093196867</v>
      </c>
      <c r="Y137" s="9"/>
      <c r="Z137" s="9">
        <f t="shared" si="65"/>
        <v>183.25232027898096</v>
      </c>
      <c r="AA137" s="9">
        <f t="shared" si="66"/>
        <v>139.96105027864755</v>
      </c>
      <c r="AB137" s="9">
        <f t="shared" si="67"/>
        <v>111.49576525903511</v>
      </c>
      <c r="AC137" s="3"/>
      <c r="AD137" s="3">
        <f t="shared" si="86"/>
        <v>1.803842113190087</v>
      </c>
      <c r="AE137" s="3">
        <f t="shared" si="87"/>
        <v>1.3777049933915495</v>
      </c>
      <c r="AF137" s="3">
        <f t="shared" si="88"/>
        <v>1.0975072867313229</v>
      </c>
      <c r="AI137" s="2"/>
      <c r="AJ137" s="2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R137" s="2"/>
      <c r="AS137" s="2"/>
      <c r="AT137" s="32"/>
      <c r="AV137" s="12"/>
      <c r="AW137" s="32"/>
      <c r="AX137" s="32"/>
      <c r="AY137" s="32"/>
      <c r="AZ137" s="7"/>
      <c r="BA137" s="3"/>
      <c r="BD137" s="9"/>
      <c r="BH137" s="9"/>
    </row>
    <row r="138" spans="1:60">
      <c r="A138">
        <v>2026</v>
      </c>
      <c r="B138" s="3"/>
      <c r="C138" s="3">
        <f t="shared" si="70"/>
        <v>145.84178757918448</v>
      </c>
      <c r="D138" s="3">
        <f t="shared" si="71"/>
        <v>80.055420065999314</v>
      </c>
      <c r="E138" s="3">
        <f t="shared" si="72"/>
        <v>31.066889661838108</v>
      </c>
      <c r="F138" s="6">
        <f>'Exchange Rates'!X65</f>
        <v>0.86199999999999999</v>
      </c>
      <c r="G138" s="3"/>
      <c r="H138" s="3">
        <f>(C138*USA!$AU113/100)/$AU105*100*$F138</f>
        <v>135.75983407921257</v>
      </c>
      <c r="I138" s="3">
        <f>(D138*USA!$AU113/100)/$AU105*100*$F138</f>
        <v>74.521237881843732</v>
      </c>
      <c r="J138" s="3">
        <f>(E138*USA!$AU113/100)/$AU105*100*$F138</f>
        <v>28.91925459675533</v>
      </c>
      <c r="K138" s="6"/>
      <c r="L138" s="6">
        <f t="shared" si="80"/>
        <v>1.0416775462062655</v>
      </c>
      <c r="M138" s="6">
        <f t="shared" si="81"/>
        <v>0.71382176744907722</v>
      </c>
      <c r="N138" s="6">
        <f t="shared" si="82"/>
        <v>0.46968041426359519</v>
      </c>
      <c r="O138">
        <v>2026</v>
      </c>
      <c r="P138" s="3">
        <f t="shared" si="89"/>
        <v>0.39666288573745473</v>
      </c>
      <c r="Q138" s="3"/>
      <c r="R138" s="3">
        <f t="shared" si="83"/>
        <v>0.30205149070818127</v>
      </c>
      <c r="S138" s="3">
        <f t="shared" si="84"/>
        <v>0.2332017771691717</v>
      </c>
      <c r="T138" s="3">
        <f t="shared" si="85"/>
        <v>0.18193209300022045</v>
      </c>
      <c r="U138" s="3"/>
      <c r="V138" s="3">
        <f t="shared" si="61"/>
        <v>1.7403919226519016</v>
      </c>
      <c r="W138" s="3">
        <f t="shared" si="62"/>
        <v>1.3436864303557037</v>
      </c>
      <c r="X138" s="3">
        <f t="shared" si="63"/>
        <v>1.0482753930012703</v>
      </c>
      <c r="Y138" s="9"/>
      <c r="Z138" s="9">
        <f t="shared" si="65"/>
        <v>186.0335821014595</v>
      </c>
      <c r="AA138" s="9">
        <f t="shared" si="66"/>
        <v>143.62902781076161</v>
      </c>
      <c r="AB138" s="9">
        <f t="shared" si="67"/>
        <v>112.05201762353082</v>
      </c>
      <c r="AC138" s="3"/>
      <c r="AD138" s="3">
        <f t="shared" si="86"/>
        <v>1.8312194320450781</v>
      </c>
      <c r="AE138" s="3">
        <f t="shared" si="87"/>
        <v>1.4138106881657799</v>
      </c>
      <c r="AF138" s="3">
        <f t="shared" si="88"/>
        <v>1.1029827505023209</v>
      </c>
      <c r="AI138" s="2"/>
      <c r="AJ138" s="2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R138" s="2"/>
      <c r="AS138" s="2"/>
      <c r="AT138" s="32"/>
      <c r="AV138" s="12"/>
      <c r="AW138" s="32"/>
      <c r="AX138" s="32"/>
      <c r="AY138" s="32"/>
      <c r="AZ138" s="7"/>
      <c r="BA138" s="3"/>
      <c r="BD138" s="9"/>
      <c r="BH138" s="9"/>
    </row>
    <row r="139" spans="1:60">
      <c r="A139">
        <v>2027</v>
      </c>
      <c r="B139" s="3"/>
      <c r="C139" s="3">
        <f t="shared" si="70"/>
        <v>150.15663336555087</v>
      </c>
      <c r="D139" s="3">
        <f t="shared" si="71"/>
        <v>82.98815737026753</v>
      </c>
      <c r="E139" s="3">
        <f t="shared" si="72"/>
        <v>31.929858819111395</v>
      </c>
      <c r="F139" s="6">
        <f>'Exchange Rates'!X66</f>
        <v>0.86199999999999999</v>
      </c>
      <c r="G139" s="3"/>
      <c r="H139" s="3">
        <f>(C139*USA!$AU114/100)/$AU106*100*$F139</f>
        <v>139.77639721765078</v>
      </c>
      <c r="I139" s="3">
        <f>(D139*USA!$AU114/100)/$AU106*100*$F139</f>
        <v>77.251236851509375</v>
      </c>
      <c r="J139" s="3">
        <f>(E139*USA!$AU114/100)/$AU106*100*$F139</f>
        <v>29.72256722444299</v>
      </c>
      <c r="K139" s="6"/>
      <c r="L139" s="6">
        <f t="shared" si="80"/>
        <v>1.0631811977830576</v>
      </c>
      <c r="M139" s="6">
        <f t="shared" si="81"/>
        <v>0.7284374835788423</v>
      </c>
      <c r="N139" s="6">
        <f t="shared" si="82"/>
        <v>0.47398114457895368</v>
      </c>
      <c r="O139">
        <v>2027</v>
      </c>
      <c r="P139" s="3">
        <f t="shared" si="89"/>
        <v>0.39666288573745473</v>
      </c>
      <c r="Q139" s="3"/>
      <c r="R139" s="3">
        <f t="shared" si="83"/>
        <v>0.30656725753930758</v>
      </c>
      <c r="S139" s="3">
        <f t="shared" si="84"/>
        <v>0.23627107755642238</v>
      </c>
      <c r="T139" s="3">
        <f t="shared" si="85"/>
        <v>0.18283524636644577</v>
      </c>
      <c r="U139" s="3"/>
      <c r="V139" s="3">
        <f t="shared" si="61"/>
        <v>1.7664113410598201</v>
      </c>
      <c r="W139" s="3">
        <f t="shared" si="62"/>
        <v>1.3613714468727194</v>
      </c>
      <c r="X139" s="3">
        <f t="shared" si="63"/>
        <v>1.0534792766828542</v>
      </c>
      <c r="Y139" s="9"/>
      <c r="Z139" s="9">
        <f t="shared" si="65"/>
        <v>188.81484392393801</v>
      </c>
      <c r="AA139" s="9">
        <f t="shared" si="66"/>
        <v>145.51941062015248</v>
      </c>
      <c r="AB139" s="9">
        <f t="shared" si="67"/>
        <v>112.60826998802654</v>
      </c>
      <c r="AC139" s="3"/>
      <c r="AD139" s="3">
        <f t="shared" si="86"/>
        <v>1.8585967509000687</v>
      </c>
      <c r="AE139" s="3">
        <f t="shared" si="87"/>
        <v>1.4324186496717439</v>
      </c>
      <c r="AF139" s="3">
        <f t="shared" si="88"/>
        <v>1.1084582142733195</v>
      </c>
      <c r="AI139" s="2"/>
      <c r="AJ139" s="2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R139" s="2"/>
      <c r="AS139" s="2"/>
      <c r="AT139" s="32"/>
      <c r="AV139" s="12"/>
      <c r="AW139" s="32"/>
      <c r="AX139" s="32"/>
      <c r="AY139" s="32"/>
      <c r="AZ139" s="7"/>
      <c r="BA139" s="3"/>
      <c r="BD139" s="9"/>
      <c r="BH139" s="9"/>
    </row>
    <row r="140" spans="1:60">
      <c r="A140">
        <v>2028</v>
      </c>
      <c r="B140" s="3"/>
      <c r="C140" s="3">
        <f t="shared" si="70"/>
        <v>153.60850999464401</v>
      </c>
      <c r="D140" s="3">
        <f t="shared" si="71"/>
        <v>84.844653255379882</v>
      </c>
      <c r="E140" s="3">
        <f t="shared" si="72"/>
        <v>31.929858819111395</v>
      </c>
      <c r="F140" s="6">
        <f>'Exchange Rates'!X67</f>
        <v>0.86199999999999999</v>
      </c>
      <c r="G140" s="3"/>
      <c r="H140" s="3">
        <f>(C140*USA!$AU115/100)/$AU107*100*$F140</f>
        <v>142.98964772840139</v>
      </c>
      <c r="I140" s="3">
        <f>(D140*USA!$AU115/100)/$AU107*100*$F140</f>
        <v>78.979394312516575</v>
      </c>
      <c r="J140" s="3">
        <f>(E140*USA!$AU115/100)/$AU107*100*$F140</f>
        <v>29.72256722444299</v>
      </c>
      <c r="K140" s="6"/>
      <c r="L140" s="6">
        <f t="shared" si="80"/>
        <v>1.0803841190444914</v>
      </c>
      <c r="M140" s="6">
        <f t="shared" si="81"/>
        <v>0.73768959654967992</v>
      </c>
      <c r="N140" s="6">
        <f t="shared" si="82"/>
        <v>0.47398114457895368</v>
      </c>
      <c r="O140">
        <v>2028</v>
      </c>
      <c r="P140" s="3">
        <f t="shared" si="89"/>
        <v>0.39666288573745473</v>
      </c>
      <c r="Q140" s="3"/>
      <c r="R140" s="3">
        <f t="shared" si="83"/>
        <v>0.31017987100420868</v>
      </c>
      <c r="S140" s="3">
        <f t="shared" si="84"/>
        <v>0.23821402128029828</v>
      </c>
      <c r="T140" s="3">
        <f t="shared" si="85"/>
        <v>0.18283524636644577</v>
      </c>
      <c r="U140" s="3"/>
      <c r="V140" s="3">
        <f t="shared" si="61"/>
        <v>1.7872268757861549</v>
      </c>
      <c r="W140" s="3">
        <f t="shared" si="62"/>
        <v>1.372566503567433</v>
      </c>
      <c r="X140" s="3">
        <f t="shared" si="63"/>
        <v>1.0534792766828542</v>
      </c>
      <c r="Y140" s="9"/>
      <c r="Z140" s="9">
        <f t="shared" si="65"/>
        <v>191.03985338192084</v>
      </c>
      <c r="AA140" s="9">
        <f t="shared" si="66"/>
        <v>146.71607010336425</v>
      </c>
      <c r="AB140" s="9">
        <f t="shared" si="67"/>
        <v>112.60826998802654</v>
      </c>
      <c r="AC140" s="3"/>
      <c r="AD140" s="3">
        <f t="shared" si="86"/>
        <v>1.8804986059840616</v>
      </c>
      <c r="AE140" s="3">
        <f t="shared" si="87"/>
        <v>1.4441979535718497</v>
      </c>
      <c r="AF140" s="3">
        <f t="shared" si="88"/>
        <v>1.1084582142733195</v>
      </c>
      <c r="AI140" s="2"/>
      <c r="AJ140" s="2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R140" s="2"/>
      <c r="AS140" s="2"/>
      <c r="AT140" s="32"/>
      <c r="AV140" s="12"/>
      <c r="AW140" s="32"/>
      <c r="AX140" s="32"/>
      <c r="AY140" s="32"/>
      <c r="AZ140" s="7"/>
      <c r="BA140" s="3"/>
      <c r="BD140" s="9"/>
      <c r="BH140" s="9"/>
    </row>
    <row r="141" spans="1:60">
      <c r="A141">
        <v>2029</v>
      </c>
      <c r="B141" s="3"/>
      <c r="C141" s="3">
        <f t="shared" si="70"/>
        <v>157.9233557810104</v>
      </c>
      <c r="D141" s="3">
        <f t="shared" si="71"/>
        <v>87.361009569245411</v>
      </c>
      <c r="E141" s="3">
        <f t="shared" si="72"/>
        <v>31.929858819111395</v>
      </c>
      <c r="F141" s="6">
        <f>'Exchange Rates'!X68</f>
        <v>0.86199999999999999</v>
      </c>
      <c r="G141" s="3"/>
      <c r="H141" s="3">
        <f>(C141*USA!$AU116/100)/$AU108*100*$F141</f>
        <v>147.00621086683964</v>
      </c>
      <c r="I141" s="3">
        <f>(D141*USA!$AU116/100)/$AU108*100*$F141</f>
        <v>81.321796454763231</v>
      </c>
      <c r="J141" s="3">
        <f>(E141*USA!$AU116/100)/$AU108*100*$F141</f>
        <v>29.72256722444299</v>
      </c>
      <c r="K141" s="6"/>
      <c r="L141" s="6">
        <f t="shared" si="80"/>
        <v>1.1018877706212835</v>
      </c>
      <c r="M141" s="6">
        <f t="shared" si="81"/>
        <v>0.75023021841556425</v>
      </c>
      <c r="N141" s="6">
        <f t="shared" si="82"/>
        <v>0.47398114457895368</v>
      </c>
      <c r="O141">
        <v>2029</v>
      </c>
      <c r="P141" s="3">
        <f t="shared" si="89"/>
        <v>0.39666288573745473</v>
      </c>
      <c r="Q141" s="3"/>
      <c r="R141" s="3">
        <f t="shared" si="83"/>
        <v>0.31469563783533505</v>
      </c>
      <c r="S141" s="3">
        <f t="shared" si="84"/>
        <v>0.240847551872134</v>
      </c>
      <c r="T141" s="3">
        <f t="shared" si="85"/>
        <v>0.18283524636644577</v>
      </c>
      <c r="U141" s="3"/>
      <c r="V141" s="3">
        <f t="shared" si="61"/>
        <v>1.8132462941940735</v>
      </c>
      <c r="W141" s="3">
        <f t="shared" si="62"/>
        <v>1.3877406560251531</v>
      </c>
      <c r="X141" s="3">
        <f t="shared" si="63"/>
        <v>1.0534792766828542</v>
      </c>
      <c r="Y141" s="9"/>
      <c r="Z141" s="9">
        <f t="shared" si="65"/>
        <v>193.82111520439938</v>
      </c>
      <c r="AA141" s="9">
        <f t="shared" si="66"/>
        <v>148.33806219624981</v>
      </c>
      <c r="AB141" s="9">
        <f t="shared" si="67"/>
        <v>112.60826998802654</v>
      </c>
      <c r="AC141" s="3"/>
      <c r="AD141" s="3">
        <f t="shared" si="86"/>
        <v>1.9078759248390527</v>
      </c>
      <c r="AE141" s="3">
        <f t="shared" si="87"/>
        <v>1.4601640141377084</v>
      </c>
      <c r="AF141" s="3">
        <f t="shared" si="88"/>
        <v>1.1084582142733195</v>
      </c>
      <c r="AI141" s="2"/>
      <c r="AJ141" s="2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R141" s="2"/>
      <c r="AS141" s="2"/>
      <c r="AT141" s="32"/>
      <c r="AV141" s="12"/>
      <c r="AW141" s="32"/>
      <c r="AX141" s="32"/>
      <c r="AY141" s="32"/>
      <c r="AZ141" s="7"/>
      <c r="BA141" s="3"/>
      <c r="BD141" s="9"/>
      <c r="BH141" s="9"/>
    </row>
    <row r="142" spans="1:60">
      <c r="A142">
        <v>2030</v>
      </c>
      <c r="B142" s="3"/>
      <c r="C142" s="3">
        <f t="shared" si="70"/>
        <v>160.51226325283022</v>
      </c>
      <c r="D142" s="3">
        <f t="shared" si="71"/>
        <v>89.285088706337618</v>
      </c>
      <c r="E142" s="3">
        <f t="shared" si="72"/>
        <v>32.792827976384679</v>
      </c>
      <c r="F142" s="6">
        <f>'Exchange Rates'!X69</f>
        <v>0.86199999999999999</v>
      </c>
      <c r="G142" s="3"/>
      <c r="H142" s="3">
        <f>(C142*USA!$AU117/100)/$AU109*100*$F142</f>
        <v>149.41614874990256</v>
      </c>
      <c r="I142" s="3">
        <f>(D142*USA!$AU117/100)/$AU109*100*$F142</f>
        <v>83.112865178911235</v>
      </c>
      <c r="J142" s="3">
        <f>(E142*USA!$AU117/100)/$AU109*100*$F142</f>
        <v>30.525879852130636</v>
      </c>
      <c r="K142" s="6"/>
      <c r="L142" s="6">
        <f t="shared" si="80"/>
        <v>1.1147899615673587</v>
      </c>
      <c r="M142" s="6">
        <f t="shared" si="81"/>
        <v>0.75981914219609359</v>
      </c>
      <c r="N142" s="6">
        <f t="shared" si="82"/>
        <v>0.47828187489431206</v>
      </c>
      <c r="O142">
        <v>2030</v>
      </c>
      <c r="P142" s="3">
        <f t="shared" si="89"/>
        <v>0.39666288573745473</v>
      </c>
      <c r="Q142" s="3"/>
      <c r="R142" s="3">
        <f t="shared" si="83"/>
        <v>0.31740509793401084</v>
      </c>
      <c r="S142" s="3">
        <f t="shared" si="84"/>
        <v>0.24286122586604514</v>
      </c>
      <c r="T142" s="3">
        <f t="shared" si="85"/>
        <v>0.18373839973267103</v>
      </c>
      <c r="U142" s="3"/>
      <c r="V142" s="3">
        <f t="shared" si="61"/>
        <v>1.8288579452388243</v>
      </c>
      <c r="W142" s="3">
        <f t="shared" si="62"/>
        <v>1.3993432537995936</v>
      </c>
      <c r="X142" s="3">
        <f t="shared" si="63"/>
        <v>1.058683160364438</v>
      </c>
      <c r="Y142" s="9"/>
      <c r="Z142" s="9">
        <f t="shared" si="65"/>
        <v>195.48987229788645</v>
      </c>
      <c r="AA142" s="9">
        <f t="shared" si="66"/>
        <v>149.57828446892771</v>
      </c>
      <c r="AB142" s="9">
        <f t="shared" si="67"/>
        <v>113.16452235252224</v>
      </c>
      <c r="AC142" s="9"/>
      <c r="AD142" s="3">
        <f t="shared" ref="AD142" si="90">V142*$AU$96/100</f>
        <v>1.9243023161520467</v>
      </c>
      <c r="AE142" s="3">
        <f t="shared" ref="AE142" si="91">W142*$AU$96/100</f>
        <v>1.4723721278563608</v>
      </c>
      <c r="AF142" s="3">
        <f t="shared" ref="AF142" si="92">X142*$AU$96/100</f>
        <v>1.1139336780443176</v>
      </c>
      <c r="AI142" s="2"/>
      <c r="AJ142" s="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R142" s="2"/>
      <c r="AS142" s="2"/>
      <c r="AT142" s="32"/>
      <c r="AV142" s="12"/>
      <c r="AW142" s="32"/>
      <c r="AX142" s="32"/>
      <c r="AY142" s="32"/>
      <c r="AZ142" s="7"/>
      <c r="BA142" s="3"/>
      <c r="BD142" s="9"/>
      <c r="BH142" s="9"/>
    </row>
    <row r="143" spans="1:60">
      <c r="D143"/>
      <c r="E143"/>
      <c r="F143"/>
      <c r="G143"/>
      <c r="H143"/>
      <c r="I143"/>
      <c r="J143"/>
      <c r="K143"/>
      <c r="L143"/>
      <c r="M143"/>
      <c r="N143"/>
      <c r="O143" s="12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I143" s="2"/>
      <c r="AJ143" s="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R143" s="2"/>
      <c r="AS143" s="2"/>
      <c r="AT143" s="32"/>
      <c r="AV143" s="12"/>
      <c r="AW143" s="32"/>
      <c r="AX143" s="32"/>
      <c r="AY143" s="32"/>
      <c r="AZ143" s="7"/>
      <c r="BA143" s="3"/>
      <c r="BD143" s="9"/>
      <c r="BH143" s="9"/>
    </row>
    <row r="144" spans="1:60">
      <c r="D144"/>
      <c r="E144"/>
      <c r="F144"/>
      <c r="G144"/>
      <c r="H144"/>
      <c r="I144"/>
      <c r="J144"/>
      <c r="K144"/>
      <c r="L144"/>
      <c r="M144"/>
      <c r="N144"/>
      <c r="O144" s="12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J144" s="3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P144"/>
      <c r="AQ144"/>
      <c r="AR144"/>
      <c r="AS144"/>
      <c r="AV144" s="12"/>
      <c r="AW144" s="32"/>
      <c r="AX144" s="32"/>
      <c r="AY144" s="32"/>
      <c r="AZ144" s="7"/>
      <c r="BA144" s="3"/>
      <c r="BD144" s="9"/>
      <c r="BH144" s="9"/>
    </row>
    <row r="145" spans="2:63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I145" s="2"/>
      <c r="AJ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P145"/>
      <c r="AQ145"/>
      <c r="AR145"/>
      <c r="AS145"/>
      <c r="AV145" s="12"/>
      <c r="AW145" s="32"/>
      <c r="AX145" s="32"/>
      <c r="AY145" s="32"/>
      <c r="AZ145" s="7"/>
      <c r="BA145" s="3"/>
      <c r="BD145" s="9"/>
      <c r="BH145" s="9"/>
    </row>
    <row r="146" spans="2:63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/>
      <c r="U146" s="37"/>
      <c r="W146" s="2"/>
      <c r="AI146" s="2"/>
      <c r="AJ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P146"/>
      <c r="AQ146"/>
      <c r="AR146"/>
      <c r="AS146"/>
      <c r="AV146" s="12"/>
      <c r="AW146" s="32"/>
      <c r="AX146" s="32"/>
      <c r="AY146" s="32"/>
      <c r="AZ146" s="7"/>
      <c r="BA146" s="3"/>
      <c r="BD146" s="9"/>
      <c r="BH146" s="9"/>
    </row>
    <row r="147" spans="2:63">
      <c r="B147" s="2"/>
      <c r="C147" s="2"/>
      <c r="G147" s="32"/>
      <c r="J147" s="2"/>
      <c r="L147" s="37"/>
      <c r="M147" s="32"/>
      <c r="N147" s="32"/>
      <c r="O147" s="32"/>
      <c r="P147" s="37"/>
      <c r="Q147" s="2"/>
      <c r="R147" s="2">
        <v>1.5365575338373092</v>
      </c>
      <c r="U147" s="37"/>
      <c r="W147" s="2"/>
      <c r="AI147" s="2"/>
      <c r="AJ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P147"/>
      <c r="AQ147"/>
      <c r="AR147"/>
      <c r="AS147"/>
      <c r="AV147" s="12"/>
      <c r="AW147" s="32"/>
      <c r="AX147" s="32"/>
      <c r="AY147" s="32"/>
      <c r="AZ147" s="7"/>
      <c r="BA147" s="3"/>
      <c r="BD147" s="9"/>
      <c r="BH147" s="9"/>
    </row>
    <row r="148" spans="2:63">
      <c r="B148" s="2"/>
      <c r="C148" s="2"/>
      <c r="G148" s="32"/>
      <c r="J148" s="2"/>
      <c r="L148" s="37"/>
      <c r="M148" s="32"/>
      <c r="N148" s="32"/>
      <c r="O148" s="32"/>
      <c r="P148" s="37"/>
      <c r="Q148" s="2"/>
      <c r="R148" s="2">
        <v>1.1987465571507834</v>
      </c>
      <c r="U148" s="37"/>
      <c r="W148" s="2"/>
      <c r="AI148" s="2"/>
      <c r="AJ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P148"/>
      <c r="AQ148"/>
      <c r="AR148"/>
      <c r="AS148"/>
      <c r="AV148" s="12"/>
      <c r="AW148" s="32"/>
      <c r="AX148" s="32"/>
      <c r="AY148" s="32"/>
      <c r="AZ148" s="7"/>
      <c r="BA148" s="3"/>
      <c r="BD148" s="9"/>
      <c r="BH148" s="9"/>
    </row>
    <row r="149" spans="2:63">
      <c r="B149" s="2"/>
      <c r="C149" s="2"/>
      <c r="G149" s="32"/>
      <c r="J149" s="2"/>
      <c r="L149" s="37"/>
      <c r="M149" s="32"/>
      <c r="N149" s="32"/>
      <c r="O149" s="32"/>
      <c r="P149" s="37"/>
      <c r="Q149" s="2"/>
      <c r="R149" s="2">
        <f>R147/R148-1</f>
        <v>0.28180350105817609</v>
      </c>
      <c r="U149" s="37"/>
      <c r="W149" s="2"/>
      <c r="AI149" s="2"/>
      <c r="AJ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P149"/>
      <c r="AQ149"/>
      <c r="AR149"/>
      <c r="AS149"/>
      <c r="AV149" s="12"/>
      <c r="AW149" s="32"/>
      <c r="AX149" s="32"/>
      <c r="AY149" s="32"/>
      <c r="AZ149" s="7"/>
      <c r="BA149" s="3"/>
      <c r="BD149" s="9"/>
      <c r="BH149" s="9"/>
    </row>
    <row r="150" spans="2:63">
      <c r="B150" s="2"/>
      <c r="C150" s="2"/>
      <c r="G150" s="32"/>
      <c r="J150" s="2"/>
      <c r="L150" s="37"/>
      <c r="M150" s="32"/>
      <c r="N150" s="32"/>
      <c r="O150" s="32"/>
      <c r="P150" s="37"/>
      <c r="Q150" s="2"/>
      <c r="R150" s="2"/>
      <c r="U150" s="37"/>
      <c r="W150" s="2"/>
      <c r="AI150" s="2"/>
      <c r="AJ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P150"/>
      <c r="AQ150"/>
      <c r="AR150"/>
      <c r="AS150"/>
      <c r="AV150" s="12"/>
      <c r="AW150" s="32"/>
      <c r="AX150" s="32"/>
      <c r="AY150" s="32"/>
      <c r="AZ150" s="7"/>
      <c r="BA150" s="3"/>
      <c r="BD150" s="9"/>
      <c r="BH150" s="9"/>
    </row>
    <row r="151" spans="2:63">
      <c r="B151" s="2"/>
      <c r="C151" s="2"/>
      <c r="G151" s="32"/>
      <c r="J151" s="2"/>
      <c r="L151" s="37"/>
      <c r="M151" s="32"/>
      <c r="N151" s="32"/>
      <c r="O151" s="32"/>
      <c r="P151" s="37"/>
      <c r="Q151" s="2"/>
      <c r="R151" s="2"/>
      <c r="U151" s="37"/>
      <c r="W151" s="2"/>
      <c r="AI151" s="2"/>
      <c r="AJ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P151"/>
      <c r="AQ151"/>
      <c r="AR151"/>
      <c r="AS151"/>
      <c r="AV151" s="12"/>
      <c r="AW151" s="32"/>
      <c r="AX151" s="32"/>
      <c r="AY151" s="32"/>
      <c r="AZ151" s="7"/>
      <c r="BA151" s="3"/>
      <c r="BD151" s="9"/>
      <c r="BH151" s="9"/>
    </row>
    <row r="152" spans="2:63">
      <c r="B152" s="2"/>
      <c r="C152" s="2"/>
      <c r="G152" s="32"/>
      <c r="J152" s="2"/>
      <c r="L152" s="37"/>
      <c r="M152" s="32"/>
      <c r="N152" s="32"/>
      <c r="O152" s="32"/>
      <c r="P152" s="37"/>
      <c r="Q152" s="2"/>
      <c r="R152" s="2"/>
      <c r="U152" s="37"/>
      <c r="W152" s="2"/>
      <c r="AI152" s="2"/>
      <c r="AJ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P152"/>
      <c r="AQ152"/>
      <c r="AR152"/>
      <c r="AS152"/>
      <c r="AV152" s="12"/>
      <c r="AW152" s="32"/>
      <c r="AX152" s="32"/>
      <c r="AY152" s="32"/>
      <c r="AZ152" s="7"/>
      <c r="BA152" s="3"/>
      <c r="BD152" s="9"/>
      <c r="BH152" s="9"/>
    </row>
    <row r="153" spans="2:63">
      <c r="O153" s="32"/>
      <c r="P153" s="37"/>
      <c r="Q153" s="32">
        <v>0.28000000000000003</v>
      </c>
      <c r="R153" s="32"/>
      <c r="S153" s="37"/>
      <c r="W153" s="2"/>
      <c r="X153" s="37"/>
      <c r="Y153" s="37"/>
      <c r="Z153" s="37"/>
      <c r="AA153" s="37"/>
      <c r="AB153" s="37"/>
      <c r="AC153" s="37"/>
      <c r="AD153" s="37"/>
      <c r="AE153" s="37"/>
      <c r="AF153" s="37"/>
      <c r="AI153" s="2"/>
      <c r="AJ153" s="2"/>
      <c r="AK153" s="2"/>
      <c r="AL153" s="2"/>
      <c r="AM153" s="2"/>
      <c r="AR153" s="2"/>
      <c r="AS153" s="2"/>
      <c r="AT153" s="32"/>
      <c r="AV153" s="12"/>
      <c r="AW153" s="12"/>
      <c r="AX153" s="12"/>
      <c r="AY153" s="12"/>
      <c r="AZ153" s="7"/>
      <c r="BA153" s="3"/>
      <c r="BD153" s="9"/>
      <c r="BF153" s="3"/>
      <c r="BG153" s="3"/>
      <c r="BH153" s="3"/>
      <c r="BK153" s="9"/>
    </row>
    <row r="154" spans="2:63">
      <c r="O154" s="32"/>
      <c r="P154" s="37"/>
      <c r="R154" s="32"/>
      <c r="S154" s="37"/>
      <c r="W154" s="2"/>
      <c r="X154" s="37"/>
      <c r="Y154" s="37"/>
      <c r="Z154" s="37"/>
      <c r="AA154" s="37"/>
      <c r="AB154" s="37"/>
      <c r="AI154" s="2"/>
      <c r="AJ154" s="2"/>
      <c r="AK154" s="2"/>
      <c r="AL154" s="2"/>
      <c r="AM154" s="2"/>
      <c r="AO154"/>
      <c r="AP154"/>
      <c r="AQ154"/>
      <c r="AR154"/>
      <c r="AS154"/>
      <c r="AV154" s="32"/>
      <c r="AW154" s="32"/>
      <c r="AX154" s="32"/>
      <c r="AY154" s="12"/>
      <c r="BA154" s="23"/>
      <c r="BB154" s="3"/>
      <c r="BC154" s="3"/>
      <c r="BD154" s="3"/>
      <c r="BG154" s="9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workbookViewId="0">
      <selection activeCell="A3" sqref="A3:G25"/>
    </sheetView>
  </sheetViews>
  <sheetFormatPr defaultRowHeight="15"/>
  <cols>
    <col min="1" max="1" width="18.140625" customWidth="1"/>
    <col min="2" max="7" width="13.5703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0.99079752272093813</v>
      </c>
    </row>
    <row r="5" spans="1:7">
      <c r="A5" s="13" t="s">
        <v>80</v>
      </c>
      <c r="B5" s="13">
        <v>0.98167973102994788</v>
      </c>
    </row>
    <row r="6" spans="1:7">
      <c r="A6" s="13" t="s">
        <v>81</v>
      </c>
      <c r="B6" s="13">
        <v>0.97842279432416079</v>
      </c>
    </row>
    <row r="7" spans="1:7">
      <c r="A7" s="13" t="s">
        <v>82</v>
      </c>
      <c r="B7" s="13">
        <v>0.18609876714737808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8</v>
      </c>
      <c r="C12" s="13">
        <v>83.509807869268244</v>
      </c>
      <c r="D12" s="13">
        <v>10.43872598365853</v>
      </c>
      <c r="E12" s="13">
        <v>301.41197686945031</v>
      </c>
      <c r="F12" s="13">
        <v>1.9122024959603244E-36</v>
      </c>
    </row>
    <row r="13" spans="1:7">
      <c r="A13" s="13" t="s">
        <v>86</v>
      </c>
      <c r="B13" s="13">
        <v>45</v>
      </c>
      <c r="C13" s="13">
        <v>1.558473801019832</v>
      </c>
      <c r="D13" s="13">
        <v>3.4632751133774044E-2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85.068281670288073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2.1984574290997543</v>
      </c>
      <c r="C17" s="13">
        <v>0.18290977939571512</v>
      </c>
      <c r="D17" s="13">
        <v>12.019354221315384</v>
      </c>
      <c r="E17" s="13">
        <v>1.2074129144706606E-15</v>
      </c>
      <c r="F17" s="13">
        <v>1.8300582225593964</v>
      </c>
      <c r="G17" s="13">
        <v>2.5668566356401121</v>
      </c>
    </row>
    <row r="18" spans="1:7">
      <c r="A18" s="13" t="s">
        <v>2202</v>
      </c>
      <c r="B18" s="13">
        <v>5.4595996032206764E-3</v>
      </c>
      <c r="C18" s="13">
        <v>3.2390478895228325E-4</v>
      </c>
      <c r="D18" s="13">
        <v>16.855569258116063</v>
      </c>
      <c r="E18" s="13">
        <v>4.5761200433450995E-21</v>
      </c>
      <c r="F18" s="13">
        <v>4.8072218701171471E-3</v>
      </c>
      <c r="G18" s="13">
        <v>6.1119773363242057E-3</v>
      </c>
    </row>
    <row r="19" spans="1:7">
      <c r="A19" s="13" t="s">
        <v>2203</v>
      </c>
      <c r="B19" s="13">
        <v>7.6199654356896894E-3</v>
      </c>
      <c r="C19" s="13">
        <v>2.607145399912492E-4</v>
      </c>
      <c r="D19" s="13">
        <v>29.227236179253566</v>
      </c>
      <c r="E19" s="13">
        <v>6.5880681809700997E-31</v>
      </c>
      <c r="F19" s="13">
        <v>7.0948593971628037E-3</v>
      </c>
      <c r="G19" s="13">
        <v>8.145071474216576E-3</v>
      </c>
    </row>
    <row r="20" spans="1:7">
      <c r="A20" s="13" t="s">
        <v>322</v>
      </c>
      <c r="B20" s="13">
        <v>1.9059780656151184</v>
      </c>
      <c r="C20" s="13">
        <v>0.19068905196069527</v>
      </c>
      <c r="D20" s="13">
        <v>9.9952149639297474</v>
      </c>
      <c r="E20" s="13">
        <v>5.278980444296261E-13</v>
      </c>
      <c r="F20" s="13">
        <v>1.5219105998386064</v>
      </c>
      <c r="G20" s="13">
        <v>2.2900455313916304</v>
      </c>
    </row>
    <row r="21" spans="1:7">
      <c r="A21" s="13" t="s">
        <v>2201</v>
      </c>
      <c r="B21" s="13">
        <v>-0.41144565697846808</v>
      </c>
      <c r="C21" s="13">
        <v>0.10661458470682524</v>
      </c>
      <c r="D21" s="13">
        <v>-3.8591873533052201</v>
      </c>
      <c r="E21" s="13">
        <v>3.6043919574604052E-4</v>
      </c>
      <c r="F21" s="13">
        <v>-0.62617845334060873</v>
      </c>
      <c r="G21" s="13">
        <v>-0.1967128606163274</v>
      </c>
    </row>
    <row r="22" spans="1:7">
      <c r="A22" s="13" t="s">
        <v>2204</v>
      </c>
      <c r="B22" s="13">
        <v>-1.1495761963248661</v>
      </c>
      <c r="C22" s="13">
        <v>0.19784269359314474</v>
      </c>
      <c r="D22" s="13">
        <v>-5.8105567380159187</v>
      </c>
      <c r="E22" s="13">
        <v>5.9617232036019099E-7</v>
      </c>
      <c r="F22" s="13">
        <v>-1.5480518359561337</v>
      </c>
      <c r="G22" s="13">
        <v>-0.75110055669359843</v>
      </c>
    </row>
    <row r="23" spans="1:7">
      <c r="A23" s="13" t="s">
        <v>1990</v>
      </c>
      <c r="B23" s="13">
        <v>0.36529093130163665</v>
      </c>
      <c r="C23" s="13">
        <v>0.100767714757577</v>
      </c>
      <c r="D23" s="13">
        <v>3.6250790462048208</v>
      </c>
      <c r="E23" s="13">
        <v>7.3251187196627624E-4</v>
      </c>
      <c r="F23" s="13">
        <v>0.16233433551862242</v>
      </c>
      <c r="G23" s="13">
        <v>0.56824752708465087</v>
      </c>
    </row>
    <row r="24" spans="1:7">
      <c r="A24" s="13" t="s">
        <v>2210</v>
      </c>
      <c r="B24" s="13">
        <v>-0.64013187027643093</v>
      </c>
      <c r="C24" s="13">
        <v>0.1023498067662474</v>
      </c>
      <c r="D24" s="13">
        <v>-6.2543534814716581</v>
      </c>
      <c r="E24" s="13">
        <v>1.3077166429078959E-7</v>
      </c>
      <c r="F24" s="13">
        <v>-0.84627496293562954</v>
      </c>
      <c r="G24" s="13">
        <v>-0.43398877761723231</v>
      </c>
    </row>
    <row r="25" spans="1:7" ht="15.75" thickBot="1">
      <c r="A25" s="14" t="s">
        <v>2167</v>
      </c>
      <c r="B25" s="14">
        <v>-0.3101293104682542</v>
      </c>
      <c r="C25" s="14">
        <v>0.15532256758520738</v>
      </c>
      <c r="D25" s="14">
        <v>-1.9966790099456888</v>
      </c>
      <c r="E25" s="14">
        <v>5.193053174666349E-2</v>
      </c>
      <c r="F25" s="14">
        <v>-0.62296502021129463</v>
      </c>
      <c r="G25" s="14">
        <v>2.7063992747861643E-3</v>
      </c>
    </row>
    <row r="43" spans="6:6">
      <c r="F43" t="s">
        <v>1910</v>
      </c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T159"/>
  <sheetViews>
    <sheetView zoomScale="75" zoomScaleNormal="75" workbookViewId="0">
      <pane xSplit="1" ySplit="4" topLeftCell="AL52" activePane="bottomRight" state="frozen"/>
      <selection activeCell="BN97" sqref="BN97"/>
      <selection pane="topRight" activeCell="BN97" sqref="BN97"/>
      <selection pane="bottomLeft" activeCell="BN97" sqref="BN97"/>
      <selection pane="bottomRight" activeCell="AP42" sqref="AP42:BK97"/>
    </sheetView>
  </sheetViews>
  <sheetFormatPr defaultRowHeight="15"/>
  <cols>
    <col min="1" max="1" width="6.7109375" customWidth="1"/>
    <col min="2" max="3" width="10" customWidth="1"/>
    <col min="4" max="6" width="10" style="2" customWidth="1"/>
    <col min="7" max="9" width="9.28515625" style="2" bestFit="1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10.42578125" style="37" customWidth="1"/>
    <col min="16" max="17" width="10.5703125" style="32" customWidth="1"/>
    <col min="18" max="18" width="9.5703125" style="37" customWidth="1"/>
    <col min="19" max="22" width="9.28515625" style="2" bestFit="1" customWidth="1"/>
    <col min="23" max="23" width="9.85546875" style="37" customWidth="1"/>
    <col min="24" max="29" width="9.28515625" style="2" bestFit="1" customWidth="1"/>
    <col min="30" max="34" width="9.140625" style="2"/>
    <col min="40" max="41" width="9.140625" style="2"/>
    <col min="42" max="42" width="6.85546875" style="2" customWidth="1"/>
    <col min="43" max="43" width="8.28515625" style="23" customWidth="1"/>
    <col min="44" max="44" width="8" style="23" customWidth="1"/>
    <col min="45" max="45" width="8.28515625" style="23" customWidth="1"/>
    <col min="46" max="46" width="8.28515625" customWidth="1"/>
    <col min="47" max="47" width="8.140625" style="23" customWidth="1"/>
    <col min="48" max="48" width="2.7109375" style="7" customWidth="1"/>
    <col min="49" max="49" width="8.140625" style="7" customWidth="1"/>
    <col min="50" max="50" width="2.28515625" style="7" customWidth="1"/>
    <col min="51" max="51" width="8.5703125" style="12" customWidth="1"/>
    <col min="52" max="52" width="9.28515625" style="12" customWidth="1"/>
    <col min="53" max="53" width="8.5703125" style="9" customWidth="1"/>
    <col min="54" max="54" width="8.140625" customWidth="1"/>
    <col min="56" max="56" width="8.5703125" customWidth="1"/>
    <col min="57" max="57" width="8.140625" customWidth="1"/>
    <col min="58" max="58" width="4.7109375" customWidth="1"/>
    <col min="59" max="60" width="5.85546875" customWidth="1"/>
    <col min="61" max="61" width="6" customWidth="1"/>
    <col min="62" max="63" width="6.140625" customWidth="1"/>
    <col min="64" max="64" width="9.140625" style="12"/>
    <col min="66" max="66" width="10.7109375" customWidth="1"/>
    <col min="70" max="70" width="10.28515625" customWidth="1"/>
  </cols>
  <sheetData>
    <row r="1" spans="1:68">
      <c r="A1" s="23" t="s">
        <v>200</v>
      </c>
      <c r="B1" s="23"/>
      <c r="C1" s="23"/>
      <c r="G1" s="39" t="s">
        <v>243</v>
      </c>
      <c r="AI1" s="2"/>
      <c r="AJ1" s="2"/>
      <c r="AK1" s="2"/>
      <c r="AN1"/>
      <c r="AO1"/>
      <c r="AP1"/>
      <c r="AQ1" s="2"/>
      <c r="AR1" s="2"/>
      <c r="AS1" s="2"/>
      <c r="AT1" s="2"/>
      <c r="AU1" s="2"/>
      <c r="AV1" s="12"/>
      <c r="AW1" s="12"/>
      <c r="AX1" s="12"/>
      <c r="AY1" s="7"/>
      <c r="AZ1" s="7"/>
      <c r="BA1" s="3"/>
      <c r="BD1" s="9"/>
      <c r="BE1" s="9"/>
      <c r="BO1" s="7"/>
      <c r="BP1" s="7"/>
    </row>
    <row r="2" spans="1:68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N2" s="23" t="s">
        <v>200</v>
      </c>
      <c r="P2" s="23" t="s">
        <v>200</v>
      </c>
      <c r="Q2" s="38" t="s">
        <v>142</v>
      </c>
      <c r="S2" s="23" t="s">
        <v>200</v>
      </c>
      <c r="X2" s="23" t="s">
        <v>200</v>
      </c>
      <c r="Y2" s="23" t="s">
        <v>200</v>
      </c>
      <c r="Z2" s="23" t="s">
        <v>200</v>
      </c>
      <c r="AA2" s="23" t="s">
        <v>200</v>
      </c>
      <c r="AB2" s="23" t="s">
        <v>200</v>
      </c>
      <c r="AC2" s="2" t="s">
        <v>113</v>
      </c>
      <c r="AI2" s="2"/>
      <c r="AJ2" s="2"/>
      <c r="AK2" s="2"/>
      <c r="AL2" s="2" t="s">
        <v>67</v>
      </c>
      <c r="AM2" s="2" t="s">
        <v>67</v>
      </c>
      <c r="AN2" s="2" t="s">
        <v>67</v>
      </c>
      <c r="AP2"/>
      <c r="AQ2" s="2"/>
      <c r="AR2" s="2"/>
      <c r="AS2" s="2"/>
      <c r="AT2" s="2"/>
      <c r="AU2" s="2"/>
      <c r="AV2" s="12"/>
      <c r="AW2" s="12"/>
      <c r="AX2" s="12"/>
      <c r="AY2" s="7"/>
      <c r="AZ2" s="7"/>
      <c r="BA2" s="3"/>
      <c r="BD2" s="9"/>
      <c r="BE2" s="9"/>
      <c r="BO2" s="7"/>
      <c r="BP2" s="7"/>
    </row>
    <row r="3" spans="1:68">
      <c r="B3" t="s">
        <v>182</v>
      </c>
      <c r="C3" t="s">
        <v>218</v>
      </c>
      <c r="D3" s="23" t="s">
        <v>200</v>
      </c>
      <c r="F3" s="23" t="s">
        <v>200</v>
      </c>
      <c r="H3" s="23" t="s">
        <v>200</v>
      </c>
      <c r="I3" s="23" t="s">
        <v>200</v>
      </c>
      <c r="J3" s="23" t="s">
        <v>200</v>
      </c>
      <c r="K3" s="23" t="s">
        <v>200</v>
      </c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2" t="s">
        <v>61</v>
      </c>
      <c r="Z3" s="2" t="s">
        <v>61</v>
      </c>
      <c r="AA3" s="2" t="s">
        <v>61</v>
      </c>
      <c r="AB3" s="38" t="s">
        <v>61</v>
      </c>
      <c r="AC3" s="2" t="s">
        <v>61</v>
      </c>
      <c r="AI3" s="2"/>
      <c r="AJ3" s="2"/>
      <c r="AK3" s="2"/>
      <c r="AL3" s="2"/>
      <c r="AM3" s="2"/>
      <c r="AP3" s="46" t="s">
        <v>2103</v>
      </c>
      <c r="AQ3" s="46" t="s">
        <v>2133</v>
      </c>
      <c r="AR3" s="46" t="s">
        <v>2133</v>
      </c>
      <c r="AS3" s="46" t="s">
        <v>2133</v>
      </c>
      <c r="AT3" s="46" t="s">
        <v>2133</v>
      </c>
      <c r="AU3" s="46" t="s">
        <v>2133</v>
      </c>
      <c r="AV3" s="3"/>
      <c r="AW3" s="46"/>
      <c r="AX3" s="3"/>
      <c r="AY3" s="46" t="s">
        <v>2131</v>
      </c>
      <c r="AZ3" s="46" t="s">
        <v>2131</v>
      </c>
      <c r="BA3" s="46" t="s">
        <v>2131</v>
      </c>
      <c r="BB3" s="46" t="s">
        <v>2131</v>
      </c>
      <c r="BC3" s="46" t="s">
        <v>2131</v>
      </c>
      <c r="BD3" s="46" t="s">
        <v>2132</v>
      </c>
      <c r="BE3" s="46" t="s">
        <v>2132</v>
      </c>
      <c r="BF3" s="46" t="s">
        <v>2098</v>
      </c>
      <c r="BG3" s="46" t="s">
        <v>126</v>
      </c>
      <c r="BH3" s="46" t="s">
        <v>126</v>
      </c>
      <c r="BI3" s="46" t="s">
        <v>126</v>
      </c>
      <c r="BJ3" s="46" t="s">
        <v>126</v>
      </c>
      <c r="BK3" s="46" t="s">
        <v>126</v>
      </c>
      <c r="BL3" s="44"/>
      <c r="BM3" s="46"/>
      <c r="BO3" s="46" t="s">
        <v>2463</v>
      </c>
      <c r="BP3" s="46" t="s">
        <v>2463</v>
      </c>
    </row>
    <row r="4" spans="1:68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126</v>
      </c>
      <c r="U4" s="2" t="s">
        <v>126</v>
      </c>
      <c r="V4" s="2" t="s">
        <v>126</v>
      </c>
      <c r="X4" s="2" t="s">
        <v>109</v>
      </c>
      <c r="Y4" s="2" t="s">
        <v>111</v>
      </c>
      <c r="Z4" s="2" t="s">
        <v>152</v>
      </c>
      <c r="AA4" s="2" t="s">
        <v>112</v>
      </c>
      <c r="AB4" s="38" t="s">
        <v>87</v>
      </c>
      <c r="AC4" s="2" t="s">
        <v>87</v>
      </c>
      <c r="AG4" s="3" t="s">
        <v>1701</v>
      </c>
      <c r="AH4" s="3" t="s">
        <v>1700</v>
      </c>
      <c r="AI4" s="3" t="s">
        <v>1698</v>
      </c>
      <c r="AJ4" s="3" t="s">
        <v>1699</v>
      </c>
      <c r="AK4" s="2"/>
      <c r="AL4" s="2" t="s">
        <v>133</v>
      </c>
      <c r="AM4" s="2" t="s">
        <v>201</v>
      </c>
      <c r="AN4" s="2" t="s">
        <v>202</v>
      </c>
      <c r="AP4" s="46"/>
      <c r="AQ4" s="46" t="s">
        <v>131</v>
      </c>
      <c r="AR4" s="46" t="s">
        <v>111</v>
      </c>
      <c r="AS4" s="46" t="s">
        <v>112</v>
      </c>
      <c r="AT4" s="46" t="s">
        <v>67</v>
      </c>
      <c r="AU4" s="46" t="s">
        <v>133</v>
      </c>
      <c r="AV4" s="3"/>
      <c r="AW4" s="139" t="s">
        <v>237</v>
      </c>
      <c r="AX4" s="3"/>
      <c r="AY4" s="46" t="s">
        <v>131</v>
      </c>
      <c r="AZ4" s="46" t="s">
        <v>2097</v>
      </c>
      <c r="BA4" s="46" t="s">
        <v>67</v>
      </c>
      <c r="BB4" s="46" t="s">
        <v>133</v>
      </c>
      <c r="BC4" s="46" t="s">
        <v>2097</v>
      </c>
      <c r="BD4" s="46" t="s">
        <v>2202</v>
      </c>
      <c r="BE4" s="46" t="s">
        <v>2203</v>
      </c>
      <c r="BF4" s="46">
        <v>91</v>
      </c>
      <c r="BG4" s="138" t="s">
        <v>2200</v>
      </c>
      <c r="BH4" s="138">
        <v>6500</v>
      </c>
      <c r="BI4" s="46">
        <v>8689</v>
      </c>
      <c r="BJ4" s="46">
        <v>9699</v>
      </c>
      <c r="BK4" s="46" t="s">
        <v>293</v>
      </c>
      <c r="BL4" s="44"/>
      <c r="BM4" s="46" t="s">
        <v>1943</v>
      </c>
      <c r="BO4" s="46" t="s">
        <v>131</v>
      </c>
      <c r="BP4" s="46" t="s">
        <v>2097</v>
      </c>
    </row>
    <row r="5" spans="1:68">
      <c r="A5">
        <v>1926</v>
      </c>
      <c r="AI5" s="2"/>
      <c r="AJ5" s="2"/>
      <c r="AK5" s="2"/>
      <c r="AN5"/>
      <c r="AO5"/>
      <c r="AP5">
        <v>1926</v>
      </c>
      <c r="AQ5" s="2"/>
      <c r="AR5" s="2"/>
      <c r="AS5" s="2"/>
      <c r="AT5" s="2"/>
      <c r="AU5" s="2"/>
      <c r="AV5" s="12"/>
      <c r="AW5" s="12"/>
      <c r="AX5" s="12"/>
      <c r="AY5" s="7"/>
      <c r="AZ5" s="7"/>
      <c r="BA5" s="3"/>
      <c r="BD5" s="9"/>
      <c r="BE5" s="9"/>
      <c r="BO5" s="7"/>
      <c r="BP5" s="7"/>
    </row>
    <row r="6" spans="1:68">
      <c r="A6">
        <v>1927</v>
      </c>
      <c r="AI6" s="2"/>
      <c r="AJ6" s="2"/>
      <c r="AK6" s="2"/>
      <c r="AN6"/>
      <c r="AO6"/>
      <c r="AP6">
        <v>1927</v>
      </c>
      <c r="AQ6" s="2"/>
      <c r="AR6" s="2"/>
      <c r="AS6" s="2"/>
      <c r="AT6" s="2"/>
      <c r="AU6" s="2"/>
      <c r="AV6" s="12"/>
      <c r="AW6" s="12"/>
      <c r="AX6" s="12"/>
      <c r="AY6" s="7"/>
      <c r="AZ6" s="7"/>
      <c r="BA6" s="3"/>
      <c r="BD6" s="9"/>
      <c r="BE6" s="9"/>
      <c r="BO6" s="7"/>
      <c r="BP6" s="7"/>
    </row>
    <row r="7" spans="1:68">
      <c r="A7">
        <v>1928</v>
      </c>
      <c r="AI7" s="2"/>
      <c r="AJ7" s="2"/>
      <c r="AK7" s="2"/>
      <c r="AN7"/>
      <c r="AO7"/>
      <c r="AP7">
        <v>1928</v>
      </c>
      <c r="AQ7" s="2"/>
      <c r="AR7" s="2"/>
      <c r="AS7" s="2"/>
      <c r="AT7" s="2"/>
      <c r="AU7" s="2"/>
      <c r="AV7" s="12"/>
      <c r="AW7" s="12"/>
      <c r="AX7" s="12"/>
      <c r="AY7" s="7"/>
      <c r="AZ7" s="7"/>
      <c r="BA7" s="3"/>
      <c r="BD7" s="9"/>
      <c r="BE7" s="9"/>
      <c r="BO7" s="7"/>
      <c r="BP7" s="7"/>
    </row>
    <row r="8" spans="1:68">
      <c r="A8">
        <v>1929</v>
      </c>
      <c r="AI8" s="2"/>
      <c r="AJ8" s="2"/>
      <c r="AK8" s="2"/>
      <c r="AN8"/>
      <c r="AO8"/>
      <c r="AP8">
        <v>1929</v>
      </c>
      <c r="AQ8" s="2"/>
      <c r="AR8" s="2"/>
      <c r="AS8" s="2"/>
      <c r="AT8" s="2"/>
      <c r="AU8" s="2"/>
      <c r="AV8" s="12"/>
      <c r="AW8" s="12"/>
      <c r="AX8" s="12"/>
      <c r="AY8" s="7"/>
      <c r="AZ8" s="7"/>
      <c r="BA8" s="3"/>
      <c r="BD8" s="9"/>
      <c r="BE8" s="9"/>
      <c r="BO8" s="7"/>
      <c r="BP8" s="7"/>
    </row>
    <row r="9" spans="1:68">
      <c r="A9">
        <v>1930</v>
      </c>
      <c r="AI9" s="2"/>
      <c r="AJ9" s="2"/>
      <c r="AK9" s="2"/>
      <c r="AN9"/>
      <c r="AO9"/>
      <c r="AP9">
        <v>1930</v>
      </c>
      <c r="AQ9" s="2"/>
      <c r="AR9" s="2"/>
      <c r="AS9" s="2"/>
      <c r="AT9" s="2"/>
      <c r="AU9" s="2"/>
      <c r="AV9" s="12"/>
      <c r="AW9" s="12"/>
      <c r="AX9" s="12"/>
      <c r="AY9" s="7"/>
      <c r="AZ9" s="7"/>
      <c r="BA9" s="3"/>
      <c r="BD9" s="9"/>
      <c r="BE9" s="9"/>
      <c r="BO9" s="7"/>
      <c r="BP9" s="7"/>
    </row>
    <row r="10" spans="1:68">
      <c r="A10">
        <v>1931</v>
      </c>
      <c r="AI10" s="2"/>
      <c r="AJ10" s="2"/>
      <c r="AK10" s="2"/>
      <c r="AN10"/>
      <c r="AO10"/>
      <c r="AP10">
        <v>1931</v>
      </c>
      <c r="AQ10" s="2"/>
      <c r="AR10" s="2"/>
      <c r="AS10" s="2"/>
      <c r="AT10" s="2"/>
      <c r="AU10" s="2"/>
      <c r="AV10" s="12"/>
      <c r="AW10" s="12"/>
      <c r="AX10" s="12"/>
      <c r="AY10" s="7"/>
      <c r="AZ10" s="7"/>
      <c r="BA10" s="3"/>
      <c r="BD10" s="9"/>
      <c r="BE10" s="9"/>
      <c r="BO10" s="7"/>
      <c r="BP10" s="7"/>
    </row>
    <row r="11" spans="1:68">
      <c r="A11">
        <v>1932</v>
      </c>
      <c r="AI11" s="2"/>
      <c r="AJ11" s="2"/>
      <c r="AK11" s="2"/>
      <c r="AN11"/>
      <c r="AO11"/>
      <c r="AP11">
        <v>1932</v>
      </c>
      <c r="AQ11" s="2"/>
      <c r="AR11" s="2"/>
      <c r="AS11" s="2"/>
      <c r="AT11" s="2"/>
      <c r="AU11" s="2"/>
      <c r="AV11" s="12"/>
      <c r="AW11" s="12"/>
      <c r="AX11" s="12"/>
      <c r="AY11" s="7"/>
      <c r="AZ11" s="7"/>
      <c r="BA11" s="3"/>
      <c r="BD11" s="9"/>
      <c r="BE11" s="9"/>
      <c r="BO11" s="7"/>
      <c r="BP11" s="7"/>
    </row>
    <row r="12" spans="1:68">
      <c r="A12">
        <v>1933</v>
      </c>
      <c r="AI12" s="2"/>
      <c r="AJ12" s="2"/>
      <c r="AK12" s="2"/>
      <c r="AN12"/>
      <c r="AO12"/>
      <c r="AP12">
        <v>1933</v>
      </c>
      <c r="AQ12" s="2"/>
      <c r="AR12" s="2"/>
      <c r="AS12" s="2"/>
      <c r="AT12" s="2"/>
      <c r="AU12" s="2"/>
      <c r="AV12" s="12"/>
      <c r="AW12" s="12"/>
      <c r="AX12" s="12"/>
      <c r="AY12" s="7"/>
      <c r="AZ12" s="7"/>
      <c r="BA12" s="3"/>
      <c r="BD12" s="9"/>
      <c r="BE12" s="9"/>
      <c r="BO12" s="7"/>
      <c r="BP12" s="7"/>
    </row>
    <row r="13" spans="1:68">
      <c r="A13">
        <v>1934</v>
      </c>
      <c r="AI13" s="2"/>
      <c r="AJ13" s="2"/>
      <c r="AK13" s="2"/>
      <c r="AN13"/>
      <c r="AO13"/>
      <c r="AP13">
        <v>1934</v>
      </c>
      <c r="AQ13" s="2"/>
      <c r="AR13" s="2"/>
      <c r="AS13" s="2"/>
      <c r="AT13" s="2"/>
      <c r="AU13" s="2"/>
      <c r="AV13" s="12"/>
      <c r="AW13" s="12"/>
      <c r="AX13" s="12"/>
      <c r="AY13" s="7"/>
      <c r="AZ13" s="7"/>
      <c r="BA13" s="3"/>
      <c r="BD13" s="9"/>
      <c r="BE13" s="9"/>
      <c r="BO13" s="7"/>
      <c r="BP13" s="7"/>
    </row>
    <row r="14" spans="1:68">
      <c r="A14">
        <v>1935</v>
      </c>
      <c r="AI14" s="2"/>
      <c r="AJ14" s="2"/>
      <c r="AK14" s="2"/>
      <c r="AN14"/>
      <c r="AO14"/>
      <c r="AP14">
        <v>1935</v>
      </c>
      <c r="AQ14" s="2"/>
      <c r="AR14" s="2"/>
      <c r="AS14" s="2"/>
      <c r="AT14" s="2"/>
      <c r="AU14" s="2"/>
      <c r="AV14" s="12"/>
      <c r="AW14" s="12"/>
      <c r="AX14" s="12"/>
      <c r="AY14" s="7"/>
      <c r="AZ14" s="7"/>
      <c r="BA14" s="3"/>
      <c r="BD14" s="9"/>
      <c r="BE14" s="9"/>
      <c r="BO14" s="7"/>
      <c r="BP14" s="7"/>
    </row>
    <row r="15" spans="1:68">
      <c r="A15">
        <v>1936</v>
      </c>
      <c r="AI15" s="2"/>
      <c r="AJ15" s="2"/>
      <c r="AK15" s="2"/>
      <c r="AN15"/>
      <c r="AO15"/>
      <c r="AP15">
        <v>1936</v>
      </c>
      <c r="AQ15" s="2"/>
      <c r="AR15" s="2"/>
      <c r="AS15" s="2"/>
      <c r="AT15" s="2"/>
      <c r="AU15" s="2"/>
      <c r="AV15" s="12"/>
      <c r="AW15" s="12"/>
      <c r="AX15" s="12"/>
      <c r="AY15" s="7"/>
      <c r="AZ15" s="7"/>
      <c r="BA15" s="3"/>
      <c r="BD15" s="9"/>
      <c r="BE15" s="9"/>
      <c r="BO15" s="7"/>
      <c r="BP15" s="7"/>
    </row>
    <row r="16" spans="1:68">
      <c r="A16">
        <v>1937</v>
      </c>
      <c r="AI16" s="2"/>
      <c r="AJ16" s="2"/>
      <c r="AK16" s="2"/>
      <c r="AN16"/>
      <c r="AO16"/>
      <c r="AP16">
        <v>1937</v>
      </c>
      <c r="AQ16" s="2"/>
      <c r="AR16" s="2"/>
      <c r="AS16" s="2"/>
      <c r="AT16" s="2"/>
      <c r="AU16" s="2"/>
      <c r="AV16" s="12"/>
      <c r="AW16" s="12"/>
      <c r="AX16" s="12"/>
      <c r="AY16" s="7"/>
      <c r="AZ16" s="7"/>
      <c r="BA16" s="3"/>
      <c r="BD16" s="9"/>
      <c r="BE16" s="9"/>
      <c r="BO16" s="7"/>
      <c r="BP16" s="7"/>
    </row>
    <row r="17" spans="1:68">
      <c r="A17">
        <v>1938</v>
      </c>
      <c r="AI17" s="2"/>
      <c r="AJ17" s="2"/>
      <c r="AK17" s="2"/>
      <c r="AN17"/>
      <c r="AO17"/>
      <c r="AP17">
        <v>1938</v>
      </c>
      <c r="AQ17" s="2"/>
      <c r="AR17" s="2"/>
      <c r="AS17" s="2"/>
      <c r="AT17" s="2"/>
      <c r="AU17" s="2"/>
      <c r="AV17" s="12"/>
      <c r="AW17" s="12"/>
      <c r="AX17" s="12"/>
      <c r="AY17" s="7"/>
      <c r="AZ17" s="7"/>
      <c r="BA17" s="3"/>
      <c r="BD17" s="9"/>
      <c r="BE17" s="9"/>
      <c r="BO17" s="7"/>
      <c r="BP17" s="7"/>
    </row>
    <row r="18" spans="1:68">
      <c r="A18">
        <v>1939</v>
      </c>
      <c r="AI18" s="2"/>
      <c r="AJ18" s="2"/>
      <c r="AK18" s="2"/>
      <c r="AN18"/>
      <c r="AO18"/>
      <c r="AP18">
        <v>1939</v>
      </c>
      <c r="AQ18" s="2"/>
      <c r="AR18" s="2"/>
      <c r="AS18" s="2"/>
      <c r="AT18" s="2"/>
      <c r="AU18" s="2"/>
      <c r="AV18" s="12"/>
      <c r="AW18" s="12"/>
      <c r="AX18" s="12"/>
      <c r="AY18" s="7"/>
      <c r="AZ18" s="7"/>
      <c r="BA18" s="3"/>
      <c r="BD18" s="9"/>
      <c r="BE18" s="9"/>
      <c r="BO18" s="7"/>
      <c r="BP18" s="7"/>
    </row>
    <row r="19" spans="1:68">
      <c r="A19">
        <v>1940</v>
      </c>
      <c r="AI19" s="2"/>
      <c r="AJ19" s="2"/>
      <c r="AK19" s="2"/>
      <c r="AN19"/>
      <c r="AO19"/>
      <c r="AP19">
        <v>1940</v>
      </c>
      <c r="AQ19" s="2"/>
      <c r="AR19" s="2"/>
      <c r="AS19" s="2"/>
      <c r="AT19" s="2"/>
      <c r="AU19" s="2"/>
      <c r="AV19" s="12"/>
      <c r="AW19" s="12"/>
      <c r="AX19" s="12"/>
      <c r="AY19" s="7"/>
      <c r="AZ19" s="7"/>
      <c r="BA19" s="3"/>
      <c r="BD19" s="9"/>
      <c r="BE19" s="9"/>
      <c r="BO19" s="7"/>
      <c r="BP19" s="7"/>
    </row>
    <row r="20" spans="1:68">
      <c r="A20">
        <v>1941</v>
      </c>
      <c r="AI20" s="2"/>
      <c r="AJ20" s="2"/>
      <c r="AK20" s="2"/>
      <c r="AN20"/>
      <c r="AO20"/>
      <c r="AP20">
        <v>1941</v>
      </c>
      <c r="AQ20" s="2"/>
      <c r="AR20" s="2"/>
      <c r="AS20" s="2"/>
      <c r="AT20" s="2"/>
      <c r="AU20" s="2"/>
      <c r="AV20" s="12"/>
      <c r="AW20" s="12"/>
      <c r="AX20" s="12"/>
      <c r="AY20" s="7"/>
      <c r="AZ20" s="7"/>
      <c r="BA20" s="3"/>
      <c r="BD20" s="9"/>
      <c r="BE20" s="9"/>
      <c r="BO20" s="7"/>
      <c r="BP20" s="7"/>
    </row>
    <row r="21" spans="1:68">
      <c r="A21">
        <v>1942</v>
      </c>
      <c r="AI21" s="2"/>
      <c r="AJ21" s="2"/>
      <c r="AK21" s="2"/>
      <c r="AN21"/>
      <c r="AO21"/>
      <c r="AP21">
        <v>1942</v>
      </c>
      <c r="AQ21" s="2"/>
      <c r="AR21" s="2"/>
      <c r="AS21" s="2"/>
      <c r="AT21" s="2"/>
      <c r="AU21" s="2"/>
      <c r="AV21" s="12"/>
      <c r="AW21" s="12"/>
      <c r="AX21" s="12"/>
      <c r="AY21" s="7"/>
      <c r="AZ21" s="7"/>
      <c r="BA21" s="3"/>
      <c r="BD21" s="9"/>
      <c r="BE21" s="9"/>
      <c r="BO21" s="7"/>
      <c r="BP21" s="7"/>
    </row>
    <row r="22" spans="1:68">
      <c r="A22">
        <v>1943</v>
      </c>
      <c r="AI22" s="2"/>
      <c r="AJ22" s="2"/>
      <c r="AK22" s="2"/>
      <c r="AN22"/>
      <c r="AO22"/>
      <c r="AP22">
        <v>1943</v>
      </c>
      <c r="AQ22" s="2"/>
      <c r="AR22" s="2"/>
      <c r="AS22" s="2"/>
      <c r="AT22" s="2"/>
      <c r="AU22" s="2"/>
      <c r="AV22" s="12"/>
      <c r="AW22" s="12"/>
      <c r="AX22" s="12"/>
      <c r="AY22" s="7"/>
      <c r="AZ22" s="7"/>
      <c r="BA22" s="3"/>
      <c r="BD22" s="9"/>
      <c r="BE22" s="9"/>
      <c r="BO22" s="7"/>
      <c r="BP22" s="7"/>
    </row>
    <row r="23" spans="1:68">
      <c r="A23">
        <v>1944</v>
      </c>
      <c r="AI23" s="2"/>
      <c r="AJ23" s="2"/>
      <c r="AK23" s="2"/>
      <c r="AN23"/>
      <c r="AO23"/>
      <c r="AP23">
        <v>1944</v>
      </c>
      <c r="AQ23" s="2"/>
      <c r="AR23" s="2"/>
      <c r="AS23" s="2"/>
      <c r="AT23" s="2"/>
      <c r="AU23" s="2"/>
      <c r="AV23" s="12"/>
      <c r="AW23" s="12"/>
      <c r="AX23" s="12"/>
      <c r="AY23" s="7"/>
      <c r="AZ23" s="7"/>
      <c r="BA23" s="3"/>
      <c r="BD23" s="9"/>
      <c r="BE23" s="9"/>
      <c r="BO23" s="7"/>
      <c r="BP23" s="7"/>
    </row>
    <row r="24" spans="1:68">
      <c r="A24">
        <v>1945</v>
      </c>
      <c r="AI24" s="2"/>
      <c r="AJ24" s="2"/>
      <c r="AK24" s="2"/>
      <c r="AN24"/>
      <c r="AO24"/>
      <c r="AP24">
        <v>1945</v>
      </c>
      <c r="AQ24" s="2"/>
      <c r="AR24" s="2"/>
      <c r="AS24" s="2"/>
      <c r="AT24" s="2"/>
      <c r="AU24" s="2"/>
      <c r="AV24" s="12"/>
      <c r="AW24" s="12"/>
      <c r="AX24" s="12"/>
      <c r="AY24" s="7"/>
      <c r="AZ24" s="7"/>
      <c r="BA24" s="3"/>
      <c r="BD24" s="9"/>
      <c r="BE24" s="9"/>
      <c r="BO24" s="7"/>
      <c r="BP24" s="7"/>
    </row>
    <row r="25" spans="1:68">
      <c r="A25">
        <v>1946</v>
      </c>
      <c r="AI25" s="2"/>
      <c r="AJ25" s="2"/>
      <c r="AK25" s="2"/>
      <c r="AN25"/>
      <c r="AO25"/>
      <c r="AP25">
        <v>1946</v>
      </c>
      <c r="AQ25" s="2"/>
      <c r="AR25" s="2"/>
      <c r="AS25" s="2"/>
      <c r="AT25" s="2"/>
      <c r="AU25" s="2"/>
      <c r="AV25" s="12"/>
      <c r="AW25" s="12"/>
      <c r="AX25" s="12"/>
      <c r="AY25" s="7"/>
      <c r="AZ25" s="7"/>
      <c r="BA25" s="3"/>
      <c r="BD25" s="9"/>
      <c r="BE25" s="9"/>
      <c r="BO25" s="7"/>
      <c r="BP25" s="7"/>
    </row>
    <row r="26" spans="1:68">
      <c r="A26">
        <v>1947</v>
      </c>
      <c r="AI26" s="2"/>
      <c r="AJ26" s="2"/>
      <c r="AK26" s="2"/>
      <c r="AN26"/>
      <c r="AO26"/>
      <c r="AP26">
        <v>1947</v>
      </c>
      <c r="AQ26" s="2"/>
      <c r="AR26" s="2"/>
      <c r="AS26" s="2"/>
      <c r="AT26" s="2"/>
      <c r="AU26" s="2"/>
      <c r="AV26" s="12"/>
      <c r="AW26" s="12"/>
      <c r="AX26" s="12"/>
      <c r="AY26" s="7"/>
      <c r="AZ26" s="7"/>
      <c r="BA26" s="3"/>
      <c r="BD26" s="9"/>
      <c r="BE26" s="9"/>
      <c r="BO26" s="7"/>
      <c r="BP26" s="7"/>
    </row>
    <row r="27" spans="1:68">
      <c r="A27">
        <v>1948</v>
      </c>
      <c r="AI27" s="2"/>
      <c r="AJ27" s="2"/>
      <c r="AK27" s="2"/>
      <c r="AN27"/>
      <c r="AO27"/>
      <c r="AP27">
        <v>1948</v>
      </c>
      <c r="AQ27" s="2"/>
      <c r="AR27" s="2"/>
      <c r="AS27" s="2"/>
      <c r="AT27" s="2"/>
      <c r="AU27" s="2"/>
      <c r="AV27" s="12"/>
      <c r="AW27" s="12"/>
      <c r="AX27" s="12"/>
      <c r="AY27" s="7"/>
      <c r="AZ27" s="7"/>
      <c r="BA27" s="3"/>
      <c r="BD27" s="9"/>
      <c r="BE27" s="9"/>
      <c r="BO27" s="7"/>
      <c r="BP27" s="7"/>
    </row>
    <row r="28" spans="1:68">
      <c r="A28">
        <v>1949</v>
      </c>
      <c r="AI28" s="2"/>
      <c r="AJ28" s="2"/>
      <c r="AK28" s="2"/>
      <c r="AN28"/>
      <c r="AO28"/>
      <c r="AP28">
        <v>1949</v>
      </c>
      <c r="AQ28" s="2"/>
      <c r="AR28" s="2"/>
      <c r="AS28" s="2"/>
      <c r="AT28" s="2"/>
      <c r="AU28" s="2"/>
      <c r="AV28" s="12"/>
      <c r="AW28" s="12"/>
      <c r="AX28" s="12"/>
      <c r="AY28" s="7"/>
      <c r="AZ28" s="7"/>
      <c r="BA28" s="3"/>
      <c r="BD28" s="9"/>
      <c r="BE28" s="9"/>
      <c r="BO28" s="7"/>
      <c r="BP28" s="7"/>
    </row>
    <row r="29" spans="1:68">
      <c r="A29">
        <v>1950</v>
      </c>
      <c r="AI29" s="2"/>
      <c r="AJ29" s="2"/>
      <c r="AK29" s="2"/>
      <c r="AN29"/>
      <c r="AO29"/>
      <c r="AP29">
        <v>1950</v>
      </c>
      <c r="AQ29" s="2"/>
      <c r="AR29" s="2"/>
      <c r="AS29" s="2"/>
      <c r="AT29" s="2"/>
      <c r="AU29" s="2"/>
      <c r="AV29" s="12"/>
      <c r="AW29" s="12"/>
      <c r="AX29" s="12"/>
      <c r="AY29" s="7"/>
      <c r="AZ29" s="7"/>
      <c r="BA29" s="3"/>
      <c r="BD29" s="9"/>
      <c r="BE29" s="9"/>
      <c r="BO29" s="7"/>
      <c r="BP29" s="7"/>
    </row>
    <row r="30" spans="1:68">
      <c r="A30">
        <v>1951</v>
      </c>
      <c r="AI30" s="2"/>
      <c r="AJ30" s="2"/>
      <c r="AK30" s="2"/>
      <c r="AN30"/>
      <c r="AO30"/>
      <c r="AP30">
        <v>1951</v>
      </c>
      <c r="AQ30" s="2"/>
      <c r="AR30" s="2"/>
      <c r="AS30" s="2"/>
      <c r="AT30" s="2"/>
      <c r="AU30" s="2"/>
      <c r="AV30" s="12"/>
      <c r="AW30" s="12"/>
      <c r="AX30" s="12"/>
      <c r="AY30" s="7"/>
      <c r="AZ30" s="7"/>
      <c r="BA30" s="3"/>
      <c r="BD30" s="9"/>
      <c r="BE30" s="9"/>
      <c r="BO30" s="7"/>
      <c r="BP30" s="7"/>
    </row>
    <row r="31" spans="1:68">
      <c r="A31">
        <v>1952</v>
      </c>
      <c r="AI31" s="2"/>
      <c r="AJ31" s="2"/>
      <c r="AK31" s="2"/>
      <c r="AN31"/>
      <c r="AO31"/>
      <c r="AP31">
        <v>1952</v>
      </c>
      <c r="AQ31" s="2"/>
      <c r="AR31" s="2"/>
      <c r="AS31" s="2"/>
      <c r="AT31" s="2"/>
      <c r="AU31" s="2"/>
      <c r="AV31" s="12"/>
      <c r="AW31" s="12"/>
      <c r="AX31" s="12"/>
      <c r="AY31" s="7"/>
      <c r="AZ31" s="7"/>
      <c r="BA31" s="3"/>
      <c r="BD31" s="9"/>
      <c r="BE31" s="9"/>
      <c r="BO31" s="7"/>
      <c r="BP31" s="7"/>
    </row>
    <row r="32" spans="1:68">
      <c r="A32">
        <v>1953</v>
      </c>
      <c r="AI32" s="2"/>
      <c r="AJ32" s="2"/>
      <c r="AK32" s="2"/>
      <c r="AN32"/>
      <c r="AO32"/>
      <c r="AP32">
        <v>1953</v>
      </c>
      <c r="AQ32" s="2"/>
      <c r="AR32" s="2"/>
      <c r="AS32" s="2"/>
      <c r="AT32" s="2"/>
      <c r="AU32" s="2"/>
      <c r="AV32" s="12"/>
      <c r="AW32" s="12"/>
      <c r="AX32" s="12"/>
      <c r="AY32" s="7"/>
      <c r="AZ32" s="7"/>
      <c r="BA32" s="3"/>
      <c r="BD32" s="9"/>
      <c r="BE32" s="9"/>
      <c r="BO32" s="7"/>
      <c r="BP32" s="7"/>
    </row>
    <row r="33" spans="1:68">
      <c r="A33">
        <v>1954</v>
      </c>
      <c r="AI33" s="2"/>
      <c r="AJ33" s="2"/>
      <c r="AK33" s="2"/>
      <c r="AN33"/>
      <c r="AO33"/>
      <c r="AP33">
        <v>1954</v>
      </c>
      <c r="AQ33" s="2"/>
      <c r="AR33" s="2"/>
      <c r="AS33" s="2"/>
      <c r="AT33" s="2"/>
      <c r="AU33" s="2"/>
      <c r="AV33" s="12"/>
      <c r="AW33" s="12"/>
      <c r="AX33" s="12"/>
      <c r="AY33" s="7"/>
      <c r="AZ33" s="7"/>
      <c r="BA33" s="3"/>
      <c r="BD33" s="9"/>
      <c r="BE33" s="9"/>
      <c r="BO33" s="7"/>
      <c r="BP33" s="7"/>
    </row>
    <row r="34" spans="1:68">
      <c r="A34">
        <v>1955</v>
      </c>
      <c r="AI34" s="2"/>
      <c r="AJ34" s="2"/>
      <c r="AK34" s="2"/>
      <c r="AN34"/>
      <c r="AO34"/>
      <c r="AP34">
        <v>1955</v>
      </c>
      <c r="AQ34" s="2"/>
      <c r="AR34" s="2"/>
      <c r="AS34" s="2"/>
      <c r="AT34" s="2"/>
      <c r="AU34" s="2"/>
      <c r="AV34" s="12"/>
      <c r="AW34" s="12"/>
      <c r="AX34" s="12"/>
      <c r="AY34" s="7"/>
      <c r="AZ34" s="7"/>
      <c r="BA34" s="3"/>
      <c r="BD34" s="9"/>
      <c r="BE34" s="9"/>
      <c r="BO34" s="7"/>
      <c r="BP34" s="7"/>
    </row>
    <row r="35" spans="1:68">
      <c r="A35">
        <v>1956</v>
      </c>
      <c r="AI35" s="2"/>
      <c r="AJ35" s="2"/>
      <c r="AK35" s="2"/>
      <c r="AN35"/>
      <c r="AO35"/>
      <c r="AP35">
        <v>1956</v>
      </c>
      <c r="AQ35" s="2"/>
      <c r="AR35" s="2"/>
      <c r="AS35" s="2"/>
      <c r="AT35" s="2"/>
      <c r="AU35" s="2"/>
      <c r="AV35" s="12"/>
      <c r="AW35" s="12"/>
      <c r="AX35" s="12"/>
      <c r="AY35" s="7"/>
      <c r="AZ35" s="7"/>
      <c r="BA35" s="3"/>
      <c r="BD35" s="9"/>
      <c r="BE35" s="9"/>
      <c r="BO35" s="7"/>
      <c r="BP35" s="7"/>
    </row>
    <row r="36" spans="1:68">
      <c r="A36">
        <v>1957</v>
      </c>
      <c r="AI36" s="2"/>
      <c r="AJ36" s="2"/>
      <c r="AK36" s="2"/>
      <c r="AN36"/>
      <c r="AO36"/>
      <c r="AP36">
        <v>1957</v>
      </c>
      <c r="AQ36" s="2"/>
      <c r="AR36" s="2"/>
      <c r="AS36" s="2"/>
      <c r="AT36" s="2"/>
      <c r="AU36" s="2"/>
      <c r="AV36" s="12"/>
      <c r="AW36" s="12"/>
      <c r="AX36" s="12"/>
      <c r="AY36" s="7"/>
      <c r="AZ36" s="7"/>
      <c r="BA36" s="3"/>
      <c r="BD36" s="9"/>
      <c r="BE36" s="9"/>
      <c r="BO36" s="7"/>
      <c r="BP36" s="7"/>
    </row>
    <row r="37" spans="1:68">
      <c r="A37">
        <v>1958</v>
      </c>
      <c r="AI37" s="2"/>
      <c r="AJ37" s="2"/>
      <c r="AK37" s="2"/>
      <c r="AN37"/>
      <c r="AO37"/>
      <c r="AP37">
        <v>1958</v>
      </c>
      <c r="AQ37" s="2"/>
      <c r="AR37" s="2"/>
      <c r="AS37" s="2"/>
      <c r="AT37" s="2"/>
      <c r="AU37" s="2"/>
      <c r="AV37" s="12"/>
      <c r="AW37" s="12"/>
      <c r="AX37" s="12"/>
      <c r="AY37" s="7"/>
      <c r="AZ37" s="7"/>
      <c r="BA37" s="3"/>
      <c r="BD37" s="9"/>
      <c r="BE37" s="9"/>
      <c r="BO37" s="7"/>
      <c r="BP37" s="7"/>
    </row>
    <row r="38" spans="1:68">
      <c r="A38">
        <v>1959</v>
      </c>
      <c r="AI38" s="2"/>
      <c r="AJ38" s="2"/>
      <c r="AK38" s="2"/>
      <c r="AN38"/>
      <c r="AO38"/>
      <c r="AP38">
        <v>1959</v>
      </c>
      <c r="AQ38" s="2"/>
      <c r="AR38" s="2"/>
      <c r="AS38" s="2"/>
      <c r="AT38" s="2"/>
      <c r="AU38" s="2"/>
      <c r="AV38" s="12"/>
      <c r="AW38" s="12"/>
      <c r="AX38" s="12"/>
      <c r="AY38" s="7"/>
      <c r="AZ38" s="7"/>
      <c r="BA38" s="3"/>
      <c r="BD38" s="9"/>
      <c r="BE38" s="9"/>
      <c r="BO38" s="7"/>
      <c r="BP38" s="7"/>
    </row>
    <row r="39" spans="1:68">
      <c r="A39">
        <v>1960</v>
      </c>
      <c r="AI39" s="2"/>
      <c r="AJ39" s="2"/>
      <c r="AK39" s="2"/>
      <c r="AN39"/>
      <c r="AO39"/>
      <c r="AP39">
        <v>1960</v>
      </c>
      <c r="AQ39" s="2"/>
      <c r="AR39" s="2"/>
      <c r="AS39" s="2"/>
      <c r="AT39" s="2"/>
      <c r="AU39" s="2"/>
      <c r="AV39" s="12"/>
      <c r="AW39" s="12"/>
      <c r="AX39" s="12"/>
      <c r="AY39" s="7"/>
      <c r="AZ39" s="7"/>
      <c r="BA39" s="3"/>
      <c r="BD39" s="9"/>
      <c r="BE39" s="9"/>
      <c r="BO39" s="7"/>
      <c r="BP39" s="7"/>
    </row>
    <row r="40" spans="1:68">
      <c r="A40">
        <v>1961</v>
      </c>
      <c r="AI40" s="2"/>
      <c r="AJ40" s="2"/>
      <c r="AK40" s="2"/>
      <c r="AN40"/>
      <c r="AO40"/>
      <c r="AP40">
        <v>1961</v>
      </c>
      <c r="AQ40" s="2"/>
      <c r="AR40" s="2"/>
      <c r="AS40" s="2"/>
      <c r="AT40" s="2"/>
      <c r="AU40" s="2"/>
      <c r="AV40" s="12"/>
      <c r="AW40" s="12"/>
      <c r="AX40" s="12"/>
      <c r="AY40" s="7"/>
      <c r="AZ40" s="7"/>
      <c r="BA40" s="3"/>
      <c r="BD40" s="9"/>
      <c r="BE40" s="9"/>
      <c r="BO40" s="7"/>
      <c r="BP40" s="7"/>
    </row>
    <row r="41" spans="1:68">
      <c r="A41">
        <v>1962</v>
      </c>
      <c r="AI41" s="2"/>
      <c r="AJ41" s="2"/>
      <c r="AK41" s="2"/>
      <c r="AN41"/>
      <c r="AO41"/>
      <c r="AP41">
        <v>1962</v>
      </c>
      <c r="AQ41" s="2"/>
      <c r="AR41" s="2"/>
      <c r="AS41" s="2"/>
      <c r="AT41" s="2"/>
      <c r="AU41" s="2"/>
      <c r="AV41" s="12"/>
      <c r="AW41" s="12"/>
      <c r="AX41" s="12"/>
      <c r="AY41" s="7"/>
      <c r="AZ41" s="7"/>
      <c r="BA41" s="3"/>
      <c r="BD41" s="9"/>
      <c r="BE41" s="9"/>
      <c r="BO41" s="7"/>
      <c r="BP41" s="7"/>
    </row>
    <row r="42" spans="1:68">
      <c r="A42">
        <v>1963</v>
      </c>
      <c r="AI42" s="2"/>
      <c r="AJ42" s="2"/>
      <c r="AK42" s="2"/>
      <c r="AN42"/>
      <c r="AO42"/>
      <c r="AP42" s="46" t="s">
        <v>2103</v>
      </c>
      <c r="AQ42" s="46" t="s">
        <v>2133</v>
      </c>
      <c r="AR42" s="46" t="s">
        <v>2133</v>
      </c>
      <c r="AS42" s="46" t="s">
        <v>2133</v>
      </c>
      <c r="AT42" s="46" t="s">
        <v>2133</v>
      </c>
      <c r="AU42" s="46" t="s">
        <v>2133</v>
      </c>
      <c r="AV42" s="3"/>
      <c r="AW42" s="46"/>
      <c r="AX42" s="3"/>
      <c r="AY42" s="46" t="s">
        <v>2131</v>
      </c>
      <c r="AZ42" s="46" t="s">
        <v>2131</v>
      </c>
      <c r="BA42" s="46" t="s">
        <v>2131</v>
      </c>
      <c r="BB42" s="46" t="s">
        <v>2131</v>
      </c>
      <c r="BC42" s="46" t="s">
        <v>2131</v>
      </c>
      <c r="BD42" s="46" t="s">
        <v>2132</v>
      </c>
      <c r="BE42" s="46" t="s">
        <v>2132</v>
      </c>
      <c r="BF42" s="46" t="s">
        <v>2098</v>
      </c>
      <c r="BG42" s="46" t="s">
        <v>126</v>
      </c>
      <c r="BH42" s="46" t="s">
        <v>126</v>
      </c>
      <c r="BI42" s="46" t="s">
        <v>126</v>
      </c>
      <c r="BJ42" s="46" t="s">
        <v>126</v>
      </c>
      <c r="BK42" s="46" t="s">
        <v>126</v>
      </c>
      <c r="BL42" s="44"/>
      <c r="BM42" s="46"/>
      <c r="BO42" s="46" t="s">
        <v>2463</v>
      </c>
      <c r="BP42" s="46" t="s">
        <v>2463</v>
      </c>
    </row>
    <row r="43" spans="1:68">
      <c r="A43">
        <v>1964</v>
      </c>
      <c r="AI43" s="2"/>
      <c r="AJ43" s="2"/>
      <c r="AK43" s="2"/>
      <c r="AN43"/>
      <c r="AO43"/>
      <c r="AP43" s="46"/>
      <c r="AQ43" s="46" t="s">
        <v>131</v>
      </c>
      <c r="AR43" s="46" t="s">
        <v>111</v>
      </c>
      <c r="AS43" s="46" t="s">
        <v>112</v>
      </c>
      <c r="AT43" s="46" t="s">
        <v>67</v>
      </c>
      <c r="AU43" s="46" t="s">
        <v>133</v>
      </c>
      <c r="AV43" s="3"/>
      <c r="AW43" s="139" t="s">
        <v>237</v>
      </c>
      <c r="AX43" s="3"/>
      <c r="AY43" s="46" t="s">
        <v>131</v>
      </c>
      <c r="AZ43" s="46" t="s">
        <v>2097</v>
      </c>
      <c r="BA43" s="46" t="s">
        <v>67</v>
      </c>
      <c r="BB43" s="46" t="s">
        <v>133</v>
      </c>
      <c r="BC43" s="46" t="s">
        <v>2097</v>
      </c>
      <c r="BD43" s="46" t="s">
        <v>2202</v>
      </c>
      <c r="BE43" s="46" t="s">
        <v>2203</v>
      </c>
      <c r="BF43" s="46">
        <v>91</v>
      </c>
      <c r="BG43" s="138" t="s">
        <v>2200</v>
      </c>
      <c r="BH43" s="138">
        <v>6500</v>
      </c>
      <c r="BI43" s="46">
        <v>8689</v>
      </c>
      <c r="BJ43" s="46">
        <v>9699</v>
      </c>
      <c r="BK43" s="46" t="s">
        <v>293</v>
      </c>
      <c r="BL43" s="44"/>
      <c r="BM43" s="46" t="s">
        <v>1943</v>
      </c>
      <c r="BO43" s="46" t="s">
        <v>131</v>
      </c>
      <c r="BP43" s="46" t="s">
        <v>2097</v>
      </c>
    </row>
    <row r="44" spans="1:68">
      <c r="A44">
        <v>1965</v>
      </c>
      <c r="B44" s="3">
        <f t="shared" ref="B44:B88" si="0">I44/G44*100/C44*100</f>
        <v>97.590029209386984</v>
      </c>
      <c r="C44" s="3">
        <f t="shared" ref="C44:C87" si="1">E44/E$89*100</f>
        <v>14.459024846529534</v>
      </c>
      <c r="D44" s="2">
        <v>72.4893</v>
      </c>
      <c r="E44" s="2">
        <v>20.692699999999999</v>
      </c>
      <c r="F44" s="2">
        <f>D44*E44/100</f>
        <v>14.999993381099998</v>
      </c>
      <c r="G44" s="2">
        <f>M44*G45/M45</f>
        <v>5.1832162088974849</v>
      </c>
      <c r="H44" s="2">
        <f>F44*G44/100</f>
        <v>0.77748208826272502</v>
      </c>
      <c r="I44" s="32">
        <f t="shared" ref="I44:I74" si="2">H44*K$75/H$75</f>
        <v>0.73138117368159794</v>
      </c>
      <c r="J44" s="32">
        <f t="shared" ref="J44:J89" si="3">Q44+AB44</f>
        <v>0.86530065030687098</v>
      </c>
      <c r="M44" s="2">
        <v>5.18</v>
      </c>
      <c r="P44" s="32">
        <f t="shared" ref="P44:P78" si="4">I44-AB44</f>
        <v>0.25598341078855924</v>
      </c>
      <c r="Q44" s="32">
        <f t="shared" ref="Q44:Q89" si="5">Q$107+Q$108*S44+Q$109*T44+Q$110*U44+Q$111*V44</f>
        <v>0.38990288741383233</v>
      </c>
      <c r="S44" s="2">
        <f>USA!Z52*G44</f>
        <v>17.1046134893617</v>
      </c>
      <c r="T44" s="2">
        <v>1</v>
      </c>
      <c r="U44" s="2">
        <v>0</v>
      </c>
      <c r="V44" s="2">
        <v>0</v>
      </c>
      <c r="X44" s="2">
        <f>AE44/100</f>
        <v>0.65</v>
      </c>
      <c r="Y44" s="2">
        <f t="shared" ref="Y44:Y68" si="6">AB44-AA44</f>
        <v>0.36541095937422574</v>
      </c>
      <c r="Z44" s="2">
        <v>0.17699999999999999</v>
      </c>
      <c r="AA44" s="2">
        <f>Z44*(I44*(1/(1+Z44)))</f>
        <v>0.10998680351881293</v>
      </c>
      <c r="AB44" s="2">
        <f>I44*X44</f>
        <v>0.4753977628930387</v>
      </c>
      <c r="AE44" s="4">
        <v>65</v>
      </c>
      <c r="AI44" s="2"/>
      <c r="AJ44" s="2"/>
      <c r="AK44" s="2"/>
      <c r="AN44"/>
      <c r="AO44"/>
      <c r="AP44">
        <v>1965</v>
      </c>
      <c r="AQ44" s="2">
        <f t="shared" ref="AQ44:AQ75" si="7">I44</f>
        <v>0.73138117368159794</v>
      </c>
      <c r="AR44" s="2">
        <f>Y44</f>
        <v>0.36541095937422574</v>
      </c>
      <c r="AS44" s="2">
        <f>AA44</f>
        <v>0.10998680351881293</v>
      </c>
      <c r="AT44" s="2">
        <f>AB44</f>
        <v>0.4753977628930387</v>
      </c>
      <c r="AU44" s="2">
        <f t="shared" ref="AU44:AU75" si="8">AQ44-AT44</f>
        <v>0.25598341078855924</v>
      </c>
      <c r="AV44" s="12"/>
      <c r="AW44" s="7">
        <v>11.010400120880865</v>
      </c>
      <c r="AX44" s="12"/>
      <c r="AY44" s="22">
        <f t="shared" ref="AY44:AY75" si="9">AQ44/$AW44*100</f>
        <v>6.6426393741545988</v>
      </c>
      <c r="AZ44" s="22">
        <f>BC44+BA44</f>
        <v>6.5503554736978051</v>
      </c>
      <c r="BA44" s="1">
        <f t="shared" ref="BA44:BA75" si="10">AT44/$AW44*100</f>
        <v>4.3177155932004903</v>
      </c>
      <c r="BB44" s="1">
        <f t="shared" ref="BB44:BB51" si="11">AY44-BA44</f>
        <v>2.3249237809541086</v>
      </c>
      <c r="BC44" s="1">
        <f t="shared" ref="BC44:BC75" si="12">AZ$99+AZ$100*BD44+AZ$101*BE44+AZ$102*BF44+AZ$103*BG44+AZ$104*BH44+AZ$105*BI44+AZ$106*BJ44+AZ$107*BK44</f>
        <v>2.2326398804973149</v>
      </c>
      <c r="BD44" s="3">
        <v>0</v>
      </c>
      <c r="BE44" s="3">
        <f>S44/AW44*100</f>
        <v>155.34960856620785</v>
      </c>
      <c r="BF44">
        <v>0</v>
      </c>
      <c r="BG44">
        <v>0</v>
      </c>
      <c r="BH44" s="23">
        <v>1</v>
      </c>
      <c r="BI44">
        <v>0</v>
      </c>
      <c r="BJ44">
        <v>0</v>
      </c>
      <c r="BK44">
        <v>0</v>
      </c>
      <c r="BM44" s="3">
        <f t="shared" ref="BM44:BM95" si="13">S44/AW44*100</f>
        <v>155.34960856620785</v>
      </c>
      <c r="BO44" s="22">
        <f t="shared" ref="BO44:BO96" si="14">AY44*$AW$97/$AW$89</f>
        <v>7.2030028023638408</v>
      </c>
      <c r="BP44" s="22">
        <f t="shared" ref="BP44:BP96" si="15">AZ44*$AW$97/$AW$89</f>
        <v>7.1029339658423716</v>
      </c>
    </row>
    <row r="45" spans="1:68">
      <c r="A45">
        <v>1966</v>
      </c>
      <c r="B45" s="3">
        <f t="shared" si="0"/>
        <v>101.07295930483009</v>
      </c>
      <c r="C45" s="3">
        <f t="shared" si="1"/>
        <v>14.891495218110531</v>
      </c>
      <c r="D45" s="2">
        <v>75.076400000000007</v>
      </c>
      <c r="E45" s="2">
        <v>21.311620000000001</v>
      </c>
      <c r="F45" s="2">
        <f t="shared" ref="F45:F77" si="16">D45*E45/100</f>
        <v>15.999997077680002</v>
      </c>
      <c r="G45" s="2">
        <f>M45*G46/M46</f>
        <v>5.1832162088974849</v>
      </c>
      <c r="H45" s="2">
        <f t="shared" ref="H45:H78" si="17">F45*G45/100</f>
        <v>0.82931444195343373</v>
      </c>
      <c r="I45" s="32">
        <f t="shared" si="2"/>
        <v>0.7801401203496785</v>
      </c>
      <c r="J45" s="32">
        <f t="shared" si="3"/>
        <v>0.92039816925161366</v>
      </c>
      <c r="M45" s="2">
        <v>5.18</v>
      </c>
      <c r="P45" s="32">
        <f t="shared" si="4"/>
        <v>0.24964483851189712</v>
      </c>
      <c r="Q45" s="32">
        <f t="shared" si="5"/>
        <v>0.38990288741383233</v>
      </c>
      <c r="S45" s="2">
        <f>USA!Z53*G45</f>
        <v>17.1046134893617</v>
      </c>
      <c r="T45" s="2">
        <v>1</v>
      </c>
      <c r="U45" s="2">
        <v>0</v>
      </c>
      <c r="V45" s="2">
        <v>0</v>
      </c>
      <c r="X45" s="2">
        <f t="shared" ref="X45:X78" si="18">AE45/100</f>
        <v>0.68</v>
      </c>
      <c r="Y45" s="2">
        <f t="shared" si="6"/>
        <v>0.41317599441051456</v>
      </c>
      <c r="Z45" s="2">
        <v>0.17699999999999999</v>
      </c>
      <c r="AA45" s="2">
        <f t="shared" ref="AA45:AA96" si="19">Z45*(I45*(1/(1+Z45)))</f>
        <v>0.11731928742726684</v>
      </c>
      <c r="AB45" s="2">
        <f t="shared" ref="AB45:AB68" si="20">I45*X45</f>
        <v>0.53049528183778139</v>
      </c>
      <c r="AE45" s="4">
        <v>68</v>
      </c>
      <c r="AI45" s="2"/>
      <c r="AJ45" s="2"/>
      <c r="AK45" s="2"/>
      <c r="AN45"/>
      <c r="AO45"/>
      <c r="AP45">
        <v>1966</v>
      </c>
      <c r="AQ45" s="1">
        <f t="shared" si="7"/>
        <v>0.7801401203496785</v>
      </c>
      <c r="AR45" s="1">
        <f t="shared" ref="AR45:AR96" si="21">Y45</f>
        <v>0.41317599441051456</v>
      </c>
      <c r="AS45" s="1">
        <f t="shared" ref="AS45:AS96" si="22">AA45</f>
        <v>0.11731928742726684</v>
      </c>
      <c r="AT45" s="1">
        <f t="shared" ref="AT45:AT76" si="23">AB45</f>
        <v>0.53049528183778139</v>
      </c>
      <c r="AU45" s="1">
        <f t="shared" si="8"/>
        <v>0.24964483851189712</v>
      </c>
      <c r="AV45" s="12"/>
      <c r="AW45" s="7">
        <v>11.715595659175058</v>
      </c>
      <c r="AX45" s="12"/>
      <c r="AY45" s="22">
        <f t="shared" si="9"/>
        <v>6.6589880962536681</v>
      </c>
      <c r="AZ45" s="22">
        <f t="shared" ref="AZ45:AZ89" si="24">BC45+BA45</f>
        <v>6.6894979341546366</v>
      </c>
      <c r="BA45" s="1">
        <f t="shared" si="10"/>
        <v>4.5281119054524943</v>
      </c>
      <c r="BB45" s="1">
        <f t="shared" si="11"/>
        <v>2.1308761908011737</v>
      </c>
      <c r="BC45" s="1">
        <f t="shared" si="12"/>
        <v>2.1613860287021422</v>
      </c>
      <c r="BD45" s="3">
        <v>0</v>
      </c>
      <c r="BE45" s="3">
        <f t="shared" ref="BE45:BE79" si="25">S45/AW45*100</f>
        <v>145.9986669646305</v>
      </c>
      <c r="BF45">
        <v>0</v>
      </c>
      <c r="BG45">
        <v>0</v>
      </c>
      <c r="BH45" s="23">
        <v>1</v>
      </c>
      <c r="BI45">
        <v>0</v>
      </c>
      <c r="BJ45">
        <v>0</v>
      </c>
      <c r="BK45">
        <v>0</v>
      </c>
      <c r="BM45" s="3">
        <f t="shared" si="13"/>
        <v>145.9986669646305</v>
      </c>
      <c r="BO45" s="22">
        <f t="shared" si="14"/>
        <v>7.2207306789595274</v>
      </c>
      <c r="BP45" s="22">
        <f t="shared" si="15"/>
        <v>7.2538142825577303</v>
      </c>
    </row>
    <row r="46" spans="1:68">
      <c r="A46">
        <v>1967</v>
      </c>
      <c r="B46" s="3">
        <f t="shared" si="0"/>
        <v>104.48978763857623</v>
      </c>
      <c r="C46" s="3">
        <f t="shared" si="1"/>
        <v>15.30482682623647</v>
      </c>
      <c r="D46" s="2">
        <v>77.614400000000003</v>
      </c>
      <c r="E46" s="2">
        <v>21.90315</v>
      </c>
      <c r="F46" s="2">
        <f t="shared" si="16"/>
        <v>16.9999984536</v>
      </c>
      <c r="G46" s="2">
        <f>M46*G47/M47</f>
        <v>5.1682068955512568</v>
      </c>
      <c r="H46" s="2">
        <f t="shared" si="17"/>
        <v>0.87859509232256217</v>
      </c>
      <c r="I46" s="32">
        <f t="shared" si="2"/>
        <v>0.82649866731929844</v>
      </c>
      <c r="J46" s="32">
        <f t="shared" si="3"/>
        <v>0.9267448136811447</v>
      </c>
      <c r="M46" s="2">
        <v>5.165</v>
      </c>
      <c r="P46" s="32">
        <f t="shared" si="4"/>
        <v>0.28927453356175448</v>
      </c>
      <c r="Q46" s="32">
        <f t="shared" si="5"/>
        <v>0.38952067992360079</v>
      </c>
      <c r="S46" s="2">
        <f>USA!Z54*G46</f>
        <v>17.055082755319148</v>
      </c>
      <c r="T46" s="2">
        <v>1</v>
      </c>
      <c r="U46" s="2">
        <v>0</v>
      </c>
      <c r="V46" s="2">
        <v>0</v>
      </c>
      <c r="X46" s="2">
        <f t="shared" si="18"/>
        <v>0.65</v>
      </c>
      <c r="Y46" s="2">
        <f t="shared" si="6"/>
        <v>0.41293334011649396</v>
      </c>
      <c r="Z46" s="2">
        <v>0.17699999999999999</v>
      </c>
      <c r="AA46" s="2">
        <f t="shared" si="19"/>
        <v>0.12429079364104997</v>
      </c>
      <c r="AB46" s="2">
        <f t="shared" si="20"/>
        <v>0.53722413375754396</v>
      </c>
      <c r="AE46" s="4">
        <v>65</v>
      </c>
      <c r="AI46" s="2"/>
      <c r="AJ46" s="2"/>
      <c r="AK46" s="2"/>
      <c r="AN46"/>
      <c r="AO46"/>
      <c r="AP46">
        <v>1967</v>
      </c>
      <c r="AQ46" s="1">
        <f t="shared" si="7"/>
        <v>0.82649866731929844</v>
      </c>
      <c r="AR46" s="1">
        <f t="shared" si="21"/>
        <v>0.41293334011649396</v>
      </c>
      <c r="AS46" s="1">
        <f t="shared" si="22"/>
        <v>0.12429079364104997</v>
      </c>
      <c r="AT46" s="1">
        <f t="shared" si="23"/>
        <v>0.53722413375754396</v>
      </c>
      <c r="AU46" s="1">
        <f t="shared" si="8"/>
        <v>0.28927453356175448</v>
      </c>
      <c r="AV46" s="12"/>
      <c r="AW46" s="7">
        <v>12.218114461123402</v>
      </c>
      <c r="AX46" s="12"/>
      <c r="AY46" s="22">
        <f t="shared" si="9"/>
        <v>6.764535313113325</v>
      </c>
      <c r="AZ46" s="22">
        <f t="shared" si="24"/>
        <v>6.5094887346836439</v>
      </c>
      <c r="BA46" s="1">
        <f t="shared" si="10"/>
        <v>4.3969479535236609</v>
      </c>
      <c r="BB46" s="1">
        <f t="shared" si="11"/>
        <v>2.3675873595896642</v>
      </c>
      <c r="BC46" s="1">
        <f t="shared" si="12"/>
        <v>2.112540781159983</v>
      </c>
      <c r="BD46" s="3">
        <v>0</v>
      </c>
      <c r="BE46" s="3">
        <f t="shared" si="25"/>
        <v>139.58850041539884</v>
      </c>
      <c r="BF46">
        <v>0</v>
      </c>
      <c r="BG46">
        <v>0</v>
      </c>
      <c r="BH46" s="23">
        <v>1</v>
      </c>
      <c r="BI46">
        <v>0</v>
      </c>
      <c r="BJ46">
        <v>0</v>
      </c>
      <c r="BK46">
        <v>0</v>
      </c>
      <c r="BM46" s="3">
        <f t="shared" si="13"/>
        <v>139.58850041539884</v>
      </c>
      <c r="BO46" s="22">
        <f t="shared" si="14"/>
        <v>7.3351817060286546</v>
      </c>
      <c r="BP46" s="22">
        <f t="shared" si="15"/>
        <v>7.0586197679667801</v>
      </c>
    </row>
    <row r="47" spans="1:68">
      <c r="A47">
        <v>1968</v>
      </c>
      <c r="B47" s="3">
        <f t="shared" si="0"/>
        <v>100.26102503844625</v>
      </c>
      <c r="C47" s="3">
        <f t="shared" si="1"/>
        <v>15.950346083448959</v>
      </c>
      <c r="D47" s="2">
        <v>74.473299999999995</v>
      </c>
      <c r="E47" s="2">
        <v>22.826969999999999</v>
      </c>
      <c r="F47" s="2">
        <f t="shared" si="16"/>
        <v>16.999997849010001</v>
      </c>
      <c r="G47" s="2">
        <f>M47*G48/M48</f>
        <v>5.1832162088974849</v>
      </c>
      <c r="H47" s="2">
        <f t="shared" si="17"/>
        <v>0.88114664402211018</v>
      </c>
      <c r="I47" s="32">
        <f t="shared" si="2"/>
        <v>0.82889892438617774</v>
      </c>
      <c r="J47" s="32">
        <f t="shared" si="3"/>
        <v>0.92868718826484797</v>
      </c>
      <c r="M47" s="2">
        <v>5.18</v>
      </c>
      <c r="P47" s="32">
        <f t="shared" si="4"/>
        <v>0.29011462353516215</v>
      </c>
      <c r="Q47" s="32">
        <f t="shared" si="5"/>
        <v>0.38990288741383233</v>
      </c>
      <c r="S47" s="2">
        <f>USA!Z55*G47</f>
        <v>17.1046134893617</v>
      </c>
      <c r="T47" s="2">
        <v>1</v>
      </c>
      <c r="U47" s="2">
        <v>0</v>
      </c>
      <c r="V47" s="2">
        <v>0</v>
      </c>
      <c r="X47" s="2">
        <f t="shared" si="18"/>
        <v>0.65</v>
      </c>
      <c r="Y47" s="2">
        <f t="shared" si="6"/>
        <v>0.41413255096456403</v>
      </c>
      <c r="Z47" s="2">
        <v>0.17699999999999999</v>
      </c>
      <c r="AA47" s="2">
        <f t="shared" si="19"/>
        <v>0.12465174988645153</v>
      </c>
      <c r="AB47" s="2">
        <f t="shared" si="20"/>
        <v>0.53878430085101559</v>
      </c>
      <c r="AE47" s="4">
        <v>65</v>
      </c>
      <c r="AI47" s="2"/>
      <c r="AJ47" s="2"/>
      <c r="AK47" s="2"/>
      <c r="AN47"/>
      <c r="AO47"/>
      <c r="AP47">
        <v>1968</v>
      </c>
      <c r="AQ47" s="1">
        <f t="shared" si="7"/>
        <v>0.82889892438617774</v>
      </c>
      <c r="AR47" s="1">
        <f t="shared" si="21"/>
        <v>0.41413255096456403</v>
      </c>
      <c r="AS47" s="1">
        <f t="shared" si="22"/>
        <v>0.12465174988645153</v>
      </c>
      <c r="AT47" s="1">
        <f t="shared" si="23"/>
        <v>0.53878430085101559</v>
      </c>
      <c r="AU47" s="1">
        <f t="shared" si="8"/>
        <v>0.29011462353516215</v>
      </c>
      <c r="AV47" s="12"/>
      <c r="AW47" s="7">
        <v>12.455527575564963</v>
      </c>
      <c r="AX47" s="12"/>
      <c r="AY47" s="22">
        <f t="shared" si="9"/>
        <v>6.6548680443877561</v>
      </c>
      <c r="AZ47" s="22">
        <f t="shared" si="24"/>
        <v>6.4209609007887343</v>
      </c>
      <c r="BA47" s="1">
        <f t="shared" si="10"/>
        <v>4.3256642288520419</v>
      </c>
      <c r="BB47" s="1">
        <f t="shared" si="11"/>
        <v>2.3292038155357142</v>
      </c>
      <c r="BC47" s="1">
        <f t="shared" si="12"/>
        <v>2.0952966719366923</v>
      </c>
      <c r="BD47" s="3">
        <v>0</v>
      </c>
      <c r="BE47" s="3">
        <f t="shared" si="25"/>
        <v>137.32548369060845</v>
      </c>
      <c r="BF47">
        <v>0</v>
      </c>
      <c r="BG47">
        <v>0</v>
      </c>
      <c r="BH47" s="23">
        <v>1</v>
      </c>
      <c r="BI47">
        <v>0</v>
      </c>
      <c r="BJ47">
        <v>0</v>
      </c>
      <c r="BK47">
        <v>0</v>
      </c>
      <c r="BM47" s="3">
        <f t="shared" si="13"/>
        <v>137.32548369060845</v>
      </c>
      <c r="BO47" s="22">
        <f t="shared" si="14"/>
        <v>7.2162630654907742</v>
      </c>
      <c r="BP47" s="22">
        <f t="shared" si="15"/>
        <v>6.9626238543374361</v>
      </c>
    </row>
    <row r="48" spans="1:68">
      <c r="A48">
        <v>1969</v>
      </c>
      <c r="B48" s="3">
        <f t="shared" si="0"/>
        <v>89.516325032748284</v>
      </c>
      <c r="C48" s="3">
        <f t="shared" si="1"/>
        <v>16.814008114047141</v>
      </c>
      <c r="D48" s="2">
        <v>66.492199999999997</v>
      </c>
      <c r="E48" s="2">
        <v>24.06298</v>
      </c>
      <c r="F48" s="2">
        <f t="shared" si="16"/>
        <v>16.000004787559998</v>
      </c>
      <c r="G48" s="2">
        <f>M48*G49/M49</f>
        <v>5.1732099999999992</v>
      </c>
      <c r="H48" s="2">
        <f t="shared" si="17"/>
        <v>0.82771384767053247</v>
      </c>
      <c r="I48" s="32">
        <f t="shared" si="2"/>
        <v>0.778634433539797</v>
      </c>
      <c r="J48" s="32">
        <f t="shared" si="3"/>
        <v>0.91133315289200856</v>
      </c>
      <c r="M48" s="2">
        <v>5.17</v>
      </c>
      <c r="P48" s="32">
        <f t="shared" si="4"/>
        <v>0.25694936306813299</v>
      </c>
      <c r="Q48" s="32">
        <f t="shared" si="5"/>
        <v>0.3896480824203446</v>
      </c>
      <c r="S48" s="2">
        <f>USA!Z56*G48</f>
        <v>17.071592999999996</v>
      </c>
      <c r="T48" s="2">
        <v>1</v>
      </c>
      <c r="U48" s="2">
        <v>0</v>
      </c>
      <c r="V48" s="2">
        <v>0</v>
      </c>
      <c r="X48" s="2">
        <f t="shared" si="18"/>
        <v>0.67</v>
      </c>
      <c r="Y48" s="2">
        <f t="shared" si="6"/>
        <v>0.40459221173203441</v>
      </c>
      <c r="Z48" s="2">
        <v>0.17699999999999999</v>
      </c>
      <c r="AA48" s="2">
        <f t="shared" si="19"/>
        <v>0.1170928587396296</v>
      </c>
      <c r="AB48" s="2">
        <f t="shared" si="20"/>
        <v>0.52168507047166401</v>
      </c>
      <c r="AE48" s="4">
        <v>67</v>
      </c>
      <c r="AI48" s="2"/>
      <c r="AJ48" s="2"/>
      <c r="AK48" s="2"/>
      <c r="AN48"/>
      <c r="AO48"/>
      <c r="AP48">
        <v>1969</v>
      </c>
      <c r="AQ48" s="1">
        <f t="shared" si="7"/>
        <v>0.778634433539797</v>
      </c>
      <c r="AR48" s="1">
        <f t="shared" si="21"/>
        <v>0.40459221173203441</v>
      </c>
      <c r="AS48" s="1">
        <f t="shared" si="22"/>
        <v>0.1170928587396296</v>
      </c>
      <c r="AT48" s="1">
        <f t="shared" si="23"/>
        <v>0.52168507047166401</v>
      </c>
      <c r="AU48" s="1">
        <f t="shared" si="8"/>
        <v>0.25694936306813299</v>
      </c>
      <c r="AV48" s="12"/>
      <c r="AW48" s="7">
        <v>12.790829506012242</v>
      </c>
      <c r="AX48" s="12"/>
      <c r="AY48" s="22">
        <f t="shared" si="9"/>
        <v>6.087442829050338</v>
      </c>
      <c r="AZ48" s="22">
        <f t="shared" si="24"/>
        <v>6.144485225912832</v>
      </c>
      <c r="BA48" s="1">
        <f t="shared" si="10"/>
        <v>4.0785866954637271</v>
      </c>
      <c r="BB48" s="1">
        <f t="shared" si="11"/>
        <v>2.0088561335866109</v>
      </c>
      <c r="BC48" s="1">
        <f t="shared" si="12"/>
        <v>2.0658985304491049</v>
      </c>
      <c r="BD48" s="3">
        <v>0</v>
      </c>
      <c r="BE48" s="3">
        <f t="shared" si="25"/>
        <v>133.46744237326917</v>
      </c>
      <c r="BF48">
        <v>0</v>
      </c>
      <c r="BG48">
        <v>0</v>
      </c>
      <c r="BH48" s="23">
        <v>1</v>
      </c>
      <c r="BI48">
        <v>0</v>
      </c>
      <c r="BJ48">
        <v>0</v>
      </c>
      <c r="BK48">
        <v>0</v>
      </c>
      <c r="BM48" s="3">
        <f t="shared" si="13"/>
        <v>133.46744237326917</v>
      </c>
      <c r="BO48" s="22">
        <f t="shared" si="14"/>
        <v>6.6009706815462517</v>
      </c>
      <c r="BP48" s="22">
        <f t="shared" si="15"/>
        <v>6.6628250923174797</v>
      </c>
    </row>
    <row r="49" spans="1:68">
      <c r="A49">
        <v>1970</v>
      </c>
      <c r="B49" s="3">
        <f t="shared" si="0"/>
        <v>100.38272767097997</v>
      </c>
      <c r="C49" s="3">
        <f t="shared" si="1"/>
        <v>17.805240938511318</v>
      </c>
      <c r="D49" s="2">
        <v>74.563699999999997</v>
      </c>
      <c r="E49" s="2">
        <v>25.481560000000002</v>
      </c>
      <c r="F49" s="2">
        <f t="shared" si="16"/>
        <v>18.999993953720001</v>
      </c>
      <c r="G49" s="2">
        <v>5.1732099999999992</v>
      </c>
      <c r="H49" s="2">
        <f t="shared" si="17"/>
        <v>0.98290958721323829</v>
      </c>
      <c r="I49" s="32">
        <f t="shared" si="2"/>
        <v>0.92462781891894885</v>
      </c>
      <c r="J49" s="32">
        <f t="shared" si="3"/>
        <v>1.0296372499234063</v>
      </c>
      <c r="M49" s="2">
        <v>5.17</v>
      </c>
      <c r="P49" s="32">
        <f t="shared" si="4"/>
        <v>0.28663462386487415</v>
      </c>
      <c r="Q49" s="32">
        <f t="shared" si="5"/>
        <v>0.39164405486933168</v>
      </c>
      <c r="S49" s="2">
        <f>USA!Z57*G49</f>
        <v>17.330253499999998</v>
      </c>
      <c r="T49" s="2">
        <v>1</v>
      </c>
      <c r="U49" s="2">
        <v>0</v>
      </c>
      <c r="V49" s="2">
        <v>0</v>
      </c>
      <c r="X49" s="2">
        <f t="shared" si="18"/>
        <v>0.69</v>
      </c>
      <c r="Y49" s="2">
        <f t="shared" si="6"/>
        <v>0.49894551115547325</v>
      </c>
      <c r="Z49" s="2">
        <v>0.17699999999999999</v>
      </c>
      <c r="AA49" s="2">
        <f t="shared" si="19"/>
        <v>0.13904768389860148</v>
      </c>
      <c r="AB49" s="2">
        <f t="shared" si="20"/>
        <v>0.6379931950540747</v>
      </c>
      <c r="AE49" s="4">
        <v>69</v>
      </c>
      <c r="AI49" s="2"/>
      <c r="AJ49" s="2"/>
      <c r="AK49" s="2"/>
      <c r="AN49"/>
      <c r="AO49"/>
      <c r="AP49">
        <v>1970</v>
      </c>
      <c r="AQ49" s="1">
        <f t="shared" si="7"/>
        <v>0.92462781891894885</v>
      </c>
      <c r="AR49" s="1">
        <f t="shared" si="21"/>
        <v>0.49894551115547325</v>
      </c>
      <c r="AS49" s="1">
        <f t="shared" si="22"/>
        <v>0.13904768389860148</v>
      </c>
      <c r="AT49" s="1">
        <f t="shared" si="23"/>
        <v>0.6379931950540747</v>
      </c>
      <c r="AU49" s="1">
        <f t="shared" si="8"/>
        <v>0.28663462386487415</v>
      </c>
      <c r="AV49" s="12"/>
      <c r="AW49" s="7">
        <v>13.688280918590053</v>
      </c>
      <c r="AX49" s="12"/>
      <c r="AY49" s="22">
        <f t="shared" si="9"/>
        <v>6.7548863470738087</v>
      </c>
      <c r="AZ49" s="22">
        <f t="shared" si="24"/>
        <v>6.6744899728030926</v>
      </c>
      <c r="BA49" s="1">
        <f t="shared" si="10"/>
        <v>4.6608715794809283</v>
      </c>
      <c r="BB49" s="1">
        <f t="shared" si="11"/>
        <v>2.0940147675928804</v>
      </c>
      <c r="BC49" s="1">
        <f t="shared" si="12"/>
        <v>2.0136183933221643</v>
      </c>
      <c r="BD49" s="3">
        <v>0</v>
      </c>
      <c r="BE49" s="3">
        <f t="shared" si="25"/>
        <v>126.60650086793427</v>
      </c>
      <c r="BF49">
        <v>0</v>
      </c>
      <c r="BG49">
        <v>0</v>
      </c>
      <c r="BH49" s="23">
        <v>1</v>
      </c>
      <c r="BI49">
        <v>0</v>
      </c>
      <c r="BJ49">
        <v>0</v>
      </c>
      <c r="BK49">
        <v>0</v>
      </c>
      <c r="BM49" s="3">
        <f t="shared" si="13"/>
        <v>126.60650086793427</v>
      </c>
      <c r="BO49" s="22">
        <f t="shared" si="14"/>
        <v>7.3247187672015119</v>
      </c>
      <c r="BP49" s="22">
        <f t="shared" si="15"/>
        <v>7.2375402713426169</v>
      </c>
    </row>
    <row r="50" spans="1:68">
      <c r="A50">
        <v>1971</v>
      </c>
      <c r="B50" s="3">
        <f t="shared" si="0"/>
        <v>101.35257918068473</v>
      </c>
      <c r="C50" s="3">
        <f t="shared" si="1"/>
        <v>18.563021376325832</v>
      </c>
      <c r="D50" s="2">
        <v>75.284099999999995</v>
      </c>
      <c r="E50" s="2">
        <v>26.566040000000001</v>
      </c>
      <c r="F50" s="2">
        <f t="shared" si="16"/>
        <v>20.00000411964</v>
      </c>
      <c r="G50" s="2">
        <v>5.1168099999999992</v>
      </c>
      <c r="H50" s="2">
        <f t="shared" si="17"/>
        <v>1.0233622107941514</v>
      </c>
      <c r="I50" s="32">
        <f t="shared" si="2"/>
        <v>0.96268179824497846</v>
      </c>
      <c r="J50" s="32">
        <f t="shared" si="3"/>
        <v>1.062728215691753</v>
      </c>
      <c r="P50" s="32">
        <f t="shared" si="4"/>
        <v>0.2984313574559434</v>
      </c>
      <c r="Q50" s="32">
        <f t="shared" si="5"/>
        <v>0.39847777490271791</v>
      </c>
      <c r="S50" s="2">
        <f>USA!Z58*G50</f>
        <v>18.215843599999996</v>
      </c>
      <c r="T50" s="2">
        <v>1</v>
      </c>
      <c r="U50" s="2">
        <v>0</v>
      </c>
      <c r="V50" s="2">
        <v>0</v>
      </c>
      <c r="X50" s="2">
        <f t="shared" si="18"/>
        <v>0.69</v>
      </c>
      <c r="Y50" s="2">
        <f t="shared" si="6"/>
        <v>0.5194801108915319</v>
      </c>
      <c r="Z50" s="2">
        <v>0.17699999999999999</v>
      </c>
      <c r="AA50" s="2">
        <f t="shared" si="19"/>
        <v>0.14477032989750313</v>
      </c>
      <c r="AB50" s="2">
        <f t="shared" si="20"/>
        <v>0.66425044078903506</v>
      </c>
      <c r="AE50" s="4">
        <v>69</v>
      </c>
      <c r="AI50" s="2"/>
      <c r="AJ50" s="2"/>
      <c r="AK50" s="2"/>
      <c r="AN50"/>
      <c r="AO50"/>
      <c r="AP50">
        <v>1971</v>
      </c>
      <c r="AQ50" s="1">
        <f t="shared" si="7"/>
        <v>0.96268179824497846</v>
      </c>
      <c r="AR50" s="1">
        <f t="shared" si="21"/>
        <v>0.5194801108915319</v>
      </c>
      <c r="AS50" s="1">
        <f t="shared" si="22"/>
        <v>0.14477032989750313</v>
      </c>
      <c r="AT50" s="1">
        <f t="shared" si="23"/>
        <v>0.66425044078903506</v>
      </c>
      <c r="AU50" s="1">
        <f t="shared" si="8"/>
        <v>0.2984313574559434</v>
      </c>
      <c r="AV50" s="12"/>
      <c r="AW50" s="7">
        <v>14.700603483002364</v>
      </c>
      <c r="AX50" s="12"/>
      <c r="AY50" s="22">
        <f t="shared" si="9"/>
        <v>6.548586929496353</v>
      </c>
      <c r="AZ50" s="22">
        <f t="shared" si="24"/>
        <v>6.5116130201569469</v>
      </c>
      <c r="BA50" s="1">
        <f t="shared" si="10"/>
        <v>4.518524981352483</v>
      </c>
      <c r="BB50" s="1">
        <f t="shared" si="11"/>
        <v>2.03006194814387</v>
      </c>
      <c r="BC50" s="1">
        <f t="shared" si="12"/>
        <v>1.9930880388044641</v>
      </c>
      <c r="BD50" s="3">
        <v>0</v>
      </c>
      <c r="BE50" s="3">
        <f t="shared" si="25"/>
        <v>123.91221640024604</v>
      </c>
      <c r="BF50">
        <v>0</v>
      </c>
      <c r="BG50">
        <v>0</v>
      </c>
      <c r="BH50" s="23">
        <v>1</v>
      </c>
      <c r="BI50">
        <v>0</v>
      </c>
      <c r="BJ50">
        <v>0</v>
      </c>
      <c r="BK50">
        <v>0</v>
      </c>
      <c r="BM50" s="3">
        <f t="shared" si="13"/>
        <v>123.91221640024604</v>
      </c>
      <c r="BO50" s="22">
        <f t="shared" si="14"/>
        <v>7.1010162298158264</v>
      </c>
      <c r="BP50" s="22">
        <f t="shared" si="15"/>
        <v>7.0609232550831758</v>
      </c>
    </row>
    <row r="51" spans="1:68">
      <c r="A51">
        <v>1972</v>
      </c>
      <c r="B51" s="3">
        <f t="shared" si="0"/>
        <v>95.36235945215698</v>
      </c>
      <c r="C51" s="3">
        <f t="shared" si="1"/>
        <v>19.17664269444656</v>
      </c>
      <c r="D51" s="2">
        <v>70.834599999999995</v>
      </c>
      <c r="E51" s="2">
        <v>27.444210000000002</v>
      </c>
      <c r="F51" s="2">
        <f t="shared" si="16"/>
        <v>19.439996376659998</v>
      </c>
      <c r="G51" s="2">
        <v>4.7624199999999988</v>
      </c>
      <c r="H51" s="2">
        <f t="shared" si="17"/>
        <v>0.92581427544133077</v>
      </c>
      <c r="I51" s="32">
        <f t="shared" si="2"/>
        <v>0.87091798204185333</v>
      </c>
      <c r="J51" s="32">
        <f t="shared" si="3"/>
        <v>1.0070940953901348</v>
      </c>
      <c r="P51" s="32">
        <f t="shared" si="4"/>
        <v>0.25256621479213748</v>
      </c>
      <c r="Q51" s="32">
        <f t="shared" si="5"/>
        <v>0.38874232814041892</v>
      </c>
      <c r="S51" s="2">
        <f>USA!Z59*G51</f>
        <v>16.954215199999997</v>
      </c>
      <c r="T51" s="2">
        <v>1</v>
      </c>
      <c r="U51" s="2">
        <v>0</v>
      </c>
      <c r="V51" s="2">
        <v>0</v>
      </c>
      <c r="X51" s="2">
        <f t="shared" si="18"/>
        <v>0.71</v>
      </c>
      <c r="Y51" s="2">
        <f t="shared" si="6"/>
        <v>0.48738109365463683</v>
      </c>
      <c r="Z51" s="2">
        <v>0.17699999999999999</v>
      </c>
      <c r="AA51" s="2">
        <f t="shared" si="19"/>
        <v>0.13097067359507902</v>
      </c>
      <c r="AB51" s="2">
        <f t="shared" si="20"/>
        <v>0.61835176724971586</v>
      </c>
      <c r="AE51" s="4">
        <v>71</v>
      </c>
      <c r="AI51" s="2"/>
      <c r="AJ51" s="2"/>
      <c r="AK51" s="2"/>
      <c r="AN51"/>
      <c r="AO51"/>
      <c r="AP51">
        <v>1972</v>
      </c>
      <c r="AQ51" s="1">
        <f t="shared" si="7"/>
        <v>0.87091798204185333</v>
      </c>
      <c r="AR51" s="1">
        <f t="shared" si="21"/>
        <v>0.48738109365463683</v>
      </c>
      <c r="AS51" s="1">
        <f t="shared" si="22"/>
        <v>0.13097067359507902</v>
      </c>
      <c r="AT51" s="1">
        <f t="shared" si="23"/>
        <v>0.61835176724971586</v>
      </c>
      <c r="AU51" s="1">
        <f t="shared" si="8"/>
        <v>0.25256621479213748</v>
      </c>
      <c r="AV51" s="12"/>
      <c r="AW51" s="7">
        <v>15.583726066579899</v>
      </c>
      <c r="AX51" s="12"/>
      <c r="AY51" s="22">
        <f t="shared" si="9"/>
        <v>5.588637648794287</v>
      </c>
      <c r="AZ51" s="22">
        <f t="shared" si="24"/>
        <v>5.8458232341239968</v>
      </c>
      <c r="BA51" s="1">
        <f t="shared" si="10"/>
        <v>3.9679327306439438</v>
      </c>
      <c r="BB51" s="1">
        <f t="shared" si="11"/>
        <v>1.6207049181503432</v>
      </c>
      <c r="BC51" s="1">
        <f t="shared" si="12"/>
        <v>1.8778905034800533</v>
      </c>
      <c r="BD51" s="3">
        <v>0</v>
      </c>
      <c r="BE51" s="3">
        <f t="shared" si="25"/>
        <v>108.79436103769291</v>
      </c>
      <c r="BF51">
        <v>0</v>
      </c>
      <c r="BG51">
        <v>0</v>
      </c>
      <c r="BH51" s="23">
        <v>1</v>
      </c>
      <c r="BI51">
        <v>0</v>
      </c>
      <c r="BJ51">
        <v>0</v>
      </c>
      <c r="BK51">
        <v>0</v>
      </c>
      <c r="BM51" s="3">
        <f t="shared" si="13"/>
        <v>108.79436103769291</v>
      </c>
      <c r="BO51" s="22">
        <f t="shared" si="14"/>
        <v>6.0600870193686411</v>
      </c>
      <c r="BP51" s="22">
        <f t="shared" si="15"/>
        <v>6.3389684078518522</v>
      </c>
    </row>
    <row r="52" spans="1:68">
      <c r="A52">
        <v>1973</v>
      </c>
      <c r="B52" s="3">
        <f t="shared" si="0"/>
        <v>99.753481980202622</v>
      </c>
      <c r="C52" s="3">
        <f t="shared" si="1"/>
        <v>20.369443941469338</v>
      </c>
      <c r="D52" s="2">
        <v>74.096299999999999</v>
      </c>
      <c r="E52" s="2">
        <v>29.151260000000001</v>
      </c>
      <c r="F52" s="2">
        <f t="shared" si="16"/>
        <v>21.600005063379999</v>
      </c>
      <c r="G52" s="2">
        <v>4.3672500000000003</v>
      </c>
      <c r="H52" s="2">
        <f t="shared" si="17"/>
        <v>0.94332622113046316</v>
      </c>
      <c r="I52" s="32">
        <f t="shared" si="2"/>
        <v>0.88739155434007211</v>
      </c>
      <c r="J52" s="32">
        <f t="shared" si="3"/>
        <v>0.96513818654065942</v>
      </c>
      <c r="P52" s="32">
        <f t="shared" si="4"/>
        <v>0.31058704401902526</v>
      </c>
      <c r="Q52" s="32">
        <f t="shared" si="5"/>
        <v>0.38833367621961262</v>
      </c>
      <c r="S52" s="2">
        <f>USA!Z60*G52</f>
        <v>16.901257500000003</v>
      </c>
      <c r="T52" s="2">
        <v>1</v>
      </c>
      <c r="U52" s="2">
        <v>0</v>
      </c>
      <c r="V52" s="2">
        <v>0</v>
      </c>
      <c r="X52" s="2">
        <f t="shared" si="18"/>
        <v>0.65</v>
      </c>
      <c r="Y52" s="2">
        <f t="shared" si="6"/>
        <v>0.44335650257406911</v>
      </c>
      <c r="Z52" s="2">
        <v>0.17699999999999999</v>
      </c>
      <c r="AA52" s="2">
        <f t="shared" si="19"/>
        <v>0.13344800774697771</v>
      </c>
      <c r="AB52" s="2">
        <f t="shared" si="20"/>
        <v>0.57680451032104685</v>
      </c>
      <c r="AE52" s="4">
        <v>65</v>
      </c>
      <c r="AI52" s="2"/>
      <c r="AJ52" s="2"/>
      <c r="AK52" s="2"/>
      <c r="AN52"/>
      <c r="AO52"/>
      <c r="AP52">
        <v>1973</v>
      </c>
      <c r="AQ52" s="1">
        <f t="shared" si="7"/>
        <v>0.88739155434007211</v>
      </c>
      <c r="AR52" s="1">
        <f t="shared" si="21"/>
        <v>0.44335650257406911</v>
      </c>
      <c r="AS52" s="1">
        <f t="shared" si="22"/>
        <v>0.13344800774697771</v>
      </c>
      <c r="AT52" s="1">
        <f t="shared" si="23"/>
        <v>0.57680451032104685</v>
      </c>
      <c r="AU52" s="1">
        <f t="shared" si="8"/>
        <v>0.31058704401902526</v>
      </c>
      <c r="AV52" s="12"/>
      <c r="AW52" s="7">
        <v>16.630640160383695</v>
      </c>
      <c r="AX52" s="12"/>
      <c r="AY52" s="22">
        <f t="shared" si="9"/>
        <v>5.3358833200777918</v>
      </c>
      <c r="AZ52" s="22">
        <f t="shared" si="24"/>
        <v>5.2916013054005164</v>
      </c>
      <c r="BA52" s="1">
        <f t="shared" si="10"/>
        <v>3.4683241580505646</v>
      </c>
      <c r="BB52" s="1">
        <f>AY52-BA52</f>
        <v>1.8675591620272272</v>
      </c>
      <c r="BC52" s="1">
        <f t="shared" si="12"/>
        <v>1.8232771473499521</v>
      </c>
      <c r="BD52" s="3">
        <v>0</v>
      </c>
      <c r="BE52" s="3">
        <f t="shared" si="25"/>
        <v>101.62722142386889</v>
      </c>
      <c r="BF52">
        <v>0</v>
      </c>
      <c r="BG52">
        <v>0</v>
      </c>
      <c r="BH52" s="23">
        <v>1</v>
      </c>
      <c r="BI52">
        <v>0</v>
      </c>
      <c r="BJ52">
        <v>0</v>
      </c>
      <c r="BK52">
        <v>0</v>
      </c>
      <c r="BM52" s="3">
        <f t="shared" si="13"/>
        <v>101.62722142386889</v>
      </c>
      <c r="BO52" s="22">
        <f t="shared" si="14"/>
        <v>5.7860107018828355</v>
      </c>
      <c r="BP52" s="22">
        <f t="shared" si="15"/>
        <v>5.7379931206400894</v>
      </c>
    </row>
    <row r="53" spans="1:68">
      <c r="A53">
        <v>1974</v>
      </c>
      <c r="B53" s="3">
        <f t="shared" si="0"/>
        <v>131.93090411201243</v>
      </c>
      <c r="C53" s="3">
        <f t="shared" si="1"/>
        <v>22.617266903639468</v>
      </c>
      <c r="D53" s="2">
        <v>97.997500000000002</v>
      </c>
      <c r="E53" s="2">
        <v>32.368180000000002</v>
      </c>
      <c r="F53" s="2">
        <f t="shared" si="16"/>
        <v>31.720007195500003</v>
      </c>
      <c r="G53" s="2">
        <v>4.4394299999999998</v>
      </c>
      <c r="H53" s="2">
        <f t="shared" si="17"/>
        <v>1.4081875154391859</v>
      </c>
      <c r="I53" s="32">
        <f t="shared" si="2"/>
        <v>1.3246888299472388</v>
      </c>
      <c r="J53" s="32">
        <f t="shared" si="3"/>
        <v>1.3939240707786906</v>
      </c>
      <c r="P53" s="32">
        <f t="shared" si="4"/>
        <v>0.60935686177572979</v>
      </c>
      <c r="Q53" s="32">
        <f t="shared" si="5"/>
        <v>0.6785921026071815</v>
      </c>
      <c r="S53" s="2">
        <f>USA!Z61*G53</f>
        <v>54.516200399999995</v>
      </c>
      <c r="T53" s="2">
        <v>1</v>
      </c>
      <c r="U53" s="2">
        <v>0</v>
      </c>
      <c r="V53" s="2">
        <v>0</v>
      </c>
      <c r="X53" s="2">
        <f t="shared" si="18"/>
        <v>0.54</v>
      </c>
      <c r="Y53" s="2">
        <f t="shared" si="6"/>
        <v>0.51612217811147398</v>
      </c>
      <c r="Z53" s="2">
        <v>0.17699999999999999</v>
      </c>
      <c r="AA53" s="2">
        <f t="shared" si="19"/>
        <v>0.19920979006003503</v>
      </c>
      <c r="AB53" s="2">
        <f t="shared" si="20"/>
        <v>0.71533196817150901</v>
      </c>
      <c r="AE53" s="4">
        <v>54</v>
      </c>
      <c r="AI53" s="2"/>
      <c r="AJ53" s="2"/>
      <c r="AK53" s="2"/>
      <c r="AN53"/>
      <c r="AO53"/>
      <c r="AP53">
        <v>1974</v>
      </c>
      <c r="AQ53" s="1">
        <f t="shared" si="7"/>
        <v>1.3246888299472388</v>
      </c>
      <c r="AR53" s="1">
        <f t="shared" si="21"/>
        <v>0.51612217811147398</v>
      </c>
      <c r="AS53" s="1">
        <f t="shared" si="22"/>
        <v>0.19920979006003503</v>
      </c>
      <c r="AT53" s="1">
        <f t="shared" si="23"/>
        <v>0.71533196817150901</v>
      </c>
      <c r="AU53" s="1">
        <f t="shared" si="8"/>
        <v>0.60935686177572979</v>
      </c>
      <c r="AV53" s="12"/>
      <c r="AW53" s="7">
        <v>18.279023312514084</v>
      </c>
      <c r="AX53" s="12"/>
      <c r="AY53" s="22">
        <f t="shared" si="9"/>
        <v>7.2470438233991281</v>
      </c>
      <c r="AZ53" s="22">
        <f t="shared" si="24"/>
        <v>7.2348984590372893</v>
      </c>
      <c r="BA53" s="1">
        <f t="shared" si="10"/>
        <v>3.9134036646355299</v>
      </c>
      <c r="BB53" s="1">
        <f t="shared" ref="BB53:BB89" si="26">AY53-BA53</f>
        <v>3.3336401587635982</v>
      </c>
      <c r="BC53" s="1">
        <f t="shared" si="12"/>
        <v>3.321494794401759</v>
      </c>
      <c r="BD53" s="3">
        <v>0</v>
      </c>
      <c r="BE53" s="3">
        <f t="shared" si="25"/>
        <v>298.24460239446938</v>
      </c>
      <c r="BF53">
        <v>0</v>
      </c>
      <c r="BG53">
        <v>0</v>
      </c>
      <c r="BH53" s="23">
        <v>1</v>
      </c>
      <c r="BI53">
        <v>0</v>
      </c>
      <c r="BJ53">
        <v>0</v>
      </c>
      <c r="BK53">
        <v>0</v>
      </c>
      <c r="BM53" s="3">
        <f t="shared" si="13"/>
        <v>298.24460239446938</v>
      </c>
      <c r="BO53" s="22">
        <f t="shared" si="14"/>
        <v>7.8583939347815308</v>
      </c>
      <c r="BP53" s="22">
        <f t="shared" si="15"/>
        <v>7.8452240050884576</v>
      </c>
    </row>
    <row r="54" spans="1:68">
      <c r="A54">
        <v>1975</v>
      </c>
      <c r="B54" s="3">
        <f t="shared" si="0"/>
        <v>115.93656643704352</v>
      </c>
      <c r="C54" s="3">
        <f t="shared" si="1"/>
        <v>24.682660206706046</v>
      </c>
      <c r="D54" s="2">
        <v>86.117000000000004</v>
      </c>
      <c r="E54" s="2">
        <v>35.324019999999997</v>
      </c>
      <c r="F54" s="2">
        <f t="shared" si="16"/>
        <v>30.419986303400002</v>
      </c>
      <c r="G54" s="2">
        <v>4.15219</v>
      </c>
      <c r="H54" s="2">
        <f t="shared" si="17"/>
        <v>1.2630956292911444</v>
      </c>
      <c r="I54" s="32">
        <f t="shared" si="2"/>
        <v>1.1882001884921674</v>
      </c>
      <c r="J54" s="32">
        <f t="shared" si="3"/>
        <v>1.2936153444699476</v>
      </c>
      <c r="P54" s="32">
        <f t="shared" si="4"/>
        <v>0.55845408859131862</v>
      </c>
      <c r="Q54" s="32">
        <f t="shared" si="5"/>
        <v>0.66386924456909902</v>
      </c>
      <c r="S54" s="2">
        <f>USA!Z62*G54</f>
        <v>52.608247300000002</v>
      </c>
      <c r="T54" s="2">
        <v>1</v>
      </c>
      <c r="U54" s="2">
        <v>0</v>
      </c>
      <c r="V54" s="2">
        <v>0</v>
      </c>
      <c r="X54" s="2">
        <f t="shared" si="18"/>
        <v>0.53</v>
      </c>
      <c r="Y54" s="2">
        <f t="shared" si="6"/>
        <v>0.45106178948189068</v>
      </c>
      <c r="Z54" s="2">
        <v>0.17699999999999999</v>
      </c>
      <c r="AA54" s="2">
        <f t="shared" si="19"/>
        <v>0.17868431041895802</v>
      </c>
      <c r="AB54" s="2">
        <f t="shared" si="20"/>
        <v>0.62974609990084873</v>
      </c>
      <c r="AE54" s="4">
        <v>53</v>
      </c>
      <c r="AI54" s="2"/>
      <c r="AJ54" s="2"/>
      <c r="AK54" s="2"/>
      <c r="AN54"/>
      <c r="AO54"/>
      <c r="AP54">
        <v>1975</v>
      </c>
      <c r="AQ54" s="1">
        <f t="shared" si="7"/>
        <v>1.1882001884921674</v>
      </c>
      <c r="AR54" s="1">
        <f t="shared" si="21"/>
        <v>0.45106178948189068</v>
      </c>
      <c r="AS54" s="1">
        <f t="shared" si="22"/>
        <v>0.17868431041895802</v>
      </c>
      <c r="AT54" s="1">
        <f t="shared" si="23"/>
        <v>0.62974609990084873</v>
      </c>
      <c r="AU54" s="1">
        <f t="shared" si="8"/>
        <v>0.55845408859131862</v>
      </c>
      <c r="AV54" s="12"/>
      <c r="AW54" s="7">
        <v>20.066689492069521</v>
      </c>
      <c r="AX54" s="12"/>
      <c r="AY54" s="22">
        <f t="shared" si="9"/>
        <v>5.9212566624990703</v>
      </c>
      <c r="AZ54" s="22">
        <f t="shared" si="24"/>
        <v>6.184851101478797</v>
      </c>
      <c r="BA54" s="1">
        <f t="shared" si="10"/>
        <v>3.1382660311245072</v>
      </c>
      <c r="BB54" s="1">
        <f t="shared" si="26"/>
        <v>2.7829906313745632</v>
      </c>
      <c r="BC54" s="1">
        <f t="shared" si="12"/>
        <v>3.0465850703542898</v>
      </c>
      <c r="BD54" s="3">
        <v>0</v>
      </c>
      <c r="BE54" s="3">
        <f t="shared" si="25"/>
        <v>262.16704713944523</v>
      </c>
      <c r="BF54">
        <v>0</v>
      </c>
      <c r="BG54">
        <v>0</v>
      </c>
      <c r="BH54" s="23">
        <v>1</v>
      </c>
      <c r="BI54">
        <v>0</v>
      </c>
      <c r="BJ54">
        <v>0</v>
      </c>
      <c r="BK54">
        <v>0</v>
      </c>
      <c r="BM54" s="3">
        <f t="shared" si="13"/>
        <v>262.16704713944523</v>
      </c>
      <c r="BO54" s="22">
        <f t="shared" si="14"/>
        <v>6.4207652908938009</v>
      </c>
      <c r="BP54" s="22">
        <f t="shared" si="15"/>
        <v>6.7065961746304534</v>
      </c>
    </row>
    <row r="55" spans="1:68">
      <c r="A55">
        <v>1976</v>
      </c>
      <c r="B55" s="3">
        <f t="shared" si="0"/>
        <v>133.79575462734147</v>
      </c>
      <c r="C55" s="3">
        <f t="shared" si="1"/>
        <v>26.098712089869402</v>
      </c>
      <c r="D55" s="2">
        <v>99.3827</v>
      </c>
      <c r="E55" s="2">
        <v>37.350569999999998</v>
      </c>
      <c r="F55" s="2">
        <f t="shared" si="16"/>
        <v>37.12000493139</v>
      </c>
      <c r="G55" s="2">
        <v>4.3558899999999987</v>
      </c>
      <c r="H55" s="2">
        <f t="shared" si="17"/>
        <v>1.6169065828059235</v>
      </c>
      <c r="I55" s="32">
        <f t="shared" si="2"/>
        <v>1.5210318695682734</v>
      </c>
      <c r="J55" s="32">
        <f t="shared" si="3"/>
        <v>1.5269901446035918</v>
      </c>
      <c r="P55" s="32">
        <f t="shared" si="4"/>
        <v>0.69967466000140577</v>
      </c>
      <c r="Q55" s="32">
        <f t="shared" si="5"/>
        <v>0.70563293503672408</v>
      </c>
      <c r="S55" s="2">
        <f>USA!Z63*G55</f>
        <v>58.020454799999982</v>
      </c>
      <c r="T55" s="2">
        <v>1</v>
      </c>
      <c r="U55" s="2">
        <v>0</v>
      </c>
      <c r="V55" s="2">
        <v>0</v>
      </c>
      <c r="X55" s="2">
        <f t="shared" si="18"/>
        <v>0.54</v>
      </c>
      <c r="Y55" s="2">
        <f t="shared" si="6"/>
        <v>0.59262089613136693</v>
      </c>
      <c r="Z55" s="2">
        <v>0.17699999999999999</v>
      </c>
      <c r="AA55" s="2">
        <f t="shared" si="19"/>
        <v>0.22873631343550072</v>
      </c>
      <c r="AB55" s="2">
        <f t="shared" si="20"/>
        <v>0.82135720956686764</v>
      </c>
      <c r="AE55" s="4">
        <v>54</v>
      </c>
      <c r="AI55" s="2"/>
      <c r="AJ55" s="2"/>
      <c r="AK55" s="2"/>
      <c r="AN55"/>
      <c r="AO55"/>
      <c r="AP55">
        <v>1976</v>
      </c>
      <c r="AQ55" s="1">
        <f t="shared" si="7"/>
        <v>1.5210318695682734</v>
      </c>
      <c r="AR55" s="1">
        <f t="shared" si="21"/>
        <v>0.59262089613136693</v>
      </c>
      <c r="AS55" s="1">
        <f t="shared" si="22"/>
        <v>0.22873631343550072</v>
      </c>
      <c r="AT55" s="1">
        <f t="shared" si="23"/>
        <v>0.82135720956686764</v>
      </c>
      <c r="AU55" s="1">
        <f t="shared" si="8"/>
        <v>0.69967466000140577</v>
      </c>
      <c r="AV55" s="12"/>
      <c r="AW55" s="7">
        <v>22.123368644828609</v>
      </c>
      <c r="AX55" s="12"/>
      <c r="AY55" s="22">
        <f t="shared" si="9"/>
        <v>6.875227249462383</v>
      </c>
      <c r="AZ55" s="22">
        <f t="shared" si="24"/>
        <v>6.7599060318902024</v>
      </c>
      <c r="BA55" s="1">
        <f t="shared" si="10"/>
        <v>3.7126227147096875</v>
      </c>
      <c r="BB55" s="1">
        <f t="shared" si="26"/>
        <v>3.1626045347526954</v>
      </c>
      <c r="BC55" s="1">
        <f t="shared" si="12"/>
        <v>3.0472833171805149</v>
      </c>
      <c r="BD55" s="3">
        <v>0</v>
      </c>
      <c r="BE55" s="3">
        <f t="shared" si="25"/>
        <v>262.25868099685806</v>
      </c>
      <c r="BF55">
        <v>0</v>
      </c>
      <c r="BG55">
        <v>0</v>
      </c>
      <c r="BH55" s="23">
        <v>1</v>
      </c>
      <c r="BI55">
        <v>0</v>
      </c>
      <c r="BJ55">
        <v>0</v>
      </c>
      <c r="BK55">
        <v>0</v>
      </c>
      <c r="BM55" s="3">
        <f t="shared" si="13"/>
        <v>262.25868099685806</v>
      </c>
      <c r="BO55" s="22">
        <f t="shared" si="14"/>
        <v>7.4552114536653482</v>
      </c>
      <c r="BP55" s="22">
        <f t="shared" si="15"/>
        <v>7.3301619053523108</v>
      </c>
    </row>
    <row r="56" spans="1:68">
      <c r="A56">
        <v>1977</v>
      </c>
      <c r="B56" s="3">
        <f t="shared" si="0"/>
        <v>126.96586751041437</v>
      </c>
      <c r="C56" s="3">
        <f t="shared" si="1"/>
        <v>27.791594761847083</v>
      </c>
      <c r="D56" s="2">
        <v>94.3095</v>
      </c>
      <c r="E56" s="2">
        <v>39.773299999999999</v>
      </c>
      <c r="F56" s="2">
        <f t="shared" si="16"/>
        <v>37.510000363499998</v>
      </c>
      <c r="G56" s="2">
        <v>4.4816399999999987</v>
      </c>
      <c r="H56" s="2">
        <f t="shared" si="17"/>
        <v>1.6810631802907607</v>
      </c>
      <c r="I56" s="32">
        <f t="shared" si="2"/>
        <v>1.5813842921851429</v>
      </c>
      <c r="J56" s="32">
        <f t="shared" si="3"/>
        <v>1.5294026346798797</v>
      </c>
      <c r="P56" s="32">
        <f t="shared" si="4"/>
        <v>0.80650598901442283</v>
      </c>
      <c r="Q56" s="32">
        <f t="shared" si="5"/>
        <v>0.75452433150915965</v>
      </c>
      <c r="S56" s="2">
        <f>USA!Z64*G56</f>
        <v>64.356350399999982</v>
      </c>
      <c r="T56" s="2">
        <v>1</v>
      </c>
      <c r="U56" s="2">
        <v>0</v>
      </c>
      <c r="V56" s="2">
        <v>0</v>
      </c>
      <c r="X56" s="2">
        <f t="shared" si="18"/>
        <v>0.49</v>
      </c>
      <c r="Y56" s="2">
        <f t="shared" si="6"/>
        <v>0.53706605192452606</v>
      </c>
      <c r="Z56" s="2">
        <v>0.17699999999999999</v>
      </c>
      <c r="AA56" s="2">
        <f t="shared" si="19"/>
        <v>0.23781225124619393</v>
      </c>
      <c r="AB56" s="2">
        <f t="shared" si="20"/>
        <v>0.77487830317072004</v>
      </c>
      <c r="AE56" s="4">
        <v>49</v>
      </c>
      <c r="AI56" s="2"/>
      <c r="AJ56" s="2"/>
      <c r="AK56" s="2"/>
      <c r="AN56"/>
      <c r="AO56"/>
      <c r="AP56">
        <v>1977</v>
      </c>
      <c r="AQ56" s="1">
        <f t="shared" si="7"/>
        <v>1.5813842921851429</v>
      </c>
      <c r="AR56" s="1">
        <f t="shared" si="21"/>
        <v>0.53706605192452606</v>
      </c>
      <c r="AS56" s="1">
        <f t="shared" si="22"/>
        <v>0.23781225124619393</v>
      </c>
      <c r="AT56" s="1">
        <f t="shared" si="23"/>
        <v>0.77487830317072004</v>
      </c>
      <c r="AU56" s="1">
        <f t="shared" si="8"/>
        <v>0.80650598901442283</v>
      </c>
      <c r="AV56" s="12"/>
      <c r="AW56" s="7">
        <v>24.654680238432608</v>
      </c>
      <c r="AX56" s="12"/>
      <c r="AY56" s="22">
        <f t="shared" si="9"/>
        <v>6.4141342612913865</v>
      </c>
      <c r="AZ56" s="22">
        <f t="shared" si="24"/>
        <v>6.1808539720258455</v>
      </c>
      <c r="BA56" s="1">
        <f t="shared" si="10"/>
        <v>3.1429257880327799</v>
      </c>
      <c r="BB56" s="1">
        <f t="shared" si="26"/>
        <v>3.2712084732586066</v>
      </c>
      <c r="BC56" s="1">
        <f t="shared" si="12"/>
        <v>3.0379281839930652</v>
      </c>
      <c r="BD56" s="3">
        <v>0</v>
      </c>
      <c r="BE56" s="3">
        <f t="shared" si="25"/>
        <v>261.03096766057007</v>
      </c>
      <c r="BF56">
        <v>0</v>
      </c>
      <c r="BG56">
        <v>0</v>
      </c>
      <c r="BH56" s="23">
        <v>1</v>
      </c>
      <c r="BI56">
        <v>0</v>
      </c>
      <c r="BJ56">
        <v>0</v>
      </c>
      <c r="BK56">
        <v>0</v>
      </c>
      <c r="BM56" s="3">
        <f t="shared" si="13"/>
        <v>261.03096766057007</v>
      </c>
      <c r="BO56" s="22">
        <f t="shared" si="14"/>
        <v>6.9552213294282179</v>
      </c>
      <c r="BP56" s="22">
        <f t="shared" si="15"/>
        <v>6.7022618531312252</v>
      </c>
    </row>
    <row r="57" spans="1:68">
      <c r="A57">
        <v>1978</v>
      </c>
      <c r="B57" s="3">
        <f t="shared" si="0"/>
        <v>129.54881740841492</v>
      </c>
      <c r="C57" s="3">
        <f t="shared" si="1"/>
        <v>29.916940817905406</v>
      </c>
      <c r="D57" s="2">
        <v>96.228099999999998</v>
      </c>
      <c r="E57" s="2">
        <v>42.81494</v>
      </c>
      <c r="F57" s="2">
        <f t="shared" si="16"/>
        <v>41.200003278140002</v>
      </c>
      <c r="G57" s="2">
        <v>4.5184799999999994</v>
      </c>
      <c r="H57" s="2">
        <f t="shared" si="17"/>
        <v>1.8616139081221001</v>
      </c>
      <c r="I57" s="32">
        <f t="shared" si="2"/>
        <v>1.7512292380994843</v>
      </c>
      <c r="J57" s="32">
        <f t="shared" si="3"/>
        <v>1.7385976008899611</v>
      </c>
      <c r="P57" s="32">
        <f t="shared" si="4"/>
        <v>0.77054086476377304</v>
      </c>
      <c r="Q57" s="32">
        <f t="shared" si="5"/>
        <v>0.75790922755424983</v>
      </c>
      <c r="S57" s="2">
        <f>USA!Z65*G57</f>
        <v>64.795003199999996</v>
      </c>
      <c r="T57" s="2">
        <v>1</v>
      </c>
      <c r="U57" s="2">
        <v>0</v>
      </c>
      <c r="V57" s="2">
        <v>0</v>
      </c>
      <c r="X57" s="2">
        <f t="shared" si="18"/>
        <v>0.56000000000000005</v>
      </c>
      <c r="Y57" s="2">
        <f t="shared" si="6"/>
        <v>0.71733444373196553</v>
      </c>
      <c r="Z57" s="2">
        <v>0.17699999999999999</v>
      </c>
      <c r="AA57" s="2">
        <f t="shared" si="19"/>
        <v>0.26335392960374571</v>
      </c>
      <c r="AB57" s="2">
        <f t="shared" si="20"/>
        <v>0.98068837333571124</v>
      </c>
      <c r="AE57" s="4">
        <v>56</v>
      </c>
      <c r="AI57" s="2"/>
      <c r="AJ57" s="2"/>
      <c r="AK57" s="2"/>
      <c r="AN57"/>
      <c r="AO57"/>
      <c r="AP57">
        <v>1978</v>
      </c>
      <c r="AQ57" s="1">
        <f t="shared" si="7"/>
        <v>1.7512292380994843</v>
      </c>
      <c r="AR57" s="1">
        <f t="shared" si="21"/>
        <v>0.71733444373196553</v>
      </c>
      <c r="AS57" s="1">
        <f t="shared" si="22"/>
        <v>0.26335392960374571</v>
      </c>
      <c r="AT57" s="1">
        <f t="shared" si="23"/>
        <v>0.98068837333571124</v>
      </c>
      <c r="AU57" s="1">
        <f t="shared" si="8"/>
        <v>0.77054086476377304</v>
      </c>
      <c r="AV57" s="12"/>
      <c r="AW57" s="7">
        <v>27.118980616619773</v>
      </c>
      <c r="AX57" s="12"/>
      <c r="AY57" s="22">
        <f t="shared" si="9"/>
        <v>6.4575776754169354</v>
      </c>
      <c r="AZ57" s="22">
        <f t="shared" si="24"/>
        <v>6.4857524742459569</v>
      </c>
      <c r="BA57" s="1">
        <f t="shared" si="10"/>
        <v>3.6162434982334837</v>
      </c>
      <c r="BB57" s="1">
        <f t="shared" si="26"/>
        <v>2.8413341771834517</v>
      </c>
      <c r="BC57" s="1">
        <f t="shared" si="12"/>
        <v>2.8695089760124732</v>
      </c>
      <c r="BD57" s="3">
        <v>0</v>
      </c>
      <c r="BE57" s="3">
        <f t="shared" si="25"/>
        <v>238.9286091391304</v>
      </c>
      <c r="BF57">
        <v>0</v>
      </c>
      <c r="BG57">
        <v>0</v>
      </c>
      <c r="BH57" s="23">
        <v>1</v>
      </c>
      <c r="BI57">
        <v>0</v>
      </c>
      <c r="BJ57">
        <v>0</v>
      </c>
      <c r="BK57">
        <v>0</v>
      </c>
      <c r="BM57" s="3">
        <f t="shared" si="13"/>
        <v>238.9286091391304</v>
      </c>
      <c r="BO57" s="22">
        <f t="shared" si="14"/>
        <v>7.0023295669923584</v>
      </c>
      <c r="BP57" s="22">
        <f t="shared" si="15"/>
        <v>7.032881151007456</v>
      </c>
    </row>
    <row r="58" spans="1:68">
      <c r="A58">
        <v>1979</v>
      </c>
      <c r="B58" s="3">
        <f t="shared" si="0"/>
        <v>144.69150590925938</v>
      </c>
      <c r="C58" s="3">
        <f t="shared" si="1"/>
        <v>33.287054161079702</v>
      </c>
      <c r="D58" s="2">
        <v>107.476</v>
      </c>
      <c r="E58" s="2">
        <v>47.637999999999998</v>
      </c>
      <c r="F58" s="2">
        <f t="shared" si="16"/>
        <v>51.199416880000001</v>
      </c>
      <c r="G58" s="2">
        <v>4.2870799999999987</v>
      </c>
      <c r="H58" s="2">
        <f t="shared" si="17"/>
        <v>2.1949599611791033</v>
      </c>
      <c r="I58" s="32">
        <f t="shared" si="2"/>
        <v>2.0648094879953169</v>
      </c>
      <c r="J58" s="32">
        <f t="shared" si="3"/>
        <v>2.040552724683816</v>
      </c>
      <c r="P58" s="32">
        <f t="shared" si="4"/>
        <v>0.99110855423775202</v>
      </c>
      <c r="Q58" s="32">
        <f t="shared" si="5"/>
        <v>0.96685179092625129</v>
      </c>
      <c r="S58" s="2">
        <f>USA!Z66*G58</f>
        <v>91.872124399999976</v>
      </c>
      <c r="T58" s="2">
        <v>1</v>
      </c>
      <c r="U58" s="2">
        <v>0</v>
      </c>
      <c r="V58" s="2">
        <v>0</v>
      </c>
      <c r="X58" s="2">
        <f t="shared" si="18"/>
        <v>0.52</v>
      </c>
      <c r="Y58" s="2">
        <f t="shared" si="6"/>
        <v>0.76319007617458179</v>
      </c>
      <c r="Z58" s="2">
        <v>0.17699999999999999</v>
      </c>
      <c r="AA58" s="2">
        <f t="shared" si="19"/>
        <v>0.31051085758298308</v>
      </c>
      <c r="AB58" s="2">
        <f t="shared" si="20"/>
        <v>1.0737009337575649</v>
      </c>
      <c r="AE58" s="4">
        <v>52</v>
      </c>
      <c r="AI58" s="2"/>
      <c r="AJ58" s="2"/>
      <c r="AK58" s="2"/>
      <c r="AN58"/>
      <c r="AO58"/>
      <c r="AP58">
        <v>1979</v>
      </c>
      <c r="AQ58" s="1">
        <f t="shared" si="7"/>
        <v>2.0648094879953169</v>
      </c>
      <c r="AR58" s="1">
        <f t="shared" si="21"/>
        <v>0.76319007617458179</v>
      </c>
      <c r="AS58" s="1">
        <f t="shared" si="22"/>
        <v>0.31051085758298308</v>
      </c>
      <c r="AT58" s="1">
        <f t="shared" si="23"/>
        <v>1.0737009337575649</v>
      </c>
      <c r="AU58" s="1">
        <f t="shared" si="8"/>
        <v>0.99110855423775202</v>
      </c>
      <c r="AV58" s="12"/>
      <c r="AW58" s="7">
        <v>29.074201084459538</v>
      </c>
      <c r="AX58" s="12"/>
      <c r="AY58" s="22">
        <f t="shared" si="9"/>
        <v>7.1018614819272852</v>
      </c>
      <c r="AZ58" s="22">
        <f t="shared" si="24"/>
        <v>7.1496966637345469</v>
      </c>
      <c r="BA58" s="1">
        <f t="shared" si="10"/>
        <v>3.6929679706021887</v>
      </c>
      <c r="BB58" s="1">
        <f t="shared" si="26"/>
        <v>3.4088935113250964</v>
      </c>
      <c r="BC58" s="1">
        <f t="shared" si="12"/>
        <v>3.4567286931323586</v>
      </c>
      <c r="BD58" s="3">
        <v>0</v>
      </c>
      <c r="BE58" s="3">
        <f t="shared" si="25"/>
        <v>315.99191370079154</v>
      </c>
      <c r="BF58">
        <v>0</v>
      </c>
      <c r="BG58">
        <v>0</v>
      </c>
      <c r="BH58" s="23">
        <v>1</v>
      </c>
      <c r="BI58">
        <v>0</v>
      </c>
      <c r="BJ58">
        <v>0</v>
      </c>
      <c r="BK58">
        <v>0</v>
      </c>
      <c r="BM58" s="3">
        <f t="shared" si="13"/>
        <v>315.99191370079154</v>
      </c>
      <c r="BO58" s="22">
        <f t="shared" si="14"/>
        <v>7.7009642214443499</v>
      </c>
      <c r="BP58" s="22">
        <f t="shared" si="15"/>
        <v>7.7528347098453763</v>
      </c>
    </row>
    <row r="59" spans="1:68">
      <c r="A59">
        <v>1980</v>
      </c>
      <c r="B59" s="3">
        <f t="shared" si="0"/>
        <v>173.52991400113336</v>
      </c>
      <c r="C59" s="3">
        <f t="shared" si="1"/>
        <v>37.784321185500851</v>
      </c>
      <c r="D59" s="2">
        <v>128.89699999999999</v>
      </c>
      <c r="E59" s="2">
        <v>54.074159999999999</v>
      </c>
      <c r="F59" s="2">
        <f t="shared" si="16"/>
        <v>69.699970015199995</v>
      </c>
      <c r="G59" s="2">
        <v>4.2295800000000003</v>
      </c>
      <c r="H59" s="2">
        <f t="shared" si="17"/>
        <v>2.9480159917688962</v>
      </c>
      <c r="I59" s="32">
        <f t="shared" si="2"/>
        <v>2.7732129506801741</v>
      </c>
      <c r="J59" s="32">
        <f t="shared" si="3"/>
        <v>2.7473536608579785</v>
      </c>
      <c r="P59" s="32">
        <f t="shared" si="4"/>
        <v>1.3866064753400871</v>
      </c>
      <c r="Q59" s="32">
        <f t="shared" si="5"/>
        <v>1.3607471855178916</v>
      </c>
      <c r="S59" s="2">
        <f>USA!Z67*G59</f>
        <v>142.91750820000001</v>
      </c>
      <c r="T59" s="2">
        <v>1</v>
      </c>
      <c r="U59" s="2">
        <v>0</v>
      </c>
      <c r="V59" s="2">
        <v>0</v>
      </c>
      <c r="X59" s="2">
        <f t="shared" si="18"/>
        <v>0.5</v>
      </c>
      <c r="Y59" s="2">
        <f t="shared" si="6"/>
        <v>0.96956425590899897</v>
      </c>
      <c r="Z59" s="2">
        <v>0.17699999999999999</v>
      </c>
      <c r="AA59" s="2">
        <f t="shared" si="19"/>
        <v>0.41704221943108816</v>
      </c>
      <c r="AB59" s="2">
        <f t="shared" si="20"/>
        <v>1.3866064753400871</v>
      </c>
      <c r="AE59" s="4">
        <v>50</v>
      </c>
      <c r="AI59" s="2"/>
      <c r="AJ59" s="2"/>
      <c r="AK59" s="2"/>
      <c r="AN59"/>
      <c r="AO59"/>
      <c r="AP59">
        <v>1980</v>
      </c>
      <c r="AQ59" s="1">
        <f t="shared" si="7"/>
        <v>2.7732129506801741</v>
      </c>
      <c r="AR59" s="1">
        <f t="shared" si="21"/>
        <v>0.96956425590899897</v>
      </c>
      <c r="AS59" s="1">
        <f t="shared" si="22"/>
        <v>0.41704221943108816</v>
      </c>
      <c r="AT59" s="1">
        <f t="shared" si="23"/>
        <v>1.3866064753400871</v>
      </c>
      <c r="AU59" s="1">
        <f t="shared" si="8"/>
        <v>1.3866064753400871</v>
      </c>
      <c r="AV59" s="12"/>
      <c r="AW59" s="7">
        <v>33.059204122539036</v>
      </c>
      <c r="AX59" s="12"/>
      <c r="AY59" s="22">
        <f t="shared" si="9"/>
        <v>8.3886258737531403</v>
      </c>
      <c r="AZ59" s="22">
        <f t="shared" si="24"/>
        <v>8.5373644364317869</v>
      </c>
      <c r="BA59" s="1">
        <f t="shared" si="10"/>
        <v>4.1943129368765701</v>
      </c>
      <c r="BB59" s="1">
        <f t="shared" si="26"/>
        <v>4.1943129368765701</v>
      </c>
      <c r="BC59" s="1">
        <f t="shared" si="12"/>
        <v>4.3430514995552167</v>
      </c>
      <c r="BD59" s="3">
        <v>0</v>
      </c>
      <c r="BE59" s="3">
        <f t="shared" si="25"/>
        <v>432.30777023625319</v>
      </c>
      <c r="BF59">
        <v>0</v>
      </c>
      <c r="BG59">
        <v>0</v>
      </c>
      <c r="BH59" s="23">
        <v>1</v>
      </c>
      <c r="BI59">
        <v>0</v>
      </c>
      <c r="BJ59">
        <v>0</v>
      </c>
      <c r="BK59">
        <v>0</v>
      </c>
      <c r="BM59" s="3">
        <f t="shared" si="13"/>
        <v>432.30777023625319</v>
      </c>
      <c r="BO59" s="22">
        <f t="shared" si="14"/>
        <v>9.0962781920275013</v>
      </c>
      <c r="BP59" s="22">
        <f t="shared" si="15"/>
        <v>9.2575641242372733</v>
      </c>
    </row>
    <row r="60" spans="1:68">
      <c r="A60">
        <v>1981</v>
      </c>
      <c r="B60" s="3">
        <f t="shared" si="0"/>
        <v>157.30334508598668</v>
      </c>
      <c r="C60" s="3">
        <f t="shared" si="1"/>
        <v>41.681969842500045</v>
      </c>
      <c r="D60" s="2">
        <v>116.84399999999999</v>
      </c>
      <c r="E60" s="2">
        <v>59.652189999999997</v>
      </c>
      <c r="F60" s="2">
        <f t="shared" si="16"/>
        <v>69.700004883600002</v>
      </c>
      <c r="G60" s="2">
        <v>5.0634399999999991</v>
      </c>
      <c r="H60" s="2">
        <f t="shared" si="17"/>
        <v>3.5292179272781552</v>
      </c>
      <c r="I60" s="32">
        <f t="shared" si="2"/>
        <v>3.3199524320856106</v>
      </c>
      <c r="J60" s="32">
        <f t="shared" si="3"/>
        <v>3.2409176583989447</v>
      </c>
      <c r="P60" s="32">
        <f t="shared" si="4"/>
        <v>1.7595747890053737</v>
      </c>
      <c r="Q60" s="32">
        <f t="shared" si="5"/>
        <v>1.6805400153187078</v>
      </c>
      <c r="S60" s="2">
        <f>USA!Z68*G60</f>
        <v>184.35985039999994</v>
      </c>
      <c r="T60" s="2">
        <v>1</v>
      </c>
      <c r="U60" s="2">
        <v>0</v>
      </c>
      <c r="V60" s="2">
        <v>0</v>
      </c>
      <c r="X60" s="2">
        <f t="shared" si="18"/>
        <v>0.47</v>
      </c>
      <c r="Y60" s="2">
        <f t="shared" si="6"/>
        <v>1.0611154676518997</v>
      </c>
      <c r="Z60" s="2">
        <v>0.17699999999999999</v>
      </c>
      <c r="AA60" s="2">
        <f t="shared" si="19"/>
        <v>0.49926217542833734</v>
      </c>
      <c r="AB60" s="2">
        <f t="shared" si="20"/>
        <v>1.560377643080237</v>
      </c>
      <c r="AE60" s="4">
        <v>47</v>
      </c>
      <c r="AI60" s="2"/>
      <c r="AJ60" s="2"/>
      <c r="AK60" s="2"/>
      <c r="AN60"/>
      <c r="AO60"/>
      <c r="AP60">
        <v>1981</v>
      </c>
      <c r="AQ60" s="1">
        <f t="shared" si="7"/>
        <v>3.3199524320856106</v>
      </c>
      <c r="AR60" s="1">
        <f t="shared" si="21"/>
        <v>1.0611154676518997</v>
      </c>
      <c r="AS60" s="1">
        <f t="shared" si="22"/>
        <v>0.49926217542833734</v>
      </c>
      <c r="AT60" s="1">
        <f t="shared" si="23"/>
        <v>1.560377643080237</v>
      </c>
      <c r="AU60" s="1">
        <f t="shared" si="8"/>
        <v>1.7595747890053737</v>
      </c>
      <c r="AV60" s="12"/>
      <c r="AW60" s="7">
        <v>37.060670354008685</v>
      </c>
      <c r="AX60" s="12"/>
      <c r="AY60" s="22">
        <f t="shared" si="9"/>
        <v>8.9581553716459048</v>
      </c>
      <c r="AZ60" s="22">
        <f t="shared" si="24"/>
        <v>9.0497978447336536</v>
      </c>
      <c r="BA60" s="1">
        <f t="shared" si="10"/>
        <v>4.2103330246735755</v>
      </c>
      <c r="BB60" s="1">
        <f t="shared" si="26"/>
        <v>4.7478223469723293</v>
      </c>
      <c r="BC60" s="1">
        <f t="shared" si="12"/>
        <v>4.8394648200600789</v>
      </c>
      <c r="BD60" s="3">
        <v>0</v>
      </c>
      <c r="BE60" s="3">
        <f t="shared" si="25"/>
        <v>497.45417079337466</v>
      </c>
      <c r="BF60">
        <v>0</v>
      </c>
      <c r="BG60">
        <v>0</v>
      </c>
      <c r="BH60" s="23">
        <v>1</v>
      </c>
      <c r="BI60">
        <v>0</v>
      </c>
      <c r="BJ60">
        <v>0</v>
      </c>
      <c r="BK60">
        <v>0</v>
      </c>
      <c r="BM60" s="3">
        <f t="shared" si="13"/>
        <v>497.45417079337466</v>
      </c>
      <c r="BO60" s="22">
        <f t="shared" si="14"/>
        <v>9.7138523727533013</v>
      </c>
      <c r="BP60" s="22">
        <f t="shared" si="15"/>
        <v>9.8132256720227069</v>
      </c>
    </row>
    <row r="61" spans="1:68">
      <c r="A61">
        <v>1982</v>
      </c>
      <c r="B61" s="3">
        <f t="shared" si="0"/>
        <v>134.14389954739929</v>
      </c>
      <c r="C61" s="3">
        <f t="shared" si="1"/>
        <v>44.24984128314113</v>
      </c>
      <c r="D61" s="2">
        <v>99.641300000000001</v>
      </c>
      <c r="E61" s="2">
        <v>63.32714</v>
      </c>
      <c r="F61" s="2">
        <f t="shared" si="16"/>
        <v>63.099985548820001</v>
      </c>
      <c r="G61" s="2">
        <v>6.28261</v>
      </c>
      <c r="H61" s="2">
        <f t="shared" si="17"/>
        <v>3.9643260020887201</v>
      </c>
      <c r="I61" s="32">
        <f t="shared" si="2"/>
        <v>3.729260709713424</v>
      </c>
      <c r="J61" s="32">
        <f t="shared" si="3"/>
        <v>3.5083317274085122</v>
      </c>
      <c r="P61" s="32">
        <f t="shared" si="4"/>
        <v>2.0883859974395174</v>
      </c>
      <c r="Q61" s="32">
        <f t="shared" si="5"/>
        <v>1.8674570151346055</v>
      </c>
      <c r="S61" s="2">
        <f>USA!Z69*G61</f>
        <v>208.58265200000002</v>
      </c>
      <c r="T61" s="2">
        <v>1</v>
      </c>
      <c r="U61" s="2">
        <v>0</v>
      </c>
      <c r="V61" s="2">
        <v>0</v>
      </c>
      <c r="X61" s="2">
        <f t="shared" si="18"/>
        <v>0.44</v>
      </c>
      <c r="Y61" s="2">
        <f t="shared" si="6"/>
        <v>1.0800598052057029</v>
      </c>
      <c r="Z61" s="2">
        <v>0.17699999999999999</v>
      </c>
      <c r="AA61" s="2">
        <f t="shared" si="19"/>
        <v>0.56081490706820392</v>
      </c>
      <c r="AB61" s="2">
        <f t="shared" si="20"/>
        <v>1.6408747122739067</v>
      </c>
      <c r="AE61" s="4">
        <v>44</v>
      </c>
      <c r="AI61" s="2"/>
      <c r="AJ61" s="2"/>
      <c r="AK61" s="2"/>
      <c r="AN61"/>
      <c r="AO61"/>
      <c r="AP61">
        <v>1982</v>
      </c>
      <c r="AQ61" s="1">
        <f t="shared" si="7"/>
        <v>3.729260709713424</v>
      </c>
      <c r="AR61" s="1">
        <f t="shared" si="21"/>
        <v>1.0800598052057029</v>
      </c>
      <c r="AS61" s="1">
        <f t="shared" si="22"/>
        <v>0.56081490706820392</v>
      </c>
      <c r="AT61" s="1">
        <f t="shared" si="23"/>
        <v>1.6408747122739067</v>
      </c>
      <c r="AU61" s="1">
        <f t="shared" si="8"/>
        <v>2.0883859974395174</v>
      </c>
      <c r="AV61" s="12"/>
      <c r="AW61" s="7">
        <v>40.243879892954652</v>
      </c>
      <c r="AX61" s="12"/>
      <c r="AY61" s="22">
        <f t="shared" si="9"/>
        <v>9.2666530156459697</v>
      </c>
      <c r="AZ61" s="22">
        <f t="shared" si="24"/>
        <v>9.0756105630249486</v>
      </c>
      <c r="BA61" s="1">
        <f t="shared" si="10"/>
        <v>4.0773273268842267</v>
      </c>
      <c r="BB61" s="1">
        <f t="shared" si="26"/>
        <v>5.1893256887617429</v>
      </c>
      <c r="BC61" s="1">
        <f t="shared" si="12"/>
        <v>4.9982832361407219</v>
      </c>
      <c r="BD61" s="3">
        <v>0</v>
      </c>
      <c r="BE61" s="3">
        <f t="shared" si="25"/>
        <v>518.29657715611017</v>
      </c>
      <c r="BF61">
        <v>0</v>
      </c>
      <c r="BG61">
        <v>0</v>
      </c>
      <c r="BH61" s="23">
        <v>1</v>
      </c>
      <c r="BI61">
        <v>0</v>
      </c>
      <c r="BJ61">
        <v>0</v>
      </c>
      <c r="BK61">
        <v>0</v>
      </c>
      <c r="BM61" s="3">
        <f t="shared" si="13"/>
        <v>518.29657715611017</v>
      </c>
      <c r="BO61" s="22">
        <f t="shared" si="14"/>
        <v>10.048374430792604</v>
      </c>
      <c r="BP61" s="22">
        <f t="shared" si="15"/>
        <v>9.8412159138100659</v>
      </c>
    </row>
    <row r="62" spans="1:68">
      <c r="A62">
        <v>1983</v>
      </c>
      <c r="B62" s="3">
        <f t="shared" si="0"/>
        <v>112.46104081592492</v>
      </c>
      <c r="C62" s="3">
        <f t="shared" si="1"/>
        <v>45.671336429076113</v>
      </c>
      <c r="D62" s="2">
        <v>83.535399999999996</v>
      </c>
      <c r="E62" s="2">
        <v>65.36148</v>
      </c>
      <c r="F62" s="2">
        <f t="shared" si="16"/>
        <v>54.599973763919998</v>
      </c>
      <c r="G62" s="2">
        <v>7.6671099999999992</v>
      </c>
      <c r="H62" s="2">
        <f t="shared" si="17"/>
        <v>4.1862400484508866</v>
      </c>
      <c r="I62" s="32">
        <f t="shared" si="2"/>
        <v>3.9380163301129363</v>
      </c>
      <c r="J62" s="32">
        <f t="shared" si="3"/>
        <v>3.6246730194089083</v>
      </c>
      <c r="P62" s="32">
        <f t="shared" si="4"/>
        <v>2.2840494714655031</v>
      </c>
      <c r="Q62" s="32">
        <f t="shared" si="5"/>
        <v>1.9707061607614751</v>
      </c>
      <c r="S62" s="2">
        <f>USA!Z70*G62</f>
        <v>221.96283449999999</v>
      </c>
      <c r="T62" s="2">
        <v>1</v>
      </c>
      <c r="U62" s="2">
        <v>0</v>
      </c>
      <c r="V62" s="2">
        <v>0</v>
      </c>
      <c r="X62" s="2">
        <f t="shared" si="18"/>
        <v>0.42</v>
      </c>
      <c r="Y62" s="2">
        <f t="shared" si="6"/>
        <v>1.0617587954103986</v>
      </c>
      <c r="Z62" s="2">
        <v>0.17699999999999999</v>
      </c>
      <c r="AA62" s="2">
        <f t="shared" si="19"/>
        <v>0.59220806323703457</v>
      </c>
      <c r="AB62" s="2">
        <f t="shared" si="20"/>
        <v>1.6539668586474332</v>
      </c>
      <c r="AE62" s="4">
        <v>42</v>
      </c>
      <c r="AI62" s="2"/>
      <c r="AJ62" s="2"/>
      <c r="AK62" s="2"/>
      <c r="AN62"/>
      <c r="AO62"/>
      <c r="AP62">
        <v>1983</v>
      </c>
      <c r="AQ62" s="1">
        <f t="shared" si="7"/>
        <v>3.9380163301129363</v>
      </c>
      <c r="AR62" s="1">
        <f t="shared" si="21"/>
        <v>1.0617587954103986</v>
      </c>
      <c r="AS62" s="1">
        <f t="shared" si="22"/>
        <v>0.59220806323703457</v>
      </c>
      <c r="AT62" s="1">
        <f t="shared" si="23"/>
        <v>1.6539668586474332</v>
      </c>
      <c r="AU62" s="1">
        <f t="shared" si="8"/>
        <v>2.2840494714655031</v>
      </c>
      <c r="AV62" s="12"/>
      <c r="AW62" s="7">
        <v>43.8147278070713</v>
      </c>
      <c r="AX62" s="12"/>
      <c r="AY62" s="22">
        <f t="shared" si="9"/>
        <v>8.9878826760105444</v>
      </c>
      <c r="AZ62" s="22">
        <f t="shared" si="24"/>
        <v>8.6840216364207148</v>
      </c>
      <c r="BA62" s="1">
        <f t="shared" si="10"/>
        <v>3.7749107239244286</v>
      </c>
      <c r="BB62" s="1">
        <f t="shared" si="26"/>
        <v>5.2129719520861162</v>
      </c>
      <c r="BC62" s="1">
        <f t="shared" si="12"/>
        <v>4.9091109124962857</v>
      </c>
      <c r="BD62" s="3">
        <v>0</v>
      </c>
      <c r="BE62" s="3">
        <f t="shared" si="25"/>
        <v>506.59411939602921</v>
      </c>
      <c r="BF62">
        <v>0</v>
      </c>
      <c r="BG62">
        <v>0</v>
      </c>
      <c r="BH62" s="23">
        <v>1</v>
      </c>
      <c r="BI62">
        <v>0</v>
      </c>
      <c r="BJ62">
        <v>0</v>
      </c>
      <c r="BK62">
        <v>0</v>
      </c>
      <c r="BM62" s="3">
        <f t="shared" si="13"/>
        <v>506.59411939602921</v>
      </c>
      <c r="BO62" s="22">
        <f t="shared" si="14"/>
        <v>9.7460874294204363</v>
      </c>
      <c r="BP62" s="22">
        <f t="shared" si="15"/>
        <v>9.4165931130180365</v>
      </c>
    </row>
    <row r="63" spans="1:68">
      <c r="A63">
        <v>1984</v>
      </c>
      <c r="B63" s="3">
        <f t="shared" si="0"/>
        <v>100.69869678442764</v>
      </c>
      <c r="C63" s="3">
        <f t="shared" si="1"/>
        <v>47.643090239969929</v>
      </c>
      <c r="D63" s="2">
        <v>74.798400000000001</v>
      </c>
      <c r="E63" s="2">
        <v>68.183310000000006</v>
      </c>
      <c r="F63" s="2">
        <f t="shared" si="16"/>
        <v>51.000024947040004</v>
      </c>
      <c r="G63" s="2">
        <v>8.2717999999999989</v>
      </c>
      <c r="H63" s="2">
        <f t="shared" si="17"/>
        <v>4.2186200635692543</v>
      </c>
      <c r="I63" s="32">
        <f t="shared" si="2"/>
        <v>3.9684763674805072</v>
      </c>
      <c r="J63" s="32">
        <f t="shared" si="3"/>
        <v>3.86415823303554</v>
      </c>
      <c r="P63" s="32">
        <f t="shared" si="4"/>
        <v>2.1826620021142791</v>
      </c>
      <c r="Q63" s="32">
        <f t="shared" si="5"/>
        <v>2.0783438676693113</v>
      </c>
      <c r="S63" s="2">
        <f>USA!Z71*G63</f>
        <v>235.91173599999996</v>
      </c>
      <c r="T63" s="2">
        <v>1</v>
      </c>
      <c r="U63" s="2">
        <v>0</v>
      </c>
      <c r="V63" s="2">
        <v>0</v>
      </c>
      <c r="X63" s="2">
        <f t="shared" si="18"/>
        <v>0.45</v>
      </c>
      <c r="Y63" s="2">
        <f t="shared" si="6"/>
        <v>1.1890256508003407</v>
      </c>
      <c r="Z63" s="2">
        <v>0.17699999999999999</v>
      </c>
      <c r="AA63" s="2">
        <f t="shared" si="19"/>
        <v>0.59678871456588756</v>
      </c>
      <c r="AB63" s="2">
        <f t="shared" si="20"/>
        <v>1.7858143653662284</v>
      </c>
      <c r="AE63" s="4">
        <v>45</v>
      </c>
      <c r="AI63" s="2"/>
      <c r="AJ63" s="2"/>
      <c r="AK63" s="2"/>
      <c r="AN63"/>
      <c r="AO63"/>
      <c r="AP63">
        <v>1984</v>
      </c>
      <c r="AQ63" s="1">
        <f t="shared" si="7"/>
        <v>3.9684763674805072</v>
      </c>
      <c r="AR63" s="1">
        <f t="shared" si="21"/>
        <v>1.1890256508003407</v>
      </c>
      <c r="AS63" s="1">
        <f t="shared" si="22"/>
        <v>0.59678871456588756</v>
      </c>
      <c r="AT63" s="1">
        <f t="shared" si="23"/>
        <v>1.7858143653662284</v>
      </c>
      <c r="AU63" s="1">
        <f t="shared" si="8"/>
        <v>2.1826620021142791</v>
      </c>
      <c r="AV63" s="12"/>
      <c r="AW63" s="7">
        <v>47.339290981660682</v>
      </c>
      <c r="AX63" s="12"/>
      <c r="AY63" s="22">
        <f t="shared" si="9"/>
        <v>8.3830498623604264</v>
      </c>
      <c r="AZ63" s="22">
        <f t="shared" si="24"/>
        <v>8.6186051666378063</v>
      </c>
      <c r="BA63" s="1">
        <f t="shared" si="10"/>
        <v>3.7723724380621917</v>
      </c>
      <c r="BB63" s="1">
        <f t="shared" si="26"/>
        <v>4.6106774242982347</v>
      </c>
      <c r="BC63" s="1">
        <f t="shared" si="12"/>
        <v>4.8462327285756155</v>
      </c>
      <c r="BD63" s="3">
        <v>0</v>
      </c>
      <c r="BE63" s="3">
        <f t="shared" si="25"/>
        <v>498.34235179270541</v>
      </c>
      <c r="BF63">
        <v>0</v>
      </c>
      <c r="BG63">
        <v>0</v>
      </c>
      <c r="BH63" s="23">
        <v>1</v>
      </c>
      <c r="BI63">
        <v>0</v>
      </c>
      <c r="BJ63">
        <v>0</v>
      </c>
      <c r="BK63">
        <v>0</v>
      </c>
      <c r="BM63" s="3">
        <f t="shared" si="13"/>
        <v>498.34235179270541</v>
      </c>
      <c r="BO63" s="22">
        <f t="shared" si="14"/>
        <v>9.0902317963968731</v>
      </c>
      <c r="BP63" s="22">
        <f t="shared" si="15"/>
        <v>9.3456582046741659</v>
      </c>
    </row>
    <row r="64" spans="1:68">
      <c r="A64">
        <v>1985</v>
      </c>
      <c r="B64" s="3">
        <f t="shared" si="0"/>
        <v>103.33697829965314</v>
      </c>
      <c r="C64" s="3">
        <f t="shared" si="1"/>
        <v>49.339718212134507</v>
      </c>
      <c r="D64" s="2">
        <v>76.758099999999999</v>
      </c>
      <c r="E64" s="2">
        <v>70.611400000000003</v>
      </c>
      <c r="F64" s="2">
        <f t="shared" si="16"/>
        <v>54.199969023400001</v>
      </c>
      <c r="G64" s="2">
        <v>8.6039299999999983</v>
      </c>
      <c r="H64" s="2">
        <f t="shared" si="17"/>
        <v>4.6633273947950187</v>
      </c>
      <c r="I64" s="32">
        <f t="shared" si="2"/>
        <v>4.3868147122049237</v>
      </c>
      <c r="J64" s="32">
        <f t="shared" si="3"/>
        <v>4.2000844366953647</v>
      </c>
      <c r="P64" s="32">
        <f t="shared" si="4"/>
        <v>2.2153414296634866</v>
      </c>
      <c r="Q64" s="32">
        <f t="shared" si="5"/>
        <v>2.0286111541539276</v>
      </c>
      <c r="S64" s="2">
        <f>USA!Z72*G64</f>
        <v>229.46681309999997</v>
      </c>
      <c r="T64" s="2">
        <v>1</v>
      </c>
      <c r="U64" s="2">
        <v>0</v>
      </c>
      <c r="V64" s="2">
        <v>0</v>
      </c>
      <c r="X64" s="2">
        <f t="shared" si="18"/>
        <v>0.495</v>
      </c>
      <c r="Y64" s="2">
        <f t="shared" si="6"/>
        <v>1.3367352603809861</v>
      </c>
      <c r="Z64" s="2">
        <v>0.23499999999999999</v>
      </c>
      <c r="AA64" s="2">
        <f t="shared" si="19"/>
        <v>0.83473802216045112</v>
      </c>
      <c r="AB64" s="2">
        <f t="shared" si="20"/>
        <v>2.1714732825414371</v>
      </c>
      <c r="AE64" s="4">
        <v>49.5</v>
      </c>
      <c r="AI64" s="2"/>
      <c r="AJ64" s="2"/>
      <c r="AK64" s="2"/>
      <c r="AN64"/>
      <c r="AO64"/>
      <c r="AP64">
        <v>1985</v>
      </c>
      <c r="AQ64" s="1">
        <f t="shared" si="7"/>
        <v>4.3868147122049237</v>
      </c>
      <c r="AR64" s="1">
        <f t="shared" si="21"/>
        <v>1.3367352603809861</v>
      </c>
      <c r="AS64" s="1">
        <f t="shared" si="22"/>
        <v>0.83473802216045112</v>
      </c>
      <c r="AT64" s="1">
        <f t="shared" si="23"/>
        <v>2.1714732825414371</v>
      </c>
      <c r="AU64" s="1">
        <f t="shared" si="8"/>
        <v>2.2153414296634866</v>
      </c>
      <c r="AV64" s="12"/>
      <c r="AW64" s="7">
        <v>50.82941571375185</v>
      </c>
      <c r="AX64" s="12"/>
      <c r="AY64" s="22">
        <f t="shared" si="9"/>
        <v>8.6304645658519252</v>
      </c>
      <c r="AZ64" s="22">
        <f t="shared" si="24"/>
        <v>8.7609558493256152</v>
      </c>
      <c r="BA64" s="1">
        <f t="shared" si="10"/>
        <v>4.2720799600967032</v>
      </c>
      <c r="BB64" s="1">
        <f t="shared" si="26"/>
        <v>4.358384605755222</v>
      </c>
      <c r="BC64" s="1">
        <f t="shared" si="12"/>
        <v>4.488875889228912</v>
      </c>
      <c r="BD64" s="3">
        <v>0</v>
      </c>
      <c r="BE64" s="3">
        <f t="shared" si="25"/>
        <v>451.44491605461826</v>
      </c>
      <c r="BF64">
        <v>0</v>
      </c>
      <c r="BG64">
        <v>0</v>
      </c>
      <c r="BH64" s="23">
        <v>1</v>
      </c>
      <c r="BI64">
        <v>0</v>
      </c>
      <c r="BJ64">
        <v>0</v>
      </c>
      <c r="BK64">
        <v>0</v>
      </c>
      <c r="BM64" s="3">
        <f t="shared" si="13"/>
        <v>451.44491605461826</v>
      </c>
      <c r="BO64" s="22">
        <f t="shared" si="14"/>
        <v>9.3585180456142023</v>
      </c>
      <c r="BP64" s="22">
        <f t="shared" si="15"/>
        <v>9.5000173845971592</v>
      </c>
    </row>
    <row r="65" spans="1:68">
      <c r="A65">
        <v>1986</v>
      </c>
      <c r="B65" s="3">
        <f t="shared" si="0"/>
        <v>108.93853043954714</v>
      </c>
      <c r="C65" s="3">
        <f t="shared" si="1"/>
        <v>50.256813657899102</v>
      </c>
      <c r="D65" s="2">
        <v>80.918899999999994</v>
      </c>
      <c r="E65" s="2">
        <v>71.923879999999997</v>
      </c>
      <c r="F65" s="2">
        <f t="shared" si="16"/>
        <v>58.200012533319999</v>
      </c>
      <c r="G65" s="2">
        <v>7.1235799999999987</v>
      </c>
      <c r="H65" s="2">
        <f t="shared" si="17"/>
        <v>4.1459244528210757</v>
      </c>
      <c r="I65" s="32">
        <f t="shared" si="2"/>
        <v>3.9000912536455288</v>
      </c>
      <c r="J65" s="32">
        <f t="shared" si="3"/>
        <v>3.729956556572585</v>
      </c>
      <c r="P65" s="32">
        <f t="shared" si="4"/>
        <v>1.6497386002920584</v>
      </c>
      <c r="Q65" s="32">
        <f t="shared" si="5"/>
        <v>1.4796039032191146</v>
      </c>
      <c r="S65" s="2">
        <f>USA!Z73*G65</f>
        <v>107.20987899999999</v>
      </c>
      <c r="T65" s="2">
        <v>0</v>
      </c>
      <c r="U65" s="2">
        <v>0</v>
      </c>
      <c r="V65" s="2">
        <v>0</v>
      </c>
      <c r="X65" s="2">
        <f t="shared" si="18"/>
        <v>0.57700000000000007</v>
      </c>
      <c r="Y65" s="2">
        <f t="shared" si="6"/>
        <v>1.508230026141568</v>
      </c>
      <c r="Z65" s="2">
        <v>0.23499999999999999</v>
      </c>
      <c r="AA65" s="2">
        <f t="shared" si="19"/>
        <v>0.74212262721190236</v>
      </c>
      <c r="AB65" s="2">
        <f t="shared" si="20"/>
        <v>2.2503526533534703</v>
      </c>
      <c r="AC65" s="2">
        <f>I65*X65</f>
        <v>2.2503526533534703</v>
      </c>
      <c r="AE65" s="4">
        <v>57.7</v>
      </c>
      <c r="AI65" s="2"/>
      <c r="AJ65" s="2"/>
      <c r="AK65" s="2"/>
      <c r="AN65"/>
      <c r="AO65"/>
      <c r="AP65">
        <v>1986</v>
      </c>
      <c r="AQ65" s="1">
        <f t="shared" si="7"/>
        <v>3.9000912536455288</v>
      </c>
      <c r="AR65" s="1">
        <f t="shared" si="21"/>
        <v>1.508230026141568</v>
      </c>
      <c r="AS65" s="1">
        <f t="shared" si="22"/>
        <v>0.74212262721190236</v>
      </c>
      <c r="AT65" s="1">
        <f t="shared" si="23"/>
        <v>2.2503526533534703</v>
      </c>
      <c r="AU65" s="1">
        <f t="shared" si="8"/>
        <v>1.6497386002920584</v>
      </c>
      <c r="AV65" s="12"/>
      <c r="AW65" s="7">
        <v>52.982504016912237</v>
      </c>
      <c r="AX65" s="12"/>
      <c r="AY65" s="22">
        <f t="shared" si="9"/>
        <v>7.3610927343120736</v>
      </c>
      <c r="AZ65" s="22">
        <f t="shared" si="24"/>
        <v>7.2034195441528857</v>
      </c>
      <c r="BA65" s="1">
        <f t="shared" si="10"/>
        <v>4.2473505076980667</v>
      </c>
      <c r="BB65" s="1">
        <f t="shared" si="26"/>
        <v>3.1137422266140069</v>
      </c>
      <c r="BC65" s="1">
        <f t="shared" si="12"/>
        <v>2.956069036454819</v>
      </c>
      <c r="BD65" s="3">
        <v>0</v>
      </c>
      <c r="BE65" s="3">
        <f t="shared" si="25"/>
        <v>202.34958877326397</v>
      </c>
      <c r="BF65">
        <v>0</v>
      </c>
      <c r="BG65">
        <v>0</v>
      </c>
      <c r="BH65" s="23">
        <v>1</v>
      </c>
      <c r="BI65" s="23">
        <v>1</v>
      </c>
      <c r="BJ65">
        <v>0</v>
      </c>
      <c r="BK65">
        <v>0</v>
      </c>
      <c r="BM65" s="3">
        <f t="shared" si="13"/>
        <v>202.34958877326397</v>
      </c>
      <c r="BO65" s="22">
        <f t="shared" si="14"/>
        <v>7.9820638464899378</v>
      </c>
      <c r="BP65" s="22">
        <f t="shared" si="15"/>
        <v>7.8110895745773039</v>
      </c>
    </row>
    <row r="66" spans="1:68">
      <c r="A66">
        <v>1987</v>
      </c>
      <c r="B66" s="3">
        <f t="shared" si="0"/>
        <v>119.26413719847788</v>
      </c>
      <c r="C66" s="3">
        <f t="shared" si="1"/>
        <v>52.136856526716379</v>
      </c>
      <c r="D66" s="2">
        <v>88.588700000000003</v>
      </c>
      <c r="E66" s="2">
        <v>74.614459999999994</v>
      </c>
      <c r="F66" s="2">
        <f t="shared" si="16"/>
        <v>66.09998012602</v>
      </c>
      <c r="G66" s="2">
        <v>6.3404400000000001</v>
      </c>
      <c r="H66" s="2">
        <f t="shared" si="17"/>
        <v>4.1910295799022226</v>
      </c>
      <c r="I66" s="32">
        <f t="shared" si="2"/>
        <v>3.9425218655936192</v>
      </c>
      <c r="J66" s="32">
        <f t="shared" si="3"/>
        <v>3.9059595582585844</v>
      </c>
      <c r="P66" s="32">
        <f t="shared" si="4"/>
        <v>1.6282615304901644</v>
      </c>
      <c r="Q66" s="32">
        <f t="shared" si="5"/>
        <v>1.5916992231551297</v>
      </c>
      <c r="S66" s="2">
        <f>USA!Z74*G66</f>
        <v>121.736448</v>
      </c>
      <c r="T66" s="2">
        <v>0</v>
      </c>
      <c r="U66" s="2">
        <v>0</v>
      </c>
      <c r="V66" s="2">
        <v>0</v>
      </c>
      <c r="X66" s="2">
        <f t="shared" si="18"/>
        <v>0.58700000000000008</v>
      </c>
      <c r="Y66" s="2">
        <f t="shared" si="6"/>
        <v>1.5640638667516324</v>
      </c>
      <c r="Z66" s="2">
        <v>0.23499999999999999</v>
      </c>
      <c r="AA66" s="2">
        <f t="shared" si="19"/>
        <v>0.7501964683518223</v>
      </c>
      <c r="AB66" s="2">
        <f t="shared" si="20"/>
        <v>2.3142603351034547</v>
      </c>
      <c r="AC66" s="2">
        <f>I66*X66</f>
        <v>2.3142603351034547</v>
      </c>
      <c r="AE66" s="4">
        <v>58.7</v>
      </c>
      <c r="AI66" s="2"/>
      <c r="AJ66" s="2"/>
      <c r="AK66" s="2"/>
      <c r="AN66"/>
      <c r="AO66"/>
      <c r="AP66">
        <v>1987</v>
      </c>
      <c r="AQ66" s="1">
        <f t="shared" si="7"/>
        <v>3.9425218655936192</v>
      </c>
      <c r="AR66" s="1">
        <f t="shared" si="21"/>
        <v>1.5640638667516324</v>
      </c>
      <c r="AS66" s="1">
        <f t="shared" si="22"/>
        <v>0.7501964683518223</v>
      </c>
      <c r="AT66" s="1">
        <f t="shared" si="23"/>
        <v>2.3142603351034547</v>
      </c>
      <c r="AU66" s="1">
        <f t="shared" si="8"/>
        <v>1.6282615304901644</v>
      </c>
      <c r="AV66" s="12"/>
      <c r="AW66" s="7">
        <v>55.201713815238463</v>
      </c>
      <c r="AX66" s="12"/>
      <c r="AY66" s="22">
        <f t="shared" si="9"/>
        <v>7.1420280152702142</v>
      </c>
      <c r="AZ66" s="22">
        <f t="shared" si="24"/>
        <v>7.2869750846122354</v>
      </c>
      <c r="BA66" s="1">
        <f t="shared" si="10"/>
        <v>4.1923704449636157</v>
      </c>
      <c r="BB66" s="1">
        <f t="shared" si="26"/>
        <v>2.9496575703065986</v>
      </c>
      <c r="BC66" s="1">
        <f t="shared" si="12"/>
        <v>3.0946046396486198</v>
      </c>
      <c r="BD66" s="3">
        <v>0</v>
      </c>
      <c r="BE66" s="3">
        <f t="shared" si="25"/>
        <v>220.53019659399519</v>
      </c>
      <c r="BF66">
        <v>0</v>
      </c>
      <c r="BG66">
        <v>0</v>
      </c>
      <c r="BH66" s="23">
        <v>1</v>
      </c>
      <c r="BI66" s="23">
        <v>1</v>
      </c>
      <c r="BJ66">
        <v>0</v>
      </c>
      <c r="BK66">
        <v>0</v>
      </c>
      <c r="BM66" s="3">
        <f t="shared" si="13"/>
        <v>220.53019659399519</v>
      </c>
      <c r="BO66" s="22">
        <f t="shared" si="14"/>
        <v>7.7445191453133244</v>
      </c>
      <c r="BP66" s="22">
        <f t="shared" si="15"/>
        <v>7.9016937393048705</v>
      </c>
    </row>
    <row r="67" spans="1:68">
      <c r="A67">
        <v>1988</v>
      </c>
      <c r="B67" s="3">
        <f t="shared" si="0"/>
        <v>126.46344027079496</v>
      </c>
      <c r="C67" s="3">
        <f t="shared" si="1"/>
        <v>54.227069431021505</v>
      </c>
      <c r="D67" s="2">
        <v>93.936300000000003</v>
      </c>
      <c r="E67" s="2">
        <v>77.605819999999994</v>
      </c>
      <c r="F67" s="2">
        <f t="shared" si="16"/>
        <v>72.90003589266</v>
      </c>
      <c r="G67" s="2">
        <v>6.1271499999999994</v>
      </c>
      <c r="H67" s="2">
        <f t="shared" si="17"/>
        <v>4.4666945491971166</v>
      </c>
      <c r="I67" s="32">
        <f t="shared" si="2"/>
        <v>4.2018412400583225</v>
      </c>
      <c r="J67" s="32">
        <f t="shared" si="3"/>
        <v>4.0125238071006963</v>
      </c>
      <c r="P67" s="32">
        <f t="shared" si="4"/>
        <v>1.5966996712221624</v>
      </c>
      <c r="Q67" s="32">
        <f t="shared" si="5"/>
        <v>1.4073822382645362</v>
      </c>
      <c r="S67" s="2">
        <f>USA!Z75*G67</f>
        <v>97.850585499999994</v>
      </c>
      <c r="T67" s="2">
        <v>0</v>
      </c>
      <c r="U67" s="2">
        <v>0</v>
      </c>
      <c r="V67" s="2">
        <v>0</v>
      </c>
      <c r="X67" s="2">
        <f t="shared" si="18"/>
        <v>0.62</v>
      </c>
      <c r="Y67" s="2">
        <f t="shared" si="6"/>
        <v>1.8056009280153456</v>
      </c>
      <c r="Z67" s="2">
        <v>0.23499999999999999</v>
      </c>
      <c r="AA67" s="2">
        <f t="shared" si="19"/>
        <v>0.79954064082081444</v>
      </c>
      <c r="AB67" s="2">
        <f t="shared" si="20"/>
        <v>2.6051415688361601</v>
      </c>
      <c r="AC67" s="2">
        <f>I67*X67</f>
        <v>2.6051415688361601</v>
      </c>
      <c r="AE67" s="4">
        <v>62</v>
      </c>
      <c r="AI67" s="2"/>
      <c r="AJ67" s="2"/>
      <c r="AK67" s="2"/>
      <c r="AN67"/>
      <c r="AO67"/>
      <c r="AP67">
        <v>1988</v>
      </c>
      <c r="AQ67" s="1">
        <f t="shared" si="7"/>
        <v>4.2018412400583225</v>
      </c>
      <c r="AR67" s="1">
        <f t="shared" si="21"/>
        <v>1.8056009280153456</v>
      </c>
      <c r="AS67" s="1">
        <f t="shared" si="22"/>
        <v>0.79954064082081444</v>
      </c>
      <c r="AT67" s="1">
        <f t="shared" si="23"/>
        <v>2.6051415688361601</v>
      </c>
      <c r="AU67" s="1">
        <f t="shared" si="8"/>
        <v>1.5966996712221624</v>
      </c>
      <c r="AV67" s="12"/>
      <c r="AW67" s="7">
        <v>58.417157891245154</v>
      </c>
      <c r="AX67" s="12"/>
      <c r="AY67" s="22">
        <f t="shared" si="9"/>
        <v>7.1928203831498667</v>
      </c>
      <c r="AZ67" s="22">
        <f t="shared" si="24"/>
        <v>7.150089091850119</v>
      </c>
      <c r="BA67" s="1">
        <f t="shared" si="10"/>
        <v>4.4595486375529179</v>
      </c>
      <c r="BB67" s="1">
        <f t="shared" si="26"/>
        <v>2.7332717455969489</v>
      </c>
      <c r="BC67" s="1">
        <f t="shared" si="12"/>
        <v>2.6905404542972011</v>
      </c>
      <c r="BD67" s="3">
        <v>0</v>
      </c>
      <c r="BE67" s="3">
        <f t="shared" si="25"/>
        <v>167.50316008554847</v>
      </c>
      <c r="BF67">
        <v>0</v>
      </c>
      <c r="BG67">
        <v>0</v>
      </c>
      <c r="BH67" s="23">
        <v>1</v>
      </c>
      <c r="BI67" s="23">
        <v>1</v>
      </c>
      <c r="BJ67">
        <v>0</v>
      </c>
      <c r="BK67">
        <v>0</v>
      </c>
      <c r="BM67" s="3">
        <f t="shared" si="13"/>
        <v>167.50316008554847</v>
      </c>
      <c r="BO67" s="22">
        <f t="shared" si="14"/>
        <v>7.7995962837169728</v>
      </c>
      <c r="BP67" s="22">
        <f t="shared" si="15"/>
        <v>7.7532602426279018</v>
      </c>
    </row>
    <row r="68" spans="1:68">
      <c r="A68">
        <v>1989</v>
      </c>
      <c r="B68" s="3">
        <f t="shared" si="0"/>
        <v>123.45331951767319</v>
      </c>
      <c r="C68" s="3">
        <f t="shared" si="1"/>
        <v>56.844608024141067</v>
      </c>
      <c r="D68" s="2">
        <v>91.700400000000002</v>
      </c>
      <c r="E68" s="2">
        <v>81.351849999999999</v>
      </c>
      <c r="F68" s="2">
        <f t="shared" si="16"/>
        <v>74.599971857399993</v>
      </c>
      <c r="G68" s="2">
        <v>6.4468799999999993</v>
      </c>
      <c r="H68" s="2">
        <f t="shared" si="17"/>
        <v>4.8093706656803485</v>
      </c>
      <c r="I68" s="32">
        <f t="shared" si="2"/>
        <v>4.5241983258995937</v>
      </c>
      <c r="J68" s="32">
        <f t="shared" si="3"/>
        <v>4.3438772151117133</v>
      </c>
      <c r="P68" s="32">
        <f t="shared" si="4"/>
        <v>1.8096793303598377</v>
      </c>
      <c r="Q68" s="32">
        <f t="shared" si="5"/>
        <v>1.6293582195719574</v>
      </c>
      <c r="S68" s="2">
        <f>USA!Z76*G68</f>
        <v>126.6167232</v>
      </c>
      <c r="T68" s="2">
        <v>0</v>
      </c>
      <c r="U68" s="2">
        <v>0</v>
      </c>
      <c r="V68" s="2">
        <v>0</v>
      </c>
      <c r="X68" s="2">
        <f t="shared" si="18"/>
        <v>0.6</v>
      </c>
      <c r="Y68" s="2">
        <f t="shared" si="6"/>
        <v>1.8536391521499547</v>
      </c>
      <c r="Z68" s="2">
        <v>0.23499999999999999</v>
      </c>
      <c r="AA68" s="2">
        <f t="shared" si="19"/>
        <v>0.86087984338980128</v>
      </c>
      <c r="AB68" s="2">
        <f t="shared" si="20"/>
        <v>2.714518995539756</v>
      </c>
      <c r="AC68" s="2">
        <f>I68*X68</f>
        <v>2.714518995539756</v>
      </c>
      <c r="AE68" s="4">
        <v>60</v>
      </c>
      <c r="AI68" s="2"/>
      <c r="AJ68" s="2"/>
      <c r="AK68" s="2"/>
      <c r="AN68"/>
      <c r="AO68"/>
      <c r="AP68">
        <v>1989</v>
      </c>
      <c r="AQ68" s="1">
        <f t="shared" si="7"/>
        <v>4.5241983258995937</v>
      </c>
      <c r="AR68" s="1">
        <f t="shared" si="21"/>
        <v>1.8536391521499547</v>
      </c>
      <c r="AS68" s="1">
        <f t="shared" si="22"/>
        <v>0.86087984338980128</v>
      </c>
      <c r="AT68" s="1">
        <f t="shared" si="23"/>
        <v>2.714518995539756</v>
      </c>
      <c r="AU68" s="1">
        <f t="shared" si="8"/>
        <v>1.8096793303598377</v>
      </c>
      <c r="AV68" s="12"/>
      <c r="AW68" s="7">
        <v>62.181136605533865</v>
      </c>
      <c r="AX68" s="12"/>
      <c r="AY68" s="22">
        <f t="shared" si="9"/>
        <v>7.2758372922648684</v>
      </c>
      <c r="AZ68" s="22">
        <f t="shared" si="24"/>
        <v>7.3312947043817775</v>
      </c>
      <c r="BA68" s="1">
        <f t="shared" si="10"/>
        <v>4.3655023753589202</v>
      </c>
      <c r="BB68" s="1">
        <f t="shared" si="26"/>
        <v>2.9103349169059483</v>
      </c>
      <c r="BC68" s="1">
        <f t="shared" si="12"/>
        <v>2.9657923290228574</v>
      </c>
      <c r="BD68" s="3">
        <v>0</v>
      </c>
      <c r="BE68" s="3">
        <f t="shared" si="25"/>
        <v>203.62561720805155</v>
      </c>
      <c r="BF68">
        <v>0</v>
      </c>
      <c r="BG68">
        <v>0</v>
      </c>
      <c r="BH68" s="23">
        <v>1</v>
      </c>
      <c r="BI68" s="23">
        <v>1</v>
      </c>
      <c r="BJ68">
        <v>0</v>
      </c>
      <c r="BK68">
        <v>0</v>
      </c>
      <c r="BM68" s="3">
        <f t="shared" si="13"/>
        <v>203.62561720805155</v>
      </c>
      <c r="BO68" s="22">
        <f t="shared" si="14"/>
        <v>7.8896163789407998</v>
      </c>
      <c r="BP68" s="22">
        <f t="shared" si="15"/>
        <v>7.9497520979509533</v>
      </c>
    </row>
    <row r="69" spans="1:68">
      <c r="A69">
        <v>1990</v>
      </c>
      <c r="B69" s="3">
        <f t="shared" si="0"/>
        <v>155.111620685932</v>
      </c>
      <c r="C69" s="3">
        <f t="shared" si="1"/>
        <v>59.913057002261802</v>
      </c>
      <c r="D69" s="2">
        <v>115.21599999999999</v>
      </c>
      <c r="E69" s="2">
        <v>85.743189999999998</v>
      </c>
      <c r="F69" s="2">
        <f t="shared" si="16"/>
        <v>98.789873790399994</v>
      </c>
      <c r="G69" s="2">
        <v>5.9187900000000004</v>
      </c>
      <c r="H69" s="2">
        <f t="shared" si="17"/>
        <v>5.8471651709188164</v>
      </c>
      <c r="I69" s="32">
        <f t="shared" si="2"/>
        <v>5.5004566535707209</v>
      </c>
      <c r="J69" s="32">
        <f t="shared" si="3"/>
        <v>5.7644117850399272</v>
      </c>
      <c r="P69" s="32">
        <f t="shared" si="4"/>
        <v>1.508709060845991</v>
      </c>
      <c r="Q69" s="32">
        <f t="shared" si="5"/>
        <v>1.7726641923151969</v>
      </c>
      <c r="S69" s="2">
        <f>USA!Z77*G69</f>
        <v>145.18791870000001</v>
      </c>
      <c r="T69" s="2">
        <v>0</v>
      </c>
      <c r="U69" s="2">
        <v>0</v>
      </c>
      <c r="V69" s="2">
        <v>0</v>
      </c>
      <c r="X69" s="2">
        <f t="shared" si="18"/>
        <v>0.65500000000000003</v>
      </c>
      <c r="Y69" s="32">
        <f t="shared" ref="Y69:Y97" si="27">AN69</f>
        <v>2.92</v>
      </c>
      <c r="Z69" s="2">
        <v>0.24199999999999999</v>
      </c>
      <c r="AA69" s="2">
        <f t="shared" si="19"/>
        <v>1.0717475927247297</v>
      </c>
      <c r="AB69" s="2">
        <f t="shared" ref="AB69:AB96" si="28">Y69+AA69</f>
        <v>3.9917475927247299</v>
      </c>
      <c r="AC69" s="2">
        <f>I69*X69</f>
        <v>3.6027991080888224</v>
      </c>
      <c r="AE69" s="4">
        <v>65.5</v>
      </c>
      <c r="AI69" s="2"/>
      <c r="AJ69" s="2"/>
      <c r="AK69" s="2"/>
      <c r="AL69">
        <v>2.92</v>
      </c>
      <c r="AM69">
        <v>0</v>
      </c>
      <c r="AN69" s="2">
        <f>AL69+AM69</f>
        <v>2.92</v>
      </c>
      <c r="AO69"/>
      <c r="AP69">
        <v>1990</v>
      </c>
      <c r="AQ69" s="1">
        <f t="shared" si="7"/>
        <v>5.5004566535707209</v>
      </c>
      <c r="AR69" s="1">
        <f t="shared" si="21"/>
        <v>2.92</v>
      </c>
      <c r="AS69" s="1">
        <f t="shared" si="22"/>
        <v>1.0717475927247297</v>
      </c>
      <c r="AT69" s="1">
        <f t="shared" si="23"/>
        <v>3.9917475927247299</v>
      </c>
      <c r="AU69" s="1">
        <f t="shared" si="8"/>
        <v>1.508709060845991</v>
      </c>
      <c r="AV69" s="12"/>
      <c r="AW69" s="7">
        <v>68.627175222314833</v>
      </c>
      <c r="AX69" s="12"/>
      <c r="AY69" s="22">
        <f t="shared" si="9"/>
        <v>8.0149833294933437</v>
      </c>
      <c r="AZ69" s="22">
        <f t="shared" si="24"/>
        <v>8.4775339470727715</v>
      </c>
      <c r="BA69" s="1">
        <f t="shared" si="10"/>
        <v>5.8165698643338191</v>
      </c>
      <c r="BB69" s="1">
        <f t="shared" si="26"/>
        <v>2.1984134651595246</v>
      </c>
      <c r="BC69" s="1">
        <f t="shared" si="12"/>
        <v>2.6609640827389516</v>
      </c>
      <c r="BD69" s="3">
        <v>0</v>
      </c>
      <c r="BE69" s="3">
        <f t="shared" si="25"/>
        <v>211.56038876679668</v>
      </c>
      <c r="BF69">
        <v>0</v>
      </c>
      <c r="BG69">
        <v>0</v>
      </c>
      <c r="BH69" s="23">
        <v>1</v>
      </c>
      <c r="BI69">
        <v>0</v>
      </c>
      <c r="BJ69">
        <v>0</v>
      </c>
      <c r="BK69">
        <v>0</v>
      </c>
      <c r="BM69" s="3">
        <f t="shared" si="13"/>
        <v>211.56038876679668</v>
      </c>
      <c r="BO69" s="22">
        <f t="shared" si="14"/>
        <v>8.6911157043788041</v>
      </c>
      <c r="BP69" s="22">
        <f t="shared" si="15"/>
        <v>9.1926864215282311</v>
      </c>
    </row>
    <row r="70" spans="1:68">
      <c r="A70">
        <v>1991</v>
      </c>
      <c r="B70" s="3">
        <f t="shared" si="0"/>
        <v>185.24783118668353</v>
      </c>
      <c r="C70" s="3">
        <f t="shared" si="1"/>
        <v>62.450351141377027</v>
      </c>
      <c r="D70" s="2">
        <v>137.601</v>
      </c>
      <c r="E70" s="2">
        <v>89.374380000000002</v>
      </c>
      <c r="F70" s="2">
        <f t="shared" si="16"/>
        <v>122.98004062379999</v>
      </c>
      <c r="G70" s="2">
        <v>6.0474699999999988</v>
      </c>
      <c r="H70" s="2">
        <f t="shared" si="17"/>
        <v>7.4371810627121162</v>
      </c>
      <c r="I70" s="32">
        <f t="shared" si="2"/>
        <v>6.9961923195983209</v>
      </c>
      <c r="J70" s="32">
        <f t="shared" si="3"/>
        <v>6.9989339317926138</v>
      </c>
      <c r="P70" s="32">
        <f t="shared" si="4"/>
        <v>3.2119538556786571</v>
      </c>
      <c r="Q70" s="32">
        <f t="shared" si="5"/>
        <v>3.2146954678729505</v>
      </c>
      <c r="S70" s="2">
        <f>USA!Z78*G70</f>
        <v>130.26250379999996</v>
      </c>
      <c r="T70" s="2">
        <v>0</v>
      </c>
      <c r="U70" s="2">
        <v>1</v>
      </c>
      <c r="V70" s="2">
        <v>0</v>
      </c>
      <c r="X70" s="2">
        <f t="shared" si="18"/>
        <v>0.67799999999999994</v>
      </c>
      <c r="Y70" s="32">
        <f t="shared" si="27"/>
        <v>2.3849999999999998</v>
      </c>
      <c r="Z70" s="2">
        <v>0.25</v>
      </c>
      <c r="AA70" s="2">
        <f t="shared" si="19"/>
        <v>1.3992384639196642</v>
      </c>
      <c r="AB70" s="2">
        <f t="shared" si="28"/>
        <v>3.7842384639196638</v>
      </c>
      <c r="AE70" s="4">
        <v>67.8</v>
      </c>
      <c r="AI70" s="2"/>
      <c r="AJ70" s="2"/>
      <c r="AK70" s="2"/>
      <c r="AL70">
        <v>2.3849999999999998</v>
      </c>
      <c r="AM70">
        <v>0</v>
      </c>
      <c r="AN70" s="2">
        <f t="shared" ref="AN70:AN97" si="29">AL70+AM70</f>
        <v>2.3849999999999998</v>
      </c>
      <c r="AO70"/>
      <c r="AP70">
        <v>1991</v>
      </c>
      <c r="AQ70" s="1">
        <f t="shared" si="7"/>
        <v>6.9961923195983209</v>
      </c>
      <c r="AR70" s="1">
        <f t="shared" si="21"/>
        <v>2.3849999999999998</v>
      </c>
      <c r="AS70" s="1">
        <f t="shared" si="22"/>
        <v>1.3992384639196642</v>
      </c>
      <c r="AT70" s="1">
        <f t="shared" si="23"/>
        <v>3.7842384639196638</v>
      </c>
      <c r="AU70" s="1">
        <f t="shared" si="8"/>
        <v>3.2119538556786571</v>
      </c>
      <c r="AV70" s="12"/>
      <c r="AW70" s="7">
        <v>75.108756628970653</v>
      </c>
      <c r="AX70" s="12"/>
      <c r="AY70" s="22">
        <f t="shared" si="9"/>
        <v>9.3147492164712222</v>
      </c>
      <c r="AZ70" s="22">
        <f t="shared" si="24"/>
        <v>9.3147492164712204</v>
      </c>
      <c r="BA70" s="1">
        <f t="shared" si="10"/>
        <v>5.0383452393086507</v>
      </c>
      <c r="BB70" s="1">
        <f t="shared" si="26"/>
        <v>4.2764039771625715</v>
      </c>
      <c r="BC70" s="1">
        <f t="shared" si="12"/>
        <v>4.2764039771625688</v>
      </c>
      <c r="BD70" s="3">
        <v>0</v>
      </c>
      <c r="BE70" s="3">
        <f t="shared" si="25"/>
        <v>173.43184689301009</v>
      </c>
      <c r="BF70" s="23">
        <v>1</v>
      </c>
      <c r="BG70">
        <v>0</v>
      </c>
      <c r="BH70" s="23">
        <v>1</v>
      </c>
      <c r="BI70">
        <v>0</v>
      </c>
      <c r="BJ70">
        <v>0</v>
      </c>
      <c r="BK70">
        <v>0</v>
      </c>
      <c r="BM70" s="3">
        <f t="shared" si="13"/>
        <v>173.43184689301009</v>
      </c>
      <c r="BO70" s="22">
        <f t="shared" si="14"/>
        <v>10.100527957397597</v>
      </c>
      <c r="BP70" s="22">
        <f t="shared" si="15"/>
        <v>10.100527957397595</v>
      </c>
    </row>
    <row r="71" spans="1:68">
      <c r="A71">
        <v>1992</v>
      </c>
      <c r="B71" s="3">
        <f t="shared" si="0"/>
        <v>157.00851238106532</v>
      </c>
      <c r="C71" s="3">
        <f t="shared" si="1"/>
        <v>64.341860498266513</v>
      </c>
      <c r="D71" s="2">
        <v>116.625</v>
      </c>
      <c r="E71" s="2">
        <v>92.081370000000007</v>
      </c>
      <c r="F71" s="2">
        <f t="shared" si="16"/>
        <v>107.3898977625</v>
      </c>
      <c r="G71" s="2">
        <v>5.8238300000000001</v>
      </c>
      <c r="H71" s="2">
        <f t="shared" si="17"/>
        <v>6.2542050828618043</v>
      </c>
      <c r="I71" s="32">
        <f t="shared" si="2"/>
        <v>5.8833610741694358</v>
      </c>
      <c r="J71" s="32">
        <f t="shared" si="3"/>
        <v>5.7038486436626288</v>
      </c>
      <c r="P71" s="32">
        <f t="shared" si="4"/>
        <v>1.7566888593355481</v>
      </c>
      <c r="Q71" s="32">
        <f t="shared" si="5"/>
        <v>1.5771764288287413</v>
      </c>
      <c r="S71" s="2">
        <f>USA!Z79*G71</f>
        <v>119.85442139999999</v>
      </c>
      <c r="T71" s="2">
        <v>0</v>
      </c>
      <c r="U71" s="2">
        <v>0</v>
      </c>
      <c r="V71" s="2">
        <v>0</v>
      </c>
      <c r="X71" s="2">
        <f t="shared" si="18"/>
        <v>0.69200000000000006</v>
      </c>
      <c r="Y71" s="32">
        <f t="shared" si="27"/>
        <v>2.95</v>
      </c>
      <c r="Z71" s="2">
        <v>0.25</v>
      </c>
      <c r="AA71" s="2">
        <f t="shared" si="19"/>
        <v>1.1766722148338873</v>
      </c>
      <c r="AB71" s="2">
        <f t="shared" si="28"/>
        <v>4.1266722148338877</v>
      </c>
      <c r="AE71" s="4">
        <v>69.2</v>
      </c>
      <c r="AI71" s="2"/>
      <c r="AJ71" s="2"/>
      <c r="AK71" s="2"/>
      <c r="AL71">
        <v>2.37</v>
      </c>
      <c r="AM71">
        <v>0.57999999999999996</v>
      </c>
      <c r="AN71" s="2">
        <f t="shared" si="29"/>
        <v>2.95</v>
      </c>
      <c r="AO71"/>
      <c r="AP71">
        <v>1992</v>
      </c>
      <c r="AQ71" s="1">
        <f t="shared" si="7"/>
        <v>5.8833610741694358</v>
      </c>
      <c r="AR71" s="1">
        <f t="shared" si="21"/>
        <v>2.95</v>
      </c>
      <c r="AS71" s="1">
        <f t="shared" si="22"/>
        <v>1.1766722148338873</v>
      </c>
      <c r="AT71" s="1">
        <f t="shared" si="23"/>
        <v>4.1266722148338877</v>
      </c>
      <c r="AU71" s="1">
        <f t="shared" si="8"/>
        <v>1.7566888593355481</v>
      </c>
      <c r="AV71" s="12"/>
      <c r="AW71" s="7">
        <v>76.892114160479238</v>
      </c>
      <c r="AX71" s="12"/>
      <c r="AY71" s="22">
        <f t="shared" si="9"/>
        <v>7.6514492264973342</v>
      </c>
      <c r="AZ71" s="22">
        <f t="shared" si="24"/>
        <v>7.6034659496129846</v>
      </c>
      <c r="BA71" s="1">
        <f t="shared" si="10"/>
        <v>5.3668341154220744</v>
      </c>
      <c r="BB71" s="1">
        <f t="shared" si="26"/>
        <v>2.2846151110752597</v>
      </c>
      <c r="BC71" s="1">
        <f t="shared" si="12"/>
        <v>2.2366318341909102</v>
      </c>
      <c r="BD71" s="3">
        <v>0</v>
      </c>
      <c r="BE71" s="3">
        <f t="shared" si="25"/>
        <v>155.87348938001028</v>
      </c>
      <c r="BF71">
        <v>0</v>
      </c>
      <c r="BG71">
        <v>0</v>
      </c>
      <c r="BH71" s="23">
        <v>1</v>
      </c>
      <c r="BI71">
        <v>0</v>
      </c>
      <c r="BJ71">
        <v>0</v>
      </c>
      <c r="BK71">
        <v>0</v>
      </c>
      <c r="BM71" s="3">
        <f t="shared" si="13"/>
        <v>155.87348938001028</v>
      </c>
      <c r="BO71" s="22">
        <f t="shared" si="14"/>
        <v>8.2969143914453678</v>
      </c>
      <c r="BP71" s="22">
        <f t="shared" si="15"/>
        <v>8.2448833148812337</v>
      </c>
    </row>
    <row r="72" spans="1:68">
      <c r="A72">
        <v>1993</v>
      </c>
      <c r="B72" s="3">
        <f t="shared" si="0"/>
        <v>130.35321257366837</v>
      </c>
      <c r="C72" s="3">
        <f t="shared" si="1"/>
        <v>66.241014180537462</v>
      </c>
      <c r="D72" s="2">
        <v>96.825599999999994</v>
      </c>
      <c r="E72" s="2">
        <v>94.799300000000002</v>
      </c>
      <c r="F72" s="2">
        <f t="shared" si="16"/>
        <v>91.789991020799988</v>
      </c>
      <c r="G72" s="2">
        <v>7.7834300000000001</v>
      </c>
      <c r="H72" s="2">
        <f t="shared" si="17"/>
        <v>7.1444096981102527</v>
      </c>
      <c r="I72" s="32">
        <f t="shared" si="2"/>
        <v>6.7207808760481047</v>
      </c>
      <c r="J72" s="32">
        <f t="shared" si="3"/>
        <v>6.9833989040032574</v>
      </c>
      <c r="P72" s="32">
        <f t="shared" si="4"/>
        <v>1.4966247008384839</v>
      </c>
      <c r="Q72" s="32">
        <f t="shared" si="5"/>
        <v>1.7592427287936365</v>
      </c>
      <c r="S72" s="2">
        <f>USA!Z80*G72</f>
        <v>143.4486149</v>
      </c>
      <c r="T72" s="2">
        <v>0</v>
      </c>
      <c r="U72" s="2">
        <v>0</v>
      </c>
      <c r="V72" s="2">
        <v>0</v>
      </c>
      <c r="X72" s="2">
        <f t="shared" si="18"/>
        <v>0.72</v>
      </c>
      <c r="Y72" s="32">
        <f t="shared" si="27"/>
        <v>3.88</v>
      </c>
      <c r="Z72" s="2">
        <v>0.25</v>
      </c>
      <c r="AA72" s="2">
        <f t="shared" si="19"/>
        <v>1.3441561752096209</v>
      </c>
      <c r="AB72" s="2">
        <f t="shared" si="28"/>
        <v>5.2241561752096208</v>
      </c>
      <c r="AE72" s="4">
        <v>72</v>
      </c>
      <c r="AI72" s="2"/>
      <c r="AJ72" s="2"/>
      <c r="AK72" s="2"/>
      <c r="AL72">
        <v>3.14</v>
      </c>
      <c r="AM72">
        <v>0.74</v>
      </c>
      <c r="AN72" s="2">
        <f t="shared" si="29"/>
        <v>3.88</v>
      </c>
      <c r="AO72"/>
      <c r="AP72">
        <v>1993</v>
      </c>
      <c r="AQ72" s="1">
        <f t="shared" si="7"/>
        <v>6.7207808760481047</v>
      </c>
      <c r="AR72" s="1">
        <f t="shared" si="21"/>
        <v>3.88</v>
      </c>
      <c r="AS72" s="1">
        <f t="shared" si="22"/>
        <v>1.3441561752096209</v>
      </c>
      <c r="AT72" s="1">
        <f t="shared" si="23"/>
        <v>5.2241561752096208</v>
      </c>
      <c r="AU72" s="1">
        <f t="shared" si="8"/>
        <v>1.4966247008384839</v>
      </c>
      <c r="AV72" s="12"/>
      <c r="AW72" s="7">
        <v>80.527706341344185</v>
      </c>
      <c r="AX72" s="12"/>
      <c r="AY72" s="22">
        <f t="shared" si="9"/>
        <v>8.345923634729866</v>
      </c>
      <c r="AZ72" s="22">
        <f t="shared" si="24"/>
        <v>8.8936714913815926</v>
      </c>
      <c r="BA72" s="1">
        <f t="shared" si="10"/>
        <v>6.4874021781587201</v>
      </c>
      <c r="BB72" s="1">
        <f t="shared" si="26"/>
        <v>1.8585214565711459</v>
      </c>
      <c r="BC72" s="1">
        <f t="shared" si="12"/>
        <v>2.4062693132228716</v>
      </c>
      <c r="BD72" s="3">
        <v>0</v>
      </c>
      <c r="BE72" s="3">
        <f t="shared" si="25"/>
        <v>178.13572671739098</v>
      </c>
      <c r="BF72">
        <v>0</v>
      </c>
      <c r="BG72">
        <v>0</v>
      </c>
      <c r="BH72" s="23">
        <v>1</v>
      </c>
      <c r="BI72">
        <v>0</v>
      </c>
      <c r="BJ72">
        <v>0</v>
      </c>
      <c r="BK72">
        <v>0</v>
      </c>
      <c r="BM72" s="3">
        <f t="shared" si="13"/>
        <v>178.13572671739098</v>
      </c>
      <c r="BO72" s="22">
        <f t="shared" si="14"/>
        <v>9.0499736540228319</v>
      </c>
      <c r="BP72" s="22">
        <f t="shared" si="15"/>
        <v>9.6439287258279016</v>
      </c>
    </row>
    <row r="73" spans="1:68">
      <c r="A73">
        <v>1994</v>
      </c>
      <c r="B73" s="3">
        <f t="shared" si="0"/>
        <v>139.42759779856303</v>
      </c>
      <c r="C73" s="3">
        <f t="shared" si="1"/>
        <v>67.968212466727536</v>
      </c>
      <c r="D73" s="2">
        <v>103.566</v>
      </c>
      <c r="E73" s="2">
        <v>97.271140000000003</v>
      </c>
      <c r="F73" s="2">
        <f t="shared" si="16"/>
        <v>100.73982885240001</v>
      </c>
      <c r="G73" s="2">
        <v>7.7159700000000004</v>
      </c>
      <c r="H73" s="2">
        <f t="shared" si="17"/>
        <v>7.7730549723025293</v>
      </c>
      <c r="I73" s="32">
        <f t="shared" si="2"/>
        <v>7.3121505364032506</v>
      </c>
      <c r="J73" s="32">
        <f t="shared" si="3"/>
        <v>7.048843682238541</v>
      </c>
      <c r="P73" s="32">
        <f t="shared" si="4"/>
        <v>1.9397204291226</v>
      </c>
      <c r="Q73" s="32">
        <f t="shared" si="5"/>
        <v>1.6764135749578908</v>
      </c>
      <c r="S73" s="2">
        <f>USA!Z81*G73</f>
        <v>132.71468400000001</v>
      </c>
      <c r="T73" s="2">
        <v>0</v>
      </c>
      <c r="U73" s="2">
        <v>0</v>
      </c>
      <c r="V73" s="2">
        <v>0</v>
      </c>
      <c r="X73" s="2">
        <f t="shared" si="18"/>
        <v>0.72</v>
      </c>
      <c r="Y73" s="32">
        <f t="shared" si="27"/>
        <v>3.91</v>
      </c>
      <c r="Z73" s="2">
        <v>0.25</v>
      </c>
      <c r="AA73" s="2">
        <f t="shared" si="19"/>
        <v>1.4624301072806503</v>
      </c>
      <c r="AB73" s="2">
        <f t="shared" si="28"/>
        <v>5.3724301072806506</v>
      </c>
      <c r="AE73" s="4">
        <v>72</v>
      </c>
      <c r="AI73" s="2"/>
      <c r="AJ73" s="2"/>
      <c r="AK73" s="2"/>
      <c r="AL73">
        <v>3.14</v>
      </c>
      <c r="AM73">
        <v>0.77</v>
      </c>
      <c r="AN73" s="2">
        <f t="shared" si="29"/>
        <v>3.91</v>
      </c>
      <c r="AO73"/>
      <c r="AP73">
        <v>1994</v>
      </c>
      <c r="AQ73" s="1">
        <f t="shared" si="7"/>
        <v>7.3121505364032506</v>
      </c>
      <c r="AR73" s="1">
        <f t="shared" si="21"/>
        <v>3.91</v>
      </c>
      <c r="AS73" s="1">
        <f t="shared" si="22"/>
        <v>1.4624301072806503</v>
      </c>
      <c r="AT73" s="1">
        <f t="shared" si="23"/>
        <v>5.3724301072806506</v>
      </c>
      <c r="AU73" s="1">
        <f t="shared" si="8"/>
        <v>1.9397204291226</v>
      </c>
      <c r="AV73" s="12"/>
      <c r="AW73" s="7">
        <v>82.265605372425142</v>
      </c>
      <c r="AX73" s="12"/>
      <c r="AY73" s="22">
        <f t="shared" si="9"/>
        <v>8.8884662105145491</v>
      </c>
      <c r="AZ73" s="22">
        <f t="shared" si="24"/>
        <v>8.8087602043929643</v>
      </c>
      <c r="BA73" s="1">
        <f t="shared" si="10"/>
        <v>6.5305908623161377</v>
      </c>
      <c r="BB73" s="1">
        <f t="shared" si="26"/>
        <v>2.3578753481984114</v>
      </c>
      <c r="BC73" s="1">
        <f t="shared" si="12"/>
        <v>2.2781693420768274</v>
      </c>
      <c r="BD73" s="3">
        <v>0</v>
      </c>
      <c r="BE73" s="3">
        <f t="shared" si="25"/>
        <v>161.32463062684158</v>
      </c>
      <c r="BF73">
        <v>0</v>
      </c>
      <c r="BG73">
        <v>0</v>
      </c>
      <c r="BH73" s="23">
        <v>1</v>
      </c>
      <c r="BI73">
        <v>0</v>
      </c>
      <c r="BJ73">
        <v>0</v>
      </c>
      <c r="BK73">
        <v>0</v>
      </c>
      <c r="BM73" s="3">
        <f t="shared" si="13"/>
        <v>161.32463062684158</v>
      </c>
      <c r="BO73" s="22">
        <f t="shared" si="14"/>
        <v>9.6382843350126652</v>
      </c>
      <c r="BP73" s="22">
        <f t="shared" si="15"/>
        <v>9.551854445759183</v>
      </c>
    </row>
    <row r="74" spans="1:68">
      <c r="A74">
        <v>1995</v>
      </c>
      <c r="B74" s="3">
        <f t="shared" si="0"/>
        <v>152.45139500134476</v>
      </c>
      <c r="C74" s="3">
        <f t="shared" si="1"/>
        <v>69.875003486879606</v>
      </c>
      <c r="D74" s="2">
        <v>113.24</v>
      </c>
      <c r="E74" s="2">
        <v>100</v>
      </c>
      <c r="F74" s="2">
        <f t="shared" si="16"/>
        <v>113.24</v>
      </c>
      <c r="G74" s="2">
        <v>7.1332700000000004</v>
      </c>
      <c r="H74" s="2">
        <f t="shared" si="17"/>
        <v>8.0777149480000006</v>
      </c>
      <c r="I74" s="32">
        <f t="shared" si="2"/>
        <v>7.5987456541085576</v>
      </c>
      <c r="J74" s="32">
        <f t="shared" si="3"/>
        <v>7.1965284271384213</v>
      </c>
      <c r="K74" s="2">
        <f>K$79*L74/L$79</f>
        <v>6.5823040000000006</v>
      </c>
      <c r="L74" s="2">
        <v>69.2</v>
      </c>
      <c r="M74" s="2">
        <f>G74*N74/100</f>
        <v>8.345925900000001</v>
      </c>
      <c r="N74" s="39">
        <v>117</v>
      </c>
      <c r="P74" s="32">
        <f t="shared" si="4"/>
        <v>2.0689965232868461</v>
      </c>
      <c r="Q74" s="32">
        <f t="shared" si="5"/>
        <v>1.6667792963167098</v>
      </c>
      <c r="S74" s="2">
        <f>USA!Z82*G74</f>
        <v>131.46616610000001</v>
      </c>
      <c r="T74" s="2">
        <v>0</v>
      </c>
      <c r="U74" s="2">
        <v>0</v>
      </c>
      <c r="V74" s="2">
        <v>0</v>
      </c>
      <c r="X74" s="2">
        <f t="shared" si="18"/>
        <v>0.73</v>
      </c>
      <c r="Y74" s="32">
        <f t="shared" si="27"/>
        <v>4.01</v>
      </c>
      <c r="Z74" s="2">
        <v>0.25</v>
      </c>
      <c r="AA74" s="2">
        <f t="shared" si="19"/>
        <v>1.5197491308217117</v>
      </c>
      <c r="AB74" s="2">
        <f t="shared" si="28"/>
        <v>5.5297491308217115</v>
      </c>
      <c r="AE74" s="4">
        <v>73</v>
      </c>
      <c r="AI74" s="2"/>
      <c r="AJ74" s="2"/>
      <c r="AK74" s="2"/>
      <c r="AL74">
        <v>3.22</v>
      </c>
      <c r="AM74">
        <v>0.79</v>
      </c>
      <c r="AN74" s="2">
        <f t="shared" si="29"/>
        <v>4.01</v>
      </c>
      <c r="AO74"/>
      <c r="AP74">
        <v>1995</v>
      </c>
      <c r="AQ74" s="1">
        <f t="shared" si="7"/>
        <v>7.5987456541085576</v>
      </c>
      <c r="AR74" s="1">
        <f t="shared" si="21"/>
        <v>4.01</v>
      </c>
      <c r="AS74" s="1">
        <f t="shared" si="22"/>
        <v>1.5197491308217117</v>
      </c>
      <c r="AT74" s="1">
        <f t="shared" si="23"/>
        <v>5.5297491308217115</v>
      </c>
      <c r="AU74" s="1">
        <f t="shared" si="8"/>
        <v>2.0689965232868461</v>
      </c>
      <c r="AV74" s="12"/>
      <c r="AW74" s="7">
        <v>84.285348560070176</v>
      </c>
      <c r="AX74" s="12"/>
      <c r="AY74" s="22">
        <f t="shared" si="9"/>
        <v>9.0155000648694354</v>
      </c>
      <c r="AZ74" s="22">
        <f t="shared" si="24"/>
        <v>8.7981720455326222</v>
      </c>
      <c r="BA74" s="1">
        <f t="shared" si="10"/>
        <v>6.5607477756121027</v>
      </c>
      <c r="BB74" s="1">
        <f t="shared" si="26"/>
        <v>2.4547522892573328</v>
      </c>
      <c r="BC74" s="1">
        <f t="shared" si="12"/>
        <v>2.2374242699205196</v>
      </c>
      <c r="BD74" s="3">
        <v>0</v>
      </c>
      <c r="BE74" s="3">
        <f t="shared" si="25"/>
        <v>155.97748404196733</v>
      </c>
      <c r="BF74">
        <v>0</v>
      </c>
      <c r="BG74">
        <v>0</v>
      </c>
      <c r="BH74" s="23">
        <v>1</v>
      </c>
      <c r="BI74">
        <v>0</v>
      </c>
      <c r="BJ74">
        <v>0</v>
      </c>
      <c r="BK74">
        <v>0</v>
      </c>
      <c r="BM74" s="3">
        <f t="shared" si="13"/>
        <v>155.97748404196733</v>
      </c>
      <c r="BO74" s="22">
        <f t="shared" si="14"/>
        <v>9.7760345811683642</v>
      </c>
      <c r="BP74" s="22">
        <f t="shared" si="15"/>
        <v>9.5403730851663351</v>
      </c>
    </row>
    <row r="75" spans="1:68">
      <c r="A75">
        <v>1996</v>
      </c>
      <c r="B75" s="3">
        <f t="shared" si="0"/>
        <v>150.6729748954036</v>
      </c>
      <c r="C75" s="3">
        <f t="shared" si="1"/>
        <v>71.923179589087013</v>
      </c>
      <c r="D75" s="2">
        <v>111.919</v>
      </c>
      <c r="E75" s="2">
        <v>102.9312</v>
      </c>
      <c r="F75" s="2">
        <f t="shared" si="16"/>
        <v>115.199569728</v>
      </c>
      <c r="G75" s="2">
        <v>6.7059600000000001</v>
      </c>
      <c r="H75" s="2">
        <f t="shared" si="17"/>
        <v>7.7252370661317888</v>
      </c>
      <c r="I75" s="32">
        <f>H75*K$75/H$75</f>
        <v>7.2671680000000007</v>
      </c>
      <c r="J75" s="32">
        <f t="shared" si="3"/>
        <v>7.4703889175767344</v>
      </c>
      <c r="K75" s="2">
        <f>K$79*L75/L$79</f>
        <v>7.2671680000000007</v>
      </c>
      <c r="L75" s="2">
        <v>76.400000000000006</v>
      </c>
      <c r="M75" s="2">
        <f t="shared" ref="M75:M87" si="30">G75*N75/100</f>
        <v>7.6671475999999998</v>
      </c>
      <c r="N75" s="2">
        <f>N74+(N$77-N$74)/3</f>
        <v>114.33333333333333</v>
      </c>
      <c r="P75" s="32">
        <f t="shared" si="4"/>
        <v>1.5937344000000007</v>
      </c>
      <c r="Q75" s="32">
        <f t="shared" si="5"/>
        <v>1.7969553175767339</v>
      </c>
      <c r="S75" s="2">
        <f>USA!Z83*G75</f>
        <v>148.33583520000002</v>
      </c>
      <c r="T75" s="2">
        <v>0</v>
      </c>
      <c r="U75" s="2">
        <v>0</v>
      </c>
      <c r="V75" s="2">
        <v>0</v>
      </c>
      <c r="X75" s="2">
        <f t="shared" si="18"/>
        <v>0.73</v>
      </c>
      <c r="Y75" s="32">
        <f t="shared" si="27"/>
        <v>4.22</v>
      </c>
      <c r="Z75" s="2">
        <v>0.25</v>
      </c>
      <c r="AA75" s="2">
        <f t="shared" si="19"/>
        <v>1.4534336000000003</v>
      </c>
      <c r="AB75" s="2">
        <f t="shared" si="28"/>
        <v>5.6734336000000001</v>
      </c>
      <c r="AE75" s="4">
        <v>73</v>
      </c>
      <c r="AI75" s="2"/>
      <c r="AJ75" s="2"/>
      <c r="AK75" s="2"/>
      <c r="AL75">
        <v>3.36</v>
      </c>
      <c r="AM75">
        <v>0.86</v>
      </c>
      <c r="AN75" s="2">
        <f t="shared" si="29"/>
        <v>4.22</v>
      </c>
      <c r="AO75"/>
      <c r="AP75">
        <v>1996</v>
      </c>
      <c r="AQ75" s="1">
        <f t="shared" si="7"/>
        <v>7.2671680000000007</v>
      </c>
      <c r="AR75" s="1">
        <f t="shared" si="21"/>
        <v>4.22</v>
      </c>
      <c r="AS75" s="1">
        <f t="shared" si="22"/>
        <v>1.4534336000000003</v>
      </c>
      <c r="AT75" s="1">
        <f t="shared" si="23"/>
        <v>5.6734336000000001</v>
      </c>
      <c r="AU75" s="1">
        <f t="shared" si="8"/>
        <v>1.5937344000000007</v>
      </c>
      <c r="AV75" s="12"/>
      <c r="AW75" s="7">
        <v>84.734700724555452</v>
      </c>
      <c r="AX75" s="12"/>
      <c r="AY75" s="22">
        <f t="shared" si="9"/>
        <v>8.5763777270225638</v>
      </c>
      <c r="AZ75" s="22">
        <f t="shared" si="24"/>
        <v>8.438219554663176</v>
      </c>
      <c r="BA75" s="1">
        <f t="shared" si="10"/>
        <v>6.6955256246699459</v>
      </c>
      <c r="BB75" s="1">
        <f t="shared" si="26"/>
        <v>1.8808521023526179</v>
      </c>
      <c r="BC75" s="1">
        <f t="shared" si="12"/>
        <v>1.7426939299932307</v>
      </c>
      <c r="BD75" s="3">
        <v>0</v>
      </c>
      <c r="BE75" s="3">
        <f t="shared" si="25"/>
        <v>175.05913625893464</v>
      </c>
      <c r="BF75">
        <v>0</v>
      </c>
      <c r="BG75">
        <v>0</v>
      </c>
      <c r="BH75" s="23">
        <v>1</v>
      </c>
      <c r="BI75">
        <v>0</v>
      </c>
      <c r="BJ75" s="23">
        <v>1</v>
      </c>
      <c r="BK75">
        <v>0</v>
      </c>
      <c r="BM75" s="3">
        <f t="shared" si="13"/>
        <v>175.05913625893464</v>
      </c>
      <c r="BO75" s="22">
        <f t="shared" si="14"/>
        <v>9.2998685194673048</v>
      </c>
      <c r="BP75" s="22">
        <f t="shared" si="15"/>
        <v>9.150055523966433</v>
      </c>
    </row>
    <row r="76" spans="1:68">
      <c r="A76">
        <v>1997</v>
      </c>
      <c r="B76" s="3">
        <f t="shared" si="0"/>
        <v>133.71856624876838</v>
      </c>
      <c r="C76" s="3">
        <f t="shared" si="1"/>
        <v>73.604511922988308</v>
      </c>
      <c r="D76" s="2">
        <v>99.964500000000001</v>
      </c>
      <c r="E76" s="2">
        <v>105.3374</v>
      </c>
      <c r="F76" s="2">
        <f t="shared" si="16"/>
        <v>105.30000522300001</v>
      </c>
      <c r="G76" s="2">
        <v>7.6348900000000004</v>
      </c>
      <c r="H76" s="2">
        <f t="shared" si="17"/>
        <v>8.0395395687703051</v>
      </c>
      <c r="I76" s="32">
        <f>K76</f>
        <v>7.5144800000000007</v>
      </c>
      <c r="J76" s="32">
        <f t="shared" si="3"/>
        <v>7.73944899453085</v>
      </c>
      <c r="K76" s="2">
        <f>K$79*L76/L$79</f>
        <v>7.5144800000000007</v>
      </c>
      <c r="L76" s="2">
        <v>79</v>
      </c>
      <c r="M76" s="2">
        <f t="shared" si="30"/>
        <v>8.5256271666666663</v>
      </c>
      <c r="N76" s="2">
        <f>N75+(N$77-N$74)/3</f>
        <v>111.66666666666666</v>
      </c>
      <c r="P76" s="32">
        <f t="shared" si="4"/>
        <v>1.6415839999999999</v>
      </c>
      <c r="Q76" s="32">
        <f t="shared" si="5"/>
        <v>1.8665529945308497</v>
      </c>
      <c r="S76" s="2">
        <f>USA!Z84*G76</f>
        <v>157.35508290000001</v>
      </c>
      <c r="T76" s="2">
        <v>0</v>
      </c>
      <c r="U76" s="2">
        <v>0</v>
      </c>
      <c r="V76" s="2">
        <v>0</v>
      </c>
      <c r="X76" s="2">
        <f t="shared" si="18"/>
        <v>0.73</v>
      </c>
      <c r="Y76" s="32">
        <f t="shared" si="27"/>
        <v>4.37</v>
      </c>
      <c r="Z76" s="2">
        <v>0.25</v>
      </c>
      <c r="AA76" s="2">
        <f t="shared" si="19"/>
        <v>1.5028960000000002</v>
      </c>
      <c r="AB76" s="2">
        <f t="shared" si="28"/>
        <v>5.8728960000000008</v>
      </c>
      <c r="AE76" s="4">
        <v>73</v>
      </c>
      <c r="AI76" s="2"/>
      <c r="AJ76" s="2"/>
      <c r="AK76" s="2"/>
      <c r="AL76">
        <v>3.51</v>
      </c>
      <c r="AM76">
        <v>0.86</v>
      </c>
      <c r="AN76" s="2">
        <f t="shared" si="29"/>
        <v>4.37</v>
      </c>
      <c r="AO76"/>
      <c r="AP76">
        <v>1997</v>
      </c>
      <c r="AQ76" s="1">
        <f t="shared" ref="AQ76:AQ96" si="31">I76</f>
        <v>7.5144800000000007</v>
      </c>
      <c r="AR76" s="1">
        <f t="shared" si="21"/>
        <v>4.37</v>
      </c>
      <c r="AS76" s="1">
        <f t="shared" si="22"/>
        <v>1.5028960000000002</v>
      </c>
      <c r="AT76" s="1">
        <f t="shared" si="23"/>
        <v>5.8728960000000008</v>
      </c>
      <c r="AU76" s="1">
        <f t="shared" ref="AU76:AU96" si="32">AQ76-AT76</f>
        <v>1.6415839999999999</v>
      </c>
      <c r="AV76" s="12"/>
      <c r="AW76" s="7">
        <v>85.292602721800094</v>
      </c>
      <c r="AX76" s="12"/>
      <c r="AY76" s="22">
        <f t="shared" ref="AY76:AY96" si="33">AQ76/$AW76*100</f>
        <v>8.8102364803077595</v>
      </c>
      <c r="AZ76" s="22">
        <f t="shared" si="24"/>
        <v>8.7001322810086421</v>
      </c>
      <c r="BA76" s="1">
        <f t="shared" ref="BA76:BA96" si="34">AT76/$AW76*100</f>
        <v>6.8855865720919507</v>
      </c>
      <c r="BB76" s="1">
        <f t="shared" si="26"/>
        <v>1.9246499082158088</v>
      </c>
      <c r="BC76" s="1">
        <f t="shared" ref="BC76:BC97" si="35">AZ$99+AZ$100*BD76+AZ$101*BE76+AZ$102*BF76+AZ$103*BG76+AZ$104*BH76+AZ$105*BI76+AZ$106*BJ76+AZ$107*BK76</f>
        <v>1.8145457089166921</v>
      </c>
      <c r="BD76" s="3">
        <v>0</v>
      </c>
      <c r="BE76" s="3">
        <f t="shared" si="25"/>
        <v>184.48854634351702</v>
      </c>
      <c r="BF76">
        <v>0</v>
      </c>
      <c r="BG76">
        <v>0</v>
      </c>
      <c r="BH76" s="23">
        <v>1</v>
      </c>
      <c r="BI76">
        <v>0</v>
      </c>
      <c r="BJ76" s="23">
        <v>1</v>
      </c>
      <c r="BK76">
        <v>0</v>
      </c>
      <c r="BM76" s="3">
        <f t="shared" si="13"/>
        <v>184.48854634351702</v>
      </c>
      <c r="BO76" s="22">
        <f t="shared" si="14"/>
        <v>9.5534552581700911</v>
      </c>
      <c r="BP76" s="22">
        <f t="shared" si="15"/>
        <v>9.4340628282288659</v>
      </c>
    </row>
    <row r="77" spans="1:68">
      <c r="A77">
        <v>1998</v>
      </c>
      <c r="B77" s="3">
        <f t="shared" si="0"/>
        <v>117.97373096812281</v>
      </c>
      <c r="C77" s="3">
        <f t="shared" si="1"/>
        <v>74.747038105002289</v>
      </c>
      <c r="D77" s="2">
        <v>93.584800000000001</v>
      </c>
      <c r="E77" s="2">
        <v>106.9725</v>
      </c>
      <c r="F77" s="2">
        <f t="shared" si="16"/>
        <v>100.11000018</v>
      </c>
      <c r="G77" s="2">
        <v>7.9498699999999989</v>
      </c>
      <c r="H77" s="2">
        <f t="shared" si="17"/>
        <v>7.9586148713097646</v>
      </c>
      <c r="I77" s="32">
        <f>K77</f>
        <v>7.0103439999999999</v>
      </c>
      <c r="J77" s="32">
        <f t="shared" si="3"/>
        <v>7.4789855870426534</v>
      </c>
      <c r="K77" s="2">
        <f>K$79*L77/L$79</f>
        <v>7.0103439999999999</v>
      </c>
      <c r="L77" s="2">
        <v>73.7</v>
      </c>
      <c r="M77" s="2">
        <f t="shared" si="30"/>
        <v>8.6653582999999994</v>
      </c>
      <c r="N77" s="39">
        <v>109</v>
      </c>
      <c r="P77" s="32">
        <f t="shared" si="4"/>
        <v>1.0682751999999995</v>
      </c>
      <c r="Q77" s="32">
        <f t="shared" si="5"/>
        <v>1.5369167870426532</v>
      </c>
      <c r="S77" s="2">
        <f>USA!Z85*G77</f>
        <v>114.63712539999999</v>
      </c>
      <c r="T77" s="2">
        <v>0</v>
      </c>
      <c r="U77" s="2">
        <v>0</v>
      </c>
      <c r="V77" s="2">
        <v>0</v>
      </c>
      <c r="X77" s="2">
        <f t="shared" si="18"/>
        <v>0.75</v>
      </c>
      <c r="Y77" s="32">
        <f t="shared" si="27"/>
        <v>4.54</v>
      </c>
      <c r="Z77" s="2">
        <v>0.25</v>
      </c>
      <c r="AA77" s="2">
        <f t="shared" si="19"/>
        <v>1.4020688000000001</v>
      </c>
      <c r="AB77" s="2">
        <f t="shared" si="28"/>
        <v>5.9420688000000004</v>
      </c>
      <c r="AE77" s="4">
        <v>75</v>
      </c>
      <c r="AI77" s="2"/>
      <c r="AJ77" s="2"/>
      <c r="AK77" s="2"/>
      <c r="AL77">
        <v>3.68</v>
      </c>
      <c r="AM77">
        <v>0.86</v>
      </c>
      <c r="AN77" s="2">
        <f t="shared" si="29"/>
        <v>4.54</v>
      </c>
      <c r="AO77"/>
      <c r="AP77">
        <v>1998</v>
      </c>
      <c r="AQ77" s="1">
        <f t="shared" si="31"/>
        <v>7.0103439999999999</v>
      </c>
      <c r="AR77" s="1">
        <f t="shared" si="21"/>
        <v>4.54</v>
      </c>
      <c r="AS77" s="1">
        <f t="shared" si="22"/>
        <v>1.4020688000000001</v>
      </c>
      <c r="AT77" s="1">
        <f t="shared" ref="AT77:AT96" si="36">AB77</f>
        <v>5.9420688000000004</v>
      </c>
      <c r="AU77" s="1">
        <f t="shared" si="32"/>
        <v>1.0682751999999995</v>
      </c>
      <c r="AV77" s="12"/>
      <c r="AW77" s="7">
        <v>85.064758289249085</v>
      </c>
      <c r="AX77" s="12"/>
      <c r="AY77" s="22">
        <f t="shared" si="33"/>
        <v>8.2411848819489357</v>
      </c>
      <c r="AZ77" s="22">
        <f t="shared" si="24"/>
        <v>8.4209977603831234</v>
      </c>
      <c r="BA77" s="1">
        <f t="shared" si="34"/>
        <v>6.9853473042207996</v>
      </c>
      <c r="BB77" s="1">
        <f t="shared" si="26"/>
        <v>1.2558375777281361</v>
      </c>
      <c r="BC77" s="1">
        <f t="shared" si="35"/>
        <v>1.4356504561623245</v>
      </c>
      <c r="BD77" s="3">
        <v>0</v>
      </c>
      <c r="BE77" s="3">
        <f t="shared" si="25"/>
        <v>134.76453434475744</v>
      </c>
      <c r="BF77">
        <v>0</v>
      </c>
      <c r="BG77">
        <v>0</v>
      </c>
      <c r="BH77" s="23">
        <v>1</v>
      </c>
      <c r="BI77">
        <v>0</v>
      </c>
      <c r="BJ77" s="23">
        <v>1</v>
      </c>
      <c r="BK77">
        <v>0</v>
      </c>
      <c r="BM77" s="3">
        <f t="shared" si="13"/>
        <v>134.76453434475744</v>
      </c>
      <c r="BO77" s="22">
        <f t="shared" si="14"/>
        <v>8.9363992918901367</v>
      </c>
      <c r="BP77" s="22">
        <f t="shared" si="15"/>
        <v>9.1313809240862103</v>
      </c>
    </row>
    <row r="78" spans="1:68">
      <c r="A78">
        <v>1999</v>
      </c>
      <c r="B78" s="3">
        <f t="shared" si="0"/>
        <v>116.04954024967856</v>
      </c>
      <c r="C78" s="3">
        <f t="shared" si="1"/>
        <v>75.889564287016256</v>
      </c>
      <c r="D78" s="2">
        <f>F78/E78*100</f>
        <v>81.089620295970647</v>
      </c>
      <c r="E78" s="2">
        <v>108.60760000000001</v>
      </c>
      <c r="F78" s="2">
        <f>I78/G78*100</f>
        <v>88.069490452566612</v>
      </c>
      <c r="G78" s="2">
        <v>8.2624300000000002</v>
      </c>
      <c r="H78" s="2">
        <f t="shared" si="17"/>
        <v>7.2766799999999998</v>
      </c>
      <c r="I78" s="32">
        <f>K78</f>
        <v>7.2766799999999998</v>
      </c>
      <c r="J78" s="32">
        <f t="shared" si="3"/>
        <v>7.6521306410140344</v>
      </c>
      <c r="K78" s="2">
        <f>K$79*L78/L$79</f>
        <v>7.2766799999999998</v>
      </c>
      <c r="L78" s="2">
        <v>76.5</v>
      </c>
      <c r="M78" s="2">
        <f t="shared" si="30"/>
        <v>8.3863664500000006</v>
      </c>
      <c r="N78" s="2">
        <f>(N77+N79)/2</f>
        <v>101.5</v>
      </c>
      <c r="P78" s="32">
        <f t="shared" si="4"/>
        <v>1.3913440000000001</v>
      </c>
      <c r="Q78" s="32">
        <f t="shared" si="5"/>
        <v>1.7667946410140352</v>
      </c>
      <c r="S78" s="2">
        <f>USA!Z86*G78</f>
        <v>144.42727640000001</v>
      </c>
      <c r="T78" s="2">
        <v>0</v>
      </c>
      <c r="U78" s="2">
        <v>0</v>
      </c>
      <c r="V78" s="2">
        <v>0</v>
      </c>
      <c r="X78" s="2">
        <f t="shared" si="18"/>
        <v>0.65</v>
      </c>
      <c r="Y78" s="32">
        <f t="shared" si="27"/>
        <v>4.43</v>
      </c>
      <c r="Z78" s="2">
        <v>0.25</v>
      </c>
      <c r="AA78" s="2">
        <f t="shared" si="19"/>
        <v>1.455336</v>
      </c>
      <c r="AB78" s="2">
        <f t="shared" si="28"/>
        <v>5.8853359999999997</v>
      </c>
      <c r="AE78" s="4">
        <v>65</v>
      </c>
      <c r="AI78" s="2"/>
      <c r="AJ78" s="2"/>
      <c r="AK78" s="2"/>
      <c r="AL78">
        <v>3.58</v>
      </c>
      <c r="AM78">
        <v>0.85</v>
      </c>
      <c r="AN78" s="2">
        <f t="shared" si="29"/>
        <v>4.43</v>
      </c>
      <c r="AO78"/>
      <c r="AP78">
        <v>1999</v>
      </c>
      <c r="AQ78" s="1">
        <f t="shared" si="31"/>
        <v>7.2766799999999998</v>
      </c>
      <c r="AR78" s="1">
        <f t="shared" si="21"/>
        <v>4.43</v>
      </c>
      <c r="AS78" s="1">
        <f t="shared" si="22"/>
        <v>1.455336</v>
      </c>
      <c r="AT78" s="1">
        <f t="shared" si="36"/>
        <v>5.8853359999999997</v>
      </c>
      <c r="AU78" s="1">
        <f t="shared" si="32"/>
        <v>1.3913440000000001</v>
      </c>
      <c r="AV78" s="12"/>
      <c r="AW78" s="7">
        <v>85.457907016390493</v>
      </c>
      <c r="AX78" s="12"/>
      <c r="AY78" s="22">
        <f t="shared" si="33"/>
        <v>8.5149288744040508</v>
      </c>
      <c r="AZ78" s="22">
        <f t="shared" si="24"/>
        <v>8.5833783676283613</v>
      </c>
      <c r="BA78" s="1">
        <f t="shared" si="34"/>
        <v>6.8868244092044231</v>
      </c>
      <c r="BB78" s="1">
        <f t="shared" si="26"/>
        <v>1.6281044651996277</v>
      </c>
      <c r="BC78" s="1">
        <f t="shared" si="35"/>
        <v>1.6965539584239389</v>
      </c>
      <c r="BD78" s="3">
        <v>0</v>
      </c>
      <c r="BE78" s="3">
        <f t="shared" si="25"/>
        <v>169.00399441364672</v>
      </c>
      <c r="BF78">
        <v>0</v>
      </c>
      <c r="BG78">
        <v>0</v>
      </c>
      <c r="BH78" s="23">
        <v>1</v>
      </c>
      <c r="BI78">
        <v>0</v>
      </c>
      <c r="BJ78" s="23">
        <v>1</v>
      </c>
      <c r="BK78">
        <v>0</v>
      </c>
      <c r="BM78" s="3">
        <f t="shared" si="13"/>
        <v>169.00399441364672</v>
      </c>
      <c r="BO78" s="22">
        <f t="shared" si="14"/>
        <v>9.2332359307202267</v>
      </c>
      <c r="BP78" s="22">
        <f t="shared" si="15"/>
        <v>9.3074597239662413</v>
      </c>
    </row>
    <row r="79" spans="1:68">
      <c r="A79">
        <v>2000</v>
      </c>
      <c r="B79" s="3">
        <f t="shared" si="0"/>
        <v>131.48394471015646</v>
      </c>
      <c r="C79" s="3">
        <f t="shared" si="1"/>
        <v>78.958238837304293</v>
      </c>
      <c r="D79" s="2">
        <f>F79/E79*100</f>
        <v>91.874410950908683</v>
      </c>
      <c r="E79" s="2">
        <v>112.9992628224058</v>
      </c>
      <c r="F79" s="2">
        <f>I79/G79*100</f>
        <v>103.81740709695447</v>
      </c>
      <c r="G79" s="2">
        <v>9.1622400000000006</v>
      </c>
      <c r="H79" s="32">
        <f>(Q79+Y79)+Z79*(Q79+Y79)</f>
        <v>8.8420764154614417</v>
      </c>
      <c r="I79" s="32">
        <f>K79</f>
        <v>9.5120000000000005</v>
      </c>
      <c r="J79" s="32">
        <f t="shared" si="3"/>
        <v>8.9760611323691535</v>
      </c>
      <c r="K79" s="2">
        <v>9.5120000000000005</v>
      </c>
      <c r="L79" s="2">
        <v>100</v>
      </c>
      <c r="M79" s="2">
        <f t="shared" si="30"/>
        <v>8.6125056000000004</v>
      </c>
      <c r="N79" s="39">
        <v>94</v>
      </c>
      <c r="P79" s="32">
        <f t="shared" ref="P79:P89" si="37">K79-AB79</f>
        <v>3.1396000000000006</v>
      </c>
      <c r="Q79" s="32">
        <f t="shared" si="5"/>
        <v>2.6036611323691541</v>
      </c>
      <c r="S79" s="2">
        <f>USA!Z87*G79</f>
        <v>252.87782400000003</v>
      </c>
      <c r="T79" s="2">
        <v>0</v>
      </c>
      <c r="U79" s="2">
        <v>0</v>
      </c>
      <c r="V79" s="2">
        <v>0</v>
      </c>
      <c r="Y79" s="32">
        <f t="shared" si="27"/>
        <v>4.47</v>
      </c>
      <c r="Z79" s="2">
        <v>0.25</v>
      </c>
      <c r="AA79" s="2">
        <f t="shared" si="19"/>
        <v>1.9024000000000001</v>
      </c>
      <c r="AB79" s="2">
        <f t="shared" si="28"/>
        <v>6.3723999999999998</v>
      </c>
      <c r="AC79" s="37">
        <v>6.3719999999999999</v>
      </c>
      <c r="AI79" s="2"/>
      <c r="AJ79" s="2"/>
      <c r="AK79" s="2"/>
      <c r="AL79">
        <v>3.61</v>
      </c>
      <c r="AM79">
        <v>0.86</v>
      </c>
      <c r="AN79" s="2">
        <f t="shared" si="29"/>
        <v>4.47</v>
      </c>
      <c r="AO79"/>
      <c r="AP79">
        <v>2000</v>
      </c>
      <c r="AQ79" s="1">
        <f t="shared" si="31"/>
        <v>9.5120000000000005</v>
      </c>
      <c r="AR79" s="1">
        <f t="shared" si="21"/>
        <v>4.47</v>
      </c>
      <c r="AS79" s="1">
        <f t="shared" si="22"/>
        <v>1.9024000000000001</v>
      </c>
      <c r="AT79" s="1">
        <f t="shared" si="36"/>
        <v>6.3723999999999998</v>
      </c>
      <c r="AU79" s="1">
        <f t="shared" si="32"/>
        <v>3.1396000000000006</v>
      </c>
      <c r="AV79" s="12"/>
      <c r="AW79" s="7">
        <v>86.226296488938132</v>
      </c>
      <c r="AX79" s="12"/>
      <c r="AY79" s="22">
        <f t="shared" si="33"/>
        <v>11.03143749334089</v>
      </c>
      <c r="AZ79" s="22">
        <f t="shared" si="24"/>
        <v>10.673926742409098</v>
      </c>
      <c r="BA79" s="1">
        <f t="shared" si="34"/>
        <v>7.3903208875699624</v>
      </c>
      <c r="BB79" s="1">
        <f t="shared" si="26"/>
        <v>3.6411166057709279</v>
      </c>
      <c r="BC79" s="1">
        <f t="shared" si="35"/>
        <v>3.283605854839136</v>
      </c>
      <c r="BD79" s="3">
        <v>0</v>
      </c>
      <c r="BE79" s="3">
        <f t="shared" si="25"/>
        <v>293.27227806014076</v>
      </c>
      <c r="BF79">
        <v>0</v>
      </c>
      <c r="BG79">
        <v>0</v>
      </c>
      <c r="BH79" s="23">
        <v>1</v>
      </c>
      <c r="BI79">
        <v>0</v>
      </c>
      <c r="BJ79">
        <v>0</v>
      </c>
      <c r="BK79">
        <v>0</v>
      </c>
      <c r="BM79" s="3">
        <f t="shared" si="13"/>
        <v>293.27227806014076</v>
      </c>
      <c r="BO79" s="22">
        <f t="shared" si="14"/>
        <v>11.962033568734672</v>
      </c>
      <c r="BP79" s="22">
        <f t="shared" si="15"/>
        <v>11.574363729113934</v>
      </c>
    </row>
    <row r="80" spans="1:68">
      <c r="A80">
        <v>2001</v>
      </c>
      <c r="B80" s="3">
        <f t="shared" si="0"/>
        <v>112.69600320024821</v>
      </c>
      <c r="C80" s="3">
        <f t="shared" si="1"/>
        <v>81.182199298191421</v>
      </c>
      <c r="D80" s="2">
        <f t="shared" ref="D80:D89" si="38">F80/E80*100</f>
        <v>78.746336165747394</v>
      </c>
      <c r="E80" s="2">
        <v>116.1820325539375</v>
      </c>
      <c r="F80" s="2">
        <f t="shared" ref="F80:F89" si="39">I80/G80*100</f>
        <v>91.489093919121686</v>
      </c>
      <c r="G80" s="2">
        <v>10.3291</v>
      </c>
      <c r="H80" s="32">
        <f t="shared" ref="H80:H89" si="40">(Q80+Y80)+Z80*(Q80+Y80)</f>
        <v>8.7438705372160328</v>
      </c>
      <c r="I80" s="32">
        <f t="shared" ref="I80:I83" si="41">K80</f>
        <v>9.4499999999999993</v>
      </c>
      <c r="J80" s="32">
        <f t="shared" si="3"/>
        <v>8.8850964297728261</v>
      </c>
      <c r="K80" s="2">
        <v>9.4499999999999993</v>
      </c>
      <c r="L80" s="2">
        <v>113</v>
      </c>
      <c r="M80" s="2">
        <f t="shared" si="30"/>
        <v>10.3291</v>
      </c>
      <c r="N80" s="2">
        <f>(N79+N81)/2</f>
        <v>100</v>
      </c>
      <c r="P80" s="32">
        <f t="shared" si="37"/>
        <v>3.0599999999999996</v>
      </c>
      <c r="Q80" s="32">
        <f t="shared" si="5"/>
        <v>2.495096429772826</v>
      </c>
      <c r="S80" s="2">
        <f>USA!Z88*G80</f>
        <v>238.80879200000001</v>
      </c>
      <c r="T80" s="2">
        <v>0</v>
      </c>
      <c r="U80" s="2">
        <v>0</v>
      </c>
      <c r="V80" s="2">
        <v>0</v>
      </c>
      <c r="Y80" s="32">
        <f t="shared" si="27"/>
        <v>4.5</v>
      </c>
      <c r="Z80" s="2">
        <v>0.25</v>
      </c>
      <c r="AA80" s="2">
        <f t="shared" si="19"/>
        <v>1.89</v>
      </c>
      <c r="AB80" s="2">
        <f t="shared" si="28"/>
        <v>6.39</v>
      </c>
      <c r="AC80" s="37">
        <v>6.39</v>
      </c>
      <c r="AI80" s="2"/>
      <c r="AJ80" s="2"/>
      <c r="AK80" s="2"/>
      <c r="AL80">
        <v>3.26</v>
      </c>
      <c r="AM80">
        <v>1.24</v>
      </c>
      <c r="AN80" s="2">
        <f t="shared" si="29"/>
        <v>4.5</v>
      </c>
      <c r="AO80"/>
      <c r="AP80">
        <v>2001</v>
      </c>
      <c r="AQ80" s="1">
        <f t="shared" si="31"/>
        <v>9.4499999999999993</v>
      </c>
      <c r="AR80" s="1">
        <f t="shared" si="21"/>
        <v>4.5</v>
      </c>
      <c r="AS80" s="1">
        <f t="shared" si="22"/>
        <v>1.89</v>
      </c>
      <c r="AT80" s="1">
        <f t="shared" si="36"/>
        <v>6.39</v>
      </c>
      <c r="AU80" s="1">
        <f t="shared" si="32"/>
        <v>3.0599999999999996</v>
      </c>
      <c r="AV80" s="12"/>
      <c r="AW80" s="7">
        <v>88.300864967417468</v>
      </c>
      <c r="AX80" s="12"/>
      <c r="AY80" s="22">
        <f t="shared" si="33"/>
        <v>10.702046920476937</v>
      </c>
      <c r="AZ80" s="22">
        <f t="shared" si="24"/>
        <v>10.685327685833334</v>
      </c>
      <c r="BA80" s="1">
        <f t="shared" si="34"/>
        <v>7.2366222033701186</v>
      </c>
      <c r="BB80" s="22">
        <f t="shared" si="26"/>
        <v>3.465424717106818</v>
      </c>
      <c r="BC80" s="1">
        <f t="shared" si="35"/>
        <v>3.448705482463216</v>
      </c>
      <c r="BD80" s="3">
        <f t="shared" ref="BD80:BD96" si="42">S80/AW80*100</f>
        <v>270.44898381020295</v>
      </c>
      <c r="BE80" s="3">
        <v>0</v>
      </c>
      <c r="BF80">
        <v>0</v>
      </c>
      <c r="BG80" s="23">
        <v>0.55000000000000004</v>
      </c>
      <c r="BH80">
        <v>0</v>
      </c>
      <c r="BI80">
        <v>0</v>
      </c>
      <c r="BJ80">
        <v>0</v>
      </c>
      <c r="BK80">
        <v>0</v>
      </c>
      <c r="BM80" s="3">
        <f t="shared" si="13"/>
        <v>270.44898381020295</v>
      </c>
      <c r="BO80" s="22">
        <f t="shared" si="14"/>
        <v>11.604856084639616</v>
      </c>
      <c r="BP80" s="22">
        <f t="shared" si="15"/>
        <v>11.586726439598246</v>
      </c>
    </row>
    <row r="81" spans="1:71">
      <c r="A81">
        <v>2002</v>
      </c>
      <c r="B81" s="3">
        <f t="shared" si="0"/>
        <v>115.88925798419996</v>
      </c>
      <c r="C81" s="3">
        <f t="shared" si="1"/>
        <v>82.47759894808965</v>
      </c>
      <c r="D81" s="2">
        <f t="shared" si="38"/>
        <v>80.977623057378622</v>
      </c>
      <c r="E81" s="2">
        <v>118.03591389240708</v>
      </c>
      <c r="F81" s="2">
        <f t="shared" si="39"/>
        <v>95.582677424125407</v>
      </c>
      <c r="G81" s="2">
        <v>9.7371200000000009</v>
      </c>
      <c r="H81" s="32">
        <f t="shared" si="40"/>
        <v>8.8783163504661857</v>
      </c>
      <c r="I81" s="32">
        <f t="shared" si="41"/>
        <v>9.3070000000000004</v>
      </c>
      <c r="J81" s="32">
        <f t="shared" si="3"/>
        <v>8.964053080372949</v>
      </c>
      <c r="K81" s="2">
        <v>9.3070000000000004</v>
      </c>
      <c r="L81" s="2">
        <v>11.7</v>
      </c>
      <c r="M81" s="2">
        <f t="shared" si="30"/>
        <v>10.3213472</v>
      </c>
      <c r="N81" s="39">
        <v>106</v>
      </c>
      <c r="P81" s="32">
        <f t="shared" si="37"/>
        <v>2.8255999999999997</v>
      </c>
      <c r="Q81" s="32">
        <f t="shared" si="5"/>
        <v>2.4826530803729483</v>
      </c>
      <c r="S81" s="2">
        <f>USA!Z89*G81</f>
        <v>237.19624320000003</v>
      </c>
      <c r="T81" s="2">
        <v>0</v>
      </c>
      <c r="U81" s="2">
        <v>0</v>
      </c>
      <c r="V81" s="2">
        <v>0</v>
      </c>
      <c r="Y81" s="32">
        <f t="shared" si="27"/>
        <v>4.62</v>
      </c>
      <c r="Z81" s="2">
        <v>0.25</v>
      </c>
      <c r="AA81" s="2">
        <f t="shared" si="19"/>
        <v>1.8614000000000002</v>
      </c>
      <c r="AB81" s="2">
        <f t="shared" si="28"/>
        <v>6.4814000000000007</v>
      </c>
      <c r="AC81" s="37">
        <v>6.4809999999999999</v>
      </c>
      <c r="AI81" s="2"/>
      <c r="AJ81" s="2"/>
      <c r="AK81" s="2"/>
      <c r="AL81">
        <v>3.16</v>
      </c>
      <c r="AM81">
        <v>1.46</v>
      </c>
      <c r="AN81" s="2">
        <f t="shared" si="29"/>
        <v>4.62</v>
      </c>
      <c r="AO81"/>
      <c r="AP81">
        <v>2002</v>
      </c>
      <c r="AQ81" s="1">
        <f t="shared" si="31"/>
        <v>9.3070000000000004</v>
      </c>
      <c r="AR81" s="1">
        <f t="shared" si="21"/>
        <v>4.62</v>
      </c>
      <c r="AS81" s="1">
        <f t="shared" si="22"/>
        <v>1.8614000000000002</v>
      </c>
      <c r="AT81" s="1">
        <f t="shared" si="36"/>
        <v>6.4814000000000007</v>
      </c>
      <c r="AU81" s="1">
        <f t="shared" si="32"/>
        <v>2.8255999999999997</v>
      </c>
      <c r="AV81" s="12"/>
      <c r="AW81" s="7">
        <v>90.206823243583472</v>
      </c>
      <c r="AX81" s="12"/>
      <c r="AY81" s="22">
        <f t="shared" si="33"/>
        <v>10.317401350969334</v>
      </c>
      <c r="AZ81" s="22">
        <f t="shared" si="24"/>
        <v>10.407641826082642</v>
      </c>
      <c r="BA81" s="1">
        <f t="shared" si="34"/>
        <v>7.185044065345723</v>
      </c>
      <c r="BB81" s="22">
        <f t="shared" si="26"/>
        <v>3.1323572856236108</v>
      </c>
      <c r="BC81" s="1">
        <f t="shared" si="35"/>
        <v>3.2225977607369201</v>
      </c>
      <c r="BD81" s="3">
        <f t="shared" si="42"/>
        <v>262.94711937644041</v>
      </c>
      <c r="BE81" s="3">
        <v>0</v>
      </c>
      <c r="BF81">
        <v>0</v>
      </c>
      <c r="BG81" s="23">
        <v>1</v>
      </c>
      <c r="BH81">
        <v>0</v>
      </c>
      <c r="BI81">
        <v>0</v>
      </c>
      <c r="BJ81">
        <v>0</v>
      </c>
      <c r="BK81">
        <v>0</v>
      </c>
      <c r="BM81" s="3">
        <f t="shared" si="13"/>
        <v>262.94711937644041</v>
      </c>
      <c r="BO81" s="22">
        <f t="shared" si="14"/>
        <v>11.187762372483565</v>
      </c>
      <c r="BP81" s="22">
        <f t="shared" si="15"/>
        <v>11.285615403261788</v>
      </c>
    </row>
    <row r="82" spans="1:71">
      <c r="A82">
        <v>2003</v>
      </c>
      <c r="B82" s="3">
        <f t="shared" si="0"/>
        <v>137.83503622695534</v>
      </c>
      <c r="C82" s="3">
        <f t="shared" si="1"/>
        <v>84.37293294912061</v>
      </c>
      <c r="D82" s="2">
        <f t="shared" si="38"/>
        <v>96.312236369726804</v>
      </c>
      <c r="E82" s="2">
        <v>120.74837744367809</v>
      </c>
      <c r="F82" s="2">
        <f t="shared" si="39"/>
        <v>116.29546269616513</v>
      </c>
      <c r="G82" s="2">
        <v>8.0862999999999996</v>
      </c>
      <c r="H82" s="32">
        <f t="shared" si="40"/>
        <v>8.8946368660156399</v>
      </c>
      <c r="I82" s="32">
        <f t="shared" si="41"/>
        <v>9.4039999999999999</v>
      </c>
      <c r="J82" s="32">
        <f t="shared" si="3"/>
        <v>8.9965094928125122</v>
      </c>
      <c r="K82" s="2">
        <v>9.4039999999999999</v>
      </c>
      <c r="L82" s="2">
        <v>122.4</v>
      </c>
      <c r="M82" s="2">
        <f t="shared" si="30"/>
        <v>10.390895499999999</v>
      </c>
      <c r="N82" s="2">
        <f>(N81+N83)/2</f>
        <v>128.5</v>
      </c>
      <c r="P82" s="32">
        <f t="shared" si="37"/>
        <v>2.8132000000000001</v>
      </c>
      <c r="Q82" s="32">
        <f t="shared" si="5"/>
        <v>2.405709492812512</v>
      </c>
      <c r="S82" s="2">
        <f>USA!Z90*G82</f>
        <v>227.22503</v>
      </c>
      <c r="T82" s="2">
        <v>0</v>
      </c>
      <c r="U82" s="2">
        <v>0</v>
      </c>
      <c r="V82" s="2">
        <v>0</v>
      </c>
      <c r="Y82" s="32">
        <f t="shared" si="27"/>
        <v>4.71</v>
      </c>
      <c r="Z82" s="2">
        <v>0.25</v>
      </c>
      <c r="AA82" s="2">
        <f t="shared" si="19"/>
        <v>1.8808</v>
      </c>
      <c r="AB82" s="2">
        <f t="shared" si="28"/>
        <v>6.5907999999999998</v>
      </c>
      <c r="AC82" s="37">
        <v>6.5910000000000002</v>
      </c>
      <c r="AI82" s="2"/>
      <c r="AJ82" s="2"/>
      <c r="AK82" s="2"/>
      <c r="AL82">
        <v>2.94</v>
      </c>
      <c r="AM82">
        <v>1.77</v>
      </c>
      <c r="AN82" s="2">
        <f t="shared" si="29"/>
        <v>4.71</v>
      </c>
      <c r="AO82"/>
      <c r="AP82">
        <v>2003</v>
      </c>
      <c r="AQ82" s="1">
        <f t="shared" si="31"/>
        <v>9.4039999999999999</v>
      </c>
      <c r="AR82" s="1">
        <f t="shared" si="21"/>
        <v>4.71</v>
      </c>
      <c r="AS82" s="1">
        <f t="shared" si="22"/>
        <v>1.8808</v>
      </c>
      <c r="AT82" s="1">
        <f t="shared" si="36"/>
        <v>6.5907999999999998</v>
      </c>
      <c r="AU82" s="1">
        <f t="shared" si="32"/>
        <v>2.8132000000000001</v>
      </c>
      <c r="AV82" s="12"/>
      <c r="AW82" s="7">
        <v>91.943895445714688</v>
      </c>
      <c r="AX82" s="12"/>
      <c r="AY82" s="22">
        <f t="shared" si="33"/>
        <v>10.227976478930337</v>
      </c>
      <c r="AZ82" s="22">
        <f t="shared" si="24"/>
        <v>10.304551349562379</v>
      </c>
      <c r="BA82" s="1">
        <f t="shared" si="34"/>
        <v>7.1682844935489225</v>
      </c>
      <c r="BB82" s="22">
        <f t="shared" si="26"/>
        <v>3.0596919853814146</v>
      </c>
      <c r="BC82" s="1">
        <f t="shared" si="35"/>
        <v>3.1362668560134561</v>
      </c>
      <c r="BD82" s="3">
        <f t="shared" si="42"/>
        <v>247.13443877756706</v>
      </c>
      <c r="BE82" s="3">
        <v>0</v>
      </c>
      <c r="BF82">
        <v>0</v>
      </c>
      <c r="BG82" s="23">
        <v>1</v>
      </c>
      <c r="BH82">
        <v>0</v>
      </c>
      <c r="BI82">
        <v>0</v>
      </c>
      <c r="BJ82">
        <v>0</v>
      </c>
      <c r="BK82">
        <v>0</v>
      </c>
      <c r="BM82" s="3">
        <f t="shared" si="13"/>
        <v>247.13443877756706</v>
      </c>
      <c r="BO82" s="22">
        <f t="shared" si="14"/>
        <v>11.090793747872672</v>
      </c>
      <c r="BP82" s="22">
        <f t="shared" si="15"/>
        <v>11.173828363585715</v>
      </c>
    </row>
    <row r="83" spans="1:71">
      <c r="A83">
        <v>2004</v>
      </c>
      <c r="B83" s="3">
        <f t="shared" si="0"/>
        <v>156.52205185490678</v>
      </c>
      <c r="C83" s="3">
        <f t="shared" si="1"/>
        <v>86.62364207534489</v>
      </c>
      <c r="D83" s="2">
        <f t="shared" si="38"/>
        <v>109.3697891913516</v>
      </c>
      <c r="E83" s="2">
        <v>123.96942791081244</v>
      </c>
      <c r="F83" s="2">
        <f t="shared" si="39"/>
        <v>135.58510196778016</v>
      </c>
      <c r="G83" s="2">
        <v>7.3488899999999999</v>
      </c>
      <c r="H83" s="32">
        <f t="shared" si="40"/>
        <v>9.3583040109855347</v>
      </c>
      <c r="I83" s="32">
        <f t="shared" si="41"/>
        <v>9.9640000000000004</v>
      </c>
      <c r="J83" s="32">
        <f t="shared" si="3"/>
        <v>9.4794432087884282</v>
      </c>
      <c r="K83" s="2">
        <v>9.9640000000000004</v>
      </c>
      <c r="L83" s="2">
        <v>134.4</v>
      </c>
      <c r="M83" s="2">
        <f t="shared" si="30"/>
        <v>11.096823899999999</v>
      </c>
      <c r="N83" s="39">
        <v>151</v>
      </c>
      <c r="P83" s="32">
        <f t="shared" si="37"/>
        <v>3.1812000000000005</v>
      </c>
      <c r="Q83" s="32">
        <f t="shared" si="5"/>
        <v>2.6966432087884282</v>
      </c>
      <c r="S83" s="2">
        <f>USA!Z91*G83</f>
        <v>264.92748449999999</v>
      </c>
      <c r="T83" s="2">
        <v>0</v>
      </c>
      <c r="U83" s="2">
        <v>0</v>
      </c>
      <c r="V83" s="2">
        <v>0</v>
      </c>
      <c r="Y83" s="32">
        <f t="shared" si="27"/>
        <v>4.79</v>
      </c>
      <c r="Z83" s="2">
        <v>0.25</v>
      </c>
      <c r="AA83" s="2">
        <f t="shared" si="19"/>
        <v>1.9928000000000001</v>
      </c>
      <c r="AB83" s="2">
        <f t="shared" si="28"/>
        <v>6.7827999999999999</v>
      </c>
      <c r="AC83" s="37">
        <v>6.7830000000000004</v>
      </c>
      <c r="AD83" s="2" t="s">
        <v>1889</v>
      </c>
      <c r="AE83" s="2" t="s">
        <v>243</v>
      </c>
      <c r="AI83" s="2"/>
      <c r="AJ83" s="2"/>
      <c r="AK83" s="2"/>
      <c r="AL83">
        <v>2.68</v>
      </c>
      <c r="AM83">
        <v>2.11</v>
      </c>
      <c r="AN83" s="2">
        <f t="shared" si="29"/>
        <v>4.79</v>
      </c>
      <c r="AO83"/>
      <c r="AP83">
        <v>2004</v>
      </c>
      <c r="AQ83" s="1">
        <f t="shared" si="31"/>
        <v>9.9640000000000004</v>
      </c>
      <c r="AR83" s="1">
        <f t="shared" si="21"/>
        <v>4.79</v>
      </c>
      <c r="AS83" s="1">
        <f t="shared" si="22"/>
        <v>1.9928000000000001</v>
      </c>
      <c r="AT83" s="1">
        <f t="shared" si="36"/>
        <v>6.7827999999999999</v>
      </c>
      <c r="AU83" s="1">
        <f t="shared" si="32"/>
        <v>3.1812000000000005</v>
      </c>
      <c r="AV83" s="12"/>
      <c r="AW83" s="7">
        <v>92.287452821549351</v>
      </c>
      <c r="AX83" s="12"/>
      <c r="AY83" s="22">
        <f t="shared" si="33"/>
        <v>10.796700629788518</v>
      </c>
      <c r="AZ83" s="22">
        <f t="shared" si="24"/>
        <v>10.703931394088482</v>
      </c>
      <c r="BA83" s="1">
        <f t="shared" si="34"/>
        <v>7.3496448245413042</v>
      </c>
      <c r="BB83" s="22">
        <f t="shared" si="26"/>
        <v>3.4470558052472136</v>
      </c>
      <c r="BC83" s="1">
        <f t="shared" si="35"/>
        <v>3.3542865695471766</v>
      </c>
      <c r="BD83" s="3">
        <f t="shared" si="42"/>
        <v>287.06771765851443</v>
      </c>
      <c r="BE83" s="3">
        <v>0</v>
      </c>
      <c r="BF83">
        <v>0</v>
      </c>
      <c r="BG83" s="23">
        <v>1</v>
      </c>
      <c r="BH83">
        <v>0</v>
      </c>
      <c r="BI83">
        <v>0</v>
      </c>
      <c r="BJ83">
        <v>0</v>
      </c>
      <c r="BK83">
        <v>0</v>
      </c>
      <c r="BM83" s="3">
        <f t="shared" si="13"/>
        <v>287.06771765851443</v>
      </c>
      <c r="BO83" s="22">
        <f t="shared" si="14"/>
        <v>11.707494643655506</v>
      </c>
      <c r="BP83" s="22">
        <f t="shared" si="15"/>
        <v>11.606899529713235</v>
      </c>
    </row>
    <row r="84" spans="1:71">
      <c r="A84">
        <v>2005</v>
      </c>
      <c r="B84" s="3">
        <f t="shared" si="0"/>
        <v>164.32264915578489</v>
      </c>
      <c r="C84" s="3">
        <f t="shared" si="1"/>
        <v>89.539246597092159</v>
      </c>
      <c r="D84" s="2">
        <f t="shared" si="38"/>
        <v>114.82045682733761</v>
      </c>
      <c r="E84" s="2">
        <v>128.14202809149756</v>
      </c>
      <c r="F84" s="2">
        <f t="shared" si="39"/>
        <v>147.13326204247281</v>
      </c>
      <c r="G84" s="2">
        <v>7.47309</v>
      </c>
      <c r="H84" s="32">
        <f t="shared" si="40"/>
        <v>10.665687167274488</v>
      </c>
      <c r="I84" s="32">
        <f>AG84</f>
        <v>10.995401092369832</v>
      </c>
      <c r="J84" s="32">
        <f t="shared" si="3"/>
        <v>10.731629952293556</v>
      </c>
      <c r="K84" s="2">
        <v>10.955</v>
      </c>
      <c r="L84" s="2">
        <v>163.9</v>
      </c>
      <c r="M84" s="2">
        <f t="shared" si="30"/>
        <v>11.097538649999999</v>
      </c>
      <c r="N84" s="2">
        <f>(N83+N85)/2</f>
        <v>148.5</v>
      </c>
      <c r="P84" s="32">
        <f t="shared" si="37"/>
        <v>3.7959197815260337</v>
      </c>
      <c r="Q84" s="32">
        <f t="shared" si="5"/>
        <v>3.5725497338195886</v>
      </c>
      <c r="S84" s="2">
        <f>USA!Z92*G84</f>
        <v>378.43727760000002</v>
      </c>
      <c r="T84" s="2">
        <v>0</v>
      </c>
      <c r="U84" s="2">
        <v>0</v>
      </c>
      <c r="V84" s="2">
        <v>0</v>
      </c>
      <c r="Y84" s="32">
        <f t="shared" si="27"/>
        <v>4.96</v>
      </c>
      <c r="Z84" s="2">
        <v>0.25</v>
      </c>
      <c r="AA84" s="2">
        <f t="shared" si="19"/>
        <v>2.1990802184739664</v>
      </c>
      <c r="AB84" s="2">
        <f t="shared" si="28"/>
        <v>7.1590802184739664</v>
      </c>
      <c r="AC84" s="37">
        <v>7.1509999999999998</v>
      </c>
      <c r="AD84" s="2">
        <v>0.77174040816326528</v>
      </c>
      <c r="AE84" s="2">
        <f>AD84/'Exchange Rates'!AB44*'Exchange Rates'!Y44</f>
        <v>7.1722965905285889</v>
      </c>
      <c r="AG84" s="3">
        <f t="shared" ref="AG84:AG96" si="43">AJ84/AI84*AH84</f>
        <v>10.995401092369832</v>
      </c>
      <c r="AH84" s="3">
        <f>'Exchange Rates'!Y44</f>
        <v>7.47309</v>
      </c>
      <c r="AI84" s="3">
        <f>Hungary!AH84</f>
        <v>0.8041058333333333</v>
      </c>
      <c r="AJ84" s="3">
        <f>'EU petrol prices nominal'!AK3</f>
        <v>1.1831071428571429</v>
      </c>
      <c r="AK84" s="2"/>
      <c r="AL84">
        <v>2.84</v>
      </c>
      <c r="AM84">
        <v>2.12</v>
      </c>
      <c r="AN84" s="2">
        <f t="shared" si="29"/>
        <v>4.96</v>
      </c>
      <c r="AO84"/>
      <c r="AP84">
        <v>2005</v>
      </c>
      <c r="AQ84" s="1">
        <f t="shared" si="31"/>
        <v>10.995401092369832</v>
      </c>
      <c r="AR84" s="1">
        <f t="shared" si="21"/>
        <v>4.96</v>
      </c>
      <c r="AS84" s="1">
        <f t="shared" si="22"/>
        <v>2.1990802184739664</v>
      </c>
      <c r="AT84" s="1">
        <f t="shared" si="36"/>
        <v>7.1590802184739664</v>
      </c>
      <c r="AU84" s="1">
        <f t="shared" si="32"/>
        <v>3.8363208738958656</v>
      </c>
      <c r="AV84" s="12"/>
      <c r="AW84" s="7">
        <v>92.705672702087853</v>
      </c>
      <c r="AX84" s="12"/>
      <c r="AY84" s="22">
        <f t="shared" si="33"/>
        <v>11.8605483050685</v>
      </c>
      <c r="AZ84" s="22">
        <f t="shared" si="24"/>
        <v>11.738070817610609</v>
      </c>
      <c r="BA84" s="1">
        <f t="shared" si="34"/>
        <v>7.7223755675446757</v>
      </c>
      <c r="BB84" s="22">
        <f t="shared" si="26"/>
        <v>4.1381727375238242</v>
      </c>
      <c r="BC84" s="1">
        <f t="shared" si="35"/>
        <v>4.0156952500659342</v>
      </c>
      <c r="BD84" s="3">
        <f t="shared" si="42"/>
        <v>408.21372260154811</v>
      </c>
      <c r="BE84" s="3">
        <v>0</v>
      </c>
      <c r="BF84">
        <v>0</v>
      </c>
      <c r="BG84" s="23">
        <v>1</v>
      </c>
      <c r="BH84">
        <v>0</v>
      </c>
      <c r="BI84">
        <v>0</v>
      </c>
      <c r="BJ84">
        <v>0</v>
      </c>
      <c r="BK84">
        <v>0</v>
      </c>
      <c r="BM84" s="3">
        <f t="shared" si="13"/>
        <v>408.21372260154811</v>
      </c>
      <c r="BO84" s="22">
        <f t="shared" si="14"/>
        <v>12.861086966632579</v>
      </c>
      <c r="BP84" s="22">
        <f t="shared" si="15"/>
        <v>12.728277455880246</v>
      </c>
    </row>
    <row r="85" spans="1:71">
      <c r="A85">
        <v>2006</v>
      </c>
      <c r="B85" s="3">
        <f t="shared" si="0"/>
        <v>167.48984902600444</v>
      </c>
      <c r="C85" s="3">
        <f t="shared" si="1"/>
        <v>92.424281215596963</v>
      </c>
      <c r="D85" s="2">
        <f t="shared" si="38"/>
        <v>117.03353784708999</v>
      </c>
      <c r="E85" s="2">
        <v>132.27087886006535</v>
      </c>
      <c r="F85" s="2">
        <f t="shared" si="39"/>
        <v>154.80128907137313</v>
      </c>
      <c r="G85" s="2">
        <v>7.3782500000000004</v>
      </c>
      <c r="H85" s="32">
        <f t="shared" si="40"/>
        <v>11.399860847467913</v>
      </c>
      <c r="I85" s="32">
        <f t="shared" ref="I85:I96" si="44">AG85</f>
        <v>11.421626110908589</v>
      </c>
      <c r="J85" s="32">
        <f t="shared" si="3"/>
        <v>11.404213900156048</v>
      </c>
      <c r="K85" s="2">
        <v>11.496</v>
      </c>
      <c r="L85" s="2">
        <v>171.1</v>
      </c>
      <c r="M85" s="2">
        <f t="shared" si="30"/>
        <v>10.772245</v>
      </c>
      <c r="N85" s="39">
        <v>146</v>
      </c>
      <c r="P85" s="32">
        <f t="shared" si="37"/>
        <v>4.2216747778182828</v>
      </c>
      <c r="Q85" s="32">
        <f t="shared" si="5"/>
        <v>4.1298886779743293</v>
      </c>
      <c r="S85" s="2">
        <f>USA!Z93*G85</f>
        <v>450.66351000000003</v>
      </c>
      <c r="T85" s="2">
        <v>0</v>
      </c>
      <c r="U85" s="2">
        <v>0</v>
      </c>
      <c r="V85" s="2">
        <v>0</v>
      </c>
      <c r="Y85" s="32">
        <f t="shared" si="27"/>
        <v>4.99</v>
      </c>
      <c r="Z85" s="2">
        <v>0.25</v>
      </c>
      <c r="AA85" s="2">
        <f t="shared" si="19"/>
        <v>2.2843252221817179</v>
      </c>
      <c r="AB85" s="2">
        <f t="shared" si="28"/>
        <v>7.2743252221817176</v>
      </c>
      <c r="AC85" s="37">
        <v>7.2889999999999997</v>
      </c>
      <c r="AD85" s="2">
        <v>0.7859175510204085</v>
      </c>
      <c r="AE85" s="2">
        <f>AD85/'Exchange Rates'!AB45*'Exchange Rates'!Y45</f>
        <v>7.2743685034530658</v>
      </c>
      <c r="AG85" s="3">
        <f t="shared" si="43"/>
        <v>11.421626110908589</v>
      </c>
      <c r="AH85" s="3">
        <f>'Exchange Rates'!Y45</f>
        <v>7.3782500000000004</v>
      </c>
      <c r="AI85" s="3">
        <f>Hungary!AH85</f>
        <v>0.7971408333333333</v>
      </c>
      <c r="AJ85" s="3">
        <f>'EU petrol prices nominal'!AK4</f>
        <v>1.233984285714286</v>
      </c>
      <c r="AK85" s="2"/>
      <c r="AL85">
        <v>2.86</v>
      </c>
      <c r="AM85">
        <v>2.13</v>
      </c>
      <c r="AN85" s="2">
        <f t="shared" si="29"/>
        <v>4.99</v>
      </c>
      <c r="AO85"/>
      <c r="AP85">
        <v>2006</v>
      </c>
      <c r="AQ85" s="1">
        <f t="shared" si="31"/>
        <v>11.421626110908589</v>
      </c>
      <c r="AR85" s="1">
        <f t="shared" si="21"/>
        <v>4.99</v>
      </c>
      <c r="AS85" s="1">
        <f t="shared" si="22"/>
        <v>2.2843252221817179</v>
      </c>
      <c r="AT85" s="1">
        <f t="shared" si="36"/>
        <v>7.2743252221817176</v>
      </c>
      <c r="AU85" s="1">
        <f t="shared" si="32"/>
        <v>4.1473008887268712</v>
      </c>
      <c r="AV85" s="12"/>
      <c r="AW85" s="7">
        <v>93.966669168032567</v>
      </c>
      <c r="AX85" s="12"/>
      <c r="AY85" s="22">
        <f t="shared" si="33"/>
        <v>12.154976027174349</v>
      </c>
      <c r="AZ85" s="22">
        <f t="shared" si="24"/>
        <v>12.146820871192258</v>
      </c>
      <c r="BA85" s="1">
        <f t="shared" si="34"/>
        <v>7.7413888207249997</v>
      </c>
      <c r="BB85" s="22">
        <f t="shared" si="26"/>
        <v>4.4135872064493498</v>
      </c>
      <c r="BC85" s="1">
        <f t="shared" si="35"/>
        <v>4.4054320504672591</v>
      </c>
      <c r="BD85" s="3">
        <f t="shared" si="42"/>
        <v>479.59932387740275</v>
      </c>
      <c r="BE85" s="3">
        <v>0</v>
      </c>
      <c r="BF85">
        <v>0</v>
      </c>
      <c r="BG85" s="23">
        <v>1</v>
      </c>
      <c r="BH85">
        <v>0</v>
      </c>
      <c r="BI85">
        <v>0</v>
      </c>
      <c r="BJ85">
        <v>0</v>
      </c>
      <c r="BK85">
        <v>0</v>
      </c>
      <c r="BM85" s="3">
        <f t="shared" si="13"/>
        <v>479.59932387740275</v>
      </c>
      <c r="BO85" s="22">
        <f t="shared" si="14"/>
        <v>13.180352184562905</v>
      </c>
      <c r="BP85" s="22">
        <f t="shared" si="15"/>
        <v>13.171509071444154</v>
      </c>
    </row>
    <row r="86" spans="1:71">
      <c r="A86">
        <v>2007</v>
      </c>
      <c r="B86" s="3">
        <f t="shared" si="0"/>
        <v>179.11158444812133</v>
      </c>
      <c r="C86" s="3">
        <f t="shared" si="1"/>
        <v>95.074004003893037</v>
      </c>
      <c r="D86" s="2">
        <f t="shared" si="38"/>
        <v>125.15422587853007</v>
      </c>
      <c r="E86" s="2">
        <v>136.06296852886032</v>
      </c>
      <c r="F86" s="2">
        <f t="shared" si="39"/>
        <v>170.28855496964314</v>
      </c>
      <c r="G86" s="2">
        <v>6.7587700000000002</v>
      </c>
      <c r="H86" s="32">
        <f t="shared" si="40"/>
        <v>11.643933201464257</v>
      </c>
      <c r="I86" s="32">
        <f t="shared" si="44"/>
        <v>11.509411766721751</v>
      </c>
      <c r="J86" s="32">
        <f t="shared" si="3"/>
        <v>11.617028914515757</v>
      </c>
      <c r="K86" s="2">
        <v>11.648</v>
      </c>
      <c r="L86" s="2">
        <v>176.3</v>
      </c>
      <c r="M86" s="2">
        <f t="shared" si="30"/>
        <v>11.354733599999999</v>
      </c>
      <c r="N86" s="2">
        <f>(N85+N87)/2</f>
        <v>168</v>
      </c>
      <c r="P86" s="32">
        <f t="shared" si="37"/>
        <v>4.286117646655649</v>
      </c>
      <c r="Q86" s="32">
        <f t="shared" si="5"/>
        <v>4.255146561171407</v>
      </c>
      <c r="S86" s="2">
        <f>USA!Z94*G86</f>
        <v>466.89583160000001</v>
      </c>
      <c r="T86" s="2">
        <v>0</v>
      </c>
      <c r="U86" s="2">
        <v>0</v>
      </c>
      <c r="V86" s="2">
        <v>0</v>
      </c>
      <c r="Y86" s="32">
        <f t="shared" si="27"/>
        <v>5.0600000000000005</v>
      </c>
      <c r="Z86" s="2">
        <v>0.25</v>
      </c>
      <c r="AA86" s="2">
        <f t="shared" si="19"/>
        <v>2.3018823533443502</v>
      </c>
      <c r="AB86" s="2">
        <f t="shared" si="28"/>
        <v>7.3618823533443507</v>
      </c>
      <c r="AC86" s="37">
        <v>7.39</v>
      </c>
      <c r="AD86" s="2">
        <v>0.79611346938775462</v>
      </c>
      <c r="AE86" s="2">
        <f>AD86/'Exchange Rates'!AB46*'Exchange Rates'!Y46</f>
        <v>7.3644561543773417</v>
      </c>
      <c r="AG86" s="3">
        <f t="shared" si="43"/>
        <v>11.509411766721751</v>
      </c>
      <c r="AH86" s="3">
        <f>'Exchange Rates'!Y46</f>
        <v>6.7587700000000002</v>
      </c>
      <c r="AI86" s="3">
        <f>Hungary!AH86</f>
        <v>0.73063749999999994</v>
      </c>
      <c r="AJ86" s="3">
        <f>'EU petrol prices nominal'!AK5</f>
        <v>1.2441920408163263</v>
      </c>
      <c r="AK86" s="2"/>
      <c r="AL86">
        <v>2.9</v>
      </c>
      <c r="AM86">
        <v>2.16</v>
      </c>
      <c r="AN86" s="2">
        <f t="shared" si="29"/>
        <v>5.0600000000000005</v>
      </c>
      <c r="AO86"/>
      <c r="AP86">
        <v>2007</v>
      </c>
      <c r="AQ86" s="1">
        <f t="shared" si="31"/>
        <v>11.509411766721751</v>
      </c>
      <c r="AR86" s="1">
        <f t="shared" si="21"/>
        <v>5.0600000000000005</v>
      </c>
      <c r="AS86" s="1">
        <f t="shared" si="22"/>
        <v>2.3018823533443502</v>
      </c>
      <c r="AT86" s="1">
        <f t="shared" si="36"/>
        <v>7.3618823533443507</v>
      </c>
      <c r="AU86" s="1">
        <f t="shared" si="32"/>
        <v>4.1475294133774003</v>
      </c>
      <c r="AV86" s="12"/>
      <c r="AW86" s="7">
        <v>96.045370693700349</v>
      </c>
      <c r="AX86" s="12"/>
      <c r="AY86" s="22">
        <f t="shared" si="33"/>
        <v>11.983307142857075</v>
      </c>
      <c r="AZ86" s="22">
        <f t="shared" si="24"/>
        <v>12.106037643654687</v>
      </c>
      <c r="BA86" s="1">
        <f t="shared" si="34"/>
        <v>7.6650048827675761</v>
      </c>
      <c r="BB86" s="22">
        <f t="shared" si="26"/>
        <v>4.3183022600894994</v>
      </c>
      <c r="BC86" s="1">
        <f t="shared" si="35"/>
        <v>4.4410327608871114</v>
      </c>
      <c r="BD86" s="3">
        <f t="shared" si="42"/>
        <v>486.12007869591559</v>
      </c>
      <c r="BE86" s="3">
        <v>0</v>
      </c>
      <c r="BF86">
        <v>0</v>
      </c>
      <c r="BG86" s="23">
        <v>1</v>
      </c>
      <c r="BH86">
        <v>0</v>
      </c>
      <c r="BI86">
        <v>0</v>
      </c>
      <c r="BJ86">
        <v>0</v>
      </c>
      <c r="BK86">
        <v>0</v>
      </c>
      <c r="BM86" s="3">
        <f t="shared" si="13"/>
        <v>486.12007869591559</v>
      </c>
      <c r="BO86" s="22">
        <f t="shared" si="14"/>
        <v>12.99420156202164</v>
      </c>
      <c r="BP86" s="22">
        <f t="shared" si="15"/>
        <v>13.127285429952259</v>
      </c>
    </row>
    <row r="87" spans="1:71">
      <c r="A87">
        <v>2008</v>
      </c>
      <c r="B87" s="3">
        <f t="shared" si="0"/>
        <v>194.52283290485536</v>
      </c>
      <c r="C87" s="3">
        <f t="shared" si="1"/>
        <v>98.70291900542351</v>
      </c>
      <c r="D87" s="2">
        <f t="shared" si="38"/>
        <v>135.92283627504466</v>
      </c>
      <c r="E87" s="2">
        <v>141.25640655453694</v>
      </c>
      <c r="F87" s="2">
        <f t="shared" si="39"/>
        <v>191.99971420913471</v>
      </c>
      <c r="G87" s="2">
        <v>6.5911</v>
      </c>
      <c r="H87" s="32">
        <f t="shared" si="40"/>
        <v>12.248789654744378</v>
      </c>
      <c r="I87" s="32">
        <f t="shared" si="44"/>
        <v>12.654893163238278</v>
      </c>
      <c r="J87" s="32">
        <f t="shared" si="3"/>
        <v>12.330010356443157</v>
      </c>
      <c r="K87" s="2">
        <v>12.601000000000001</v>
      </c>
      <c r="L87" s="2">
        <v>216.5</v>
      </c>
      <c r="M87" s="2">
        <f t="shared" si="30"/>
        <v>12.52309</v>
      </c>
      <c r="N87" s="39">
        <v>190</v>
      </c>
      <c r="P87" s="32">
        <f t="shared" si="37"/>
        <v>4.7800213673523455</v>
      </c>
      <c r="Q87" s="32">
        <f t="shared" si="5"/>
        <v>4.5090317237955029</v>
      </c>
      <c r="S87" s="2">
        <f>USA!Z95*G87</f>
        <v>622.52939500000002</v>
      </c>
      <c r="T87" s="2">
        <v>0</v>
      </c>
      <c r="U87" s="2">
        <v>0</v>
      </c>
      <c r="V87" s="2">
        <v>1</v>
      </c>
      <c r="Y87" s="32">
        <f t="shared" si="27"/>
        <v>5.29</v>
      </c>
      <c r="Z87" s="2">
        <v>0.25</v>
      </c>
      <c r="AA87" s="2">
        <f t="shared" si="19"/>
        <v>2.5309786326476558</v>
      </c>
      <c r="AB87" s="2">
        <f t="shared" si="28"/>
        <v>7.8209786326476554</v>
      </c>
      <c r="AC87" s="37">
        <v>7.81</v>
      </c>
      <c r="AD87" s="2">
        <v>0.8157663265306121</v>
      </c>
      <c r="AE87" s="2">
        <f>AD87/'Exchange Rates'!AB47*'Exchange Rates'!Y47</f>
        <v>7.876081588160166</v>
      </c>
      <c r="AG87" s="3">
        <f t="shared" si="43"/>
        <v>12.654893163238278</v>
      </c>
      <c r="AH87" s="3">
        <f>'Exchange Rates'!Y47</f>
        <v>6.5911</v>
      </c>
      <c r="AI87" s="3">
        <f>Hungary!AH87</f>
        <v>0.68267416666666658</v>
      </c>
      <c r="AJ87" s="3">
        <f>'EU petrol prices nominal'!AK6</f>
        <v>1.3107324489795917</v>
      </c>
      <c r="AK87" s="2"/>
      <c r="AL87">
        <v>2.95</v>
      </c>
      <c r="AM87">
        <v>2.34</v>
      </c>
      <c r="AN87" s="2">
        <f t="shared" si="29"/>
        <v>5.29</v>
      </c>
      <c r="AO87"/>
      <c r="AP87">
        <v>2008</v>
      </c>
      <c r="AQ87" s="1">
        <f t="shared" si="31"/>
        <v>12.654893163238278</v>
      </c>
      <c r="AR87" s="1">
        <f t="shared" si="21"/>
        <v>5.29</v>
      </c>
      <c r="AS87" s="1">
        <f t="shared" si="22"/>
        <v>2.5309786326476558</v>
      </c>
      <c r="AT87" s="1">
        <f t="shared" si="36"/>
        <v>7.8209786326476554</v>
      </c>
      <c r="AU87" s="1">
        <f t="shared" si="32"/>
        <v>4.8339145305906221</v>
      </c>
      <c r="AV87" s="12"/>
      <c r="AW87" s="7">
        <v>99.346497146674466</v>
      </c>
      <c r="AX87" s="12"/>
      <c r="AY87" s="22">
        <f t="shared" si="33"/>
        <v>12.738137253651413</v>
      </c>
      <c r="AZ87" s="22">
        <f t="shared" si="24"/>
        <v>12.770425961247305</v>
      </c>
      <c r="BA87" s="1">
        <f t="shared" si="34"/>
        <v>7.8724251556658489</v>
      </c>
      <c r="BB87" s="22">
        <f t="shared" si="26"/>
        <v>4.8657120979855639</v>
      </c>
      <c r="BC87" s="1">
        <f t="shared" si="35"/>
        <v>4.8980008055814555</v>
      </c>
      <c r="BD87" s="3">
        <f t="shared" si="42"/>
        <v>626.62440335556266</v>
      </c>
      <c r="BE87" s="3">
        <v>0</v>
      </c>
      <c r="BF87">
        <v>0</v>
      </c>
      <c r="BG87" s="23">
        <v>1</v>
      </c>
      <c r="BH87">
        <v>0</v>
      </c>
      <c r="BI87">
        <v>0</v>
      </c>
      <c r="BJ87">
        <v>0</v>
      </c>
      <c r="BK87" s="23">
        <v>1</v>
      </c>
      <c r="BM87" s="3">
        <f t="shared" si="13"/>
        <v>626.62440335556266</v>
      </c>
      <c r="BO87" s="22">
        <f t="shared" si="14"/>
        <v>13.812708046735361</v>
      </c>
      <c r="BP87" s="22">
        <f t="shared" si="15"/>
        <v>13.847720582897241</v>
      </c>
    </row>
    <row r="88" spans="1:71">
      <c r="A88">
        <v>2009</v>
      </c>
      <c r="B88" s="3">
        <f t="shared" si="0"/>
        <v>158.78532242496277</v>
      </c>
      <c r="C88" s="3">
        <f>E88/E$89*100</f>
        <v>98.380597588111073</v>
      </c>
      <c r="D88" s="2">
        <f t="shared" si="38"/>
        <v>110.95124958109575</v>
      </c>
      <c r="E88" s="2">
        <v>140.7951236905254</v>
      </c>
      <c r="F88" s="2">
        <f t="shared" si="39"/>
        <v>156.21394908388731</v>
      </c>
      <c r="G88" s="2">
        <v>7.6538199999999996</v>
      </c>
      <c r="H88" s="32">
        <f t="shared" si="40"/>
        <v>12.223239218571349</v>
      </c>
      <c r="I88" s="32">
        <f t="shared" si="44"/>
        <v>11.956334477772385</v>
      </c>
      <c r="J88" s="32">
        <f t="shared" si="3"/>
        <v>12.169858270411556</v>
      </c>
      <c r="K88" s="2">
        <v>12.196</v>
      </c>
      <c r="L88" s="2">
        <v>182.4</v>
      </c>
      <c r="P88" s="32">
        <f t="shared" si="37"/>
        <v>4.2847331044455235</v>
      </c>
      <c r="Q88" s="32">
        <f t="shared" si="5"/>
        <v>4.2585913748570796</v>
      </c>
      <c r="S88" s="2">
        <f>USA!Z96*G88</f>
        <v>467.34224919999997</v>
      </c>
      <c r="T88" s="2">
        <v>0</v>
      </c>
      <c r="U88" s="2">
        <v>0</v>
      </c>
      <c r="V88" s="2">
        <v>0</v>
      </c>
      <c r="Y88" s="32">
        <f t="shared" si="27"/>
        <v>5.52</v>
      </c>
      <c r="Z88" s="2">
        <v>0.25</v>
      </c>
      <c r="AA88" s="2">
        <f>Z88*(I88*(1/(1+Z88)))</f>
        <v>2.3912668955544771</v>
      </c>
      <c r="AB88" s="2">
        <f t="shared" si="28"/>
        <v>7.9112668955544763</v>
      </c>
      <c r="AC88" s="37">
        <v>7.9589999999999996</v>
      </c>
      <c r="AD88" s="2">
        <v>0.74538639999999989</v>
      </c>
      <c r="AE88" s="2">
        <f>AD88/'Exchange Rates'!AB48*'Exchange Rates'!Y48</f>
        <v>7.9254005244857373</v>
      </c>
      <c r="AG88" s="3">
        <f t="shared" si="43"/>
        <v>11.956334477772385</v>
      </c>
      <c r="AH88" s="3">
        <f>'Exchange Rates'!Y48</f>
        <v>7.6538199999999996</v>
      </c>
      <c r="AI88" s="3">
        <f>Hungary!AH88</f>
        <v>0.71984416666666673</v>
      </c>
      <c r="AJ88" s="3">
        <f>'EU petrol prices nominal'!AK7</f>
        <v>1.1244969999999999</v>
      </c>
      <c r="AK88" s="2"/>
      <c r="AL88">
        <v>3.08</v>
      </c>
      <c r="AM88">
        <v>2.44</v>
      </c>
      <c r="AN88" s="2">
        <f t="shared" si="29"/>
        <v>5.52</v>
      </c>
      <c r="AO88"/>
      <c r="AP88">
        <v>2009</v>
      </c>
      <c r="AQ88" s="1">
        <f t="shared" si="31"/>
        <v>11.956334477772385</v>
      </c>
      <c r="AR88" s="1">
        <f t="shared" si="21"/>
        <v>5.52</v>
      </c>
      <c r="AS88" s="1">
        <f t="shared" si="22"/>
        <v>2.3912668955544771</v>
      </c>
      <c r="AT88" s="1">
        <f t="shared" si="36"/>
        <v>7.9112668955544763</v>
      </c>
      <c r="AU88" s="1">
        <f t="shared" si="32"/>
        <v>4.045067582217909</v>
      </c>
      <c r="AV88" s="12"/>
      <c r="AW88" s="7">
        <v>98.855267860804034</v>
      </c>
      <c r="AX88" s="12"/>
      <c r="AY88" s="22">
        <f t="shared" si="33"/>
        <v>12.094787396264852</v>
      </c>
      <c r="AZ88" s="22">
        <f t="shared" si="24"/>
        <v>12.060808518671513</v>
      </c>
      <c r="BA88" s="1">
        <f t="shared" si="34"/>
        <v>8.002878416852969</v>
      </c>
      <c r="BB88" s="22">
        <f t="shared" si="26"/>
        <v>4.0919089794118833</v>
      </c>
      <c r="BC88" s="1">
        <f t="shared" si="35"/>
        <v>4.0579301018185436</v>
      </c>
      <c r="BD88" s="3">
        <f t="shared" si="42"/>
        <v>472.75401636466609</v>
      </c>
      <c r="BE88" s="3">
        <v>0</v>
      </c>
      <c r="BF88">
        <v>0</v>
      </c>
      <c r="BG88" s="23">
        <v>1</v>
      </c>
      <c r="BH88">
        <v>0</v>
      </c>
      <c r="BI88">
        <v>0</v>
      </c>
      <c r="BJ88">
        <v>0</v>
      </c>
      <c r="BK88" s="23">
        <v>1</v>
      </c>
      <c r="BM88" s="3">
        <f t="shared" si="13"/>
        <v>472.75401636466609</v>
      </c>
      <c r="BO88" s="22">
        <f t="shared" si="14"/>
        <v>13.115086128001355</v>
      </c>
      <c r="BP88" s="22">
        <f t="shared" si="15"/>
        <v>13.078240841551171</v>
      </c>
    </row>
    <row r="89" spans="1:71">
      <c r="A89">
        <v>2010</v>
      </c>
      <c r="B89" s="3">
        <f>I89/G89*100/C89*100</f>
        <v>176.67940667839466</v>
      </c>
      <c r="C89" s="3">
        <f>CPIs!AB49</f>
        <v>99.999998509883881</v>
      </c>
      <c r="D89" s="2">
        <f t="shared" si="38"/>
        <v>123.45473973750745</v>
      </c>
      <c r="E89" s="2">
        <v>143.11269411067286</v>
      </c>
      <c r="F89" s="2">
        <f t="shared" si="39"/>
        <v>176.67940404566633</v>
      </c>
      <c r="G89" s="2">
        <f>'Exchange Rates'!Y49</f>
        <v>7.1962893061642301</v>
      </c>
      <c r="H89" s="32">
        <f t="shared" si="40"/>
        <v>13.066453508239004</v>
      </c>
      <c r="I89" s="32">
        <f t="shared" si="44"/>
        <v>12.714361059532978</v>
      </c>
      <c r="J89" s="32">
        <f t="shared" si="3"/>
        <v>12.9960350184978</v>
      </c>
      <c r="K89" s="2">
        <v>13.031000000000001</v>
      </c>
      <c r="L89" s="2">
        <v>207.4</v>
      </c>
      <c r="P89" s="32">
        <f t="shared" si="37"/>
        <v>4.9881277880934043</v>
      </c>
      <c r="Q89" s="32">
        <f t="shared" si="5"/>
        <v>4.9531628065912034</v>
      </c>
      <c r="S89" s="2">
        <f>USA!Z97*G89</f>
        <v>557.35260676241967</v>
      </c>
      <c r="T89" s="2">
        <v>0</v>
      </c>
      <c r="U89" s="2">
        <v>0</v>
      </c>
      <c r="V89" s="2">
        <v>0</v>
      </c>
      <c r="Y89" s="32">
        <f t="shared" si="27"/>
        <v>5.5</v>
      </c>
      <c r="Z89" s="2">
        <v>0.25</v>
      </c>
      <c r="AA89" s="2">
        <f t="shared" si="19"/>
        <v>2.5428722119065958</v>
      </c>
      <c r="AB89" s="2">
        <f t="shared" si="28"/>
        <v>8.0428722119065963</v>
      </c>
      <c r="AC89" s="37">
        <v>8.1059999999999999</v>
      </c>
      <c r="AD89" s="2">
        <v>0.84604326530612173</v>
      </c>
      <c r="AE89" s="2">
        <f>AD89/'Exchange Rates'!AB49*'Exchange Rates'!Y49</f>
        <v>8.0250461067266379</v>
      </c>
      <c r="AG89" s="3">
        <f t="shared" si="43"/>
        <v>12.714361059532978</v>
      </c>
      <c r="AH89" s="3">
        <f>'Exchange Rates'!Y49</f>
        <v>7.1962893061642301</v>
      </c>
      <c r="AI89" s="3">
        <f>Hungary!AH89</f>
        <v>0.75867129256384003</v>
      </c>
      <c r="AJ89" s="3">
        <f>'EU petrol prices nominal'!AK8</f>
        <v>1.3404159183673463</v>
      </c>
      <c r="AK89" s="2"/>
      <c r="AL89">
        <v>3.06</v>
      </c>
      <c r="AM89">
        <v>2.44</v>
      </c>
      <c r="AN89" s="2">
        <f t="shared" si="29"/>
        <v>5.5</v>
      </c>
      <c r="AO89"/>
      <c r="AP89">
        <v>2010</v>
      </c>
      <c r="AQ89" s="1">
        <f t="shared" si="31"/>
        <v>12.714361059532978</v>
      </c>
      <c r="AR89" s="1">
        <f t="shared" si="21"/>
        <v>5.5</v>
      </c>
      <c r="AS89" s="1">
        <f t="shared" si="22"/>
        <v>2.5428722119065958</v>
      </c>
      <c r="AT89" s="1">
        <f t="shared" si="36"/>
        <v>8.0428722119065963</v>
      </c>
      <c r="AU89" s="1">
        <f t="shared" si="32"/>
        <v>4.6714888476263816</v>
      </c>
      <c r="AV89" s="12"/>
      <c r="AW89" s="7">
        <v>100</v>
      </c>
      <c r="AX89" s="12"/>
      <c r="AY89" s="22">
        <f t="shared" si="33"/>
        <v>12.714361059532978</v>
      </c>
      <c r="AZ89" s="22">
        <f t="shared" si="24"/>
        <v>12.717741399527872</v>
      </c>
      <c r="BA89" s="1">
        <f t="shared" si="34"/>
        <v>8.0428722119065963</v>
      </c>
      <c r="BB89" s="22">
        <f t="shared" si="26"/>
        <v>4.6714888476263816</v>
      </c>
      <c r="BC89" s="1">
        <f t="shared" si="35"/>
        <v>4.674869187621276</v>
      </c>
      <c r="BD89" s="3">
        <f t="shared" si="42"/>
        <v>557.35260676241967</v>
      </c>
      <c r="BE89" s="3">
        <v>0</v>
      </c>
      <c r="BF89">
        <v>0</v>
      </c>
      <c r="BG89" s="23">
        <v>1</v>
      </c>
      <c r="BH89">
        <v>0</v>
      </c>
      <c r="BI89">
        <v>0</v>
      </c>
      <c r="BJ89">
        <v>0</v>
      </c>
      <c r="BK89" s="23">
        <v>0.5</v>
      </c>
      <c r="BM89" s="3">
        <f t="shared" si="13"/>
        <v>557.35260676241967</v>
      </c>
      <c r="BO89" s="22">
        <f t="shared" si="14"/>
        <v>13.786926127347867</v>
      </c>
      <c r="BP89" s="22">
        <f t="shared" si="15"/>
        <v>13.790591627924478</v>
      </c>
    </row>
    <row r="90" spans="1:71">
      <c r="A90">
        <v>2011</v>
      </c>
      <c r="B90" s="3">
        <f t="shared" ref="B90:B96" si="45">I90/G90*100/C90*100</f>
        <v>209.135091626964</v>
      </c>
      <c r="C90" s="3">
        <f>CPIs!AB50</f>
        <v>103.13271097869961</v>
      </c>
      <c r="G90" s="2">
        <f>'Exchange Rates'!Y50</f>
        <v>6.4979938318357267</v>
      </c>
      <c r="I90" s="32">
        <f t="shared" si="44"/>
        <v>14.015307786472516</v>
      </c>
      <c r="S90" s="2">
        <f>USA!Z98*G90</f>
        <v>698.2094372307489</v>
      </c>
      <c r="Y90" s="32">
        <f t="shared" si="27"/>
        <v>5.5</v>
      </c>
      <c r="Z90" s="2">
        <v>0.25</v>
      </c>
      <c r="AA90" s="2">
        <f t="shared" si="19"/>
        <v>2.8030615572945035</v>
      </c>
      <c r="AB90" s="2">
        <f t="shared" si="28"/>
        <v>8.3030615572945035</v>
      </c>
      <c r="AD90" s="2">
        <v>0.92028489795918411</v>
      </c>
      <c r="AE90" s="2">
        <f>AD90/'Exchange Rates'!AB50*'Exchange Rates'!Y50</f>
        <v>8.3584876394149408</v>
      </c>
      <c r="AG90" s="3">
        <f t="shared" si="43"/>
        <v>14.015307786472516</v>
      </c>
      <c r="AH90" s="3">
        <f>'Exchange Rates'!Y50</f>
        <v>6.4979938318357267</v>
      </c>
      <c r="AI90" s="3">
        <f>Hungary!AH90</f>
        <v>0.71544109992713056</v>
      </c>
      <c r="AJ90" s="3">
        <f>'EU petrol prices nominal'!AK9</f>
        <v>1.5431112244897964</v>
      </c>
      <c r="AK90" s="2"/>
      <c r="AL90">
        <v>3.06</v>
      </c>
      <c r="AM90">
        <v>2.44</v>
      </c>
      <c r="AN90" s="2">
        <f t="shared" si="29"/>
        <v>5.5</v>
      </c>
      <c r="AO90"/>
      <c r="AP90">
        <v>2011</v>
      </c>
      <c r="AQ90" s="1">
        <f t="shared" si="31"/>
        <v>14.015307786472516</v>
      </c>
      <c r="AR90" s="1">
        <f t="shared" si="21"/>
        <v>5.5</v>
      </c>
      <c r="AS90" s="1">
        <f t="shared" si="22"/>
        <v>2.8030615572945035</v>
      </c>
      <c r="AT90" s="1">
        <f t="shared" si="36"/>
        <v>8.3030615572945035</v>
      </c>
      <c r="AU90" s="1">
        <f t="shared" si="32"/>
        <v>5.7122462291780121</v>
      </c>
      <c r="AV90" s="12"/>
      <c r="AW90" s="7">
        <f>CPIs!Y50</f>
        <v>102.96112060546875</v>
      </c>
      <c r="AX90" s="12"/>
      <c r="AY90" s="22">
        <f t="shared" si="33"/>
        <v>13.61223314592411</v>
      </c>
      <c r="AZ90" s="22">
        <f t="shared" ref="AZ90:AZ96" si="46">BC90+BA90</f>
        <v>13.553594587577695</v>
      </c>
      <c r="BA90" s="1">
        <f t="shared" si="34"/>
        <v>8.0642688312519102</v>
      </c>
      <c r="BB90" s="22">
        <f t="shared" ref="BB90:BB96" si="47">AY90-BA90</f>
        <v>5.5479643146721997</v>
      </c>
      <c r="BC90" s="1">
        <f t="shared" si="35"/>
        <v>5.4893257563257842</v>
      </c>
      <c r="BD90" s="3">
        <f t="shared" si="42"/>
        <v>678.12921336217823</v>
      </c>
      <c r="BE90" s="3">
        <v>0</v>
      </c>
      <c r="BF90">
        <v>0</v>
      </c>
      <c r="BG90" s="23">
        <v>1</v>
      </c>
      <c r="BH90">
        <v>0</v>
      </c>
      <c r="BI90">
        <v>0</v>
      </c>
      <c r="BJ90">
        <v>0</v>
      </c>
      <c r="BK90">
        <v>0</v>
      </c>
      <c r="BM90" s="3">
        <f t="shared" si="13"/>
        <v>678.12921336217823</v>
      </c>
      <c r="BO90" s="22">
        <f t="shared" si="14"/>
        <v>14.760541401361246</v>
      </c>
      <c r="BP90" s="22">
        <f t="shared" si="15"/>
        <v>14.696956179237166</v>
      </c>
    </row>
    <row r="91" spans="1:71">
      <c r="A91">
        <v>2012</v>
      </c>
      <c r="B91" s="3">
        <f t="shared" si="45"/>
        <v>210.06480896286348</v>
      </c>
      <c r="C91" s="3">
        <f>CPIs!AB51</f>
        <v>105.21072267093371</v>
      </c>
      <c r="G91" s="2">
        <f>'Exchange Rates'!Y51</f>
        <v>6.7706372944621123</v>
      </c>
      <c r="I91" s="32">
        <f t="shared" si="44"/>
        <v>14.963833121824351</v>
      </c>
      <c r="S91" s="2">
        <f>USA!Z99*G91</f>
        <v>741.35674202080668</v>
      </c>
      <c r="Y91" s="32">
        <f t="shared" si="27"/>
        <v>5.65</v>
      </c>
      <c r="Z91" s="2">
        <v>0.25</v>
      </c>
      <c r="AA91" s="2">
        <f t="shared" si="19"/>
        <v>2.9927666243648705</v>
      </c>
      <c r="AB91" s="2">
        <f t="shared" si="28"/>
        <v>8.6427666243648709</v>
      </c>
      <c r="AD91" s="2">
        <v>0.99165693877551042</v>
      </c>
      <c r="AE91" s="2">
        <f>AD91/'Exchange Rates'!AB51*'Exchange Rates'!Y51</f>
        <v>8.6757387945855431</v>
      </c>
      <c r="AG91" s="3">
        <f t="shared" si="43"/>
        <v>14.963833121824351</v>
      </c>
      <c r="AH91" s="3">
        <f>'Exchange Rates'!Y51</f>
        <v>6.7706372944621123</v>
      </c>
      <c r="AI91" s="3">
        <f>Hungary!AH91</f>
        <v>0.773899446716382</v>
      </c>
      <c r="AJ91" s="3">
        <f>'EU petrol prices nominal'!AK10</f>
        <v>1.710400612244898</v>
      </c>
      <c r="AK91" s="2"/>
      <c r="AL91">
        <v>3.14</v>
      </c>
      <c r="AM91">
        <v>2.5099999999999998</v>
      </c>
      <c r="AN91" s="2">
        <f t="shared" si="29"/>
        <v>5.65</v>
      </c>
      <c r="AO91"/>
      <c r="AP91">
        <v>2012</v>
      </c>
      <c r="AQ91" s="1">
        <f t="shared" si="31"/>
        <v>14.963833121824351</v>
      </c>
      <c r="AR91" s="1">
        <f t="shared" si="21"/>
        <v>5.65</v>
      </c>
      <c r="AS91" s="1">
        <f t="shared" si="22"/>
        <v>2.9927666243648705</v>
      </c>
      <c r="AT91" s="1">
        <f t="shared" si="36"/>
        <v>8.6427666243648709</v>
      </c>
      <c r="AU91" s="1">
        <f t="shared" si="32"/>
        <v>6.3210664974594799</v>
      </c>
      <c r="AV91" s="12"/>
      <c r="AW91" s="7">
        <f>CPIs!Y51</f>
        <v>103.87586975097656</v>
      </c>
      <c r="AX91" s="12"/>
      <c r="AY91" s="22">
        <f t="shared" si="33"/>
        <v>14.405494902422872</v>
      </c>
      <c r="AZ91" s="22">
        <f t="shared" si="46"/>
        <v>14.41522887887848</v>
      </c>
      <c r="BA91" s="1">
        <f t="shared" si="34"/>
        <v>8.320283281463082</v>
      </c>
      <c r="BB91" s="22">
        <f t="shared" si="47"/>
        <v>6.0852116209597895</v>
      </c>
      <c r="BC91" s="1">
        <f t="shared" si="35"/>
        <v>6.0949455974153972</v>
      </c>
      <c r="BD91" s="3">
        <f t="shared" si="42"/>
        <v>713.69485887153019</v>
      </c>
      <c r="BE91" s="3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M91" s="3">
        <f t="shared" si="13"/>
        <v>713.69485887153019</v>
      </c>
      <c r="BO91" s="22">
        <f t="shared" si="14"/>
        <v>15.620721569699203</v>
      </c>
      <c r="BP91" s="22">
        <f t="shared" si="15"/>
        <v>15.631276690297907</v>
      </c>
    </row>
    <row r="92" spans="1:71">
      <c r="A92">
        <v>2013</v>
      </c>
      <c r="B92" s="3">
        <f t="shared" si="45"/>
        <v>208.17877258739856</v>
      </c>
      <c r="C92" s="3">
        <f>CPIs!AB52</f>
        <v>106.69767516878358</v>
      </c>
      <c r="G92" s="2">
        <f>'Exchange Rates'!Y52</f>
        <v>6.5136657645058875</v>
      </c>
      <c r="I92" s="32">
        <f t="shared" si="44"/>
        <v>14.468278842679256</v>
      </c>
      <c r="R92" s="42"/>
      <c r="S92" s="2">
        <f>USA!Z100*G92</f>
        <v>690.03332484513669</v>
      </c>
      <c r="Y92" s="32">
        <f t="shared" si="27"/>
        <v>5.63</v>
      </c>
      <c r="Z92" s="2">
        <v>0.25</v>
      </c>
      <c r="AA92" s="2">
        <f t="shared" si="19"/>
        <v>2.8936557685358513</v>
      </c>
      <c r="AB92" s="2">
        <f t="shared" si="28"/>
        <v>8.5236557685358516</v>
      </c>
      <c r="AD92" s="2">
        <v>0.98491897959183727</v>
      </c>
      <c r="AE92" s="2">
        <f>AD92/'Exchange Rates'!AB52*'Exchange Rates'!Y52</f>
        <v>8.534920356176503</v>
      </c>
      <c r="AG92" s="3">
        <f t="shared" si="43"/>
        <v>14.468278842679256</v>
      </c>
      <c r="AH92" s="3">
        <f>'Exchange Rates'!Y52</f>
        <v>6.5136657645058875</v>
      </c>
      <c r="AI92" s="3">
        <f>Hungary!AH92</f>
        <v>0.75166876437654617</v>
      </c>
      <c r="AJ92" s="3">
        <f>'EU petrol prices nominal'!AK11</f>
        <v>1.6696210204081638</v>
      </c>
      <c r="AK92" s="2"/>
      <c r="AL92">
        <v>3.13</v>
      </c>
      <c r="AM92">
        <v>2.5</v>
      </c>
      <c r="AN92" s="2">
        <f t="shared" si="29"/>
        <v>5.63</v>
      </c>
      <c r="AO92"/>
      <c r="AP92">
        <v>2013</v>
      </c>
      <c r="AQ92" s="1">
        <f t="shared" si="31"/>
        <v>14.468278842679256</v>
      </c>
      <c r="AR92" s="1">
        <f t="shared" si="21"/>
        <v>5.63</v>
      </c>
      <c r="AS92" s="1">
        <f t="shared" si="22"/>
        <v>2.8936557685358513</v>
      </c>
      <c r="AT92" s="1">
        <f t="shared" si="36"/>
        <v>8.5236557685358516</v>
      </c>
      <c r="AU92" s="1">
        <f t="shared" si="32"/>
        <v>5.9446230741434043</v>
      </c>
      <c r="AV92" s="12"/>
      <c r="AW92" s="7">
        <f>CPIs!Y52</f>
        <v>103.82978057861328</v>
      </c>
      <c r="AX92" s="12"/>
      <c r="AY92" s="22">
        <f t="shared" si="33"/>
        <v>13.934613712994221</v>
      </c>
      <c r="AZ92" s="22">
        <f t="shared" si="46"/>
        <v>14.036064488052819</v>
      </c>
      <c r="BA92" s="1">
        <f t="shared" si="34"/>
        <v>8.2092591557412415</v>
      </c>
      <c r="BB92" s="22">
        <f t="shared" si="47"/>
        <v>5.7253545572529791</v>
      </c>
      <c r="BC92" s="1">
        <f t="shared" si="35"/>
        <v>5.8268053323115776</v>
      </c>
      <c r="BD92" s="3">
        <f t="shared" si="42"/>
        <v>664.58131857717592</v>
      </c>
      <c r="BE92" s="3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M92" s="3">
        <f t="shared" si="13"/>
        <v>664.58131857717592</v>
      </c>
      <c r="BO92" s="22">
        <f t="shared" si="14"/>
        <v>15.110117525735632</v>
      </c>
      <c r="BP92" s="22">
        <f t="shared" si="15"/>
        <v>15.220126541111703</v>
      </c>
    </row>
    <row r="93" spans="1:71">
      <c r="A93">
        <v>2014</v>
      </c>
      <c r="B93" s="3">
        <f t="shared" si="45"/>
        <v>191.44995472437913</v>
      </c>
      <c r="C93" s="3">
        <f>CPIs!AB53</f>
        <v>108.45811062912946</v>
      </c>
      <c r="G93" s="2">
        <f>'Exchange Rates'!Y53</f>
        <v>6.8536067435327919</v>
      </c>
      <c r="I93" s="32">
        <f t="shared" si="44"/>
        <v>14.231034903672441</v>
      </c>
      <c r="R93" s="42"/>
      <c r="S93" s="2">
        <f>USA!Z101*G93</f>
        <v>659.24197884740238</v>
      </c>
      <c r="Y93" s="32">
        <f t="shared" si="27"/>
        <v>5.63</v>
      </c>
      <c r="Z93" s="2">
        <v>0.25</v>
      </c>
      <c r="AA93" s="2">
        <f t="shared" si="19"/>
        <v>2.8462069807344883</v>
      </c>
      <c r="AB93" s="2">
        <f t="shared" si="28"/>
        <v>8.4762069807344886</v>
      </c>
      <c r="AD93" s="2">
        <v>0.93440306122449013</v>
      </c>
      <c r="AE93" s="2">
        <f>AD93/'Exchange Rates'!AB53*'Exchange Rates'!Y53</f>
        <v>8.455418475732575</v>
      </c>
      <c r="AG93" s="3">
        <f t="shared" si="43"/>
        <v>14.231034903672441</v>
      </c>
      <c r="AH93" s="3">
        <f>'Exchange Rates'!Y53</f>
        <v>6.8536067435327919</v>
      </c>
      <c r="AI93" s="3">
        <f>Hungary!AH93</f>
        <v>0.757387838338895</v>
      </c>
      <c r="AJ93" s="3">
        <f>'EU petrol prices nominal'!AK12</f>
        <v>1.5726628571428574</v>
      </c>
      <c r="AK93" s="2"/>
      <c r="AL93">
        <v>3.13</v>
      </c>
      <c r="AM93">
        <v>2.5</v>
      </c>
      <c r="AN93" s="2">
        <f t="shared" si="29"/>
        <v>5.63</v>
      </c>
      <c r="AO93"/>
      <c r="AP93">
        <v>2014</v>
      </c>
      <c r="AQ93" s="1">
        <f t="shared" si="31"/>
        <v>14.231034903672441</v>
      </c>
      <c r="AR93" s="1">
        <f t="shared" si="21"/>
        <v>5.63</v>
      </c>
      <c r="AS93" s="1">
        <f t="shared" si="22"/>
        <v>2.8462069807344883</v>
      </c>
      <c r="AT93" s="1">
        <f t="shared" si="36"/>
        <v>8.4762069807344886</v>
      </c>
      <c r="AU93" s="1">
        <f t="shared" si="32"/>
        <v>5.7548279229379524</v>
      </c>
      <c r="AV93" s="12"/>
      <c r="AW93" s="7">
        <f>CPIs!Y53</f>
        <v>103.64338684082031</v>
      </c>
      <c r="AX93" s="12"/>
      <c r="AY93" s="22">
        <f t="shared" si="33"/>
        <v>13.730769842101973</v>
      </c>
      <c r="AZ93" s="22">
        <f t="shared" si="46"/>
        <v>13.849373705525641</v>
      </c>
      <c r="BA93" s="1">
        <f t="shared" si="34"/>
        <v>8.17824198832154</v>
      </c>
      <c r="BB93" s="22">
        <f t="shared" si="47"/>
        <v>5.5525278537804326</v>
      </c>
      <c r="BC93" s="1">
        <f t="shared" si="35"/>
        <v>5.6711317172041014</v>
      </c>
      <c r="BD93" s="3">
        <f t="shared" si="42"/>
        <v>636.06757646765516</v>
      </c>
      <c r="BE93" s="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M93" s="3">
        <f t="shared" si="13"/>
        <v>636.06757646765516</v>
      </c>
      <c r="BO93" s="22">
        <f t="shared" si="14"/>
        <v>14.889077681393877</v>
      </c>
      <c r="BP93" s="22">
        <f t="shared" si="15"/>
        <v>15.017686794803799</v>
      </c>
    </row>
    <row r="94" spans="1:71">
      <c r="A94">
        <v>2015</v>
      </c>
      <c r="B94" s="3">
        <f t="shared" si="45"/>
        <v>143.13954553030686</v>
      </c>
      <c r="C94" s="3">
        <f>CPIs!AB54</f>
        <v>108.69337137051741</v>
      </c>
      <c r="G94" s="2">
        <f>'Exchange Rates'!Y54</f>
        <v>8.4360853883660756</v>
      </c>
      <c r="I94" s="32">
        <f t="shared" si="44"/>
        <v>13.12513141647046</v>
      </c>
      <c r="R94" s="42"/>
      <c r="S94" s="2">
        <f>USA!Z102*G94</f>
        <v>417.72689844797173</v>
      </c>
      <c r="Y94" s="32">
        <f t="shared" si="27"/>
        <v>5.85</v>
      </c>
      <c r="Z94" s="2">
        <v>0.25</v>
      </c>
      <c r="AA94" s="2">
        <f t="shared" si="19"/>
        <v>2.6250262832940923</v>
      </c>
      <c r="AB94" s="2">
        <f t="shared" si="28"/>
        <v>8.4750262832940919</v>
      </c>
      <c r="AD94" s="2">
        <v>0.88323775510204083</v>
      </c>
      <c r="AE94" s="2">
        <f>AD94/'Exchange Rates'!AB54*'Exchange Rates'!Y54</f>
        <v>8.2248138612649075</v>
      </c>
      <c r="AG94" s="3">
        <f t="shared" si="43"/>
        <v>13.12513141647046</v>
      </c>
      <c r="AH94" s="3">
        <f>'Exchange Rates'!Y54</f>
        <v>8.4360853883660756</v>
      </c>
      <c r="AI94" s="3">
        <f>Hungary!AH94</f>
        <v>0.90592556207997499</v>
      </c>
      <c r="AJ94" s="3">
        <f>'EU petrol prices nominal'!AK13</f>
        <v>1.4094679591836734</v>
      </c>
      <c r="AK94" s="2"/>
      <c r="AL94">
        <v>3.25</v>
      </c>
      <c r="AM94">
        <v>2.6</v>
      </c>
      <c r="AN94" s="2">
        <f t="shared" si="29"/>
        <v>5.85</v>
      </c>
      <c r="AO94"/>
      <c r="AP94">
        <v>2015</v>
      </c>
      <c r="AQ94" s="1">
        <f t="shared" si="31"/>
        <v>13.12513141647046</v>
      </c>
      <c r="AR94" s="1">
        <f t="shared" si="21"/>
        <v>5.85</v>
      </c>
      <c r="AS94" s="1">
        <f t="shared" si="22"/>
        <v>2.6250262832940923</v>
      </c>
      <c r="AT94" s="1">
        <f t="shared" si="36"/>
        <v>8.4750262832940919</v>
      </c>
      <c r="AU94" s="1">
        <f t="shared" si="32"/>
        <v>4.6501051331763676</v>
      </c>
      <c r="AV94" s="12"/>
      <c r="AW94" s="7">
        <f>CPIs!Y54</f>
        <v>103.59481811523438</v>
      </c>
      <c r="AX94" s="12"/>
      <c r="AY94" s="22">
        <f t="shared" si="33"/>
        <v>12.669679483263954</v>
      </c>
      <c r="AZ94" s="22">
        <f t="shared" si="46"/>
        <v>12.580876248881962</v>
      </c>
      <c r="BA94" s="1">
        <f t="shared" si="34"/>
        <v>8.1809364961352031</v>
      </c>
      <c r="BB94" s="22">
        <f t="shared" si="47"/>
        <v>4.4887429871287505</v>
      </c>
      <c r="BC94" s="1">
        <f t="shared" si="35"/>
        <v>4.399939752746759</v>
      </c>
      <c r="BD94" s="3">
        <f t="shared" si="42"/>
        <v>403.23146084711539</v>
      </c>
      <c r="BE94" s="3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M94" s="3">
        <f t="shared" si="13"/>
        <v>403.23146084711539</v>
      </c>
      <c r="BO94" s="22">
        <f t="shared" si="14"/>
        <v>13.738475278076713</v>
      </c>
      <c r="BP94" s="22">
        <f t="shared" si="15"/>
        <v>13.642180731574424</v>
      </c>
    </row>
    <row r="95" spans="1:71">
      <c r="A95">
        <v>2016</v>
      </c>
      <c r="B95" s="3">
        <f t="shared" si="45"/>
        <v>138.69748701277268</v>
      </c>
      <c r="C95" s="3">
        <f>CPIs!AB55</f>
        <v>110.08253978538585</v>
      </c>
      <c r="G95" s="2">
        <f>'Exchange Rates'!Y55</f>
        <v>8.5625130357369965</v>
      </c>
      <c r="I95" s="32">
        <f t="shared" si="44"/>
        <v>13.073391863272434</v>
      </c>
      <c r="S95" s="2">
        <f>USA!Z103*G95</f>
        <v>348.35699492882281</v>
      </c>
      <c r="Y95" s="32">
        <f t="shared" si="27"/>
        <v>6.3100000000000005</v>
      </c>
      <c r="Z95" s="2">
        <v>0.25</v>
      </c>
      <c r="AA95" s="2">
        <f t="shared" si="19"/>
        <v>2.6146783726544869</v>
      </c>
      <c r="AB95" s="2">
        <f t="shared" si="28"/>
        <v>8.9246783726544869</v>
      </c>
      <c r="AD95" s="2">
        <v>0.94380799999999976</v>
      </c>
      <c r="AE95" s="2">
        <f>AD95/'Exchange Rates'!AB55*'Exchange Rates'!Y55</f>
        <v>8.9124834338373145</v>
      </c>
      <c r="AG95" s="3">
        <f t="shared" si="43"/>
        <v>13.073391863272434</v>
      </c>
      <c r="AH95" s="3">
        <f>'Exchange Rates'!Y55</f>
        <v>8.5625130357369965</v>
      </c>
      <c r="AI95" s="3">
        <f>Hungary!AH95</f>
        <v>0.90674707708863456</v>
      </c>
      <c r="AJ95" s="3">
        <f>'EU petrol prices nominal'!AK14</f>
        <v>1.3844369999999997</v>
      </c>
      <c r="AK95" s="2"/>
      <c r="AL95">
        <v>3.72</v>
      </c>
      <c r="AM95">
        <v>2.59</v>
      </c>
      <c r="AN95" s="2">
        <f t="shared" si="29"/>
        <v>6.3100000000000005</v>
      </c>
      <c r="AO95"/>
      <c r="AP95">
        <v>2016</v>
      </c>
      <c r="AQ95" s="1">
        <f t="shared" si="31"/>
        <v>13.073391863272434</v>
      </c>
      <c r="AR95" s="1">
        <f t="shared" si="21"/>
        <v>6.3100000000000005</v>
      </c>
      <c r="AS95" s="1">
        <f t="shared" si="22"/>
        <v>2.6146783726544869</v>
      </c>
      <c r="AT95" s="1">
        <f t="shared" si="36"/>
        <v>8.9246783726544869</v>
      </c>
      <c r="AU95" s="1">
        <f t="shared" si="32"/>
        <v>4.148713490617947</v>
      </c>
      <c r="AV95" s="12"/>
      <c r="AW95" s="7">
        <f>CPIs!Y55</f>
        <v>104.61454010009766</v>
      </c>
      <c r="AX95" s="12"/>
      <c r="AY95" s="22">
        <f t="shared" si="33"/>
        <v>12.49672545591034</v>
      </c>
      <c r="AZ95" s="22">
        <f t="shared" si="46"/>
        <v>12.547466346586674</v>
      </c>
      <c r="BA95" s="1">
        <f t="shared" si="34"/>
        <v>8.5310114293052806</v>
      </c>
      <c r="BB95" s="22">
        <f t="shared" si="47"/>
        <v>3.9657140266050597</v>
      </c>
      <c r="BC95" s="1">
        <f t="shared" si="35"/>
        <v>4.0164549172813926</v>
      </c>
      <c r="BD95" s="3">
        <f t="shared" si="42"/>
        <v>332.99099207003792</v>
      </c>
      <c r="BE95" s="3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M95" s="3">
        <f t="shared" si="13"/>
        <v>332.99099207003792</v>
      </c>
      <c r="BO95" s="22">
        <f t="shared" si="14"/>
        <v>13.55093109969555</v>
      </c>
      <c r="BP95" s="22">
        <f t="shared" si="15"/>
        <v>13.605952418353629</v>
      </c>
      <c r="BS95" t="s">
        <v>2431</v>
      </c>
    </row>
    <row r="96" spans="1:71">
      <c r="A96">
        <v>2017</v>
      </c>
      <c r="B96" s="3">
        <f t="shared" si="45"/>
        <v>145.95631970716178</v>
      </c>
      <c r="C96" s="3">
        <f>CPIs!AB56</f>
        <v>112.42729788281457</v>
      </c>
      <c r="G96" s="2">
        <f>'Exchange Rates'!Y56</f>
        <v>8.5470000000000006</v>
      </c>
      <c r="I96" s="32">
        <f t="shared" si="44"/>
        <v>14.025177969334841</v>
      </c>
      <c r="S96" s="2">
        <f>USA!Z104*G96</f>
        <v>448.80297000000002</v>
      </c>
      <c r="Y96" s="32">
        <f t="shared" si="27"/>
        <v>6.5</v>
      </c>
      <c r="Z96" s="2">
        <v>0.25</v>
      </c>
      <c r="AA96" s="2">
        <f t="shared" si="19"/>
        <v>2.8050355938669682</v>
      </c>
      <c r="AB96" s="2">
        <f t="shared" si="28"/>
        <v>9.3050355938669682</v>
      </c>
      <c r="AD96" s="2">
        <v>0.94230380000000025</v>
      </c>
      <c r="AE96" s="2">
        <f>AD96/'Exchange Rates'!AB56*'Exchange Rates'!Y56</f>
        <v>9.0798991866967338</v>
      </c>
      <c r="AG96" s="3">
        <f t="shared" si="43"/>
        <v>14.025177969334841</v>
      </c>
      <c r="AH96" s="3">
        <f>'Exchange Rates'!Y56</f>
        <v>8.5470000000000006</v>
      </c>
      <c r="AI96" s="3">
        <f>Hungary!AH96</f>
        <v>0.88700000000000001</v>
      </c>
      <c r="AJ96" s="3">
        <f>'EU petrol prices nominal'!AK15</f>
        <v>1.4555204000000004</v>
      </c>
      <c r="AK96" s="2"/>
      <c r="AL96">
        <v>3.88</v>
      </c>
      <c r="AM96">
        <v>2.62</v>
      </c>
      <c r="AN96" s="2">
        <f t="shared" si="29"/>
        <v>6.5</v>
      </c>
      <c r="AO96"/>
      <c r="AP96">
        <v>2017</v>
      </c>
      <c r="AQ96" s="1">
        <f t="shared" si="31"/>
        <v>14.025177969334841</v>
      </c>
      <c r="AR96" s="1">
        <f t="shared" si="21"/>
        <v>6.5</v>
      </c>
      <c r="AS96" s="1">
        <f t="shared" si="22"/>
        <v>2.8050355938669682</v>
      </c>
      <c r="AT96" s="1">
        <f t="shared" si="36"/>
        <v>9.3050355938669682</v>
      </c>
      <c r="AU96" s="1">
        <f t="shared" si="32"/>
        <v>4.7201423754678729</v>
      </c>
      <c r="AV96" s="12"/>
      <c r="AW96" s="7">
        <f>CPIs!Y56</f>
        <v>106.48714036788941</v>
      </c>
      <c r="AX96" s="12"/>
      <c r="AY96" s="22">
        <f t="shared" si="33"/>
        <v>13.170771532488306</v>
      </c>
      <c r="AZ96" s="22">
        <f t="shared" si="46"/>
        <v>13.237649645353484</v>
      </c>
      <c r="BA96" s="1">
        <f t="shared" si="34"/>
        <v>8.7381777383824364</v>
      </c>
      <c r="BB96" s="22">
        <f t="shared" si="47"/>
        <v>4.4325937941058697</v>
      </c>
      <c r="BC96" s="1">
        <f t="shared" si="35"/>
        <v>4.4994719069710474</v>
      </c>
      <c r="BD96" s="3">
        <f t="shared" si="42"/>
        <v>421.46213002761226</v>
      </c>
      <c r="BE96" s="3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M96" s="3">
        <f>S96/AW96*100</f>
        <v>421.46213002761226</v>
      </c>
      <c r="BO96" s="22">
        <f t="shared" si="14"/>
        <v>14.281838726173667</v>
      </c>
      <c r="BP96" s="22">
        <f t="shared" si="15"/>
        <v>14.354358579691379</v>
      </c>
    </row>
    <row r="97" spans="1:72">
      <c r="A97">
        <v>2018</v>
      </c>
      <c r="G97" s="2">
        <f>'Exchange Rates'!Y57</f>
        <v>8.7739999999999991</v>
      </c>
      <c r="I97" s="2">
        <f>'EU petrol prices nominal'!AK16/'Exchange Rates'!AB57*Sweden!G97</f>
        <v>15.648907269958169</v>
      </c>
      <c r="P97" s="2"/>
      <c r="S97" s="2">
        <f>USA!Z105*G97</f>
        <v>615.96974406926404</v>
      </c>
      <c r="Y97" s="32">
        <f t="shared" si="27"/>
        <v>6.5</v>
      </c>
      <c r="Z97" s="2">
        <v>0.25</v>
      </c>
      <c r="AA97" s="2">
        <f t="shared" ref="AA97" si="48">Z97*(I97*(1/(1+Z97)))</f>
        <v>3.129781453991634</v>
      </c>
      <c r="AB97" s="2">
        <f t="shared" ref="AB97" si="49">Y97+AA97</f>
        <v>9.6297814539916331</v>
      </c>
      <c r="AD97" s="2">
        <v>0.93002047619047623</v>
      </c>
      <c r="AI97" s="2"/>
      <c r="AJ97" s="2"/>
      <c r="AK97" s="2"/>
      <c r="AL97">
        <v>3.88</v>
      </c>
      <c r="AM97">
        <v>2.62</v>
      </c>
      <c r="AN97" s="2">
        <f t="shared" si="29"/>
        <v>6.5</v>
      </c>
      <c r="AO97"/>
      <c r="AP97">
        <v>2018</v>
      </c>
      <c r="AQ97" s="1">
        <f t="shared" ref="AQ97" si="50">I97</f>
        <v>15.648907269958169</v>
      </c>
      <c r="AR97" s="1">
        <f t="shared" ref="AR97" si="51">Y97</f>
        <v>6.5</v>
      </c>
      <c r="AS97" s="1">
        <f t="shared" ref="AS97" si="52">AA97</f>
        <v>3.129781453991634</v>
      </c>
      <c r="AT97" s="1">
        <f t="shared" ref="AT97" si="53">AB97</f>
        <v>9.6297814539916331</v>
      </c>
      <c r="AU97" s="1">
        <f t="shared" ref="AU97" si="54">AQ97-AT97</f>
        <v>6.019125815966536</v>
      </c>
      <c r="AV97" s="12"/>
      <c r="AW97" s="7">
        <f>CPIs!Y57</f>
        <v>108.43585503662177</v>
      </c>
      <c r="AX97" s="12"/>
      <c r="AY97" s="22">
        <f t="shared" ref="AY97" si="55">AQ97/$AW97*100</f>
        <v>14.431487873335902</v>
      </c>
      <c r="AZ97" s="22">
        <f t="shared" ref="AZ97" si="56">BC97+BA97</f>
        <v>14.180407144828123</v>
      </c>
      <c r="BA97" s="1">
        <f t="shared" ref="BA97" si="57">AT97/$AW97*100</f>
        <v>8.8806248179989833</v>
      </c>
      <c r="BB97" s="22">
        <f t="shared" ref="BB97" si="58">AY97-BA97</f>
        <v>5.5508630553369187</v>
      </c>
      <c r="BC97" s="1">
        <f t="shared" si="35"/>
        <v>5.2997823268291402</v>
      </c>
      <c r="BD97" s="3">
        <f t="shared" ref="BD97" si="59">S97/AW97*100</f>
        <v>568.04987968346268</v>
      </c>
      <c r="BE97" s="3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M97" s="3">
        <f>S97/AW97*100</f>
        <v>568.04987968346268</v>
      </c>
      <c r="BO97" s="22">
        <f>AY97*$AW$97/$AW$89</f>
        <v>15.648907269958169</v>
      </c>
      <c r="BP97" s="22">
        <f>AZ97*$AW$97/$AW$89</f>
        <v>15.376645735168582</v>
      </c>
      <c r="BS97" t="s">
        <v>2416</v>
      </c>
    </row>
    <row r="98" spans="1:72">
      <c r="P98" s="40"/>
      <c r="Q98" s="40"/>
      <c r="AP98">
        <v>2019</v>
      </c>
      <c r="AQ98" s="2"/>
      <c r="AR98" s="2"/>
      <c r="AS98" s="2"/>
      <c r="AT98" s="2"/>
      <c r="AU98" s="2"/>
      <c r="AV98" s="2"/>
      <c r="AW98" s="7">
        <f>AW97</f>
        <v>108.43585503662177</v>
      </c>
      <c r="BS98" s="78">
        <v>43101</v>
      </c>
      <c r="BT98" s="12">
        <v>1.68</v>
      </c>
    </row>
    <row r="99" spans="1:72">
      <c r="P99" s="40"/>
      <c r="Q99" s="40"/>
      <c r="AP99">
        <v>2020</v>
      </c>
      <c r="AQ99" s="2"/>
      <c r="AR99" s="2"/>
      <c r="AS99" s="2"/>
      <c r="AT99" s="2"/>
      <c r="AU99" s="2"/>
      <c r="AV99" s="2"/>
      <c r="AW99" s="7">
        <f t="shared" ref="AW99:AW109" si="60">AW98</f>
        <v>108.43585503662177</v>
      </c>
      <c r="AY99" s="13" t="s">
        <v>88</v>
      </c>
      <c r="AZ99" s="13">
        <v>2.1984574290997543</v>
      </c>
      <c r="BR99" s="13"/>
      <c r="BS99" s="78">
        <v>43132</v>
      </c>
      <c r="BT99" s="12">
        <v>1.58</v>
      </c>
    </row>
    <row r="100" spans="1:72">
      <c r="AP100">
        <v>2021</v>
      </c>
      <c r="AQ100" s="2"/>
      <c r="AR100" s="2"/>
      <c r="AS100" s="2"/>
      <c r="AT100" s="2"/>
      <c r="AU100" s="2"/>
      <c r="AV100" s="2"/>
      <c r="AW100" s="7">
        <f t="shared" si="60"/>
        <v>108.43585503662177</v>
      </c>
      <c r="AY100" s="153" t="s">
        <v>2202</v>
      </c>
      <c r="AZ100" s="13">
        <v>5.4595996032206764E-3</v>
      </c>
      <c r="BE100" s="13"/>
      <c r="BR100" s="13"/>
      <c r="BS100" s="78">
        <v>43160</v>
      </c>
      <c r="BT100" s="12">
        <v>1.6</v>
      </c>
    </row>
    <row r="101" spans="1:72">
      <c r="AP101">
        <v>2022</v>
      </c>
      <c r="AQ101" s="2"/>
      <c r="AR101" s="2"/>
      <c r="AS101" s="2"/>
      <c r="AT101" s="2"/>
      <c r="AU101" s="2"/>
      <c r="AV101" s="2"/>
      <c r="AW101" s="7">
        <f t="shared" si="60"/>
        <v>108.43585503662177</v>
      </c>
      <c r="AY101" s="153" t="s">
        <v>2203</v>
      </c>
      <c r="AZ101" s="13">
        <v>7.6199654356896894E-3</v>
      </c>
      <c r="BE101" s="13"/>
      <c r="BR101" s="13"/>
      <c r="BS101" s="78">
        <v>43191</v>
      </c>
      <c r="BT101" s="12">
        <v>1.73</v>
      </c>
    </row>
    <row r="102" spans="1:72">
      <c r="AP102">
        <v>2023</v>
      </c>
      <c r="AQ102" s="2"/>
      <c r="AR102" s="2"/>
      <c r="AS102" s="2"/>
      <c r="AT102" s="2"/>
      <c r="AU102" s="2"/>
      <c r="AV102" s="2"/>
      <c r="AW102" s="7">
        <f t="shared" si="60"/>
        <v>108.43585503662177</v>
      </c>
      <c r="AY102" s="153" t="s">
        <v>322</v>
      </c>
      <c r="AZ102" s="13">
        <v>1.9059780656151184</v>
      </c>
      <c r="BE102" s="13"/>
      <c r="BR102" s="13"/>
      <c r="BS102" s="78">
        <v>43221</v>
      </c>
      <c r="BT102" s="12">
        <v>1.69</v>
      </c>
    </row>
    <row r="103" spans="1:72">
      <c r="AP103">
        <v>2024</v>
      </c>
      <c r="AQ103" s="2"/>
      <c r="AR103" s="2"/>
      <c r="AS103" s="2"/>
      <c r="AT103" s="2"/>
      <c r="AU103" s="2"/>
      <c r="AV103" s="2"/>
      <c r="AW103" s="7">
        <f t="shared" si="60"/>
        <v>108.43585503662177</v>
      </c>
      <c r="AY103" s="154" t="s">
        <v>2201</v>
      </c>
      <c r="AZ103" s="13">
        <v>-0.41144565697846808</v>
      </c>
      <c r="BE103" s="13"/>
      <c r="BR103" s="13"/>
      <c r="BS103" s="78">
        <v>43252</v>
      </c>
      <c r="BT103" s="12">
        <v>1.7</v>
      </c>
    </row>
    <row r="104" spans="1:72">
      <c r="AP104">
        <v>2025</v>
      </c>
      <c r="AQ104" s="2"/>
      <c r="AR104" s="2"/>
      <c r="AS104" s="2"/>
      <c r="AT104" s="2"/>
      <c r="AU104" s="2"/>
      <c r="AV104" s="2"/>
      <c r="AW104" s="7">
        <f t="shared" si="60"/>
        <v>108.43585503662177</v>
      </c>
      <c r="AY104" s="154" t="s">
        <v>2204</v>
      </c>
      <c r="AZ104" s="13">
        <v>-1.1495761963248661</v>
      </c>
      <c r="BE104" s="13"/>
      <c r="BR104" s="13"/>
      <c r="BS104" s="78">
        <v>43282</v>
      </c>
      <c r="BT104" s="12">
        <v>1.73</v>
      </c>
    </row>
    <row r="105" spans="1:72">
      <c r="AP105">
        <v>2026</v>
      </c>
      <c r="AQ105" s="2"/>
      <c r="AR105" s="2"/>
      <c r="AS105" s="2"/>
      <c r="AT105" s="2"/>
      <c r="AU105" s="2"/>
      <c r="AV105" s="2"/>
      <c r="AW105" s="7">
        <f t="shared" si="60"/>
        <v>108.43585503662177</v>
      </c>
      <c r="AY105" s="153" t="s">
        <v>1990</v>
      </c>
      <c r="AZ105" s="13">
        <v>0.36529093130163665</v>
      </c>
      <c r="BR105" s="25"/>
      <c r="BS105" s="78">
        <v>43313</v>
      </c>
      <c r="BT105" s="12">
        <v>1.74</v>
      </c>
    </row>
    <row r="106" spans="1:72">
      <c r="AP106">
        <v>2027</v>
      </c>
      <c r="AQ106" s="2"/>
      <c r="AR106" s="2"/>
      <c r="AS106" s="2"/>
      <c r="AT106" s="2"/>
      <c r="AU106" s="2"/>
      <c r="AV106" s="2"/>
      <c r="AW106" s="7">
        <f t="shared" si="60"/>
        <v>108.43585503662177</v>
      </c>
      <c r="AY106" s="153" t="s">
        <v>2210</v>
      </c>
      <c r="AZ106" s="13">
        <v>-0.64013187027643093</v>
      </c>
      <c r="BR106" s="25"/>
      <c r="BS106" s="78">
        <v>43344</v>
      </c>
      <c r="BT106" s="12">
        <v>1.67</v>
      </c>
    </row>
    <row r="107" spans="1:72" ht="15.75" thickBot="1">
      <c r="P107" s="13" t="s">
        <v>88</v>
      </c>
      <c r="Q107" s="13">
        <v>0.65231112081423526</v>
      </c>
      <c r="AP107">
        <v>2028</v>
      </c>
      <c r="AQ107" s="2"/>
      <c r="AR107" s="2"/>
      <c r="AS107" s="2"/>
      <c r="AT107" s="2"/>
      <c r="AU107" s="2"/>
      <c r="AV107" s="2"/>
      <c r="AW107" s="7">
        <f t="shared" si="60"/>
        <v>108.43585503662177</v>
      </c>
      <c r="AY107" s="44" t="s">
        <v>2167</v>
      </c>
      <c r="AZ107" s="14">
        <v>-0.3101293104682542</v>
      </c>
      <c r="BS107" s="78">
        <v>43374</v>
      </c>
      <c r="BT107" s="12">
        <v>1.65</v>
      </c>
    </row>
    <row r="108" spans="1:72">
      <c r="P108" s="13" t="s">
        <v>99</v>
      </c>
      <c r="Q108" s="13">
        <v>7.7165722983875348E-3</v>
      </c>
      <c r="AP108">
        <v>2029</v>
      </c>
      <c r="AQ108" s="2"/>
      <c r="AR108" s="2"/>
      <c r="AS108" s="2"/>
      <c r="AT108" s="2"/>
      <c r="AU108" s="2"/>
      <c r="AV108" s="2"/>
      <c r="AW108" s="7">
        <f t="shared" si="60"/>
        <v>108.43585503662177</v>
      </c>
      <c r="BS108" s="78">
        <v>43405</v>
      </c>
      <c r="BT108" s="12">
        <v>1.52</v>
      </c>
    </row>
    <row r="109" spans="1:72">
      <c r="P109" s="13" t="s">
        <v>127</v>
      </c>
      <c r="Q109" s="13">
        <v>-0.3943972200270372</v>
      </c>
      <c r="AP109">
        <v>2030</v>
      </c>
      <c r="AQ109" s="2"/>
      <c r="AR109" s="2"/>
      <c r="AS109" s="2"/>
      <c r="AT109" s="2"/>
      <c r="AU109" s="2"/>
      <c r="AV109" s="2"/>
      <c r="AW109" s="7">
        <f t="shared" si="60"/>
        <v>108.43585503662177</v>
      </c>
      <c r="BS109" s="78">
        <v>43435</v>
      </c>
      <c r="BT109" s="12">
        <v>1.49</v>
      </c>
    </row>
    <row r="110" spans="1:72">
      <c r="K110" s="82" t="str">
        <f t="shared" ref="K110:K118" si="61">AY99</f>
        <v>Intercept</v>
      </c>
      <c r="L110" s="13">
        <f t="shared" ref="L110:L118" si="62">AZ99</f>
        <v>2.1984574290997543</v>
      </c>
      <c r="P110" s="13" t="s">
        <v>136</v>
      </c>
      <c r="Q110" s="13">
        <v>1.5572043187170346</v>
      </c>
      <c r="AQ110" s="2"/>
      <c r="AR110" s="2"/>
      <c r="AS110" s="2"/>
      <c r="AT110" s="2"/>
      <c r="AU110" s="2"/>
    </row>
    <row r="111" spans="1:72" ht="15.75" thickBot="1">
      <c r="K111" s="82" t="str">
        <f t="shared" si="61"/>
        <v>oil01on</v>
      </c>
      <c r="L111" s="13">
        <f t="shared" si="62"/>
        <v>5.4595996032206764E-3</v>
      </c>
      <c r="P111" s="14" t="s">
        <v>141</v>
      </c>
      <c r="Q111" s="14">
        <v>-0.94707248140768363</v>
      </c>
      <c r="AQ111" s="2"/>
      <c r="AR111" s="2"/>
      <c r="AS111" s="2"/>
      <c r="AT111" s="2"/>
      <c r="AU111" s="2"/>
      <c r="BS111">
        <v>2018</v>
      </c>
      <c r="BT111" s="3">
        <f>AVERAGE(BT98:BT109)</f>
        <v>1.6483333333333332</v>
      </c>
    </row>
    <row r="112" spans="1:72">
      <c r="K112" s="13" t="str">
        <f t="shared" si="61"/>
        <v>oil6500</v>
      </c>
      <c r="L112" s="13">
        <f t="shared" si="62"/>
        <v>7.6199654356896894E-3</v>
      </c>
      <c r="AQ112" s="2"/>
      <c r="AR112" s="2"/>
      <c r="AS112" s="2"/>
      <c r="AT112" s="2"/>
      <c r="AU112" s="2"/>
    </row>
    <row r="113" spans="1:66">
      <c r="K113" s="13" t="str">
        <f t="shared" si="61"/>
        <v>dum91</v>
      </c>
      <c r="L113" s="13">
        <f t="shared" si="62"/>
        <v>1.9059780656151184</v>
      </c>
      <c r="AQ113" s="2"/>
      <c r="AR113" s="2"/>
      <c r="AS113" s="2"/>
      <c r="AT113" s="2"/>
      <c r="AU113" s="2"/>
    </row>
    <row r="114" spans="1:66">
      <c r="K114" s="82" t="str">
        <f t="shared" si="61"/>
        <v>dum0111</v>
      </c>
      <c r="L114" s="13">
        <f t="shared" si="62"/>
        <v>-0.41144565697846808</v>
      </c>
      <c r="AQ114" s="2"/>
      <c r="AR114" s="2"/>
      <c r="AS114" s="2"/>
      <c r="AT114" s="2"/>
      <c r="AU114" s="2"/>
    </row>
    <row r="115" spans="1:66">
      <c r="K115" s="13" t="str">
        <f t="shared" si="61"/>
        <v>dum6500</v>
      </c>
      <c r="L115" s="13">
        <f t="shared" si="62"/>
        <v>-1.1495761963248661</v>
      </c>
      <c r="AQ115" s="2"/>
      <c r="AR115" s="2"/>
      <c r="AS115" s="2"/>
      <c r="AT115" s="2"/>
      <c r="AU115" s="2"/>
    </row>
    <row r="116" spans="1:66">
      <c r="K116" s="13" t="str">
        <f t="shared" si="61"/>
        <v>dum8689</v>
      </c>
      <c r="L116" s="13">
        <f t="shared" si="62"/>
        <v>0.36529093130163665</v>
      </c>
      <c r="R116" s="13"/>
      <c r="S116" s="13"/>
      <c r="AN116"/>
      <c r="AQ116" s="2"/>
      <c r="AR116" s="2"/>
      <c r="AS116" s="2"/>
      <c r="AT116" s="2"/>
      <c r="AU116" s="2"/>
      <c r="AV116" s="2"/>
      <c r="AY116" s="7"/>
      <c r="BA116" s="12"/>
      <c r="BB116" s="9"/>
      <c r="BL116"/>
      <c r="BM116" s="12"/>
    </row>
    <row r="117" spans="1:66">
      <c r="K117" s="13" t="str">
        <f t="shared" si="61"/>
        <v>dum9699</v>
      </c>
      <c r="L117" s="13">
        <f t="shared" si="62"/>
        <v>-0.64013187027643093</v>
      </c>
      <c r="R117" s="13"/>
      <c r="S117" s="13"/>
      <c r="AI117" s="2"/>
      <c r="AJ117" s="2"/>
      <c r="AK117" s="2"/>
      <c r="AL117" s="2"/>
      <c r="AM117" s="2"/>
      <c r="AN117"/>
      <c r="AO117"/>
      <c r="AP117"/>
      <c r="AQ117"/>
      <c r="AR117"/>
      <c r="AS117"/>
      <c r="AU117" s="2"/>
      <c r="AV117" s="2"/>
      <c r="AW117" s="32"/>
      <c r="AX117" s="12"/>
      <c r="BA117" s="7"/>
      <c r="BB117" s="3"/>
      <c r="BC117" s="3"/>
      <c r="BG117" s="9"/>
      <c r="BL117"/>
      <c r="BM117" s="12"/>
    </row>
    <row r="118" spans="1:66">
      <c r="K118" s="82" t="str">
        <f t="shared" si="61"/>
        <v>dumGFC</v>
      </c>
      <c r="L118" s="13">
        <f t="shared" si="62"/>
        <v>-0.3101293104682542</v>
      </c>
      <c r="O118" s="32"/>
      <c r="P118" s="37"/>
      <c r="R118" s="32"/>
      <c r="S118" s="13"/>
      <c r="T118" s="13"/>
      <c r="W118" s="2"/>
      <c r="X118" s="37"/>
      <c r="AI118" s="2"/>
      <c r="AJ118" s="2"/>
      <c r="AK118" s="2"/>
      <c r="AL118" s="2"/>
      <c r="AM118" s="2"/>
      <c r="AO118"/>
      <c r="AP118"/>
      <c r="AQ118"/>
      <c r="AR118"/>
      <c r="AS118"/>
      <c r="AU118"/>
      <c r="AV118" s="2"/>
      <c r="AW118" s="2"/>
      <c r="AX118" s="32"/>
      <c r="BA118" s="12"/>
      <c r="BB118" s="7"/>
      <c r="BC118" s="3"/>
      <c r="BD118" s="3"/>
      <c r="BH118" s="9"/>
      <c r="BL118"/>
      <c r="BN118" s="12"/>
    </row>
    <row r="119" spans="1:66">
      <c r="B119" s="2"/>
      <c r="C119" s="2"/>
      <c r="G119" s="32"/>
      <c r="J119" s="2"/>
      <c r="L119" s="37"/>
      <c r="M119" s="32"/>
      <c r="N119" s="32"/>
      <c r="O119" s="32"/>
      <c r="P119" s="37"/>
      <c r="Q119" s="2"/>
      <c r="R119" s="2"/>
      <c r="U119" s="37"/>
      <c r="W119" s="2"/>
      <c r="AI119" s="2"/>
      <c r="AJ119" s="2"/>
      <c r="AK119" t="s">
        <v>1960</v>
      </c>
      <c r="AL119" t="s">
        <v>1960</v>
      </c>
      <c r="AM119" t="s">
        <v>1960</v>
      </c>
      <c r="AQ119" s="2"/>
      <c r="AR119" s="2"/>
      <c r="AS119"/>
      <c r="AU119"/>
      <c r="AV119"/>
      <c r="AW119" s="2"/>
      <c r="AX119" s="32"/>
      <c r="AY119" s="32"/>
      <c r="BA119" s="12"/>
      <c r="BB119" s="12"/>
      <c r="BC119" s="3"/>
      <c r="BD119" s="3"/>
      <c r="BE119" s="3"/>
      <c r="BI119" s="9"/>
      <c r="BJ119" s="9"/>
      <c r="BL119"/>
      <c r="BN119" s="12"/>
    </row>
    <row r="120" spans="1:66">
      <c r="B120" s="76" t="s">
        <v>2551</v>
      </c>
      <c r="C120" s="76"/>
      <c r="D120" s="76"/>
      <c r="E120" s="76"/>
      <c r="F120" s="26" t="s">
        <v>269</v>
      </c>
      <c r="G120" s="76" t="s">
        <v>2586</v>
      </c>
      <c r="H120" s="76"/>
      <c r="I120" s="76"/>
      <c r="J120" s="76"/>
      <c r="K120" s="26" t="s">
        <v>2615</v>
      </c>
      <c r="L120" s="26"/>
      <c r="M120" s="26"/>
      <c r="N120" s="26"/>
      <c r="O120" s="12"/>
      <c r="P120" s="77" t="s">
        <v>111</v>
      </c>
      <c r="Q120" s="26" t="s">
        <v>2616</v>
      </c>
      <c r="R120" s="26"/>
      <c r="S120" s="26"/>
      <c r="T120" s="79">
        <v>0.25</v>
      </c>
      <c r="U120" s="76" t="s">
        <v>2617</v>
      </c>
      <c r="V120" s="76"/>
      <c r="W120" s="76"/>
      <c r="X120" s="76"/>
      <c r="Y120" s="26" t="s">
        <v>2618</v>
      </c>
      <c r="Z120" s="26"/>
      <c r="AA120" s="26"/>
      <c r="AB120" s="79"/>
      <c r="AC120" s="26" t="s">
        <v>2081</v>
      </c>
      <c r="AD120" s="26"/>
      <c r="AE120" s="26"/>
      <c r="AF120" s="79"/>
      <c r="AI120" s="2"/>
      <c r="AJ120" s="2"/>
      <c r="AK120" s="3" t="s">
        <v>1957</v>
      </c>
      <c r="AL120" s="3" t="s">
        <v>1957</v>
      </c>
      <c r="AM120" s="3" t="s">
        <v>1957</v>
      </c>
      <c r="AQ120" s="2"/>
      <c r="AR120" s="2"/>
      <c r="AS120"/>
      <c r="AU120"/>
      <c r="AV120"/>
      <c r="AW120" s="2"/>
      <c r="AX120" s="32"/>
      <c r="AY120" s="32"/>
      <c r="BA120" s="12"/>
      <c r="BB120" s="12"/>
      <c r="BC120" s="3"/>
      <c r="BD120" s="3"/>
      <c r="BE120" s="3"/>
      <c r="BI120" s="9"/>
      <c r="BJ120" s="9"/>
      <c r="BL120"/>
      <c r="BN120" s="12"/>
    </row>
    <row r="121" spans="1:66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83"/>
      <c r="P121" s="77" t="s">
        <v>2568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I121" s="2"/>
      <c r="AJ121" s="2"/>
      <c r="AK121" s="3" t="s">
        <v>268</v>
      </c>
      <c r="AL121" s="3" t="s">
        <v>267</v>
      </c>
      <c r="AM121" s="3" t="s">
        <v>266</v>
      </c>
      <c r="AQ121" s="2"/>
      <c r="AR121" s="2"/>
      <c r="AS121"/>
      <c r="AU121"/>
      <c r="AV121"/>
      <c r="AW121" s="2"/>
      <c r="AX121" s="32"/>
      <c r="AY121" s="32"/>
      <c r="BA121" s="12"/>
      <c r="BB121" s="12"/>
      <c r="BC121" s="3"/>
      <c r="BD121" s="3"/>
      <c r="BE121" s="3"/>
      <c r="BI121" s="9"/>
      <c r="BJ121" s="9"/>
      <c r="BL121"/>
      <c r="BN121" s="12"/>
    </row>
    <row r="122" spans="1:66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63">AL122</f>
        <v>77.45</v>
      </c>
      <c r="E122" s="3">
        <f t="shared" si="63"/>
        <v>77.45</v>
      </c>
      <c r="F122" s="6">
        <f>'Exchange Rates'!Y49</f>
        <v>7.1962893061642301</v>
      </c>
      <c r="G122" s="3">
        <f>(B122*USA!$AU97/100)/$AW89*100*$F122</f>
        <v>557.35260676241967</v>
      </c>
      <c r="H122" s="3">
        <f>(C122*USA!$AU97/100)/$AW89*100*$F122</f>
        <v>557.35260676241967</v>
      </c>
      <c r="I122" s="3">
        <f>(D122*USA!$AU97/100)/$AW89*100*$F122</f>
        <v>557.35260676241967</v>
      </c>
      <c r="J122" s="3">
        <f>(E122*USA!$AU97/100)/$AW89*100*$F122</f>
        <v>557.35260676241967</v>
      </c>
      <c r="K122" s="6">
        <f>$L$110+$L$111*G122+$L$114+$L$118*0.5</f>
        <v>4.674869187621276</v>
      </c>
      <c r="L122" s="6">
        <f t="shared" ref="L122:N122" si="64">$L$110+$L$111*H122+$L$114+$L$118*0.5</f>
        <v>4.674869187621276</v>
      </c>
      <c r="M122" s="6">
        <f t="shared" si="64"/>
        <v>4.674869187621276</v>
      </c>
      <c r="N122" s="6">
        <f t="shared" si="64"/>
        <v>4.674869187621276</v>
      </c>
      <c r="O122">
        <v>2010</v>
      </c>
      <c r="P122" s="24">
        <f t="shared" ref="P122:P130" si="65">Y89/AW89*100</f>
        <v>5.5</v>
      </c>
      <c r="Q122" s="3">
        <f t="shared" ref="Q122:Q130" si="66">(K122+P122)*$T$120</f>
        <v>2.543717296905319</v>
      </c>
      <c r="R122" s="3">
        <f t="shared" ref="R122:R142" si="67">(L122+P122)*$T$120</f>
        <v>2.543717296905319</v>
      </c>
      <c r="S122" s="3">
        <f t="shared" ref="S122:S142" si="68">(M122+P122)*$T$120</f>
        <v>2.543717296905319</v>
      </c>
      <c r="T122" s="3">
        <f t="shared" ref="T122:T142" si="69">(N122+P122)*$T$120</f>
        <v>2.543717296905319</v>
      </c>
      <c r="U122" s="3">
        <f t="shared" ref="U122:U130" si="70">AY89</f>
        <v>12.714361059532978</v>
      </c>
      <c r="V122" s="3">
        <f>L122+$P122+R122</f>
        <v>12.718586484526595</v>
      </c>
      <c r="W122" s="3">
        <f>M122+$P122+S122</f>
        <v>12.718586484526595</v>
      </c>
      <c r="X122" s="3">
        <f t="shared" ref="X122:X142" si="71">N122+$P122+T122</f>
        <v>12.718586484526595</v>
      </c>
      <c r="Y122" s="3">
        <f t="shared" ref="Y122:Y130" si="72">AY89*$AW$97/100</f>
        <v>13.786926127347867</v>
      </c>
      <c r="Z122" s="3">
        <f>V122*$AW$97/100</f>
        <v>13.791508003068627</v>
      </c>
      <c r="AA122" s="3">
        <f>W122*$AW$97/100</f>
        <v>13.791508003068627</v>
      </c>
      <c r="AB122" s="3">
        <f>X122*$AW$97/100</f>
        <v>13.791508003068627</v>
      </c>
      <c r="AC122" s="3">
        <f>U122*$AW$96/100</f>
        <v>13.539159508345154</v>
      </c>
      <c r="AD122" s="3">
        <f>AC122</f>
        <v>13.539159508345154</v>
      </c>
      <c r="AE122" s="3">
        <f t="shared" ref="AE122:AF122" si="73">AD122</f>
        <v>13.539159508345154</v>
      </c>
      <c r="AF122" s="3">
        <f t="shared" si="73"/>
        <v>13.539159508345154</v>
      </c>
      <c r="AI122" s="2"/>
      <c r="AJ122" s="3"/>
      <c r="AK122" s="3">
        <f>USA!AJ135</f>
        <v>77.45</v>
      </c>
      <c r="AL122" s="3">
        <f>USA!AK135</f>
        <v>77.45</v>
      </c>
      <c r="AM122" s="3">
        <f>USA!AL135</f>
        <v>77.45</v>
      </c>
      <c r="AQ122" s="2"/>
      <c r="AR122" s="2"/>
      <c r="AS122"/>
      <c r="AU122"/>
      <c r="AV122"/>
      <c r="AW122" s="2"/>
      <c r="AX122" s="32"/>
      <c r="AY122" s="32"/>
      <c r="BA122" s="12"/>
      <c r="BB122" s="12"/>
      <c r="BC122" s="3"/>
      <c r="BD122" s="3"/>
      <c r="BE122" s="3"/>
      <c r="BI122" s="9"/>
      <c r="BJ122" s="9"/>
      <c r="BL122"/>
      <c r="BN122" s="12"/>
    </row>
    <row r="123" spans="1:66">
      <c r="A123">
        <v>2011</v>
      </c>
      <c r="B123" s="3">
        <f>USA!Z98/USA!AU98*100</f>
        <v>104.18614906980585</v>
      </c>
      <c r="C123" s="3">
        <f t="shared" ref="C123:C132" si="74">AK123</f>
        <v>104.18614906980586</v>
      </c>
      <c r="D123" s="3">
        <f t="shared" ref="D123:D132" si="75">AL123</f>
        <v>104.18614906980586</v>
      </c>
      <c r="E123" s="3">
        <f t="shared" ref="E123:E132" si="76">AM123</f>
        <v>104.18614906980586</v>
      </c>
      <c r="F123" s="6">
        <f>'Exchange Rates'!Y50</f>
        <v>6.4979938318357267</v>
      </c>
      <c r="G123" s="3">
        <f>(B123*USA!$AU98/100)/$AW90*100*$F123</f>
        <v>678.12921336217823</v>
      </c>
      <c r="H123" s="3">
        <f>(C123*USA!$AU98/100)/$AW90*100*$F123</f>
        <v>678.12921336217823</v>
      </c>
      <c r="I123" s="3">
        <f>(D123*USA!$AU98/100)/$AW90*100*$F123</f>
        <v>678.12921336217823</v>
      </c>
      <c r="J123" s="3">
        <f>(E123*USA!$AU98/100)/$AW90*100*$F123</f>
        <v>678.12921336217823</v>
      </c>
      <c r="K123" s="6">
        <f>$L$110+$L$111*G123+$L$114</f>
        <v>5.4893257563257842</v>
      </c>
      <c r="L123" s="6">
        <f>$L$110+$L$111*H123+$L$114</f>
        <v>5.4893257563257842</v>
      </c>
      <c r="M123" s="6">
        <f t="shared" ref="M123:N123" si="77">$L$110+$L$111*I123+$L$114</f>
        <v>5.4893257563257842</v>
      </c>
      <c r="N123" s="6">
        <f t="shared" si="77"/>
        <v>5.4893257563257842</v>
      </c>
      <c r="O123">
        <v>2011</v>
      </c>
      <c r="P123" s="24">
        <f t="shared" si="65"/>
        <v>5.3418222020670871</v>
      </c>
      <c r="Q123" s="3">
        <f t="shared" si="66"/>
        <v>2.7077869895982181</v>
      </c>
      <c r="R123" s="3">
        <f t="shared" si="67"/>
        <v>2.7077869895982181</v>
      </c>
      <c r="S123" s="3">
        <f t="shared" si="68"/>
        <v>2.7077869895982181</v>
      </c>
      <c r="T123" s="3">
        <f t="shared" si="69"/>
        <v>2.7077869895982181</v>
      </c>
      <c r="U123" s="3">
        <f t="shared" si="70"/>
        <v>13.61223314592411</v>
      </c>
      <c r="V123" s="3">
        <f t="shared" ref="V123:V142" si="78">L123+$P123+R123</f>
        <v>13.538934947991091</v>
      </c>
      <c r="W123" s="3">
        <f t="shared" ref="W123:W142" si="79">M123+$P123+S123</f>
        <v>13.538934947991091</v>
      </c>
      <c r="X123" s="3">
        <f t="shared" si="71"/>
        <v>13.538934947991091</v>
      </c>
      <c r="Y123" s="3">
        <f t="shared" si="72"/>
        <v>14.760541401361246</v>
      </c>
      <c r="Z123" s="3">
        <f t="shared" ref="Z123:Z142" si="80">V123*$AW$97/100</f>
        <v>14.681059873706142</v>
      </c>
      <c r="AA123" s="3">
        <f t="shared" ref="AA123:AA142" si="81">W123*$AW$97/100</f>
        <v>14.681059873706142</v>
      </c>
      <c r="AB123" s="3">
        <f t="shared" ref="AB123:AB142" si="82">X123*$AW$97/100</f>
        <v>14.681059873706142</v>
      </c>
      <c r="AC123" s="3">
        <f t="shared" ref="AC123:AC130" si="83">U123*$AW$96/100</f>
        <v>14.495277817304576</v>
      </c>
      <c r="AD123" s="3">
        <f t="shared" ref="AD123:AF123" si="84">AC123</f>
        <v>14.495277817304576</v>
      </c>
      <c r="AE123" s="3">
        <f t="shared" si="84"/>
        <v>14.495277817304576</v>
      </c>
      <c r="AF123" s="3">
        <f t="shared" si="84"/>
        <v>14.495277817304576</v>
      </c>
      <c r="AI123" s="2"/>
      <c r="AJ123" s="3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AQ123" s="2"/>
      <c r="AR123" s="2"/>
      <c r="AS123"/>
      <c r="AU123"/>
      <c r="AV123"/>
      <c r="AW123" s="2"/>
      <c r="AX123" s="32"/>
      <c r="AY123" s="32"/>
      <c r="BA123" s="12"/>
      <c r="BB123" s="12"/>
      <c r="BC123" s="3"/>
      <c r="BD123" s="3"/>
      <c r="BE123" s="3"/>
      <c r="BI123" s="9"/>
      <c r="BJ123" s="9"/>
      <c r="BL123"/>
      <c r="BN123" s="12"/>
    </row>
    <row r="124" spans="1:66">
      <c r="A124">
        <v>2012</v>
      </c>
      <c r="B124" s="3">
        <f>USA!Z99/USA!AU99*100</f>
        <v>104.07290773565181</v>
      </c>
      <c r="C124" s="3">
        <f t="shared" si="74"/>
        <v>104.07290773565181</v>
      </c>
      <c r="D124" s="3">
        <f t="shared" si="75"/>
        <v>104.07290773565181</v>
      </c>
      <c r="E124" s="3">
        <f t="shared" si="76"/>
        <v>104.07290773565181</v>
      </c>
      <c r="F124" s="6">
        <f>'Exchange Rates'!Y51</f>
        <v>6.7706372944621123</v>
      </c>
      <c r="G124" s="3">
        <f>(B124*USA!$AU99/100)/$AW91*100*$F124</f>
        <v>713.6948588715303</v>
      </c>
      <c r="H124" s="3">
        <f>(C124*USA!$AU99/100)/$AW91*100*$F124</f>
        <v>713.6948588715303</v>
      </c>
      <c r="I124" s="3">
        <f>(D124*USA!$AU99/100)/$AW91*100*$F124</f>
        <v>713.6948588715303</v>
      </c>
      <c r="J124" s="3">
        <f>(E124*USA!$AU99/100)/$AW91*100*$F124</f>
        <v>713.6948588715303</v>
      </c>
      <c r="K124" s="6">
        <f t="shared" ref="K124:K130" si="85">$L$110+$L$111*G124</f>
        <v>6.0949455974153981</v>
      </c>
      <c r="L124" s="6">
        <f t="shared" ref="L124:L129" si="86">$L$110+$L$111*H124</f>
        <v>6.0949455974153981</v>
      </c>
      <c r="M124" s="6">
        <f t="shared" ref="M124:M129" si="87">$L$110+$L$111*I124</f>
        <v>6.0949455974153981</v>
      </c>
      <c r="N124" s="6">
        <f t="shared" ref="N124:N129" si="88">$L$110+$L$111*J124</f>
        <v>6.0949455974153981</v>
      </c>
      <c r="O124">
        <v>2012</v>
      </c>
      <c r="P124" s="24">
        <f t="shared" si="65"/>
        <v>5.4391843009785088</v>
      </c>
      <c r="Q124" s="3">
        <f t="shared" si="66"/>
        <v>2.8835324745984767</v>
      </c>
      <c r="R124" s="3">
        <f t="shared" si="67"/>
        <v>2.8835324745984767</v>
      </c>
      <c r="S124" s="3">
        <f t="shared" si="68"/>
        <v>2.8835324745984767</v>
      </c>
      <c r="T124" s="3">
        <f t="shared" si="69"/>
        <v>2.8835324745984767</v>
      </c>
      <c r="U124" s="3">
        <f t="shared" si="70"/>
        <v>14.405494902422872</v>
      </c>
      <c r="V124" s="3">
        <f t="shared" si="78"/>
        <v>14.417662372992384</v>
      </c>
      <c r="W124" s="3">
        <f t="shared" si="79"/>
        <v>14.417662372992384</v>
      </c>
      <c r="X124" s="3">
        <f t="shared" si="71"/>
        <v>14.417662372992384</v>
      </c>
      <c r="Y124" s="3">
        <f t="shared" si="72"/>
        <v>15.620721569699203</v>
      </c>
      <c r="Z124" s="3">
        <f t="shared" si="80"/>
        <v>15.633915470447585</v>
      </c>
      <c r="AA124" s="3">
        <f t="shared" si="81"/>
        <v>15.633915470447585</v>
      </c>
      <c r="AB124" s="3">
        <f t="shared" si="82"/>
        <v>15.633915470447585</v>
      </c>
      <c r="AC124" s="3">
        <f t="shared" si="83"/>
        <v>15.339999577432197</v>
      </c>
      <c r="AD124" s="3">
        <f t="shared" ref="AD124:AF124" si="89">AC124</f>
        <v>15.339999577432197</v>
      </c>
      <c r="AE124" s="3">
        <f t="shared" si="89"/>
        <v>15.339999577432197</v>
      </c>
      <c r="AF124" s="3">
        <f t="shared" si="89"/>
        <v>15.339999577432197</v>
      </c>
      <c r="AI124" s="2"/>
      <c r="AJ124" s="3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AQ124" s="2"/>
      <c r="AR124" s="2"/>
      <c r="AS124"/>
      <c r="AU124"/>
      <c r="AV124"/>
      <c r="AW124" s="2"/>
      <c r="AX124" s="32"/>
      <c r="AY124" s="32"/>
      <c r="BA124" s="12"/>
      <c r="BB124" s="12"/>
      <c r="BC124" s="3"/>
      <c r="BD124" s="3"/>
      <c r="BE124" s="3"/>
      <c r="BI124" s="9"/>
      <c r="BJ124" s="9"/>
      <c r="BL124"/>
      <c r="BN124" s="12"/>
    </row>
    <row r="125" spans="1:66">
      <c r="A125">
        <v>2013</v>
      </c>
      <c r="B125" s="3">
        <f>USA!Z100/USA!AU100*100</f>
        <v>99.286371359470479</v>
      </c>
      <c r="C125" s="3">
        <f t="shared" si="74"/>
        <v>99.286371359470493</v>
      </c>
      <c r="D125" s="3">
        <f t="shared" si="75"/>
        <v>99.286371359470493</v>
      </c>
      <c r="E125" s="3">
        <f t="shared" si="76"/>
        <v>99.286371359470493</v>
      </c>
      <c r="F125" s="6">
        <f>'Exchange Rates'!Y52</f>
        <v>6.5136657645058875</v>
      </c>
      <c r="G125" s="3">
        <f>(B125*USA!$AU100/100)/$AW92*100*$F125</f>
        <v>664.58131857717603</v>
      </c>
      <c r="H125" s="3">
        <f>(C125*USA!$AU100/100)/$AW92*100*$F125</f>
        <v>664.58131857717615</v>
      </c>
      <c r="I125" s="3">
        <f>(D125*USA!$AU100/100)/$AW92*100*$F125</f>
        <v>664.58131857717615</v>
      </c>
      <c r="J125" s="3">
        <f>(E125*USA!$AU100/100)/$AW92*100*$F125</f>
        <v>664.58131857717615</v>
      </c>
      <c r="K125" s="6">
        <f t="shared" si="85"/>
        <v>5.8268053323115785</v>
      </c>
      <c r="L125" s="6">
        <f t="shared" si="86"/>
        <v>5.8268053323115794</v>
      </c>
      <c r="M125" s="6">
        <f t="shared" si="87"/>
        <v>5.8268053323115794</v>
      </c>
      <c r="N125" s="6">
        <f t="shared" si="88"/>
        <v>5.8268053323115794</v>
      </c>
      <c r="O125">
        <v>2013</v>
      </c>
      <c r="P125" s="24">
        <f t="shared" si="65"/>
        <v>5.4223364131423963</v>
      </c>
      <c r="Q125" s="3">
        <f t="shared" si="66"/>
        <v>2.8122854363634939</v>
      </c>
      <c r="R125" s="3">
        <f t="shared" si="67"/>
        <v>2.8122854363634939</v>
      </c>
      <c r="S125" s="3">
        <f t="shared" si="68"/>
        <v>2.8122854363634939</v>
      </c>
      <c r="T125" s="3">
        <f t="shared" si="69"/>
        <v>2.8122854363634939</v>
      </c>
      <c r="U125" s="3">
        <f t="shared" si="70"/>
        <v>13.934613712994221</v>
      </c>
      <c r="V125" s="3">
        <f t="shared" si="78"/>
        <v>14.06142718181747</v>
      </c>
      <c r="W125" s="3">
        <f t="shared" si="79"/>
        <v>14.06142718181747</v>
      </c>
      <c r="X125" s="3">
        <f t="shared" si="71"/>
        <v>14.06142718181747</v>
      </c>
      <c r="Y125" s="3">
        <f t="shared" si="72"/>
        <v>15.110117525735632</v>
      </c>
      <c r="Z125" s="3">
        <f t="shared" si="80"/>
        <v>15.247628794955721</v>
      </c>
      <c r="AA125" s="3">
        <f t="shared" si="81"/>
        <v>15.247628794955721</v>
      </c>
      <c r="AB125" s="3">
        <f t="shared" si="82"/>
        <v>15.247628794955721</v>
      </c>
      <c r="AC125" s="3">
        <f t="shared" si="83"/>
        <v>14.838571664279323</v>
      </c>
      <c r="AD125" s="3">
        <f t="shared" ref="AD125:AF125" si="90">AC125</f>
        <v>14.838571664279323</v>
      </c>
      <c r="AE125" s="3">
        <f t="shared" si="90"/>
        <v>14.838571664279323</v>
      </c>
      <c r="AF125" s="3">
        <f t="shared" si="90"/>
        <v>14.838571664279323</v>
      </c>
      <c r="AI125" s="2"/>
      <c r="AJ125" s="3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AQ125" s="2"/>
      <c r="AR125" s="2"/>
      <c r="AS125"/>
      <c r="AU125"/>
      <c r="AV125"/>
      <c r="AW125" s="2"/>
      <c r="AX125" s="32"/>
      <c r="AY125" s="32"/>
      <c r="BA125" s="12"/>
      <c r="BB125" s="12"/>
      <c r="BC125" s="3"/>
      <c r="BD125" s="3"/>
      <c r="BE125" s="3"/>
      <c r="BI125" s="9"/>
      <c r="BJ125" s="9"/>
      <c r="BL125"/>
      <c r="BN125" s="12"/>
    </row>
    <row r="126" spans="1:66">
      <c r="A126">
        <v>2014</v>
      </c>
      <c r="B126" s="3">
        <f>USA!Z101/USA!AU101*100</f>
        <v>88.687750298592292</v>
      </c>
      <c r="C126" s="3">
        <f t="shared" si="74"/>
        <v>88.687750298592292</v>
      </c>
      <c r="D126" s="3">
        <f t="shared" si="75"/>
        <v>88.687750298592292</v>
      </c>
      <c r="E126" s="3">
        <f t="shared" si="76"/>
        <v>88.687750298592292</v>
      </c>
      <c r="F126" s="6">
        <f>'Exchange Rates'!Y53</f>
        <v>6.8536067435327919</v>
      </c>
      <c r="G126" s="3">
        <f>(B126*USA!$AU101/100)/$AW93*100*$F126</f>
        <v>636.06757646765516</v>
      </c>
      <c r="H126" s="3">
        <f>(C126*USA!$AU101/100)/$AW93*100*$F126</f>
        <v>636.06757646765516</v>
      </c>
      <c r="I126" s="3">
        <f>(D126*USA!$AU101/100)/$AW93*100*$F126</f>
        <v>636.06757646765516</v>
      </c>
      <c r="J126" s="3">
        <f>(E126*USA!$AU101/100)/$AW93*100*$F126</f>
        <v>636.06757646765516</v>
      </c>
      <c r="K126" s="6">
        <f t="shared" si="85"/>
        <v>5.6711317172041014</v>
      </c>
      <c r="L126" s="6">
        <f t="shared" si="86"/>
        <v>5.6711317172041014</v>
      </c>
      <c r="M126" s="6">
        <f t="shared" si="87"/>
        <v>5.6711317172041014</v>
      </c>
      <c r="N126" s="6">
        <f t="shared" si="88"/>
        <v>5.6711317172041014</v>
      </c>
      <c r="O126">
        <v>2014</v>
      </c>
      <c r="P126" s="24">
        <f t="shared" si="65"/>
        <v>5.432088019901145</v>
      </c>
      <c r="Q126" s="3">
        <f t="shared" si="66"/>
        <v>2.7758049342763114</v>
      </c>
      <c r="R126" s="3">
        <f t="shared" si="67"/>
        <v>2.7758049342763114</v>
      </c>
      <c r="S126" s="3">
        <f t="shared" si="68"/>
        <v>2.7758049342763114</v>
      </c>
      <c r="T126" s="3">
        <f t="shared" si="69"/>
        <v>2.7758049342763114</v>
      </c>
      <c r="U126" s="3">
        <f t="shared" si="70"/>
        <v>13.730769842101973</v>
      </c>
      <c r="V126" s="3">
        <f t="shared" si="78"/>
        <v>13.879024671381558</v>
      </c>
      <c r="W126" s="3">
        <f t="shared" si="79"/>
        <v>13.879024671381558</v>
      </c>
      <c r="X126" s="3">
        <f t="shared" si="71"/>
        <v>13.879024671381558</v>
      </c>
      <c r="Y126" s="3">
        <f t="shared" si="72"/>
        <v>14.889077681393877</v>
      </c>
      <c r="Z126" s="3">
        <f t="shared" si="80"/>
        <v>15.049839073156276</v>
      </c>
      <c r="AA126" s="3">
        <f t="shared" si="81"/>
        <v>15.049839073156276</v>
      </c>
      <c r="AB126" s="3">
        <f t="shared" si="82"/>
        <v>15.049839073156276</v>
      </c>
      <c r="AC126" s="3">
        <f t="shared" si="83"/>
        <v>14.621504155350953</v>
      </c>
      <c r="AD126" s="3">
        <f t="shared" ref="AD126:AF126" si="91">AC126</f>
        <v>14.621504155350953</v>
      </c>
      <c r="AE126" s="3">
        <f t="shared" si="91"/>
        <v>14.621504155350953</v>
      </c>
      <c r="AF126" s="3">
        <f t="shared" si="91"/>
        <v>14.621504155350953</v>
      </c>
      <c r="AI126" s="2"/>
      <c r="AJ126" s="3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AQ126" s="2"/>
      <c r="AR126" s="2"/>
      <c r="AS126"/>
      <c r="AU126"/>
      <c r="AV126"/>
      <c r="AW126" s="2"/>
      <c r="AX126" s="32"/>
      <c r="AY126" s="32"/>
      <c r="BA126" s="12"/>
      <c r="BB126" s="12"/>
      <c r="BC126" s="3"/>
      <c r="BD126" s="3"/>
      <c r="BE126" s="3"/>
      <c r="BI126" s="9"/>
      <c r="BJ126" s="9"/>
      <c r="BL126"/>
      <c r="BN126" s="12"/>
    </row>
    <row r="127" spans="1:66">
      <c r="A127">
        <v>2015</v>
      </c>
      <c r="B127" s="3">
        <f>USA!Z102/USA!AU102*100</f>
        <v>45.556296925601828</v>
      </c>
      <c r="C127" s="3">
        <f t="shared" si="74"/>
        <v>45.556296925601814</v>
      </c>
      <c r="D127" s="3">
        <f t="shared" si="75"/>
        <v>45.556296925601814</v>
      </c>
      <c r="E127" s="3">
        <f t="shared" si="76"/>
        <v>45.556296925601814</v>
      </c>
      <c r="F127" s="6">
        <f>'Exchange Rates'!Y54</f>
        <v>8.4360853883660756</v>
      </c>
      <c r="G127" s="3">
        <f>(B127*USA!$AU102/100)/$AW94*100*$F127</f>
        <v>403.2314608471155</v>
      </c>
      <c r="H127" s="3">
        <f>(C127*USA!$AU102/100)/$AW94*100*$F127</f>
        <v>403.23146084711527</v>
      </c>
      <c r="I127" s="3">
        <f>(D127*USA!$AU102/100)/$AW94*100*$F127</f>
        <v>403.23146084711527</v>
      </c>
      <c r="J127" s="3">
        <f>(E127*USA!$AU102/100)/$AW94*100*$F127</f>
        <v>403.23146084711527</v>
      </c>
      <c r="K127" s="6">
        <f t="shared" si="85"/>
        <v>4.3999397527467599</v>
      </c>
      <c r="L127" s="6">
        <f t="shared" si="86"/>
        <v>4.399939752746759</v>
      </c>
      <c r="M127" s="6">
        <f t="shared" si="87"/>
        <v>4.399939752746759</v>
      </c>
      <c r="N127" s="6">
        <f t="shared" si="88"/>
        <v>4.399939752746759</v>
      </c>
      <c r="O127">
        <v>2015</v>
      </c>
      <c r="P127" s="24">
        <f t="shared" si="65"/>
        <v>5.6470005994824124</v>
      </c>
      <c r="Q127" s="3">
        <f t="shared" si="66"/>
        <v>2.5117350880572928</v>
      </c>
      <c r="R127" s="3">
        <f t="shared" si="67"/>
        <v>2.5117350880572928</v>
      </c>
      <c r="S127" s="3">
        <f t="shared" si="68"/>
        <v>2.5117350880572928</v>
      </c>
      <c r="T127" s="3">
        <f t="shared" si="69"/>
        <v>2.5117350880572928</v>
      </c>
      <c r="U127" s="3">
        <f t="shared" si="70"/>
        <v>12.669679483263954</v>
      </c>
      <c r="V127" s="3">
        <f t="shared" si="78"/>
        <v>12.558675440286464</v>
      </c>
      <c r="W127" s="3">
        <f t="shared" si="79"/>
        <v>12.558675440286464</v>
      </c>
      <c r="X127" s="3">
        <f t="shared" si="71"/>
        <v>12.558675440286464</v>
      </c>
      <c r="Y127" s="3">
        <f t="shared" si="72"/>
        <v>13.738475278076713</v>
      </c>
      <c r="Z127" s="3">
        <f t="shared" si="80"/>
        <v>13.618107094948853</v>
      </c>
      <c r="AA127" s="3">
        <f t="shared" si="81"/>
        <v>13.618107094948853</v>
      </c>
      <c r="AB127" s="3">
        <f t="shared" si="82"/>
        <v>13.618107094948853</v>
      </c>
      <c r="AC127" s="3">
        <f t="shared" si="83"/>
        <v>13.491579375504973</v>
      </c>
      <c r="AD127" s="3">
        <f t="shared" ref="AD127:AF127" si="92">AC127</f>
        <v>13.491579375504973</v>
      </c>
      <c r="AE127" s="3">
        <f t="shared" si="92"/>
        <v>13.491579375504973</v>
      </c>
      <c r="AF127" s="3">
        <f t="shared" si="92"/>
        <v>13.491579375504973</v>
      </c>
      <c r="AI127" s="2"/>
      <c r="AJ127" s="3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AQ127" s="2"/>
      <c r="AR127" s="2"/>
      <c r="AS127"/>
      <c r="AU127"/>
      <c r="AV127"/>
      <c r="AW127" s="2"/>
      <c r="AX127" s="32"/>
      <c r="AY127" s="32"/>
      <c r="BA127" s="12"/>
      <c r="BB127" s="12"/>
      <c r="BC127" s="3"/>
      <c r="BD127" s="3"/>
      <c r="BE127" s="3"/>
      <c r="BI127" s="9"/>
      <c r="BJ127" s="9"/>
      <c r="BL127"/>
      <c r="BN127" s="12"/>
    </row>
    <row r="128" spans="1:66">
      <c r="A128">
        <v>2016</v>
      </c>
      <c r="B128" s="3">
        <f>USA!Z103/USA!AU103*100</f>
        <v>36.957692605914716</v>
      </c>
      <c r="C128" s="3">
        <f t="shared" si="74"/>
        <v>36.957692605914716</v>
      </c>
      <c r="D128" s="3">
        <f t="shared" si="75"/>
        <v>36.957692605914716</v>
      </c>
      <c r="E128" s="3">
        <f t="shared" si="76"/>
        <v>36.957692605914716</v>
      </c>
      <c r="F128" s="6">
        <f>'Exchange Rates'!Y55</f>
        <v>8.5625130357369965</v>
      </c>
      <c r="G128" s="3">
        <f>(B128*USA!$AU103/100)/$AW95*100*$F128</f>
        <v>332.99099207003792</v>
      </c>
      <c r="H128" s="3">
        <f>(C128*USA!$AU103/100)/$AW95*100*$F128</f>
        <v>332.99099207003792</v>
      </c>
      <c r="I128" s="3">
        <f>(D128*USA!$AU103/100)/$AW95*100*$F128</f>
        <v>332.99099207003792</v>
      </c>
      <c r="J128" s="3">
        <f>(E128*USA!$AU103/100)/$AW95*100*$F128</f>
        <v>332.99099207003792</v>
      </c>
      <c r="K128" s="6">
        <f t="shared" si="85"/>
        <v>4.0164549172813926</v>
      </c>
      <c r="L128" s="6">
        <f t="shared" si="86"/>
        <v>4.0164549172813926</v>
      </c>
      <c r="M128" s="6">
        <f t="shared" si="87"/>
        <v>4.0164549172813926</v>
      </c>
      <c r="N128" s="6">
        <f t="shared" si="88"/>
        <v>4.0164549172813926</v>
      </c>
      <c r="O128">
        <v>2016</v>
      </c>
      <c r="P128" s="24">
        <f t="shared" si="65"/>
        <v>6.0316663381232125</v>
      </c>
      <c r="Q128" s="3">
        <f t="shared" si="66"/>
        <v>2.5120303138511515</v>
      </c>
      <c r="R128" s="3">
        <f t="shared" si="67"/>
        <v>2.5120303138511515</v>
      </c>
      <c r="S128" s="3">
        <f t="shared" si="68"/>
        <v>2.5120303138511515</v>
      </c>
      <c r="T128" s="3">
        <f t="shared" si="69"/>
        <v>2.5120303138511515</v>
      </c>
      <c r="U128" s="3">
        <f t="shared" si="70"/>
        <v>12.49672545591034</v>
      </c>
      <c r="V128" s="3">
        <f t="shared" si="78"/>
        <v>12.560151569255758</v>
      </c>
      <c r="W128" s="3">
        <f t="shared" si="79"/>
        <v>12.560151569255758</v>
      </c>
      <c r="X128" s="3">
        <f t="shared" si="71"/>
        <v>12.560151569255758</v>
      </c>
      <c r="Y128" s="3">
        <f t="shared" si="72"/>
        <v>13.55093109969555</v>
      </c>
      <c r="Z128" s="3">
        <f t="shared" si="80"/>
        <v>13.619707748018151</v>
      </c>
      <c r="AA128" s="3">
        <f t="shared" si="81"/>
        <v>13.619707748018151</v>
      </c>
      <c r="AB128" s="3">
        <f t="shared" si="82"/>
        <v>13.619707748018151</v>
      </c>
      <c r="AC128" s="3">
        <f t="shared" si="83"/>
        <v>13.307405577625012</v>
      </c>
      <c r="AD128" s="3">
        <f t="shared" ref="AD128:AF128" si="93">AC128</f>
        <v>13.307405577625012</v>
      </c>
      <c r="AE128" s="3">
        <f t="shared" si="93"/>
        <v>13.307405577625012</v>
      </c>
      <c r="AF128" s="3">
        <f t="shared" si="93"/>
        <v>13.307405577625012</v>
      </c>
      <c r="AI128" s="2"/>
      <c r="AJ128" s="3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AQ128" s="2"/>
      <c r="AR128" s="2"/>
      <c r="AS128"/>
      <c r="AU128"/>
      <c r="AV128"/>
      <c r="AW128" s="2"/>
      <c r="AX128" s="32"/>
      <c r="AY128" s="32"/>
      <c r="BA128" s="12"/>
      <c r="BB128" s="12"/>
      <c r="BC128" s="3"/>
      <c r="BD128" s="3"/>
      <c r="BE128" s="3"/>
      <c r="BI128" s="9"/>
      <c r="BJ128" s="9"/>
      <c r="BL128"/>
      <c r="BN128" s="12"/>
    </row>
    <row r="129" spans="1:66">
      <c r="A129">
        <v>2017</v>
      </c>
      <c r="B129" s="3">
        <f>USA!Z104/USA!AU104*100</f>
        <v>46.705738720797434</v>
      </c>
      <c r="C129" s="3">
        <f t="shared" si="74"/>
        <v>46.705738720797434</v>
      </c>
      <c r="D129" s="3">
        <f t="shared" si="75"/>
        <v>46.705738720797434</v>
      </c>
      <c r="E129" s="3">
        <f t="shared" si="76"/>
        <v>46.705738720797434</v>
      </c>
      <c r="F129" s="6">
        <f>'Exchange Rates'!Y56</f>
        <v>8.5470000000000006</v>
      </c>
      <c r="G129" s="3">
        <f>(B129*USA!$AU104/100)/$AW96*100*$F129</f>
        <v>421.46213002761226</v>
      </c>
      <c r="H129" s="3">
        <f>(C129*USA!$AU104/100)/$AW96*100*$F129</f>
        <v>421.46213002761226</v>
      </c>
      <c r="I129" s="3">
        <f>(D129*USA!$AU104/100)/$AW96*100*$F129</f>
        <v>421.46213002761226</v>
      </c>
      <c r="J129" s="3">
        <f>(E129*USA!$AU104/100)/$AW96*100*$F129</f>
        <v>421.46213002761226</v>
      </c>
      <c r="K129" s="6">
        <f t="shared" si="85"/>
        <v>4.4994719069710474</v>
      </c>
      <c r="L129" s="6">
        <f t="shared" si="86"/>
        <v>4.4994719069710474</v>
      </c>
      <c r="M129" s="6">
        <f t="shared" si="87"/>
        <v>4.4994719069710474</v>
      </c>
      <c r="N129" s="6">
        <f t="shared" si="88"/>
        <v>4.4994719069710474</v>
      </c>
      <c r="O129">
        <v>2017</v>
      </c>
      <c r="P129" s="24">
        <f t="shared" si="65"/>
        <v>6.1040234318847748</v>
      </c>
      <c r="Q129" s="3">
        <f t="shared" si="66"/>
        <v>2.6508738347139555</v>
      </c>
      <c r="R129" s="3">
        <f t="shared" si="67"/>
        <v>2.6508738347139555</v>
      </c>
      <c r="S129" s="3">
        <f t="shared" si="68"/>
        <v>2.6508738347139555</v>
      </c>
      <c r="T129" s="3">
        <f t="shared" si="69"/>
        <v>2.6508738347139555</v>
      </c>
      <c r="U129" s="3">
        <f t="shared" si="70"/>
        <v>13.170771532488306</v>
      </c>
      <c r="V129" s="3">
        <f t="shared" si="78"/>
        <v>13.254369173569778</v>
      </c>
      <c r="W129" s="3">
        <f t="shared" si="79"/>
        <v>13.254369173569778</v>
      </c>
      <c r="X129" s="3">
        <f t="shared" si="71"/>
        <v>13.254369173569778</v>
      </c>
      <c r="Y129" s="3">
        <f t="shared" si="72"/>
        <v>14.281838726173667</v>
      </c>
      <c r="Z129" s="3">
        <f t="shared" si="80"/>
        <v>14.372488543070808</v>
      </c>
      <c r="AA129" s="3">
        <f t="shared" si="81"/>
        <v>14.372488543070808</v>
      </c>
      <c r="AB129" s="3">
        <f t="shared" si="82"/>
        <v>14.372488543070808</v>
      </c>
      <c r="AC129" s="3">
        <f t="shared" si="83"/>
        <v>14.025177969334841</v>
      </c>
      <c r="AD129" s="3">
        <f t="shared" ref="AD129:AF129" si="94">AC129</f>
        <v>14.025177969334841</v>
      </c>
      <c r="AE129" s="3">
        <f t="shared" si="94"/>
        <v>14.025177969334841</v>
      </c>
      <c r="AF129" s="3">
        <f t="shared" si="94"/>
        <v>14.025177969334841</v>
      </c>
      <c r="AI129" s="2"/>
      <c r="AJ129" s="3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AQ129" s="2"/>
      <c r="AR129" s="2"/>
      <c r="AS129"/>
      <c r="AU129"/>
      <c r="AV129"/>
      <c r="AW129" s="2"/>
      <c r="AX129" s="32"/>
      <c r="AY129" s="32"/>
      <c r="BA129" s="12"/>
      <c r="BB129" s="12"/>
      <c r="BC129" s="3"/>
      <c r="BD129" s="3"/>
      <c r="BE129" s="3"/>
      <c r="BI129" s="9"/>
      <c r="BJ129" s="9"/>
      <c r="BL129"/>
      <c r="BN129" s="12"/>
    </row>
    <row r="130" spans="1:66">
      <c r="A130">
        <v>2018</v>
      </c>
      <c r="B130" s="3">
        <f>USA!Z105/USA!AU105*100</f>
        <v>60.818458312139953</v>
      </c>
      <c r="C130" s="3">
        <f t="shared" si="74"/>
        <v>60.818458312139953</v>
      </c>
      <c r="D130" s="3">
        <f t="shared" si="75"/>
        <v>60.818458312139953</v>
      </c>
      <c r="E130" s="3">
        <f t="shared" si="76"/>
        <v>60.818458312139953</v>
      </c>
      <c r="F130" s="6">
        <f>'Exchange Rates'!Y57</f>
        <v>8.7739999999999991</v>
      </c>
      <c r="G130" s="3">
        <f>(B130*USA!$AU105/100)/$AW97*100*$F130</f>
        <v>568.04987968346268</v>
      </c>
      <c r="H130" s="3">
        <f>(C130*USA!$AU105/100)/$AW97*100*$F130</f>
        <v>568.04987968346268</v>
      </c>
      <c r="I130" s="3">
        <f>(D130*USA!$AU105/100)/$AW97*100*$F130</f>
        <v>568.04987968346268</v>
      </c>
      <c r="J130" s="3">
        <f>(E130*USA!$AU105/100)/$AW97*100*$F130</f>
        <v>568.04987968346268</v>
      </c>
      <c r="K130" s="6">
        <f t="shared" si="85"/>
        <v>5.2997823268291402</v>
      </c>
      <c r="L130" s="6">
        <f t="shared" ref="L130:L141" si="95">$L$110+$L$111*H130</f>
        <v>5.2997823268291402</v>
      </c>
      <c r="M130" s="6">
        <f t="shared" ref="M130:M142" si="96">$L$110+$L$111*I130</f>
        <v>5.2997823268291402</v>
      </c>
      <c r="N130" s="6">
        <f t="shared" ref="N130:N142" si="97">$L$110+$L$111*J130</f>
        <v>5.2997823268291402</v>
      </c>
      <c r="O130">
        <v>2018</v>
      </c>
      <c r="P130" s="24">
        <f t="shared" si="65"/>
        <v>5.9943272433318029</v>
      </c>
      <c r="Q130" s="3">
        <f t="shared" si="66"/>
        <v>2.8235273925402358</v>
      </c>
      <c r="R130" s="3">
        <f t="shared" si="67"/>
        <v>2.8235273925402358</v>
      </c>
      <c r="S130" s="3">
        <f t="shared" si="68"/>
        <v>2.8235273925402358</v>
      </c>
      <c r="T130" s="3">
        <f t="shared" si="69"/>
        <v>2.8235273925402358</v>
      </c>
      <c r="U130" s="3">
        <f t="shared" si="70"/>
        <v>14.431487873335902</v>
      </c>
      <c r="V130" s="3">
        <f t="shared" si="78"/>
        <v>14.117636962701178</v>
      </c>
      <c r="W130" s="3">
        <f t="shared" si="79"/>
        <v>14.117636962701178</v>
      </c>
      <c r="X130" s="3">
        <f t="shared" si="71"/>
        <v>14.117636962701178</v>
      </c>
      <c r="Y130" s="3">
        <f t="shared" si="72"/>
        <v>15.648907269958169</v>
      </c>
      <c r="Z130" s="3">
        <f t="shared" si="80"/>
        <v>15.308580351471182</v>
      </c>
      <c r="AA130" s="3">
        <f t="shared" si="81"/>
        <v>15.308580351471182</v>
      </c>
      <c r="AB130" s="3">
        <f t="shared" si="82"/>
        <v>15.308580351471182</v>
      </c>
      <c r="AC130" s="3">
        <f t="shared" si="83"/>
        <v>15.367678748854141</v>
      </c>
      <c r="AD130" s="3">
        <f t="shared" ref="AD130" si="98">V130*$AW$96/100</f>
        <v>15.033467889100644</v>
      </c>
      <c r="AE130" s="3">
        <f t="shared" ref="AE130" si="99">W130*$AW$96/100</f>
        <v>15.033467889100644</v>
      </c>
      <c r="AF130" s="3">
        <f t="shared" ref="AF130" si="100">X130*$AW$96/100</f>
        <v>15.033467889100644</v>
      </c>
      <c r="AI130" s="2"/>
      <c r="AJ130" s="3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AQ130" s="2"/>
      <c r="AR130" s="2"/>
      <c r="AS130"/>
      <c r="AU130"/>
      <c r="AV130"/>
      <c r="AW130" s="2"/>
      <c r="AX130" s="32"/>
      <c r="AY130" s="32"/>
      <c r="BA130" s="12"/>
      <c r="BB130" s="12"/>
      <c r="BC130" s="3"/>
      <c r="BD130" s="3"/>
      <c r="BE130" s="3"/>
      <c r="BI130" s="9"/>
      <c r="BJ130" s="9"/>
      <c r="BL130"/>
      <c r="BN130" s="12"/>
    </row>
    <row r="131" spans="1:66">
      <c r="A131">
        <v>2019</v>
      </c>
      <c r="B131" s="3"/>
      <c r="C131" s="3">
        <f>AK131</f>
        <v>90.611761513694489</v>
      </c>
      <c r="D131" s="3">
        <f t="shared" si="75"/>
        <v>56.019786702864394</v>
      </c>
      <c r="E131" s="3">
        <f t="shared" si="76"/>
        <v>25.889074718198426</v>
      </c>
      <c r="F131" s="6">
        <f>'Exchange Rates'!Y58</f>
        <v>9.0790000000000006</v>
      </c>
      <c r="G131" s="3"/>
      <c r="H131" s="3">
        <f>(C131*USA!$AU106/100)/$AW98*100*$F131</f>
        <v>875.74168906237958</v>
      </c>
      <c r="I131" s="3">
        <f>(D131*USA!$AU106/100)/$AW98*100*$F131</f>
        <v>541.41826412530622</v>
      </c>
      <c r="J131" s="3">
        <f>(E131*USA!$AU106/100)/$AW98*100*$F131</f>
        <v>250.21191116067988</v>
      </c>
      <c r="K131" s="6"/>
      <c r="L131" s="6">
        <f t="shared" si="95"/>
        <v>6.9796564072285268</v>
      </c>
      <c r="M131" s="6">
        <f t="shared" si="96"/>
        <v>5.1543843690947035</v>
      </c>
      <c r="N131" s="6">
        <f t="shared" si="97"/>
        <v>3.5645142799936895</v>
      </c>
      <c r="O131">
        <v>2019</v>
      </c>
      <c r="P131" s="3">
        <f t="shared" ref="P131:P142" si="101">P130</f>
        <v>5.9943272433318029</v>
      </c>
      <c r="Q131" s="3"/>
      <c r="R131" s="3">
        <f t="shared" si="67"/>
        <v>3.2434959126400824</v>
      </c>
      <c r="S131" s="3">
        <f t="shared" si="68"/>
        <v>2.7871779031066266</v>
      </c>
      <c r="T131" s="3">
        <f t="shared" si="69"/>
        <v>2.3897103808313731</v>
      </c>
      <c r="U131" s="3"/>
      <c r="V131" s="3">
        <f t="shared" si="78"/>
        <v>16.217479563200413</v>
      </c>
      <c r="W131" s="3">
        <f t="shared" si="79"/>
        <v>13.935889515533134</v>
      </c>
      <c r="X131" s="3">
        <f t="shared" si="71"/>
        <v>11.948551904156865</v>
      </c>
      <c r="Y131" s="3"/>
      <c r="Z131" s="3">
        <f t="shared" si="80"/>
        <v>17.585562629745763</v>
      </c>
      <c r="AA131" s="3">
        <f t="shared" si="81"/>
        <v>15.111500953127281</v>
      </c>
      <c r="AB131" s="3">
        <f t="shared" si="82"/>
        <v>12.956514421767048</v>
      </c>
      <c r="AC131" s="3"/>
      <c r="AD131" s="3">
        <f t="shared" ref="AD131:AD142" si="102">V131*$AW$96/100</f>
        <v>17.269530226599002</v>
      </c>
      <c r="AE131" s="3">
        <f t="shared" ref="AE131:AE142" si="103">W131*$AW$96/100</f>
        <v>14.839930229919752</v>
      </c>
      <c r="AF131" s="3">
        <f t="shared" ref="AF131:AF142" si="104">X131*$AW$96/100</f>
        <v>12.723671238109644</v>
      </c>
      <c r="AI131" s="2"/>
      <c r="AJ131" s="2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AQ131" s="2"/>
      <c r="AR131" s="2"/>
      <c r="AS131"/>
      <c r="AU131"/>
      <c r="AV131"/>
      <c r="AW131" s="2"/>
      <c r="AX131" s="32"/>
      <c r="AY131" s="32"/>
      <c r="BA131" s="12"/>
      <c r="BB131" s="12"/>
      <c r="BC131" s="3"/>
      <c r="BD131" s="3"/>
      <c r="BE131" s="3"/>
      <c r="BI131" s="9"/>
      <c r="BJ131" s="9"/>
      <c r="BL131"/>
      <c r="BN131" s="12"/>
    </row>
    <row r="132" spans="1:66">
      <c r="A132">
        <v>2020</v>
      </c>
      <c r="B132" s="3"/>
      <c r="C132" s="3">
        <f t="shared" si="74"/>
        <v>105.28223718734027</v>
      </c>
      <c r="D132" s="3">
        <f t="shared" si="75"/>
        <v>56.251630823658907</v>
      </c>
      <c r="E132" s="3">
        <f t="shared" si="76"/>
        <v>26.752043875471706</v>
      </c>
      <c r="F132" s="6">
        <f>'Exchange Rates'!Y59</f>
        <v>9.0790000000000006</v>
      </c>
      <c r="G132" s="3"/>
      <c r="H132" s="3">
        <f>(C132*USA!$AU107/100)/$AW99*100*$F132</f>
        <v>1017.5284387200983</v>
      </c>
      <c r="I132" s="3">
        <f>(D132*USA!$AU107/100)/$AW99*100*$F132</f>
        <v>543.65898385696153</v>
      </c>
      <c r="J132" s="3">
        <f>(E132*USA!$AU107/100)/$AW99*100*$F132</f>
        <v>258.55230819936918</v>
      </c>
      <c r="K132" s="6"/>
      <c r="L132" s="6">
        <f t="shared" si="95"/>
        <v>7.7537552894017576</v>
      </c>
      <c r="M132" s="6">
        <f t="shared" si="96"/>
        <v>5.1666178016525777</v>
      </c>
      <c r="N132" s="6">
        <f t="shared" si="97"/>
        <v>3.6100495083568203</v>
      </c>
      <c r="O132">
        <v>2020</v>
      </c>
      <c r="P132" s="3">
        <f t="shared" si="101"/>
        <v>5.9943272433318029</v>
      </c>
      <c r="Q132" s="3"/>
      <c r="R132" s="3">
        <f t="shared" si="67"/>
        <v>3.4370206331833901</v>
      </c>
      <c r="S132" s="3">
        <f t="shared" si="68"/>
        <v>2.7902362612460951</v>
      </c>
      <c r="T132" s="3">
        <f t="shared" si="69"/>
        <v>2.4010941879221557</v>
      </c>
      <c r="U132" s="3"/>
      <c r="V132" s="3">
        <f t="shared" si="78"/>
        <v>17.185103165916949</v>
      </c>
      <c r="W132" s="3">
        <f t="shared" si="79"/>
        <v>13.951181306230476</v>
      </c>
      <c r="X132" s="3">
        <f t="shared" si="71"/>
        <v>12.005470939610777</v>
      </c>
      <c r="Y132" s="3"/>
      <c r="Z132" s="3">
        <f t="shared" si="80"/>
        <v>18.634813556887604</v>
      </c>
      <c r="AA132" s="3">
        <f t="shared" si="81"/>
        <v>15.128082737120355</v>
      </c>
      <c r="AB132" s="3">
        <f t="shared" si="82"/>
        <v>13.018235064540097</v>
      </c>
      <c r="AC132" s="3"/>
      <c r="AD132" s="3">
        <f t="shared" si="102"/>
        <v>18.299924930656587</v>
      </c>
      <c r="AE132" s="3">
        <f t="shared" si="103"/>
        <v>14.856214020544394</v>
      </c>
      <c r="AF132" s="3">
        <f t="shared" si="104"/>
        <v>12.7842826912895</v>
      </c>
      <c r="AI132" s="2"/>
      <c r="AJ132" s="2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AQ132" s="2"/>
      <c r="AR132" s="2"/>
      <c r="AS132"/>
      <c r="AU132"/>
      <c r="AV132"/>
      <c r="AW132" s="2"/>
      <c r="AX132" s="32"/>
      <c r="AY132" s="32"/>
      <c r="BA132" s="12"/>
      <c r="BB132" s="12"/>
      <c r="BC132" s="3"/>
      <c r="BD132" s="3"/>
      <c r="BE132" s="3"/>
      <c r="BI132" s="9"/>
      <c r="BJ132" s="9"/>
      <c r="BL132"/>
      <c r="BN132" s="12"/>
    </row>
    <row r="133" spans="1:66">
      <c r="A133">
        <v>2021</v>
      </c>
      <c r="B133" s="3"/>
      <c r="C133" s="3">
        <f t="shared" ref="C133:C142" si="105">AK133</f>
        <v>120.81568201825931</v>
      </c>
      <c r="D133" s="3">
        <f t="shared" ref="D133:D142" si="106">AL133</f>
        <v>63.082289986431647</v>
      </c>
      <c r="E133" s="3">
        <f t="shared" ref="E133:E142" si="107">AM133</f>
        <v>28.477982190018274</v>
      </c>
      <c r="F133" s="6">
        <f>'Exchange Rates'!Y60</f>
        <v>9.0790000000000006</v>
      </c>
      <c r="G133" s="3"/>
      <c r="H133" s="3">
        <f>(C133*USA!$AU108/100)/$AW100*100*$F133</f>
        <v>1167.6555854165063</v>
      </c>
      <c r="I133" s="3">
        <f>(D133*USA!$AU108/100)/$AW100*100*$F133</f>
        <v>609.67572266312573</v>
      </c>
      <c r="J133" s="3">
        <f>(E133*USA!$AU108/100)/$AW100*100*$F133</f>
        <v>275.23310227674801</v>
      </c>
      <c r="K133" s="6"/>
      <c r="L133" s="6">
        <f t="shared" si="95"/>
        <v>8.5733893999381188</v>
      </c>
      <c r="M133" s="6">
        <f t="shared" si="96"/>
        <v>5.5270427626446352</v>
      </c>
      <c r="N133" s="6">
        <f t="shared" si="97"/>
        <v>3.7011199650830835</v>
      </c>
      <c r="O133">
        <v>2021</v>
      </c>
      <c r="P133" s="3">
        <f t="shared" si="101"/>
        <v>5.9943272433318029</v>
      </c>
      <c r="Q133" s="3"/>
      <c r="R133" s="3">
        <f t="shared" si="67"/>
        <v>3.6419291608174804</v>
      </c>
      <c r="S133" s="3">
        <f t="shared" si="68"/>
        <v>2.8803425014941095</v>
      </c>
      <c r="T133" s="3">
        <f t="shared" si="69"/>
        <v>2.4238618021037217</v>
      </c>
      <c r="U133" s="3"/>
      <c r="V133" s="3">
        <f t="shared" si="78"/>
        <v>18.209645804087401</v>
      </c>
      <c r="W133" s="3">
        <f t="shared" si="79"/>
        <v>14.401712507470547</v>
      </c>
      <c r="X133" s="3">
        <f t="shared" si="71"/>
        <v>12.119309010518609</v>
      </c>
      <c r="Y133" s="3"/>
      <c r="Z133" s="3">
        <f t="shared" si="80"/>
        <v>19.745785126802492</v>
      </c>
      <c r="AA133" s="3">
        <f t="shared" si="81"/>
        <v>15.61662009739179</v>
      </c>
      <c r="AB133" s="3">
        <f t="shared" si="82"/>
        <v>13.1416763500862</v>
      </c>
      <c r="AC133" s="3"/>
      <c r="AD133" s="3">
        <f t="shared" si="102"/>
        <v>19.390931087894035</v>
      </c>
      <c r="AE133" s="3">
        <f t="shared" si="103"/>
        <v>15.335971813210046</v>
      </c>
      <c r="AF133" s="3">
        <f t="shared" si="104"/>
        <v>12.905505597649221</v>
      </c>
      <c r="AI133" s="2"/>
      <c r="AJ133" s="2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AQ133" s="2"/>
      <c r="AR133" s="2"/>
      <c r="AS133"/>
      <c r="AU133"/>
      <c r="AV133"/>
      <c r="AW133" s="2"/>
      <c r="AX133" s="32"/>
      <c r="AY133" s="32"/>
      <c r="BA133" s="12"/>
      <c r="BB133" s="12"/>
      <c r="BC133" s="3"/>
      <c r="BD133" s="3"/>
      <c r="BE133" s="3"/>
      <c r="BI133" s="9"/>
      <c r="BJ133" s="9"/>
      <c r="BL133"/>
      <c r="BN133" s="12"/>
    </row>
    <row r="134" spans="1:66">
      <c r="A134">
        <v>2022</v>
      </c>
      <c r="B134" s="3"/>
      <c r="C134" s="3">
        <f t="shared" si="105"/>
        <v>127.71943527644558</v>
      </c>
      <c r="D134" s="3">
        <f t="shared" si="106"/>
        <v>68.168185410991157</v>
      </c>
      <c r="E134" s="3">
        <f t="shared" si="107"/>
        <v>29.340951347291547</v>
      </c>
      <c r="F134" s="6">
        <f>'Exchange Rates'!Y61</f>
        <v>9.0790000000000006</v>
      </c>
      <c r="G134" s="3"/>
      <c r="H134" s="3">
        <f>(C134*USA!$AU109/100)/$AW101*100*$F134</f>
        <v>1234.3787617260211</v>
      </c>
      <c r="I134" s="3">
        <f>(D134*USA!$AU109/100)/$AW101*100*$F134</f>
        <v>658.82972403220015</v>
      </c>
      <c r="J134" s="3">
        <f>(E134*USA!$AU109/100)/$AW101*100*$F134</f>
        <v>283.57349931543723</v>
      </c>
      <c r="K134" s="6"/>
      <c r="L134" s="6">
        <f t="shared" si="95"/>
        <v>8.9376712268431682</v>
      </c>
      <c r="M134" s="6">
        <f t="shared" si="96"/>
        <v>5.7954039290159418</v>
      </c>
      <c r="N134" s="6">
        <f t="shared" si="97"/>
        <v>3.7466551934462142</v>
      </c>
      <c r="O134">
        <v>2022</v>
      </c>
      <c r="P134" s="3">
        <f t="shared" si="101"/>
        <v>5.9943272433318029</v>
      </c>
      <c r="Q134" s="3"/>
      <c r="R134" s="3">
        <f t="shared" si="67"/>
        <v>3.7329996175437428</v>
      </c>
      <c r="S134" s="3">
        <f t="shared" si="68"/>
        <v>2.9474327930869362</v>
      </c>
      <c r="T134" s="3">
        <f t="shared" si="69"/>
        <v>2.4352456091945043</v>
      </c>
      <c r="U134" s="3"/>
      <c r="V134" s="3">
        <f t="shared" si="78"/>
        <v>18.664998087718715</v>
      </c>
      <c r="W134" s="3">
        <f t="shared" si="79"/>
        <v>14.73716396543468</v>
      </c>
      <c r="X134" s="3">
        <f t="shared" si="71"/>
        <v>12.176228045972522</v>
      </c>
      <c r="Y134" s="3"/>
      <c r="Z134" s="3">
        <f t="shared" si="80"/>
        <v>20.239550268986889</v>
      </c>
      <c r="AA134" s="3">
        <f t="shared" si="81"/>
        <v>15.980369754068011</v>
      </c>
      <c r="AB134" s="3">
        <f t="shared" si="82"/>
        <v>13.203396992859247</v>
      </c>
      <c r="AC134" s="3"/>
      <c r="AD134" s="3">
        <f t="shared" si="102"/>
        <v>19.875822713332902</v>
      </c>
      <c r="AE134" s="3">
        <f t="shared" si="103"/>
        <v>15.693184478118447</v>
      </c>
      <c r="AF134" s="3">
        <f t="shared" si="104"/>
        <v>12.966117050829077</v>
      </c>
      <c r="AI134" s="2"/>
      <c r="AJ134" s="2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AQ134" s="2"/>
      <c r="AR134" s="2"/>
      <c r="AS134"/>
      <c r="AU134"/>
      <c r="AV134"/>
      <c r="AW134" s="2"/>
      <c r="AX134" s="32"/>
      <c r="AY134" s="32"/>
      <c r="BA134" s="12"/>
      <c r="BB134" s="12"/>
      <c r="BC134" s="3"/>
      <c r="BD134" s="3"/>
      <c r="BE134" s="3"/>
      <c r="BI134" s="9"/>
      <c r="BJ134" s="9"/>
      <c r="BL134"/>
      <c r="BN134" s="12"/>
    </row>
    <row r="135" spans="1:66">
      <c r="A135">
        <v>2023</v>
      </c>
      <c r="B135" s="3"/>
      <c r="C135" s="3">
        <f t="shared" si="105"/>
        <v>132.89725022008525</v>
      </c>
      <c r="D135" s="3">
        <f t="shared" si="106"/>
        <v>70.508542947524788</v>
      </c>
      <c r="E135" s="3">
        <f t="shared" si="107"/>
        <v>29.340951347291547</v>
      </c>
      <c r="F135" s="6">
        <f>'Exchange Rates'!Y62</f>
        <v>9.0790000000000006</v>
      </c>
      <c r="G135" s="3"/>
      <c r="H135" s="3">
        <f>(C135*USA!$AU110/100)/$AW102*100*$F135</f>
        <v>1284.421143958157</v>
      </c>
      <c r="I135" s="3">
        <f>(D135*USA!$AU110/100)/$AW102*100*$F135</f>
        <v>681.44873758866947</v>
      </c>
      <c r="J135" s="3">
        <f>(E135*USA!$AU110/100)/$AW102*100*$F135</f>
        <v>283.57349931543723</v>
      </c>
      <c r="K135" s="6"/>
      <c r="L135" s="6">
        <f t="shared" si="95"/>
        <v>9.2108825970219552</v>
      </c>
      <c r="M135" s="6">
        <f t="shared" si="96"/>
        <v>5.9188946864540846</v>
      </c>
      <c r="N135" s="6">
        <f t="shared" si="97"/>
        <v>3.7466551934462142</v>
      </c>
      <c r="O135">
        <v>2023</v>
      </c>
      <c r="P135" s="3">
        <f t="shared" si="101"/>
        <v>5.9943272433318029</v>
      </c>
      <c r="Q135" s="3"/>
      <c r="R135" s="3">
        <f t="shared" si="67"/>
        <v>3.8013024600884395</v>
      </c>
      <c r="S135" s="3">
        <f t="shared" si="68"/>
        <v>2.9783054824464719</v>
      </c>
      <c r="T135" s="3">
        <f t="shared" si="69"/>
        <v>2.4352456091945043</v>
      </c>
      <c r="U135" s="3"/>
      <c r="V135" s="3">
        <f t="shared" si="78"/>
        <v>19.006512300442196</v>
      </c>
      <c r="W135" s="3">
        <f t="shared" si="79"/>
        <v>14.89152741223236</v>
      </c>
      <c r="X135" s="3">
        <f t="shared" si="71"/>
        <v>12.176228045972522</v>
      </c>
      <c r="Y135" s="3"/>
      <c r="Z135" s="3">
        <f t="shared" si="80"/>
        <v>20.609874125625186</v>
      </c>
      <c r="AA135" s="3">
        <f t="shared" si="81"/>
        <v>16.147755077467075</v>
      </c>
      <c r="AB135" s="3">
        <f t="shared" si="82"/>
        <v>13.203396992859247</v>
      </c>
      <c r="AC135" s="3"/>
      <c r="AD135" s="3">
        <f t="shared" si="102"/>
        <v>20.239491432412049</v>
      </c>
      <c r="AE135" s="3">
        <f t="shared" si="103"/>
        <v>15.857561698386602</v>
      </c>
      <c r="AF135" s="3">
        <f t="shared" si="104"/>
        <v>12.966117050829077</v>
      </c>
      <c r="AI135" s="2"/>
      <c r="AJ135" s="2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AQ135" s="2"/>
      <c r="AR135" s="2"/>
      <c r="AS135"/>
      <c r="AU135"/>
      <c r="AV135"/>
      <c r="AW135" s="2"/>
      <c r="AX135" s="32"/>
      <c r="AY135" s="32"/>
      <c r="BA135" s="12"/>
      <c r="BB135" s="12"/>
      <c r="BC135" s="3"/>
      <c r="BD135" s="3"/>
      <c r="BE135" s="3"/>
      <c r="BI135" s="9"/>
      <c r="BJ135" s="9"/>
      <c r="BL135"/>
      <c r="BN135" s="12"/>
    </row>
    <row r="136" spans="1:66">
      <c r="A136">
        <v>2024</v>
      </c>
      <c r="B136" s="3"/>
      <c r="C136" s="3">
        <f t="shared" si="105"/>
        <v>137.21209600645167</v>
      </c>
      <c r="D136" s="3">
        <f t="shared" si="106"/>
        <v>71.127304204880986</v>
      </c>
      <c r="E136" s="3">
        <f t="shared" si="107"/>
        <v>29.340951347291547</v>
      </c>
      <c r="F136" s="6">
        <f>'Exchange Rates'!Y63</f>
        <v>9.0790000000000006</v>
      </c>
      <c r="G136" s="3"/>
      <c r="H136" s="3">
        <f>(C136*USA!$AU111/100)/$AW103*100*$F136</f>
        <v>1326.1231291516037</v>
      </c>
      <c r="I136" s="3">
        <f>(D136*USA!$AU111/100)/$AW103*100*$F136</f>
        <v>687.42892183397373</v>
      </c>
      <c r="J136" s="3">
        <f>(E136*USA!$AU111/100)/$AW103*100*$F136</f>
        <v>283.57349931543723</v>
      </c>
      <c r="K136" s="6"/>
      <c r="L136" s="6">
        <f t="shared" si="95"/>
        <v>9.438558738837612</v>
      </c>
      <c r="M136" s="6">
        <f t="shared" si="96"/>
        <v>5.9515440979869343</v>
      </c>
      <c r="N136" s="6">
        <f t="shared" si="97"/>
        <v>3.7466551934462142</v>
      </c>
      <c r="O136">
        <v>2024</v>
      </c>
      <c r="P136" s="3">
        <f t="shared" si="101"/>
        <v>5.9943272433318029</v>
      </c>
      <c r="Q136" s="3"/>
      <c r="R136" s="3">
        <f t="shared" si="67"/>
        <v>3.8582214955423537</v>
      </c>
      <c r="S136" s="3">
        <f t="shared" si="68"/>
        <v>2.9864678353296843</v>
      </c>
      <c r="T136" s="3">
        <f t="shared" si="69"/>
        <v>2.4352456091945043</v>
      </c>
      <c r="U136" s="3"/>
      <c r="V136" s="3">
        <f t="shared" si="78"/>
        <v>19.291107477711769</v>
      </c>
      <c r="W136" s="3">
        <f t="shared" si="79"/>
        <v>14.932339176648421</v>
      </c>
      <c r="X136" s="3">
        <f t="shared" si="71"/>
        <v>12.176228045972522</v>
      </c>
      <c r="Y136" s="3"/>
      <c r="Z136" s="3">
        <f t="shared" si="80"/>
        <v>20.918477339490437</v>
      </c>
      <c r="AA136" s="3">
        <f t="shared" si="81"/>
        <v>16.192009663167163</v>
      </c>
      <c r="AB136" s="3">
        <f t="shared" si="82"/>
        <v>13.203396992859247</v>
      </c>
      <c r="AC136" s="3"/>
      <c r="AD136" s="3">
        <f t="shared" si="102"/>
        <v>20.542548698311343</v>
      </c>
      <c r="AE136" s="3">
        <f t="shared" si="103"/>
        <v>15.901020979246946</v>
      </c>
      <c r="AF136" s="3">
        <f t="shared" si="104"/>
        <v>12.966117050829077</v>
      </c>
      <c r="AI136" s="2"/>
      <c r="AJ136" s="2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AQ136" s="2"/>
      <c r="AR136" s="2"/>
      <c r="AS136"/>
      <c r="AU136"/>
      <c r="AV136"/>
      <c r="AW136" s="2"/>
      <c r="AX136" s="32"/>
      <c r="AY136" s="32"/>
      <c r="BA136" s="12"/>
      <c r="BB136" s="12"/>
      <c r="BC136" s="3"/>
      <c r="BD136" s="3"/>
      <c r="BE136" s="3"/>
      <c r="BI136" s="9"/>
      <c r="BJ136" s="9"/>
      <c r="BL136"/>
      <c r="BN136" s="12"/>
    </row>
    <row r="137" spans="1:66">
      <c r="A137">
        <v>2025</v>
      </c>
      <c r="B137" s="3"/>
      <c r="C137" s="3">
        <f t="shared" si="105"/>
        <v>141.52694179281806</v>
      </c>
      <c r="D137" s="3">
        <f t="shared" si="106"/>
        <v>74.364924740814473</v>
      </c>
      <c r="E137" s="3">
        <f t="shared" si="107"/>
        <v>30.203920504564827</v>
      </c>
      <c r="F137" s="6">
        <f>'Exchange Rates'!Y64</f>
        <v>9.0790000000000006</v>
      </c>
      <c r="G137" s="3"/>
      <c r="H137" s="3">
        <f>(C137*USA!$AU112/100)/$AW104*100*$F137</f>
        <v>1367.8251143450502</v>
      </c>
      <c r="I137" s="3">
        <f>(D137*USA!$AU112/100)/$AW104*100*$F137</f>
        <v>718.71977447072493</v>
      </c>
      <c r="J137" s="3">
        <f>(E137*USA!$AU112/100)/$AW104*100*$F137</f>
        <v>291.91389635412656</v>
      </c>
      <c r="K137" s="6"/>
      <c r="L137" s="6">
        <f t="shared" si="95"/>
        <v>9.666234880653267</v>
      </c>
      <c r="M137" s="6">
        <f t="shared" si="96"/>
        <v>6.1223796246269782</v>
      </c>
      <c r="N137" s="6">
        <f t="shared" si="97"/>
        <v>3.7921904218093454</v>
      </c>
      <c r="O137">
        <v>2025</v>
      </c>
      <c r="P137" s="3">
        <f t="shared" si="101"/>
        <v>5.9943272433318029</v>
      </c>
      <c r="Q137" s="3"/>
      <c r="R137" s="3">
        <f t="shared" si="67"/>
        <v>3.9151405309962675</v>
      </c>
      <c r="S137" s="3">
        <f t="shared" si="68"/>
        <v>3.0291767169896953</v>
      </c>
      <c r="T137" s="3">
        <f t="shared" si="69"/>
        <v>2.4466294162852869</v>
      </c>
      <c r="U137" s="3"/>
      <c r="V137" s="3">
        <f t="shared" si="78"/>
        <v>19.575702654981338</v>
      </c>
      <c r="W137" s="3">
        <f t="shared" si="79"/>
        <v>15.145883584948477</v>
      </c>
      <c r="X137" s="3">
        <f t="shared" si="71"/>
        <v>12.233147081426434</v>
      </c>
      <c r="Y137" s="3"/>
      <c r="Z137" s="3">
        <f t="shared" si="80"/>
        <v>21.227080553355687</v>
      </c>
      <c r="AA137" s="3">
        <f t="shared" si="81"/>
        <v>16.423568368190224</v>
      </c>
      <c r="AB137" s="3">
        <f t="shared" si="82"/>
        <v>13.265117635632295</v>
      </c>
      <c r="AC137" s="3"/>
      <c r="AD137" s="3">
        <f t="shared" si="102"/>
        <v>20.84560596421063</v>
      </c>
      <c r="AE137" s="3">
        <f t="shared" si="103"/>
        <v>16.128418313061204</v>
      </c>
      <c r="AF137" s="3">
        <f t="shared" si="104"/>
        <v>13.026728504008934</v>
      </c>
      <c r="AI137" s="2"/>
      <c r="AJ137" s="2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AQ137" s="2"/>
      <c r="AR137" s="2"/>
      <c r="AS137"/>
      <c r="AU137"/>
      <c r="AV137"/>
      <c r="AW137" s="2"/>
      <c r="AX137" s="32"/>
      <c r="AY137" s="32"/>
      <c r="BA137" s="12"/>
      <c r="BB137" s="12"/>
      <c r="BC137" s="3"/>
      <c r="BD137" s="3"/>
      <c r="BE137" s="3"/>
      <c r="BI137" s="9"/>
      <c r="BJ137" s="9"/>
      <c r="BL137"/>
      <c r="BN137" s="12"/>
    </row>
    <row r="138" spans="1:66">
      <c r="A138">
        <v>2026</v>
      </c>
      <c r="B138" s="3"/>
      <c r="C138" s="3">
        <f t="shared" si="105"/>
        <v>145.84178757918448</v>
      </c>
      <c r="D138" s="3">
        <f t="shared" si="106"/>
        <v>80.055420065999314</v>
      </c>
      <c r="E138" s="3">
        <f t="shared" si="107"/>
        <v>31.066889661838108</v>
      </c>
      <c r="F138" s="6">
        <f>'Exchange Rates'!Y65</f>
        <v>9.0790000000000006</v>
      </c>
      <c r="G138" s="3"/>
      <c r="H138" s="3">
        <f>(C138*USA!$AU113/100)/$AW105*100*$F138</f>
        <v>1409.5270995384969</v>
      </c>
      <c r="I138" s="3">
        <f>(D138*USA!$AU113/100)/$AW105*100*$F138</f>
        <v>773.71709385211443</v>
      </c>
      <c r="J138" s="3">
        <f>(E138*USA!$AU113/100)/$AW105*100*$F138</f>
        <v>300.2542933928159</v>
      </c>
      <c r="K138" s="6"/>
      <c r="L138" s="6">
        <f t="shared" si="95"/>
        <v>9.8939110224689237</v>
      </c>
      <c r="M138" s="6">
        <f t="shared" si="96"/>
        <v>6.4226429676998134</v>
      </c>
      <c r="N138" s="6">
        <f t="shared" si="97"/>
        <v>3.8377256501724766</v>
      </c>
      <c r="O138">
        <v>2026</v>
      </c>
      <c r="P138" s="3">
        <f t="shared" si="101"/>
        <v>5.9943272433318029</v>
      </c>
      <c r="Q138" s="3"/>
      <c r="R138" s="3">
        <f t="shared" si="67"/>
        <v>3.9720595664501817</v>
      </c>
      <c r="S138" s="3">
        <f t="shared" si="68"/>
        <v>3.1042425527579041</v>
      </c>
      <c r="T138" s="3">
        <f t="shared" si="69"/>
        <v>2.4580132233760699</v>
      </c>
      <c r="U138" s="3"/>
      <c r="V138" s="3">
        <f t="shared" si="78"/>
        <v>19.860297832250907</v>
      </c>
      <c r="W138" s="3">
        <f t="shared" si="79"/>
        <v>15.521212763789521</v>
      </c>
      <c r="X138" s="3">
        <f t="shared" si="71"/>
        <v>12.29006611688035</v>
      </c>
      <c r="Y138" s="3"/>
      <c r="Z138" s="3">
        <f t="shared" si="80"/>
        <v>21.535683767220931</v>
      </c>
      <c r="AA138" s="3">
        <f t="shared" si="81"/>
        <v>16.83055977246844</v>
      </c>
      <c r="AB138" s="3">
        <f t="shared" si="82"/>
        <v>13.326838278405349</v>
      </c>
      <c r="AC138" s="3"/>
      <c r="AD138" s="3">
        <f t="shared" si="102"/>
        <v>21.148663230109925</v>
      </c>
      <c r="AE138" s="3">
        <f t="shared" si="103"/>
        <v>16.528095622575314</v>
      </c>
      <c r="AF138" s="3">
        <f t="shared" si="104"/>
        <v>13.087339957188794</v>
      </c>
      <c r="AI138" s="2"/>
      <c r="AJ138" s="2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AQ138" s="2"/>
      <c r="AR138" s="2"/>
      <c r="AS138"/>
      <c r="AU138"/>
      <c r="AV138"/>
      <c r="AW138" s="2"/>
      <c r="AX138" s="32"/>
      <c r="AY138" s="32"/>
      <c r="BA138" s="12"/>
      <c r="BB138" s="12"/>
      <c r="BC138" s="3"/>
      <c r="BD138" s="3"/>
      <c r="BE138" s="3"/>
      <c r="BI138" s="9"/>
      <c r="BJ138" s="9"/>
      <c r="BL138"/>
      <c r="BN138" s="12"/>
    </row>
    <row r="139" spans="1:66">
      <c r="A139">
        <v>2027</v>
      </c>
      <c r="B139" s="3"/>
      <c r="C139" s="3">
        <f t="shared" si="105"/>
        <v>150.15663336555087</v>
      </c>
      <c r="D139" s="3">
        <f t="shared" si="106"/>
        <v>82.98815737026753</v>
      </c>
      <c r="E139" s="3">
        <f t="shared" si="107"/>
        <v>31.929858819111395</v>
      </c>
      <c r="F139" s="6">
        <f>'Exchange Rates'!Y66</f>
        <v>9.0790000000000006</v>
      </c>
      <c r="G139" s="3"/>
      <c r="H139" s="3">
        <f>(C139*USA!$AU114/100)/$AW106*100*$F139</f>
        <v>1451.2290847319434</v>
      </c>
      <c r="I139" s="3">
        <f>(D139*USA!$AU114/100)/$AW106*100*$F139</f>
        <v>802.06132066673092</v>
      </c>
      <c r="J139" s="3">
        <f>(E139*USA!$AU114/100)/$AW106*100*$F139</f>
        <v>308.59469043150528</v>
      </c>
      <c r="K139" s="6"/>
      <c r="L139" s="6">
        <f t="shared" si="95"/>
        <v>10.121587164284577</v>
      </c>
      <c r="M139" s="6">
        <f t="shared" si="96"/>
        <v>6.5773910971704899</v>
      </c>
      <c r="N139" s="6">
        <f t="shared" si="97"/>
        <v>3.8832608785356078</v>
      </c>
      <c r="O139">
        <v>2027</v>
      </c>
      <c r="P139" s="3">
        <f t="shared" si="101"/>
        <v>5.9943272433318029</v>
      </c>
      <c r="Q139" s="3"/>
      <c r="R139" s="3">
        <f t="shared" si="67"/>
        <v>4.028978601904095</v>
      </c>
      <c r="S139" s="3">
        <f t="shared" si="68"/>
        <v>3.1429295851255734</v>
      </c>
      <c r="T139" s="3">
        <f t="shared" si="69"/>
        <v>2.4693970304668529</v>
      </c>
      <c r="U139" s="3"/>
      <c r="V139" s="3">
        <f t="shared" si="78"/>
        <v>20.144893009520473</v>
      </c>
      <c r="W139" s="3">
        <f t="shared" si="79"/>
        <v>15.714647925627867</v>
      </c>
      <c r="X139" s="3">
        <f t="shared" si="71"/>
        <v>12.346985152334264</v>
      </c>
      <c r="Y139" s="3"/>
      <c r="Z139" s="3">
        <f t="shared" si="80"/>
        <v>21.844286981086174</v>
      </c>
      <c r="AA139" s="3">
        <f t="shared" si="81"/>
        <v>17.040312844149327</v>
      </c>
      <c r="AB139" s="3">
        <f t="shared" si="82"/>
        <v>13.388558921178396</v>
      </c>
      <c r="AC139" s="3"/>
      <c r="AD139" s="3">
        <f t="shared" si="102"/>
        <v>21.451720496009205</v>
      </c>
      <c r="AE139" s="3">
        <f t="shared" si="103"/>
        <v>16.734079194882966</v>
      </c>
      <c r="AF139" s="3">
        <f t="shared" si="104"/>
        <v>13.147951410368654</v>
      </c>
      <c r="AI139" s="2"/>
      <c r="AJ139" s="2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AQ139" s="2"/>
      <c r="AR139" s="2"/>
      <c r="AS139"/>
      <c r="AU139"/>
      <c r="AV139"/>
      <c r="AW139" s="2"/>
      <c r="AX139" s="32"/>
      <c r="AY139" s="32"/>
      <c r="BA139" s="12"/>
      <c r="BB139" s="12"/>
      <c r="BC139" s="3"/>
      <c r="BD139" s="3"/>
      <c r="BE139" s="3"/>
      <c r="BI139" s="9"/>
      <c r="BJ139" s="9"/>
      <c r="BL139"/>
      <c r="BN139" s="12"/>
    </row>
    <row r="140" spans="1:66">
      <c r="A140">
        <v>2028</v>
      </c>
      <c r="B140" s="3"/>
      <c r="C140" s="3">
        <f t="shared" si="105"/>
        <v>153.60850999464401</v>
      </c>
      <c r="D140" s="3">
        <f t="shared" si="106"/>
        <v>84.844653255379882</v>
      </c>
      <c r="E140" s="3">
        <f t="shared" si="107"/>
        <v>31.929858819111395</v>
      </c>
      <c r="F140" s="6">
        <f>'Exchange Rates'!Y67</f>
        <v>9.0790000000000006</v>
      </c>
      <c r="G140" s="3"/>
      <c r="H140" s="3">
        <f>(C140*USA!$AU115/100)/$AW107*100*$F140</f>
        <v>1484.5906728867012</v>
      </c>
      <c r="I140" s="3">
        <f>(D140*USA!$AU115/100)/$AW107*100*$F140</f>
        <v>820.00392342608598</v>
      </c>
      <c r="J140" s="3">
        <f>(E140*USA!$AU115/100)/$AW107*100*$F140</f>
        <v>308.59469043150528</v>
      </c>
      <c r="K140" s="6"/>
      <c r="L140" s="6">
        <f t="shared" si="95"/>
        <v>10.303728077737105</v>
      </c>
      <c r="M140" s="6">
        <f t="shared" si="96"/>
        <v>6.6753505240762108</v>
      </c>
      <c r="N140" s="6">
        <f t="shared" si="97"/>
        <v>3.8832608785356078</v>
      </c>
      <c r="O140">
        <v>2028</v>
      </c>
      <c r="P140" s="3">
        <f t="shared" si="101"/>
        <v>5.9943272433318029</v>
      </c>
      <c r="Q140" s="3"/>
      <c r="R140" s="3">
        <f t="shared" si="67"/>
        <v>4.074513830267227</v>
      </c>
      <c r="S140" s="3">
        <f t="shared" si="68"/>
        <v>3.1674194418520036</v>
      </c>
      <c r="T140" s="3">
        <f t="shared" si="69"/>
        <v>2.4693970304668529</v>
      </c>
      <c r="U140" s="3"/>
      <c r="V140" s="3">
        <f t="shared" si="78"/>
        <v>20.372569151336137</v>
      </c>
      <c r="W140" s="3">
        <f t="shared" si="79"/>
        <v>15.837097209260019</v>
      </c>
      <c r="X140" s="3">
        <f t="shared" si="71"/>
        <v>12.346985152334264</v>
      </c>
      <c r="Y140" s="3"/>
      <c r="Z140" s="3">
        <f t="shared" si="80"/>
        <v>22.091169552178382</v>
      </c>
      <c r="AA140" s="3">
        <f t="shared" si="81"/>
        <v>17.173091771842067</v>
      </c>
      <c r="AB140" s="3">
        <f t="shared" si="82"/>
        <v>13.388558921178396</v>
      </c>
      <c r="AC140" s="3"/>
      <c r="AD140" s="3">
        <f t="shared" si="102"/>
        <v>21.694166308728651</v>
      </c>
      <c r="AE140" s="3">
        <f t="shared" si="103"/>
        <v>16.864471935423811</v>
      </c>
      <c r="AF140" s="3">
        <f t="shared" si="104"/>
        <v>13.147951410368654</v>
      </c>
      <c r="AI140" s="2"/>
      <c r="AJ140" s="2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AQ140" s="2"/>
      <c r="AR140" s="2"/>
      <c r="AS140"/>
      <c r="AU140"/>
      <c r="AV140"/>
      <c r="AW140" s="2"/>
      <c r="AX140" s="32"/>
      <c r="AY140" s="32"/>
      <c r="BA140" s="12"/>
      <c r="BB140" s="12"/>
      <c r="BC140" s="3"/>
      <c r="BD140" s="3"/>
      <c r="BE140" s="3"/>
      <c r="BI140" s="9"/>
      <c r="BJ140" s="9"/>
      <c r="BL140"/>
      <c r="BN140" s="12"/>
    </row>
    <row r="141" spans="1:66">
      <c r="A141">
        <v>2029</v>
      </c>
      <c r="B141" s="3"/>
      <c r="C141" s="3">
        <f t="shared" si="105"/>
        <v>157.9233557810104</v>
      </c>
      <c r="D141" s="3">
        <f t="shared" si="106"/>
        <v>87.361009569245411</v>
      </c>
      <c r="E141" s="3">
        <f t="shared" si="107"/>
        <v>31.929858819111395</v>
      </c>
      <c r="F141" s="6">
        <f>'Exchange Rates'!Y68</f>
        <v>9.0790000000000006</v>
      </c>
      <c r="G141" s="3"/>
      <c r="H141" s="3">
        <f>(C141*USA!$AU116/100)/$AW108*100*$F141</f>
        <v>1526.2926580801475</v>
      </c>
      <c r="I141" s="3">
        <f>(D141*USA!$AU116/100)/$AW108*100*$F141</f>
        <v>844.3239244036007</v>
      </c>
      <c r="J141" s="3">
        <f>(E141*USA!$AU116/100)/$AW108*100*$F141</f>
        <v>308.59469043150528</v>
      </c>
      <c r="K141" s="6"/>
      <c r="L141" s="6">
        <f t="shared" si="95"/>
        <v>10.531404219552758</v>
      </c>
      <c r="M141" s="6">
        <f t="shared" si="96"/>
        <v>6.808127991763377</v>
      </c>
      <c r="N141" s="6">
        <f t="shared" si="97"/>
        <v>3.8832608785356078</v>
      </c>
      <c r="O141">
        <v>2029</v>
      </c>
      <c r="P141" s="3">
        <f t="shared" si="101"/>
        <v>5.9943272433318029</v>
      </c>
      <c r="Q141" s="3"/>
      <c r="R141" s="3">
        <f t="shared" si="67"/>
        <v>4.1314328657211403</v>
      </c>
      <c r="S141" s="3">
        <f t="shared" si="68"/>
        <v>3.2006138087737952</v>
      </c>
      <c r="T141" s="3">
        <f t="shared" si="69"/>
        <v>2.4693970304668529</v>
      </c>
      <c r="U141" s="3"/>
      <c r="V141" s="3">
        <f t="shared" si="78"/>
        <v>20.657164328605703</v>
      </c>
      <c r="W141" s="3">
        <f t="shared" si="79"/>
        <v>16.003069043868976</v>
      </c>
      <c r="X141" s="3">
        <f t="shared" si="71"/>
        <v>12.346985152334264</v>
      </c>
      <c r="Y141" s="3"/>
      <c r="Z141" s="3">
        <f t="shared" si="80"/>
        <v>22.399772766043625</v>
      </c>
      <c r="AA141" s="3">
        <f t="shared" si="81"/>
        <v>17.353064749820259</v>
      </c>
      <c r="AB141" s="3">
        <f t="shared" si="82"/>
        <v>13.388558921178396</v>
      </c>
      <c r="AC141" s="3"/>
      <c r="AD141" s="3">
        <f t="shared" si="102"/>
        <v>21.997223574627935</v>
      </c>
      <c r="AE141" s="3">
        <f t="shared" si="103"/>
        <v>17.041210595915015</v>
      </c>
      <c r="AF141" s="3">
        <f t="shared" si="104"/>
        <v>13.147951410368654</v>
      </c>
      <c r="AI141" s="2"/>
      <c r="AJ141" s="2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AQ141" s="2"/>
      <c r="AR141" s="2"/>
      <c r="AS141"/>
      <c r="AU141"/>
      <c r="AV141"/>
      <c r="AW141" s="2"/>
      <c r="AX141" s="32"/>
      <c r="AY141" s="32"/>
      <c r="BA141" s="12"/>
      <c r="BB141" s="12"/>
      <c r="BC141" s="3"/>
      <c r="BD141" s="3"/>
      <c r="BE141" s="3"/>
      <c r="BI141" s="9"/>
      <c r="BJ141" s="9"/>
      <c r="BL141"/>
      <c r="BN141" s="12"/>
    </row>
    <row r="142" spans="1:66">
      <c r="A142">
        <v>2030</v>
      </c>
      <c r="B142" s="3"/>
      <c r="C142" s="3">
        <f t="shared" si="105"/>
        <v>160.51226325283022</v>
      </c>
      <c r="D142" s="3">
        <f t="shared" si="106"/>
        <v>89.285088706337618</v>
      </c>
      <c r="E142" s="3">
        <f t="shared" si="107"/>
        <v>32.792827976384679</v>
      </c>
      <c r="F142" s="6">
        <f>'Exchange Rates'!Y69</f>
        <v>9.0790000000000006</v>
      </c>
      <c r="G142" s="3"/>
      <c r="H142" s="3">
        <f>(C142*USA!$AU117/100)/$AW109*100*$F142</f>
        <v>1551.3138491962152</v>
      </c>
      <c r="I142" s="3">
        <f>(D142*USA!$AU117/100)/$AW109*100*$F142</f>
        <v>862.91970364084864</v>
      </c>
      <c r="J142" s="3">
        <f>(E142*USA!$AU117/100)/$AW109*100*$F142</f>
        <v>316.93508747019462</v>
      </c>
      <c r="K142" s="6"/>
      <c r="L142" s="6">
        <f>$L$110+$L$111*H142</f>
        <v>10.668009904642151</v>
      </c>
      <c r="M142" s="6">
        <f t="shared" si="96"/>
        <v>6.909653500708635</v>
      </c>
      <c r="N142" s="6">
        <f t="shared" si="97"/>
        <v>3.9287961068987389</v>
      </c>
      <c r="O142">
        <v>2030</v>
      </c>
      <c r="P142" s="3">
        <f t="shared" si="101"/>
        <v>5.9943272433318029</v>
      </c>
      <c r="Q142" s="3"/>
      <c r="R142" s="3">
        <f t="shared" si="67"/>
        <v>4.1655842869934885</v>
      </c>
      <c r="S142" s="3">
        <f t="shared" si="68"/>
        <v>3.2259951860101097</v>
      </c>
      <c r="T142" s="3">
        <f t="shared" si="69"/>
        <v>2.4807808375576355</v>
      </c>
      <c r="U142" s="3"/>
      <c r="V142" s="3">
        <f t="shared" si="78"/>
        <v>20.827921434967443</v>
      </c>
      <c r="W142" s="3">
        <f t="shared" si="79"/>
        <v>16.129975930050549</v>
      </c>
      <c r="X142" s="3">
        <f t="shared" si="71"/>
        <v>12.403904187788177</v>
      </c>
      <c r="Y142" s="3"/>
      <c r="Z142" s="3">
        <f t="shared" si="80"/>
        <v>22.584934694362769</v>
      </c>
      <c r="AA142" s="3">
        <f t="shared" si="81"/>
        <v>17.490677316951597</v>
      </c>
      <c r="AB142" s="3">
        <f t="shared" si="82"/>
        <v>13.450279563951444</v>
      </c>
      <c r="AC142" s="3"/>
      <c r="AD142" s="3">
        <f t="shared" si="102"/>
        <v>22.17905793416751</v>
      </c>
      <c r="AE142" s="3">
        <f t="shared" si="103"/>
        <v>17.176350109939705</v>
      </c>
      <c r="AF142" s="3">
        <f t="shared" si="104"/>
        <v>13.20856286354851</v>
      </c>
      <c r="AI142" s="2"/>
      <c r="AJ142" s="2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AQ142" s="2"/>
      <c r="AR142" s="2"/>
      <c r="AS142"/>
      <c r="AU142"/>
      <c r="AV142"/>
      <c r="AW142" s="2"/>
      <c r="AX142" s="32"/>
      <c r="AY142" s="32"/>
      <c r="BA142" s="12"/>
      <c r="BB142" s="12"/>
      <c r="BC142" s="3"/>
      <c r="BD142" s="3"/>
      <c r="BE142" s="3"/>
      <c r="BI142" s="9"/>
      <c r="BJ142" s="9"/>
      <c r="BL142"/>
      <c r="BN142" s="12"/>
    </row>
    <row r="143" spans="1:66">
      <c r="D143"/>
      <c r="E143"/>
      <c r="F143"/>
      <c r="G143" s="12"/>
      <c r="H143"/>
      <c r="I143"/>
      <c r="J143"/>
      <c r="K143"/>
      <c r="L143" s="23"/>
      <c r="M143" s="7"/>
      <c r="N143" s="12"/>
      <c r="O143" s="12"/>
      <c r="P143" s="23"/>
      <c r="Q143"/>
      <c r="R143"/>
      <c r="S143"/>
      <c r="T143"/>
      <c r="U143" s="23"/>
      <c r="V143"/>
      <c r="W143"/>
      <c r="X143"/>
      <c r="Y143"/>
      <c r="Z143"/>
      <c r="AA143"/>
      <c r="AB143"/>
      <c r="AC143"/>
      <c r="AD143"/>
      <c r="AE143"/>
      <c r="AF143"/>
      <c r="AI143" s="2"/>
      <c r="AJ143" s="2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AQ143" s="2"/>
      <c r="AR143" s="2"/>
      <c r="AS143"/>
      <c r="AU143"/>
      <c r="AV143"/>
      <c r="AW143" s="2"/>
      <c r="AX143" s="32"/>
      <c r="AY143" s="32"/>
      <c r="BA143" s="12"/>
      <c r="BB143" s="12"/>
      <c r="BC143" s="3"/>
      <c r="BD143" s="3"/>
      <c r="BE143" s="3"/>
      <c r="BI143" s="9"/>
      <c r="BJ143" s="9"/>
      <c r="BL143"/>
      <c r="BN143" s="12"/>
    </row>
    <row r="144" spans="1:66">
      <c r="D144"/>
      <c r="E144"/>
      <c r="F144"/>
      <c r="G144" s="12"/>
      <c r="H144"/>
      <c r="I144"/>
      <c r="J144"/>
      <c r="K144"/>
      <c r="L144" s="23"/>
      <c r="M144" s="7"/>
      <c r="N144" s="12"/>
      <c r="O144" s="12"/>
      <c r="P144" s="23"/>
      <c r="Q144"/>
      <c r="R144"/>
      <c r="S144"/>
      <c r="T144"/>
      <c r="U144" s="23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AP144"/>
      <c r="AQ144"/>
      <c r="AR144"/>
      <c r="AS144"/>
      <c r="AU144"/>
      <c r="AV144"/>
      <c r="AW144" s="2"/>
      <c r="AX144" s="32"/>
      <c r="AY144" s="32"/>
      <c r="BA144" s="12"/>
      <c r="BB144" s="12"/>
      <c r="BC144" s="3"/>
      <c r="BD144" s="3"/>
      <c r="BE144" s="3"/>
      <c r="BI144" s="9"/>
      <c r="BJ144" s="9"/>
      <c r="BL144"/>
      <c r="BN144" s="12"/>
    </row>
    <row r="145" spans="2:67">
      <c r="B145" s="2"/>
      <c r="C145" s="2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I145" s="2"/>
      <c r="AJ145" s="2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AP145"/>
      <c r="AQ145"/>
      <c r="AR145"/>
      <c r="AS145"/>
      <c r="AU145"/>
      <c r="AV145"/>
      <c r="AW145" s="2"/>
      <c r="AX145" s="32"/>
      <c r="AY145" s="32"/>
      <c r="BA145" s="12"/>
      <c r="BB145" s="12"/>
      <c r="BC145" s="3"/>
      <c r="BD145" s="3"/>
      <c r="BE145" s="3"/>
      <c r="BI145" s="9"/>
      <c r="BJ145" s="9"/>
      <c r="BL145"/>
      <c r="BN145" s="12"/>
    </row>
    <row r="146" spans="2:67">
      <c r="B146" s="2"/>
      <c r="C146" s="2"/>
      <c r="G146" s="32"/>
      <c r="J146" s="2"/>
      <c r="L146" s="37"/>
      <c r="M146" s="32"/>
      <c r="N146" s="32"/>
      <c r="O146" s="32"/>
      <c r="P146" s="37"/>
      <c r="Q146" s="2"/>
      <c r="R146" s="2">
        <v>17.630798190526818</v>
      </c>
      <c r="U146" s="37"/>
      <c r="W146" s="2"/>
      <c r="AI146" s="2"/>
      <c r="AJ146" s="2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AP146"/>
      <c r="AQ146"/>
      <c r="AR146"/>
      <c r="AS146"/>
      <c r="AU146"/>
      <c r="AV146"/>
      <c r="AW146" s="2"/>
      <c r="AX146" s="32"/>
      <c r="AY146" s="32"/>
      <c r="BA146" s="12"/>
      <c r="BB146" s="12"/>
      <c r="BC146" s="3"/>
      <c r="BD146" s="3"/>
      <c r="BE146" s="3"/>
      <c r="BI146" s="9"/>
      <c r="BJ146" s="9"/>
      <c r="BL146"/>
      <c r="BN146" s="12"/>
    </row>
    <row r="147" spans="2:67">
      <c r="B147" s="2"/>
      <c r="C147" s="2"/>
      <c r="G147" s="32"/>
      <c r="J147" s="2"/>
      <c r="L147" s="37"/>
      <c r="M147" s="32"/>
      <c r="N147" s="32"/>
      <c r="O147" s="32"/>
      <c r="P147" s="37"/>
      <c r="Q147" s="2"/>
      <c r="R147" s="2">
        <v>13.935889515533134</v>
      </c>
      <c r="U147" s="37"/>
      <c r="W147" s="2"/>
      <c r="AI147" s="2"/>
      <c r="AJ147" s="2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AP147"/>
      <c r="AQ147"/>
      <c r="AR147"/>
      <c r="AS147"/>
      <c r="AU147"/>
      <c r="AV147"/>
      <c r="AW147" s="2"/>
      <c r="AX147" s="32"/>
      <c r="AY147" s="32"/>
      <c r="BA147" s="12"/>
      <c r="BB147" s="12"/>
      <c r="BC147" s="3"/>
      <c r="BD147" s="3"/>
      <c r="BE147" s="3"/>
      <c r="BI147" s="9"/>
      <c r="BJ147" s="9"/>
      <c r="BL147"/>
      <c r="BN147" s="12"/>
    </row>
    <row r="148" spans="2:67">
      <c r="B148" s="2"/>
      <c r="C148" s="2"/>
      <c r="G148" s="32"/>
      <c r="J148" s="2"/>
      <c r="L148" s="37"/>
      <c r="M148" s="32"/>
      <c r="N148" s="32"/>
      <c r="O148" s="32"/>
      <c r="P148" s="37"/>
      <c r="Q148" s="2"/>
      <c r="R148" s="2">
        <f>R146/R147-1</f>
        <v>0.26513619176409864</v>
      </c>
      <c r="U148" s="37"/>
      <c r="W148" s="2"/>
      <c r="AI148" s="2"/>
      <c r="AJ148" s="2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AP148"/>
      <c r="AQ148"/>
      <c r="AR148"/>
      <c r="AS148"/>
      <c r="AU148"/>
      <c r="AV148"/>
      <c r="AW148" s="2"/>
      <c r="AX148" s="32"/>
      <c r="AY148" s="32"/>
      <c r="BA148" s="12"/>
      <c r="BB148" s="12"/>
      <c r="BC148" s="3"/>
      <c r="BD148" s="3"/>
      <c r="BE148" s="3"/>
      <c r="BI148" s="9"/>
      <c r="BJ148" s="9"/>
      <c r="BL148"/>
      <c r="BN148" s="12"/>
    </row>
    <row r="149" spans="2:67">
      <c r="B149" s="2"/>
      <c r="C149" s="2"/>
      <c r="G149" s="32"/>
      <c r="J149" s="2"/>
      <c r="L149" s="37"/>
      <c r="M149" s="32"/>
      <c r="N149" s="32"/>
      <c r="O149" s="32"/>
      <c r="P149" s="37"/>
      <c r="Q149" s="2"/>
      <c r="R149" s="2"/>
      <c r="U149" s="37"/>
      <c r="W149" s="2"/>
      <c r="AI149" s="2"/>
      <c r="AJ149" s="2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AP149"/>
      <c r="AQ149"/>
      <c r="AR149"/>
      <c r="AS149"/>
      <c r="AU149"/>
      <c r="AV149"/>
      <c r="AW149" s="2"/>
      <c r="AX149" s="32"/>
      <c r="AY149" s="32"/>
      <c r="BA149" s="12"/>
      <c r="BB149" s="12"/>
      <c r="BC149" s="3"/>
      <c r="BD149" s="3"/>
      <c r="BE149" s="3"/>
      <c r="BI149" s="9"/>
      <c r="BJ149" s="9"/>
      <c r="BL149"/>
      <c r="BN149" s="12"/>
    </row>
    <row r="150" spans="2:67">
      <c r="O150" s="32"/>
      <c r="P150" s="37"/>
      <c r="R150" s="32"/>
      <c r="S150" s="37"/>
      <c r="W150" s="2"/>
      <c r="X150" s="37"/>
      <c r="Y150" s="37"/>
      <c r="Z150" s="37"/>
      <c r="AA150" s="37"/>
      <c r="AB150" s="37"/>
      <c r="AC150" s="37"/>
      <c r="AD150" s="37"/>
      <c r="AE150" s="37"/>
      <c r="AF150" s="37"/>
      <c r="AI150" s="2"/>
      <c r="AJ150" s="2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AQ150" s="2"/>
      <c r="AR150" s="2"/>
      <c r="AS150"/>
      <c r="AU150"/>
      <c r="AV150"/>
      <c r="AW150"/>
      <c r="AX150" s="12"/>
      <c r="AZ150" s="32"/>
      <c r="BA150" s="32"/>
      <c r="BB150" s="32"/>
      <c r="BC150" s="23"/>
      <c r="BE150" s="23"/>
      <c r="BF150" s="3"/>
      <c r="BG150" s="3"/>
      <c r="BH150" s="3"/>
      <c r="BI150" s="3"/>
      <c r="BJ150" s="3"/>
      <c r="BL150"/>
      <c r="BN150" s="12"/>
      <c r="BO150" s="9"/>
    </row>
    <row r="151" spans="2:67">
      <c r="K151" s="3"/>
      <c r="O151" s="32"/>
      <c r="P151" s="37"/>
      <c r="R151" s="32"/>
      <c r="S151" s="37"/>
      <c r="W151" s="2"/>
      <c r="X151" s="37"/>
      <c r="Y151" s="37"/>
      <c r="Z151" s="37"/>
      <c r="AA151" s="37"/>
      <c r="AB151" s="37"/>
      <c r="AC151" s="37"/>
      <c r="AD151" s="37"/>
      <c r="AE151" s="37"/>
      <c r="AF151" s="37"/>
      <c r="AI151" s="2"/>
      <c r="AJ151" s="2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AQ151" s="2"/>
      <c r="AR151" s="2"/>
      <c r="AS151"/>
      <c r="AU151"/>
      <c r="AV151"/>
      <c r="AW151"/>
      <c r="AX151" s="12"/>
      <c r="AZ151" s="32"/>
      <c r="BA151" s="32"/>
      <c r="BB151" s="32"/>
      <c r="BC151" s="23"/>
      <c r="BE151" s="23"/>
      <c r="BF151" s="3"/>
      <c r="BG151" s="3"/>
      <c r="BH151" s="3"/>
      <c r="BI151" s="3"/>
      <c r="BJ151" s="3"/>
      <c r="BL151"/>
      <c r="BN151" s="12"/>
      <c r="BO151" s="9"/>
    </row>
    <row r="152" spans="2:67">
      <c r="K152" s="3"/>
      <c r="O152" s="32"/>
      <c r="P152" s="37"/>
      <c r="R152" s="32"/>
      <c r="S152" s="37"/>
      <c r="W152" s="2"/>
      <c r="X152" s="37"/>
      <c r="Y152" s="37"/>
      <c r="Z152" s="37"/>
      <c r="AA152" s="37"/>
      <c r="AB152" s="37"/>
      <c r="AC152" s="37"/>
      <c r="AD152" s="37"/>
      <c r="AE152" s="37"/>
      <c r="AF152" s="37"/>
      <c r="AI152" s="2"/>
      <c r="AJ152" s="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AQ152" s="2"/>
      <c r="AR152" s="2"/>
      <c r="AS152"/>
      <c r="AU152"/>
      <c r="AV152"/>
      <c r="AW152"/>
      <c r="AX152" s="12"/>
      <c r="AZ152" s="32"/>
      <c r="BA152" s="32"/>
      <c r="BB152" s="32"/>
      <c r="BC152" s="23"/>
      <c r="BE152" s="23"/>
      <c r="BF152" s="3"/>
      <c r="BG152" s="3"/>
      <c r="BH152" s="3"/>
      <c r="BI152" s="3"/>
      <c r="BJ152" s="3"/>
      <c r="BL152"/>
      <c r="BN152" s="12"/>
      <c r="BO152" s="9"/>
    </row>
    <row r="153" spans="2:67">
      <c r="K153" s="3"/>
      <c r="O153" s="32"/>
      <c r="P153" s="37"/>
      <c r="Q153" s="32">
        <v>0.27</v>
      </c>
      <c r="R153" s="32"/>
      <c r="S153" s="37"/>
      <c r="W153" s="2"/>
      <c r="X153" s="37"/>
      <c r="Y153" s="37"/>
      <c r="Z153" s="37"/>
      <c r="AA153" s="37"/>
      <c r="AB153" s="37"/>
      <c r="AC153" s="37"/>
      <c r="AD153" s="37"/>
      <c r="AE153" s="37"/>
      <c r="AF153" s="37"/>
      <c r="AI153" s="2"/>
      <c r="AJ153" s="2"/>
      <c r="AK153" s="2"/>
      <c r="AL153" s="2"/>
      <c r="AM153" s="2"/>
      <c r="AQ153" s="2"/>
      <c r="AR153" s="2"/>
      <c r="AS153"/>
      <c r="AU153"/>
      <c r="AV153"/>
      <c r="AW153"/>
      <c r="AX153" s="12"/>
      <c r="AZ153" s="32"/>
      <c r="BA153" s="32"/>
      <c r="BB153" s="32"/>
      <c r="BC153" s="23"/>
      <c r="BE153" s="23"/>
      <c r="BF153" s="3"/>
      <c r="BG153" s="3"/>
      <c r="BH153" s="3"/>
      <c r="BI153" s="3"/>
      <c r="BJ153" s="3"/>
      <c r="BL153"/>
      <c r="BN153" s="12"/>
      <c r="BO153" s="9"/>
    </row>
    <row r="154" spans="2:67">
      <c r="K154" s="3"/>
      <c r="AI154" s="2"/>
      <c r="AJ154" s="2"/>
      <c r="AK154" s="2"/>
      <c r="AL154" s="2"/>
      <c r="AM154" s="2"/>
      <c r="AN154"/>
      <c r="AO154"/>
      <c r="AP154"/>
      <c r="AQ154"/>
      <c r="AR154"/>
      <c r="AS154"/>
      <c r="AU154" s="2"/>
      <c r="AV154" s="2"/>
      <c r="AW154" s="32"/>
      <c r="AX154" s="12"/>
      <c r="BA154" s="7"/>
      <c r="BB154" s="3"/>
      <c r="BC154" s="3"/>
      <c r="BG154" s="9"/>
      <c r="BL154"/>
      <c r="BM154" s="12"/>
    </row>
    <row r="155" spans="2:67">
      <c r="K155" s="3"/>
      <c r="AI155" s="2"/>
      <c r="AJ155" s="2"/>
      <c r="AK155" s="2"/>
      <c r="AL155" s="2"/>
      <c r="AM155" s="2"/>
      <c r="AN155"/>
      <c r="AO155"/>
      <c r="AP155"/>
      <c r="AQ155"/>
      <c r="AR155"/>
      <c r="AS155"/>
      <c r="AU155" s="2"/>
      <c r="AV155" s="2"/>
      <c r="AW155" s="32"/>
      <c r="AX155" s="12"/>
      <c r="BA155" s="7"/>
      <c r="BB155" s="3"/>
      <c r="BC155" s="3"/>
      <c r="BG155" s="9"/>
      <c r="BL155"/>
      <c r="BM155" s="12"/>
    </row>
    <row r="156" spans="2:67">
      <c r="K156" s="3"/>
      <c r="AI156" s="2"/>
      <c r="AJ156" s="2"/>
      <c r="AK156" s="2"/>
      <c r="AL156" s="2"/>
      <c r="AN156"/>
      <c r="AO156"/>
      <c r="AP156"/>
      <c r="AQ156"/>
      <c r="AR156"/>
      <c r="AS156"/>
      <c r="AT156" s="2"/>
      <c r="AU156" s="2"/>
      <c r="AV156" s="32"/>
      <c r="AW156" s="12"/>
      <c r="AX156" s="12"/>
      <c r="AZ156" s="7"/>
      <c r="BA156" s="3"/>
      <c r="BB156" s="3"/>
      <c r="BF156" s="9"/>
    </row>
    <row r="157" spans="2:67">
      <c r="K157" s="3"/>
      <c r="AI157" s="2"/>
      <c r="AJ157" s="2"/>
      <c r="AK157" s="2"/>
      <c r="AL157" s="2"/>
      <c r="AN157"/>
      <c r="AO157"/>
      <c r="AP157"/>
      <c r="AQ157"/>
      <c r="AR157"/>
      <c r="AS157"/>
      <c r="AT157" s="2"/>
      <c r="AU157" s="2"/>
      <c r="AV157" s="32"/>
      <c r="AW157" s="12"/>
      <c r="AX157" s="12"/>
      <c r="AZ157" s="7"/>
      <c r="BA157" s="3"/>
      <c r="BB157" s="3"/>
      <c r="BF157" s="9"/>
    </row>
    <row r="158" spans="2:67">
      <c r="K158" s="3"/>
    </row>
    <row r="159" spans="2:67">
      <c r="K159" s="3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workbookViewId="0">
      <selection activeCell="A3" sqref="A3:G24"/>
    </sheetView>
  </sheetViews>
  <sheetFormatPr defaultRowHeight="15"/>
  <cols>
    <col min="1" max="1" width="18.42578125" customWidth="1"/>
    <col min="2" max="7" width="13.42578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0.99064611249286838</v>
      </c>
    </row>
    <row r="5" spans="1:7">
      <c r="A5" s="13" t="s">
        <v>80</v>
      </c>
      <c r="B5" s="13">
        <v>0.98137972019723285</v>
      </c>
    </row>
    <row r="6" spans="1:7">
      <c r="A6" s="13" t="s">
        <v>81</v>
      </c>
      <c r="B6" s="13">
        <v>0.97854619935768139</v>
      </c>
    </row>
    <row r="7" spans="1:7">
      <c r="A7" s="13" t="s">
        <v>82</v>
      </c>
      <c r="B7" s="13">
        <v>3.1393918470470412E-2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7</v>
      </c>
      <c r="C12" s="13">
        <v>2.3894599756860542</v>
      </c>
      <c r="D12" s="13">
        <v>0.34135142509800775</v>
      </c>
      <c r="E12" s="13">
        <v>346.34639226883718</v>
      </c>
      <c r="F12" s="13">
        <v>1.4194095586342516E-37</v>
      </c>
    </row>
    <row r="13" spans="1:7">
      <c r="A13" s="13" t="s">
        <v>86</v>
      </c>
      <c r="B13" s="13">
        <v>46</v>
      </c>
      <c r="C13" s="13">
        <v>4.5336593378804982E-2</v>
      </c>
      <c r="D13" s="13">
        <v>9.8557811693054313E-4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2.4347965690648592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0.33210817557615496</v>
      </c>
      <c r="C17" s="13">
        <v>1.7486756125975399E-2</v>
      </c>
      <c r="D17" s="13">
        <v>18.99198302896388</v>
      </c>
      <c r="E17" s="13">
        <v>2.1055005556554889E-23</v>
      </c>
      <c r="F17" s="13">
        <v>0.29690916113080168</v>
      </c>
      <c r="G17" s="13">
        <v>0.36730719002150825</v>
      </c>
    </row>
    <row r="18" spans="1:7">
      <c r="A18" s="13" t="s">
        <v>229</v>
      </c>
      <c r="B18" s="13">
        <v>5.7692589055647293E-3</v>
      </c>
      <c r="C18" s="13">
        <v>2.0502122326823509E-4</v>
      </c>
      <c r="D18" s="13">
        <v>28.139813106161423</v>
      </c>
      <c r="E18" s="13">
        <v>1.2318431216612561E-30</v>
      </c>
      <c r="F18" s="13">
        <v>5.3565725875630212E-3</v>
      </c>
      <c r="G18" s="13">
        <v>6.1819452235664374E-3</v>
      </c>
    </row>
    <row r="19" spans="1:7">
      <c r="A19" s="13" t="s">
        <v>244</v>
      </c>
      <c r="B19" s="13">
        <v>0.17767962778146615</v>
      </c>
      <c r="C19" s="13">
        <v>1.9693539004169345E-2</v>
      </c>
      <c r="D19" s="13">
        <v>9.0222294603244926</v>
      </c>
      <c r="E19" s="13">
        <v>9.6600743903660857E-12</v>
      </c>
      <c r="F19" s="13">
        <v>0.13803858979282554</v>
      </c>
      <c r="G19" s="13">
        <v>0.21732066577010675</v>
      </c>
    </row>
    <row r="20" spans="1:7">
      <c r="A20" s="13" t="s">
        <v>2093</v>
      </c>
      <c r="B20" s="13">
        <v>-0.32616204688663447</v>
      </c>
      <c r="C20" s="13">
        <v>1.9518036349132115E-2</v>
      </c>
      <c r="D20" s="13">
        <v>-16.710802308816149</v>
      </c>
      <c r="E20" s="13">
        <v>3.6495441152565199E-21</v>
      </c>
      <c r="F20" s="13">
        <v>-0.36544981635335194</v>
      </c>
      <c r="G20" s="13">
        <v>-0.286874277419917</v>
      </c>
    </row>
    <row r="21" spans="1:7">
      <c r="A21" s="13" t="s">
        <v>2016</v>
      </c>
      <c r="B21" s="13">
        <v>8.1174553917264955E-2</v>
      </c>
      <c r="C21" s="13">
        <v>1.1701218776119904E-2</v>
      </c>
      <c r="D21" s="13">
        <v>6.9372734131702343</v>
      </c>
      <c r="E21" s="13">
        <v>1.1316961231392413E-8</v>
      </c>
      <c r="F21" s="13">
        <v>5.76212221408198E-2</v>
      </c>
      <c r="G21" s="13">
        <v>0.10472788569371011</v>
      </c>
    </row>
    <row r="22" spans="1:7">
      <c r="A22" s="13" t="s">
        <v>2017</v>
      </c>
      <c r="B22" s="13">
        <v>0.11791386518624351</v>
      </c>
      <c r="C22" s="13">
        <v>3.2257815901980416E-2</v>
      </c>
      <c r="D22" s="13">
        <v>3.6553579927587219</v>
      </c>
      <c r="E22" s="13">
        <v>6.5731636904924453E-4</v>
      </c>
      <c r="F22" s="13">
        <v>5.2982249526393937E-2</v>
      </c>
      <c r="G22" s="13">
        <v>0.18284548084609309</v>
      </c>
    </row>
    <row r="23" spans="1:7">
      <c r="A23" s="13" t="s">
        <v>2018</v>
      </c>
      <c r="B23" s="13">
        <v>-8.6481170402733426E-2</v>
      </c>
      <c r="C23" s="13">
        <v>1.9931331646932598E-2</v>
      </c>
      <c r="D23" s="13">
        <v>-4.3389559681549299</v>
      </c>
      <c r="E23" s="13">
        <v>7.7607925196591381E-5</v>
      </c>
      <c r="F23" s="13">
        <v>-0.12660086015544761</v>
      </c>
      <c r="G23" s="13">
        <v>-4.636148065001925E-2</v>
      </c>
    </row>
    <row r="24" spans="1:7" ht="15.75" thickBot="1">
      <c r="A24" s="14" t="s">
        <v>2167</v>
      </c>
      <c r="B24" s="14">
        <v>-5.4045907224371553E-2</v>
      </c>
      <c r="C24" s="14">
        <v>2.5349895546004479E-2</v>
      </c>
      <c r="D24" s="14">
        <v>-2.1319972355030075</v>
      </c>
      <c r="E24" s="14">
        <v>3.8379367942653675E-2</v>
      </c>
      <c r="F24" s="14">
        <v>-0.10507260040199123</v>
      </c>
      <c r="G24" s="14">
        <v>-3.0192140467518794E-3</v>
      </c>
    </row>
    <row r="43" spans="7:7">
      <c r="G43" t="s">
        <v>1911</v>
      </c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M172"/>
  <sheetViews>
    <sheetView zoomScale="75" zoomScaleNormal="75" workbookViewId="0">
      <pane xSplit="1" ySplit="4" topLeftCell="AK48" activePane="bottomRight" state="frozen"/>
      <selection activeCell="BN97" sqref="BN97"/>
      <selection pane="topRight" activeCell="BN97" sqref="BN97"/>
      <selection pane="bottomLeft" activeCell="BN97" sqref="BN97"/>
      <selection pane="bottomRight" activeCell="AM42" sqref="AM42:BG97"/>
    </sheetView>
  </sheetViews>
  <sheetFormatPr defaultRowHeight="15"/>
  <cols>
    <col min="1" max="1" width="6.7109375" customWidth="1"/>
    <col min="2" max="3" width="11.5703125" customWidth="1"/>
    <col min="4" max="6" width="11.5703125" style="2" customWidth="1"/>
    <col min="7" max="9" width="9.28515625" style="2" bestFit="1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10.85546875" style="37" customWidth="1"/>
    <col min="16" max="17" width="9.85546875" style="32" customWidth="1"/>
    <col min="18" max="18" width="10.42578125" style="37" customWidth="1"/>
    <col min="19" max="22" width="9.28515625" style="2" bestFit="1" customWidth="1"/>
    <col min="23" max="23" width="9.85546875" style="37" customWidth="1"/>
    <col min="24" max="26" width="9.28515625" style="2" bestFit="1" customWidth="1"/>
    <col min="27" max="27" width="13.85546875" style="2" customWidth="1"/>
    <col min="28" max="29" width="9.28515625" style="2" bestFit="1" customWidth="1"/>
    <col min="30" max="34" width="9.140625" style="2"/>
    <col min="39" max="39" width="5.85546875" customWidth="1"/>
    <col min="40" max="40" width="8.7109375" style="2" customWidth="1"/>
    <col min="41" max="41" width="8.5703125" style="2" customWidth="1"/>
    <col min="42" max="42" width="8.140625" style="2" customWidth="1"/>
    <col min="43" max="43" width="8.42578125" style="2" customWidth="1"/>
    <col min="44" max="44" width="8.7109375" style="32" customWidth="1"/>
    <col min="45" max="45" width="2.7109375" style="12" customWidth="1"/>
    <col min="46" max="46" width="7.5703125" style="12" customWidth="1"/>
    <col min="47" max="47" width="2.7109375" style="12" customWidth="1"/>
    <col min="48" max="48" width="10.7109375" style="7" customWidth="1"/>
    <col min="49" max="49" width="9.140625" style="7"/>
    <col min="50" max="50" width="8" style="3" customWidth="1"/>
    <col min="51" max="51" width="8" customWidth="1"/>
    <col min="53" max="53" width="10.28515625" style="9" customWidth="1"/>
    <col min="54" max="54" width="5.85546875" customWidth="1"/>
    <col min="55" max="55" width="6" customWidth="1"/>
    <col min="56" max="56" width="5.42578125" customWidth="1"/>
    <col min="57" max="57" width="5.85546875" customWidth="1"/>
    <col min="58" max="58" width="5.5703125" customWidth="1"/>
    <col min="59" max="59" width="5.28515625" customWidth="1"/>
  </cols>
  <sheetData>
    <row r="1" spans="1:62">
      <c r="A1" s="23" t="s">
        <v>203</v>
      </c>
      <c r="B1" s="23"/>
      <c r="C1" s="23"/>
      <c r="G1" s="39" t="s">
        <v>204</v>
      </c>
      <c r="BI1" s="7"/>
      <c r="BJ1" s="7"/>
    </row>
    <row r="2" spans="1:62">
      <c r="D2" s="2" t="s">
        <v>45</v>
      </c>
      <c r="F2" s="2" t="s">
        <v>46</v>
      </c>
      <c r="H2" s="2" t="s">
        <v>169</v>
      </c>
      <c r="I2" s="2" t="s">
        <v>169</v>
      </c>
      <c r="J2" s="2" t="s">
        <v>169</v>
      </c>
      <c r="K2" s="2" t="s">
        <v>169</v>
      </c>
      <c r="N2" s="23" t="s">
        <v>203</v>
      </c>
      <c r="P2" s="23" t="s">
        <v>203</v>
      </c>
      <c r="Q2" s="38" t="s">
        <v>142</v>
      </c>
      <c r="S2" s="23" t="s">
        <v>203</v>
      </c>
      <c r="X2" s="23" t="s">
        <v>203</v>
      </c>
      <c r="Y2" s="23" t="s">
        <v>203</v>
      </c>
      <c r="Z2" s="23" t="s">
        <v>203</v>
      </c>
      <c r="AA2" s="23" t="s">
        <v>203</v>
      </c>
      <c r="AB2" s="23" t="s">
        <v>203</v>
      </c>
      <c r="AC2" s="2" t="s">
        <v>113</v>
      </c>
      <c r="BI2" s="7"/>
      <c r="BJ2" s="7"/>
    </row>
    <row r="3" spans="1:62">
      <c r="B3" t="s">
        <v>182</v>
      </c>
      <c r="C3" t="s">
        <v>218</v>
      </c>
      <c r="D3" s="23" t="s">
        <v>203</v>
      </c>
      <c r="F3" s="23" t="s">
        <v>203</v>
      </c>
      <c r="H3" s="23" t="s">
        <v>203</v>
      </c>
      <c r="I3" s="23" t="s">
        <v>203</v>
      </c>
      <c r="J3" s="23" t="s">
        <v>203</v>
      </c>
      <c r="K3" s="23" t="s">
        <v>203</v>
      </c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2" t="s">
        <v>61</v>
      </c>
      <c r="Z3" s="2" t="s">
        <v>61</v>
      </c>
      <c r="AA3" s="2" t="s">
        <v>61</v>
      </c>
      <c r="AB3" s="38" t="s">
        <v>61</v>
      </c>
      <c r="AC3" s="2" t="s">
        <v>61</v>
      </c>
      <c r="AM3" s="46" t="s">
        <v>2103</v>
      </c>
      <c r="AN3" s="46" t="s">
        <v>1856</v>
      </c>
      <c r="AO3" s="46" t="s">
        <v>1856</v>
      </c>
      <c r="AP3" s="46" t="s">
        <v>1856</v>
      </c>
      <c r="AQ3" s="46" t="s">
        <v>1856</v>
      </c>
      <c r="AR3" s="46" t="s">
        <v>1856</v>
      </c>
      <c r="AS3" s="3"/>
      <c r="AT3" s="46"/>
      <c r="AU3" s="3"/>
      <c r="AV3" s="46" t="s">
        <v>2134</v>
      </c>
      <c r="AW3" s="46" t="s">
        <v>2134</v>
      </c>
      <c r="AX3" s="46" t="s">
        <v>2134</v>
      </c>
      <c r="AY3" s="46" t="s">
        <v>2134</v>
      </c>
      <c r="AZ3" s="46" t="s">
        <v>2134</v>
      </c>
      <c r="BA3" s="46" t="s">
        <v>2135</v>
      </c>
      <c r="BB3" s="46" t="s">
        <v>2098</v>
      </c>
      <c r="BC3" s="46" t="s">
        <v>2098</v>
      </c>
      <c r="BD3" s="46" t="s">
        <v>2098</v>
      </c>
      <c r="BE3" s="46" t="s">
        <v>2098</v>
      </c>
      <c r="BF3" s="46" t="s">
        <v>2098</v>
      </c>
      <c r="BG3" s="46" t="s">
        <v>2098</v>
      </c>
      <c r="BI3" s="46" t="s">
        <v>2465</v>
      </c>
      <c r="BJ3" s="46" t="s">
        <v>2465</v>
      </c>
    </row>
    <row r="4" spans="1:62">
      <c r="A4" t="s">
        <v>2103</v>
      </c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2" t="s">
        <v>6</v>
      </c>
      <c r="I4" s="41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126</v>
      </c>
      <c r="U4" s="2" t="s">
        <v>126</v>
      </c>
      <c r="V4" s="2" t="s">
        <v>126</v>
      </c>
      <c r="X4" s="2" t="s">
        <v>109</v>
      </c>
      <c r="Y4" s="2" t="s">
        <v>111</v>
      </c>
      <c r="Z4" s="2" t="s">
        <v>152</v>
      </c>
      <c r="AA4" s="2" t="s">
        <v>112</v>
      </c>
      <c r="AB4" s="38" t="s">
        <v>87</v>
      </c>
      <c r="AC4" s="2" t="s">
        <v>87</v>
      </c>
      <c r="AH4" s="2" t="s">
        <v>111</v>
      </c>
      <c r="AI4" t="s">
        <v>2205</v>
      </c>
      <c r="AM4" s="46"/>
      <c r="AN4" s="46" t="s">
        <v>131</v>
      </c>
      <c r="AO4" s="46" t="s">
        <v>111</v>
      </c>
      <c r="AP4" s="46" t="s">
        <v>112</v>
      </c>
      <c r="AQ4" s="46" t="s">
        <v>67</v>
      </c>
      <c r="AR4" s="46" t="s">
        <v>133</v>
      </c>
      <c r="AS4" s="3"/>
      <c r="AT4" s="139" t="s">
        <v>237</v>
      </c>
      <c r="AU4" s="3"/>
      <c r="AV4" s="46" t="s">
        <v>131</v>
      </c>
      <c r="AW4" s="46" t="s">
        <v>2097</v>
      </c>
      <c r="AX4" s="46" t="s">
        <v>67</v>
      </c>
      <c r="AY4" s="46" t="s">
        <v>133</v>
      </c>
      <c r="AZ4" s="46" t="s">
        <v>2097</v>
      </c>
      <c r="BA4" s="46" t="s">
        <v>1943</v>
      </c>
      <c r="BB4" s="46">
        <v>6567</v>
      </c>
      <c r="BC4" s="46">
        <v>9003</v>
      </c>
      <c r="BD4" s="46">
        <v>6503</v>
      </c>
      <c r="BE4" s="46">
        <v>74</v>
      </c>
      <c r="BF4" s="46">
        <v>6971</v>
      </c>
      <c r="BG4" s="46" t="s">
        <v>293</v>
      </c>
      <c r="BI4" s="46" t="s">
        <v>131</v>
      </c>
      <c r="BJ4" s="46" t="s">
        <v>2097</v>
      </c>
    </row>
    <row r="5" spans="1:62">
      <c r="A5">
        <v>1926</v>
      </c>
      <c r="AM5">
        <v>1926</v>
      </c>
      <c r="BI5" s="7"/>
      <c r="BJ5" s="7"/>
    </row>
    <row r="6" spans="1:62">
      <c r="A6">
        <v>1927</v>
      </c>
      <c r="AM6">
        <v>1927</v>
      </c>
      <c r="BI6" s="7"/>
      <c r="BJ6" s="7"/>
    </row>
    <row r="7" spans="1:62">
      <c r="A7">
        <v>1928</v>
      </c>
      <c r="AM7">
        <v>1928</v>
      </c>
      <c r="BI7" s="7"/>
      <c r="BJ7" s="7"/>
    </row>
    <row r="8" spans="1:62">
      <c r="A8">
        <v>1929</v>
      </c>
      <c r="AM8">
        <v>1929</v>
      </c>
      <c r="BI8" s="7"/>
      <c r="BJ8" s="7"/>
    </row>
    <row r="9" spans="1:62">
      <c r="A9">
        <v>1930</v>
      </c>
      <c r="AM9">
        <v>1930</v>
      </c>
      <c r="BI9" s="7"/>
      <c r="BJ9" s="7"/>
    </row>
    <row r="10" spans="1:62">
      <c r="A10">
        <v>1931</v>
      </c>
      <c r="AM10">
        <v>1931</v>
      </c>
      <c r="BI10" s="7"/>
      <c r="BJ10" s="7"/>
    </row>
    <row r="11" spans="1:62">
      <c r="A11">
        <v>1932</v>
      </c>
      <c r="AM11">
        <v>1932</v>
      </c>
      <c r="BI11" s="7"/>
      <c r="BJ11" s="7"/>
    </row>
    <row r="12" spans="1:62">
      <c r="A12">
        <v>1933</v>
      </c>
      <c r="AM12">
        <v>1933</v>
      </c>
      <c r="BI12" s="7"/>
      <c r="BJ12" s="7"/>
    </row>
    <row r="13" spans="1:62">
      <c r="A13">
        <v>1934</v>
      </c>
      <c r="AM13">
        <v>1934</v>
      </c>
      <c r="BI13" s="7"/>
      <c r="BJ13" s="7"/>
    </row>
    <row r="14" spans="1:62">
      <c r="A14">
        <v>1935</v>
      </c>
      <c r="AM14">
        <v>1935</v>
      </c>
      <c r="BI14" s="7"/>
      <c r="BJ14" s="7"/>
    </row>
    <row r="15" spans="1:62">
      <c r="A15">
        <v>1936</v>
      </c>
      <c r="AM15">
        <v>1936</v>
      </c>
      <c r="BI15" s="7"/>
      <c r="BJ15" s="7"/>
    </row>
    <row r="16" spans="1:62">
      <c r="A16">
        <v>1937</v>
      </c>
      <c r="AM16">
        <v>1937</v>
      </c>
      <c r="BI16" s="7"/>
      <c r="BJ16" s="7"/>
    </row>
    <row r="17" spans="1:62">
      <c r="A17">
        <v>1938</v>
      </c>
      <c r="AM17">
        <v>1938</v>
      </c>
      <c r="BI17" s="7"/>
      <c r="BJ17" s="7"/>
    </row>
    <row r="18" spans="1:62">
      <c r="A18">
        <v>1939</v>
      </c>
      <c r="AM18">
        <v>1939</v>
      </c>
      <c r="BI18" s="7"/>
      <c r="BJ18" s="7"/>
    </row>
    <row r="19" spans="1:62">
      <c r="A19">
        <v>1940</v>
      </c>
      <c r="AM19">
        <v>1940</v>
      </c>
      <c r="BI19" s="7"/>
      <c r="BJ19" s="7"/>
    </row>
    <row r="20" spans="1:62">
      <c r="A20">
        <v>1941</v>
      </c>
      <c r="AM20">
        <v>1941</v>
      </c>
      <c r="BI20" s="7"/>
      <c r="BJ20" s="7"/>
    </row>
    <row r="21" spans="1:62">
      <c r="A21">
        <v>1942</v>
      </c>
      <c r="AM21">
        <v>1942</v>
      </c>
      <c r="BI21" s="7"/>
      <c r="BJ21" s="7"/>
    </row>
    <row r="22" spans="1:62">
      <c r="A22">
        <v>1943</v>
      </c>
      <c r="AM22">
        <v>1943</v>
      </c>
      <c r="BI22" s="7"/>
      <c r="BJ22" s="7"/>
    </row>
    <row r="23" spans="1:62">
      <c r="A23">
        <v>1944</v>
      </c>
      <c r="AM23">
        <v>1944</v>
      </c>
      <c r="BI23" s="7"/>
      <c r="BJ23" s="7"/>
    </row>
    <row r="24" spans="1:62">
      <c r="A24">
        <v>1945</v>
      </c>
      <c r="AM24">
        <v>1945</v>
      </c>
      <c r="BI24" s="7"/>
      <c r="BJ24" s="7"/>
    </row>
    <row r="25" spans="1:62">
      <c r="A25">
        <v>1946</v>
      </c>
      <c r="AM25">
        <v>1946</v>
      </c>
      <c r="BI25" s="7"/>
      <c r="BJ25" s="7"/>
    </row>
    <row r="26" spans="1:62">
      <c r="A26">
        <v>1947</v>
      </c>
      <c r="AM26">
        <v>1947</v>
      </c>
      <c r="BI26" s="7"/>
      <c r="BJ26" s="7"/>
    </row>
    <row r="27" spans="1:62">
      <c r="A27">
        <v>1948</v>
      </c>
      <c r="AM27">
        <v>1948</v>
      </c>
      <c r="BI27" s="7"/>
      <c r="BJ27" s="7"/>
    </row>
    <row r="28" spans="1:62">
      <c r="A28">
        <v>1949</v>
      </c>
      <c r="AM28">
        <v>1949</v>
      </c>
      <c r="BI28" s="7"/>
      <c r="BJ28" s="7"/>
    </row>
    <row r="29" spans="1:62">
      <c r="A29">
        <v>1950</v>
      </c>
      <c r="AM29">
        <v>1950</v>
      </c>
      <c r="BI29" s="7"/>
      <c r="BJ29" s="7"/>
    </row>
    <row r="30" spans="1:62">
      <c r="A30">
        <v>1951</v>
      </c>
      <c r="AM30">
        <v>1951</v>
      </c>
      <c r="BI30" s="7"/>
      <c r="BJ30" s="7"/>
    </row>
    <row r="31" spans="1:62">
      <c r="A31">
        <v>1952</v>
      </c>
      <c r="AM31">
        <v>1952</v>
      </c>
      <c r="BI31" s="7"/>
      <c r="BJ31" s="7"/>
    </row>
    <row r="32" spans="1:62">
      <c r="A32">
        <v>1953</v>
      </c>
      <c r="AM32">
        <v>1953</v>
      </c>
      <c r="BI32" s="7"/>
      <c r="BJ32" s="7"/>
    </row>
    <row r="33" spans="1:62">
      <c r="A33">
        <v>1954</v>
      </c>
      <c r="AM33">
        <v>1954</v>
      </c>
      <c r="BI33" s="7"/>
      <c r="BJ33" s="7"/>
    </row>
    <row r="34" spans="1:62">
      <c r="A34">
        <v>1955</v>
      </c>
      <c r="AM34">
        <v>1955</v>
      </c>
      <c r="BI34" s="7"/>
      <c r="BJ34" s="7"/>
    </row>
    <row r="35" spans="1:62">
      <c r="A35">
        <v>1956</v>
      </c>
      <c r="AM35">
        <v>1956</v>
      </c>
      <c r="BI35" s="7"/>
      <c r="BJ35" s="7"/>
    </row>
    <row r="36" spans="1:62">
      <c r="A36">
        <v>1957</v>
      </c>
      <c r="AM36">
        <v>1957</v>
      </c>
      <c r="BI36" s="7"/>
      <c r="BJ36" s="7"/>
    </row>
    <row r="37" spans="1:62">
      <c r="A37">
        <v>1958</v>
      </c>
      <c r="AM37">
        <v>1958</v>
      </c>
      <c r="BI37" s="7"/>
      <c r="BJ37" s="7"/>
    </row>
    <row r="38" spans="1:62">
      <c r="A38">
        <v>1959</v>
      </c>
      <c r="AM38">
        <v>1959</v>
      </c>
      <c r="BI38" s="7"/>
      <c r="BJ38" s="7"/>
    </row>
    <row r="39" spans="1:62">
      <c r="A39">
        <v>1960</v>
      </c>
      <c r="AM39">
        <v>1960</v>
      </c>
      <c r="BI39" s="7"/>
      <c r="BJ39" s="7"/>
    </row>
    <row r="40" spans="1:62">
      <c r="A40">
        <v>1961</v>
      </c>
      <c r="AM40">
        <v>1961</v>
      </c>
      <c r="BI40" s="7"/>
      <c r="BJ40" s="7"/>
    </row>
    <row r="41" spans="1:62">
      <c r="A41">
        <v>1962</v>
      </c>
      <c r="AM41">
        <v>1962</v>
      </c>
      <c r="BI41" s="7"/>
      <c r="BJ41" s="7"/>
    </row>
    <row r="42" spans="1:62">
      <c r="A42">
        <v>1963</v>
      </c>
      <c r="AM42" s="46" t="s">
        <v>2103</v>
      </c>
      <c r="AN42" s="46" t="s">
        <v>1856</v>
      </c>
      <c r="AO42" s="46" t="s">
        <v>1856</v>
      </c>
      <c r="AP42" s="46" t="s">
        <v>1856</v>
      </c>
      <c r="AQ42" s="46" t="s">
        <v>1856</v>
      </c>
      <c r="AR42" s="46" t="s">
        <v>1856</v>
      </c>
      <c r="AS42" s="3"/>
      <c r="AT42" s="46"/>
      <c r="AU42" s="3"/>
      <c r="AV42" s="46" t="s">
        <v>2134</v>
      </c>
      <c r="AW42" s="46" t="s">
        <v>2134</v>
      </c>
      <c r="AX42" s="46" t="s">
        <v>2134</v>
      </c>
      <c r="AY42" s="46" t="s">
        <v>2134</v>
      </c>
      <c r="AZ42" s="46" t="s">
        <v>2134</v>
      </c>
      <c r="BA42" s="46" t="s">
        <v>2135</v>
      </c>
      <c r="BB42" s="46" t="s">
        <v>2098</v>
      </c>
      <c r="BC42" s="46" t="s">
        <v>2098</v>
      </c>
      <c r="BD42" s="46" t="s">
        <v>2098</v>
      </c>
      <c r="BE42" s="46" t="s">
        <v>2098</v>
      </c>
      <c r="BF42" s="46" t="s">
        <v>2098</v>
      </c>
      <c r="BG42" s="46" t="s">
        <v>2098</v>
      </c>
      <c r="BI42" s="46" t="s">
        <v>2465</v>
      </c>
      <c r="BJ42" s="46" t="s">
        <v>2465</v>
      </c>
    </row>
    <row r="43" spans="1:62">
      <c r="A43">
        <v>1964</v>
      </c>
      <c r="AM43" s="46"/>
      <c r="AN43" s="46" t="s">
        <v>131</v>
      </c>
      <c r="AO43" s="46" t="s">
        <v>111</v>
      </c>
      <c r="AP43" s="46" t="s">
        <v>112</v>
      </c>
      <c r="AQ43" s="46" t="s">
        <v>67</v>
      </c>
      <c r="AR43" s="46" t="s">
        <v>133</v>
      </c>
      <c r="AS43" s="3"/>
      <c r="AT43" s="139" t="s">
        <v>237</v>
      </c>
      <c r="AU43" s="3"/>
      <c r="AV43" s="46" t="s">
        <v>131</v>
      </c>
      <c r="AW43" s="46" t="s">
        <v>2097</v>
      </c>
      <c r="AX43" s="46" t="s">
        <v>67</v>
      </c>
      <c r="AY43" s="46" t="s">
        <v>133</v>
      </c>
      <c r="AZ43" s="46" t="s">
        <v>2097</v>
      </c>
      <c r="BA43" s="46" t="s">
        <v>1943</v>
      </c>
      <c r="BB43" s="46">
        <v>6567</v>
      </c>
      <c r="BC43" s="46">
        <v>9003</v>
      </c>
      <c r="BD43" s="46">
        <v>6503</v>
      </c>
      <c r="BE43" s="46">
        <v>74</v>
      </c>
      <c r="BF43" s="46">
        <v>6971</v>
      </c>
      <c r="BG43" s="46" t="s">
        <v>293</v>
      </c>
      <c r="BI43" s="46" t="s">
        <v>131</v>
      </c>
      <c r="BJ43" s="46" t="s">
        <v>2097</v>
      </c>
    </row>
    <row r="44" spans="1:62">
      <c r="A44">
        <v>1965</v>
      </c>
      <c r="B44" s="3">
        <f>I44/G44*100/C44*100</f>
        <v>103.74139017196799</v>
      </c>
      <c r="C44" s="3">
        <f t="shared" ref="C44:C87" si="0">E44/E$89*100</f>
        <v>14.459024846529534</v>
      </c>
      <c r="D44" s="2">
        <v>72.4893</v>
      </c>
      <c r="E44" s="2">
        <v>20.692699999999999</v>
      </c>
      <c r="F44" s="2">
        <f>D44*E44/100</f>
        <v>14.999993381099998</v>
      </c>
      <c r="G44" s="2">
        <f>M44*G45/M45</f>
        <v>4.311080128205127</v>
      </c>
      <c r="H44" s="2">
        <f>F44*G44/100</f>
        <v>0.6466617338846864</v>
      </c>
      <c r="I44" s="32">
        <f t="shared" ref="I44:I73" si="1">H44</f>
        <v>0.6466617338846864</v>
      </c>
      <c r="J44" s="32">
        <f t="shared" ref="J44:J89" si="2">Q44+AB44</f>
        <v>0.68283854160034818</v>
      </c>
      <c r="M44" s="2">
        <v>4.3179999999999996</v>
      </c>
      <c r="P44" s="32">
        <f t="shared" ref="P44:P78" si="3">I44-AB44</f>
        <v>0.23861817980344929</v>
      </c>
      <c r="Q44" s="32">
        <f t="shared" ref="Q44:Q89" si="4">Q$99+Q$100*S44+Q$101*T44+Q$102*U44+Q$103*V44</f>
        <v>0.27479498751911108</v>
      </c>
      <c r="S44" s="2">
        <f>USA!Z52*G44</f>
        <v>14.226564423076919</v>
      </c>
      <c r="T44" s="2">
        <v>0</v>
      </c>
      <c r="U44" s="2">
        <v>0</v>
      </c>
      <c r="V44" s="2">
        <v>0</v>
      </c>
      <c r="X44" s="2">
        <f>AE44/100</f>
        <v>0.63100000000000001</v>
      </c>
      <c r="Y44" s="2">
        <f t="shared" ref="Y44:Y56" si="5">AB44-AA44</f>
        <v>0.37375088637523102</v>
      </c>
      <c r="Z44" s="2">
        <v>5.6000000000000001E-2</v>
      </c>
      <c r="AA44" s="2">
        <f>Z44*(I44*(1/(1+Z44)))</f>
        <v>3.4292667706006093E-2</v>
      </c>
      <c r="AB44" s="2">
        <f>I44*X44</f>
        <v>0.4080435540812371</v>
      </c>
      <c r="AE44" s="4">
        <v>63.1</v>
      </c>
      <c r="AM44">
        <v>1965</v>
      </c>
      <c r="AN44" s="1">
        <f>I44</f>
        <v>0.6466617338846864</v>
      </c>
      <c r="AO44" s="1">
        <f>Y44</f>
        <v>0.37375088637523102</v>
      </c>
      <c r="AP44" s="1">
        <f>AA44</f>
        <v>3.4292667706006093E-2</v>
      </c>
      <c r="AQ44" s="1">
        <f>AB44</f>
        <v>0.4080435540812371</v>
      </c>
      <c r="AR44" s="22">
        <f t="shared" ref="AR44:AR75" si="6">AN44-AQ44</f>
        <v>0.23861817980344929</v>
      </c>
      <c r="AT44" s="7">
        <v>28.164078448404684</v>
      </c>
      <c r="AV44" s="22">
        <f t="shared" ref="AV44:AV75" si="7">AN44/$AT44*100</f>
        <v>2.296051458134309</v>
      </c>
      <c r="AW44" s="22">
        <f>AZ44+AX44</f>
        <v>2.3311942930456309</v>
      </c>
      <c r="AX44" s="1">
        <f t="shared" ref="AX44:AX89" si="8">AQ44/$AT44*100</f>
        <v>1.4488084700827488</v>
      </c>
      <c r="AY44" s="1">
        <f t="shared" ref="AY44:AY51" si="9">AV44-AX44</f>
        <v>0.84724298805156018</v>
      </c>
      <c r="AZ44" s="1">
        <f t="shared" ref="AZ44:AZ75" si="10">AW$100+AW$101*BA44+AW$102*BB44+AW$103*BC44+AW$104*BD44+AW$105*BE44+AW$106*BF44+AW$107*BG44</f>
        <v>0.88238582296288193</v>
      </c>
      <c r="BA44" s="3">
        <f t="shared" ref="BA44:BA75" si="11">S44/AT44*100</f>
        <v>50.513154368389301</v>
      </c>
      <c r="BB44" s="23">
        <v>1</v>
      </c>
      <c r="BC44">
        <v>0</v>
      </c>
      <c r="BD44" s="23">
        <v>1</v>
      </c>
      <c r="BE44">
        <v>0</v>
      </c>
      <c r="BF44">
        <v>0</v>
      </c>
      <c r="BG44">
        <v>0</v>
      </c>
      <c r="BI44" s="22">
        <f t="shared" ref="BI44:BI96" si="12">AV44*$AT$97/$AT$89</f>
        <v>2.2773807099894583</v>
      </c>
      <c r="BJ44" s="22">
        <f t="shared" ref="BJ44:BJ96" si="13">AW44*$AT$97/$AT$89</f>
        <v>2.3122377747289486</v>
      </c>
    </row>
    <row r="45" spans="1:62">
      <c r="A45">
        <v>1966</v>
      </c>
      <c r="B45" s="3">
        <f>I45/G45*100/C45*100</f>
        <v>107.44385868130522</v>
      </c>
      <c r="C45" s="3">
        <f t="shared" si="0"/>
        <v>14.891495218110531</v>
      </c>
      <c r="D45" s="2">
        <v>75.076400000000007</v>
      </c>
      <c r="E45" s="2">
        <v>21.311620000000001</v>
      </c>
      <c r="F45" s="2">
        <f t="shared" ref="F45:F78" si="14">D45*E45/100</f>
        <v>15.999997077680002</v>
      </c>
      <c r="G45" s="2">
        <f>M45*G46/M46</f>
        <v>4.3200657051282043</v>
      </c>
      <c r="H45" s="2">
        <f t="shared" ref="H45:H78" si="15">F45*G45/100</f>
        <v>0.69121038657436873</v>
      </c>
      <c r="I45" s="32">
        <f t="shared" si="1"/>
        <v>0.69121038657436873</v>
      </c>
      <c r="J45" s="32">
        <f t="shared" si="2"/>
        <v>0.71115769147238439</v>
      </c>
      <c r="M45" s="2">
        <v>4.327</v>
      </c>
      <c r="P45" s="32">
        <f t="shared" si="3"/>
        <v>0.25505663264594208</v>
      </c>
      <c r="Q45" s="32">
        <f t="shared" si="4"/>
        <v>0.27500393754395774</v>
      </c>
      <c r="S45" s="2">
        <f>USA!Z53*G45</f>
        <v>14.256216826923074</v>
      </c>
      <c r="T45" s="2">
        <v>0</v>
      </c>
      <c r="U45" s="2">
        <v>0</v>
      </c>
      <c r="V45" s="2">
        <v>0</v>
      </c>
      <c r="X45" s="2">
        <f t="shared" ref="X45:X78" si="16">AE45/100</f>
        <v>0.63100000000000001</v>
      </c>
      <c r="Y45" s="2">
        <f t="shared" si="5"/>
        <v>0.39949865767069498</v>
      </c>
      <c r="Z45" s="2">
        <v>5.6000000000000001E-2</v>
      </c>
      <c r="AA45" s="2">
        <f t="shared" ref="AA45:AA96" si="17">Z45*(I45*(1/(1+Z45)))</f>
        <v>3.6655096257731674E-2</v>
      </c>
      <c r="AB45" s="2">
        <f t="shared" ref="AB45:AB56" si="18">I45*X45</f>
        <v>0.43615375392842665</v>
      </c>
      <c r="AE45" s="4">
        <v>63.1</v>
      </c>
      <c r="AM45">
        <v>1966</v>
      </c>
      <c r="AN45" s="1">
        <f t="shared" ref="AN45:AN89" si="19">I45</f>
        <v>0.69121038657436873</v>
      </c>
      <c r="AO45" s="1">
        <f t="shared" ref="AO45:AO97" si="20">Y45</f>
        <v>0.39949865767069498</v>
      </c>
      <c r="AP45" s="1">
        <f t="shared" ref="AP45:AP97" si="21">AA45</f>
        <v>3.6655096257731674E-2</v>
      </c>
      <c r="AQ45" s="1">
        <f t="shared" ref="AQ45:AQ76" si="22">AB45</f>
        <v>0.43615375392842665</v>
      </c>
      <c r="AR45" s="22">
        <f t="shared" si="6"/>
        <v>0.25505663264594208</v>
      </c>
      <c r="AT45" s="7">
        <v>29.509189483925589</v>
      </c>
      <c r="AV45" s="22">
        <f t="shared" si="7"/>
        <v>2.3423563935935574</v>
      </c>
      <c r="AW45" s="22">
        <f t="shared" ref="AW45:AW89" si="23">AZ45+AX45</f>
        <v>2.3477085400163706</v>
      </c>
      <c r="AX45" s="1">
        <f t="shared" si="8"/>
        <v>1.4780268843575348</v>
      </c>
      <c r="AY45" s="1">
        <f t="shared" si="9"/>
        <v>0.86432950923602259</v>
      </c>
      <c r="AZ45" s="1">
        <f t="shared" si="10"/>
        <v>0.86968165565883582</v>
      </c>
      <c r="BA45" s="3">
        <f t="shared" si="11"/>
        <v>48.311109441649698</v>
      </c>
      <c r="BB45" s="23">
        <v>1</v>
      </c>
      <c r="BC45">
        <v>0</v>
      </c>
      <c r="BD45" s="23">
        <v>1</v>
      </c>
      <c r="BE45">
        <v>0</v>
      </c>
      <c r="BF45">
        <v>0</v>
      </c>
      <c r="BG45">
        <v>0</v>
      </c>
      <c r="BI45" s="22">
        <f t="shared" si="12"/>
        <v>2.3233091086839228</v>
      </c>
      <c r="BJ45" s="22">
        <f t="shared" si="13"/>
        <v>2.328617733182373</v>
      </c>
    </row>
    <row r="46" spans="1:62">
      <c r="A46">
        <v>1967</v>
      </c>
      <c r="B46" s="3">
        <f>I46/G46*100/C46*100</f>
        <v>111.07605885783407</v>
      </c>
      <c r="C46" s="3">
        <f t="shared" si="0"/>
        <v>15.30482682623647</v>
      </c>
      <c r="D46" s="2">
        <v>77.614400000000003</v>
      </c>
      <c r="E46" s="2">
        <v>21.90315</v>
      </c>
      <c r="F46" s="2">
        <f t="shared" si="14"/>
        <v>16.9999984536</v>
      </c>
      <c r="G46" s="2">
        <f>M46*G47/M47</f>
        <v>4.3180689102564092</v>
      </c>
      <c r="H46" s="2">
        <f t="shared" si="15"/>
        <v>0.73407164796897195</v>
      </c>
      <c r="I46" s="32">
        <f t="shared" si="1"/>
        <v>0.73407164796897195</v>
      </c>
      <c r="J46" s="32">
        <f t="shared" si="2"/>
        <v>0.73301821253774135</v>
      </c>
      <c r="M46" s="2">
        <v>4.3250000000000002</v>
      </c>
      <c r="P46" s="32">
        <f t="shared" si="3"/>
        <v>0.27601093963633344</v>
      </c>
      <c r="Q46" s="32">
        <f t="shared" si="4"/>
        <v>0.2749575042051029</v>
      </c>
      <c r="S46" s="2">
        <f>USA!Z54*G46</f>
        <v>14.24962740384615</v>
      </c>
      <c r="T46" s="2">
        <v>0</v>
      </c>
      <c r="U46" s="2">
        <v>0</v>
      </c>
      <c r="V46" s="2">
        <v>0</v>
      </c>
      <c r="X46" s="2">
        <f t="shared" si="16"/>
        <v>0.624</v>
      </c>
      <c r="Y46" s="2">
        <f t="shared" si="5"/>
        <v>0.41913266639489</v>
      </c>
      <c r="Z46" s="2">
        <v>5.6000000000000001E-2</v>
      </c>
      <c r="AA46" s="2">
        <f t="shared" si="17"/>
        <v>3.8928041937748507E-2</v>
      </c>
      <c r="AB46" s="2">
        <f t="shared" si="18"/>
        <v>0.45806070833263851</v>
      </c>
      <c r="AE46" s="4">
        <v>62.4</v>
      </c>
      <c r="AM46">
        <v>1967</v>
      </c>
      <c r="AN46" s="1">
        <f t="shared" si="19"/>
        <v>0.73407164796897195</v>
      </c>
      <c r="AO46" s="1">
        <f t="shared" si="20"/>
        <v>0.41913266639489</v>
      </c>
      <c r="AP46" s="1">
        <f t="shared" si="21"/>
        <v>3.8928041937748507E-2</v>
      </c>
      <c r="AQ46" s="1">
        <f t="shared" si="22"/>
        <v>0.45806070833263851</v>
      </c>
      <c r="AR46" s="22">
        <f t="shared" si="6"/>
        <v>0.27601093963633344</v>
      </c>
      <c r="AT46" s="7">
        <v>30.691091541135776</v>
      </c>
      <c r="AV46" s="22">
        <f t="shared" si="7"/>
        <v>2.3918069091321943</v>
      </c>
      <c r="AW46" s="22">
        <f t="shared" si="23"/>
        <v>2.3513119277980579</v>
      </c>
      <c r="AX46" s="1">
        <f t="shared" si="8"/>
        <v>1.4924875112984892</v>
      </c>
      <c r="AY46" s="1">
        <f t="shared" si="9"/>
        <v>0.89931939783370507</v>
      </c>
      <c r="AZ46" s="1">
        <f t="shared" si="10"/>
        <v>0.85882441649956842</v>
      </c>
      <c r="BA46" s="3">
        <f t="shared" si="11"/>
        <v>46.429197165396154</v>
      </c>
      <c r="BB46" s="23">
        <v>1</v>
      </c>
      <c r="BC46">
        <v>0</v>
      </c>
      <c r="BD46" s="23">
        <v>1</v>
      </c>
      <c r="BE46">
        <v>0</v>
      </c>
      <c r="BF46">
        <v>0</v>
      </c>
      <c r="BG46">
        <v>0</v>
      </c>
      <c r="BI46" s="22">
        <f t="shared" si="12"/>
        <v>2.3723575086175352</v>
      </c>
      <c r="BJ46" s="22">
        <f t="shared" si="13"/>
        <v>2.3321918193795934</v>
      </c>
    </row>
    <row r="47" spans="1:62">
      <c r="A47">
        <v>1968</v>
      </c>
      <c r="B47" s="3">
        <f>I47/G47*100/C47*100</f>
        <v>87.772446425016796</v>
      </c>
      <c r="C47" s="3">
        <f t="shared" si="0"/>
        <v>15.950346083448959</v>
      </c>
      <c r="D47" s="2">
        <v>61.331000000000003</v>
      </c>
      <c r="E47" s="2">
        <v>22.826969999999999</v>
      </c>
      <c r="F47" s="2">
        <f t="shared" si="14"/>
        <v>14.000008970700001</v>
      </c>
      <c r="G47" s="2">
        <f>M47*G48/M48</f>
        <v>4.2951057692307675</v>
      </c>
      <c r="H47" s="2">
        <f t="shared" si="15"/>
        <v>0.60131519299336078</v>
      </c>
      <c r="I47" s="32">
        <f t="shared" si="1"/>
        <v>0.60131519299336078</v>
      </c>
      <c r="J47" s="32">
        <f t="shared" si="2"/>
        <v>0.67189286337688392</v>
      </c>
      <c r="M47" s="2">
        <v>4.3019999999999996</v>
      </c>
      <c r="P47" s="32">
        <f t="shared" si="3"/>
        <v>0.20384585042474934</v>
      </c>
      <c r="Q47" s="32">
        <f t="shared" si="4"/>
        <v>0.27442352080827254</v>
      </c>
      <c r="S47" s="2">
        <f>USA!Z55*G47</f>
        <v>14.173849038461531</v>
      </c>
      <c r="T47" s="2">
        <v>0</v>
      </c>
      <c r="U47" s="2">
        <v>0</v>
      </c>
      <c r="V47" s="2">
        <v>0</v>
      </c>
      <c r="X47" s="2">
        <f t="shared" si="16"/>
        <v>0.66099999999999992</v>
      </c>
      <c r="Y47" s="2">
        <f t="shared" si="5"/>
        <v>0.3655814156674484</v>
      </c>
      <c r="Z47" s="2">
        <v>5.6000000000000001E-2</v>
      </c>
      <c r="AA47" s="2">
        <f t="shared" si="17"/>
        <v>3.1887926901163065E-2</v>
      </c>
      <c r="AB47" s="2">
        <f t="shared" si="18"/>
        <v>0.39746934256861144</v>
      </c>
      <c r="AE47" s="4">
        <v>66.099999999999994</v>
      </c>
      <c r="AM47">
        <v>1968</v>
      </c>
      <c r="AN47" s="1">
        <f t="shared" si="19"/>
        <v>0.60131519299336078</v>
      </c>
      <c r="AO47" s="1">
        <f t="shared" si="20"/>
        <v>0.3655814156674484</v>
      </c>
      <c r="AP47" s="1">
        <f t="shared" si="21"/>
        <v>3.1887926901163065E-2</v>
      </c>
      <c r="AQ47" s="1">
        <f t="shared" si="22"/>
        <v>0.39746934256861144</v>
      </c>
      <c r="AR47" s="22">
        <f t="shared" si="6"/>
        <v>0.20384585042474934</v>
      </c>
      <c r="AT47" s="7">
        <v>31.42639515740753</v>
      </c>
      <c r="AV47" s="22">
        <f t="shared" si="7"/>
        <v>1.9134081079981091</v>
      </c>
      <c r="AW47" s="22">
        <f t="shared" si="23"/>
        <v>1.9382490673742807</v>
      </c>
      <c r="AX47" s="1">
        <f t="shared" si="8"/>
        <v>1.2647627593867501</v>
      </c>
      <c r="AY47" s="1">
        <f t="shared" si="9"/>
        <v>0.64864534861135903</v>
      </c>
      <c r="AZ47" s="1">
        <f t="shared" si="10"/>
        <v>0.67348630798753051</v>
      </c>
      <c r="BA47" s="3">
        <f t="shared" si="11"/>
        <v>45.101733646089556</v>
      </c>
      <c r="BB47">
        <v>0</v>
      </c>
      <c r="BC47">
        <v>0</v>
      </c>
      <c r="BD47" s="23">
        <v>1</v>
      </c>
      <c r="BE47">
        <v>0</v>
      </c>
      <c r="BF47">
        <v>0</v>
      </c>
      <c r="BG47">
        <v>0</v>
      </c>
      <c r="BI47" s="22">
        <f t="shared" si="12"/>
        <v>1.897848891868094</v>
      </c>
      <c r="BJ47" s="22">
        <f t="shared" si="13"/>
        <v>1.9224878525936928</v>
      </c>
    </row>
    <row r="48" spans="1:62">
      <c r="A48">
        <v>1969</v>
      </c>
      <c r="B48" s="3">
        <f>I48/G48*100/C48*100</f>
        <v>77.316489880596919</v>
      </c>
      <c r="C48" s="3">
        <f t="shared" si="0"/>
        <v>16.814008114047141</v>
      </c>
      <c r="D48" s="2">
        <v>54.024900000000002</v>
      </c>
      <c r="E48" s="2">
        <v>24.06298</v>
      </c>
      <c r="F48" s="2">
        <f t="shared" si="14"/>
        <v>13.000000882020002</v>
      </c>
      <c r="G48" s="2">
        <f>M48*G49/M49</f>
        <v>4.311080128205127</v>
      </c>
      <c r="H48" s="2">
        <f t="shared" si="15"/>
        <v>0.56044045469125559</v>
      </c>
      <c r="I48" s="32">
        <f t="shared" si="1"/>
        <v>0.56044045469125559</v>
      </c>
      <c r="J48" s="32">
        <f t="shared" si="2"/>
        <v>0.64972965170756103</v>
      </c>
      <c r="M48" s="2">
        <v>4.3179999999999996</v>
      </c>
      <c r="P48" s="32">
        <f t="shared" si="3"/>
        <v>0.18550579050280558</v>
      </c>
      <c r="Q48" s="32">
        <f t="shared" si="4"/>
        <v>0.27479498751911108</v>
      </c>
      <c r="S48" s="2">
        <f>USA!Z56*G48</f>
        <v>14.226564423076919</v>
      </c>
      <c r="T48" s="2">
        <v>0</v>
      </c>
      <c r="U48" s="2">
        <v>0</v>
      </c>
      <c r="V48" s="2">
        <v>0</v>
      </c>
      <c r="X48" s="2">
        <f t="shared" si="16"/>
        <v>0.66900000000000004</v>
      </c>
      <c r="Y48" s="2">
        <f t="shared" si="5"/>
        <v>0.3452143370457319</v>
      </c>
      <c r="Z48" s="2">
        <v>5.6000000000000001E-2</v>
      </c>
      <c r="AA48" s="2">
        <f t="shared" si="17"/>
        <v>2.9720327142718099E-2</v>
      </c>
      <c r="AB48" s="2">
        <f t="shared" si="18"/>
        <v>0.37493466418845001</v>
      </c>
      <c r="AE48" s="4">
        <v>66.900000000000006</v>
      </c>
      <c r="AM48">
        <v>1969</v>
      </c>
      <c r="AN48" s="1">
        <f t="shared" si="19"/>
        <v>0.56044045469125559</v>
      </c>
      <c r="AO48" s="1">
        <f t="shared" si="20"/>
        <v>0.3452143370457319</v>
      </c>
      <c r="AP48" s="1">
        <f t="shared" si="21"/>
        <v>2.9720327142718099E-2</v>
      </c>
      <c r="AQ48" s="1">
        <f t="shared" si="22"/>
        <v>0.37493466418845001</v>
      </c>
      <c r="AR48" s="22">
        <f t="shared" si="6"/>
        <v>0.18550579050280558</v>
      </c>
      <c r="AT48" s="7">
        <v>32.208606932266044</v>
      </c>
      <c r="AV48" s="22">
        <f t="shared" si="7"/>
        <v>1.7400332025220739</v>
      </c>
      <c r="AW48" s="22">
        <f t="shared" si="23"/>
        <v>1.7457123447790004</v>
      </c>
      <c r="AX48" s="1">
        <f t="shared" si="8"/>
        <v>1.1640822124872676</v>
      </c>
      <c r="AY48" s="1">
        <f t="shared" si="9"/>
        <v>0.57595099003480632</v>
      </c>
      <c r="AZ48" s="1">
        <f t="shared" si="10"/>
        <v>0.58163013229173277</v>
      </c>
      <c r="BA48" s="3">
        <f t="shared" si="11"/>
        <v>44.170070605646053</v>
      </c>
      <c r="BB48">
        <v>0</v>
      </c>
      <c r="BC48">
        <v>0</v>
      </c>
      <c r="BD48" s="23">
        <v>1</v>
      </c>
      <c r="BE48">
        <v>0</v>
      </c>
      <c r="BF48" s="23">
        <v>1</v>
      </c>
      <c r="BG48">
        <v>0</v>
      </c>
      <c r="BI48" s="22">
        <f t="shared" si="12"/>
        <v>1.7258838150713387</v>
      </c>
      <c r="BJ48" s="22">
        <f t="shared" si="13"/>
        <v>1.731516776379497</v>
      </c>
    </row>
    <row r="49" spans="1:62">
      <c r="A49">
        <v>1970</v>
      </c>
      <c r="B49" s="3">
        <f t="shared" ref="B49:B88" si="24">I49/G49*100/C49*100</f>
        <v>78.628547060203545</v>
      </c>
      <c r="C49" s="3">
        <f t="shared" si="0"/>
        <v>17.805240938511318</v>
      </c>
      <c r="D49" s="2">
        <v>54.941699999999997</v>
      </c>
      <c r="E49" s="2">
        <v>25.481560000000002</v>
      </c>
      <c r="F49" s="2">
        <f t="shared" si="14"/>
        <v>14.000002250520001</v>
      </c>
      <c r="G49" s="2">
        <v>4.3090833333333327</v>
      </c>
      <c r="H49" s="2">
        <f t="shared" si="15"/>
        <v>0.60327176364344881</v>
      </c>
      <c r="I49" s="32">
        <f t="shared" si="1"/>
        <v>0.60327176364344881</v>
      </c>
      <c r="J49" s="32">
        <f t="shared" si="2"/>
        <v>0.68950794174948382</v>
      </c>
      <c r="M49" s="2">
        <v>4.3159999999999998</v>
      </c>
      <c r="P49" s="32">
        <f t="shared" si="3"/>
        <v>0.19003060554768636</v>
      </c>
      <c r="Q49" s="32">
        <f t="shared" si="4"/>
        <v>0.27626678365372132</v>
      </c>
      <c r="S49" s="2">
        <f>USA!Z57*G49</f>
        <v>14.435429166666665</v>
      </c>
      <c r="T49" s="2">
        <v>0</v>
      </c>
      <c r="U49" s="2">
        <v>0</v>
      </c>
      <c r="V49" s="2">
        <v>0</v>
      </c>
      <c r="X49" s="2">
        <f t="shared" si="16"/>
        <v>0.68500000000000005</v>
      </c>
      <c r="Y49" s="2">
        <f t="shared" si="5"/>
        <v>0.38124947366012502</v>
      </c>
      <c r="Z49" s="2">
        <v>5.6000000000000001E-2</v>
      </c>
      <c r="AA49" s="2">
        <f t="shared" si="17"/>
        <v>3.1991684435637435E-2</v>
      </c>
      <c r="AB49" s="2">
        <f t="shared" si="18"/>
        <v>0.41324115809576245</v>
      </c>
      <c r="AE49" s="4">
        <v>68.5</v>
      </c>
      <c r="AM49">
        <v>1970</v>
      </c>
      <c r="AN49" s="1">
        <f t="shared" si="19"/>
        <v>0.60327176364344881</v>
      </c>
      <c r="AO49" s="1">
        <f t="shared" si="20"/>
        <v>0.38124947366012502</v>
      </c>
      <c r="AP49" s="1">
        <f t="shared" si="21"/>
        <v>3.1991684435637435E-2</v>
      </c>
      <c r="AQ49" s="1">
        <f t="shared" si="22"/>
        <v>0.41324115809576245</v>
      </c>
      <c r="AR49" s="22">
        <f t="shared" si="6"/>
        <v>0.19003060554768636</v>
      </c>
      <c r="AT49" s="7">
        <v>33.373268548506438</v>
      </c>
      <c r="AV49" s="22">
        <f t="shared" si="7"/>
        <v>1.8076496246288325</v>
      </c>
      <c r="AW49" s="22">
        <f t="shared" si="23"/>
        <v>1.8145877663347592</v>
      </c>
      <c r="AX49" s="1">
        <f t="shared" si="8"/>
        <v>1.2382399928707502</v>
      </c>
      <c r="AY49" s="1">
        <f t="shared" si="9"/>
        <v>0.56940963175808235</v>
      </c>
      <c r="AZ49" s="1">
        <f t="shared" si="10"/>
        <v>0.57634777346400901</v>
      </c>
      <c r="BA49" s="3">
        <f t="shared" si="11"/>
        <v>43.254466207544112</v>
      </c>
      <c r="BB49">
        <v>0</v>
      </c>
      <c r="BC49">
        <v>0</v>
      </c>
      <c r="BD49" s="23">
        <v>1</v>
      </c>
      <c r="BE49">
        <v>0</v>
      </c>
      <c r="BF49" s="23">
        <v>1</v>
      </c>
      <c r="BG49">
        <v>0</v>
      </c>
      <c r="BI49" s="22">
        <f t="shared" si="12"/>
        <v>1.7929504022938927</v>
      </c>
      <c r="BJ49" s="22">
        <f t="shared" si="13"/>
        <v>1.7998321252745657</v>
      </c>
    </row>
    <row r="50" spans="1:62">
      <c r="A50">
        <v>1971</v>
      </c>
      <c r="B50" s="3">
        <f t="shared" si="24"/>
        <v>91.579959651831203</v>
      </c>
      <c r="C50" s="3">
        <f t="shared" si="0"/>
        <v>18.563021376325832</v>
      </c>
      <c r="D50" s="2">
        <v>63.991500000000002</v>
      </c>
      <c r="E50" s="2">
        <v>26.566040000000001</v>
      </c>
      <c r="F50" s="2">
        <f t="shared" si="14"/>
        <v>17.000007486600001</v>
      </c>
      <c r="G50" s="2">
        <v>4.076833333333334</v>
      </c>
      <c r="H50" s="2">
        <f t="shared" si="15"/>
        <v>0.69306197188287111</v>
      </c>
      <c r="I50" s="32">
        <f t="shared" si="1"/>
        <v>0.69306197188287111</v>
      </c>
      <c r="J50" s="32">
        <f t="shared" si="2"/>
        <v>0.7654257993511312</v>
      </c>
      <c r="P50" s="32">
        <f t="shared" si="3"/>
        <v>0.20445328170544702</v>
      </c>
      <c r="Q50" s="32">
        <f t="shared" si="4"/>
        <v>0.27681710917370711</v>
      </c>
      <c r="S50" s="2">
        <f>USA!Z58*G50</f>
        <v>14.513526666666669</v>
      </c>
      <c r="T50" s="2">
        <v>0</v>
      </c>
      <c r="U50" s="2">
        <v>0</v>
      </c>
      <c r="V50" s="2">
        <v>0</v>
      </c>
      <c r="X50" s="2">
        <f t="shared" si="16"/>
        <v>0.70499999999999996</v>
      </c>
      <c r="Y50" s="2">
        <f t="shared" si="5"/>
        <v>0.45185540378969608</v>
      </c>
      <c r="Z50" s="2">
        <v>5.6000000000000001E-2</v>
      </c>
      <c r="AA50" s="2">
        <f t="shared" si="17"/>
        <v>3.6753286387728012E-2</v>
      </c>
      <c r="AB50" s="2">
        <f t="shared" si="18"/>
        <v>0.48860869017742409</v>
      </c>
      <c r="AE50" s="4">
        <v>70.5</v>
      </c>
      <c r="AM50">
        <v>1971</v>
      </c>
      <c r="AN50" s="1">
        <f t="shared" si="19"/>
        <v>0.69306197188287111</v>
      </c>
      <c r="AO50" s="1">
        <f t="shared" si="20"/>
        <v>0.45185540378969608</v>
      </c>
      <c r="AP50" s="1">
        <f t="shared" si="21"/>
        <v>3.6753286387728012E-2</v>
      </c>
      <c r="AQ50" s="1">
        <f t="shared" si="22"/>
        <v>0.48860869017742409</v>
      </c>
      <c r="AR50" s="22">
        <f t="shared" si="6"/>
        <v>0.20445328170544702</v>
      </c>
      <c r="AT50" s="7">
        <v>35.566967245123259</v>
      </c>
      <c r="AV50" s="22">
        <f t="shared" si="7"/>
        <v>1.9486113817531063</v>
      </c>
      <c r="AW50" s="22">
        <f t="shared" si="23"/>
        <v>1.9359940977902523</v>
      </c>
      <c r="AX50" s="1">
        <f t="shared" si="8"/>
        <v>1.37377102413594</v>
      </c>
      <c r="AY50" s="1">
        <f t="shared" si="9"/>
        <v>0.57484035761716634</v>
      </c>
      <c r="AZ50" s="1">
        <f t="shared" si="10"/>
        <v>0.56222307365431223</v>
      </c>
      <c r="BA50" s="3">
        <f t="shared" si="11"/>
        <v>40.806196847319562</v>
      </c>
      <c r="BB50">
        <v>0</v>
      </c>
      <c r="BC50">
        <v>0</v>
      </c>
      <c r="BD50" s="23">
        <v>1</v>
      </c>
      <c r="BE50">
        <v>0</v>
      </c>
      <c r="BF50" s="23">
        <v>1</v>
      </c>
      <c r="BG50">
        <v>0</v>
      </c>
      <c r="BI50" s="22">
        <f t="shared" si="12"/>
        <v>1.9327659039821226</v>
      </c>
      <c r="BJ50" s="22">
        <f t="shared" si="13"/>
        <v>1.9202512196932906</v>
      </c>
    </row>
    <row r="51" spans="1:62">
      <c r="A51">
        <v>1972</v>
      </c>
      <c r="B51" s="3">
        <f t="shared" si="24"/>
        <v>95.741533683875488</v>
      </c>
      <c r="C51" s="3">
        <f t="shared" si="0"/>
        <v>19.17664269444656</v>
      </c>
      <c r="D51" s="2">
        <v>66.8994</v>
      </c>
      <c r="E51" s="2">
        <v>27.444210000000002</v>
      </c>
      <c r="F51" s="2">
        <f t="shared" si="14"/>
        <v>18.360011824740003</v>
      </c>
      <c r="G51" s="2">
        <v>3.8042500000000001</v>
      </c>
      <c r="H51" s="2">
        <f t="shared" si="15"/>
        <v>0.69846074984267159</v>
      </c>
      <c r="I51" s="32">
        <f t="shared" si="1"/>
        <v>0.69846074984267159</v>
      </c>
      <c r="J51" s="32">
        <f t="shared" si="2"/>
        <v>0.72886777898701482</v>
      </c>
      <c r="P51" s="32">
        <f t="shared" si="3"/>
        <v>0.23957203719603631</v>
      </c>
      <c r="Q51" s="32">
        <f t="shared" si="4"/>
        <v>0.26997906634037955</v>
      </c>
      <c r="S51" s="2">
        <f>USA!Z59*G51</f>
        <v>13.543130000000001</v>
      </c>
      <c r="T51" s="2">
        <v>0</v>
      </c>
      <c r="U51" s="2">
        <v>0</v>
      </c>
      <c r="V51" s="2">
        <v>0</v>
      </c>
      <c r="X51" s="2">
        <f t="shared" si="16"/>
        <v>0.65700000000000003</v>
      </c>
      <c r="Y51" s="2">
        <f t="shared" si="5"/>
        <v>0.42184912742770575</v>
      </c>
      <c r="Z51" s="2">
        <v>5.6000000000000001E-2</v>
      </c>
      <c r="AA51" s="2">
        <f t="shared" si="17"/>
        <v>3.7039585218929555E-2</v>
      </c>
      <c r="AB51" s="2">
        <f t="shared" si="18"/>
        <v>0.45888871264663528</v>
      </c>
      <c r="AE51" s="4">
        <v>65.7</v>
      </c>
      <c r="AM51">
        <v>1972</v>
      </c>
      <c r="AN51" s="1">
        <f t="shared" si="19"/>
        <v>0.69846074984267159</v>
      </c>
      <c r="AO51" s="1">
        <f t="shared" si="20"/>
        <v>0.42184912742770575</v>
      </c>
      <c r="AP51" s="1">
        <f t="shared" si="21"/>
        <v>3.7039585218929555E-2</v>
      </c>
      <c r="AQ51" s="1">
        <f t="shared" si="22"/>
        <v>0.45888871264663528</v>
      </c>
      <c r="AR51" s="22">
        <f t="shared" si="6"/>
        <v>0.23957203719603631</v>
      </c>
      <c r="AT51" s="7">
        <v>37.935727974987813</v>
      </c>
      <c r="AV51" s="22">
        <f t="shared" si="7"/>
        <v>1.8411687006591471</v>
      </c>
      <c r="AW51" s="22">
        <f t="shared" si="23"/>
        <v>1.828894251071262</v>
      </c>
      <c r="AX51" s="1">
        <f t="shared" si="8"/>
        <v>1.2096478363330596</v>
      </c>
      <c r="AY51" s="1">
        <f t="shared" si="9"/>
        <v>0.63152086432608745</v>
      </c>
      <c r="AZ51" s="1">
        <f t="shared" si="10"/>
        <v>0.61924641473820252</v>
      </c>
      <c r="BA51" s="3">
        <f t="shared" si="11"/>
        <v>35.700198000495476</v>
      </c>
      <c r="BB51">
        <v>0</v>
      </c>
      <c r="BC51">
        <v>0</v>
      </c>
      <c r="BD51" s="23">
        <v>1</v>
      </c>
      <c r="BE51">
        <v>0</v>
      </c>
      <c r="BF51">
        <v>0</v>
      </c>
      <c r="BG51">
        <v>0</v>
      </c>
      <c r="BI51" s="22">
        <f t="shared" si="12"/>
        <v>1.8261969120346353</v>
      </c>
      <c r="BJ51" s="22">
        <f t="shared" si="13"/>
        <v>1.8140222743024734</v>
      </c>
    </row>
    <row r="52" spans="1:62">
      <c r="A52">
        <v>1973</v>
      </c>
      <c r="B52" s="3">
        <f t="shared" si="24"/>
        <v>111.93230210669822</v>
      </c>
      <c r="C52" s="3">
        <f t="shared" si="0"/>
        <v>20.369443941469338</v>
      </c>
      <c r="D52" s="2">
        <v>78.212699999999998</v>
      </c>
      <c r="E52" s="2">
        <v>29.151260000000001</v>
      </c>
      <c r="F52" s="2">
        <f t="shared" si="14"/>
        <v>22.799987530019997</v>
      </c>
      <c r="G52" s="2">
        <v>3.13625</v>
      </c>
      <c r="H52" s="2">
        <f t="shared" si="15"/>
        <v>0.71506460891025214</v>
      </c>
      <c r="I52" s="32">
        <f t="shared" si="1"/>
        <v>0.71506460891025214</v>
      </c>
      <c r="J52" s="32">
        <f t="shared" si="2"/>
        <v>0.7119934232302958</v>
      </c>
      <c r="P52" s="32">
        <f t="shared" si="3"/>
        <v>0.26314377607897277</v>
      </c>
      <c r="Q52" s="32">
        <f t="shared" si="4"/>
        <v>0.26007259039901642</v>
      </c>
      <c r="S52" s="2">
        <f>USA!Z60*G52</f>
        <v>12.137287500000001</v>
      </c>
      <c r="T52" s="2">
        <v>0</v>
      </c>
      <c r="U52" s="2">
        <v>0</v>
      </c>
      <c r="V52" s="2">
        <v>0</v>
      </c>
      <c r="X52" s="2">
        <f t="shared" si="16"/>
        <v>0.63200000000000001</v>
      </c>
      <c r="Y52" s="2">
        <f t="shared" si="5"/>
        <v>0.41400073993452358</v>
      </c>
      <c r="Z52" s="2">
        <v>5.6000000000000001E-2</v>
      </c>
      <c r="AA52" s="2">
        <f t="shared" si="17"/>
        <v>3.7920092896755797E-2</v>
      </c>
      <c r="AB52" s="2">
        <f t="shared" si="18"/>
        <v>0.45192083283127937</v>
      </c>
      <c r="AE52" s="4">
        <v>63.2</v>
      </c>
      <c r="AM52">
        <v>1973</v>
      </c>
      <c r="AN52" s="1">
        <f t="shared" si="19"/>
        <v>0.71506460891025214</v>
      </c>
      <c r="AO52" s="1">
        <f t="shared" si="20"/>
        <v>0.41400073993452358</v>
      </c>
      <c r="AP52" s="1">
        <f t="shared" si="21"/>
        <v>3.7920092896755797E-2</v>
      </c>
      <c r="AQ52" s="1">
        <f t="shared" si="22"/>
        <v>0.45192083283127937</v>
      </c>
      <c r="AR52" s="22">
        <f t="shared" si="6"/>
        <v>0.26314377607897277</v>
      </c>
      <c r="AT52" s="7">
        <v>41.256877668082076</v>
      </c>
      <c r="AV52" s="22">
        <f t="shared" si="7"/>
        <v>1.7332009820594203</v>
      </c>
      <c r="AW52" s="22">
        <f t="shared" si="23"/>
        <v>1.6783905523131044</v>
      </c>
      <c r="AX52" s="1">
        <f t="shared" si="8"/>
        <v>1.0953830206615536</v>
      </c>
      <c r="AY52" s="1">
        <f>AV52-AX52</f>
        <v>0.63781796139786673</v>
      </c>
      <c r="AZ52" s="1">
        <f t="shared" si="10"/>
        <v>0.58300753165155095</v>
      </c>
      <c r="BA52" s="3">
        <f t="shared" si="11"/>
        <v>29.418822232856169</v>
      </c>
      <c r="BB52">
        <v>0</v>
      </c>
      <c r="BC52">
        <v>0</v>
      </c>
      <c r="BD52" s="23">
        <v>1</v>
      </c>
      <c r="BE52">
        <v>0</v>
      </c>
      <c r="BF52">
        <v>0</v>
      </c>
      <c r="BG52">
        <v>0</v>
      </c>
      <c r="BI52" s="22">
        <f t="shared" si="12"/>
        <v>1.7191071520166326</v>
      </c>
      <c r="BJ52" s="22">
        <f t="shared" si="13"/>
        <v>1.6647424229648196</v>
      </c>
    </row>
    <row r="53" spans="1:62">
      <c r="A53">
        <v>1974</v>
      </c>
      <c r="B53" s="3">
        <f t="shared" si="24"/>
        <v>167.21716517973348</v>
      </c>
      <c r="C53" s="3">
        <f t="shared" si="0"/>
        <v>22.617266903639468</v>
      </c>
      <c r="D53" s="2">
        <v>116.843</v>
      </c>
      <c r="E53" s="2">
        <v>32.368180000000002</v>
      </c>
      <c r="F53" s="2">
        <f t="shared" si="14"/>
        <v>37.819952557400001</v>
      </c>
      <c r="G53" s="2">
        <v>2.9087499999999999</v>
      </c>
      <c r="H53" s="2">
        <f t="shared" si="15"/>
        <v>1.1000878700133725</v>
      </c>
      <c r="I53" s="32">
        <f t="shared" si="1"/>
        <v>1.1000878700133725</v>
      </c>
      <c r="J53" s="32">
        <f t="shared" si="2"/>
        <v>1.0796999616036389</v>
      </c>
      <c r="P53" s="32">
        <f t="shared" si="3"/>
        <v>0.44663567522542924</v>
      </c>
      <c r="Q53" s="32">
        <f t="shared" si="4"/>
        <v>0.42624776681569565</v>
      </c>
      <c r="S53" s="2">
        <f>USA!Z61*G53</f>
        <v>35.719449999999995</v>
      </c>
      <c r="T53" s="2">
        <v>0</v>
      </c>
      <c r="U53" s="2">
        <v>0</v>
      </c>
      <c r="V53" s="2">
        <v>0</v>
      </c>
      <c r="X53" s="2">
        <f t="shared" si="16"/>
        <v>0.59399999999999997</v>
      </c>
      <c r="Y53" s="2">
        <f t="shared" si="5"/>
        <v>0.59511420168117346</v>
      </c>
      <c r="Z53" s="2">
        <v>5.6000000000000001E-2</v>
      </c>
      <c r="AA53" s="2">
        <f t="shared" si="17"/>
        <v>5.833799310676975E-2</v>
      </c>
      <c r="AB53" s="2">
        <f t="shared" si="18"/>
        <v>0.65345219478794325</v>
      </c>
      <c r="AE53" s="4">
        <v>59.4</v>
      </c>
      <c r="AM53">
        <v>1974</v>
      </c>
      <c r="AN53" s="1">
        <f t="shared" si="19"/>
        <v>1.1000878700133725</v>
      </c>
      <c r="AO53" s="1">
        <f t="shared" si="20"/>
        <v>0.59511420168117346</v>
      </c>
      <c r="AP53" s="1">
        <f t="shared" si="21"/>
        <v>5.833799310676975E-2</v>
      </c>
      <c r="AQ53" s="1">
        <f t="shared" si="22"/>
        <v>0.65345219478794325</v>
      </c>
      <c r="AR53" s="22">
        <f t="shared" si="6"/>
        <v>0.44663567522542924</v>
      </c>
      <c r="AT53" s="7">
        <v>45.286608125965977</v>
      </c>
      <c r="AV53" s="22">
        <f t="shared" si="7"/>
        <v>2.4291681703196826</v>
      </c>
      <c r="AW53" s="22">
        <f t="shared" si="23"/>
        <v>2.4291681703196826</v>
      </c>
      <c r="AX53" s="1">
        <f t="shared" si="8"/>
        <v>1.4429258931698916</v>
      </c>
      <c r="AY53" s="1">
        <f t="shared" ref="AY53:AY89" si="25">AV53-AX53</f>
        <v>0.98624227714979096</v>
      </c>
      <c r="AZ53" s="1">
        <f t="shared" si="10"/>
        <v>0.98624227714979074</v>
      </c>
      <c r="BA53" s="3">
        <f t="shared" si="11"/>
        <v>78.874200294809754</v>
      </c>
      <c r="BB53">
        <v>0</v>
      </c>
      <c r="BC53">
        <v>0</v>
      </c>
      <c r="BD53" s="23">
        <v>1</v>
      </c>
      <c r="BE53" s="23">
        <v>1</v>
      </c>
      <c r="BF53">
        <v>0</v>
      </c>
      <c r="BG53">
        <v>0</v>
      </c>
      <c r="BI53" s="22">
        <f t="shared" si="12"/>
        <v>2.4094149601079304</v>
      </c>
      <c r="BJ53" s="22">
        <f t="shared" si="13"/>
        <v>2.4094149601079304</v>
      </c>
    </row>
    <row r="54" spans="1:62">
      <c r="A54">
        <v>1975</v>
      </c>
      <c r="B54" s="3">
        <f t="shared" si="24"/>
        <v>146.94525205895667</v>
      </c>
      <c r="C54" s="3">
        <f t="shared" si="0"/>
        <v>24.682660206706046</v>
      </c>
      <c r="D54" s="2">
        <v>102.678</v>
      </c>
      <c r="E54" s="2">
        <v>35.324019999999997</v>
      </c>
      <c r="F54" s="2">
        <f t="shared" si="14"/>
        <v>36.269997255599996</v>
      </c>
      <c r="G54" s="2">
        <v>2.5879916666666669</v>
      </c>
      <c r="H54" s="2">
        <f t="shared" si="15"/>
        <v>0.93866450647515665</v>
      </c>
      <c r="I54" s="32">
        <f t="shared" si="1"/>
        <v>0.93866450647515665</v>
      </c>
      <c r="J54" s="32">
        <f t="shared" si="2"/>
        <v>0.96974130905731182</v>
      </c>
      <c r="P54" s="32">
        <f t="shared" si="3"/>
        <v>0.37452713808358751</v>
      </c>
      <c r="Q54" s="32">
        <f t="shared" si="4"/>
        <v>0.40560394066574268</v>
      </c>
      <c r="S54" s="2">
        <f>USA!Z62*G54</f>
        <v>32.789854416666671</v>
      </c>
      <c r="T54" s="2">
        <v>0</v>
      </c>
      <c r="U54" s="2">
        <v>0</v>
      </c>
      <c r="V54" s="2">
        <v>0</v>
      </c>
      <c r="X54" s="2">
        <f t="shared" si="16"/>
        <v>0.60099999999999998</v>
      </c>
      <c r="Y54" s="2">
        <f t="shared" si="5"/>
        <v>0.51435970516940177</v>
      </c>
      <c r="Z54" s="2">
        <v>5.6000000000000001E-2</v>
      </c>
      <c r="AA54" s="2">
        <f t="shared" si="17"/>
        <v>4.9777663222167395E-2</v>
      </c>
      <c r="AB54" s="2">
        <f t="shared" si="18"/>
        <v>0.56413736839156914</v>
      </c>
      <c r="AE54" s="4">
        <v>60.1</v>
      </c>
      <c r="AM54">
        <v>1975</v>
      </c>
      <c r="AN54" s="1">
        <f t="shared" si="19"/>
        <v>0.93866450647515665</v>
      </c>
      <c r="AO54" s="1">
        <f t="shared" si="20"/>
        <v>0.51435970516940177</v>
      </c>
      <c r="AP54" s="1">
        <f t="shared" si="21"/>
        <v>4.9777663222167395E-2</v>
      </c>
      <c r="AQ54" s="1">
        <f t="shared" si="22"/>
        <v>0.56413736839156914</v>
      </c>
      <c r="AR54" s="22">
        <f t="shared" si="6"/>
        <v>0.37452713808358751</v>
      </c>
      <c r="AT54" s="7">
        <v>48.319268408532928</v>
      </c>
      <c r="AV54" s="22">
        <f t="shared" si="7"/>
        <v>1.9426297984043845</v>
      </c>
      <c r="AW54" s="22">
        <f t="shared" si="23"/>
        <v>1.9723099101782657</v>
      </c>
      <c r="AX54" s="1">
        <f t="shared" si="8"/>
        <v>1.1675205088410352</v>
      </c>
      <c r="AY54" s="1">
        <f t="shared" si="25"/>
        <v>0.77510928956334935</v>
      </c>
      <c r="AZ54" s="1">
        <f t="shared" si="10"/>
        <v>0.80478940133723065</v>
      </c>
      <c r="BA54" s="3">
        <f t="shared" si="11"/>
        <v>67.860825498086712</v>
      </c>
      <c r="BB54">
        <v>0</v>
      </c>
      <c r="BC54">
        <v>0</v>
      </c>
      <c r="BD54" s="23">
        <v>1</v>
      </c>
      <c r="BE54">
        <v>0</v>
      </c>
      <c r="BF54">
        <v>0</v>
      </c>
      <c r="BG54">
        <v>0</v>
      </c>
      <c r="BI54" s="22">
        <f t="shared" si="12"/>
        <v>1.9268329609353487</v>
      </c>
      <c r="BJ54" s="22">
        <f t="shared" si="13"/>
        <v>1.9562717236358551</v>
      </c>
    </row>
    <row r="55" spans="1:62">
      <c r="A55">
        <v>1976</v>
      </c>
      <c r="B55" s="3">
        <f t="shared" si="24"/>
        <v>146.67333794014644</v>
      </c>
      <c r="C55" s="3">
        <f t="shared" si="0"/>
        <v>26.098712089869402</v>
      </c>
      <c r="D55" s="2">
        <v>102.488</v>
      </c>
      <c r="E55" s="2">
        <v>37.350569999999998</v>
      </c>
      <c r="F55" s="2">
        <f t="shared" si="14"/>
        <v>38.279852181599999</v>
      </c>
      <c r="G55" s="2">
        <v>2.4902500000000001</v>
      </c>
      <c r="H55" s="2">
        <f t="shared" si="15"/>
        <v>0.95326401895229396</v>
      </c>
      <c r="I55" s="32">
        <f t="shared" si="1"/>
        <v>0.95326401895229396</v>
      </c>
      <c r="J55" s="32">
        <f t="shared" si="2"/>
        <v>0.98310181192118939</v>
      </c>
      <c r="P55" s="32">
        <f t="shared" si="3"/>
        <v>0.37844581552406076</v>
      </c>
      <c r="Q55" s="32">
        <f t="shared" si="4"/>
        <v>0.40828360849295625</v>
      </c>
      <c r="S55" s="2">
        <f>USA!Z63*G55</f>
        <v>33.17013</v>
      </c>
      <c r="T55" s="2">
        <v>0</v>
      </c>
      <c r="U55" s="2">
        <v>0</v>
      </c>
      <c r="V55" s="2">
        <v>0</v>
      </c>
      <c r="X55" s="2">
        <f t="shared" si="16"/>
        <v>0.60299999999999998</v>
      </c>
      <c r="Y55" s="2">
        <f t="shared" si="5"/>
        <v>0.52426632363530856</v>
      </c>
      <c r="Z55" s="2">
        <v>5.6000000000000001E-2</v>
      </c>
      <c r="AA55" s="2">
        <f t="shared" si="17"/>
        <v>5.0551879792924678E-2</v>
      </c>
      <c r="AB55" s="2">
        <f t="shared" si="18"/>
        <v>0.5748182034282332</v>
      </c>
      <c r="AE55" s="4">
        <v>60.3</v>
      </c>
      <c r="AM55">
        <v>1976</v>
      </c>
      <c r="AN55" s="1">
        <f t="shared" si="19"/>
        <v>0.95326401895229396</v>
      </c>
      <c r="AO55" s="1">
        <f t="shared" si="20"/>
        <v>0.52426632363530856</v>
      </c>
      <c r="AP55" s="1">
        <f t="shared" si="21"/>
        <v>5.0551879792924678E-2</v>
      </c>
      <c r="AQ55" s="1">
        <f t="shared" si="22"/>
        <v>0.5748182034282332</v>
      </c>
      <c r="AR55" s="22">
        <f t="shared" si="6"/>
        <v>0.37844581552406076</v>
      </c>
      <c r="AT55" s="7">
        <v>49.148172895071525</v>
      </c>
      <c r="AV55" s="22">
        <f t="shared" si="7"/>
        <v>1.9395716316605642</v>
      </c>
      <c r="AW55" s="22">
        <f t="shared" si="23"/>
        <v>1.9722120369271545</v>
      </c>
      <c r="AX55" s="1">
        <f t="shared" si="8"/>
        <v>1.16956169389132</v>
      </c>
      <c r="AY55" s="1">
        <f t="shared" si="25"/>
        <v>0.7700099377692442</v>
      </c>
      <c r="AZ55" s="1">
        <f t="shared" si="10"/>
        <v>0.80265034303583438</v>
      </c>
      <c r="BA55" s="3">
        <f t="shared" si="11"/>
        <v>67.490057200735194</v>
      </c>
      <c r="BB55">
        <v>0</v>
      </c>
      <c r="BC55">
        <v>0</v>
      </c>
      <c r="BD55" s="23">
        <v>1</v>
      </c>
      <c r="BE55">
        <v>0</v>
      </c>
      <c r="BF55">
        <v>0</v>
      </c>
      <c r="BG55">
        <v>0</v>
      </c>
      <c r="BI55" s="22">
        <f t="shared" si="12"/>
        <v>1.9237996622147846</v>
      </c>
      <c r="BJ55" s="22">
        <f t="shared" si="13"/>
        <v>1.9561746462583796</v>
      </c>
    </row>
    <row r="56" spans="1:62">
      <c r="A56">
        <v>1977</v>
      </c>
      <c r="B56" s="3">
        <f t="shared" si="24"/>
        <v>165.44543002664335</v>
      </c>
      <c r="C56" s="3">
        <f t="shared" si="0"/>
        <v>27.791594761847083</v>
      </c>
      <c r="D56" s="2">
        <v>115.605</v>
      </c>
      <c r="E56" s="2">
        <v>39.773299999999999</v>
      </c>
      <c r="F56" s="2">
        <f t="shared" si="14"/>
        <v>45.979923464999999</v>
      </c>
      <c r="G56" s="2">
        <v>2.3617500000000002</v>
      </c>
      <c r="H56" s="2">
        <f t="shared" si="15"/>
        <v>1.0859308424346377</v>
      </c>
      <c r="I56" s="32">
        <f t="shared" si="1"/>
        <v>1.0859308424346377</v>
      </c>
      <c r="J56" s="32">
        <f t="shared" si="2"/>
        <v>1.0976669726392612</v>
      </c>
      <c r="P56" s="32">
        <f t="shared" si="3"/>
        <v>0.40179441170081598</v>
      </c>
      <c r="Q56" s="32">
        <f t="shared" si="4"/>
        <v>0.41353054190543947</v>
      </c>
      <c r="S56" s="2">
        <f>USA!Z64*G56</f>
        <v>33.914729999999999</v>
      </c>
      <c r="T56" s="2">
        <v>0</v>
      </c>
      <c r="U56" s="2">
        <v>0</v>
      </c>
      <c r="V56" s="2">
        <v>0</v>
      </c>
      <c r="X56" s="2">
        <f t="shared" si="16"/>
        <v>0.63</v>
      </c>
      <c r="Y56" s="2">
        <f t="shared" si="5"/>
        <v>0.62654918908956059</v>
      </c>
      <c r="Z56" s="2">
        <v>5.6000000000000001E-2</v>
      </c>
      <c r="AA56" s="2">
        <f t="shared" si="17"/>
        <v>5.7587241644261086E-2</v>
      </c>
      <c r="AB56" s="2">
        <f t="shared" si="18"/>
        <v>0.68413643073382169</v>
      </c>
      <c r="AE56" s="4">
        <v>63</v>
      </c>
      <c r="AM56">
        <v>1977</v>
      </c>
      <c r="AN56" s="1">
        <f t="shared" si="19"/>
        <v>1.0859308424346377</v>
      </c>
      <c r="AO56" s="1">
        <f t="shared" si="20"/>
        <v>0.62654918908956059</v>
      </c>
      <c r="AP56" s="1">
        <f t="shared" si="21"/>
        <v>5.7587241644261086E-2</v>
      </c>
      <c r="AQ56" s="1">
        <f t="shared" si="22"/>
        <v>0.68413643073382169</v>
      </c>
      <c r="AR56" s="22">
        <f t="shared" si="6"/>
        <v>0.40179441170081598</v>
      </c>
      <c r="AT56" s="7">
        <v>49.785134198755109</v>
      </c>
      <c r="AV56" s="22">
        <f t="shared" si="7"/>
        <v>2.1812351415973321</v>
      </c>
      <c r="AW56" s="22">
        <f t="shared" si="23"/>
        <v>2.1804754929070103</v>
      </c>
      <c r="AX56" s="1">
        <f t="shared" si="8"/>
        <v>1.3741781392063188</v>
      </c>
      <c r="AY56" s="1">
        <f t="shared" si="25"/>
        <v>0.8070570023910133</v>
      </c>
      <c r="AZ56" s="1">
        <f t="shared" si="10"/>
        <v>0.80629735370069155</v>
      </c>
      <c r="BA56" s="3">
        <f t="shared" si="11"/>
        <v>68.122202633026234</v>
      </c>
      <c r="BB56">
        <v>0</v>
      </c>
      <c r="BC56">
        <v>0</v>
      </c>
      <c r="BD56" s="23">
        <v>1</v>
      </c>
      <c r="BE56">
        <v>0</v>
      </c>
      <c r="BF56">
        <v>0</v>
      </c>
      <c r="BG56">
        <v>0</v>
      </c>
      <c r="BI56" s="22">
        <f t="shared" si="12"/>
        <v>2.1634980426184818</v>
      </c>
      <c r="BJ56" s="22">
        <f t="shared" si="13"/>
        <v>2.1627445711457156</v>
      </c>
    </row>
    <row r="57" spans="1:62">
      <c r="A57">
        <v>1978</v>
      </c>
      <c r="B57" s="3">
        <f t="shared" si="24"/>
        <v>171.47476782952603</v>
      </c>
      <c r="C57" s="3">
        <f t="shared" si="0"/>
        <v>29.916940817905406</v>
      </c>
      <c r="D57" s="2">
        <v>119.818</v>
      </c>
      <c r="E57" s="2">
        <v>42.81494</v>
      </c>
      <c r="F57" s="2">
        <f t="shared" si="14"/>
        <v>51.300004809199997</v>
      </c>
      <c r="G57" s="2">
        <v>1.7617583333333331</v>
      </c>
      <c r="H57" s="2">
        <f t="shared" si="15"/>
        <v>0.90378210972648165</v>
      </c>
      <c r="I57" s="32">
        <f t="shared" si="1"/>
        <v>0.90378210972648165</v>
      </c>
      <c r="J57" s="32">
        <f t="shared" si="2"/>
        <v>0.92949702331894746</v>
      </c>
      <c r="P57" s="32">
        <f t="shared" si="3"/>
        <v>0.32685427057431971</v>
      </c>
      <c r="Q57" s="32">
        <f t="shared" si="4"/>
        <v>0.35256918416678557</v>
      </c>
      <c r="S57" s="2">
        <f>USA!Z65*G57</f>
        <v>25.263614499999996</v>
      </c>
      <c r="T57" s="2">
        <v>0</v>
      </c>
      <c r="U57" s="2">
        <v>0</v>
      </c>
      <c r="V57" s="2">
        <v>0</v>
      </c>
      <c r="X57" s="2">
        <f t="shared" si="16"/>
        <v>0.623</v>
      </c>
      <c r="Y57" s="2">
        <f>AH57+AI57</f>
        <v>0.52900000000000003</v>
      </c>
      <c r="Z57" s="2">
        <v>5.6000000000000001E-2</v>
      </c>
      <c r="AA57" s="2">
        <f t="shared" si="17"/>
        <v>4.7927839152161908E-2</v>
      </c>
      <c r="AB57" s="2">
        <f t="shared" ref="AB57:AB79" si="26">Y57+AA57</f>
        <v>0.57692783915216195</v>
      </c>
      <c r="AC57" s="2">
        <f>I57*X57</f>
        <v>0.56305625435959805</v>
      </c>
      <c r="AE57" s="4">
        <v>62.3</v>
      </c>
      <c r="AH57" s="2">
        <v>0.52900000000000003</v>
      </c>
      <c r="AM57">
        <v>1978</v>
      </c>
      <c r="AN57" s="1">
        <f t="shared" si="19"/>
        <v>0.90378210972648165</v>
      </c>
      <c r="AO57" s="1">
        <f t="shared" si="20"/>
        <v>0.52900000000000003</v>
      </c>
      <c r="AP57" s="1">
        <f t="shared" si="21"/>
        <v>4.7927839152161908E-2</v>
      </c>
      <c r="AQ57" s="1">
        <f t="shared" si="22"/>
        <v>0.57692783915216195</v>
      </c>
      <c r="AR57" s="22">
        <f t="shared" si="6"/>
        <v>0.32685427057431971</v>
      </c>
      <c r="AT57" s="7">
        <v>50.297318183027144</v>
      </c>
      <c r="AV57" s="22">
        <f t="shared" si="7"/>
        <v>1.7968793215529002</v>
      </c>
      <c r="AW57" s="22">
        <f t="shared" si="23"/>
        <v>1.8500992401934075</v>
      </c>
      <c r="AX57" s="1">
        <f t="shared" si="8"/>
        <v>1.1470349911157818</v>
      </c>
      <c r="AY57" s="1">
        <f t="shared" si="25"/>
        <v>0.64984433043711842</v>
      </c>
      <c r="AZ57" s="1">
        <f t="shared" si="10"/>
        <v>0.70306424907762588</v>
      </c>
      <c r="BA57" s="3">
        <f t="shared" si="11"/>
        <v>50.228551765062527</v>
      </c>
      <c r="BB57">
        <v>0</v>
      </c>
      <c r="BC57">
        <v>0</v>
      </c>
      <c r="BD57" s="23">
        <v>1</v>
      </c>
      <c r="BE57">
        <v>0</v>
      </c>
      <c r="BF57">
        <v>0</v>
      </c>
      <c r="BG57">
        <v>0</v>
      </c>
      <c r="BI57" s="22">
        <f t="shared" si="12"/>
        <v>1.7822676798405381</v>
      </c>
      <c r="BJ57" s="22">
        <f t="shared" si="13"/>
        <v>1.8350548313086437</v>
      </c>
    </row>
    <row r="58" spans="1:62">
      <c r="A58">
        <v>1979</v>
      </c>
      <c r="B58" s="3">
        <f t="shared" si="24"/>
        <v>191.96421224535104</v>
      </c>
      <c r="C58" s="3">
        <f t="shared" si="0"/>
        <v>33.287054161079702</v>
      </c>
      <c r="D58" s="2">
        <v>134.13499999999999</v>
      </c>
      <c r="E58" s="2">
        <v>47.637999999999998</v>
      </c>
      <c r="F58" s="2">
        <f t="shared" si="14"/>
        <v>63.89923129999999</v>
      </c>
      <c r="G58" s="2">
        <v>1.6561083333333333</v>
      </c>
      <c r="H58" s="2">
        <f t="shared" si="15"/>
        <v>1.0582404944952415</v>
      </c>
      <c r="I58" s="32">
        <f t="shared" si="1"/>
        <v>1.0582404944952415</v>
      </c>
      <c r="J58" s="32">
        <f t="shared" si="2"/>
        <v>1.0097525575622437</v>
      </c>
      <c r="P58" s="32">
        <f t="shared" si="3"/>
        <v>0.47312168039322111</v>
      </c>
      <c r="Q58" s="32">
        <f t="shared" si="4"/>
        <v>0.42463374346022331</v>
      </c>
      <c r="S58" s="2">
        <f>USA!Z66*G58</f>
        <v>35.49040158333333</v>
      </c>
      <c r="T58" s="2">
        <v>0</v>
      </c>
      <c r="U58" s="2">
        <v>0</v>
      </c>
      <c r="V58" s="2">
        <v>0</v>
      </c>
      <c r="X58" s="2">
        <f t="shared" si="16"/>
        <v>0.55399999999999994</v>
      </c>
      <c r="Y58" s="2">
        <f t="shared" ref="Y58:Y97" si="27">AH58+AI58</f>
        <v>0.52900000000000003</v>
      </c>
      <c r="Z58" s="2">
        <v>5.6000000000000001E-2</v>
      </c>
      <c r="AA58" s="2">
        <f t="shared" si="17"/>
        <v>5.6118814102020388E-2</v>
      </c>
      <c r="AB58" s="2">
        <f t="shared" si="26"/>
        <v>0.58511881410202038</v>
      </c>
      <c r="AC58" s="2">
        <f t="shared" ref="AC58:AC78" si="28">I58*X58</f>
        <v>0.58626523395036367</v>
      </c>
      <c r="AE58" s="4">
        <v>55.4</v>
      </c>
      <c r="AH58" s="2">
        <v>0.52900000000000003</v>
      </c>
      <c r="AM58">
        <v>1979</v>
      </c>
      <c r="AN58" s="1">
        <f t="shared" si="19"/>
        <v>1.0582404944952415</v>
      </c>
      <c r="AO58" s="1">
        <f t="shared" si="20"/>
        <v>0.52900000000000003</v>
      </c>
      <c r="AP58" s="1">
        <f t="shared" si="21"/>
        <v>5.6118814102020388E-2</v>
      </c>
      <c r="AQ58" s="1">
        <f t="shared" si="22"/>
        <v>0.58511881410202038</v>
      </c>
      <c r="AR58" s="22">
        <f t="shared" si="6"/>
        <v>0.47312168039322111</v>
      </c>
      <c r="AT58" s="7">
        <v>52.13198529189124</v>
      </c>
      <c r="AV58" s="22">
        <f t="shared" si="7"/>
        <v>2.0299255602296107</v>
      </c>
      <c r="AW58" s="22">
        <f t="shared" si="23"/>
        <v>1.9284218999588765</v>
      </c>
      <c r="AX58" s="1">
        <f t="shared" si="8"/>
        <v>1.1223796884501758</v>
      </c>
      <c r="AY58" s="1">
        <f t="shared" si="25"/>
        <v>0.90754587177943491</v>
      </c>
      <c r="AZ58" s="1">
        <f t="shared" si="10"/>
        <v>0.80604221150870059</v>
      </c>
      <c r="BA58" s="3">
        <f t="shared" si="11"/>
        <v>68.077978202095451</v>
      </c>
      <c r="BB58">
        <v>0</v>
      </c>
      <c r="BC58">
        <v>0</v>
      </c>
      <c r="BD58" s="23">
        <v>1</v>
      </c>
      <c r="BE58">
        <v>0</v>
      </c>
      <c r="BF58">
        <v>0</v>
      </c>
      <c r="BG58">
        <v>0</v>
      </c>
      <c r="BI58" s="22">
        <f t="shared" si="12"/>
        <v>2.0134188618481037</v>
      </c>
      <c r="BJ58" s="22">
        <f t="shared" si="13"/>
        <v>1.9127405965265905</v>
      </c>
    </row>
    <row r="59" spans="1:62">
      <c r="A59">
        <v>1980</v>
      </c>
      <c r="B59" s="3">
        <f t="shared" si="24"/>
        <v>182.35133258193713</v>
      </c>
      <c r="C59" s="3">
        <f t="shared" si="0"/>
        <v>37.784321185500851</v>
      </c>
      <c r="D59" s="2">
        <v>127.41800000000001</v>
      </c>
      <c r="E59" s="2">
        <v>54.074159999999999</v>
      </c>
      <c r="F59" s="2">
        <f t="shared" si="14"/>
        <v>68.900213188799995</v>
      </c>
      <c r="G59" s="2">
        <v>1.6946999999999999</v>
      </c>
      <c r="H59" s="2">
        <f t="shared" si="15"/>
        <v>1.1676519129105933</v>
      </c>
      <c r="I59" s="32">
        <f t="shared" si="1"/>
        <v>1.1676519129105933</v>
      </c>
      <c r="J59" s="32">
        <f t="shared" si="2"/>
        <v>1.1689849287853333</v>
      </c>
      <c r="P59" s="32">
        <f t="shared" si="3"/>
        <v>0.5767309781350316</v>
      </c>
      <c r="Q59" s="32">
        <f t="shared" si="4"/>
        <v>0.5780639940097716</v>
      </c>
      <c r="S59" s="2">
        <f>USA!Z67*G59</f>
        <v>57.263912999999995</v>
      </c>
      <c r="T59" s="2">
        <v>0</v>
      </c>
      <c r="U59" s="2">
        <v>0</v>
      </c>
      <c r="V59" s="2">
        <v>0</v>
      </c>
      <c r="X59" s="2">
        <f t="shared" si="16"/>
        <v>0.51800000000000002</v>
      </c>
      <c r="Y59" s="2">
        <f t="shared" si="27"/>
        <v>0.52900000000000003</v>
      </c>
      <c r="Z59" s="2">
        <v>5.6000000000000001E-2</v>
      </c>
      <c r="AA59" s="2">
        <f t="shared" si="17"/>
        <v>6.1920934775561765E-2</v>
      </c>
      <c r="AB59" s="2">
        <f t="shared" si="26"/>
        <v>0.59092093477556173</v>
      </c>
      <c r="AC59" s="2">
        <f t="shared" si="28"/>
        <v>0.60484369088768741</v>
      </c>
      <c r="AE59" s="4">
        <v>51.8</v>
      </c>
      <c r="AH59" s="2">
        <v>0.52900000000000003</v>
      </c>
      <c r="AM59">
        <v>1980</v>
      </c>
      <c r="AN59" s="1">
        <f t="shared" si="19"/>
        <v>1.1676519129105933</v>
      </c>
      <c r="AO59" s="1">
        <f t="shared" si="20"/>
        <v>0.52900000000000003</v>
      </c>
      <c r="AP59" s="1">
        <f t="shared" si="21"/>
        <v>6.1920934775561765E-2</v>
      </c>
      <c r="AQ59" s="1">
        <f t="shared" si="22"/>
        <v>0.59092093477556173</v>
      </c>
      <c r="AR59" s="22">
        <f t="shared" si="6"/>
        <v>0.5767309781350316</v>
      </c>
      <c r="AT59" s="7">
        <v>54.228993878937715</v>
      </c>
      <c r="AV59" s="22">
        <f t="shared" si="7"/>
        <v>2.1531874913949012</v>
      </c>
      <c r="AW59" s="22">
        <f t="shared" si="23"/>
        <v>2.1121733208899913</v>
      </c>
      <c r="AX59" s="1">
        <f t="shared" si="8"/>
        <v>1.0896771127540181</v>
      </c>
      <c r="AY59" s="1">
        <f t="shared" si="25"/>
        <v>1.063510378640883</v>
      </c>
      <c r="AZ59" s="1">
        <f t="shared" si="10"/>
        <v>1.0224962081359734</v>
      </c>
      <c r="BA59" s="3">
        <f t="shared" si="11"/>
        <v>105.59648797438048</v>
      </c>
      <c r="BB59">
        <v>0</v>
      </c>
      <c r="BC59">
        <v>0</v>
      </c>
      <c r="BD59" s="23">
        <v>1</v>
      </c>
      <c r="BE59">
        <v>0</v>
      </c>
      <c r="BF59">
        <v>0</v>
      </c>
      <c r="BG59">
        <v>0</v>
      </c>
      <c r="BI59" s="22">
        <f t="shared" si="12"/>
        <v>2.1356784668397011</v>
      </c>
      <c r="BJ59" s="22">
        <f t="shared" si="13"/>
        <v>2.0949978103094686</v>
      </c>
    </row>
    <row r="60" spans="1:62">
      <c r="A60">
        <v>1981</v>
      </c>
      <c r="B60" s="3">
        <f t="shared" si="24"/>
        <v>153.30374905829385</v>
      </c>
      <c r="C60" s="3">
        <f t="shared" si="0"/>
        <v>41.681969842500045</v>
      </c>
      <c r="D60" s="2">
        <v>107.121</v>
      </c>
      <c r="E60" s="2">
        <v>59.652189999999997</v>
      </c>
      <c r="F60" s="2">
        <f t="shared" si="14"/>
        <v>63.9000224499</v>
      </c>
      <c r="G60" s="2">
        <v>1.966175</v>
      </c>
      <c r="H60" s="2">
        <f t="shared" si="15"/>
        <v>1.2563862664043213</v>
      </c>
      <c r="I60" s="32">
        <f t="shared" si="1"/>
        <v>1.2563862664043213</v>
      </c>
      <c r="J60" s="32">
        <f t="shared" si="2"/>
        <v>1.2746303665992049</v>
      </c>
      <c r="P60" s="32">
        <f t="shared" si="3"/>
        <v>0.66075972197378907</v>
      </c>
      <c r="Q60" s="32">
        <f t="shared" si="4"/>
        <v>0.67900382216867272</v>
      </c>
      <c r="S60" s="2">
        <f>USA!Z68*G60</f>
        <v>71.588431749999998</v>
      </c>
      <c r="T60" s="2">
        <v>0</v>
      </c>
      <c r="U60" s="2">
        <v>0</v>
      </c>
      <c r="V60" s="2">
        <v>0</v>
      </c>
      <c r="X60" s="2">
        <f t="shared" si="16"/>
        <v>0.504</v>
      </c>
      <c r="Y60" s="2">
        <f t="shared" si="27"/>
        <v>0.52900000000000003</v>
      </c>
      <c r="Z60" s="2">
        <v>5.6000000000000001E-2</v>
      </c>
      <c r="AA60" s="2">
        <f t="shared" si="17"/>
        <v>6.6626544430532189E-2</v>
      </c>
      <c r="AB60" s="2">
        <f t="shared" si="26"/>
        <v>0.5956265444305322</v>
      </c>
      <c r="AC60" s="2">
        <f t="shared" si="28"/>
        <v>0.63321867826777789</v>
      </c>
      <c r="AE60" s="4">
        <v>50.4</v>
      </c>
      <c r="AH60" s="2">
        <v>0.52900000000000003</v>
      </c>
      <c r="AM60">
        <v>1981</v>
      </c>
      <c r="AN60" s="1">
        <f t="shared" si="19"/>
        <v>1.2563862664043213</v>
      </c>
      <c r="AO60" s="1">
        <f t="shared" si="20"/>
        <v>0.52900000000000003</v>
      </c>
      <c r="AP60" s="1">
        <f t="shared" si="21"/>
        <v>6.6626544430532189E-2</v>
      </c>
      <c r="AQ60" s="1">
        <f t="shared" si="22"/>
        <v>0.5956265444305322</v>
      </c>
      <c r="AR60" s="22">
        <f t="shared" si="6"/>
        <v>0.66075972197378907</v>
      </c>
      <c r="AT60" s="7">
        <v>57.748623691561797</v>
      </c>
      <c r="AV60" s="22">
        <f t="shared" si="7"/>
        <v>2.1756124840563151</v>
      </c>
      <c r="AW60" s="22">
        <f t="shared" si="23"/>
        <v>2.159884946763257</v>
      </c>
      <c r="AX60" s="1">
        <f t="shared" si="8"/>
        <v>1.031412536533862</v>
      </c>
      <c r="AY60" s="1">
        <f t="shared" si="25"/>
        <v>1.1441999475224531</v>
      </c>
      <c r="AZ60" s="1">
        <f t="shared" si="10"/>
        <v>1.1284724102293948</v>
      </c>
      <c r="BA60" s="3">
        <f t="shared" si="11"/>
        <v>123.96560675169903</v>
      </c>
      <c r="BB60">
        <v>0</v>
      </c>
      <c r="BC60">
        <v>0</v>
      </c>
      <c r="BD60" s="23">
        <v>1</v>
      </c>
      <c r="BE60">
        <v>0</v>
      </c>
      <c r="BF60">
        <v>0</v>
      </c>
      <c r="BG60">
        <v>0</v>
      </c>
      <c r="BI60" s="22">
        <f t="shared" si="12"/>
        <v>2.1579211067107851</v>
      </c>
      <c r="BJ60" s="22">
        <f t="shared" si="13"/>
        <v>2.1423214606662864</v>
      </c>
    </row>
    <row r="61" spans="1:62">
      <c r="A61">
        <v>1982</v>
      </c>
      <c r="B61" s="3">
        <f t="shared" si="24"/>
        <v>140.33945632419622</v>
      </c>
      <c r="C61" s="3">
        <f t="shared" si="0"/>
        <v>44.24984128314113</v>
      </c>
      <c r="D61" s="2">
        <v>98.062200000000004</v>
      </c>
      <c r="E61" s="2">
        <v>63.32714</v>
      </c>
      <c r="F61" s="2">
        <f t="shared" si="14"/>
        <v>62.099986681079997</v>
      </c>
      <c r="G61" s="2">
        <v>2.0405916666666668</v>
      </c>
      <c r="H61" s="2">
        <f t="shared" si="15"/>
        <v>1.2672071532152285</v>
      </c>
      <c r="I61" s="32">
        <f t="shared" si="1"/>
        <v>1.2672071532152285</v>
      </c>
      <c r="J61" s="32">
        <f t="shared" si="2"/>
        <v>1.2481395210415853</v>
      </c>
      <c r="P61" s="32">
        <f t="shared" si="3"/>
        <v>0.67100677387805729</v>
      </c>
      <c r="Q61" s="32">
        <f t="shared" si="4"/>
        <v>0.65193914170441414</v>
      </c>
      <c r="S61" s="2">
        <f>USA!Z69*G61</f>
        <v>67.747643333333343</v>
      </c>
      <c r="T61" s="2">
        <v>0</v>
      </c>
      <c r="U61" s="2">
        <v>0</v>
      </c>
      <c r="V61" s="2">
        <v>0</v>
      </c>
      <c r="X61" s="2">
        <f t="shared" si="16"/>
        <v>0.51200000000000001</v>
      </c>
      <c r="Y61" s="2">
        <f t="shared" si="27"/>
        <v>0.52900000000000003</v>
      </c>
      <c r="Z61" s="2">
        <v>5.6000000000000001E-2</v>
      </c>
      <c r="AA61" s="2">
        <f t="shared" si="17"/>
        <v>6.7200379337171198E-2</v>
      </c>
      <c r="AB61" s="2">
        <f t="shared" si="26"/>
        <v>0.59620037933717118</v>
      </c>
      <c r="AC61" s="2">
        <f t="shared" si="28"/>
        <v>0.64881006244619699</v>
      </c>
      <c r="AE61" s="4">
        <v>51.2</v>
      </c>
      <c r="AH61" s="2">
        <v>0.52900000000000003</v>
      </c>
      <c r="AM61">
        <v>1982</v>
      </c>
      <c r="AN61" s="1">
        <f t="shared" si="19"/>
        <v>1.2672071532152285</v>
      </c>
      <c r="AO61" s="1">
        <f t="shared" si="20"/>
        <v>0.52900000000000003</v>
      </c>
      <c r="AP61" s="1">
        <f t="shared" si="21"/>
        <v>6.7200379337171198E-2</v>
      </c>
      <c r="AQ61" s="1">
        <f t="shared" si="22"/>
        <v>0.59620037933717118</v>
      </c>
      <c r="AR61" s="22">
        <f t="shared" si="6"/>
        <v>0.67100677387805729</v>
      </c>
      <c r="AT61" s="7">
        <v>61.014366687429543</v>
      </c>
      <c r="AV61" s="22">
        <f t="shared" si="7"/>
        <v>2.0768996254718224</v>
      </c>
      <c r="AW61" s="22">
        <f t="shared" si="23"/>
        <v>2.0310231528687965</v>
      </c>
      <c r="AX61" s="1">
        <f t="shared" si="8"/>
        <v>0.97714753377912722</v>
      </c>
      <c r="AY61" s="1">
        <f t="shared" si="25"/>
        <v>1.0997520916926953</v>
      </c>
      <c r="AZ61" s="1">
        <f t="shared" si="10"/>
        <v>1.0538756190896694</v>
      </c>
      <c r="BA61" s="3">
        <f t="shared" si="11"/>
        <v>111.03555934686284</v>
      </c>
      <c r="BB61">
        <v>0</v>
      </c>
      <c r="BC61">
        <v>0</v>
      </c>
      <c r="BD61" s="23">
        <v>1</v>
      </c>
      <c r="BE61">
        <v>0</v>
      </c>
      <c r="BF61">
        <v>0</v>
      </c>
      <c r="BG61">
        <v>0</v>
      </c>
      <c r="BI61" s="22">
        <f t="shared" si="12"/>
        <v>2.0600109491784657</v>
      </c>
      <c r="BJ61" s="22">
        <f t="shared" si="13"/>
        <v>2.0145075292187991</v>
      </c>
    </row>
    <row r="62" spans="1:62">
      <c r="A62">
        <v>1983</v>
      </c>
      <c r="B62" s="3">
        <f t="shared" si="24"/>
        <v>126.77537828908076</v>
      </c>
      <c r="C62" s="3">
        <f t="shared" si="0"/>
        <v>45.671336429076113</v>
      </c>
      <c r="D62" s="2">
        <v>88.584299999999999</v>
      </c>
      <c r="E62" s="2">
        <v>65.36148</v>
      </c>
      <c r="F62" s="2">
        <f t="shared" si="14"/>
        <v>57.900009527639995</v>
      </c>
      <c r="G62" s="2">
        <v>2.1215583333333332</v>
      </c>
      <c r="H62" s="2">
        <f t="shared" si="15"/>
        <v>1.2283824771344403</v>
      </c>
      <c r="I62" s="32">
        <f t="shared" si="1"/>
        <v>1.2283824771344403</v>
      </c>
      <c r="J62" s="32">
        <f t="shared" si="2"/>
        <v>1.2234577051727107</v>
      </c>
      <c r="P62" s="32">
        <f t="shared" si="3"/>
        <v>0.61226899918497202</v>
      </c>
      <c r="Q62" s="32">
        <f t="shared" si="4"/>
        <v>0.60734422722324255</v>
      </c>
      <c r="S62" s="2">
        <f>USA!Z70*G62</f>
        <v>61.419113749999994</v>
      </c>
      <c r="T62" s="2">
        <v>0</v>
      </c>
      <c r="U62" s="2">
        <v>0</v>
      </c>
      <c r="V62" s="2">
        <v>0</v>
      </c>
      <c r="X62" s="2">
        <f t="shared" si="16"/>
        <v>0.51400000000000001</v>
      </c>
      <c r="Y62" s="2">
        <f t="shared" si="27"/>
        <v>0.5444</v>
      </c>
      <c r="Z62" s="2">
        <v>6.2E-2</v>
      </c>
      <c r="AA62" s="2">
        <f t="shared" si="17"/>
        <v>7.1713477949468252E-2</v>
      </c>
      <c r="AB62" s="2">
        <f t="shared" si="26"/>
        <v>0.61611347794946825</v>
      </c>
      <c r="AC62" s="2">
        <f t="shared" si="28"/>
        <v>0.63138859324710228</v>
      </c>
      <c r="AE62" s="4">
        <v>51.4</v>
      </c>
      <c r="AH62" s="2">
        <v>0.52900000000000003</v>
      </c>
      <c r="AI62">
        <v>1.54E-2</v>
      </c>
      <c r="AM62">
        <v>1983</v>
      </c>
      <c r="AN62" s="1">
        <f t="shared" si="19"/>
        <v>1.2283824771344403</v>
      </c>
      <c r="AO62" s="1">
        <f t="shared" si="20"/>
        <v>0.5444</v>
      </c>
      <c r="AP62" s="1">
        <f t="shared" si="21"/>
        <v>7.1713477949468252E-2</v>
      </c>
      <c r="AQ62" s="1">
        <f t="shared" si="22"/>
        <v>0.61611347794946825</v>
      </c>
      <c r="AR62" s="22">
        <f t="shared" si="6"/>
        <v>0.61226899918497202</v>
      </c>
      <c r="AT62" s="7">
        <v>62.814217287468693</v>
      </c>
      <c r="AV62" s="22">
        <f t="shared" si="7"/>
        <v>1.9555803290722529</v>
      </c>
      <c r="AW62" s="22">
        <f t="shared" si="23"/>
        <v>1.9582454605933945</v>
      </c>
      <c r="AX62" s="1">
        <f t="shared" si="8"/>
        <v>0.98085036247419988</v>
      </c>
      <c r="AY62" s="1">
        <f t="shared" si="25"/>
        <v>0.974729966598053</v>
      </c>
      <c r="AZ62" s="1">
        <f t="shared" si="10"/>
        <v>0.97739509811919467</v>
      </c>
      <c r="BA62" s="3">
        <f t="shared" si="11"/>
        <v>97.779000363748821</v>
      </c>
      <c r="BB62">
        <v>0</v>
      </c>
      <c r="BC62">
        <v>0</v>
      </c>
      <c r="BD62" s="23">
        <v>1</v>
      </c>
      <c r="BE62">
        <v>0</v>
      </c>
      <c r="BF62">
        <v>0</v>
      </c>
      <c r="BG62">
        <v>0</v>
      </c>
      <c r="BI62" s="22">
        <f t="shared" si="12"/>
        <v>1.9396781820747282</v>
      </c>
      <c r="BJ62" s="22">
        <f t="shared" si="13"/>
        <v>1.9423216416079763</v>
      </c>
    </row>
    <row r="63" spans="1:62">
      <c r="A63">
        <v>1984</v>
      </c>
      <c r="B63" s="3">
        <f t="shared" si="24"/>
        <v>108.09545077759108</v>
      </c>
      <c r="C63" s="3">
        <f t="shared" si="0"/>
        <v>47.643090239969929</v>
      </c>
      <c r="D63" s="2">
        <v>75.531700000000001</v>
      </c>
      <c r="E63" s="2">
        <v>68.183310000000006</v>
      </c>
      <c r="F63" s="2">
        <f t="shared" si="14"/>
        <v>51.500013159270004</v>
      </c>
      <c r="G63" s="2">
        <v>2.3847833333333335</v>
      </c>
      <c r="H63" s="2">
        <f t="shared" si="15"/>
        <v>1.2281637304867445</v>
      </c>
      <c r="I63" s="32">
        <f t="shared" si="1"/>
        <v>1.2281637304867445</v>
      </c>
      <c r="J63" s="32">
        <f t="shared" si="2"/>
        <v>1.2677169161908968</v>
      </c>
      <c r="P63" s="32">
        <f t="shared" si="3"/>
        <v>0.61426302305719827</v>
      </c>
      <c r="Q63" s="32">
        <f t="shared" si="4"/>
        <v>0.65381620876135049</v>
      </c>
      <c r="S63" s="2">
        <f>USA!Z71*G63</f>
        <v>68.014020666666667</v>
      </c>
      <c r="T63" s="2">
        <v>0</v>
      </c>
      <c r="U63" s="2">
        <v>0</v>
      </c>
      <c r="V63" s="2">
        <v>0</v>
      </c>
      <c r="X63" s="2">
        <f t="shared" si="16"/>
        <v>0.50600000000000001</v>
      </c>
      <c r="Y63" s="2">
        <f t="shared" si="27"/>
        <v>0.54220000000000002</v>
      </c>
      <c r="Z63" s="2">
        <v>6.2E-2</v>
      </c>
      <c r="AA63" s="2">
        <f t="shared" si="17"/>
        <v>7.170070742954629E-2</v>
      </c>
      <c r="AB63" s="2">
        <f t="shared" si="26"/>
        <v>0.61390070742954628</v>
      </c>
      <c r="AC63" s="2">
        <f t="shared" si="28"/>
        <v>0.62145084762629277</v>
      </c>
      <c r="AE63" s="4">
        <v>50.6</v>
      </c>
      <c r="AH63" s="2">
        <v>0.52900000000000003</v>
      </c>
      <c r="AI63">
        <v>1.32E-2</v>
      </c>
      <c r="AM63">
        <v>1984</v>
      </c>
      <c r="AN63" s="1">
        <f t="shared" si="19"/>
        <v>1.2281637304867445</v>
      </c>
      <c r="AO63" s="1">
        <f t="shared" si="20"/>
        <v>0.54220000000000002</v>
      </c>
      <c r="AP63" s="1">
        <f t="shared" si="21"/>
        <v>7.170070742954629E-2</v>
      </c>
      <c r="AQ63" s="1">
        <f t="shared" si="22"/>
        <v>0.61390070742954628</v>
      </c>
      <c r="AR63" s="22">
        <f t="shared" si="6"/>
        <v>0.61426302305719827</v>
      </c>
      <c r="AT63" s="7">
        <v>64.65557021287222</v>
      </c>
      <c r="AV63" s="22">
        <f t="shared" si="7"/>
        <v>1.8995482159435515</v>
      </c>
      <c r="AW63" s="22">
        <f t="shared" si="23"/>
        <v>1.9696702125066545</v>
      </c>
      <c r="AX63" s="1">
        <f t="shared" si="8"/>
        <v>0.94949391894362312</v>
      </c>
      <c r="AY63" s="1">
        <f t="shared" si="25"/>
        <v>0.95005429699992838</v>
      </c>
      <c r="AZ63" s="1">
        <f t="shared" si="10"/>
        <v>1.0201762935630314</v>
      </c>
      <c r="BA63" s="3">
        <f t="shared" si="11"/>
        <v>105.19437140951209</v>
      </c>
      <c r="BB63">
        <v>0</v>
      </c>
      <c r="BC63">
        <v>0</v>
      </c>
      <c r="BD63" s="23">
        <v>1</v>
      </c>
      <c r="BE63">
        <v>0</v>
      </c>
      <c r="BF63">
        <v>0</v>
      </c>
      <c r="BG63">
        <v>0</v>
      </c>
      <c r="BI63" s="22">
        <f t="shared" si="12"/>
        <v>1.8841017039748253</v>
      </c>
      <c r="BJ63" s="22">
        <f t="shared" si="13"/>
        <v>1.9536534911322962</v>
      </c>
    </row>
    <row r="64" spans="1:62">
      <c r="A64">
        <v>1985</v>
      </c>
      <c r="B64" s="3">
        <f t="shared" si="24"/>
        <v>103.97308962373315</v>
      </c>
      <c r="C64" s="3">
        <f t="shared" si="0"/>
        <v>49.339718212134507</v>
      </c>
      <c r="D64" s="2">
        <v>72.651200000000003</v>
      </c>
      <c r="E64" s="2">
        <v>70.611400000000003</v>
      </c>
      <c r="F64" s="2">
        <f t="shared" si="14"/>
        <v>51.300029436800003</v>
      </c>
      <c r="G64" s="2">
        <v>2.4080499999999998</v>
      </c>
      <c r="H64" s="2">
        <f t="shared" si="15"/>
        <v>1.2353303588528624</v>
      </c>
      <c r="I64" s="32">
        <f t="shared" si="1"/>
        <v>1.2353303588528624</v>
      </c>
      <c r="J64" s="32">
        <f t="shared" si="2"/>
        <v>1.2427191624325442</v>
      </c>
      <c r="P64" s="32">
        <f t="shared" si="3"/>
        <v>0.61971126069007754</v>
      </c>
      <c r="Q64" s="32">
        <f t="shared" si="4"/>
        <v>0.62710006426975939</v>
      </c>
      <c r="S64" s="2">
        <f>USA!Z72*G64</f>
        <v>64.222693500000005</v>
      </c>
      <c r="T64" s="2">
        <v>0</v>
      </c>
      <c r="U64" s="2">
        <v>0</v>
      </c>
      <c r="V64" s="2">
        <v>0</v>
      </c>
      <c r="X64" s="2">
        <f t="shared" si="16"/>
        <v>0.48599999999999999</v>
      </c>
      <c r="Y64" s="2">
        <f t="shared" si="27"/>
        <v>0.54349999999999998</v>
      </c>
      <c r="Z64" s="2">
        <v>6.2E-2</v>
      </c>
      <c r="AA64" s="2">
        <f t="shared" si="17"/>
        <v>7.2119098162784806E-2</v>
      </c>
      <c r="AB64" s="2">
        <f t="shared" si="26"/>
        <v>0.61561909816278482</v>
      </c>
      <c r="AC64" s="2">
        <f t="shared" si="28"/>
        <v>0.6003705544024911</v>
      </c>
      <c r="AE64" s="4">
        <v>48.6</v>
      </c>
      <c r="AH64" s="2">
        <v>0.52900000000000003</v>
      </c>
      <c r="AI64">
        <v>1.4500000000000001E-2</v>
      </c>
      <c r="AM64">
        <v>1985</v>
      </c>
      <c r="AN64" s="1">
        <f t="shared" si="19"/>
        <v>1.2353303588528624</v>
      </c>
      <c r="AO64" s="1">
        <f t="shared" si="20"/>
        <v>0.54349999999999998</v>
      </c>
      <c r="AP64" s="1">
        <f t="shared" si="21"/>
        <v>7.2119098162784806E-2</v>
      </c>
      <c r="AQ64" s="1">
        <f t="shared" si="22"/>
        <v>0.61561909816278482</v>
      </c>
      <c r="AR64" s="22">
        <f t="shared" si="6"/>
        <v>0.61971126069007754</v>
      </c>
      <c r="AT64" s="7">
        <v>66.876750258188039</v>
      </c>
      <c r="AV64" s="22">
        <f t="shared" si="7"/>
        <v>1.8471746220976324</v>
      </c>
      <c r="AW64" s="22">
        <f t="shared" si="23"/>
        <v>1.887840689875588</v>
      </c>
      <c r="AX64" s="1">
        <f t="shared" si="8"/>
        <v>0.92052783035373587</v>
      </c>
      <c r="AY64" s="1">
        <f t="shared" si="25"/>
        <v>0.92664679174389653</v>
      </c>
      <c r="AZ64" s="1">
        <f t="shared" si="10"/>
        <v>0.9673128595218522</v>
      </c>
      <c r="BA64" s="3">
        <f t="shared" si="11"/>
        <v>96.03142086309272</v>
      </c>
      <c r="BB64">
        <v>0</v>
      </c>
      <c r="BC64">
        <v>0</v>
      </c>
      <c r="BD64" s="23">
        <v>1</v>
      </c>
      <c r="BE64">
        <v>0</v>
      </c>
      <c r="BF64">
        <v>0</v>
      </c>
      <c r="BG64">
        <v>0</v>
      </c>
      <c r="BI64" s="22">
        <f t="shared" si="12"/>
        <v>1.8321539952616954</v>
      </c>
      <c r="BJ64" s="22">
        <f t="shared" si="13"/>
        <v>1.8724893797238069</v>
      </c>
    </row>
    <row r="65" spans="1:62">
      <c r="A65">
        <v>1986</v>
      </c>
      <c r="B65" s="3">
        <f t="shared" si="24"/>
        <v>112.02460979439959</v>
      </c>
      <c r="C65" s="3">
        <f t="shared" si="0"/>
        <v>50.256813657899102</v>
      </c>
      <c r="D65" s="2">
        <v>78.277199999999993</v>
      </c>
      <c r="E65" s="2">
        <v>71.923879999999997</v>
      </c>
      <c r="F65" s="2">
        <f t="shared" si="14"/>
        <v>56.29999939535999</v>
      </c>
      <c r="G65" s="2">
        <v>1.7562166666666663</v>
      </c>
      <c r="H65" s="2">
        <f t="shared" si="15"/>
        <v>0.98874997271454446</v>
      </c>
      <c r="I65" s="32">
        <f t="shared" si="1"/>
        <v>0.98874997271454446</v>
      </c>
      <c r="J65" s="32">
        <f t="shared" si="2"/>
        <v>0.98085275773680047</v>
      </c>
      <c r="P65" s="32">
        <f t="shared" si="3"/>
        <v>0.4480263396558799</v>
      </c>
      <c r="Q65" s="32">
        <f t="shared" si="4"/>
        <v>0.44012912467813592</v>
      </c>
      <c r="S65" s="2">
        <f>USA!Z73*G65</f>
        <v>26.43106083333333</v>
      </c>
      <c r="T65" s="2">
        <v>1</v>
      </c>
      <c r="U65" s="2">
        <v>0</v>
      </c>
      <c r="V65" s="2">
        <v>0</v>
      </c>
      <c r="X65" s="2">
        <f t="shared" si="16"/>
        <v>0.63</v>
      </c>
      <c r="Y65" s="2">
        <f t="shared" si="27"/>
        <v>0.48300000000000004</v>
      </c>
      <c r="Z65" s="2">
        <v>6.2E-2</v>
      </c>
      <c r="AA65" s="2">
        <f t="shared" si="17"/>
        <v>5.7723633058664556E-2</v>
      </c>
      <c r="AB65" s="2">
        <f t="shared" si="26"/>
        <v>0.54072363305866455</v>
      </c>
      <c r="AC65" s="2">
        <f t="shared" si="28"/>
        <v>0.62291248281016298</v>
      </c>
      <c r="AE65" s="4">
        <v>63</v>
      </c>
      <c r="AH65" s="2">
        <v>0.46800000000000003</v>
      </c>
      <c r="AI65">
        <v>1.4999999999999999E-2</v>
      </c>
      <c r="AM65">
        <v>1986</v>
      </c>
      <c r="AN65" s="1">
        <f t="shared" si="19"/>
        <v>0.98874997271454446</v>
      </c>
      <c r="AO65" s="1">
        <f t="shared" si="20"/>
        <v>0.48300000000000004</v>
      </c>
      <c r="AP65" s="1">
        <f t="shared" si="21"/>
        <v>5.7723633058664556E-2</v>
      </c>
      <c r="AQ65" s="1">
        <f t="shared" si="22"/>
        <v>0.54072363305866455</v>
      </c>
      <c r="AR65" s="22">
        <f t="shared" si="6"/>
        <v>0.4480263396558799</v>
      </c>
      <c r="AT65" s="7">
        <v>67.378531798638491</v>
      </c>
      <c r="AV65" s="22">
        <f t="shared" si="7"/>
        <v>1.4674555029923106</v>
      </c>
      <c r="AW65" s="22">
        <f t="shared" si="23"/>
        <v>1.4421137942998863</v>
      </c>
      <c r="AX65" s="1">
        <f t="shared" si="8"/>
        <v>0.80251620007782787</v>
      </c>
      <c r="AY65" s="1">
        <f t="shared" si="25"/>
        <v>0.66493930291448278</v>
      </c>
      <c r="AZ65" s="1">
        <f t="shared" si="10"/>
        <v>0.63959759422205853</v>
      </c>
      <c r="BA65" s="3">
        <f t="shared" si="11"/>
        <v>39.227718574104372</v>
      </c>
      <c r="BB65">
        <v>0</v>
      </c>
      <c r="BC65">
        <v>0</v>
      </c>
      <c r="BD65" s="23">
        <v>1</v>
      </c>
      <c r="BE65">
        <v>0</v>
      </c>
      <c r="BF65">
        <v>0</v>
      </c>
      <c r="BG65">
        <v>0</v>
      </c>
      <c r="BI65" s="22">
        <f t="shared" si="12"/>
        <v>1.4555226292698689</v>
      </c>
      <c r="BJ65" s="22">
        <f t="shared" si="13"/>
        <v>1.4303869911595652</v>
      </c>
    </row>
    <row r="66" spans="1:62">
      <c r="A66">
        <v>1987</v>
      </c>
      <c r="B66" s="3">
        <f t="shared" si="24"/>
        <v>126.97344625772998</v>
      </c>
      <c r="C66" s="3">
        <f t="shared" si="0"/>
        <v>52.136856526716379</v>
      </c>
      <c r="D66" s="2">
        <v>88.722700000000003</v>
      </c>
      <c r="E66" s="2">
        <v>74.614459999999994</v>
      </c>
      <c r="F66" s="2">
        <f t="shared" si="14"/>
        <v>66.19996350241999</v>
      </c>
      <c r="G66" s="2">
        <v>1.4735749999999996</v>
      </c>
      <c r="H66" s="2">
        <f t="shared" si="15"/>
        <v>0.9755061121807852</v>
      </c>
      <c r="I66" s="32">
        <f t="shared" si="1"/>
        <v>0.9755061121807852</v>
      </c>
      <c r="J66" s="32">
        <f t="shared" si="2"/>
        <v>0.99409746706250934</v>
      </c>
      <c r="P66" s="32">
        <f t="shared" si="3"/>
        <v>0.43465566118718002</v>
      </c>
      <c r="Q66" s="32">
        <f t="shared" si="4"/>
        <v>0.45324701606890416</v>
      </c>
      <c r="S66" s="2">
        <f>USA!Z74*G66</f>
        <v>28.292639999999992</v>
      </c>
      <c r="T66" s="2">
        <v>1</v>
      </c>
      <c r="U66" s="2">
        <v>0</v>
      </c>
      <c r="V66" s="2">
        <v>0</v>
      </c>
      <c r="X66" s="2">
        <f t="shared" si="16"/>
        <v>0.68200000000000005</v>
      </c>
      <c r="Y66" s="2">
        <f t="shared" si="27"/>
        <v>0.48390000000000005</v>
      </c>
      <c r="Z66" s="2">
        <v>6.2E-2</v>
      </c>
      <c r="AA66" s="2">
        <f t="shared" si="17"/>
        <v>5.6950450993605163E-2</v>
      </c>
      <c r="AB66" s="2">
        <f t="shared" si="26"/>
        <v>0.54085045099360518</v>
      </c>
      <c r="AC66" s="2">
        <f t="shared" si="28"/>
        <v>0.66529516850729553</v>
      </c>
      <c r="AE66" s="4">
        <v>68.2</v>
      </c>
      <c r="AH66" s="2">
        <v>0.46800000000000003</v>
      </c>
      <c r="AI66">
        <v>1.5900000000000001E-2</v>
      </c>
      <c r="AM66">
        <v>1987</v>
      </c>
      <c r="AN66" s="1">
        <f t="shared" si="19"/>
        <v>0.9755061121807852</v>
      </c>
      <c r="AO66" s="1">
        <f t="shared" si="20"/>
        <v>0.48390000000000005</v>
      </c>
      <c r="AP66" s="1">
        <f t="shared" si="21"/>
        <v>5.6950450993605163E-2</v>
      </c>
      <c r="AQ66" s="1">
        <f t="shared" si="22"/>
        <v>0.54085045099360518</v>
      </c>
      <c r="AR66" s="22">
        <f t="shared" si="6"/>
        <v>0.43465566118718002</v>
      </c>
      <c r="AT66" s="7">
        <v>68.348980075637044</v>
      </c>
      <c r="AV66" s="22">
        <f t="shared" si="7"/>
        <v>1.4272431148222851</v>
      </c>
      <c r="AW66" s="22">
        <f t="shared" si="23"/>
        <v>1.443404928093001</v>
      </c>
      <c r="AX66" s="1">
        <f t="shared" si="8"/>
        <v>0.79130727392725353</v>
      </c>
      <c r="AY66" s="1">
        <f t="shared" si="25"/>
        <v>0.63593584089503152</v>
      </c>
      <c r="AZ66" s="1">
        <f t="shared" si="10"/>
        <v>0.6520976541657475</v>
      </c>
      <c r="BA66" s="3">
        <f t="shared" si="11"/>
        <v>41.394385064254799</v>
      </c>
      <c r="BB66">
        <v>0</v>
      </c>
      <c r="BC66">
        <v>0</v>
      </c>
      <c r="BD66" s="23">
        <v>1</v>
      </c>
      <c r="BE66">
        <v>0</v>
      </c>
      <c r="BF66">
        <v>0</v>
      </c>
      <c r="BG66">
        <v>0</v>
      </c>
      <c r="BI66" s="22">
        <f t="shared" si="12"/>
        <v>1.4156372352397897</v>
      </c>
      <c r="BJ66" s="22">
        <f t="shared" si="13"/>
        <v>1.4316676258700973</v>
      </c>
    </row>
    <row r="67" spans="1:62">
      <c r="A67">
        <v>1988</v>
      </c>
      <c r="B67" s="3">
        <f t="shared" si="24"/>
        <v>120.41960043093167</v>
      </c>
      <c r="C67" s="3">
        <f t="shared" si="0"/>
        <v>54.227069431021505</v>
      </c>
      <c r="D67" s="2">
        <v>84.143199999999993</v>
      </c>
      <c r="E67" s="2">
        <v>77.605819999999994</v>
      </c>
      <c r="F67" s="2">
        <f t="shared" si="14"/>
        <v>65.300020334239989</v>
      </c>
      <c r="G67" s="2">
        <v>1.4811083333333335</v>
      </c>
      <c r="H67" s="2">
        <f t="shared" si="15"/>
        <v>0.96716404283878976</v>
      </c>
      <c r="I67" s="32">
        <f t="shared" si="1"/>
        <v>0.96716404283878976</v>
      </c>
      <c r="J67" s="32">
        <f t="shared" si="2"/>
        <v>0.95771866254165872</v>
      </c>
      <c r="P67" s="32">
        <f t="shared" si="3"/>
        <v>0.43000060530959483</v>
      </c>
      <c r="Q67" s="32">
        <f t="shared" si="4"/>
        <v>0.42055522501246384</v>
      </c>
      <c r="S67" s="2">
        <f>USA!Z75*G67</f>
        <v>23.653300083333338</v>
      </c>
      <c r="T67" s="2">
        <v>1</v>
      </c>
      <c r="U67" s="2">
        <v>0</v>
      </c>
      <c r="V67" s="2">
        <v>0</v>
      </c>
      <c r="X67" s="2">
        <f t="shared" si="16"/>
        <v>0.69200000000000006</v>
      </c>
      <c r="Y67" s="2">
        <f t="shared" si="27"/>
        <v>0.48070000000000002</v>
      </c>
      <c r="Z67" s="2">
        <v>6.2E-2</v>
      </c>
      <c r="AA67" s="2">
        <f t="shared" si="17"/>
        <v>5.6463437529194881E-2</v>
      </c>
      <c r="AB67" s="2">
        <f t="shared" si="26"/>
        <v>0.53716343752919493</v>
      </c>
      <c r="AC67" s="2">
        <f t="shared" si="28"/>
        <v>0.66927751764444254</v>
      </c>
      <c r="AE67" s="4">
        <v>69.2</v>
      </c>
      <c r="AH67" s="2">
        <v>0.46800000000000003</v>
      </c>
      <c r="AI67">
        <v>1.2699999999999999E-2</v>
      </c>
      <c r="AM67">
        <v>1988</v>
      </c>
      <c r="AN67" s="1">
        <f t="shared" si="19"/>
        <v>0.96716404283878976</v>
      </c>
      <c r="AO67" s="1">
        <f t="shared" si="20"/>
        <v>0.48070000000000002</v>
      </c>
      <c r="AP67" s="1">
        <f t="shared" si="21"/>
        <v>5.6463437529194881E-2</v>
      </c>
      <c r="AQ67" s="1">
        <f t="shared" si="22"/>
        <v>0.53716343752919493</v>
      </c>
      <c r="AR67" s="22">
        <f t="shared" si="6"/>
        <v>0.43000060530959483</v>
      </c>
      <c r="AT67" s="7">
        <v>69.628815411043149</v>
      </c>
      <c r="AV67" s="22">
        <f t="shared" si="7"/>
        <v>1.3890284318773536</v>
      </c>
      <c r="AW67" s="22">
        <f t="shared" si="23"/>
        <v>1.3807348478503316</v>
      </c>
      <c r="AX67" s="1">
        <f t="shared" si="8"/>
        <v>0.77146714956750606</v>
      </c>
      <c r="AY67" s="1">
        <f t="shared" si="25"/>
        <v>0.61756128230984753</v>
      </c>
      <c r="AZ67" s="1">
        <f t="shared" si="10"/>
        <v>0.60926769828282556</v>
      </c>
      <c r="BA67" s="3">
        <f t="shared" si="11"/>
        <v>33.97056225026904</v>
      </c>
      <c r="BB67">
        <v>0</v>
      </c>
      <c r="BC67">
        <v>0</v>
      </c>
      <c r="BD67" s="23">
        <v>1</v>
      </c>
      <c r="BE67">
        <v>0</v>
      </c>
      <c r="BF67">
        <v>0</v>
      </c>
      <c r="BG67">
        <v>0</v>
      </c>
      <c r="BI67" s="22">
        <f t="shared" si="12"/>
        <v>1.3777333017417721</v>
      </c>
      <c r="BJ67" s="22">
        <f t="shared" si="13"/>
        <v>1.3695071584587446</v>
      </c>
    </row>
    <row r="68" spans="1:62">
      <c r="A68">
        <v>1989</v>
      </c>
      <c r="B68" s="3">
        <f t="shared" si="24"/>
        <v>113.99498536691534</v>
      </c>
      <c r="C68" s="3">
        <f t="shared" si="0"/>
        <v>56.844608024141067</v>
      </c>
      <c r="D68" s="2">
        <v>79.653999999999996</v>
      </c>
      <c r="E68" s="2">
        <v>81.351849999999999</v>
      </c>
      <c r="F68" s="2">
        <f t="shared" si="14"/>
        <v>64.800002598999995</v>
      </c>
      <c r="G68" s="2">
        <v>1.6322583333333334</v>
      </c>
      <c r="H68" s="2">
        <f t="shared" si="15"/>
        <v>1.0577034424223941</v>
      </c>
      <c r="I68" s="32">
        <f t="shared" si="1"/>
        <v>1.0577034424223941</v>
      </c>
      <c r="J68" s="32">
        <f t="shared" si="2"/>
        <v>1.0432261991364657</v>
      </c>
      <c r="P68" s="32">
        <f t="shared" si="3"/>
        <v>0.4942542772338927</v>
      </c>
      <c r="Q68" s="32">
        <f t="shared" si="4"/>
        <v>0.47977703394796434</v>
      </c>
      <c r="S68" s="2">
        <f>USA!Z76*G68</f>
        <v>32.057553666666671</v>
      </c>
      <c r="T68" s="2">
        <v>1</v>
      </c>
      <c r="U68" s="2">
        <v>0</v>
      </c>
      <c r="V68" s="2">
        <v>0</v>
      </c>
      <c r="X68" s="2">
        <f t="shared" si="16"/>
        <v>0.68099999999999994</v>
      </c>
      <c r="Y68" s="2">
        <f t="shared" si="27"/>
        <v>0.50170000000000003</v>
      </c>
      <c r="Z68" s="2">
        <v>6.2E-2</v>
      </c>
      <c r="AA68" s="2">
        <f t="shared" si="17"/>
        <v>6.1749165188501348E-2</v>
      </c>
      <c r="AB68" s="2">
        <f t="shared" si="26"/>
        <v>0.56344916518850141</v>
      </c>
      <c r="AC68" s="2">
        <f t="shared" si="28"/>
        <v>0.72029604428965033</v>
      </c>
      <c r="AE68" s="4">
        <v>68.099999999999994</v>
      </c>
      <c r="AH68" s="2">
        <v>0.48899999999999999</v>
      </c>
      <c r="AI68">
        <v>1.2699999999999999E-2</v>
      </c>
      <c r="AM68">
        <v>1989</v>
      </c>
      <c r="AN68" s="1">
        <f t="shared" si="19"/>
        <v>1.0577034424223941</v>
      </c>
      <c r="AO68" s="1">
        <f t="shared" si="20"/>
        <v>0.50170000000000003</v>
      </c>
      <c r="AP68" s="1">
        <f t="shared" si="21"/>
        <v>6.1749165188501348E-2</v>
      </c>
      <c r="AQ68" s="1">
        <f t="shared" si="22"/>
        <v>0.56344916518850141</v>
      </c>
      <c r="AR68" s="22">
        <f t="shared" si="6"/>
        <v>0.4942542772338927</v>
      </c>
      <c r="AT68" s="7">
        <v>71.825788357334233</v>
      </c>
      <c r="AV68" s="22">
        <f t="shared" si="7"/>
        <v>1.4725956604336949</v>
      </c>
      <c r="AW68" s="22">
        <f t="shared" si="23"/>
        <v>1.4552448287428565</v>
      </c>
      <c r="AX68" s="1">
        <f t="shared" si="8"/>
        <v>0.78446638467138641</v>
      </c>
      <c r="AY68" s="1">
        <f t="shared" si="25"/>
        <v>0.68812927576230853</v>
      </c>
      <c r="AZ68" s="1">
        <f t="shared" si="10"/>
        <v>0.67077844407147025</v>
      </c>
      <c r="BA68" s="3">
        <f t="shared" si="11"/>
        <v>44.632372856361734</v>
      </c>
      <c r="BB68">
        <v>0</v>
      </c>
      <c r="BC68">
        <v>0</v>
      </c>
      <c r="BD68" s="23">
        <v>1</v>
      </c>
      <c r="BE68">
        <v>0</v>
      </c>
      <c r="BF68">
        <v>0</v>
      </c>
      <c r="BG68">
        <v>0</v>
      </c>
      <c r="BI68" s="22">
        <f t="shared" si="12"/>
        <v>1.4606209886127512</v>
      </c>
      <c r="BJ68" s="22">
        <f t="shared" si="13"/>
        <v>1.4434112482757044</v>
      </c>
    </row>
    <row r="69" spans="1:62">
      <c r="A69">
        <v>1990</v>
      </c>
      <c r="B69" s="3">
        <f t="shared" si="24"/>
        <v>125.28156798795355</v>
      </c>
      <c r="C69" s="3">
        <f t="shared" si="0"/>
        <v>59.913057002261802</v>
      </c>
      <c r="D69" s="2">
        <v>87.540499999999994</v>
      </c>
      <c r="E69" s="2">
        <v>85.743189999999998</v>
      </c>
      <c r="F69" s="2">
        <f t="shared" si="14"/>
        <v>75.060017241949993</v>
      </c>
      <c r="G69" s="2">
        <v>1.3689416666666669</v>
      </c>
      <c r="H69" s="2">
        <f t="shared" si="15"/>
        <v>1.0275278510322379</v>
      </c>
      <c r="I69" s="32">
        <f t="shared" si="1"/>
        <v>1.0275278510322379</v>
      </c>
      <c r="J69" s="32">
        <f t="shared" si="2"/>
        <v>1.0551936576826682</v>
      </c>
      <c r="P69" s="32">
        <f t="shared" si="3"/>
        <v>0.46284034937122209</v>
      </c>
      <c r="Q69" s="32">
        <f t="shared" si="4"/>
        <v>0.49050615602165237</v>
      </c>
      <c r="S69" s="2">
        <f>USA!Z77*G69</f>
        <v>33.580139083333343</v>
      </c>
      <c r="T69" s="2">
        <v>1</v>
      </c>
      <c r="U69" s="2">
        <v>0</v>
      </c>
      <c r="V69" s="2">
        <v>0</v>
      </c>
      <c r="X69" s="2">
        <f t="shared" si="16"/>
        <v>0.61799999999999999</v>
      </c>
      <c r="Y69" s="2">
        <f t="shared" si="27"/>
        <v>0.50470000000000004</v>
      </c>
      <c r="Z69" s="2">
        <v>6.2E-2</v>
      </c>
      <c r="AA69" s="2">
        <f t="shared" si="17"/>
        <v>5.9987501661015762E-2</v>
      </c>
      <c r="AB69" s="2">
        <f t="shared" si="26"/>
        <v>0.56468750166101578</v>
      </c>
      <c r="AC69" s="2">
        <f t="shared" si="28"/>
        <v>0.63501221193792301</v>
      </c>
      <c r="AE69" s="4">
        <v>61.8</v>
      </c>
      <c r="AH69" s="2">
        <v>0.48899999999999999</v>
      </c>
      <c r="AI69">
        <v>1.5699999999999999E-2</v>
      </c>
      <c r="AM69">
        <v>1990</v>
      </c>
      <c r="AN69" s="1">
        <f t="shared" si="19"/>
        <v>1.0275278510322379</v>
      </c>
      <c r="AO69" s="1">
        <f t="shared" si="20"/>
        <v>0.50470000000000004</v>
      </c>
      <c r="AP69" s="1">
        <f t="shared" si="21"/>
        <v>5.9987501661015762E-2</v>
      </c>
      <c r="AQ69" s="1">
        <f t="shared" si="22"/>
        <v>0.56468750166101578</v>
      </c>
      <c r="AR69" s="22">
        <f t="shared" si="6"/>
        <v>0.46284034937122209</v>
      </c>
      <c r="AT69" s="7">
        <v>75.707240313264776</v>
      </c>
      <c r="AV69" s="22">
        <f t="shared" si="7"/>
        <v>1.3572385504748126</v>
      </c>
      <c r="AW69" s="22">
        <f t="shared" si="23"/>
        <v>1.3498303546007935</v>
      </c>
      <c r="AX69" s="1">
        <f t="shared" si="8"/>
        <v>0.74588308769997003</v>
      </c>
      <c r="AY69" s="1">
        <f t="shared" si="25"/>
        <v>0.61135546277484254</v>
      </c>
      <c r="AZ69" s="1">
        <f t="shared" si="10"/>
        <v>0.60394726690082334</v>
      </c>
      <c r="BA69" s="3">
        <f t="shared" si="11"/>
        <v>44.355254457016201</v>
      </c>
      <c r="BB69">
        <v>0</v>
      </c>
      <c r="BC69" s="23">
        <v>0.2</v>
      </c>
      <c r="BD69" s="23">
        <v>1</v>
      </c>
      <c r="BE69">
        <v>0</v>
      </c>
      <c r="BF69">
        <v>0</v>
      </c>
      <c r="BG69">
        <v>0</v>
      </c>
      <c r="BI69" s="22">
        <f t="shared" si="12"/>
        <v>1.346201925377138</v>
      </c>
      <c r="BJ69" s="22">
        <f t="shared" si="13"/>
        <v>1.3388539705568991</v>
      </c>
    </row>
    <row r="70" spans="1:62">
      <c r="A70">
        <v>1991</v>
      </c>
      <c r="B70" s="3">
        <f t="shared" si="24"/>
        <v>114.49101396470294</v>
      </c>
      <c r="C70" s="3">
        <f t="shared" si="0"/>
        <v>62.450351141377027</v>
      </c>
      <c r="D70" s="2">
        <v>80.000600000000006</v>
      </c>
      <c r="E70" s="2">
        <v>89.374380000000002</v>
      </c>
      <c r="F70" s="2">
        <f t="shared" si="14"/>
        <v>71.500040246280008</v>
      </c>
      <c r="G70" s="2">
        <v>1.4449333333333332</v>
      </c>
      <c r="H70" s="2">
        <f t="shared" si="15"/>
        <v>1.0331279148652484</v>
      </c>
      <c r="I70" s="32">
        <f t="shared" si="1"/>
        <v>1.0331279148652484</v>
      </c>
      <c r="J70" s="32">
        <f t="shared" si="2"/>
        <v>1.0454120880966045</v>
      </c>
      <c r="P70" s="32">
        <f t="shared" si="3"/>
        <v>0.46091347915748426</v>
      </c>
      <c r="Q70" s="32">
        <f t="shared" si="4"/>
        <v>0.47319765238884037</v>
      </c>
      <c r="S70" s="2">
        <f>USA!Z78*G70</f>
        <v>31.123863999999994</v>
      </c>
      <c r="T70" s="2">
        <v>1</v>
      </c>
      <c r="U70" s="2">
        <v>0</v>
      </c>
      <c r="V70" s="2">
        <v>0</v>
      </c>
      <c r="X70" s="2">
        <f t="shared" si="16"/>
        <v>0.62</v>
      </c>
      <c r="Y70" s="2">
        <f t="shared" si="27"/>
        <v>0.51190000000000002</v>
      </c>
      <c r="Z70" s="2">
        <v>6.2E-2</v>
      </c>
      <c r="AA70" s="2">
        <f t="shared" si="17"/>
        <v>6.0314435707764028E-2</v>
      </c>
      <c r="AB70" s="2">
        <f t="shared" si="26"/>
        <v>0.57221443570776409</v>
      </c>
      <c r="AC70" s="2">
        <f t="shared" si="28"/>
        <v>0.64053930721645402</v>
      </c>
      <c r="AE70" s="4">
        <v>62</v>
      </c>
      <c r="AH70" s="2">
        <v>0.48899999999999999</v>
      </c>
      <c r="AI70">
        <v>2.29E-2</v>
      </c>
      <c r="AM70">
        <v>1991</v>
      </c>
      <c r="AN70" s="1">
        <f t="shared" si="19"/>
        <v>1.0331279148652484</v>
      </c>
      <c r="AO70" s="1">
        <f t="shared" si="20"/>
        <v>0.51190000000000002</v>
      </c>
      <c r="AP70" s="1">
        <f t="shared" si="21"/>
        <v>6.0314435707764028E-2</v>
      </c>
      <c r="AQ70" s="1">
        <f t="shared" si="22"/>
        <v>0.57221443570776409</v>
      </c>
      <c r="AR70" s="22">
        <f t="shared" si="6"/>
        <v>0.46091347915748426</v>
      </c>
      <c r="AT70" s="7">
        <v>80.143358297416341</v>
      </c>
      <c r="AV70" s="22">
        <f t="shared" si="7"/>
        <v>1.2890998540780569</v>
      </c>
      <c r="AW70" s="22">
        <f t="shared" si="23"/>
        <v>1.2860894555307432</v>
      </c>
      <c r="AX70" s="1">
        <f t="shared" si="8"/>
        <v>0.71398859227266886</v>
      </c>
      <c r="AY70" s="1">
        <f t="shared" si="25"/>
        <v>0.57511126180538807</v>
      </c>
      <c r="AZ70" s="1">
        <f t="shared" si="10"/>
        <v>0.5721008632580743</v>
      </c>
      <c r="BA70" s="3">
        <f t="shared" si="11"/>
        <v>38.835238079863899</v>
      </c>
      <c r="BB70">
        <v>0</v>
      </c>
      <c r="BC70" s="23">
        <v>0.2</v>
      </c>
      <c r="BD70" s="23">
        <v>1</v>
      </c>
      <c r="BE70">
        <v>0</v>
      </c>
      <c r="BF70">
        <v>0</v>
      </c>
      <c r="BG70">
        <v>0</v>
      </c>
      <c r="BI70" s="22">
        <f t="shared" si="12"/>
        <v>1.2786173108302621</v>
      </c>
      <c r="BJ70" s="22">
        <f t="shared" si="13"/>
        <v>1.2756313918706743</v>
      </c>
    </row>
    <row r="71" spans="1:62">
      <c r="A71">
        <v>1992</v>
      </c>
      <c r="B71" s="3">
        <f t="shared" si="24"/>
        <v>100.80529013959341</v>
      </c>
      <c r="C71" s="3">
        <f t="shared" si="0"/>
        <v>64.341860498266513</v>
      </c>
      <c r="D71" s="2">
        <v>70.437700000000007</v>
      </c>
      <c r="E71" s="2">
        <v>92.081370000000007</v>
      </c>
      <c r="F71" s="2">
        <f t="shared" si="14"/>
        <v>64.859999156490005</v>
      </c>
      <c r="G71" s="2">
        <v>1.412425</v>
      </c>
      <c r="H71" s="32">
        <f t="shared" si="15"/>
        <v>0.91609884308605405</v>
      </c>
      <c r="I71" s="32">
        <f t="shared" si="1"/>
        <v>0.91609884308605405</v>
      </c>
      <c r="J71" s="32">
        <f t="shared" si="2"/>
        <v>0.95905750794452893</v>
      </c>
      <c r="P71" s="32">
        <f t="shared" si="3"/>
        <v>0.33641661307538051</v>
      </c>
      <c r="Q71" s="32">
        <f t="shared" si="4"/>
        <v>0.37937527793385545</v>
      </c>
      <c r="S71" s="2">
        <f>USA!Z79*G71</f>
        <v>29.0677065</v>
      </c>
      <c r="T71" s="2">
        <v>0</v>
      </c>
      <c r="U71" s="2">
        <v>0</v>
      </c>
      <c r="V71" s="2">
        <v>0</v>
      </c>
      <c r="X71" s="2">
        <f t="shared" si="16"/>
        <v>0.62</v>
      </c>
      <c r="Y71" s="2">
        <f t="shared" si="27"/>
        <v>0.5262</v>
      </c>
      <c r="Z71" s="2">
        <v>6.2E-2</v>
      </c>
      <c r="AA71" s="2">
        <f t="shared" si="17"/>
        <v>5.3482230010673586E-2</v>
      </c>
      <c r="AB71" s="2">
        <f t="shared" si="26"/>
        <v>0.57968223001067354</v>
      </c>
      <c r="AC71" s="2">
        <f t="shared" si="28"/>
        <v>0.56798128271335346</v>
      </c>
      <c r="AE71" s="4">
        <v>62</v>
      </c>
      <c r="AH71" s="2">
        <v>0.505</v>
      </c>
      <c r="AI71">
        <v>2.12E-2</v>
      </c>
      <c r="AM71">
        <v>1992</v>
      </c>
      <c r="AN71" s="1">
        <f t="shared" si="19"/>
        <v>0.91609884308605405</v>
      </c>
      <c r="AO71" s="1">
        <f t="shared" si="20"/>
        <v>0.5262</v>
      </c>
      <c r="AP71" s="1">
        <f t="shared" si="21"/>
        <v>5.3482230010673586E-2</v>
      </c>
      <c r="AQ71" s="1">
        <f t="shared" si="22"/>
        <v>0.57968223001067354</v>
      </c>
      <c r="AR71" s="22">
        <f t="shared" si="6"/>
        <v>0.33641661307538051</v>
      </c>
      <c r="AT71" s="7">
        <v>83.378772119191282</v>
      </c>
      <c r="AV71" s="22">
        <f t="shared" si="7"/>
        <v>1.0987195179325453</v>
      </c>
      <c r="AW71" s="22">
        <f t="shared" si="23"/>
        <v>1.1628786749588722</v>
      </c>
      <c r="AX71" s="1">
        <f t="shared" si="8"/>
        <v>0.69523958590084367</v>
      </c>
      <c r="AY71" s="1">
        <f t="shared" si="25"/>
        <v>0.40347993203170163</v>
      </c>
      <c r="AZ71" s="1">
        <f t="shared" si="10"/>
        <v>0.46763908905802848</v>
      </c>
      <c r="BA71" s="3">
        <f t="shared" si="11"/>
        <v>34.862238626454285</v>
      </c>
      <c r="BB71">
        <v>0</v>
      </c>
      <c r="BC71" s="23">
        <v>0.45</v>
      </c>
      <c r="BD71" s="23">
        <v>1</v>
      </c>
      <c r="BE71">
        <v>0</v>
      </c>
      <c r="BF71">
        <v>0</v>
      </c>
      <c r="BG71">
        <v>0</v>
      </c>
      <c r="BI71" s="22">
        <f t="shared" si="12"/>
        <v>1.0897850860283844</v>
      </c>
      <c r="BJ71" s="22">
        <f t="shared" si="13"/>
        <v>1.1534225215324079</v>
      </c>
    </row>
    <row r="72" spans="1:62">
      <c r="A72">
        <v>1993</v>
      </c>
      <c r="B72" s="3">
        <f t="shared" si="24"/>
        <v>115.81952910413231</v>
      </c>
      <c r="C72" s="3">
        <f t="shared" si="0"/>
        <v>66.241014180537462</v>
      </c>
      <c r="D72" s="2">
        <v>80.928899999999999</v>
      </c>
      <c r="E72" s="2">
        <v>94.799300000000002</v>
      </c>
      <c r="F72" s="2">
        <f t="shared" si="14"/>
        <v>76.720030697699997</v>
      </c>
      <c r="G72" s="2">
        <v>1.4770749999999999</v>
      </c>
      <c r="H72" s="32">
        <f t="shared" si="15"/>
        <v>1.1332123934280522</v>
      </c>
      <c r="I72" s="32">
        <f t="shared" si="1"/>
        <v>1.1332123934280522</v>
      </c>
      <c r="J72" s="32">
        <f t="shared" si="2"/>
        <v>1.1080301133677812</v>
      </c>
      <c r="K72" s="2">
        <f t="shared" ref="K72:K77" si="29">K$79*L72/L$79</f>
        <v>1.0347398030942334</v>
      </c>
      <c r="L72" s="2">
        <v>105.1</v>
      </c>
      <c r="P72" s="32">
        <f t="shared" si="3"/>
        <v>0.39155498439552949</v>
      </c>
      <c r="Q72" s="32">
        <f t="shared" si="4"/>
        <v>0.36637270433525859</v>
      </c>
      <c r="S72" s="2">
        <f>USA!Z80*G72</f>
        <v>27.222492249999998</v>
      </c>
      <c r="T72" s="2">
        <v>0</v>
      </c>
      <c r="U72" s="2">
        <v>0</v>
      </c>
      <c r="V72" s="2">
        <v>0</v>
      </c>
      <c r="X72" s="2">
        <f t="shared" si="16"/>
        <v>0.7</v>
      </c>
      <c r="Y72" s="2">
        <f t="shared" si="27"/>
        <v>0.67549999999999999</v>
      </c>
      <c r="Z72" s="2">
        <v>6.2E-2</v>
      </c>
      <c r="AA72" s="2">
        <f t="shared" si="17"/>
        <v>6.6157409032522818E-2</v>
      </c>
      <c r="AB72" s="2">
        <f t="shared" si="26"/>
        <v>0.74165740903252275</v>
      </c>
      <c r="AC72" s="2">
        <f t="shared" si="28"/>
        <v>0.7932486753996365</v>
      </c>
      <c r="AE72" s="4">
        <v>70</v>
      </c>
      <c r="AH72" s="2">
        <v>0.65700000000000003</v>
      </c>
      <c r="AI72">
        <v>1.8499999999999999E-2</v>
      </c>
      <c r="AM72">
        <v>1993</v>
      </c>
      <c r="AN72" s="1">
        <f t="shared" si="19"/>
        <v>1.1332123934280522</v>
      </c>
      <c r="AO72" s="1">
        <f t="shared" si="20"/>
        <v>0.67549999999999999</v>
      </c>
      <c r="AP72" s="1">
        <f t="shared" si="21"/>
        <v>6.6157409032522818E-2</v>
      </c>
      <c r="AQ72" s="1">
        <f t="shared" si="22"/>
        <v>0.74165740903252275</v>
      </c>
      <c r="AR72" s="22">
        <f t="shared" si="6"/>
        <v>0.39155498439552949</v>
      </c>
      <c r="AT72" s="7">
        <v>86.124127417407124</v>
      </c>
      <c r="AV72" s="22">
        <f t="shared" si="7"/>
        <v>1.3157896949548786</v>
      </c>
      <c r="AW72" s="22">
        <f t="shared" si="23"/>
        <v>1.3100164793204931</v>
      </c>
      <c r="AX72" s="1">
        <f t="shared" si="8"/>
        <v>0.86114940292866349</v>
      </c>
      <c r="AY72" s="1">
        <f t="shared" si="25"/>
        <v>0.45464029202621514</v>
      </c>
      <c r="AZ72" s="1">
        <f t="shared" si="10"/>
        <v>0.44886707639182971</v>
      </c>
      <c r="BA72" s="3">
        <f t="shared" si="11"/>
        <v>31.608438966312104</v>
      </c>
      <c r="BB72">
        <v>0</v>
      </c>
      <c r="BC72" s="23">
        <v>0.45</v>
      </c>
      <c r="BD72" s="23">
        <v>1</v>
      </c>
      <c r="BE72">
        <v>0</v>
      </c>
      <c r="BF72">
        <v>0</v>
      </c>
      <c r="BG72">
        <v>0</v>
      </c>
      <c r="BI72" s="22">
        <f t="shared" si="12"/>
        <v>1.3050901185498904</v>
      </c>
      <c r="BJ72" s="22">
        <f t="shared" si="13"/>
        <v>1.299363848838565</v>
      </c>
    </row>
    <row r="73" spans="1:62">
      <c r="A73">
        <v>1994</v>
      </c>
      <c r="B73" s="3">
        <f t="shared" si="24"/>
        <v>122.43963610830386</v>
      </c>
      <c r="C73" s="3">
        <f t="shared" si="0"/>
        <v>67.968212466727536</v>
      </c>
      <c r="D73" s="2">
        <v>85.554699999999997</v>
      </c>
      <c r="E73" s="2">
        <v>97.271140000000003</v>
      </c>
      <c r="F73" s="2">
        <f t="shared" si="14"/>
        <v>83.22003201358001</v>
      </c>
      <c r="G73" s="2">
        <v>1.3524083333333332</v>
      </c>
      <c r="H73" s="2">
        <f t="shared" si="15"/>
        <v>1.1254746479543238</v>
      </c>
      <c r="I73" s="32">
        <f t="shared" si="1"/>
        <v>1.1254746479543238</v>
      </c>
      <c r="J73" s="32">
        <f t="shared" si="2"/>
        <v>1.1408661258833457</v>
      </c>
      <c r="K73" s="2">
        <f t="shared" si="29"/>
        <v>1.0022503516174401</v>
      </c>
      <c r="L73" s="2">
        <v>101.8</v>
      </c>
      <c r="P73" s="32">
        <f t="shared" si="3"/>
        <v>0.32306897170840287</v>
      </c>
      <c r="Q73" s="32">
        <f t="shared" si="4"/>
        <v>0.33846044963742467</v>
      </c>
      <c r="S73" s="2">
        <f>USA!Z81*G73</f>
        <v>23.26142333333333</v>
      </c>
      <c r="T73" s="2">
        <v>0</v>
      </c>
      <c r="U73" s="2">
        <v>0</v>
      </c>
      <c r="V73" s="2">
        <v>0</v>
      </c>
      <c r="X73" s="2">
        <f t="shared" si="16"/>
        <v>0.75</v>
      </c>
      <c r="Y73" s="2">
        <f t="shared" si="27"/>
        <v>0.73670000000000002</v>
      </c>
      <c r="Z73" s="2">
        <v>6.2E-2</v>
      </c>
      <c r="AA73" s="2">
        <f t="shared" si="17"/>
        <v>6.5705676245920983E-2</v>
      </c>
      <c r="AB73" s="2">
        <f t="shared" si="26"/>
        <v>0.80240567624592096</v>
      </c>
      <c r="AC73" s="2">
        <f t="shared" si="28"/>
        <v>0.84410598596574293</v>
      </c>
      <c r="AE73" s="4">
        <v>75</v>
      </c>
      <c r="AH73" s="2">
        <v>0.71899999999999997</v>
      </c>
      <c r="AI73">
        <v>1.77E-2</v>
      </c>
      <c r="AM73">
        <v>1994</v>
      </c>
      <c r="AN73" s="1">
        <f t="shared" si="19"/>
        <v>1.1254746479543238</v>
      </c>
      <c r="AO73" s="1">
        <f t="shared" si="20"/>
        <v>0.73670000000000002</v>
      </c>
      <c r="AP73" s="1">
        <f t="shared" si="21"/>
        <v>6.5705676245920983E-2</v>
      </c>
      <c r="AQ73" s="1">
        <f t="shared" si="22"/>
        <v>0.80240567624592096</v>
      </c>
      <c r="AR73" s="22">
        <f t="shared" si="6"/>
        <v>0.32306897170840287</v>
      </c>
      <c r="AT73" s="7">
        <v>86.858011432424917</v>
      </c>
      <c r="AV73" s="22">
        <f t="shared" si="7"/>
        <v>1.2957637751469102</v>
      </c>
      <c r="AW73" s="22">
        <f t="shared" si="23"/>
        <v>1.2959049730160959</v>
      </c>
      <c r="AX73" s="1">
        <f t="shared" si="8"/>
        <v>0.92381308645338778</v>
      </c>
      <c r="AY73" s="1">
        <f t="shared" si="25"/>
        <v>0.37195068869352244</v>
      </c>
      <c r="AZ73" s="1">
        <f t="shared" si="10"/>
        <v>0.37209188656270803</v>
      </c>
      <c r="BA73" s="3">
        <f t="shared" si="11"/>
        <v>26.780976158348498</v>
      </c>
      <c r="BB73">
        <v>0</v>
      </c>
      <c r="BC73" s="23">
        <v>0.6</v>
      </c>
      <c r="BD73" s="23">
        <v>1</v>
      </c>
      <c r="BE73">
        <v>0</v>
      </c>
      <c r="BF73">
        <v>0</v>
      </c>
      <c r="BG73">
        <v>0</v>
      </c>
      <c r="BI73" s="22">
        <f t="shared" si="12"/>
        <v>1.2852270430474269</v>
      </c>
      <c r="BJ73" s="22">
        <f t="shared" si="13"/>
        <v>1.2853670927411898</v>
      </c>
    </row>
    <row r="74" spans="1:62">
      <c r="A74">
        <v>1995</v>
      </c>
      <c r="B74" s="3">
        <f t="shared" si="24"/>
        <v>136.47226510393764</v>
      </c>
      <c r="C74" s="3">
        <f t="shared" si="0"/>
        <v>69.875003486879606</v>
      </c>
      <c r="D74" s="2">
        <v>95.36</v>
      </c>
      <c r="E74" s="2">
        <v>100</v>
      </c>
      <c r="F74" s="2">
        <f t="shared" si="14"/>
        <v>95.36</v>
      </c>
      <c r="G74" s="2">
        <v>1.1735666666666666</v>
      </c>
      <c r="H74" s="2">
        <f t="shared" si="15"/>
        <v>1.1191131733333333</v>
      </c>
      <c r="I74" s="32">
        <f>H74</f>
        <v>1.1191131733333333</v>
      </c>
      <c r="J74" s="32">
        <f t="shared" si="2"/>
        <v>1.1334588483777039</v>
      </c>
      <c r="K74" s="2">
        <f t="shared" si="29"/>
        <v>0.98452883263009849</v>
      </c>
      <c r="L74" s="2">
        <v>100</v>
      </c>
      <c r="M74" s="2">
        <f>G74*N74/100</f>
        <v>1.197038</v>
      </c>
      <c r="N74" s="39">
        <v>102</v>
      </c>
      <c r="P74" s="32">
        <f t="shared" si="3"/>
        <v>0.31261049139280117</v>
      </c>
      <c r="Q74" s="32">
        <f t="shared" si="4"/>
        <v>0.3269561664371719</v>
      </c>
      <c r="S74" s="2">
        <f>USA!Z82*G74</f>
        <v>21.628833666666665</v>
      </c>
      <c r="T74" s="2">
        <v>0</v>
      </c>
      <c r="U74" s="2">
        <v>0</v>
      </c>
      <c r="V74" s="2">
        <v>0</v>
      </c>
      <c r="X74" s="2">
        <f t="shared" si="16"/>
        <v>0.75</v>
      </c>
      <c r="Y74" s="2">
        <f t="shared" si="27"/>
        <v>0.73819999999999997</v>
      </c>
      <c r="Z74" s="2">
        <v>6.5000000000000002E-2</v>
      </c>
      <c r="AA74" s="2">
        <f t="shared" si="17"/>
        <v>6.8302681940532073E-2</v>
      </c>
      <c r="AB74" s="2">
        <f t="shared" si="26"/>
        <v>0.8065026819405321</v>
      </c>
      <c r="AC74" s="2">
        <f t="shared" si="28"/>
        <v>0.83933488000000001</v>
      </c>
      <c r="AE74" s="4">
        <v>75</v>
      </c>
      <c r="AH74" s="2">
        <v>0.71699999999999997</v>
      </c>
      <c r="AI74">
        <v>2.12E-2</v>
      </c>
      <c r="AM74">
        <v>1995</v>
      </c>
      <c r="AN74" s="1">
        <f t="shared" si="19"/>
        <v>1.1191131733333333</v>
      </c>
      <c r="AO74" s="1">
        <f t="shared" si="20"/>
        <v>0.73819999999999997</v>
      </c>
      <c r="AP74" s="1">
        <f t="shared" si="21"/>
        <v>6.8302681940532073E-2</v>
      </c>
      <c r="AQ74" s="1">
        <f t="shared" si="22"/>
        <v>0.8065026819405321</v>
      </c>
      <c r="AR74" s="22">
        <f t="shared" si="6"/>
        <v>0.31261049139280117</v>
      </c>
      <c r="AT74" s="7">
        <v>88.421288002246499</v>
      </c>
      <c r="AV74" s="22">
        <f t="shared" si="7"/>
        <v>1.2656603388370686</v>
      </c>
      <c r="AW74" s="22">
        <f t="shared" si="23"/>
        <v>1.2708217120410055</v>
      </c>
      <c r="AX74" s="1">
        <f t="shared" si="8"/>
        <v>0.91211370040214912</v>
      </c>
      <c r="AY74" s="1">
        <f t="shared" si="25"/>
        <v>0.35354663843491951</v>
      </c>
      <c r="AZ74" s="1">
        <f t="shared" si="10"/>
        <v>0.35870801163885641</v>
      </c>
      <c r="BA74" s="3">
        <f t="shared" si="11"/>
        <v>24.461115818757523</v>
      </c>
      <c r="BB74">
        <v>0</v>
      </c>
      <c r="BC74" s="23">
        <v>0.6</v>
      </c>
      <c r="BD74" s="23">
        <v>1</v>
      </c>
      <c r="BE74">
        <v>0</v>
      </c>
      <c r="BF74">
        <v>0</v>
      </c>
      <c r="BG74">
        <v>0</v>
      </c>
      <c r="BI74" s="22">
        <f t="shared" si="12"/>
        <v>1.2553683981492256</v>
      </c>
      <c r="BJ74" s="22">
        <f t="shared" si="13"/>
        <v>1.2604878007349385</v>
      </c>
    </row>
    <row r="75" spans="1:62">
      <c r="A75">
        <v>1996</v>
      </c>
      <c r="B75" s="3">
        <f t="shared" si="24"/>
        <v>117.04322687703824</v>
      </c>
      <c r="C75" s="3">
        <f t="shared" si="0"/>
        <v>71.923179589087013</v>
      </c>
      <c r="D75" s="2">
        <v>81.141599999999997</v>
      </c>
      <c r="E75" s="2">
        <v>102.9312</v>
      </c>
      <c r="F75" s="2">
        <f t="shared" si="14"/>
        <v>83.520022579199988</v>
      </c>
      <c r="G75" s="2">
        <v>1.2537416666666665</v>
      </c>
      <c r="H75" s="2">
        <f t="shared" si="15"/>
        <v>1.0471253230848381</v>
      </c>
      <c r="I75" s="32">
        <f>K75</f>
        <v>1.0554149085794655</v>
      </c>
      <c r="J75" s="32">
        <f t="shared" si="2"/>
        <v>1.0594661477894225</v>
      </c>
      <c r="K75" s="2">
        <f t="shared" si="29"/>
        <v>1.0554149085794655</v>
      </c>
      <c r="L75" s="2">
        <v>107.2</v>
      </c>
      <c r="M75" s="2">
        <f t="shared" ref="M75:M87" si="30">G75*N75/100</f>
        <v>1.2119502777777778</v>
      </c>
      <c r="N75" s="2">
        <f>N74+(N$77-N$74)/3</f>
        <v>96.666666666666671</v>
      </c>
      <c r="P75" s="32">
        <f t="shared" si="3"/>
        <v>0.25709991415912259</v>
      </c>
      <c r="Q75" s="32">
        <f t="shared" si="4"/>
        <v>0.26115115336907957</v>
      </c>
      <c r="S75" s="2">
        <f>USA!Z83*G75</f>
        <v>27.732765666666666</v>
      </c>
      <c r="T75" s="2">
        <v>0</v>
      </c>
      <c r="U75" s="2">
        <v>1</v>
      </c>
      <c r="V75" s="2">
        <v>0</v>
      </c>
      <c r="X75" s="2">
        <f t="shared" si="16"/>
        <v>0.72</v>
      </c>
      <c r="Y75" s="2">
        <f t="shared" si="27"/>
        <v>0.7339</v>
      </c>
      <c r="Z75" s="2">
        <v>6.5000000000000002E-2</v>
      </c>
      <c r="AA75" s="2">
        <f t="shared" si="17"/>
        <v>6.4414994420342972E-2</v>
      </c>
      <c r="AB75" s="2">
        <f t="shared" si="26"/>
        <v>0.79831499442034293</v>
      </c>
      <c r="AC75" s="2">
        <f t="shared" si="28"/>
        <v>0.7598987341772151</v>
      </c>
      <c r="AE75" s="4">
        <v>72</v>
      </c>
      <c r="AH75" s="2">
        <v>0.71499999999999997</v>
      </c>
      <c r="AI75">
        <v>1.89E-2</v>
      </c>
      <c r="AM75">
        <v>1996</v>
      </c>
      <c r="AN75" s="1">
        <f t="shared" si="19"/>
        <v>1.0554149085794655</v>
      </c>
      <c r="AO75" s="1">
        <f t="shared" si="20"/>
        <v>0.7339</v>
      </c>
      <c r="AP75" s="1">
        <f t="shared" si="21"/>
        <v>6.4414994420342972E-2</v>
      </c>
      <c r="AQ75" s="1">
        <f t="shared" si="22"/>
        <v>0.79831499442034293</v>
      </c>
      <c r="AR75" s="22">
        <f t="shared" si="6"/>
        <v>0.25709991415912259</v>
      </c>
      <c r="AT75" s="7">
        <v>89.138969908449994</v>
      </c>
      <c r="AV75" s="22">
        <f t="shared" si="7"/>
        <v>1.1840106629720171</v>
      </c>
      <c r="AW75" s="22">
        <f t="shared" si="23"/>
        <v>1.1948138157173642</v>
      </c>
      <c r="AX75" s="1">
        <f t="shared" si="8"/>
        <v>0.89558472039810522</v>
      </c>
      <c r="AY75" s="1">
        <f t="shared" si="25"/>
        <v>0.28842594257391185</v>
      </c>
      <c r="AZ75" s="1">
        <f t="shared" si="10"/>
        <v>0.2992290953192589</v>
      </c>
      <c r="BA75" s="3">
        <f t="shared" si="11"/>
        <v>31.111830992830125</v>
      </c>
      <c r="BB75">
        <v>0</v>
      </c>
      <c r="BC75" s="23">
        <v>0.9</v>
      </c>
      <c r="BD75" s="23">
        <v>1</v>
      </c>
      <c r="BE75">
        <v>0</v>
      </c>
      <c r="BF75">
        <v>0</v>
      </c>
      <c r="BG75">
        <v>0</v>
      </c>
      <c r="BI75" s="22">
        <f t="shared" si="12"/>
        <v>1.1743826710509948</v>
      </c>
      <c r="BJ75" s="22">
        <f t="shared" si="13"/>
        <v>1.1850979760508726</v>
      </c>
    </row>
    <row r="76" spans="1:62">
      <c r="A76">
        <v>1997</v>
      </c>
      <c r="B76" s="3">
        <f t="shared" si="24"/>
        <v>103.93139242277702</v>
      </c>
      <c r="C76" s="3">
        <f t="shared" si="0"/>
        <v>73.604511922988308</v>
      </c>
      <c r="D76" s="2">
        <v>74.332599999999999</v>
      </c>
      <c r="E76" s="2">
        <v>105.3374</v>
      </c>
      <c r="F76" s="2">
        <f t="shared" si="14"/>
        <v>78.300028192400006</v>
      </c>
      <c r="G76" s="2">
        <v>1.4581666666666664</v>
      </c>
      <c r="H76" s="2">
        <f t="shared" si="15"/>
        <v>1.1417449110921793</v>
      </c>
      <c r="I76" s="32">
        <f>K76</f>
        <v>1.1154711673699014</v>
      </c>
      <c r="J76" s="32">
        <f t="shared" si="2"/>
        <v>1.0816801221054599</v>
      </c>
      <c r="K76" s="2">
        <f t="shared" si="29"/>
        <v>1.1154711673699014</v>
      </c>
      <c r="L76" s="2">
        <v>113.3</v>
      </c>
      <c r="M76" s="2">
        <f t="shared" si="30"/>
        <v>1.3317922222222223</v>
      </c>
      <c r="N76" s="2">
        <f>N75+(N$77-N$74)/3</f>
        <v>91.333333333333343</v>
      </c>
      <c r="P76" s="32">
        <f t="shared" si="3"/>
        <v>0.31129076748347551</v>
      </c>
      <c r="Q76" s="32">
        <f t="shared" si="4"/>
        <v>0.27749972221903407</v>
      </c>
      <c r="S76" s="2">
        <f>USA!Z84*G76</f>
        <v>30.052814999999992</v>
      </c>
      <c r="T76" s="2">
        <v>0</v>
      </c>
      <c r="U76" s="2">
        <v>1</v>
      </c>
      <c r="V76" s="2">
        <v>0</v>
      </c>
      <c r="X76" s="2">
        <f t="shared" si="16"/>
        <v>0.73</v>
      </c>
      <c r="Y76" s="2">
        <f t="shared" si="27"/>
        <v>0.73609999999999998</v>
      </c>
      <c r="Z76" s="2">
        <v>6.5000000000000002E-2</v>
      </c>
      <c r="AA76" s="2">
        <f t="shared" si="17"/>
        <v>6.8080399886425905E-2</v>
      </c>
      <c r="AB76" s="2">
        <f t="shared" si="26"/>
        <v>0.80418039988642587</v>
      </c>
      <c r="AC76" s="2">
        <f t="shared" si="28"/>
        <v>0.81429395218002798</v>
      </c>
      <c r="AE76" s="4">
        <v>73</v>
      </c>
      <c r="AH76" s="2">
        <v>0.71899999999999997</v>
      </c>
      <c r="AI76">
        <v>1.7100000000000001E-2</v>
      </c>
      <c r="AM76">
        <v>1997</v>
      </c>
      <c r="AN76" s="1">
        <f t="shared" si="19"/>
        <v>1.1154711673699014</v>
      </c>
      <c r="AO76" s="1">
        <f t="shared" si="20"/>
        <v>0.73609999999999998</v>
      </c>
      <c r="AP76" s="1">
        <f t="shared" si="21"/>
        <v>6.8080399886425905E-2</v>
      </c>
      <c r="AQ76" s="1">
        <f t="shared" si="22"/>
        <v>0.80418039988642587</v>
      </c>
      <c r="AR76" s="22">
        <f t="shared" ref="AR76:AR97" si="31">AN76-AQ76</f>
        <v>0.31129076748347551</v>
      </c>
      <c r="AT76" s="7">
        <v>89.602665125019669</v>
      </c>
      <c r="AV76" s="22">
        <f t="shared" ref="AV76:AV97" si="32">AN76/$AT76*100</f>
        <v>1.2449084698691952</v>
      </c>
      <c r="AW76" s="22">
        <f t="shared" si="23"/>
        <v>1.2107344252576331</v>
      </c>
      <c r="AX76" s="1">
        <f t="shared" si="8"/>
        <v>0.89749607197997883</v>
      </c>
      <c r="AY76" s="1">
        <f t="shared" si="25"/>
        <v>0.34741239788921641</v>
      </c>
      <c r="AZ76" s="1">
        <f t="shared" ref="AZ76:AZ97" si="33">AW$100+AW$101*BA76+AW$102*BB76+AW$103*BC76+AW$104*BD76+AW$105*BE76+AW$106*BF76+AW$107*BG76</f>
        <v>0.31323835327765415</v>
      </c>
      <c r="BA76" s="3">
        <f t="shared" ref="BA76:BA96" si="34">S76/AT76*100</f>
        <v>33.540090529749619</v>
      </c>
      <c r="BB76">
        <v>0</v>
      </c>
      <c r="BC76" s="23">
        <v>0.9</v>
      </c>
      <c r="BD76" s="23">
        <v>1</v>
      </c>
      <c r="BE76">
        <v>0</v>
      </c>
      <c r="BF76">
        <v>0</v>
      </c>
      <c r="BG76">
        <v>0</v>
      </c>
      <c r="BI76" s="22">
        <f t="shared" si="12"/>
        <v>1.2347852766707266</v>
      </c>
      <c r="BJ76" s="22">
        <f t="shared" si="13"/>
        <v>1.2008891243414879</v>
      </c>
    </row>
    <row r="77" spans="1:62">
      <c r="A77">
        <v>1998</v>
      </c>
      <c r="B77" s="3">
        <f t="shared" si="24"/>
        <v>93.706858304269986</v>
      </c>
      <c r="C77" s="3">
        <f t="shared" si="0"/>
        <v>74.747038105002289</v>
      </c>
      <c r="D77" s="2">
        <v>76.449799999999996</v>
      </c>
      <c r="E77" s="2">
        <v>106.9725</v>
      </c>
      <c r="F77" s="2">
        <f t="shared" si="14"/>
        <v>81.780262304999994</v>
      </c>
      <c r="G77" s="2">
        <v>1.4421499999999998</v>
      </c>
      <c r="H77" s="2">
        <f t="shared" si="15"/>
        <v>1.1793940528315572</v>
      </c>
      <c r="I77" s="32">
        <f>K77</f>
        <v>1.0101265822784811</v>
      </c>
      <c r="J77" s="32">
        <f t="shared" si="2"/>
        <v>1.0159197438477772</v>
      </c>
      <c r="K77" s="2">
        <f t="shared" si="29"/>
        <v>1.0101265822784811</v>
      </c>
      <c r="L77" s="2">
        <v>102.6</v>
      </c>
      <c r="M77" s="2">
        <f t="shared" si="30"/>
        <v>1.2402489999999999</v>
      </c>
      <c r="N77" s="39">
        <v>86</v>
      </c>
      <c r="P77" s="32">
        <f t="shared" si="3"/>
        <v>0.20647566411124985</v>
      </c>
      <c r="Q77" s="32">
        <f t="shared" si="4"/>
        <v>0.21226882568054592</v>
      </c>
      <c r="S77" s="2">
        <f>USA!Z85*G77</f>
        <v>20.795802999999996</v>
      </c>
      <c r="T77" s="2">
        <v>0</v>
      </c>
      <c r="U77" s="2">
        <v>1</v>
      </c>
      <c r="V77" s="2">
        <v>0</v>
      </c>
      <c r="X77" s="2">
        <f t="shared" si="16"/>
        <v>0.74</v>
      </c>
      <c r="Y77" s="2">
        <f t="shared" si="27"/>
        <v>0.74199999999999999</v>
      </c>
      <c r="Z77" s="2">
        <v>6.5000000000000002E-2</v>
      </c>
      <c r="AA77" s="2">
        <f t="shared" si="17"/>
        <v>6.1650918167231242E-2</v>
      </c>
      <c r="AB77" s="2">
        <f t="shared" si="26"/>
        <v>0.80365091816723122</v>
      </c>
      <c r="AC77" s="2">
        <f t="shared" si="28"/>
        <v>0.74749367088607599</v>
      </c>
      <c r="AE77" s="4">
        <v>74</v>
      </c>
      <c r="AH77" s="2">
        <v>0.72699999999999998</v>
      </c>
      <c r="AI77">
        <v>1.4999999999999999E-2</v>
      </c>
      <c r="AM77">
        <v>1998</v>
      </c>
      <c r="AN77" s="1">
        <f t="shared" si="19"/>
        <v>1.0101265822784811</v>
      </c>
      <c r="AO77" s="1">
        <f t="shared" si="20"/>
        <v>0.74199999999999999</v>
      </c>
      <c r="AP77" s="1">
        <f t="shared" si="21"/>
        <v>6.1650918167231242E-2</v>
      </c>
      <c r="AQ77" s="1">
        <f t="shared" ref="AQ77:AQ97" si="35">AB77</f>
        <v>0.80365091816723122</v>
      </c>
      <c r="AR77" s="22">
        <f t="shared" si="31"/>
        <v>0.20647566411124985</v>
      </c>
      <c r="AT77" s="7">
        <v>89.618750272893323</v>
      </c>
      <c r="AV77" s="22">
        <f t="shared" si="32"/>
        <v>1.127137545661592</v>
      </c>
      <c r="AW77" s="22">
        <f t="shared" si="23"/>
        <v>1.1177390375948457</v>
      </c>
      <c r="AX77" s="1">
        <f t="shared" si="8"/>
        <v>0.89674416985293404</v>
      </c>
      <c r="AY77" s="1">
        <f t="shared" si="25"/>
        <v>0.23039337580865793</v>
      </c>
      <c r="AZ77" s="1">
        <f t="shared" si="33"/>
        <v>0.22099486774191174</v>
      </c>
      <c r="BA77" s="3">
        <f t="shared" si="34"/>
        <v>23.204745588033525</v>
      </c>
      <c r="BB77">
        <v>0</v>
      </c>
      <c r="BC77" s="23">
        <v>1</v>
      </c>
      <c r="BD77" s="23">
        <v>1</v>
      </c>
      <c r="BE77">
        <v>0</v>
      </c>
      <c r="BF77">
        <v>0</v>
      </c>
      <c r="BG77">
        <v>0</v>
      </c>
      <c r="BI77" s="22">
        <f t="shared" si="12"/>
        <v>1.1179720275434777</v>
      </c>
      <c r="BJ77" s="22">
        <f t="shared" si="13"/>
        <v>1.1086499451057954</v>
      </c>
    </row>
    <row r="78" spans="1:62">
      <c r="A78">
        <v>1999</v>
      </c>
      <c r="B78" s="3">
        <f t="shared" si="24"/>
        <v>91.885813371020149</v>
      </c>
      <c r="C78" s="3">
        <f t="shared" si="0"/>
        <v>75.889564287016256</v>
      </c>
      <c r="D78" s="38">
        <v>68.116799999999998</v>
      </c>
      <c r="E78" s="2">
        <v>108.60760000000001</v>
      </c>
      <c r="F78" s="2">
        <f t="shared" si="14"/>
        <v>73.980021676799993</v>
      </c>
      <c r="G78" s="2">
        <v>1.5191833333333336</v>
      </c>
      <c r="H78" s="2">
        <f t="shared" si="15"/>
        <v>1.1238921593103328</v>
      </c>
      <c r="I78" s="32">
        <f>K78</f>
        <v>1.059353023909986</v>
      </c>
      <c r="J78" s="32">
        <f t="shared" si="2"/>
        <v>1.0687624926950994</v>
      </c>
      <c r="K78" s="2">
        <f>K$79*L78/L$79</f>
        <v>1.059353023909986</v>
      </c>
      <c r="L78" s="2">
        <v>107.6</v>
      </c>
      <c r="M78" s="2">
        <f t="shared" si="30"/>
        <v>1.2305385000000002</v>
      </c>
      <c r="N78" s="2">
        <f>(N77+N79)/2</f>
        <v>81</v>
      </c>
      <c r="P78" s="32">
        <f t="shared" si="3"/>
        <v>0.24344467340463816</v>
      </c>
      <c r="Q78" s="32">
        <f t="shared" si="4"/>
        <v>0.25285414218975155</v>
      </c>
      <c r="S78" s="2">
        <f>USA!Z86*G78</f>
        <v>26.555324666666671</v>
      </c>
      <c r="T78" s="2">
        <v>0</v>
      </c>
      <c r="U78" s="2">
        <v>1</v>
      </c>
      <c r="V78" s="2">
        <v>0</v>
      </c>
      <c r="X78" s="2">
        <f t="shared" si="16"/>
        <v>0.71</v>
      </c>
      <c r="Y78" s="2">
        <f t="shared" si="27"/>
        <v>0.74199999999999999</v>
      </c>
      <c r="Z78" s="2">
        <v>7.4999999999999997E-2</v>
      </c>
      <c r="AA78" s="2">
        <f t="shared" si="17"/>
        <v>7.3908350505347858E-2</v>
      </c>
      <c r="AB78" s="2">
        <f t="shared" si="26"/>
        <v>0.81590835050534782</v>
      </c>
      <c r="AC78" s="2">
        <f t="shared" si="28"/>
        <v>0.75214064697608995</v>
      </c>
      <c r="AE78" s="4">
        <v>71</v>
      </c>
      <c r="AH78" s="2">
        <v>0.72699999999999998</v>
      </c>
      <c r="AI78">
        <v>1.4999999999999999E-2</v>
      </c>
      <c r="AM78">
        <v>1999</v>
      </c>
      <c r="AN78" s="1">
        <f t="shared" si="19"/>
        <v>1.059353023909986</v>
      </c>
      <c r="AO78" s="1">
        <f t="shared" si="20"/>
        <v>0.74199999999999999</v>
      </c>
      <c r="AP78" s="1">
        <f t="shared" si="21"/>
        <v>7.3908350505347858E-2</v>
      </c>
      <c r="AQ78" s="1">
        <f t="shared" si="35"/>
        <v>0.81590835050534782</v>
      </c>
      <c r="AR78" s="22">
        <f t="shared" si="31"/>
        <v>0.24344467340463816</v>
      </c>
      <c r="AT78" s="7">
        <v>90.341479160950328</v>
      </c>
      <c r="AV78" s="22">
        <f t="shared" si="32"/>
        <v>1.1726097842859831</v>
      </c>
      <c r="AW78" s="22">
        <f t="shared" si="23"/>
        <v>1.1598426513296216</v>
      </c>
      <c r="AX78" s="1">
        <f t="shared" si="8"/>
        <v>0.90313813553101563</v>
      </c>
      <c r="AY78" s="1">
        <f t="shared" si="25"/>
        <v>0.26947164875496743</v>
      </c>
      <c r="AZ78" s="1">
        <f t="shared" si="33"/>
        <v>0.25670451579860609</v>
      </c>
      <c r="BA78" s="3">
        <f t="shared" si="34"/>
        <v>29.39438773119522</v>
      </c>
      <c r="BB78">
        <v>0</v>
      </c>
      <c r="BC78" s="23">
        <v>1</v>
      </c>
      <c r="BD78" s="23">
        <v>1</v>
      </c>
      <c r="BE78">
        <v>0</v>
      </c>
      <c r="BF78">
        <v>0</v>
      </c>
      <c r="BG78">
        <v>0</v>
      </c>
      <c r="BI78" s="22">
        <f t="shared" si="12"/>
        <v>1.1630745006245353</v>
      </c>
      <c r="BJ78" s="22">
        <f t="shared" si="13"/>
        <v>1.1504111858657651</v>
      </c>
    </row>
    <row r="79" spans="1:62">
      <c r="A79">
        <v>2000</v>
      </c>
      <c r="B79" s="3">
        <f t="shared" si="24"/>
        <v>104.76928536783883</v>
      </c>
      <c r="C79" s="3">
        <f t="shared" si="0"/>
        <v>78.958238837304293</v>
      </c>
      <c r="D79" s="2">
        <f>F79/E79*100</f>
        <v>73.207541803956218</v>
      </c>
      <c r="E79" s="2">
        <v>112.9992628224058</v>
      </c>
      <c r="F79" s="2">
        <f>I79/G79*100</f>
        <v>82.723982568875087</v>
      </c>
      <c r="G79" s="2">
        <v>1.6923750000000002</v>
      </c>
      <c r="H79" s="39">
        <f>(Q79+Y79)+Z79*(Q79+Y79)</f>
        <v>1.3434179570542057</v>
      </c>
      <c r="I79" s="32">
        <f>K79</f>
        <v>1.4</v>
      </c>
      <c r="J79" s="32">
        <f t="shared" si="2"/>
        <v>1.3473655414457728</v>
      </c>
      <c r="K79" s="2">
        <v>1.4</v>
      </c>
      <c r="L79" s="2">
        <v>142.19999999999999</v>
      </c>
      <c r="M79" s="2">
        <f t="shared" si="30"/>
        <v>1.2862050000000003</v>
      </c>
      <c r="N79" s="39">
        <v>76</v>
      </c>
      <c r="P79" s="32">
        <f t="shared" ref="P79:P89" si="36">K79-AB79</f>
        <v>0.55632558139534871</v>
      </c>
      <c r="Q79" s="32">
        <f t="shared" si="4"/>
        <v>0.50369112284112161</v>
      </c>
      <c r="S79" s="2">
        <f>USA!Z87*G79</f>
        <v>46.709550000000007</v>
      </c>
      <c r="T79" s="2">
        <v>0</v>
      </c>
      <c r="U79" s="2">
        <v>0</v>
      </c>
      <c r="V79" s="2">
        <v>0</v>
      </c>
      <c r="Y79" s="2">
        <f t="shared" si="27"/>
        <v>0.746</v>
      </c>
      <c r="Z79" s="2">
        <v>7.4999999999999997E-2</v>
      </c>
      <c r="AA79" s="2">
        <f t="shared" si="17"/>
        <v>9.7674418604651148E-2</v>
      </c>
      <c r="AB79" s="2">
        <f t="shared" si="26"/>
        <v>0.8436744186046512</v>
      </c>
      <c r="AC79" s="37">
        <v>0.84399999999999997</v>
      </c>
      <c r="AH79" s="2">
        <v>0.73099999999999998</v>
      </c>
      <c r="AI79">
        <v>1.4999999999999999E-2</v>
      </c>
      <c r="AK79">
        <v>0.73099999999999998</v>
      </c>
      <c r="AM79">
        <v>2000</v>
      </c>
      <c r="AN79" s="1">
        <f t="shared" si="19"/>
        <v>1.4</v>
      </c>
      <c r="AO79" s="1">
        <f t="shared" si="20"/>
        <v>0.746</v>
      </c>
      <c r="AP79" s="1">
        <f t="shared" si="21"/>
        <v>9.7674418604651148E-2</v>
      </c>
      <c r="AQ79" s="1">
        <f t="shared" si="35"/>
        <v>0.8436744186046512</v>
      </c>
      <c r="AR79" s="22">
        <f t="shared" si="31"/>
        <v>0.55632558139534871</v>
      </c>
      <c r="AT79" s="7">
        <v>91.749477312702695</v>
      </c>
      <c r="AV79" s="22">
        <f t="shared" si="32"/>
        <v>1.5258942513955556</v>
      </c>
      <c r="AW79" s="22">
        <f t="shared" si="23"/>
        <v>1.5123796887669334</v>
      </c>
      <c r="AX79" s="1">
        <f t="shared" si="8"/>
        <v>0.91954138957023213</v>
      </c>
      <c r="AY79" s="1">
        <f t="shared" si="25"/>
        <v>0.60635286182532344</v>
      </c>
      <c r="AZ79" s="1">
        <f t="shared" si="33"/>
        <v>0.59283829919670128</v>
      </c>
      <c r="BA79" s="3">
        <f t="shared" si="34"/>
        <v>50.909881307338068</v>
      </c>
      <c r="BB79">
        <v>0</v>
      </c>
      <c r="BC79" s="23">
        <v>0.35</v>
      </c>
      <c r="BD79" s="23">
        <v>1</v>
      </c>
      <c r="BE79">
        <v>0</v>
      </c>
      <c r="BF79">
        <v>0</v>
      </c>
      <c r="BG79">
        <v>0</v>
      </c>
      <c r="BI79" s="22">
        <f t="shared" si="12"/>
        <v>1.5134861726643274</v>
      </c>
      <c r="BJ79" s="22">
        <f t="shared" si="13"/>
        <v>1.5000815060897472</v>
      </c>
    </row>
    <row r="80" spans="1:62">
      <c r="A80">
        <v>2001</v>
      </c>
      <c r="B80" s="3">
        <f t="shared" si="24"/>
        <v>98.432053682328714</v>
      </c>
      <c r="C80" s="3">
        <f t="shared" si="0"/>
        <v>81.182199298191421</v>
      </c>
      <c r="D80" s="2">
        <f t="shared" ref="D80:D89" si="37">F80/E80*100</f>
        <v>68.779400942734398</v>
      </c>
      <c r="E80" s="2">
        <v>116.1820325539375</v>
      </c>
      <c r="F80" s="2">
        <f t="shared" ref="F80:F89" si="38">I80/G80*100</f>
        <v>79.909305993690865</v>
      </c>
      <c r="G80" s="2">
        <v>1.6906666666666663</v>
      </c>
      <c r="H80" s="39">
        <f t="shared" ref="H80:H89" si="39">(Q80+Y80)+Z80*(Q80+Y80)</f>
        <v>1.2868812083430019</v>
      </c>
      <c r="I80" s="32">
        <f t="shared" ref="I80:I88" si="40">K80</f>
        <v>1.351</v>
      </c>
      <c r="J80" s="32">
        <f t="shared" si="2"/>
        <v>1.2914100449284402</v>
      </c>
      <c r="K80" s="2">
        <v>1.351</v>
      </c>
      <c r="L80" s="2">
        <v>134.69999999999999</v>
      </c>
      <c r="M80" s="2">
        <f t="shared" si="30"/>
        <v>1.3947999999999996</v>
      </c>
      <c r="N80" s="2">
        <f>(N79+N81)/2</f>
        <v>82.5</v>
      </c>
      <c r="P80" s="32">
        <f t="shared" si="36"/>
        <v>0.50957620817843863</v>
      </c>
      <c r="Q80" s="32">
        <f t="shared" si="4"/>
        <v>0.44998625310687895</v>
      </c>
      <c r="S80" s="2">
        <f>USA!Z88*G80</f>
        <v>39.088213333333329</v>
      </c>
      <c r="T80" s="2">
        <v>0</v>
      </c>
      <c r="U80" s="2">
        <v>0</v>
      </c>
      <c r="V80" s="2">
        <v>0</v>
      </c>
      <c r="Y80" s="2">
        <f t="shared" si="27"/>
        <v>0.746</v>
      </c>
      <c r="Z80" s="2">
        <v>7.5999999999999998E-2</v>
      </c>
      <c r="AA80" s="2">
        <f t="shared" si="17"/>
        <v>9.5423791821561341E-2</v>
      </c>
      <c r="AB80" s="2">
        <f t="shared" ref="AB80:AB96" si="41">Y80+AA80</f>
        <v>0.84142379182156135</v>
      </c>
      <c r="AC80" s="37">
        <v>0.83899999999999997</v>
      </c>
      <c r="AH80" s="2">
        <v>0.73099999999999998</v>
      </c>
      <c r="AI80">
        <v>1.4999999999999999E-2</v>
      </c>
      <c r="AK80">
        <v>0.73099999999999998</v>
      </c>
      <c r="AM80">
        <v>2001</v>
      </c>
      <c r="AN80" s="1">
        <f t="shared" si="19"/>
        <v>1.351</v>
      </c>
      <c r="AO80" s="1">
        <f t="shared" si="20"/>
        <v>0.746</v>
      </c>
      <c r="AP80" s="1">
        <f t="shared" si="21"/>
        <v>9.5423791821561341E-2</v>
      </c>
      <c r="AQ80" s="1">
        <f t="shared" si="35"/>
        <v>0.84142379182156135</v>
      </c>
      <c r="AR80" s="22">
        <f t="shared" si="31"/>
        <v>0.50957620817843863</v>
      </c>
      <c r="AT80" s="7">
        <v>92.656897167475492</v>
      </c>
      <c r="AV80" s="22">
        <f t="shared" si="32"/>
        <v>1.4580673876420602</v>
      </c>
      <c r="AW80" s="22">
        <f t="shared" si="23"/>
        <v>1.4506148361645002</v>
      </c>
      <c r="AX80" s="1">
        <f t="shared" si="8"/>
        <v>0.90810702445680291</v>
      </c>
      <c r="AY80" s="1">
        <f t="shared" si="25"/>
        <v>0.54996036318525732</v>
      </c>
      <c r="AZ80" s="1">
        <f t="shared" si="33"/>
        <v>0.54250781170769724</v>
      </c>
      <c r="BA80" s="3">
        <f t="shared" si="34"/>
        <v>42.185972688770448</v>
      </c>
      <c r="BB80">
        <v>0</v>
      </c>
      <c r="BC80" s="23">
        <v>0.35</v>
      </c>
      <c r="BD80" s="23">
        <v>1</v>
      </c>
      <c r="BE80">
        <v>0</v>
      </c>
      <c r="BF80">
        <v>0</v>
      </c>
      <c r="BG80">
        <v>0</v>
      </c>
      <c r="BI80" s="22">
        <f t="shared" si="12"/>
        <v>1.446210855038472</v>
      </c>
      <c r="BJ80" s="22">
        <f t="shared" si="13"/>
        <v>1.4388189053001201</v>
      </c>
    </row>
    <row r="81" spans="1:62">
      <c r="A81">
        <v>2002</v>
      </c>
      <c r="B81" s="3">
        <f t="shared" si="24"/>
        <v>102.246921874962</v>
      </c>
      <c r="C81" s="3">
        <f t="shared" si="0"/>
        <v>82.47759894808965</v>
      </c>
      <c r="D81" s="2">
        <f t="shared" si="37"/>
        <v>71.445040225356763</v>
      </c>
      <c r="E81" s="2">
        <v>118.03591389240708</v>
      </c>
      <c r="F81" s="2">
        <f t="shared" si="38"/>
        <v>84.330806160797707</v>
      </c>
      <c r="G81" s="2">
        <v>1.5344333333333331</v>
      </c>
      <c r="H81" s="39">
        <f t="shared" si="39"/>
        <v>1.273920077480488</v>
      </c>
      <c r="I81" s="32">
        <f t="shared" si="40"/>
        <v>1.294</v>
      </c>
      <c r="J81" s="32">
        <f t="shared" si="2"/>
        <v>1.2753383619707139</v>
      </c>
      <c r="K81" s="2">
        <v>1.294</v>
      </c>
      <c r="L81" s="2">
        <v>125.2</v>
      </c>
      <c r="M81" s="2">
        <f t="shared" si="30"/>
        <v>1.3656456666666665</v>
      </c>
      <c r="N81" s="39">
        <v>89</v>
      </c>
      <c r="P81" s="32">
        <f t="shared" si="36"/>
        <v>0.45660223048327142</v>
      </c>
      <c r="Q81" s="32">
        <f t="shared" si="4"/>
        <v>0.4379405924539852</v>
      </c>
      <c r="S81" s="2">
        <f>USA!Z89*G81</f>
        <v>37.378795999999994</v>
      </c>
      <c r="T81" s="2">
        <v>0</v>
      </c>
      <c r="U81" s="2">
        <v>0</v>
      </c>
      <c r="V81" s="2">
        <v>0</v>
      </c>
      <c r="Y81" s="2">
        <f t="shared" si="27"/>
        <v>0.746</v>
      </c>
      <c r="Z81" s="2">
        <v>7.5999999999999998E-2</v>
      </c>
      <c r="AA81" s="2">
        <f t="shared" si="17"/>
        <v>9.1397769516728622E-2</v>
      </c>
      <c r="AB81" s="2">
        <f t="shared" si="41"/>
        <v>0.83739776951672862</v>
      </c>
      <c r="AC81" s="37">
        <v>0.83199999999999996</v>
      </c>
      <c r="AH81" s="2">
        <v>0.73099999999999998</v>
      </c>
      <c r="AI81">
        <v>1.4999999999999999E-2</v>
      </c>
      <c r="AK81">
        <v>0.73099999999999998</v>
      </c>
      <c r="AM81">
        <v>2002</v>
      </c>
      <c r="AN81" s="1">
        <f t="shared" si="19"/>
        <v>1.294</v>
      </c>
      <c r="AO81" s="1">
        <f t="shared" si="20"/>
        <v>0.746</v>
      </c>
      <c r="AP81" s="1">
        <f t="shared" si="21"/>
        <v>9.1397769516728622E-2</v>
      </c>
      <c r="AQ81" s="1">
        <f t="shared" si="35"/>
        <v>0.83739776951672862</v>
      </c>
      <c r="AR81" s="22">
        <f t="shared" si="31"/>
        <v>0.45660223048327142</v>
      </c>
      <c r="AT81" s="7">
        <v>93.252398783353584</v>
      </c>
      <c r="AV81" s="22">
        <f t="shared" si="32"/>
        <v>1.3876318645767545</v>
      </c>
      <c r="AW81" s="22">
        <f t="shared" si="23"/>
        <v>1.428368515107608</v>
      </c>
      <c r="AX81" s="1">
        <f t="shared" si="8"/>
        <v>0.89799059374568269</v>
      </c>
      <c r="AY81" s="1">
        <f t="shared" si="25"/>
        <v>0.48964127083107178</v>
      </c>
      <c r="AZ81" s="1">
        <f t="shared" si="33"/>
        <v>0.5303779213619253</v>
      </c>
      <c r="BA81" s="3">
        <f t="shared" si="34"/>
        <v>40.083468616007821</v>
      </c>
      <c r="BB81">
        <v>0</v>
      </c>
      <c r="BC81" s="23">
        <v>0.35</v>
      </c>
      <c r="BD81" s="23">
        <v>1</v>
      </c>
      <c r="BE81">
        <v>0</v>
      </c>
      <c r="BF81">
        <v>0</v>
      </c>
      <c r="BG81">
        <v>0</v>
      </c>
      <c r="BI81" s="22">
        <f t="shared" si="12"/>
        <v>1.3763480908749515</v>
      </c>
      <c r="BJ81" s="22">
        <f t="shared" si="13"/>
        <v>1.4167534841338341</v>
      </c>
    </row>
    <row r="82" spans="1:62">
      <c r="A82">
        <v>2003</v>
      </c>
      <c r="B82" s="3">
        <f t="shared" si="24"/>
        <v>116.44168369600484</v>
      </c>
      <c r="C82" s="3">
        <f t="shared" si="0"/>
        <v>84.37293294912061</v>
      </c>
      <c r="D82" s="2">
        <f t="shared" si="37"/>
        <v>81.36363054276471</v>
      </c>
      <c r="E82" s="2">
        <v>120.74837744367809</v>
      </c>
      <c r="F82" s="2">
        <f t="shared" si="38"/>
        <v>98.24526370965728</v>
      </c>
      <c r="G82" s="2">
        <v>1.3354333333333335</v>
      </c>
      <c r="H82" s="39">
        <f t="shared" si="39"/>
        <v>1.2750337549334527</v>
      </c>
      <c r="I82" s="32">
        <f t="shared" si="40"/>
        <v>1.3120000000000001</v>
      </c>
      <c r="J82" s="32">
        <f t="shared" si="2"/>
        <v>1.277644753655625</v>
      </c>
      <c r="K82" s="2">
        <v>1.3120000000000001</v>
      </c>
      <c r="L82" s="2">
        <v>129.30000000000001</v>
      </c>
      <c r="M82" s="2">
        <f t="shared" si="30"/>
        <v>1.4556223333333336</v>
      </c>
      <c r="N82" s="2">
        <f>(N81+N83)/2</f>
        <v>109</v>
      </c>
      <c r="P82" s="32">
        <f t="shared" si="36"/>
        <v>0.4733308550185874</v>
      </c>
      <c r="Q82" s="32">
        <f t="shared" si="4"/>
        <v>0.43897560867421243</v>
      </c>
      <c r="S82" s="2">
        <f>USA!Z90*G82</f>
        <v>37.525676666666669</v>
      </c>
      <c r="T82" s="2">
        <v>0</v>
      </c>
      <c r="U82" s="2">
        <v>0</v>
      </c>
      <c r="V82" s="2">
        <v>0</v>
      </c>
      <c r="Y82" s="2">
        <f t="shared" si="27"/>
        <v>0.746</v>
      </c>
      <c r="Z82" s="2">
        <v>7.5999999999999998E-2</v>
      </c>
      <c r="AA82" s="2">
        <f t="shared" si="17"/>
        <v>9.2669144981412654E-2</v>
      </c>
      <c r="AB82" s="2">
        <f t="shared" si="41"/>
        <v>0.83866914498141265</v>
      </c>
      <c r="AC82" s="37">
        <v>0.83</v>
      </c>
      <c r="AH82" s="2">
        <v>0.73099999999999998</v>
      </c>
      <c r="AI82">
        <v>1.4999999999999999E-2</v>
      </c>
      <c r="AK82">
        <v>0.73099999999999998</v>
      </c>
      <c r="AM82">
        <v>2003</v>
      </c>
      <c r="AN82" s="1">
        <f t="shared" si="19"/>
        <v>1.3120000000000001</v>
      </c>
      <c r="AO82" s="1">
        <f t="shared" si="20"/>
        <v>0.746</v>
      </c>
      <c r="AP82" s="1">
        <f t="shared" si="21"/>
        <v>9.2669144981412654E-2</v>
      </c>
      <c r="AQ82" s="1">
        <f t="shared" si="35"/>
        <v>0.83866914498141265</v>
      </c>
      <c r="AR82" s="22">
        <f t="shared" si="31"/>
        <v>0.4733308550185874</v>
      </c>
      <c r="AT82" s="7">
        <v>93.847641340609172</v>
      </c>
      <c r="AV82" s="22">
        <f t="shared" si="32"/>
        <v>1.3980106279264362</v>
      </c>
      <c r="AW82" s="22">
        <f t="shared" si="23"/>
        <v>1.4234637952638183</v>
      </c>
      <c r="AX82" s="1">
        <f t="shared" si="8"/>
        <v>0.89364967835212816</v>
      </c>
      <c r="AY82" s="1">
        <f t="shared" si="25"/>
        <v>0.50436094957430799</v>
      </c>
      <c r="AZ82" s="1">
        <f t="shared" si="33"/>
        <v>0.52981411691169</v>
      </c>
      <c r="BA82" s="3">
        <f t="shared" si="34"/>
        <v>39.985742987904786</v>
      </c>
      <c r="BB82">
        <v>0</v>
      </c>
      <c r="BC82" s="23">
        <v>0.35</v>
      </c>
      <c r="BD82" s="23">
        <v>1</v>
      </c>
      <c r="BE82">
        <v>0</v>
      </c>
      <c r="BF82">
        <v>0</v>
      </c>
      <c r="BG82">
        <v>0</v>
      </c>
      <c r="BI82" s="22">
        <f t="shared" si="12"/>
        <v>1.3866424574765244</v>
      </c>
      <c r="BJ82" s="22">
        <f t="shared" si="13"/>
        <v>1.4118886478861197</v>
      </c>
    </row>
    <row r="83" spans="1:62">
      <c r="A83">
        <v>2004</v>
      </c>
      <c r="B83" s="3">
        <f t="shared" si="24"/>
        <v>130.8042744737842</v>
      </c>
      <c r="C83" s="3">
        <f t="shared" si="0"/>
        <v>86.62364207534489</v>
      </c>
      <c r="D83" s="2">
        <f t="shared" si="37"/>
        <v>91.399491349544277</v>
      </c>
      <c r="E83" s="2">
        <v>123.96942791081244</v>
      </c>
      <c r="F83" s="2">
        <f t="shared" si="38"/>
        <v>113.30742653942254</v>
      </c>
      <c r="G83" s="2">
        <v>1.2373416666666668</v>
      </c>
      <c r="H83" s="39">
        <f t="shared" si="39"/>
        <v>1.3287193945205031</v>
      </c>
      <c r="I83" s="32">
        <f t="shared" si="40"/>
        <v>1.4019999999999999</v>
      </c>
      <c r="J83" s="32">
        <f t="shared" si="2"/>
        <v>1.3338953480673821</v>
      </c>
      <c r="K83" s="2">
        <v>1.4019999999999999</v>
      </c>
      <c r="L83" s="2">
        <v>141.30000000000001</v>
      </c>
      <c r="M83" s="2">
        <f t="shared" si="30"/>
        <v>1.5961707500000002</v>
      </c>
      <c r="N83" s="39">
        <v>129</v>
      </c>
      <c r="P83" s="32">
        <f t="shared" si="36"/>
        <v>0.55697397769516721</v>
      </c>
      <c r="Q83" s="32">
        <f t="shared" si="4"/>
        <v>0.48886932576254938</v>
      </c>
      <c r="S83" s="2">
        <f>USA!Z91*G83</f>
        <v>44.606167083333332</v>
      </c>
      <c r="T83" s="2">
        <v>0</v>
      </c>
      <c r="U83" s="2">
        <v>0</v>
      </c>
      <c r="V83" s="2">
        <v>0</v>
      </c>
      <c r="Y83" s="2">
        <f t="shared" si="27"/>
        <v>0.746</v>
      </c>
      <c r="Z83" s="2">
        <v>7.5999999999999998E-2</v>
      </c>
      <c r="AA83" s="2">
        <f t="shared" si="17"/>
        <v>9.9026022304832706E-2</v>
      </c>
      <c r="AB83" s="2">
        <f t="shared" si="41"/>
        <v>0.8450260223048327</v>
      </c>
      <c r="AC83" s="37">
        <v>0.83599999999999997</v>
      </c>
      <c r="AH83" s="2">
        <v>0.73099999999999998</v>
      </c>
      <c r="AI83">
        <v>1.4999999999999999E-2</v>
      </c>
      <c r="AK83">
        <v>0.73099999999999998</v>
      </c>
      <c r="AM83">
        <v>2004</v>
      </c>
      <c r="AN83" s="1">
        <f t="shared" si="19"/>
        <v>1.4019999999999999</v>
      </c>
      <c r="AO83" s="1">
        <f t="shared" si="20"/>
        <v>0.746</v>
      </c>
      <c r="AP83" s="1">
        <f t="shared" si="21"/>
        <v>9.9026022304832706E-2</v>
      </c>
      <c r="AQ83" s="1">
        <f t="shared" si="35"/>
        <v>0.8450260223048327</v>
      </c>
      <c r="AR83" s="22">
        <f t="shared" si="31"/>
        <v>0.55697397769516721</v>
      </c>
      <c r="AT83" s="7">
        <v>94.601111675496654</v>
      </c>
      <c r="AV83" s="22">
        <f t="shared" si="32"/>
        <v>1.4820121826994792</v>
      </c>
      <c r="AW83" s="22">
        <f t="shared" si="23"/>
        <v>1.4973910453746027</v>
      </c>
      <c r="AX83" s="1">
        <f t="shared" si="8"/>
        <v>0.89325168313398295</v>
      </c>
      <c r="AY83" s="1">
        <f t="shared" si="25"/>
        <v>0.58876049956549625</v>
      </c>
      <c r="AZ83" s="1">
        <f t="shared" si="33"/>
        <v>0.60413936224061981</v>
      </c>
      <c r="BA83" s="3">
        <f t="shared" si="34"/>
        <v>47.15184239730992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I83" s="22">
        <f t="shared" si="12"/>
        <v>1.4699609387638288</v>
      </c>
      <c r="BJ83" s="22">
        <f t="shared" si="13"/>
        <v>1.4852147454996594</v>
      </c>
    </row>
    <row r="84" spans="1:62">
      <c r="A84">
        <v>2005</v>
      </c>
      <c r="B84" s="3">
        <f t="shared" si="24"/>
        <v>136.90823413378857</v>
      </c>
      <c r="C84" s="3">
        <f t="shared" si="0"/>
        <v>89.539246597092159</v>
      </c>
      <c r="D84" s="2">
        <f t="shared" si="37"/>
        <v>95.664633374810037</v>
      </c>
      <c r="E84" s="2">
        <v>128.14202809149756</v>
      </c>
      <c r="F84" s="2">
        <f t="shared" si="38"/>
        <v>122.58660137277724</v>
      </c>
      <c r="G84" s="2">
        <v>1.2456500000000001</v>
      </c>
      <c r="H84" s="39">
        <f t="shared" si="39"/>
        <v>1.4687893940080268</v>
      </c>
      <c r="I84" s="32">
        <f t="shared" si="40"/>
        <v>1.5269999999999999</v>
      </c>
      <c r="J84" s="32">
        <f t="shared" si="2"/>
        <v>1.4729009237992814</v>
      </c>
      <c r="K84" s="2">
        <v>1.5269999999999999</v>
      </c>
      <c r="L84" s="2">
        <v>167.4</v>
      </c>
      <c r="M84" s="2">
        <f t="shared" si="30"/>
        <v>1.5944320000000003</v>
      </c>
      <c r="N84" s="2">
        <f>(N83+N85)/2</f>
        <v>128</v>
      </c>
      <c r="P84" s="32">
        <f t="shared" si="36"/>
        <v>0.67314498141263934</v>
      </c>
      <c r="Q84" s="32">
        <f t="shared" si="4"/>
        <v>0.61904590521192082</v>
      </c>
      <c r="S84" s="2">
        <f>USA!Z92*G84</f>
        <v>63.079716000000005</v>
      </c>
      <c r="T84" s="2">
        <v>0</v>
      </c>
      <c r="U84" s="2">
        <v>0</v>
      </c>
      <c r="V84" s="2">
        <v>0</v>
      </c>
      <c r="Y84" s="2">
        <f t="shared" si="27"/>
        <v>0.746</v>
      </c>
      <c r="Z84" s="2">
        <v>7.5999999999999998E-2</v>
      </c>
      <c r="AA84" s="2">
        <f t="shared" si="17"/>
        <v>0.10785501858736059</v>
      </c>
      <c r="AB84" s="2">
        <f t="shared" si="41"/>
        <v>0.85385501858736057</v>
      </c>
      <c r="AC84" s="37">
        <v>0.84299999999999997</v>
      </c>
      <c r="AH84" s="2">
        <v>0.73099999999999998</v>
      </c>
      <c r="AI84">
        <v>1.4999999999999999E-2</v>
      </c>
      <c r="AK84">
        <v>0.73099999999999998</v>
      </c>
      <c r="AM84">
        <v>2005</v>
      </c>
      <c r="AN84" s="1">
        <f t="shared" si="19"/>
        <v>1.5269999999999999</v>
      </c>
      <c r="AO84" s="1">
        <f t="shared" si="20"/>
        <v>0.746</v>
      </c>
      <c r="AP84" s="1">
        <f t="shared" si="21"/>
        <v>0.10785501858736059</v>
      </c>
      <c r="AQ84" s="1">
        <f t="shared" si="35"/>
        <v>0.85385501858736057</v>
      </c>
      <c r="AR84" s="22">
        <f t="shared" si="31"/>
        <v>0.67314498141263934</v>
      </c>
      <c r="AT84" s="7">
        <v>95.709809270011078</v>
      </c>
      <c r="AV84" s="22">
        <f t="shared" si="32"/>
        <v>1.5954477515383134</v>
      </c>
      <c r="AW84" s="22">
        <f t="shared" si="23"/>
        <v>1.6044732979904393</v>
      </c>
      <c r="AX84" s="1">
        <f t="shared" si="8"/>
        <v>0.89212905667643039</v>
      </c>
      <c r="AY84" s="1">
        <f t="shared" si="25"/>
        <v>0.70331869486188303</v>
      </c>
      <c r="AZ84" s="1">
        <f t="shared" si="33"/>
        <v>0.71234424131400886</v>
      </c>
      <c r="BA84" s="3">
        <f t="shared" si="34"/>
        <v>65.907263300507779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I84" s="22">
        <f t="shared" si="12"/>
        <v>1.5824740862305484</v>
      </c>
      <c r="BJ84" s="22">
        <f t="shared" si="13"/>
        <v>1.5914262398568817</v>
      </c>
    </row>
    <row r="85" spans="1:62">
      <c r="A85">
        <v>2006</v>
      </c>
      <c r="B85" s="3">
        <f t="shared" si="24"/>
        <v>141.77609525596731</v>
      </c>
      <c r="C85" s="3">
        <f t="shared" si="0"/>
        <v>92.424281215596963</v>
      </c>
      <c r="D85" s="2">
        <f t="shared" si="37"/>
        <v>99.066051503668902</v>
      </c>
      <c r="E85" s="2">
        <v>132.27087886006535</v>
      </c>
      <c r="F85" s="2">
        <f t="shared" si="38"/>
        <v>131.03553697586784</v>
      </c>
      <c r="G85" s="2">
        <v>1.2538583333333333</v>
      </c>
      <c r="H85" s="39">
        <f t="shared" si="39"/>
        <v>1.5711941110541257</v>
      </c>
      <c r="I85" s="32">
        <f t="shared" si="40"/>
        <v>1.643</v>
      </c>
      <c r="J85" s="32">
        <f t="shared" si="2"/>
        <v>1.5762659024666594</v>
      </c>
      <c r="K85" s="2">
        <v>1.643</v>
      </c>
      <c r="L85" s="2">
        <v>182.9</v>
      </c>
      <c r="M85" s="2">
        <f t="shared" si="30"/>
        <v>1.5924000833333332</v>
      </c>
      <c r="N85" s="39">
        <v>127</v>
      </c>
      <c r="P85" s="32">
        <f t="shared" si="36"/>
        <v>0.78095167286245359</v>
      </c>
      <c r="Q85" s="32">
        <f t="shared" si="4"/>
        <v>0.71421757532911312</v>
      </c>
      <c r="S85" s="2">
        <f>USA!Z93*G85</f>
        <v>76.585667000000001</v>
      </c>
      <c r="T85" s="2">
        <v>0</v>
      </c>
      <c r="U85" s="2">
        <v>0</v>
      </c>
      <c r="V85" s="2">
        <v>0</v>
      </c>
      <c r="Y85" s="2">
        <f t="shared" si="27"/>
        <v>0.746</v>
      </c>
      <c r="Z85" s="2">
        <v>7.5999999999999998E-2</v>
      </c>
      <c r="AA85" s="2">
        <f t="shared" si="17"/>
        <v>0.11604832713754647</v>
      </c>
      <c r="AB85" s="2">
        <f t="shared" si="41"/>
        <v>0.86204832713754642</v>
      </c>
      <c r="AC85" s="37">
        <v>0.85099999999999998</v>
      </c>
      <c r="AH85" s="2">
        <v>0.73099999999999998</v>
      </c>
      <c r="AI85">
        <v>1.4999999999999999E-2</v>
      </c>
      <c r="AK85">
        <v>0.73799999999999999</v>
      </c>
      <c r="AM85">
        <v>2006</v>
      </c>
      <c r="AN85" s="1">
        <f t="shared" si="19"/>
        <v>1.643</v>
      </c>
      <c r="AO85" s="1">
        <f t="shared" si="20"/>
        <v>0.746</v>
      </c>
      <c r="AP85" s="1">
        <f t="shared" si="21"/>
        <v>0.11604832713754647</v>
      </c>
      <c r="AQ85" s="1">
        <f t="shared" si="35"/>
        <v>0.86204832713754642</v>
      </c>
      <c r="AR85" s="22">
        <f t="shared" si="31"/>
        <v>0.78095167286245359</v>
      </c>
      <c r="AT85" s="7">
        <v>96.723859484717309</v>
      </c>
      <c r="AV85" s="22">
        <f t="shared" si="32"/>
        <v>1.6986501663114459</v>
      </c>
      <c r="AW85" s="22">
        <f t="shared" si="23"/>
        <v>1.6801632216239506</v>
      </c>
      <c r="AX85" s="1">
        <f t="shared" si="8"/>
        <v>0.89124682547820877</v>
      </c>
      <c r="AY85" s="1">
        <f t="shared" si="25"/>
        <v>0.80740334083323717</v>
      </c>
      <c r="AZ85" s="1">
        <f t="shared" si="33"/>
        <v>0.78891639614574194</v>
      </c>
      <c r="BA85" s="3">
        <f t="shared" si="34"/>
        <v>79.179705408778474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I85" s="22">
        <f t="shared" si="12"/>
        <v>1.6848372923320534</v>
      </c>
      <c r="BJ85" s="22">
        <f t="shared" si="13"/>
        <v>1.6665006775019333</v>
      </c>
    </row>
    <row r="86" spans="1:62">
      <c r="A86">
        <v>2007</v>
      </c>
      <c r="B86" s="3">
        <f t="shared" si="24"/>
        <v>147.5602529000324</v>
      </c>
      <c r="C86" s="3">
        <f t="shared" si="0"/>
        <v>95.074004003893037</v>
      </c>
      <c r="D86" s="2">
        <f t="shared" si="37"/>
        <v>103.10773185914599</v>
      </c>
      <c r="E86" s="2">
        <v>136.06296852886032</v>
      </c>
      <c r="F86" s="2">
        <f t="shared" si="38"/>
        <v>140.2914407503315</v>
      </c>
      <c r="G86" s="2">
        <v>1.2003583333333332</v>
      </c>
      <c r="H86" s="39">
        <f t="shared" si="39"/>
        <v>1.6192279561023208</v>
      </c>
      <c r="I86" s="32">
        <f t="shared" si="40"/>
        <v>1.6839999999999999</v>
      </c>
      <c r="J86" s="32">
        <f t="shared" si="2"/>
        <v>1.6238029331805954</v>
      </c>
      <c r="K86" s="2">
        <v>1.6839999999999999</v>
      </c>
      <c r="L86" s="2">
        <v>187.3</v>
      </c>
      <c r="M86" s="2">
        <f t="shared" si="30"/>
        <v>1.7225142083333334</v>
      </c>
      <c r="N86" s="2">
        <f>(N85+N87)/2</f>
        <v>143.5</v>
      </c>
      <c r="P86" s="32">
        <f t="shared" si="36"/>
        <v>0.81905576208178432</v>
      </c>
      <c r="Q86" s="32">
        <f t="shared" si="4"/>
        <v>0.75885869526237992</v>
      </c>
      <c r="S86" s="2">
        <f>USA!Z94*G86</f>
        <v>82.920753666666656</v>
      </c>
      <c r="T86" s="2">
        <v>0</v>
      </c>
      <c r="U86" s="2">
        <v>0</v>
      </c>
      <c r="V86" s="2">
        <v>0</v>
      </c>
      <c r="Y86" s="2">
        <f t="shared" si="27"/>
        <v>0.746</v>
      </c>
      <c r="Z86" s="2">
        <v>7.5999999999999998E-2</v>
      </c>
      <c r="AA86" s="2">
        <f t="shared" si="17"/>
        <v>0.11894423791821561</v>
      </c>
      <c r="AB86" s="2">
        <f t="shared" si="41"/>
        <v>0.86494423791821562</v>
      </c>
      <c r="AC86" s="37">
        <v>0.85399999999999998</v>
      </c>
      <c r="AH86" s="2">
        <v>0.73099999999999998</v>
      </c>
      <c r="AI86">
        <v>1.4999999999999999E-2</v>
      </c>
      <c r="AK86">
        <v>0.745</v>
      </c>
      <c r="AM86">
        <v>2007</v>
      </c>
      <c r="AN86" s="1">
        <f t="shared" si="19"/>
        <v>1.6839999999999999</v>
      </c>
      <c r="AO86" s="1">
        <f t="shared" si="20"/>
        <v>0.746</v>
      </c>
      <c r="AP86" s="1">
        <f t="shared" si="21"/>
        <v>0.11894423791821561</v>
      </c>
      <c r="AQ86" s="1">
        <f t="shared" si="35"/>
        <v>0.86494423791821562</v>
      </c>
      <c r="AR86" s="22">
        <f t="shared" si="31"/>
        <v>0.81905576208178432</v>
      </c>
      <c r="AT86" s="7">
        <v>97.432216186034339</v>
      </c>
      <c r="AV86" s="22">
        <f t="shared" si="32"/>
        <v>1.7283810898693071</v>
      </c>
      <c r="AW86" s="22">
        <f t="shared" si="23"/>
        <v>1.7108467356237314</v>
      </c>
      <c r="AX86" s="1">
        <f t="shared" si="8"/>
        <v>0.88773946829528683</v>
      </c>
      <c r="AY86" s="1">
        <f t="shared" si="25"/>
        <v>0.84064162157402023</v>
      </c>
      <c r="AZ86" s="1">
        <f t="shared" si="33"/>
        <v>0.82310726732844441</v>
      </c>
      <c r="BA86" s="3">
        <f t="shared" si="34"/>
        <v>85.106094177658946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I86" s="22">
        <f t="shared" si="12"/>
        <v>1.7143264536315399</v>
      </c>
      <c r="BJ86" s="22">
        <f t="shared" si="13"/>
        <v>1.6969346830858383</v>
      </c>
    </row>
    <row r="87" spans="1:62">
      <c r="A87">
        <v>2008</v>
      </c>
      <c r="B87" s="3">
        <f t="shared" si="24"/>
        <v>166.97175407191881</v>
      </c>
      <c r="C87" s="3">
        <f t="shared" si="0"/>
        <v>98.70291900542351</v>
      </c>
      <c r="D87" s="2">
        <f t="shared" si="37"/>
        <v>116.6715189798573</v>
      </c>
      <c r="E87" s="2">
        <v>141.25640655453694</v>
      </c>
      <c r="F87" s="2">
        <f t="shared" si="38"/>
        <v>164.80599518354094</v>
      </c>
      <c r="G87" s="2">
        <v>1.0830916666666666</v>
      </c>
      <c r="H87" s="39">
        <f t="shared" si="39"/>
        <v>1.7661500231675404</v>
      </c>
      <c r="I87" s="32">
        <f t="shared" si="40"/>
        <v>1.7849999999999999</v>
      </c>
      <c r="J87" s="32">
        <f t="shared" si="2"/>
        <v>1.7674814341705765</v>
      </c>
      <c r="K87" s="2">
        <v>1.7849999999999999</v>
      </c>
      <c r="L87" s="2">
        <v>220.7</v>
      </c>
      <c r="M87" s="2">
        <f t="shared" si="30"/>
        <v>1.7329466666666664</v>
      </c>
      <c r="N87" s="39">
        <v>160</v>
      </c>
      <c r="P87" s="32">
        <f t="shared" si="36"/>
        <v>0.91292193308550185</v>
      </c>
      <c r="Q87" s="32">
        <f t="shared" si="4"/>
        <v>0.89540336725607839</v>
      </c>
      <c r="S87" s="2">
        <f>USA!Z95*G87</f>
        <v>102.29800791666666</v>
      </c>
      <c r="T87" s="2">
        <v>0</v>
      </c>
      <c r="U87" s="2">
        <v>0</v>
      </c>
      <c r="V87" s="2">
        <v>1</v>
      </c>
      <c r="Y87" s="2">
        <f t="shared" si="27"/>
        <v>0.746</v>
      </c>
      <c r="Z87" s="2">
        <v>7.5999999999999998E-2</v>
      </c>
      <c r="AA87" s="2">
        <f t="shared" si="17"/>
        <v>0.12607806691449813</v>
      </c>
      <c r="AB87" s="2">
        <f t="shared" si="41"/>
        <v>0.87207806691449807</v>
      </c>
      <c r="AC87" s="37">
        <v>0.86799999999999999</v>
      </c>
      <c r="AH87" s="2">
        <v>0.73099999999999998</v>
      </c>
      <c r="AI87">
        <v>1.4999999999999999E-2</v>
      </c>
      <c r="AK87">
        <v>0.745</v>
      </c>
      <c r="AM87">
        <v>2008</v>
      </c>
      <c r="AN87" s="1">
        <f t="shared" si="19"/>
        <v>1.7849999999999999</v>
      </c>
      <c r="AO87" s="1">
        <f t="shared" si="20"/>
        <v>0.746</v>
      </c>
      <c r="AP87" s="1">
        <f t="shared" si="21"/>
        <v>0.12607806691449813</v>
      </c>
      <c r="AQ87" s="1">
        <f t="shared" si="35"/>
        <v>0.87207806691449807</v>
      </c>
      <c r="AR87" s="22">
        <f t="shared" si="31"/>
        <v>0.91292193308550185</v>
      </c>
      <c r="AT87" s="7">
        <v>99.79597338978212</v>
      </c>
      <c r="AV87" s="22">
        <f t="shared" si="32"/>
        <v>1.7886493205774592</v>
      </c>
      <c r="AW87" s="22">
        <f t="shared" si="23"/>
        <v>1.7973594381676534</v>
      </c>
      <c r="AX87" s="1">
        <f t="shared" si="8"/>
        <v>0.87386097584152433</v>
      </c>
      <c r="AY87" s="1">
        <f t="shared" si="25"/>
        <v>0.91478834473593484</v>
      </c>
      <c r="AZ87" s="1">
        <f t="shared" si="33"/>
        <v>0.92349846232612909</v>
      </c>
      <c r="BA87" s="3">
        <f t="shared" si="34"/>
        <v>102.50714977959292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I87" s="22">
        <f t="shared" si="12"/>
        <v>1.7741046025722731</v>
      </c>
      <c r="BJ87" s="22">
        <f t="shared" si="13"/>
        <v>1.7827438923022019</v>
      </c>
    </row>
    <row r="88" spans="1:62">
      <c r="A88">
        <v>2009</v>
      </c>
      <c r="B88" s="3">
        <f t="shared" si="24"/>
        <v>140.77267252364445</v>
      </c>
      <c r="C88" s="3">
        <f>E88/E$89*100</f>
        <v>98.380597588111073</v>
      </c>
      <c r="D88" s="2">
        <f t="shared" si="37"/>
        <v>98.364909834470154</v>
      </c>
      <c r="E88" s="2">
        <v>140.7951236905254</v>
      </c>
      <c r="F88" s="2">
        <f t="shared" si="38"/>
        <v>138.49299646951604</v>
      </c>
      <c r="G88" s="2">
        <v>1.0881416666666668</v>
      </c>
      <c r="H88" s="39">
        <f t="shared" si="39"/>
        <v>1.4942823482165744</v>
      </c>
      <c r="I88" s="32">
        <f t="shared" si="40"/>
        <v>1.5069999999999999</v>
      </c>
      <c r="J88" s="32">
        <f t="shared" si="2"/>
        <v>1.495180621019121</v>
      </c>
      <c r="K88" s="2">
        <v>1.5069999999999999</v>
      </c>
      <c r="L88" s="2">
        <v>163.6</v>
      </c>
      <c r="P88" s="32">
        <f t="shared" si="36"/>
        <v>0.65455762081784374</v>
      </c>
      <c r="Q88" s="32">
        <f t="shared" si="4"/>
        <v>0.64273824183696493</v>
      </c>
      <c r="S88" s="2">
        <f>USA!Z96*G88</f>
        <v>66.44193016666668</v>
      </c>
      <c r="T88" s="2">
        <v>0</v>
      </c>
      <c r="U88" s="2">
        <v>0</v>
      </c>
      <c r="V88" s="2">
        <v>0</v>
      </c>
      <c r="Y88" s="2">
        <f t="shared" si="27"/>
        <v>0.746</v>
      </c>
      <c r="Z88" s="2">
        <v>7.5999999999999998E-2</v>
      </c>
      <c r="AA88" s="2">
        <f t="shared" si="17"/>
        <v>0.10644237918215613</v>
      </c>
      <c r="AB88" s="2">
        <f t="shared" si="41"/>
        <v>0.85244237918215615</v>
      </c>
      <c r="AC88" s="37">
        <v>0.85599999999999998</v>
      </c>
      <c r="AH88" s="2">
        <v>0.73099999999999998</v>
      </c>
      <c r="AI88">
        <v>1.4999999999999999E-2</v>
      </c>
      <c r="AK88">
        <v>0.73099999999999998</v>
      </c>
      <c r="AM88">
        <v>2009</v>
      </c>
      <c r="AN88" s="1">
        <f t="shared" si="19"/>
        <v>1.5069999999999999</v>
      </c>
      <c r="AO88" s="1">
        <f t="shared" si="20"/>
        <v>0.746</v>
      </c>
      <c r="AP88" s="1">
        <f t="shared" si="21"/>
        <v>0.10644237918215613</v>
      </c>
      <c r="AQ88" s="1">
        <f t="shared" si="35"/>
        <v>0.85244237918215615</v>
      </c>
      <c r="AR88" s="22">
        <f t="shared" si="31"/>
        <v>0.65455762081784374</v>
      </c>
      <c r="AT88" s="7">
        <v>99.316477089901994</v>
      </c>
      <c r="AV88" s="22">
        <f t="shared" si="32"/>
        <v>1.517371582397</v>
      </c>
      <c r="AW88" s="22">
        <f t="shared" si="23"/>
        <v>1.5223302012351518</v>
      </c>
      <c r="AX88" s="1">
        <f t="shared" si="8"/>
        <v>0.85830911864757264</v>
      </c>
      <c r="AY88" s="1">
        <f t="shared" si="25"/>
        <v>0.65906246374942734</v>
      </c>
      <c r="AZ88" s="1">
        <f t="shared" si="33"/>
        <v>0.6640210825875793</v>
      </c>
      <c r="BA88" s="3">
        <f t="shared" si="34"/>
        <v>66.899201535836767</v>
      </c>
      <c r="BB88">
        <v>0</v>
      </c>
      <c r="BC88">
        <v>0</v>
      </c>
      <c r="BD88">
        <v>0</v>
      </c>
      <c r="BE88">
        <v>0</v>
      </c>
      <c r="BF88">
        <v>0</v>
      </c>
      <c r="BG88" s="23">
        <v>1</v>
      </c>
      <c r="BI88" s="22">
        <f t="shared" si="12"/>
        <v>1.5050328072546919</v>
      </c>
      <c r="BJ88" s="22">
        <f t="shared" si="13"/>
        <v>1.5099511042075715</v>
      </c>
    </row>
    <row r="89" spans="1:62">
      <c r="A89">
        <v>2010</v>
      </c>
      <c r="B89" s="3">
        <f>I89/G89*100/C89*100</f>
        <v>157.69327884678498</v>
      </c>
      <c r="C89" s="3">
        <f>CPIs!AB49</f>
        <v>99.999998509883881</v>
      </c>
      <c r="D89" s="2">
        <f t="shared" si="37"/>
        <v>110.18818245083391</v>
      </c>
      <c r="E89" s="2">
        <v>143.11269411067286</v>
      </c>
      <c r="F89" s="2">
        <f t="shared" si="38"/>
        <v>157.69327649697203</v>
      </c>
      <c r="G89" s="2">
        <f>'Exchange Rates'!Z49</f>
        <v>1.0380911833177828</v>
      </c>
      <c r="H89" s="39">
        <f t="shared" si="39"/>
        <v>1.6001163466153829</v>
      </c>
      <c r="I89" s="32">
        <v>1.637</v>
      </c>
      <c r="J89" s="32">
        <f t="shared" si="2"/>
        <v>1.6027215117243334</v>
      </c>
      <c r="K89" s="2">
        <v>1.637</v>
      </c>
      <c r="L89" s="2">
        <v>186.4</v>
      </c>
      <c r="P89" s="32">
        <f t="shared" si="36"/>
        <v>0.77537546468401486</v>
      </c>
      <c r="Q89" s="32">
        <f t="shared" si="4"/>
        <v>0.74109697640834837</v>
      </c>
      <c r="S89" s="2">
        <f>USA!Z97*G89</f>
        <v>80.400162147962277</v>
      </c>
      <c r="T89" s="2">
        <v>0</v>
      </c>
      <c r="U89" s="2">
        <v>0</v>
      </c>
      <c r="V89" s="2">
        <v>0</v>
      </c>
      <c r="Y89" s="2">
        <f t="shared" si="27"/>
        <v>0.746</v>
      </c>
      <c r="Z89" s="2">
        <v>7.5999999999999998E-2</v>
      </c>
      <c r="AA89" s="2">
        <f t="shared" si="17"/>
        <v>0.11562453531598514</v>
      </c>
      <c r="AB89" s="2">
        <f t="shared" si="41"/>
        <v>0.86162453531598515</v>
      </c>
      <c r="AC89" s="37">
        <v>0.85799999999999998</v>
      </c>
      <c r="AH89" s="2">
        <v>0.73099999999999998</v>
      </c>
      <c r="AI89">
        <v>1.4999999999999999E-2</v>
      </c>
      <c r="AK89">
        <v>0.73099999999999998</v>
      </c>
      <c r="AM89">
        <v>2010</v>
      </c>
      <c r="AN89" s="1">
        <f t="shared" si="19"/>
        <v>1.637</v>
      </c>
      <c r="AO89" s="1">
        <f t="shared" si="20"/>
        <v>0.746</v>
      </c>
      <c r="AP89" s="1">
        <f t="shared" si="21"/>
        <v>0.11562453531598514</v>
      </c>
      <c r="AQ89" s="1">
        <f t="shared" si="35"/>
        <v>0.86162453531598515</v>
      </c>
      <c r="AR89" s="22">
        <f t="shared" si="31"/>
        <v>0.77537546468401486</v>
      </c>
      <c r="AT89" s="7">
        <v>100</v>
      </c>
      <c r="AV89" s="22">
        <f t="shared" si="32"/>
        <v>1.637</v>
      </c>
      <c r="AW89" s="22">
        <f t="shared" si="23"/>
        <v>1.6251545180384968</v>
      </c>
      <c r="AX89" s="1">
        <f t="shared" si="8"/>
        <v>0.86162453531598515</v>
      </c>
      <c r="AY89" s="1">
        <f t="shared" si="25"/>
        <v>0.77537546468401486</v>
      </c>
      <c r="AZ89" s="1">
        <f t="shared" si="33"/>
        <v>0.76352998272251171</v>
      </c>
      <c r="BA89" s="3">
        <f t="shared" si="34"/>
        <v>80.400162147962277</v>
      </c>
      <c r="BB89">
        <v>0</v>
      </c>
      <c r="BC89">
        <v>0</v>
      </c>
      <c r="BD89">
        <v>0</v>
      </c>
      <c r="BE89">
        <v>0</v>
      </c>
      <c r="BF89">
        <v>0</v>
      </c>
      <c r="BG89" s="23">
        <v>0.6</v>
      </c>
      <c r="BI89" s="22">
        <f t="shared" si="12"/>
        <v>1.6236884452415732</v>
      </c>
      <c r="BJ89" s="22">
        <f t="shared" si="13"/>
        <v>1.6119392869097402</v>
      </c>
    </row>
    <row r="90" spans="1:62">
      <c r="A90">
        <v>2011</v>
      </c>
      <c r="B90" s="3">
        <f t="shared" ref="B90:B96" si="42">I90/G90*100/C90*100</f>
        <v>189.21839741463796</v>
      </c>
      <c r="C90" s="3">
        <f>CPIs!AB50</f>
        <v>103.13271097869961</v>
      </c>
      <c r="E90" s="2">
        <v>147.72537894485004</v>
      </c>
      <c r="G90" s="2">
        <f>'Exchange Rates'!Z50</f>
        <v>0.88139108431226521</v>
      </c>
      <c r="I90" s="2">
        <v>1.72</v>
      </c>
      <c r="S90" s="2">
        <f>USA!Z98*G90</f>
        <v>94.705472009352903</v>
      </c>
      <c r="Y90" s="2">
        <f t="shared" si="27"/>
        <v>0.746</v>
      </c>
      <c r="Z90" s="32">
        <v>0.08</v>
      </c>
      <c r="AA90" s="2">
        <f t="shared" si="17"/>
        <v>0.12740740740740739</v>
      </c>
      <c r="AB90" s="2">
        <f t="shared" si="41"/>
        <v>0.87340740740740741</v>
      </c>
      <c r="AH90" s="2">
        <v>0.73099999999999998</v>
      </c>
      <c r="AI90">
        <v>1.4999999999999999E-2</v>
      </c>
      <c r="AK90">
        <v>0.73099999999999998</v>
      </c>
      <c r="AM90">
        <v>2011</v>
      </c>
      <c r="AN90" s="1">
        <f t="shared" ref="AN90:AN97" si="43">I90</f>
        <v>1.72</v>
      </c>
      <c r="AO90" s="1">
        <f t="shared" si="20"/>
        <v>0.746</v>
      </c>
      <c r="AP90" s="1">
        <f t="shared" si="21"/>
        <v>0.12740740740740739</v>
      </c>
      <c r="AQ90" s="1">
        <f t="shared" si="35"/>
        <v>0.87340740740740741</v>
      </c>
      <c r="AR90" s="22">
        <f t="shared" si="31"/>
        <v>0.84659259259259256</v>
      </c>
      <c r="AT90" s="7">
        <f>CPIs!Z50</f>
        <v>100.23133087158203</v>
      </c>
      <c r="AV90" s="22">
        <f t="shared" si="32"/>
        <v>1.7160302921685147</v>
      </c>
      <c r="AW90" s="22">
        <f t="shared" ref="AW90:AW97" si="44">AZ90+AX90</f>
        <v>1.7161915992762</v>
      </c>
      <c r="AX90" s="1">
        <f t="shared" ref="AX90:AX97" si="45">AQ90/$AT90*100</f>
        <v>0.87139160960202233</v>
      </c>
      <c r="AY90" s="1">
        <f t="shared" ref="AY90:AY97" si="46">AV90-AX90</f>
        <v>0.84463868256649233</v>
      </c>
      <c r="AZ90" s="1">
        <f t="shared" si="33"/>
        <v>0.8447999896741778</v>
      </c>
      <c r="BA90" s="3">
        <f t="shared" si="34"/>
        <v>94.486894652422663</v>
      </c>
      <c r="BB90">
        <v>0</v>
      </c>
      <c r="BC90">
        <v>0</v>
      </c>
      <c r="BD90">
        <v>0</v>
      </c>
      <c r="BE90">
        <v>0</v>
      </c>
      <c r="BF90">
        <v>0</v>
      </c>
      <c r="BG90" s="23">
        <v>0.6</v>
      </c>
      <c r="BI90" s="22">
        <f t="shared" si="12"/>
        <v>1.7020760886246415</v>
      </c>
      <c r="BJ90" s="22">
        <f t="shared" si="13"/>
        <v>1.7022360840350776</v>
      </c>
    </row>
    <row r="91" spans="1:62">
      <c r="A91">
        <v>2012</v>
      </c>
      <c r="B91" s="3">
        <f t="shared" si="42"/>
        <v>179.49275157035552</v>
      </c>
      <c r="C91" s="3">
        <f>CPIs!AB51</f>
        <v>105.21072267093371</v>
      </c>
      <c r="E91" s="2">
        <v>150.44433543549255</v>
      </c>
      <c r="G91" s="2">
        <f>'Exchange Rates'!Z51</f>
        <v>0.93197818939940669</v>
      </c>
      <c r="I91" s="2">
        <v>1.76</v>
      </c>
      <c r="S91" s="2">
        <f>USA!Z99*G91</f>
        <v>102.04775179623394</v>
      </c>
      <c r="Y91" s="2">
        <f t="shared" si="27"/>
        <v>0.746</v>
      </c>
      <c r="Z91" s="32">
        <v>0.08</v>
      </c>
      <c r="AA91" s="2">
        <f t="shared" si="17"/>
        <v>0.13037037037037036</v>
      </c>
      <c r="AB91" s="2">
        <f t="shared" si="41"/>
        <v>0.87637037037037036</v>
      </c>
      <c r="AH91" s="2">
        <v>0.73099999999999998</v>
      </c>
      <c r="AI91">
        <v>1.4999999999999999E-2</v>
      </c>
      <c r="AK91">
        <v>0.73099999999999998</v>
      </c>
      <c r="AM91">
        <v>2012</v>
      </c>
      <c r="AN91" s="1">
        <f t="shared" si="43"/>
        <v>1.76</v>
      </c>
      <c r="AO91" s="1">
        <f t="shared" si="20"/>
        <v>0.746</v>
      </c>
      <c r="AP91" s="1">
        <f t="shared" si="21"/>
        <v>0.13037037037037036</v>
      </c>
      <c r="AQ91" s="1">
        <f t="shared" si="35"/>
        <v>0.87637037037037036</v>
      </c>
      <c r="AR91" s="22">
        <f t="shared" si="31"/>
        <v>0.88362962962962965</v>
      </c>
      <c r="AT91" s="7">
        <f>CPIs!Z51</f>
        <v>99.537200927734375</v>
      </c>
      <c r="AV91" s="22">
        <f t="shared" si="32"/>
        <v>1.76818313514541</v>
      </c>
      <c r="AW91" s="22">
        <f t="shared" si="44"/>
        <v>1.7716029452689739</v>
      </c>
      <c r="AX91" s="1">
        <f t="shared" si="45"/>
        <v>0.88044506194887828</v>
      </c>
      <c r="AY91" s="1">
        <f t="shared" si="46"/>
        <v>0.88773807319653175</v>
      </c>
      <c r="AZ91" s="1">
        <f t="shared" si="33"/>
        <v>0.89115788332009549</v>
      </c>
      <c r="BA91" s="3">
        <f t="shared" si="34"/>
        <v>102.52222369636681</v>
      </c>
      <c r="BB91">
        <v>0</v>
      </c>
      <c r="BC91">
        <v>0</v>
      </c>
      <c r="BD91">
        <v>0</v>
      </c>
      <c r="BE91">
        <v>0</v>
      </c>
      <c r="BF91">
        <v>0</v>
      </c>
      <c r="BG91" s="23">
        <v>0.6</v>
      </c>
      <c r="BI91" s="22">
        <f t="shared" si="12"/>
        <v>1.753804841543446</v>
      </c>
      <c r="BJ91" s="22">
        <f t="shared" si="13"/>
        <v>1.7571968428767084</v>
      </c>
    </row>
    <row r="92" spans="1:62">
      <c r="A92">
        <v>2013</v>
      </c>
      <c r="B92" s="3">
        <f t="shared" si="42"/>
        <v>177.42091410227189</v>
      </c>
      <c r="C92" s="3">
        <f>CPIs!AB52</f>
        <v>106.69767516878358</v>
      </c>
      <c r="G92" s="2">
        <f>'Exchange Rates'!Z52</f>
        <v>0.92443904344429506</v>
      </c>
      <c r="I92" s="2">
        <v>1.75</v>
      </c>
      <c r="R92" s="42"/>
      <c r="S92" s="2">
        <f>USA!Z100*G92</f>
        <v>97.931605616075686</v>
      </c>
      <c r="Y92" s="2">
        <f t="shared" si="27"/>
        <v>0.746</v>
      </c>
      <c r="Z92" s="32">
        <v>0.08</v>
      </c>
      <c r="AA92" s="2">
        <f t="shared" si="17"/>
        <v>0.12962962962962962</v>
      </c>
      <c r="AB92" s="2">
        <f t="shared" si="41"/>
        <v>0.87562962962962965</v>
      </c>
      <c r="AH92" s="2">
        <v>0.73099999999999998</v>
      </c>
      <c r="AI92">
        <v>1.4999999999999999E-2</v>
      </c>
      <c r="AK92">
        <v>0.73099999999999998</v>
      </c>
      <c r="AM92">
        <v>2013</v>
      </c>
      <c r="AN92" s="1">
        <f t="shared" si="43"/>
        <v>1.75</v>
      </c>
      <c r="AO92" s="1">
        <f t="shared" si="20"/>
        <v>0.746</v>
      </c>
      <c r="AP92" s="1">
        <f t="shared" si="21"/>
        <v>0.12962962962962962</v>
      </c>
      <c r="AQ92" s="1">
        <f t="shared" si="35"/>
        <v>0.87562962962962965</v>
      </c>
      <c r="AR92" s="22">
        <f t="shared" si="31"/>
        <v>0.87437037037037035</v>
      </c>
      <c r="AT92" s="7">
        <f>CPIs!Z52</f>
        <v>99.320884704589844</v>
      </c>
      <c r="AV92" s="22">
        <f t="shared" si="32"/>
        <v>1.7619657791058001</v>
      </c>
      <c r="AW92" s="22">
        <f t="shared" si="44"/>
        <v>1.7825809756838775</v>
      </c>
      <c r="AX92" s="1">
        <f t="shared" si="45"/>
        <v>0.88161682433056787</v>
      </c>
      <c r="AY92" s="1">
        <f t="shared" si="46"/>
        <v>0.88034895477523223</v>
      </c>
      <c r="AZ92" s="1">
        <f t="shared" si="33"/>
        <v>0.90096415135330976</v>
      </c>
      <c r="BA92" s="3">
        <f t="shared" si="34"/>
        <v>98.601221593377574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I92" s="22">
        <f t="shared" si="12"/>
        <v>1.7476380430330809</v>
      </c>
      <c r="BJ92" s="22">
        <f t="shared" si="13"/>
        <v>1.7680856034974719</v>
      </c>
    </row>
    <row r="93" spans="1:62">
      <c r="A93">
        <v>2014</v>
      </c>
      <c r="B93" s="3">
        <f t="shared" si="42"/>
        <v>170.60025495346537</v>
      </c>
      <c r="C93" s="3">
        <f>CPIs!AB53</f>
        <v>108.45811062912946</v>
      </c>
      <c r="G93" s="2">
        <f>'Exchange Rates'!Z53</f>
        <v>0.91877085650723023</v>
      </c>
      <c r="I93" s="2">
        <v>1.7</v>
      </c>
      <c r="R93" s="42"/>
      <c r="S93" s="2">
        <f>USA!Z101*G93</f>
        <v>88.375703511540593</v>
      </c>
      <c r="Y93" s="2">
        <f t="shared" si="27"/>
        <v>0.746</v>
      </c>
      <c r="Z93" s="32">
        <v>0.08</v>
      </c>
      <c r="AA93" s="2">
        <f t="shared" si="17"/>
        <v>0.12592592592592591</v>
      </c>
      <c r="AB93" s="2">
        <f t="shared" si="41"/>
        <v>0.87192592592592588</v>
      </c>
      <c r="AH93" s="2">
        <v>0.73099999999999998</v>
      </c>
      <c r="AI93">
        <v>1.4999999999999999E-2</v>
      </c>
      <c r="AK93">
        <v>0.73099999999999998</v>
      </c>
      <c r="AM93">
        <v>2014</v>
      </c>
      <c r="AN93" s="1">
        <f t="shared" si="43"/>
        <v>1.7</v>
      </c>
      <c r="AO93" s="1">
        <f t="shared" si="20"/>
        <v>0.746</v>
      </c>
      <c r="AP93" s="1">
        <f t="shared" si="21"/>
        <v>0.12592592592592591</v>
      </c>
      <c r="AQ93" s="1">
        <f t="shared" si="35"/>
        <v>0.87192592592592588</v>
      </c>
      <c r="AR93" s="22">
        <f t="shared" si="31"/>
        <v>0.82807407407407407</v>
      </c>
      <c r="AT93" s="7">
        <f>CPIs!Z53</f>
        <v>99.3077392578125</v>
      </c>
      <c r="AV93" s="22">
        <f t="shared" si="32"/>
        <v>1.7118504687601794</v>
      </c>
      <c r="AW93" s="22">
        <f t="shared" si="44"/>
        <v>1.7235286738901621</v>
      </c>
      <c r="AX93" s="1">
        <f t="shared" si="45"/>
        <v>0.87800400295320569</v>
      </c>
      <c r="AY93" s="1">
        <f t="shared" si="46"/>
        <v>0.83384646580697375</v>
      </c>
      <c r="AZ93" s="1">
        <f t="shared" si="33"/>
        <v>0.84552467093695638</v>
      </c>
      <c r="BA93" s="3">
        <f t="shared" si="34"/>
        <v>88.99175851955377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I93" s="22">
        <f t="shared" si="12"/>
        <v>1.6979302541889272</v>
      </c>
      <c r="BJ93" s="22">
        <f t="shared" si="13"/>
        <v>1.7095134959303528</v>
      </c>
    </row>
    <row r="94" spans="1:62">
      <c r="A94">
        <v>2015</v>
      </c>
      <c r="B94" s="3">
        <f t="shared" si="42"/>
        <v>138.53094005009169</v>
      </c>
      <c r="C94" s="3">
        <f>CPIs!AB54</f>
        <v>108.69337137051741</v>
      </c>
      <c r="G94" s="2">
        <f>'Exchange Rates'!Z54</f>
        <v>0.96298198218312514</v>
      </c>
      <c r="I94" s="2">
        <v>1.45</v>
      </c>
      <c r="R94" s="42"/>
      <c r="S94" s="2">
        <f>USA!Z102*G94</f>
        <v>47.6836658426176</v>
      </c>
      <c r="Y94" s="2">
        <f t="shared" si="27"/>
        <v>0.75</v>
      </c>
      <c r="Z94" s="32">
        <v>0.08</v>
      </c>
      <c r="AA94" s="2">
        <f t="shared" si="17"/>
        <v>0.1074074074074074</v>
      </c>
      <c r="AB94" s="2">
        <f t="shared" si="41"/>
        <v>0.8574074074074074</v>
      </c>
      <c r="AH94" s="2">
        <v>0.73099999999999998</v>
      </c>
      <c r="AI94">
        <v>1.9E-2</v>
      </c>
      <c r="AK94">
        <v>0.73099999999999998</v>
      </c>
      <c r="AM94">
        <v>2015</v>
      </c>
      <c r="AN94" s="1">
        <f t="shared" si="43"/>
        <v>1.45</v>
      </c>
      <c r="AO94" s="1">
        <f t="shared" si="20"/>
        <v>0.75</v>
      </c>
      <c r="AP94" s="1">
        <f t="shared" si="21"/>
        <v>0.1074074074074074</v>
      </c>
      <c r="AQ94" s="1">
        <f t="shared" si="35"/>
        <v>0.8574074074074074</v>
      </c>
      <c r="AR94" s="22">
        <f t="shared" si="31"/>
        <v>0.59259259259259256</v>
      </c>
      <c r="AT94" s="7">
        <f>CPIs!Z54</f>
        <v>98.171791076660156</v>
      </c>
      <c r="AV94" s="22">
        <f t="shared" si="32"/>
        <v>1.4770026950692254</v>
      </c>
      <c r="AW94" s="22">
        <f t="shared" si="44"/>
        <v>1.4857051598010353</v>
      </c>
      <c r="AX94" s="1">
        <f t="shared" si="45"/>
        <v>0.87337451828486767</v>
      </c>
      <c r="AY94" s="1">
        <f t="shared" si="46"/>
        <v>0.60362817678435776</v>
      </c>
      <c r="AZ94" s="1">
        <f t="shared" si="33"/>
        <v>0.61233064151616756</v>
      </c>
      <c r="BA94" s="3">
        <f t="shared" si="34"/>
        <v>48.57165721401833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I94" s="22">
        <f t="shared" si="12"/>
        <v>1.4649921866674185</v>
      </c>
      <c r="BJ94" s="22">
        <f t="shared" si="13"/>
        <v>1.4736238857695332</v>
      </c>
    </row>
    <row r="95" spans="1:62">
      <c r="A95">
        <v>2016</v>
      </c>
      <c r="B95" s="3">
        <f t="shared" si="42"/>
        <v>128.67304364332841</v>
      </c>
      <c r="C95" s="3">
        <f>CPIs!AB55</f>
        <v>110.08253978538585</v>
      </c>
      <c r="G95" s="2">
        <f>'Exchange Rates'!Z55</f>
        <v>0.98837561232611049</v>
      </c>
      <c r="I95" s="2">
        <v>1.4</v>
      </c>
      <c r="S95" s="2">
        <f>USA!Z103*G95</f>
        <v>40.211040466021736</v>
      </c>
      <c r="Y95" s="2">
        <f t="shared" si="27"/>
        <v>0.75</v>
      </c>
      <c r="Z95" s="32">
        <v>0.08</v>
      </c>
      <c r="AA95" s="2">
        <f t="shared" si="17"/>
        <v>0.10370370370370369</v>
      </c>
      <c r="AB95" s="2">
        <f t="shared" si="41"/>
        <v>0.85370370370370363</v>
      </c>
      <c r="AH95" s="2">
        <v>0.73099999999999998</v>
      </c>
      <c r="AI95">
        <v>1.9E-2</v>
      </c>
      <c r="AK95">
        <v>0.73099999999999998</v>
      </c>
      <c r="AM95">
        <v>2016</v>
      </c>
      <c r="AN95" s="1">
        <f t="shared" si="43"/>
        <v>1.4</v>
      </c>
      <c r="AO95" s="1">
        <f t="shared" si="20"/>
        <v>0.75</v>
      </c>
      <c r="AP95" s="1">
        <f t="shared" si="21"/>
        <v>0.10370370370370369</v>
      </c>
      <c r="AQ95" s="1">
        <f t="shared" si="35"/>
        <v>0.85370370370370363</v>
      </c>
      <c r="AR95" s="22">
        <f t="shared" si="31"/>
        <v>0.54629629629629628</v>
      </c>
      <c r="AT95" s="7">
        <f>CPIs!Z55</f>
        <v>97.745109558105469</v>
      </c>
      <c r="AV95" s="22">
        <f t="shared" si="32"/>
        <v>1.4322967218812694</v>
      </c>
      <c r="AW95" s="22">
        <f t="shared" si="44"/>
        <v>1.4428456967908856</v>
      </c>
      <c r="AX95" s="1">
        <f t="shared" si="45"/>
        <v>0.87339786876622383</v>
      </c>
      <c r="AY95" s="1">
        <f t="shared" si="46"/>
        <v>0.55889885311504561</v>
      </c>
      <c r="AZ95" s="1">
        <f t="shared" si="33"/>
        <v>0.56944782802466165</v>
      </c>
      <c r="BA95" s="3">
        <f t="shared" si="34"/>
        <v>41.138672459227152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I95" s="22">
        <f t="shared" si="12"/>
        <v>1.4206497480000002</v>
      </c>
      <c r="BJ95" s="22">
        <f t="shared" si="13"/>
        <v>1.4311129420561315</v>
      </c>
    </row>
    <row r="96" spans="1:62">
      <c r="A96">
        <v>2017</v>
      </c>
      <c r="B96" s="3">
        <f t="shared" si="42"/>
        <v>135.45132439109236</v>
      </c>
      <c r="C96" s="3">
        <f>CPIs!AB56</f>
        <v>112.42729788281457</v>
      </c>
      <c r="G96" s="2">
        <f>'Exchange Rates'!Z56</f>
        <v>0.98499999999999999</v>
      </c>
      <c r="I96" s="2">
        <v>1.5</v>
      </c>
      <c r="S96" s="2">
        <f>USA!Z104*G96</f>
        <v>51.722349999999999</v>
      </c>
      <c r="Y96" s="2">
        <f t="shared" si="27"/>
        <v>0.75</v>
      </c>
      <c r="Z96" s="32">
        <v>0.08</v>
      </c>
      <c r="AA96" s="2">
        <f t="shared" si="17"/>
        <v>0.1111111111111111</v>
      </c>
      <c r="AB96" s="2">
        <f t="shared" si="41"/>
        <v>0.86111111111111116</v>
      </c>
      <c r="AH96" s="2">
        <v>0.73099999999999998</v>
      </c>
      <c r="AI96">
        <v>1.9E-2</v>
      </c>
      <c r="AK96">
        <v>0.73099999999999998</v>
      </c>
      <c r="AM96">
        <v>2017</v>
      </c>
      <c r="AN96" s="1">
        <f t="shared" si="43"/>
        <v>1.5</v>
      </c>
      <c r="AO96" s="1">
        <f t="shared" si="20"/>
        <v>0.75</v>
      </c>
      <c r="AP96" s="1">
        <f t="shared" si="21"/>
        <v>0.1111111111111111</v>
      </c>
      <c r="AQ96" s="1">
        <f t="shared" si="35"/>
        <v>0.86111111111111116</v>
      </c>
      <c r="AR96" s="22">
        <f t="shared" si="31"/>
        <v>0.63888888888888884</v>
      </c>
      <c r="AT96" s="7">
        <f>CPIs!Z56</f>
        <v>98.263158638763443</v>
      </c>
      <c r="AV96" s="22">
        <f t="shared" si="32"/>
        <v>1.5265131110982533</v>
      </c>
      <c r="AW96" s="22">
        <f t="shared" si="44"/>
        <v>1.5121137397448772</v>
      </c>
      <c r="AX96" s="1">
        <f t="shared" si="45"/>
        <v>0.87633160081566408</v>
      </c>
      <c r="AY96" s="1">
        <f t="shared" si="46"/>
        <v>0.65018151028258919</v>
      </c>
      <c r="AZ96" s="1">
        <f t="shared" si="33"/>
        <v>0.63578213892921309</v>
      </c>
      <c r="BA96" s="3">
        <f t="shared" si="34"/>
        <v>52.636563607875161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I96" s="22">
        <f t="shared" si="12"/>
        <v>1.5140999999999998</v>
      </c>
      <c r="BJ96" s="22">
        <f t="shared" si="13"/>
        <v>1.4998177196791573</v>
      </c>
    </row>
    <row r="97" spans="1:62">
      <c r="A97">
        <v>2018</v>
      </c>
      <c r="G97" s="2">
        <f>'Exchange Rates'!Z57</f>
        <v>0.97299999999999998</v>
      </c>
      <c r="I97" s="2">
        <f>AJ172</f>
        <v>1.6199999999999999</v>
      </c>
      <c r="P97" s="2"/>
      <c r="S97" s="2">
        <f>USA!Z105*G97</f>
        <v>68.308475151515154</v>
      </c>
      <c r="Y97" s="2">
        <f t="shared" si="27"/>
        <v>0.75</v>
      </c>
      <c r="Z97" s="2">
        <v>7.6999999999999999E-2</v>
      </c>
      <c r="AA97" s="2">
        <f t="shared" ref="AA97" si="47">Z97*(I97*(1/(1+Z97)))</f>
        <v>0.1158217270194986</v>
      </c>
      <c r="AB97" s="2">
        <f t="shared" ref="AB97" si="48">Y97+AA97</f>
        <v>0.86582172701949855</v>
      </c>
      <c r="AH97" s="2">
        <v>0.73099999999999998</v>
      </c>
      <c r="AI97">
        <v>1.9E-2</v>
      </c>
      <c r="AK97">
        <v>0.73099999999999998</v>
      </c>
      <c r="AM97">
        <v>2018</v>
      </c>
      <c r="AN97" s="1">
        <f t="shared" si="43"/>
        <v>1.6199999999999999</v>
      </c>
      <c r="AO97" s="1">
        <f t="shared" si="20"/>
        <v>0.75</v>
      </c>
      <c r="AP97" s="1">
        <f t="shared" si="21"/>
        <v>0.1158217270194986</v>
      </c>
      <c r="AQ97" s="1">
        <f t="shared" si="35"/>
        <v>0.86582172701949855</v>
      </c>
      <c r="AR97" s="22">
        <f t="shared" si="31"/>
        <v>0.75417827298050133</v>
      </c>
      <c r="AT97" s="7">
        <f>CPIs!Z57</f>
        <v>99.186832329967814</v>
      </c>
      <c r="AV97" s="22">
        <f t="shared" si="32"/>
        <v>1.6332813156192925</v>
      </c>
      <c r="AW97" s="22">
        <f t="shared" si="44"/>
        <v>1.6023483637309097</v>
      </c>
      <c r="AX97" s="1">
        <f t="shared" si="45"/>
        <v>0.87292003049270028</v>
      </c>
      <c r="AY97" s="1">
        <f t="shared" si="46"/>
        <v>0.76036128512659218</v>
      </c>
      <c r="AZ97" s="1">
        <f t="shared" si="33"/>
        <v>0.72942833323820944</v>
      </c>
      <c r="BA97" s="3">
        <f>S97/AT97*100</f>
        <v>68.868491458897779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I97" s="22">
        <f>AV97*$AT$97/$AT$89</f>
        <v>1.62</v>
      </c>
      <c r="BJ97" s="22">
        <f>AW97*$AT$97/$AT$89</f>
        <v>1.5893185848757603</v>
      </c>
    </row>
    <row r="98" spans="1:62">
      <c r="P98" s="40"/>
      <c r="Q98" s="40"/>
      <c r="AM98">
        <v>2019</v>
      </c>
      <c r="AT98" s="7">
        <f>AT97</f>
        <v>99.186832329967814</v>
      </c>
    </row>
    <row r="99" spans="1:62">
      <c r="P99" s="13" t="s">
        <v>88</v>
      </c>
      <c r="Q99" s="13">
        <v>0.17454540893156384</v>
      </c>
      <c r="AM99">
        <v>2020</v>
      </c>
      <c r="AT99" s="7">
        <f t="shared" ref="AT99:AT109" si="49">AT98</f>
        <v>99.186832329967814</v>
      </c>
    </row>
    <row r="100" spans="1:62">
      <c r="P100" s="13" t="s">
        <v>99</v>
      </c>
      <c r="Q100" s="13">
        <v>7.0466470755885611E-3</v>
      </c>
      <c r="AM100">
        <v>2021</v>
      </c>
      <c r="AT100" s="7">
        <f t="shared" si="49"/>
        <v>99.186832329967814</v>
      </c>
      <c r="AV100" s="13" t="s">
        <v>88</v>
      </c>
      <c r="AW100" s="13">
        <v>0.33210817557615496</v>
      </c>
    </row>
    <row r="101" spans="1:62">
      <c r="P101" s="13" t="s">
        <v>127</v>
      </c>
      <c r="Q101" s="13">
        <v>7.9333358220660441E-2</v>
      </c>
      <c r="AM101">
        <v>2022</v>
      </c>
      <c r="AT101" s="7">
        <f t="shared" si="49"/>
        <v>99.186832329967814</v>
      </c>
      <c r="AV101" s="13" t="s">
        <v>229</v>
      </c>
      <c r="AW101" s="13">
        <v>5.7692589055647293E-3</v>
      </c>
    </row>
    <row r="102" spans="1:62">
      <c r="P102" s="13" t="s">
        <v>136</v>
      </c>
      <c r="Q102" s="13">
        <v>-0.10881726764548375</v>
      </c>
      <c r="AM102">
        <v>2023</v>
      </c>
      <c r="AT102" s="7">
        <f t="shared" si="49"/>
        <v>99.186832329967814</v>
      </c>
      <c r="AV102" s="3" t="s">
        <v>244</v>
      </c>
      <c r="AW102" s="13">
        <v>0.17767962778146615</v>
      </c>
    </row>
    <row r="103" spans="1:62" ht="15.75" thickBot="1">
      <c r="P103" s="14" t="s">
        <v>141</v>
      </c>
      <c r="Q103" s="14">
        <v>0</v>
      </c>
      <c r="AM103">
        <v>2024</v>
      </c>
      <c r="AT103" s="7">
        <f t="shared" si="49"/>
        <v>99.186832329967814</v>
      </c>
      <c r="AV103" s="3" t="s">
        <v>2093</v>
      </c>
      <c r="AW103" s="13">
        <v>-0.32616204688663447</v>
      </c>
    </row>
    <row r="104" spans="1:62">
      <c r="AM104">
        <v>2025</v>
      </c>
      <c r="AT104" s="7">
        <f t="shared" si="49"/>
        <v>99.186832329967814</v>
      </c>
      <c r="AV104" t="s">
        <v>2016</v>
      </c>
      <c r="AW104" s="13">
        <v>8.1174553917264955E-2</v>
      </c>
    </row>
    <row r="105" spans="1:62">
      <c r="AM105">
        <v>2026</v>
      </c>
      <c r="AT105" s="7">
        <f t="shared" si="49"/>
        <v>99.186832329967814</v>
      </c>
      <c r="AV105" t="s">
        <v>2017</v>
      </c>
      <c r="AW105" s="13">
        <v>0.11791386518624351</v>
      </c>
    </row>
    <row r="106" spans="1:62">
      <c r="AM106">
        <v>2027</v>
      </c>
      <c r="AT106" s="7">
        <f t="shared" si="49"/>
        <v>99.186832329967814</v>
      </c>
      <c r="AV106" t="s">
        <v>2018</v>
      </c>
      <c r="AW106" s="13">
        <v>-8.6481170402733426E-2</v>
      </c>
    </row>
    <row r="107" spans="1:62" ht="15.75" thickBot="1">
      <c r="AM107">
        <v>2028</v>
      </c>
      <c r="AT107" s="7">
        <f t="shared" si="49"/>
        <v>99.186832329967814</v>
      </c>
      <c r="AV107" t="s">
        <v>2167</v>
      </c>
      <c r="AW107" s="14">
        <v>-5.4045907224371553E-2</v>
      </c>
    </row>
    <row r="108" spans="1:62">
      <c r="AM108">
        <v>2029</v>
      </c>
      <c r="AT108" s="7">
        <f t="shared" si="49"/>
        <v>99.186832329967814</v>
      </c>
    </row>
    <row r="109" spans="1:62">
      <c r="AM109">
        <v>2030</v>
      </c>
      <c r="AT109" s="7">
        <f t="shared" si="49"/>
        <v>99.186832329967814</v>
      </c>
    </row>
    <row r="111" spans="1:62">
      <c r="R111" s="155" t="str">
        <f t="shared" ref="R111:S117" si="50">AV100</f>
        <v>Intercept</v>
      </c>
      <c r="S111" s="13">
        <f t="shared" si="50"/>
        <v>0.33210817557615496</v>
      </c>
    </row>
    <row r="112" spans="1:62">
      <c r="R112" s="155" t="str">
        <f t="shared" si="50"/>
        <v>landed oil price</v>
      </c>
      <c r="S112" s="13">
        <f t="shared" si="50"/>
        <v>5.7692589055647293E-3</v>
      </c>
    </row>
    <row r="113" spans="1:65">
      <c r="R113" s="13" t="str">
        <f t="shared" si="50"/>
        <v>dum6567</v>
      </c>
      <c r="S113" s="13">
        <f t="shared" si="50"/>
        <v>0.17767962778146615</v>
      </c>
    </row>
    <row r="114" spans="1:65">
      <c r="R114" s="13" t="str">
        <f t="shared" si="50"/>
        <v>dum9003</v>
      </c>
      <c r="S114" s="13">
        <f t="shared" si="50"/>
        <v>-0.32616204688663447</v>
      </c>
    </row>
    <row r="115" spans="1:65">
      <c r="R115" s="13" t="str">
        <f t="shared" si="50"/>
        <v>dum6503</v>
      </c>
      <c r="S115" s="13">
        <f t="shared" si="50"/>
        <v>8.1174553917264955E-2</v>
      </c>
    </row>
    <row r="116" spans="1:65">
      <c r="R116" s="13" t="str">
        <f t="shared" si="50"/>
        <v>dum74</v>
      </c>
      <c r="S116" s="13">
        <f t="shared" si="50"/>
        <v>0.11791386518624351</v>
      </c>
    </row>
    <row r="117" spans="1:65">
      <c r="R117" s="13" t="str">
        <f t="shared" si="50"/>
        <v>dum 6971</v>
      </c>
      <c r="S117" s="13">
        <f t="shared" si="50"/>
        <v>-8.6481170402733426E-2</v>
      </c>
    </row>
    <row r="118" spans="1:65">
      <c r="O118" s="2"/>
      <c r="P118" s="37"/>
      <c r="R118" s="155" t="str">
        <f>AV107</f>
        <v>dumGFC</v>
      </c>
      <c r="S118" s="13">
        <f>AW107</f>
        <v>-5.4045907224371553E-2</v>
      </c>
      <c r="W118" s="2"/>
      <c r="X118" s="37"/>
      <c r="AI118" s="2"/>
      <c r="AN118"/>
      <c r="AO118"/>
      <c r="AR118" s="2"/>
      <c r="AS118" s="2"/>
      <c r="AT118" s="32"/>
      <c r="AV118" s="12"/>
      <c r="AW118" s="12"/>
      <c r="AX118" s="7"/>
      <c r="AY118" s="7"/>
      <c r="AZ118" s="3"/>
      <c r="BA118"/>
      <c r="BC118" s="9"/>
    </row>
    <row r="119" spans="1:65">
      <c r="O119" s="2"/>
      <c r="P119" s="37"/>
      <c r="R119" s="32"/>
      <c r="S119" s="37"/>
      <c r="W119" s="2"/>
      <c r="X119" s="37"/>
      <c r="Y119" s="37"/>
      <c r="Z119" s="37"/>
      <c r="AA119" s="37"/>
      <c r="AB119" s="37"/>
      <c r="AC119" s="37"/>
      <c r="AD119" s="37"/>
      <c r="AE119" s="37"/>
      <c r="AF119" s="37"/>
      <c r="AI119" s="2"/>
      <c r="AJ119" t="s">
        <v>1960</v>
      </c>
      <c r="AK119" t="s">
        <v>1960</v>
      </c>
      <c r="AL119" t="s">
        <v>1960</v>
      </c>
      <c r="AR119" s="2"/>
      <c r="AS119" s="2"/>
      <c r="AT119" s="32"/>
      <c r="AV119" s="12"/>
      <c r="AW119" s="12"/>
      <c r="AX119" s="12"/>
      <c r="AY119" s="12"/>
      <c r="AZ119" s="3"/>
      <c r="BA119"/>
      <c r="BC119" s="9"/>
      <c r="BF119" s="3"/>
      <c r="BG119" s="3"/>
      <c r="BH119" s="3"/>
      <c r="BM119" s="9"/>
    </row>
    <row r="120" spans="1:65">
      <c r="B120" s="76" t="s">
        <v>2551</v>
      </c>
      <c r="C120" s="76"/>
      <c r="D120" s="76"/>
      <c r="E120" s="76"/>
      <c r="F120" s="26" t="s">
        <v>269</v>
      </c>
      <c r="G120" s="76" t="s">
        <v>2587</v>
      </c>
      <c r="H120" s="76"/>
      <c r="I120" s="76"/>
      <c r="J120" s="76"/>
      <c r="K120" s="26" t="s">
        <v>2619</v>
      </c>
      <c r="L120" s="26"/>
      <c r="M120" s="26"/>
      <c r="N120" s="26"/>
      <c r="O120" s="2"/>
      <c r="P120" s="77" t="s">
        <v>111</v>
      </c>
      <c r="Q120" s="26" t="s">
        <v>2620</v>
      </c>
      <c r="R120" s="26"/>
      <c r="S120" s="26"/>
      <c r="T120" s="81">
        <v>7.6999999999999999E-2</v>
      </c>
      <c r="U120" s="76" t="s">
        <v>2621</v>
      </c>
      <c r="V120" s="76"/>
      <c r="W120" s="76"/>
      <c r="X120" s="76"/>
      <c r="Y120" s="26" t="s">
        <v>2588</v>
      </c>
      <c r="Z120" s="26"/>
      <c r="AA120" s="26"/>
      <c r="AB120" s="79"/>
      <c r="AC120" s="26" t="s">
        <v>2589</v>
      </c>
      <c r="AD120" s="26"/>
      <c r="AE120" s="26"/>
      <c r="AF120" s="79"/>
      <c r="AI120" s="2"/>
      <c r="AJ120" s="3" t="s">
        <v>1957</v>
      </c>
      <c r="AK120" s="3" t="s">
        <v>1957</v>
      </c>
      <c r="AL120" s="3" t="s">
        <v>1957</v>
      </c>
      <c r="AR120" s="2"/>
      <c r="AS120" s="2"/>
      <c r="AT120" s="32"/>
      <c r="AV120" s="12"/>
      <c r="AW120" s="32"/>
      <c r="AX120" s="32"/>
      <c r="AY120" s="32"/>
      <c r="AZ120" s="3"/>
      <c r="BA120"/>
      <c r="BC120" s="9"/>
      <c r="BH120" s="9"/>
    </row>
    <row r="121" spans="1:65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2"/>
      <c r="P121" s="77" t="s">
        <v>2573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I121" s="2"/>
      <c r="AJ121" s="3" t="s">
        <v>268</v>
      </c>
      <c r="AK121" s="3" t="s">
        <v>267</v>
      </c>
      <c r="AL121" s="3" t="s">
        <v>266</v>
      </c>
      <c r="AR121" s="2"/>
      <c r="AS121" s="2"/>
      <c r="AT121" s="32"/>
      <c r="AV121" s="12"/>
      <c r="AW121" s="32"/>
      <c r="AX121" s="32"/>
      <c r="AY121" s="32"/>
      <c r="AZ121" s="3"/>
      <c r="BA121"/>
      <c r="BC121" s="9"/>
      <c r="BH121" s="9"/>
    </row>
    <row r="122" spans="1:65">
      <c r="A122">
        <v>2010</v>
      </c>
      <c r="B122" s="3">
        <f>USA!Z97/USA!AU97*100</f>
        <v>77.45</v>
      </c>
      <c r="C122" s="3">
        <f>USA!Z97/USA!AU97*100</f>
        <v>77.45</v>
      </c>
      <c r="D122" s="3">
        <f>AVERAGE(C122,E122)</f>
        <v>77.45</v>
      </c>
      <c r="E122" s="3">
        <f>USA!Z97/USA!AU97*100</f>
        <v>77.45</v>
      </c>
      <c r="F122" s="6">
        <f>'Exchange Rates'!Z49</f>
        <v>1.0380911833177828</v>
      </c>
      <c r="G122" s="3">
        <f>(B122*USA!$AU97/100)/$AT89*100*$F122</f>
        <v>80.400162147962277</v>
      </c>
      <c r="H122" s="3">
        <f>(C122*USA!$AU97/100)/$AT89*100*$F122</f>
        <v>80.400162147962277</v>
      </c>
      <c r="I122" s="3">
        <f>(D122*USA!$AU97/100)/$AT89*100*$F122</f>
        <v>80.400162147962277</v>
      </c>
      <c r="J122" s="3">
        <f>(E122*USA!$AU97/100)/$AT89*100*$F122</f>
        <v>80.400162147962277</v>
      </c>
      <c r="K122" s="6">
        <f t="shared" ref="K122:K130" si="51">$S$111+$S$112*G122+$S$118*$BG89</f>
        <v>0.76352998272251171</v>
      </c>
      <c r="L122" s="6">
        <f t="shared" ref="L122:L130" si="52">$S$111+$S$112*H122+$S$118*$BG89</f>
        <v>0.76352998272251171</v>
      </c>
      <c r="M122" s="6">
        <f t="shared" ref="M122:M130" si="53">$S$111+$S$112*I122+$S$118*$BG89</f>
        <v>0.76352998272251171</v>
      </c>
      <c r="N122" s="6">
        <f t="shared" ref="N122:N130" si="54">$S$111+$S$112*J122+$S$118*$BG89</f>
        <v>0.76352998272251171</v>
      </c>
      <c r="O122">
        <v>2010</v>
      </c>
      <c r="P122" s="24">
        <f t="shared" ref="P122:P130" si="55">Y89/AT89*100</f>
        <v>0.746</v>
      </c>
      <c r="Q122" s="3">
        <f t="shared" ref="Q122:T130" si="56">(K122+$P122)*$Z89</f>
        <v>0.11472427868691089</v>
      </c>
      <c r="R122" s="3">
        <f t="shared" si="56"/>
        <v>0.11472427868691089</v>
      </c>
      <c r="S122" s="3">
        <f t="shared" si="56"/>
        <v>0.11472427868691089</v>
      </c>
      <c r="T122" s="3">
        <f t="shared" si="56"/>
        <v>0.11472427868691089</v>
      </c>
      <c r="U122" s="3">
        <f t="shared" ref="U122:U130" si="57">AV89</f>
        <v>1.637</v>
      </c>
      <c r="V122" s="3">
        <f t="shared" ref="V122:V142" si="58">L122+$P122+R122</f>
        <v>1.6242542614094226</v>
      </c>
      <c r="W122" s="3">
        <f t="shared" ref="W122:W142" si="59">M122+$P122+S122</f>
        <v>1.6242542614094226</v>
      </c>
      <c r="X122" s="3">
        <f t="shared" ref="X122:X142" si="60">N122+$P122+T122</f>
        <v>1.6242542614094226</v>
      </c>
      <c r="Y122" s="3">
        <f t="shared" ref="Y122:Y130" si="61">AV89*$AT$97/100</f>
        <v>1.6236884452415732</v>
      </c>
      <c r="Z122" s="3">
        <f>V122*$AT$97/100</f>
        <v>1.6110463508765214</v>
      </c>
      <c r="AA122" s="3">
        <f>W122*$AT$97/100</f>
        <v>1.6110463508765214</v>
      </c>
      <c r="AB122" s="3">
        <f>X122*$AT$97/100</f>
        <v>1.6110463508765214</v>
      </c>
      <c r="AC122" s="3">
        <f>U122*$AT$96/100</f>
        <v>1.6085679069165577</v>
      </c>
      <c r="AD122" s="3">
        <f>AC122</f>
        <v>1.6085679069165577</v>
      </c>
      <c r="AE122" s="3">
        <f t="shared" ref="AE122:AF122" si="62">AD122</f>
        <v>1.6085679069165577</v>
      </c>
      <c r="AF122" s="3">
        <f t="shared" si="62"/>
        <v>1.6085679069165577</v>
      </c>
      <c r="AI122" s="2"/>
      <c r="AJ122" s="3"/>
      <c r="AK122" s="3"/>
      <c r="AL122" s="3"/>
      <c r="AR122" s="2"/>
      <c r="AS122" s="2"/>
      <c r="AT122" s="32"/>
      <c r="AV122" s="12"/>
      <c r="AW122" s="32"/>
      <c r="AX122" s="32"/>
      <c r="AY122" s="32"/>
      <c r="AZ122" s="3"/>
      <c r="BA122"/>
      <c r="BC122" s="9"/>
      <c r="BH122" s="9"/>
    </row>
    <row r="123" spans="1:65">
      <c r="A123">
        <v>2011</v>
      </c>
      <c r="B123" s="3">
        <f>USA!Z98/USA!AU98*100</f>
        <v>104.18614906980585</v>
      </c>
      <c r="C123" s="3">
        <f>USA!Z98/USA!AU98*100</f>
        <v>104.18614906980585</v>
      </c>
      <c r="D123" s="3">
        <f>AVERAGE(C123,E123)</f>
        <v>104.18614906980585</v>
      </c>
      <c r="E123" s="3">
        <f>USA!Z98/USA!AU98*100</f>
        <v>104.18614906980585</v>
      </c>
      <c r="F123" s="6">
        <f>'Exchange Rates'!Z50</f>
        <v>0.88139108431226521</v>
      </c>
      <c r="G123" s="3">
        <f>(B123*USA!$AU98/100)/$AT90*100*$F123</f>
        <v>94.486894652422663</v>
      </c>
      <c r="H123" s="3">
        <f>(C123*USA!$AU98/100)/$AT90*100*$F123</f>
        <v>94.486894652422663</v>
      </c>
      <c r="I123" s="3">
        <f>(D123*USA!$AU98/100)/$AT90*100*$F123</f>
        <v>94.486894652422663</v>
      </c>
      <c r="J123" s="3">
        <f>(E123*USA!$AU98/100)/$AT90*100*$F123</f>
        <v>94.486894652422663</v>
      </c>
      <c r="K123" s="6">
        <f t="shared" si="51"/>
        <v>0.8447999896741778</v>
      </c>
      <c r="L123" s="6">
        <f t="shared" si="52"/>
        <v>0.8447999896741778</v>
      </c>
      <c r="M123" s="6">
        <f t="shared" si="53"/>
        <v>0.8447999896741778</v>
      </c>
      <c r="N123" s="6">
        <f t="shared" si="54"/>
        <v>0.8447999896741778</v>
      </c>
      <c r="O123">
        <v>2011</v>
      </c>
      <c r="P123" s="24">
        <f t="shared" si="55"/>
        <v>0.74427825462657682</v>
      </c>
      <c r="Q123" s="3">
        <f t="shared" si="56"/>
        <v>0.12712625954406037</v>
      </c>
      <c r="R123" s="3">
        <f t="shared" si="56"/>
        <v>0.12712625954406037</v>
      </c>
      <c r="S123" s="3">
        <f t="shared" si="56"/>
        <v>0.12712625954406037</v>
      </c>
      <c r="T123" s="3">
        <f t="shared" si="56"/>
        <v>0.12712625954406037</v>
      </c>
      <c r="U123" s="3">
        <f t="shared" si="57"/>
        <v>1.7160302921685147</v>
      </c>
      <c r="V123" s="3">
        <f t="shared" si="58"/>
        <v>1.7162045038448148</v>
      </c>
      <c r="W123" s="3">
        <f t="shared" si="59"/>
        <v>1.7162045038448148</v>
      </c>
      <c r="X123" s="3">
        <f t="shared" si="60"/>
        <v>1.7162045038448148</v>
      </c>
      <c r="Y123" s="3">
        <f t="shared" si="61"/>
        <v>1.7020760886246415</v>
      </c>
      <c r="Z123" s="3">
        <f t="shared" ref="Z123:Z142" si="63">V123*$AT$97/100</f>
        <v>1.7022488836679124</v>
      </c>
      <c r="AA123" s="3">
        <f t="shared" ref="AA123:AA142" si="64">W123*$AT$97/100</f>
        <v>1.7022488836679124</v>
      </c>
      <c r="AB123" s="3">
        <f t="shared" ref="AB123:AB142" si="65">X123*$AT$97/100</f>
        <v>1.7022488836679124</v>
      </c>
      <c r="AC123" s="3">
        <f t="shared" ref="AC123:AC130" si="66">U123*$AT$96/100</f>
        <v>1.6862255682827834</v>
      </c>
      <c r="AD123" s="3">
        <f t="shared" ref="AD123:AF123" si="67">AC123</f>
        <v>1.6862255682827834</v>
      </c>
      <c r="AE123" s="3">
        <f t="shared" si="67"/>
        <v>1.6862255682827834</v>
      </c>
      <c r="AF123" s="3">
        <f t="shared" si="67"/>
        <v>1.6862255682827834</v>
      </c>
      <c r="AI123" s="2"/>
      <c r="AJ123" s="3"/>
      <c r="AK123" s="3"/>
      <c r="AL123" s="3"/>
      <c r="AR123" s="2"/>
      <c r="AS123" s="2"/>
      <c r="AT123" s="32"/>
      <c r="AV123" s="12"/>
      <c r="AW123" s="32"/>
      <c r="AX123" s="32"/>
      <c r="AY123" s="32"/>
      <c r="AZ123" s="3"/>
      <c r="BA123"/>
      <c r="BC123" s="9"/>
      <c r="BH123" s="9"/>
    </row>
    <row r="124" spans="1:65">
      <c r="A124">
        <v>2012</v>
      </c>
      <c r="B124" s="3">
        <f>USA!Z99/USA!AU99*100</f>
        <v>104.07290773565181</v>
      </c>
      <c r="C124" s="3">
        <f>USA!Z99/USA!AU99*100</f>
        <v>104.07290773565181</v>
      </c>
      <c r="D124" s="3">
        <f t="shared" ref="D124:D129" si="68">AVERAGE(C124,E124)</f>
        <v>104.07290773565181</v>
      </c>
      <c r="E124" s="3">
        <f>USA!Z99/USA!AU99*100</f>
        <v>104.07290773565181</v>
      </c>
      <c r="F124" s="6">
        <f>'Exchange Rates'!Z51</f>
        <v>0.93197818939940669</v>
      </c>
      <c r="G124" s="3">
        <f>(B124*USA!$AU99/100)/$AT91*100*$F124</f>
        <v>102.52222369636682</v>
      </c>
      <c r="H124" s="3">
        <f>(C124*USA!$AU99/100)/$AT91*100*$F124</f>
        <v>102.52222369636682</v>
      </c>
      <c r="I124" s="3">
        <f>(D124*USA!$AU99/100)/$AT91*100*$F124</f>
        <v>102.52222369636682</v>
      </c>
      <c r="J124" s="3">
        <f>(E124*USA!$AU99/100)/$AT91*100*$F124</f>
        <v>102.52222369636682</v>
      </c>
      <c r="K124" s="6">
        <f t="shared" si="51"/>
        <v>0.89115788332009571</v>
      </c>
      <c r="L124" s="6">
        <f t="shared" si="52"/>
        <v>0.89115788332009571</v>
      </c>
      <c r="M124" s="6">
        <f t="shared" si="53"/>
        <v>0.89115788332009571</v>
      </c>
      <c r="N124" s="6">
        <f t="shared" si="54"/>
        <v>0.89115788332009571</v>
      </c>
      <c r="O124">
        <v>2012</v>
      </c>
      <c r="P124" s="24">
        <f t="shared" si="55"/>
        <v>0.74946853341958863</v>
      </c>
      <c r="Q124" s="3">
        <f t="shared" si="56"/>
        <v>0.13125011333917475</v>
      </c>
      <c r="R124" s="3">
        <f t="shared" si="56"/>
        <v>0.13125011333917475</v>
      </c>
      <c r="S124" s="3">
        <f t="shared" si="56"/>
        <v>0.13125011333917475</v>
      </c>
      <c r="T124" s="3">
        <f t="shared" si="56"/>
        <v>0.13125011333917475</v>
      </c>
      <c r="U124" s="3">
        <f t="shared" si="57"/>
        <v>1.76818313514541</v>
      </c>
      <c r="V124" s="3">
        <f t="shared" si="58"/>
        <v>1.771876530078859</v>
      </c>
      <c r="W124" s="3">
        <f t="shared" si="59"/>
        <v>1.771876530078859</v>
      </c>
      <c r="X124" s="3">
        <f t="shared" si="60"/>
        <v>1.771876530078859</v>
      </c>
      <c r="Y124" s="3">
        <f t="shared" si="61"/>
        <v>1.753804841543446</v>
      </c>
      <c r="Z124" s="3">
        <f t="shared" si="63"/>
        <v>1.7574682029833695</v>
      </c>
      <c r="AA124" s="3">
        <f t="shared" si="64"/>
        <v>1.7574682029833695</v>
      </c>
      <c r="AB124" s="3">
        <f t="shared" si="65"/>
        <v>1.7574682029833695</v>
      </c>
      <c r="AC124" s="3">
        <f t="shared" si="66"/>
        <v>1.7374725991117952</v>
      </c>
      <c r="AD124" s="3">
        <f t="shared" ref="AD124:AF124" si="69">AC124</f>
        <v>1.7374725991117952</v>
      </c>
      <c r="AE124" s="3">
        <f t="shared" si="69"/>
        <v>1.7374725991117952</v>
      </c>
      <c r="AF124" s="3">
        <f t="shared" si="69"/>
        <v>1.7374725991117952</v>
      </c>
      <c r="AI124" s="2"/>
      <c r="AJ124" s="3"/>
      <c r="AK124" s="3"/>
      <c r="AL124" s="3"/>
      <c r="AR124" s="2"/>
      <c r="AS124" s="2"/>
      <c r="AT124" s="32"/>
      <c r="AV124" s="12"/>
      <c r="AW124" s="32"/>
      <c r="AX124" s="32"/>
      <c r="AY124" s="32"/>
      <c r="AZ124" s="3"/>
      <c r="BA124"/>
      <c r="BC124" s="9"/>
      <c r="BH124" s="9"/>
    </row>
    <row r="125" spans="1:65">
      <c r="A125">
        <v>2013</v>
      </c>
      <c r="B125" s="3">
        <f>USA!Z100/USA!AU100*100</f>
        <v>99.286371359470479</v>
      </c>
      <c r="C125" s="3">
        <f>USA!Z100/USA!AU100*100</f>
        <v>99.286371359470479</v>
      </c>
      <c r="D125" s="3">
        <f t="shared" si="68"/>
        <v>99.286371359470479</v>
      </c>
      <c r="E125" s="3">
        <f>USA!Z100/USA!AU100*100</f>
        <v>99.286371359470479</v>
      </c>
      <c r="F125" s="6">
        <f>'Exchange Rates'!Z52</f>
        <v>0.92443904344429506</v>
      </c>
      <c r="G125" s="3">
        <f>(B125*USA!$AU100/100)/$AT92*100*$F125</f>
        <v>98.601221593377574</v>
      </c>
      <c r="H125" s="3">
        <f>(C125*USA!$AU100/100)/$AT92*100*$F125</f>
        <v>98.601221593377574</v>
      </c>
      <c r="I125" s="3">
        <f>(D125*USA!$AU100/100)/$AT92*100*$F125</f>
        <v>98.601221593377574</v>
      </c>
      <c r="J125" s="3">
        <f>(E125*USA!$AU100/100)/$AT92*100*$F125</f>
        <v>98.601221593377574</v>
      </c>
      <c r="K125" s="6">
        <f t="shared" si="51"/>
        <v>0.90096415135330976</v>
      </c>
      <c r="L125" s="6">
        <f t="shared" si="52"/>
        <v>0.90096415135330976</v>
      </c>
      <c r="M125" s="6">
        <f t="shared" si="53"/>
        <v>0.90096415135330976</v>
      </c>
      <c r="N125" s="6">
        <f t="shared" si="54"/>
        <v>0.90096415135330976</v>
      </c>
      <c r="O125">
        <v>2013</v>
      </c>
      <c r="P125" s="24">
        <f t="shared" si="55"/>
        <v>0.75110084069310112</v>
      </c>
      <c r="Q125" s="3">
        <f t="shared" si="56"/>
        <v>0.13216519936371288</v>
      </c>
      <c r="R125" s="3">
        <f t="shared" si="56"/>
        <v>0.13216519936371288</v>
      </c>
      <c r="S125" s="3">
        <f t="shared" si="56"/>
        <v>0.13216519936371288</v>
      </c>
      <c r="T125" s="3">
        <f t="shared" si="56"/>
        <v>0.13216519936371288</v>
      </c>
      <c r="U125" s="3">
        <f t="shared" si="57"/>
        <v>1.7619657791058001</v>
      </c>
      <c r="V125" s="3">
        <f t="shared" si="58"/>
        <v>1.784230191410124</v>
      </c>
      <c r="W125" s="3">
        <f t="shared" si="59"/>
        <v>1.784230191410124</v>
      </c>
      <c r="X125" s="3">
        <f t="shared" si="60"/>
        <v>1.784230191410124</v>
      </c>
      <c r="Y125" s="3">
        <f t="shared" si="61"/>
        <v>1.7476380430330809</v>
      </c>
      <c r="Z125" s="3">
        <f t="shared" si="63"/>
        <v>1.7697214083346233</v>
      </c>
      <c r="AA125" s="3">
        <f t="shared" si="64"/>
        <v>1.7697214083346233</v>
      </c>
      <c r="AB125" s="3">
        <f t="shared" si="65"/>
        <v>1.7697214083346233</v>
      </c>
      <c r="AC125" s="3">
        <f t="shared" si="66"/>
        <v>1.7313632286834568</v>
      </c>
      <c r="AD125" s="3">
        <f t="shared" ref="AD125:AF125" si="70">AC125</f>
        <v>1.7313632286834568</v>
      </c>
      <c r="AE125" s="3">
        <f t="shared" si="70"/>
        <v>1.7313632286834568</v>
      </c>
      <c r="AF125" s="3">
        <f t="shared" si="70"/>
        <v>1.7313632286834568</v>
      </c>
      <c r="AI125" s="2"/>
      <c r="AJ125" s="3"/>
      <c r="AK125" s="3"/>
      <c r="AL125" s="3"/>
      <c r="AR125" s="2"/>
      <c r="AS125" s="2"/>
      <c r="AT125" s="32"/>
      <c r="AV125" s="12"/>
      <c r="AW125" s="32"/>
      <c r="AX125" s="32"/>
      <c r="AY125" s="32"/>
      <c r="AZ125" s="3"/>
      <c r="BA125"/>
      <c r="BC125" s="9"/>
      <c r="BH125" s="9"/>
    </row>
    <row r="126" spans="1:65">
      <c r="A126">
        <v>2014</v>
      </c>
      <c r="B126" s="3">
        <f>USA!Z101/USA!AU101*100</f>
        <v>88.687750298592292</v>
      </c>
      <c r="C126" s="3">
        <f>USA!Z101/USA!AU101*100</f>
        <v>88.687750298592292</v>
      </c>
      <c r="D126" s="3">
        <f t="shared" si="68"/>
        <v>88.687750298592292</v>
      </c>
      <c r="E126" s="3">
        <f>USA!Z101/USA!AU101*100</f>
        <v>88.687750298592292</v>
      </c>
      <c r="F126" s="6">
        <f>'Exchange Rates'!Z53</f>
        <v>0.91877085650723023</v>
      </c>
      <c r="G126" s="3">
        <f>(B126*USA!$AU101/100)/$AT93*100*$F126</f>
        <v>88.99175851955377</v>
      </c>
      <c r="H126" s="3">
        <f>(C126*USA!$AU101/100)/$AT93*100*$F126</f>
        <v>88.99175851955377</v>
      </c>
      <c r="I126" s="3">
        <f>(D126*USA!$AU101/100)/$AT93*100*$F126</f>
        <v>88.99175851955377</v>
      </c>
      <c r="J126" s="3">
        <f>(E126*USA!$AU101/100)/$AT93*100*$F126</f>
        <v>88.99175851955377</v>
      </c>
      <c r="K126" s="6">
        <f t="shared" si="51"/>
        <v>0.84552467093695638</v>
      </c>
      <c r="L126" s="6">
        <f t="shared" si="52"/>
        <v>0.84552467093695638</v>
      </c>
      <c r="M126" s="6">
        <f t="shared" si="53"/>
        <v>0.84552467093695638</v>
      </c>
      <c r="N126" s="6">
        <f t="shared" si="54"/>
        <v>0.84552467093695638</v>
      </c>
      <c r="O126">
        <v>2014</v>
      </c>
      <c r="P126" s="24">
        <f t="shared" si="55"/>
        <v>0.75120026452652577</v>
      </c>
      <c r="Q126" s="3">
        <f t="shared" si="56"/>
        <v>0.12773799483707859</v>
      </c>
      <c r="R126" s="3">
        <f t="shared" si="56"/>
        <v>0.12773799483707859</v>
      </c>
      <c r="S126" s="3">
        <f t="shared" si="56"/>
        <v>0.12773799483707859</v>
      </c>
      <c r="T126" s="3">
        <f t="shared" si="56"/>
        <v>0.12773799483707859</v>
      </c>
      <c r="U126" s="3">
        <f t="shared" si="57"/>
        <v>1.7118504687601794</v>
      </c>
      <c r="V126" s="3">
        <f t="shared" si="58"/>
        <v>1.724462930300561</v>
      </c>
      <c r="W126" s="3">
        <f t="shared" si="59"/>
        <v>1.724462930300561</v>
      </c>
      <c r="X126" s="3">
        <f t="shared" si="60"/>
        <v>1.724462930300561</v>
      </c>
      <c r="Y126" s="3">
        <f t="shared" si="61"/>
        <v>1.6979302541889272</v>
      </c>
      <c r="Z126" s="3">
        <f t="shared" si="63"/>
        <v>1.7104401552696671</v>
      </c>
      <c r="AA126" s="3">
        <f t="shared" si="64"/>
        <v>1.7104401552696671</v>
      </c>
      <c r="AB126" s="3">
        <f t="shared" si="65"/>
        <v>1.7104401552696671</v>
      </c>
      <c r="AC126" s="3">
        <f t="shared" si="66"/>
        <v>1.6821183417762307</v>
      </c>
      <c r="AD126" s="3">
        <f t="shared" ref="AD126:AF126" si="71">AC126</f>
        <v>1.6821183417762307</v>
      </c>
      <c r="AE126" s="3">
        <f t="shared" si="71"/>
        <v>1.6821183417762307</v>
      </c>
      <c r="AF126" s="3">
        <f t="shared" si="71"/>
        <v>1.6821183417762307</v>
      </c>
      <c r="AI126" s="2"/>
      <c r="AJ126" s="3"/>
      <c r="AK126" s="3"/>
      <c r="AL126" s="3"/>
      <c r="AR126" s="2"/>
      <c r="AS126" s="2"/>
      <c r="AT126" s="32"/>
      <c r="AV126" s="12"/>
      <c r="AW126" s="32"/>
      <c r="AX126" s="32"/>
      <c r="AY126" s="32"/>
      <c r="AZ126" s="3"/>
      <c r="BA126"/>
      <c r="BC126" s="9"/>
      <c r="BH126" s="9"/>
    </row>
    <row r="127" spans="1:65">
      <c r="A127">
        <v>2015</v>
      </c>
      <c r="B127" s="3">
        <f>USA!Z102/USA!AU102*100</f>
        <v>45.556296925601828</v>
      </c>
      <c r="C127" s="3">
        <f>USA!Z102/USA!AU102*100</f>
        <v>45.556296925601828</v>
      </c>
      <c r="D127" s="3">
        <f t="shared" si="68"/>
        <v>45.556296925601828</v>
      </c>
      <c r="E127" s="3">
        <f>USA!Z102/USA!AU102*100</f>
        <v>45.556296925601828</v>
      </c>
      <c r="F127" s="6">
        <f>'Exchange Rates'!Z54</f>
        <v>0.96298198218312514</v>
      </c>
      <c r="G127" s="3">
        <f>(B127*USA!$AU102/100)/$AT94*100*$F127</f>
        <v>48.571657214018323</v>
      </c>
      <c r="H127" s="3">
        <f>(C127*USA!$AU102/100)/$AT94*100*$F127</f>
        <v>48.571657214018323</v>
      </c>
      <c r="I127" s="3">
        <f>(D127*USA!$AU102/100)/$AT94*100*$F127</f>
        <v>48.571657214018323</v>
      </c>
      <c r="J127" s="3">
        <f>(E127*USA!$AU102/100)/$AT94*100*$F127</f>
        <v>48.571657214018323</v>
      </c>
      <c r="K127" s="6">
        <f t="shared" si="51"/>
        <v>0.61233064151616756</v>
      </c>
      <c r="L127" s="6">
        <f t="shared" si="52"/>
        <v>0.61233064151616756</v>
      </c>
      <c r="M127" s="6">
        <f t="shared" si="53"/>
        <v>0.61233064151616756</v>
      </c>
      <c r="N127" s="6">
        <f t="shared" si="54"/>
        <v>0.61233064151616756</v>
      </c>
      <c r="O127">
        <v>2015</v>
      </c>
      <c r="P127" s="24">
        <f t="shared" si="55"/>
        <v>0.76396691124270288</v>
      </c>
      <c r="Q127" s="3">
        <f t="shared" si="56"/>
        <v>0.11010380422070963</v>
      </c>
      <c r="R127" s="3">
        <f t="shared" si="56"/>
        <v>0.11010380422070963</v>
      </c>
      <c r="S127" s="3">
        <f t="shared" si="56"/>
        <v>0.11010380422070963</v>
      </c>
      <c r="T127" s="3">
        <f t="shared" si="56"/>
        <v>0.11010380422070963</v>
      </c>
      <c r="U127" s="3">
        <f t="shared" si="57"/>
        <v>1.4770026950692254</v>
      </c>
      <c r="V127" s="3">
        <f t="shared" si="58"/>
        <v>1.48640135697958</v>
      </c>
      <c r="W127" s="3">
        <f t="shared" si="59"/>
        <v>1.48640135697958</v>
      </c>
      <c r="X127" s="3">
        <f t="shared" si="60"/>
        <v>1.48640135697958</v>
      </c>
      <c r="Y127" s="3">
        <f t="shared" si="61"/>
        <v>1.4649921866674185</v>
      </c>
      <c r="Z127" s="3">
        <f t="shared" si="63"/>
        <v>1.4743144216977024</v>
      </c>
      <c r="AA127" s="3">
        <f t="shared" si="64"/>
        <v>1.4743144216977024</v>
      </c>
      <c r="AB127" s="3">
        <f t="shared" si="65"/>
        <v>1.4743144216977024</v>
      </c>
      <c r="AC127" s="3">
        <f t="shared" si="66"/>
        <v>1.4513495013546844</v>
      </c>
      <c r="AD127" s="3">
        <f t="shared" ref="AD127:AF127" si="72">AC127</f>
        <v>1.4513495013546844</v>
      </c>
      <c r="AE127" s="3">
        <f t="shared" si="72"/>
        <v>1.4513495013546844</v>
      </c>
      <c r="AF127" s="3">
        <f t="shared" si="72"/>
        <v>1.4513495013546844</v>
      </c>
      <c r="AI127" s="2"/>
      <c r="AJ127" s="3" t="s">
        <v>268</v>
      </c>
      <c r="AK127" s="3" t="s">
        <v>267</v>
      </c>
      <c r="AL127" s="3" t="s">
        <v>266</v>
      </c>
      <c r="AR127" s="2"/>
      <c r="AS127" s="2"/>
      <c r="AT127" s="32"/>
      <c r="AV127" s="12"/>
      <c r="AW127" s="32"/>
      <c r="AX127" s="32"/>
      <c r="AY127" s="32"/>
      <c r="AZ127" s="3"/>
      <c r="BA127"/>
      <c r="BC127" s="9"/>
      <c r="BH127" s="9"/>
    </row>
    <row r="128" spans="1:65">
      <c r="A128">
        <v>2016</v>
      </c>
      <c r="B128" s="3">
        <f>USA!Z103/USA!AU103*100</f>
        <v>36.957692605914716</v>
      </c>
      <c r="C128" s="7">
        <f t="shared" ref="C128:C142" si="73">AJ128</f>
        <v>36.957692605914716</v>
      </c>
      <c r="D128" s="3">
        <f t="shared" si="68"/>
        <v>36.957692605914716</v>
      </c>
      <c r="E128" s="3">
        <f t="shared" ref="E128:E142" si="74">AL128</f>
        <v>36.957692605914716</v>
      </c>
      <c r="F128" s="6">
        <f>'Exchange Rates'!Z55</f>
        <v>0.98837561232611049</v>
      </c>
      <c r="G128" s="3">
        <f>(B128*USA!$AU103/100)/$AT95*100*$F128</f>
        <v>41.138672459227145</v>
      </c>
      <c r="H128" s="3">
        <f>(C128*USA!$AU103/100)/$AT95*100*$F128</f>
        <v>41.138672459227145</v>
      </c>
      <c r="I128" s="3">
        <f>(D128*USA!$AU103/100)/$AT95*100*$F128</f>
        <v>41.138672459227145</v>
      </c>
      <c r="J128" s="3">
        <f>(E128*USA!$AU103/100)/$AT95*100*$F128</f>
        <v>41.138672459227145</v>
      </c>
      <c r="K128" s="6">
        <f t="shared" si="51"/>
        <v>0.56944782802466165</v>
      </c>
      <c r="L128" s="6">
        <f t="shared" si="52"/>
        <v>0.56944782802466165</v>
      </c>
      <c r="M128" s="6">
        <f t="shared" si="53"/>
        <v>0.56944782802466165</v>
      </c>
      <c r="N128" s="6">
        <f t="shared" si="54"/>
        <v>0.56944782802466165</v>
      </c>
      <c r="O128">
        <v>2016</v>
      </c>
      <c r="P128" s="24">
        <f t="shared" si="55"/>
        <v>0.76730181529353725</v>
      </c>
      <c r="Q128" s="3">
        <f t="shared" si="56"/>
        <v>0.10693997146545592</v>
      </c>
      <c r="R128" s="3">
        <f t="shared" si="56"/>
        <v>0.10693997146545592</v>
      </c>
      <c r="S128" s="3">
        <f t="shared" si="56"/>
        <v>0.10693997146545592</v>
      </c>
      <c r="T128" s="3">
        <f t="shared" si="56"/>
        <v>0.10693997146545592</v>
      </c>
      <c r="U128" s="3">
        <f t="shared" si="57"/>
        <v>1.4322967218812694</v>
      </c>
      <c r="V128" s="3">
        <f t="shared" si="58"/>
        <v>1.4436896147836549</v>
      </c>
      <c r="W128" s="3">
        <f t="shared" si="59"/>
        <v>1.4436896147836549</v>
      </c>
      <c r="X128" s="3">
        <f t="shared" si="60"/>
        <v>1.4436896147836549</v>
      </c>
      <c r="Y128" s="3">
        <f t="shared" si="61"/>
        <v>1.4206497480000002</v>
      </c>
      <c r="Z128" s="3">
        <f t="shared" si="63"/>
        <v>1.431949997580622</v>
      </c>
      <c r="AA128" s="3">
        <f t="shared" si="64"/>
        <v>1.431949997580622</v>
      </c>
      <c r="AB128" s="3">
        <f t="shared" si="65"/>
        <v>1.431949997580622</v>
      </c>
      <c r="AC128" s="3">
        <f t="shared" si="66"/>
        <v>1.4074200000000001</v>
      </c>
      <c r="AD128" s="3">
        <f t="shared" ref="AD128:AF128" si="75">AC128</f>
        <v>1.4074200000000001</v>
      </c>
      <c r="AE128" s="3">
        <f t="shared" si="75"/>
        <v>1.4074200000000001</v>
      </c>
      <c r="AF128" s="3">
        <f t="shared" si="75"/>
        <v>1.4074200000000001</v>
      </c>
      <c r="AI128" s="2"/>
      <c r="AJ128" s="3">
        <f>USA!AJ141</f>
        <v>36.957692605914716</v>
      </c>
      <c r="AK128" s="3">
        <f>USA!AK141</f>
        <v>36.957692605914716</v>
      </c>
      <c r="AL128" s="3">
        <f>USA!AL141</f>
        <v>36.957692605914716</v>
      </c>
      <c r="AR128" s="2"/>
      <c r="AS128" s="2"/>
      <c r="AT128" s="32"/>
      <c r="AV128" s="12"/>
      <c r="AW128" s="32"/>
      <c r="AX128" s="32"/>
      <c r="AY128" s="32"/>
      <c r="AZ128" s="3"/>
      <c r="BA128"/>
      <c r="BC128" s="9"/>
      <c r="BH128" s="9"/>
    </row>
    <row r="129" spans="1:60">
      <c r="A129">
        <v>2017</v>
      </c>
      <c r="B129" s="3">
        <f>USA!Z104/USA!AU104*100</f>
        <v>46.705738720797434</v>
      </c>
      <c r="C129" s="7">
        <f t="shared" si="73"/>
        <v>46.705738720797434</v>
      </c>
      <c r="D129" s="3">
        <f t="shared" si="68"/>
        <v>46.705738720797434</v>
      </c>
      <c r="E129" s="3">
        <f t="shared" si="74"/>
        <v>46.705738720797434</v>
      </c>
      <c r="F129" s="6">
        <f>'Exchange Rates'!Z56</f>
        <v>0.98499999999999999</v>
      </c>
      <c r="G129" s="3">
        <f>(B129*USA!$AU104/100)/$AT96*100*$F129</f>
        <v>52.636563607875161</v>
      </c>
      <c r="H129" s="3">
        <f>(C129*USA!$AU104/100)/$AT96*100*$F129</f>
        <v>52.636563607875161</v>
      </c>
      <c r="I129" s="3">
        <f>(D129*USA!$AU104/100)/$AT96*100*$F129</f>
        <v>52.636563607875161</v>
      </c>
      <c r="J129" s="3">
        <f>(E129*USA!$AU104/100)/$AT96*100*$F129</f>
        <v>52.636563607875161</v>
      </c>
      <c r="K129" s="6">
        <f t="shared" si="51"/>
        <v>0.63578213892921309</v>
      </c>
      <c r="L129" s="6">
        <f t="shared" si="52"/>
        <v>0.63578213892921309</v>
      </c>
      <c r="M129" s="6">
        <f t="shared" si="53"/>
        <v>0.63578213892921309</v>
      </c>
      <c r="N129" s="6">
        <f t="shared" si="54"/>
        <v>0.63578213892921309</v>
      </c>
      <c r="O129">
        <v>2017</v>
      </c>
      <c r="P129" s="24">
        <f t="shared" si="55"/>
        <v>0.76325655554912664</v>
      </c>
      <c r="Q129" s="3">
        <f t="shared" si="56"/>
        <v>0.11192309555826718</v>
      </c>
      <c r="R129" s="3">
        <f t="shared" si="56"/>
        <v>0.11192309555826718</v>
      </c>
      <c r="S129" s="3">
        <f t="shared" si="56"/>
        <v>0.11192309555826718</v>
      </c>
      <c r="T129" s="3">
        <f t="shared" si="56"/>
        <v>0.11192309555826718</v>
      </c>
      <c r="U129" s="3">
        <f t="shared" si="57"/>
        <v>1.5265131110982533</v>
      </c>
      <c r="V129" s="3">
        <f t="shared" si="58"/>
        <v>1.5109617900366068</v>
      </c>
      <c r="W129" s="3">
        <f t="shared" si="59"/>
        <v>1.5109617900366068</v>
      </c>
      <c r="X129" s="3">
        <f t="shared" si="60"/>
        <v>1.5109617900366068</v>
      </c>
      <c r="Y129" s="3">
        <f t="shared" si="61"/>
        <v>1.5140999999999998</v>
      </c>
      <c r="Z129" s="3">
        <f t="shared" si="63"/>
        <v>1.4986751372534894</v>
      </c>
      <c r="AA129" s="3">
        <f t="shared" si="64"/>
        <v>1.4986751372534894</v>
      </c>
      <c r="AB129" s="3">
        <f t="shared" si="65"/>
        <v>1.4986751372534894</v>
      </c>
      <c r="AC129" s="3">
        <f t="shared" si="66"/>
        <v>1.4999999999999998</v>
      </c>
      <c r="AD129" s="3">
        <f t="shared" ref="AD129:AF129" si="76">AC129</f>
        <v>1.4999999999999998</v>
      </c>
      <c r="AE129" s="3">
        <f t="shared" si="76"/>
        <v>1.4999999999999998</v>
      </c>
      <c r="AF129" s="3">
        <f t="shared" si="76"/>
        <v>1.4999999999999998</v>
      </c>
      <c r="AI129" s="2"/>
      <c r="AJ129" s="3">
        <f>USA!AJ142</f>
        <v>46.705738720797434</v>
      </c>
      <c r="AK129" s="3">
        <f>USA!AK142</f>
        <v>46.705738720797434</v>
      </c>
      <c r="AL129" s="3">
        <f>USA!AL142</f>
        <v>46.705738720797434</v>
      </c>
      <c r="AR129" s="2"/>
      <c r="AS129" s="2"/>
      <c r="AT129" s="32"/>
      <c r="AV129" s="12"/>
      <c r="AW129" s="32"/>
      <c r="AX129" s="32"/>
      <c r="AY129" s="32"/>
      <c r="AZ129" s="3"/>
      <c r="BA129"/>
      <c r="BC129" s="9"/>
      <c r="BH129" s="9"/>
    </row>
    <row r="130" spans="1:60">
      <c r="A130">
        <v>2018</v>
      </c>
      <c r="B130" s="3">
        <f>USA!Z105/USA!AU105*100</f>
        <v>60.818458312139953</v>
      </c>
      <c r="C130" s="7">
        <f t="shared" si="73"/>
        <v>60.818458312139953</v>
      </c>
      <c r="D130" s="3">
        <f>AVERAGE(C130,E130)</f>
        <v>60.818458312139953</v>
      </c>
      <c r="E130" s="3">
        <f t="shared" si="74"/>
        <v>60.818458312139953</v>
      </c>
      <c r="F130" s="6">
        <f>'Exchange Rates'!Z57</f>
        <v>0.97299999999999998</v>
      </c>
      <c r="G130" s="3">
        <f>(B130*USA!$AU105/100)/$AT97*100*$F130</f>
        <v>68.868491458897793</v>
      </c>
      <c r="H130" s="3">
        <f>(C130*USA!$AU105/100)/$AT97*100*$F130</f>
        <v>68.868491458897793</v>
      </c>
      <c r="I130" s="3">
        <f>(D130*USA!$AU105/100)/$AT97*100*$F130</f>
        <v>68.868491458897793</v>
      </c>
      <c r="J130" s="3">
        <f>(E130*USA!$AU105/100)/$AT97*100*$F130</f>
        <v>68.868491458897793</v>
      </c>
      <c r="K130" s="6">
        <f t="shared" si="51"/>
        <v>0.72942833323820955</v>
      </c>
      <c r="L130" s="6">
        <f t="shared" si="52"/>
        <v>0.72942833323820955</v>
      </c>
      <c r="M130" s="6">
        <f t="shared" si="53"/>
        <v>0.72942833323820955</v>
      </c>
      <c r="N130" s="6">
        <f t="shared" si="54"/>
        <v>0.72942833323820955</v>
      </c>
      <c r="O130">
        <v>2018</v>
      </c>
      <c r="P130" s="24">
        <f t="shared" si="55"/>
        <v>0.75614875723115393</v>
      </c>
      <c r="Q130" s="3">
        <f t="shared" si="56"/>
        <v>0.11438943596614098</v>
      </c>
      <c r="R130" s="3">
        <f t="shared" ref="R130:R142" si="77">(L130+P130)*$T$120</f>
        <v>0.11438943596614098</v>
      </c>
      <c r="S130" s="3">
        <f t="shared" ref="S130:S142" si="78">(M130+P130)*$T$120</f>
        <v>0.11438943596614098</v>
      </c>
      <c r="T130" s="3">
        <f t="shared" ref="T130:T142" si="79">(N130+P130)*$T$120</f>
        <v>0.11438943596614098</v>
      </c>
      <c r="U130" s="3">
        <f t="shared" si="57"/>
        <v>1.6332813156192925</v>
      </c>
      <c r="V130" s="3">
        <f t="shared" si="58"/>
        <v>1.5999665264355045</v>
      </c>
      <c r="W130" s="3">
        <f t="shared" si="59"/>
        <v>1.5999665264355045</v>
      </c>
      <c r="X130" s="3">
        <f t="shared" si="60"/>
        <v>1.5999665264355045</v>
      </c>
      <c r="Y130" s="3">
        <f t="shared" si="61"/>
        <v>1.62</v>
      </c>
      <c r="Z130" s="3">
        <f t="shared" si="63"/>
        <v>1.5869561159111942</v>
      </c>
      <c r="AA130" s="3">
        <f t="shared" si="64"/>
        <v>1.5869561159111942</v>
      </c>
      <c r="AB130" s="3">
        <f t="shared" si="65"/>
        <v>1.5869561159111942</v>
      </c>
      <c r="AC130" s="3">
        <f t="shared" si="66"/>
        <v>1.6049138101842682</v>
      </c>
      <c r="AD130" s="3">
        <f t="shared" ref="AD130:AD142" si="80">V130*$AT$96/100</f>
        <v>1.5721776460384327</v>
      </c>
      <c r="AE130" s="3">
        <f t="shared" ref="AE130:AE142" si="81">W130*$AT$96/100</f>
        <v>1.5721776460384327</v>
      </c>
      <c r="AF130" s="3">
        <f t="shared" ref="AF130:AF142" si="82">X130*$AT$96/100</f>
        <v>1.5721776460384327</v>
      </c>
      <c r="AI130" s="2"/>
      <c r="AJ130" s="3">
        <f>USA!AJ143</f>
        <v>60.818458312139953</v>
      </c>
      <c r="AK130" s="3">
        <f>USA!AK143</f>
        <v>60.818458312139953</v>
      </c>
      <c r="AL130" s="3">
        <f>USA!AL143</f>
        <v>60.818458312139953</v>
      </c>
      <c r="AR130" s="2"/>
      <c r="AS130" s="2"/>
      <c r="AT130" s="32"/>
      <c r="AV130" s="12"/>
      <c r="AW130" s="32"/>
      <c r="AX130" s="32"/>
      <c r="AY130" s="32"/>
      <c r="AZ130" s="3"/>
      <c r="BA130"/>
      <c r="BC130" s="9"/>
      <c r="BH130" s="9"/>
    </row>
    <row r="131" spans="1:60">
      <c r="A131">
        <v>2019</v>
      </c>
      <c r="B131" s="3"/>
      <c r="C131" s="7">
        <f>AJ131</f>
        <v>90.611761513694489</v>
      </c>
      <c r="D131" s="7">
        <f t="shared" ref="D131:D142" si="83">AK131</f>
        <v>56.019786702864394</v>
      </c>
      <c r="E131" s="3">
        <f t="shared" si="74"/>
        <v>25.889074718198426</v>
      </c>
      <c r="F131" s="6">
        <f>'Exchange Rates'!Z58</f>
        <v>0.97199999999999998</v>
      </c>
      <c r="G131" s="3"/>
      <c r="H131" s="3">
        <f>(C131*USA!$AU106/100)/$AT98*100*$F131</f>
        <v>102.49983373761684</v>
      </c>
      <c r="I131" s="3">
        <f>(D131*USA!$AU106/100)/$AT98*100*$F131</f>
        <v>63.369464704563185</v>
      </c>
      <c r="J131" s="3">
        <f>(E131*USA!$AU106/100)/$AT98*100*$F131</f>
        <v>29.285666782176243</v>
      </c>
      <c r="K131" s="6"/>
      <c r="L131" s="6">
        <f t="shared" ref="L131:L142" si="84">S$111+S$112*H131</f>
        <v>0.9234562541858049</v>
      </c>
      <c r="M131" s="6">
        <f t="shared" ref="M131:M142" si="85">S$111+S$112*I131</f>
        <v>0.6977030241638259</v>
      </c>
      <c r="N131" s="6">
        <f t="shared" ref="N131:N142" si="86">S$111+S$112*J131</f>
        <v>0.50106476946462641</v>
      </c>
      <c r="O131">
        <v>2019</v>
      </c>
      <c r="P131" s="3">
        <f t="shared" ref="P131:P142" si="87">P130</f>
        <v>0.75614875723115393</v>
      </c>
      <c r="Q131" s="3"/>
      <c r="R131" s="3">
        <f t="shared" si="77"/>
        <v>0.12932958587910584</v>
      </c>
      <c r="S131" s="3">
        <f t="shared" si="78"/>
        <v>0.11194658716741344</v>
      </c>
      <c r="T131" s="3">
        <f t="shared" si="79"/>
        <v>9.6805441555575092E-2</v>
      </c>
      <c r="U131" s="3"/>
      <c r="V131" s="3">
        <f t="shared" si="58"/>
        <v>1.8089345972960649</v>
      </c>
      <c r="W131" s="3">
        <f t="shared" si="59"/>
        <v>1.5657983685623933</v>
      </c>
      <c r="X131" s="3">
        <f t="shared" si="60"/>
        <v>1.3540189682513555</v>
      </c>
      <c r="Y131" s="3"/>
      <c r="Z131" s="3">
        <f t="shared" si="63"/>
        <v>1.7942249259788263</v>
      </c>
      <c r="AA131" s="3">
        <f t="shared" si="64"/>
        <v>1.5530658024513526</v>
      </c>
      <c r="AB131" s="3">
        <f t="shared" si="65"/>
        <v>1.3430085237554321</v>
      </c>
      <c r="AC131" s="3"/>
      <c r="AD131" s="3">
        <f t="shared" si="80"/>
        <v>1.7775162730125089</v>
      </c>
      <c r="AE131" s="3">
        <f t="shared" si="81"/>
        <v>1.5386029348636345</v>
      </c>
      <c r="AF131" s="3">
        <f t="shared" si="82"/>
        <v>1.3305018067717773</v>
      </c>
      <c r="AI131" s="2"/>
      <c r="AJ131" s="3">
        <f>USA!AJ144</f>
        <v>90.611761513694489</v>
      </c>
      <c r="AK131" s="3">
        <f>USA!AK144</f>
        <v>56.019786702864394</v>
      </c>
      <c r="AL131" s="3">
        <f>USA!AL144</f>
        <v>25.889074718198426</v>
      </c>
      <c r="AR131" s="2"/>
      <c r="AS131" s="2"/>
      <c r="AT131" s="32"/>
      <c r="AV131" s="12"/>
      <c r="AW131" s="32"/>
      <c r="AX131" s="32"/>
      <c r="AY131" s="32"/>
      <c r="AZ131" s="3"/>
      <c r="BA131"/>
      <c r="BC131" s="9"/>
      <c r="BH131" s="9"/>
    </row>
    <row r="132" spans="1:60">
      <c r="A132">
        <v>2020</v>
      </c>
      <c r="B132" s="3"/>
      <c r="C132" s="7">
        <f t="shared" si="73"/>
        <v>105.28223718734027</v>
      </c>
      <c r="D132" s="7">
        <f t="shared" si="83"/>
        <v>56.251630823658907</v>
      </c>
      <c r="E132" s="3">
        <f t="shared" si="74"/>
        <v>26.752043875471706</v>
      </c>
      <c r="F132" s="6">
        <f>'Exchange Rates'!Z59</f>
        <v>0.97199999999999998</v>
      </c>
      <c r="G132" s="3"/>
      <c r="H132" s="3">
        <f>(C132*USA!$AU107/100)/$AT99*100*$F132</f>
        <v>119.0950449141834</v>
      </c>
      <c r="I132" s="3">
        <f>(D132*USA!$AU107/100)/$AT99*100*$F132</f>
        <v>63.631726285593039</v>
      </c>
      <c r="J132" s="3">
        <f>(E132*USA!$AU107/100)/$AT99*100*$F132</f>
        <v>30.261855674915449</v>
      </c>
      <c r="K132" s="6"/>
      <c r="L132" s="6">
        <f t="shared" si="84"/>
        <v>1.019198324055939</v>
      </c>
      <c r="M132" s="6">
        <f t="shared" si="85"/>
        <v>0.69921607912576988</v>
      </c>
      <c r="N132" s="6">
        <f t="shared" si="86"/>
        <v>0.5066966559275754</v>
      </c>
      <c r="O132">
        <v>2020</v>
      </c>
      <c r="P132" s="3">
        <f t="shared" si="87"/>
        <v>0.75614875723115393</v>
      </c>
      <c r="Q132" s="3"/>
      <c r="R132" s="3">
        <f t="shared" si="77"/>
        <v>0.13670172525910618</v>
      </c>
      <c r="S132" s="3">
        <f t="shared" si="78"/>
        <v>0.11206309239948313</v>
      </c>
      <c r="T132" s="3">
        <f t="shared" si="79"/>
        <v>9.7239096813222167E-2</v>
      </c>
      <c r="U132" s="3"/>
      <c r="V132" s="3">
        <f>L132+$P132+R132</f>
        <v>1.9120488065461991</v>
      </c>
      <c r="W132" s="3">
        <f t="shared" si="59"/>
        <v>1.567427928756407</v>
      </c>
      <c r="X132" s="3">
        <f t="shared" si="60"/>
        <v>1.3600845099719516</v>
      </c>
      <c r="Y132" s="3"/>
      <c r="Z132" s="3">
        <f t="shared" si="63"/>
        <v>1.8965006438161292</v>
      </c>
      <c r="AA132" s="3">
        <f>W132*$AT$97/100</f>
        <v>1.5546821115887048</v>
      </c>
      <c r="AB132" s="3">
        <f t="shared" si="65"/>
        <v>1.3490247424517441</v>
      </c>
      <c r="AC132" s="3"/>
      <c r="AD132" s="3">
        <f t="shared" si="80"/>
        <v>1.8788395520270749</v>
      </c>
      <c r="AE132" s="3">
        <f t="shared" si="81"/>
        <v>1.5402041921821921</v>
      </c>
      <c r="AF132" s="3">
        <f t="shared" si="82"/>
        <v>1.3364619996549871</v>
      </c>
      <c r="AI132" s="2"/>
      <c r="AJ132" s="3">
        <f>USA!AJ145</f>
        <v>105.28223718734027</v>
      </c>
      <c r="AK132" s="3">
        <f>USA!AK145</f>
        <v>56.251630823658907</v>
      </c>
      <c r="AL132" s="3">
        <f>USA!AL145</f>
        <v>26.752043875471706</v>
      </c>
      <c r="AR132" s="2"/>
      <c r="AS132" s="2"/>
      <c r="AT132" s="32"/>
      <c r="AV132" s="12"/>
      <c r="AW132" s="32"/>
      <c r="AX132" s="32"/>
      <c r="AY132" s="32"/>
      <c r="AZ132" s="3"/>
      <c r="BA132"/>
      <c r="BC132" s="9"/>
      <c r="BH132" s="9"/>
    </row>
    <row r="133" spans="1:60">
      <c r="A133">
        <v>2021</v>
      </c>
      <c r="B133" s="3"/>
      <c r="C133" s="7">
        <f t="shared" si="73"/>
        <v>120.81568201825931</v>
      </c>
      <c r="D133" s="7">
        <f t="shared" si="83"/>
        <v>63.082289986431647</v>
      </c>
      <c r="E133" s="3">
        <f t="shared" si="74"/>
        <v>28.477982190018274</v>
      </c>
      <c r="F133" s="6">
        <f>'Exchange Rates'!Z60</f>
        <v>0.97199999999999998</v>
      </c>
      <c r="G133" s="3"/>
      <c r="H133" s="3">
        <f>(C133*USA!$AU108/100)/$AT100*100*$F133</f>
        <v>136.6664449834891</v>
      </c>
      <c r="I133" s="3">
        <f>(D133*USA!$AU108/100)/$AT100*100*$F133</f>
        <v>71.358553540758138</v>
      </c>
      <c r="J133" s="3">
        <f>(E133*USA!$AU108/100)/$AT100*100*$F133</f>
        <v>32.214233460393871</v>
      </c>
      <c r="K133" s="6"/>
      <c r="L133" s="6">
        <f t="shared" si="84"/>
        <v>1.1205722803890217</v>
      </c>
      <c r="M133" s="6">
        <f t="shared" si="85"/>
        <v>0.74379414607939132</v>
      </c>
      <c r="N133" s="6">
        <f t="shared" si="86"/>
        <v>0.5179604288534736</v>
      </c>
      <c r="O133">
        <v>2021</v>
      </c>
      <c r="P133" s="3">
        <f t="shared" si="87"/>
        <v>0.75614875723115393</v>
      </c>
      <c r="Q133" s="3"/>
      <c r="R133" s="3">
        <f t="shared" si="77"/>
        <v>0.14450751989675353</v>
      </c>
      <c r="S133" s="3">
        <f t="shared" si="78"/>
        <v>0.11549560355491199</v>
      </c>
      <c r="T133" s="3">
        <f t="shared" si="79"/>
        <v>9.8106407328516304E-2</v>
      </c>
      <c r="U133" s="3"/>
      <c r="V133" s="3">
        <f t="shared" si="58"/>
        <v>2.0212285575169293</v>
      </c>
      <c r="W133" s="3">
        <f t="shared" si="59"/>
        <v>1.6154385068654573</v>
      </c>
      <c r="X133" s="3">
        <f t="shared" si="60"/>
        <v>1.3722155934131437</v>
      </c>
      <c r="Y133" s="3"/>
      <c r="Z133" s="3">
        <f t="shared" si="63"/>
        <v>2.0047925803497439</v>
      </c>
      <c r="AA133" s="3">
        <f t="shared" si="64"/>
        <v>1.6023022831983766</v>
      </c>
      <c r="AB133" s="3">
        <f t="shared" si="65"/>
        <v>1.3610571798443678</v>
      </c>
      <c r="AC133" s="3"/>
      <c r="AD133" s="3">
        <f t="shared" si="80"/>
        <v>1.9861230239248502</v>
      </c>
      <c r="AE133" s="3">
        <f t="shared" si="81"/>
        <v>1.5873809027128758</v>
      </c>
      <c r="AF133" s="3">
        <f t="shared" si="82"/>
        <v>1.3483823854214065</v>
      </c>
      <c r="AI133" s="2"/>
      <c r="AJ133" s="3">
        <f>USA!AJ146</f>
        <v>120.81568201825931</v>
      </c>
      <c r="AK133" s="3">
        <f>USA!AK146</f>
        <v>63.082289986431647</v>
      </c>
      <c r="AL133" s="3">
        <f>USA!AL146</f>
        <v>28.477982190018274</v>
      </c>
      <c r="AR133" s="2"/>
      <c r="AS133" s="2"/>
      <c r="AT133" s="32"/>
      <c r="AV133" s="12"/>
      <c r="AW133" s="32"/>
      <c r="AX133" s="32"/>
      <c r="AY133" s="32"/>
      <c r="AZ133" s="3"/>
      <c r="BA133"/>
      <c r="BC133" s="9"/>
      <c r="BH133" s="9"/>
    </row>
    <row r="134" spans="1:60">
      <c r="A134">
        <v>2022</v>
      </c>
      <c r="B134" s="3"/>
      <c r="C134" s="7">
        <f t="shared" si="73"/>
        <v>127.71943527644558</v>
      </c>
      <c r="D134" s="7">
        <f t="shared" si="83"/>
        <v>68.168185410991157</v>
      </c>
      <c r="E134" s="3">
        <f t="shared" si="74"/>
        <v>29.340951347291547</v>
      </c>
      <c r="F134" s="6">
        <f>'Exchange Rates'!Z61</f>
        <v>0.97199999999999998</v>
      </c>
      <c r="G134" s="3"/>
      <c r="H134" s="3">
        <f>(C134*USA!$AU109/100)/$AT101*100*$F134</f>
        <v>144.4759561254028</v>
      </c>
      <c r="I134" s="3">
        <f>(D134*USA!$AU109/100)/$AT101*100*$F134</f>
        <v>77.111707730851563</v>
      </c>
      <c r="J134" s="3">
        <f>(E134*USA!$AU109/100)/$AT101*100*$F134</f>
        <v>33.190422353133073</v>
      </c>
      <c r="K134" s="6"/>
      <c r="L134" s="6">
        <f t="shared" si="84"/>
        <v>1.1656273720926142</v>
      </c>
      <c r="M134" s="6">
        <f t="shared" si="85"/>
        <v>0.77698558212567492</v>
      </c>
      <c r="N134" s="6">
        <f t="shared" si="86"/>
        <v>0.52359231531642259</v>
      </c>
      <c r="O134">
        <v>2022</v>
      </c>
      <c r="P134" s="3">
        <f t="shared" si="87"/>
        <v>0.75614875723115393</v>
      </c>
      <c r="Q134" s="3"/>
      <c r="R134" s="3">
        <f t="shared" si="77"/>
        <v>0.14797676195793014</v>
      </c>
      <c r="S134" s="3">
        <f t="shared" si="78"/>
        <v>0.11805134413047583</v>
      </c>
      <c r="T134" s="3">
        <f t="shared" si="79"/>
        <v>9.8540062586163379E-2</v>
      </c>
      <c r="U134" s="3"/>
      <c r="V134" s="3">
        <f t="shared" si="58"/>
        <v>2.069752891281698</v>
      </c>
      <c r="W134" s="3">
        <f t="shared" si="59"/>
        <v>1.6511856834873047</v>
      </c>
      <c r="X134" s="3">
        <f t="shared" si="60"/>
        <v>1.3782811351337398</v>
      </c>
      <c r="Y134" s="3"/>
      <c r="Z134" s="3">
        <f t="shared" si="63"/>
        <v>2.0529223299202388</v>
      </c>
      <c r="AA134" s="3">
        <f t="shared" si="64"/>
        <v>1.637758775336986</v>
      </c>
      <c r="AB134" s="3">
        <f t="shared" si="65"/>
        <v>1.3670733985406796</v>
      </c>
      <c r="AC134" s="3"/>
      <c r="AD134" s="3">
        <f t="shared" si="80"/>
        <v>2.0338045669905278</v>
      </c>
      <c r="AE134" s="3">
        <f t="shared" si="81"/>
        <v>1.6225072075856806</v>
      </c>
      <c r="AF134" s="3">
        <f t="shared" si="82"/>
        <v>1.3543425783046164</v>
      </c>
      <c r="AI134" s="2"/>
      <c r="AJ134" s="3">
        <f>USA!AJ147</f>
        <v>127.71943527644558</v>
      </c>
      <c r="AK134" s="3">
        <f>USA!AK147</f>
        <v>68.168185410991157</v>
      </c>
      <c r="AL134" s="3">
        <f>USA!AL147</f>
        <v>29.340951347291547</v>
      </c>
      <c r="AR134" s="2"/>
      <c r="AS134" s="2"/>
      <c r="AT134" s="32"/>
      <c r="AV134" s="12"/>
      <c r="AW134" s="32"/>
      <c r="AX134" s="32"/>
      <c r="AY134" s="32"/>
      <c r="AZ134" s="3"/>
      <c r="BA134"/>
      <c r="BC134" s="9"/>
      <c r="BH134" s="9"/>
    </row>
    <row r="135" spans="1:60">
      <c r="A135">
        <v>2023</v>
      </c>
      <c r="B135" s="3"/>
      <c r="C135" s="7">
        <f t="shared" si="73"/>
        <v>132.89725022008525</v>
      </c>
      <c r="D135" s="7">
        <f t="shared" si="83"/>
        <v>70.508542947524788</v>
      </c>
      <c r="E135" s="3">
        <f t="shared" si="74"/>
        <v>29.340951347291547</v>
      </c>
      <c r="F135" s="6">
        <f>'Exchange Rates'!Z62</f>
        <v>0.97199999999999998</v>
      </c>
      <c r="G135" s="3"/>
      <c r="H135" s="3">
        <f>(C135*USA!$AU110/100)/$AT102*100*$F135</f>
        <v>150.33308948183807</v>
      </c>
      <c r="I135" s="3">
        <f>(D135*USA!$AU110/100)/$AT102*100*$F135</f>
        <v>79.759115245879485</v>
      </c>
      <c r="J135" s="3">
        <f>(E135*USA!$AU110/100)/$AT102*100*$F135</f>
        <v>33.190422353133073</v>
      </c>
      <c r="K135" s="6"/>
      <c r="L135" s="6">
        <f t="shared" si="84"/>
        <v>1.1994186908703086</v>
      </c>
      <c r="M135" s="6">
        <f t="shared" si="85"/>
        <v>0.79225916150840869</v>
      </c>
      <c r="N135" s="6">
        <f t="shared" si="86"/>
        <v>0.52359231531642259</v>
      </c>
      <c r="O135">
        <v>2023</v>
      </c>
      <c r="P135" s="3">
        <f t="shared" si="87"/>
        <v>0.75614875723115393</v>
      </c>
      <c r="Q135" s="3"/>
      <c r="R135" s="3">
        <f t="shared" si="77"/>
        <v>0.15057869350381262</v>
      </c>
      <c r="S135" s="3">
        <f t="shared" si="78"/>
        <v>0.11922740974294634</v>
      </c>
      <c r="T135" s="3">
        <f t="shared" si="79"/>
        <v>9.8540062586163379E-2</v>
      </c>
      <c r="U135" s="3"/>
      <c r="V135" s="3">
        <f t="shared" si="58"/>
        <v>2.1061461416052749</v>
      </c>
      <c r="W135" s="3">
        <f t="shared" si="59"/>
        <v>1.6676353284825092</v>
      </c>
      <c r="X135" s="3">
        <f t="shared" si="60"/>
        <v>1.3782811351337398</v>
      </c>
      <c r="Y135" s="3"/>
      <c r="Z135" s="3">
        <f t="shared" si="63"/>
        <v>2.0890196420981102</v>
      </c>
      <c r="AA135" s="3">
        <f t="shared" si="64"/>
        <v>1.6540746571372542</v>
      </c>
      <c r="AB135" s="3">
        <f t="shared" si="65"/>
        <v>1.3670733985406796</v>
      </c>
      <c r="AC135" s="3"/>
      <c r="AD135" s="3">
        <f t="shared" si="80"/>
        <v>2.0695657242897867</v>
      </c>
      <c r="AE135" s="3">
        <f t="shared" si="81"/>
        <v>1.6386711483428318</v>
      </c>
      <c r="AF135" s="3">
        <f t="shared" si="82"/>
        <v>1.3543425783046164</v>
      </c>
      <c r="AI135" s="2"/>
      <c r="AJ135" s="3">
        <f>USA!AJ148</f>
        <v>132.89725022008525</v>
      </c>
      <c r="AK135" s="3">
        <f>USA!AK148</f>
        <v>70.508542947524788</v>
      </c>
      <c r="AL135" s="3">
        <f>USA!AL148</f>
        <v>29.340951347291547</v>
      </c>
      <c r="AR135" s="2"/>
      <c r="AS135" s="2"/>
      <c r="AT135" s="32"/>
      <c r="AV135" s="12"/>
      <c r="AW135" s="32"/>
      <c r="AX135" s="32"/>
      <c r="AY135" s="32"/>
      <c r="AZ135" s="3"/>
      <c r="BA135"/>
      <c r="BC135" s="9"/>
      <c r="BH135" s="9"/>
    </row>
    <row r="136" spans="1:60">
      <c r="A136">
        <v>2024</v>
      </c>
      <c r="B136" s="3"/>
      <c r="C136" s="7">
        <f t="shared" si="73"/>
        <v>137.21209600645167</v>
      </c>
      <c r="D136" s="7">
        <f t="shared" si="83"/>
        <v>71.127304204880986</v>
      </c>
      <c r="E136" s="3">
        <f t="shared" si="74"/>
        <v>29.340951347291547</v>
      </c>
      <c r="F136" s="6">
        <f>'Exchange Rates'!Z63</f>
        <v>0.97199999999999998</v>
      </c>
      <c r="G136" s="3"/>
      <c r="H136" s="3">
        <f>(C136*USA!$AU111/100)/$AT103*100*$F136</f>
        <v>155.21403394553411</v>
      </c>
      <c r="I136" s="3">
        <f>(D136*USA!$AU111/100)/$AT103*100*$F136</f>
        <v>80.459056676691461</v>
      </c>
      <c r="J136" s="3">
        <f>(E136*USA!$AU111/100)/$AT103*100*$F136</f>
        <v>33.190422353133073</v>
      </c>
      <c r="K136" s="6"/>
      <c r="L136" s="6">
        <f t="shared" si="84"/>
        <v>1.2275781231850538</v>
      </c>
      <c r="M136" s="6">
        <f t="shared" si="85"/>
        <v>0.79629730484149452</v>
      </c>
      <c r="N136" s="6">
        <f t="shared" si="86"/>
        <v>0.52359231531642259</v>
      </c>
      <c r="O136">
        <v>2024</v>
      </c>
      <c r="P136" s="3">
        <f t="shared" si="87"/>
        <v>0.75614875723115393</v>
      </c>
      <c r="Q136" s="3"/>
      <c r="R136" s="3">
        <f t="shared" si="77"/>
        <v>0.15274696979204799</v>
      </c>
      <c r="S136" s="3">
        <f t="shared" si="78"/>
        <v>0.11953834677959393</v>
      </c>
      <c r="T136" s="3">
        <f t="shared" si="79"/>
        <v>9.8540062586163379E-2</v>
      </c>
      <c r="U136" s="3"/>
      <c r="V136" s="3">
        <f t="shared" si="58"/>
        <v>2.1364738502082559</v>
      </c>
      <c r="W136" s="3">
        <f t="shared" si="59"/>
        <v>1.6719844088522424</v>
      </c>
      <c r="X136" s="3">
        <f t="shared" si="60"/>
        <v>1.3782811351337398</v>
      </c>
      <c r="Y136" s="3"/>
      <c r="Z136" s="3">
        <f t="shared" si="63"/>
        <v>2.1191007355796705</v>
      </c>
      <c r="AA136" s="3">
        <f t="shared" si="64"/>
        <v>1.6583883721914774</v>
      </c>
      <c r="AB136" s="3">
        <f t="shared" si="65"/>
        <v>1.3670733985406796</v>
      </c>
      <c r="AC136" s="3"/>
      <c r="AD136" s="3">
        <f t="shared" si="80"/>
        <v>2.0993666887058358</v>
      </c>
      <c r="AE136" s="3">
        <f t="shared" si="81"/>
        <v>1.6429446920858701</v>
      </c>
      <c r="AF136" s="3">
        <f t="shared" si="82"/>
        <v>1.3543425783046164</v>
      </c>
      <c r="AI136" s="2"/>
      <c r="AJ136" s="3">
        <f>USA!AJ149</f>
        <v>137.21209600645167</v>
      </c>
      <c r="AK136" s="3">
        <f>USA!AK149</f>
        <v>71.127304204880986</v>
      </c>
      <c r="AL136" s="3">
        <f>USA!AL149</f>
        <v>29.340951347291547</v>
      </c>
      <c r="AR136" s="2"/>
      <c r="AS136" s="2"/>
      <c r="AT136" s="32"/>
      <c r="AV136" s="12"/>
      <c r="AW136" s="32"/>
      <c r="AX136" s="32"/>
      <c r="AY136" s="32"/>
      <c r="AZ136" s="3"/>
      <c r="BA136"/>
      <c r="BC136" s="9"/>
      <c r="BH136" s="9"/>
    </row>
    <row r="137" spans="1:60">
      <c r="A137">
        <v>2025</v>
      </c>
      <c r="B137" s="3"/>
      <c r="C137" s="7">
        <f t="shared" si="73"/>
        <v>141.52694179281806</v>
      </c>
      <c r="D137" s="7">
        <f t="shared" si="83"/>
        <v>74.364924740814473</v>
      </c>
      <c r="E137" s="3">
        <f t="shared" si="74"/>
        <v>30.203920504564827</v>
      </c>
      <c r="F137" s="6">
        <f>'Exchange Rates'!Z64</f>
        <v>0.97199999999999998</v>
      </c>
      <c r="G137" s="3"/>
      <c r="H137" s="3">
        <f>(C137*USA!$AU112/100)/$AT104*100*$F137</f>
        <v>160.09497840923012</v>
      </c>
      <c r="I137" s="3">
        <f>(D137*USA!$AU112/100)/$AT104*100*$F137</f>
        <v>84.121446206427336</v>
      </c>
      <c r="J137" s="3">
        <f>(E137*USA!$AU112/100)/$AT104*100*$F137</f>
        <v>34.166611245872275</v>
      </c>
      <c r="K137" s="6"/>
      <c r="L137" s="6">
        <f t="shared" si="84"/>
        <v>1.2557375554997989</v>
      </c>
      <c r="M137" s="6">
        <f t="shared" si="85"/>
        <v>0.81742657825157017</v>
      </c>
      <c r="N137" s="6">
        <f t="shared" si="86"/>
        <v>0.52922420177937157</v>
      </c>
      <c r="O137">
        <v>2025</v>
      </c>
      <c r="P137" s="3">
        <f t="shared" si="87"/>
        <v>0.75614875723115393</v>
      </c>
      <c r="Q137" s="3"/>
      <c r="R137" s="3">
        <f t="shared" si="77"/>
        <v>0.15491524608028337</v>
      </c>
      <c r="S137" s="3">
        <f t="shared" si="78"/>
        <v>0.12116530083216977</v>
      </c>
      <c r="T137" s="3">
        <f t="shared" si="79"/>
        <v>9.8973717843810455E-2</v>
      </c>
      <c r="U137" s="3"/>
      <c r="V137" s="3">
        <f t="shared" si="58"/>
        <v>2.1668015588112359</v>
      </c>
      <c r="W137" s="3">
        <f t="shared" si="59"/>
        <v>1.694740636314894</v>
      </c>
      <c r="X137" s="3">
        <f t="shared" si="60"/>
        <v>1.3843466768543358</v>
      </c>
      <c r="Y137" s="3"/>
      <c r="Z137" s="3">
        <f t="shared" si="63"/>
        <v>2.1491818290612295</v>
      </c>
      <c r="AA137" s="3">
        <f t="shared" si="64"/>
        <v>1.6809595533694834</v>
      </c>
      <c r="AB137" s="3">
        <f t="shared" si="65"/>
        <v>1.3730896172369913</v>
      </c>
      <c r="AC137" s="3"/>
      <c r="AD137" s="3">
        <f t="shared" si="80"/>
        <v>2.1291676531218839</v>
      </c>
      <c r="AE137" s="3">
        <f t="shared" si="81"/>
        <v>1.6653056799776933</v>
      </c>
      <c r="AF137" s="3">
        <f t="shared" si="82"/>
        <v>1.3603027711878257</v>
      </c>
      <c r="AI137" s="2"/>
      <c r="AJ137" s="3">
        <f>USA!AJ150</f>
        <v>141.52694179281806</v>
      </c>
      <c r="AK137" s="3">
        <f>USA!AK150</f>
        <v>74.364924740814473</v>
      </c>
      <c r="AL137" s="3">
        <f>USA!AL150</f>
        <v>30.203920504564827</v>
      </c>
      <c r="AR137" s="2"/>
      <c r="AS137" s="2"/>
      <c r="AT137" s="32"/>
      <c r="AV137" s="12"/>
      <c r="AW137" s="32"/>
      <c r="AX137" s="32"/>
      <c r="AY137" s="32"/>
      <c r="AZ137" s="3"/>
      <c r="BA137"/>
      <c r="BC137" s="9"/>
      <c r="BH137" s="9"/>
    </row>
    <row r="138" spans="1:60">
      <c r="A138">
        <v>2026</v>
      </c>
      <c r="B138" s="3"/>
      <c r="C138" s="7">
        <f t="shared" si="73"/>
        <v>145.84178757918448</v>
      </c>
      <c r="D138" s="7">
        <f t="shared" si="83"/>
        <v>80.055420065999314</v>
      </c>
      <c r="E138" s="3">
        <f t="shared" si="74"/>
        <v>31.066889661838108</v>
      </c>
      <c r="F138" s="6">
        <f>'Exchange Rates'!Z65</f>
        <v>0.97199999999999998</v>
      </c>
      <c r="G138" s="3"/>
      <c r="H138" s="3">
        <f>(C138*USA!$AU113/100)/$AT105*100*$F138</f>
        <v>164.97592287292622</v>
      </c>
      <c r="I138" s="3">
        <f>(D138*USA!$AU113/100)/$AT105*100*$F138</f>
        <v>90.558522530431688</v>
      </c>
      <c r="J138" s="3">
        <f>(E138*USA!$AU113/100)/$AT105*100*$F138</f>
        <v>35.142800138611491</v>
      </c>
      <c r="K138" s="6"/>
      <c r="L138" s="6">
        <f t="shared" si="84"/>
        <v>1.2838969878145445</v>
      </c>
      <c r="M138" s="6">
        <f t="shared" si="85"/>
        <v>0.85456373815963227</v>
      </c>
      <c r="N138" s="6">
        <f t="shared" si="86"/>
        <v>0.53485608824232078</v>
      </c>
      <c r="O138">
        <v>2026</v>
      </c>
      <c r="P138" s="3">
        <f t="shared" si="87"/>
        <v>0.75614875723115393</v>
      </c>
      <c r="Q138" s="3"/>
      <c r="R138" s="3">
        <f t="shared" si="77"/>
        <v>0.1570835223685188</v>
      </c>
      <c r="S138" s="3">
        <f t="shared" si="78"/>
        <v>0.12402486214509052</v>
      </c>
      <c r="T138" s="3">
        <f t="shared" si="79"/>
        <v>9.9407373101457558E-2</v>
      </c>
      <c r="U138" s="3"/>
      <c r="V138" s="3">
        <f t="shared" si="58"/>
        <v>2.1971292674142173</v>
      </c>
      <c r="W138" s="3">
        <f t="shared" si="59"/>
        <v>1.7347373575358767</v>
      </c>
      <c r="X138" s="3">
        <f t="shared" si="60"/>
        <v>1.3904122185749324</v>
      </c>
      <c r="Y138" s="3"/>
      <c r="Z138" s="3">
        <f t="shared" si="63"/>
        <v>2.1792629225427897</v>
      </c>
      <c r="AA138" s="3">
        <f t="shared" si="64"/>
        <v>1.7206310341844244</v>
      </c>
      <c r="AB138" s="3">
        <f t="shared" si="65"/>
        <v>1.3791058359333039</v>
      </c>
      <c r="AC138" s="3"/>
      <c r="AD138" s="3">
        <f t="shared" si="80"/>
        <v>2.1589686175379335</v>
      </c>
      <c r="AE138" s="3">
        <f t="shared" si="81"/>
        <v>1.7046077216013713</v>
      </c>
      <c r="AF138" s="3">
        <f t="shared" si="82"/>
        <v>1.3662629640710362</v>
      </c>
      <c r="AI138" s="2"/>
      <c r="AJ138" s="3">
        <f>USA!AJ151</f>
        <v>145.84178757918448</v>
      </c>
      <c r="AK138" s="3">
        <f>USA!AK151</f>
        <v>80.055420065999314</v>
      </c>
      <c r="AL138" s="3">
        <f>USA!AL151</f>
        <v>31.066889661838108</v>
      </c>
      <c r="AR138" s="2"/>
      <c r="AS138" s="2"/>
      <c r="AT138" s="32"/>
      <c r="AV138" s="12"/>
      <c r="AW138" s="32"/>
      <c r="AX138" s="32"/>
      <c r="AY138" s="32"/>
      <c r="AZ138" s="3"/>
      <c r="BA138"/>
      <c r="BC138" s="9"/>
      <c r="BH138" s="9"/>
    </row>
    <row r="139" spans="1:60">
      <c r="A139">
        <v>2027</v>
      </c>
      <c r="B139" s="3"/>
      <c r="C139" s="7">
        <f t="shared" si="73"/>
        <v>150.15663336555087</v>
      </c>
      <c r="D139" s="7">
        <f t="shared" si="83"/>
        <v>82.98815737026753</v>
      </c>
      <c r="E139" s="3">
        <f t="shared" si="74"/>
        <v>31.929858819111395</v>
      </c>
      <c r="F139" s="6">
        <f>'Exchange Rates'!Z66</f>
        <v>0.97199999999999998</v>
      </c>
      <c r="G139" s="3"/>
      <c r="H139" s="3">
        <f>(C139*USA!$AU114/100)/$AT106*100*$F139</f>
        <v>169.8568673366222</v>
      </c>
      <c r="I139" s="3">
        <f>(D139*USA!$AU114/100)/$AT106*100*$F139</f>
        <v>93.876028790788041</v>
      </c>
      <c r="J139" s="3">
        <f>(E139*USA!$AU114/100)/$AT106*100*$F139</f>
        <v>36.118989031350701</v>
      </c>
      <c r="K139" s="6"/>
      <c r="L139" s="6">
        <f t="shared" si="84"/>
        <v>1.3120564201292895</v>
      </c>
      <c r="M139" s="6">
        <f t="shared" si="85"/>
        <v>0.87370329069645969</v>
      </c>
      <c r="N139" s="6">
        <f t="shared" si="86"/>
        <v>0.54048797470526977</v>
      </c>
      <c r="O139">
        <v>2027</v>
      </c>
      <c r="P139" s="3">
        <f t="shared" si="87"/>
        <v>0.75614875723115393</v>
      </c>
      <c r="Q139" s="3"/>
      <c r="R139" s="3">
        <f t="shared" si="77"/>
        <v>0.15925179865675415</v>
      </c>
      <c r="S139" s="3">
        <f t="shared" si="78"/>
        <v>0.12549860769042623</v>
      </c>
      <c r="T139" s="3">
        <f t="shared" si="79"/>
        <v>9.9841028359104633E-2</v>
      </c>
      <c r="U139" s="3"/>
      <c r="V139" s="3">
        <f t="shared" si="58"/>
        <v>2.2274569760171978</v>
      </c>
      <c r="W139" s="3">
        <f t="shared" si="59"/>
        <v>1.7553506556180398</v>
      </c>
      <c r="X139" s="3">
        <f t="shared" si="60"/>
        <v>1.3964777602955285</v>
      </c>
      <c r="Y139" s="3"/>
      <c r="Z139" s="3">
        <f t="shared" si="63"/>
        <v>2.2093440160243496</v>
      </c>
      <c r="AA139" s="3">
        <f t="shared" si="64"/>
        <v>1.7410767115908559</v>
      </c>
      <c r="AB139" s="3">
        <f t="shared" si="65"/>
        <v>1.3851220546296157</v>
      </c>
      <c r="AC139" s="3"/>
      <c r="AD139" s="3">
        <f t="shared" si="80"/>
        <v>2.1887695819539821</v>
      </c>
      <c r="AE139" s="3">
        <f t="shared" si="81"/>
        <v>1.7248629993965288</v>
      </c>
      <c r="AF139" s="3">
        <f t="shared" si="82"/>
        <v>1.3722231569542458</v>
      </c>
      <c r="AI139" s="2"/>
      <c r="AJ139" s="3">
        <f>USA!AJ152</f>
        <v>150.15663336555087</v>
      </c>
      <c r="AK139" s="3">
        <f>USA!AK152</f>
        <v>82.98815737026753</v>
      </c>
      <c r="AL139" s="3">
        <f>USA!AL152</f>
        <v>31.929858819111395</v>
      </c>
      <c r="AR139" s="2"/>
      <c r="AS139" s="2"/>
      <c r="AT139" s="32"/>
      <c r="AV139" s="12"/>
      <c r="AW139" s="32"/>
      <c r="AX139" s="32"/>
      <c r="AY139" s="32"/>
      <c r="AZ139" s="3"/>
      <c r="BA139"/>
      <c r="BC139" s="9"/>
      <c r="BH139" s="9"/>
    </row>
    <row r="140" spans="1:60">
      <c r="A140">
        <v>2028</v>
      </c>
      <c r="B140" s="3"/>
      <c r="C140" s="7">
        <f t="shared" si="73"/>
        <v>153.60850999464401</v>
      </c>
      <c r="D140" s="7">
        <f t="shared" si="83"/>
        <v>84.844653255379882</v>
      </c>
      <c r="E140" s="3">
        <f t="shared" si="74"/>
        <v>31.929858819111395</v>
      </c>
      <c r="F140" s="6">
        <f>'Exchange Rates'!Z67</f>
        <v>0.97199999999999998</v>
      </c>
      <c r="G140" s="3"/>
      <c r="H140" s="3">
        <f>(C140*USA!$AU115/100)/$AT107*100*$F140</f>
        <v>173.76162290757907</v>
      </c>
      <c r="I140" s="3">
        <f>(D140*USA!$AU115/100)/$AT107*100*$F140</f>
        <v>95.976093025052222</v>
      </c>
      <c r="J140" s="3">
        <f>(E140*USA!$AU115/100)/$AT107*100*$F140</f>
        <v>36.118989031350701</v>
      </c>
      <c r="K140" s="6"/>
      <c r="L140" s="6">
        <f t="shared" si="84"/>
        <v>1.3345839659810859</v>
      </c>
      <c r="M140" s="6">
        <f t="shared" si="85"/>
        <v>0.88581910498224636</v>
      </c>
      <c r="N140" s="6">
        <f t="shared" si="86"/>
        <v>0.54048797470526977</v>
      </c>
      <c r="O140">
        <v>2028</v>
      </c>
      <c r="P140" s="3">
        <f t="shared" si="87"/>
        <v>0.75614875723115393</v>
      </c>
      <c r="Q140" s="3"/>
      <c r="R140" s="3">
        <f t="shared" si="77"/>
        <v>0.16098641968734248</v>
      </c>
      <c r="S140" s="3">
        <f t="shared" si="78"/>
        <v>0.12643152539043184</v>
      </c>
      <c r="T140" s="3">
        <f t="shared" si="79"/>
        <v>9.9841028359104633E-2</v>
      </c>
      <c r="U140" s="3"/>
      <c r="V140" s="3">
        <f t="shared" si="58"/>
        <v>2.2517191428995824</v>
      </c>
      <c r="W140" s="3">
        <f t="shared" si="59"/>
        <v>1.7683993876038322</v>
      </c>
      <c r="X140" s="3">
        <f t="shared" si="60"/>
        <v>1.3964777602955285</v>
      </c>
      <c r="Y140" s="3"/>
      <c r="Z140" s="3">
        <f t="shared" si="63"/>
        <v>2.2334088908095975</v>
      </c>
      <c r="AA140" s="3">
        <f t="shared" si="64"/>
        <v>1.7540193355067908</v>
      </c>
      <c r="AB140" s="3">
        <f t="shared" si="65"/>
        <v>1.3851220546296157</v>
      </c>
      <c r="AC140" s="3"/>
      <c r="AD140" s="3">
        <f t="shared" si="80"/>
        <v>2.2126103534868213</v>
      </c>
      <c r="AE140" s="3">
        <f t="shared" si="81"/>
        <v>1.7376850956080747</v>
      </c>
      <c r="AF140" s="3">
        <f t="shared" si="82"/>
        <v>1.3722231569542458</v>
      </c>
      <c r="AI140" s="2"/>
      <c r="AJ140" s="3">
        <f>USA!AJ153</f>
        <v>153.60850999464401</v>
      </c>
      <c r="AK140" s="3">
        <f>USA!AK153</f>
        <v>84.844653255379882</v>
      </c>
      <c r="AL140" s="3">
        <f>USA!AL153</f>
        <v>31.929858819111395</v>
      </c>
      <c r="AR140" s="2"/>
      <c r="AS140" s="2"/>
      <c r="AT140" s="32"/>
      <c r="AV140" s="12"/>
      <c r="AW140" s="32"/>
      <c r="AX140" s="32"/>
      <c r="AY140" s="32"/>
      <c r="AZ140" s="3"/>
      <c r="BA140"/>
      <c r="BC140" s="9"/>
      <c r="BH140" s="9"/>
    </row>
    <row r="141" spans="1:60">
      <c r="A141">
        <v>2029</v>
      </c>
      <c r="B141" s="3"/>
      <c r="C141" s="7">
        <f t="shared" si="73"/>
        <v>157.9233557810104</v>
      </c>
      <c r="D141" s="7">
        <f t="shared" si="83"/>
        <v>87.361009569245411</v>
      </c>
      <c r="E141" s="3">
        <f t="shared" si="74"/>
        <v>31.929858819111395</v>
      </c>
      <c r="F141" s="6">
        <f>'Exchange Rates'!Z68</f>
        <v>0.97199999999999998</v>
      </c>
      <c r="G141" s="3"/>
      <c r="H141" s="3">
        <f>(C141*USA!$AU116/100)/$AT108*100*$F141</f>
        <v>178.64256737127508</v>
      </c>
      <c r="I141" s="3">
        <f>(D141*USA!$AU116/100)/$AT108*100*$F141</f>
        <v>98.822589986231364</v>
      </c>
      <c r="J141" s="3">
        <f>(E141*USA!$AU116/100)/$AT108*100*$F141</f>
        <v>36.118989031350701</v>
      </c>
      <c r="K141" s="6"/>
      <c r="L141" s="6">
        <f t="shared" si="84"/>
        <v>1.3627433982958308</v>
      </c>
      <c r="M141" s="6">
        <f t="shared" si="85"/>
        <v>0.90224128292519201</v>
      </c>
      <c r="N141" s="6">
        <f t="shared" si="86"/>
        <v>0.54048797470526977</v>
      </c>
      <c r="O141">
        <v>2029</v>
      </c>
      <c r="P141" s="3">
        <f t="shared" si="87"/>
        <v>0.75614875723115393</v>
      </c>
      <c r="Q141" s="3"/>
      <c r="R141" s="3">
        <f t="shared" si="77"/>
        <v>0.16315469597557783</v>
      </c>
      <c r="S141" s="3">
        <f t="shared" si="78"/>
        <v>0.12769603309203864</v>
      </c>
      <c r="T141" s="3">
        <f t="shared" si="79"/>
        <v>9.9841028359104633E-2</v>
      </c>
      <c r="U141" s="3"/>
      <c r="V141" s="3">
        <f t="shared" si="58"/>
        <v>2.2820468515025625</v>
      </c>
      <c r="W141" s="3">
        <f t="shared" si="59"/>
        <v>1.7860860732483848</v>
      </c>
      <c r="X141" s="3">
        <f t="shared" si="60"/>
        <v>1.3964777602955285</v>
      </c>
      <c r="Y141" s="3"/>
      <c r="Z141" s="3">
        <f t="shared" si="63"/>
        <v>2.2634899842911564</v>
      </c>
      <c r="AA141" s="3">
        <f t="shared" si="64"/>
        <v>1.7715621987417816</v>
      </c>
      <c r="AB141" s="3">
        <f t="shared" si="65"/>
        <v>1.3851220546296157</v>
      </c>
      <c r="AC141" s="3"/>
      <c r="AD141" s="3">
        <f t="shared" si="80"/>
        <v>2.2424113179028695</v>
      </c>
      <c r="AE141" s="3">
        <f t="shared" si="81"/>
        <v>1.7550645915809211</v>
      </c>
      <c r="AF141" s="3">
        <f t="shared" si="82"/>
        <v>1.3722231569542458</v>
      </c>
      <c r="AI141" s="2"/>
      <c r="AJ141" s="3">
        <f>USA!AJ154</f>
        <v>157.9233557810104</v>
      </c>
      <c r="AK141" s="3">
        <f>USA!AK154</f>
        <v>87.361009569245411</v>
      </c>
      <c r="AL141" s="3">
        <f>USA!AL154</f>
        <v>31.929858819111395</v>
      </c>
      <c r="AR141" s="2"/>
      <c r="AS141" s="2"/>
      <c r="AT141" s="32"/>
      <c r="AV141" s="12"/>
      <c r="AW141" s="32"/>
      <c r="AX141" s="32"/>
      <c r="AY141" s="32"/>
      <c r="AZ141" s="3"/>
      <c r="BA141"/>
      <c r="BC141" s="9"/>
      <c r="BH141" s="9"/>
    </row>
    <row r="142" spans="1:60">
      <c r="A142">
        <v>2030</v>
      </c>
      <c r="B142" s="3"/>
      <c r="C142" s="7">
        <f t="shared" si="73"/>
        <v>160.51226325283022</v>
      </c>
      <c r="D142" s="7">
        <f t="shared" si="83"/>
        <v>89.285088706337618</v>
      </c>
      <c r="E142" s="3">
        <f t="shared" si="74"/>
        <v>32.792827976384679</v>
      </c>
      <c r="F142" s="6">
        <f>'Exchange Rates'!Z69</f>
        <v>0.97199999999999998</v>
      </c>
      <c r="G142" s="3"/>
      <c r="H142" s="3">
        <f>(C142*USA!$AU117/100)/$AT109*100*$F142</f>
        <v>181.57113404949268</v>
      </c>
      <c r="I142" s="3">
        <f>(D142*USA!$AU117/100)/$AT109*100*$F142</f>
        <v>100.99910425276136</v>
      </c>
      <c r="J142" s="3">
        <f>(E142*USA!$AU117/100)/$AT109*100*$F142</f>
        <v>37.09517792408991</v>
      </c>
      <c r="K142" s="6"/>
      <c r="L142" s="6">
        <f t="shared" si="84"/>
        <v>1.379639057684678</v>
      </c>
      <c r="M142" s="6">
        <f t="shared" si="85"/>
        <v>0.91479815724045888</v>
      </c>
      <c r="N142" s="6">
        <f t="shared" si="86"/>
        <v>0.54611986116821876</v>
      </c>
      <c r="O142">
        <v>2030</v>
      </c>
      <c r="P142" s="3">
        <f t="shared" si="87"/>
        <v>0.75614875723115393</v>
      </c>
      <c r="Q142" s="3"/>
      <c r="R142" s="3">
        <f t="shared" si="77"/>
        <v>0.16445566174851906</v>
      </c>
      <c r="S142" s="3">
        <f t="shared" si="78"/>
        <v>0.12866291241431418</v>
      </c>
      <c r="T142" s="3">
        <f t="shared" si="79"/>
        <v>0.10027468361675171</v>
      </c>
      <c r="U142" s="3"/>
      <c r="V142" s="3">
        <f t="shared" si="58"/>
        <v>2.3002434766643507</v>
      </c>
      <c r="W142" s="3">
        <f t="shared" si="59"/>
        <v>1.7996098268859271</v>
      </c>
      <c r="X142" s="3">
        <f t="shared" si="60"/>
        <v>1.4025433020161244</v>
      </c>
      <c r="Y142" s="3"/>
      <c r="Z142" s="3">
        <f t="shared" si="63"/>
        <v>2.2815386403800919</v>
      </c>
      <c r="AA142" s="3">
        <f t="shared" si="64"/>
        <v>1.7849759815869686</v>
      </c>
      <c r="AB142" s="3">
        <f t="shared" si="65"/>
        <v>1.3911382733259274</v>
      </c>
      <c r="AC142" s="3"/>
      <c r="AD142" s="3">
        <f t="shared" si="80"/>
        <v>2.2602918965524985</v>
      </c>
      <c r="AE142" s="3">
        <f t="shared" si="81"/>
        <v>1.7683534590716947</v>
      </c>
      <c r="AF142" s="3">
        <f t="shared" si="82"/>
        <v>1.3781833498374554</v>
      </c>
      <c r="AI142" s="2"/>
      <c r="AJ142" s="3">
        <f>USA!AJ155</f>
        <v>160.51226325283022</v>
      </c>
      <c r="AK142" s="3">
        <f>USA!AK155</f>
        <v>89.285088706337618</v>
      </c>
      <c r="AL142" s="3">
        <f>USA!AL155</f>
        <v>32.792827976384679</v>
      </c>
      <c r="AR142" s="2"/>
      <c r="AS142" s="2"/>
      <c r="AT142" s="32"/>
      <c r="AV142" s="12"/>
      <c r="AW142" s="32"/>
      <c r="AX142" s="32"/>
      <c r="AY142" s="32"/>
      <c r="AZ142" s="3"/>
      <c r="BA142"/>
      <c r="BC142" s="9"/>
      <c r="BH142" s="9"/>
    </row>
    <row r="143" spans="1:60">
      <c r="D143"/>
      <c r="E143"/>
      <c r="F143"/>
      <c r="G143" s="12"/>
      <c r="H143"/>
      <c r="I143"/>
      <c r="J143"/>
      <c r="K143"/>
      <c r="L143" s="23"/>
      <c r="M143" s="7"/>
      <c r="N143" s="12"/>
      <c r="O143" s="2"/>
      <c r="P143" s="23"/>
      <c r="Q143"/>
      <c r="R143"/>
      <c r="S143"/>
      <c r="T143"/>
      <c r="U143" s="23"/>
      <c r="V143"/>
      <c r="W143"/>
      <c r="X143"/>
      <c r="Y143"/>
      <c r="Z143"/>
      <c r="AA143"/>
      <c r="AB143"/>
      <c r="AC143"/>
      <c r="AD143"/>
      <c r="AE143"/>
      <c r="AF143"/>
      <c r="AI143" s="2"/>
      <c r="AJ143" s="3">
        <f>USA!AJ156</f>
        <v>162.23820156737682</v>
      </c>
      <c r="AK143" s="3">
        <f>USA!AK156</f>
        <v>90.882363255178021</v>
      </c>
      <c r="AL143" s="3">
        <f>USA!AL156</f>
        <v>33.224312555021314</v>
      </c>
      <c r="AR143" s="2"/>
      <c r="AS143" s="2"/>
      <c r="AT143" s="32"/>
      <c r="AV143" s="12"/>
      <c r="AW143" s="32"/>
      <c r="AX143" s="32"/>
      <c r="AY143" s="32"/>
      <c r="AZ143" s="3"/>
      <c r="BA143"/>
      <c r="BC143" s="9"/>
      <c r="BH143" s="9"/>
    </row>
    <row r="144" spans="1:60">
      <c r="D144"/>
      <c r="E144"/>
      <c r="F144"/>
      <c r="G144" s="12"/>
      <c r="H144"/>
      <c r="I144"/>
      <c r="J144"/>
      <c r="K144"/>
      <c r="L144" s="23"/>
      <c r="M144" s="7"/>
      <c r="N144" s="12"/>
      <c r="O144" s="2"/>
      <c r="P144" s="23"/>
      <c r="Q144"/>
      <c r="R144"/>
      <c r="S144"/>
      <c r="T144"/>
      <c r="U144" s="23"/>
      <c r="V144"/>
      <c r="W144"/>
      <c r="X144"/>
      <c r="Y144"/>
      <c r="Z144"/>
      <c r="AA144"/>
      <c r="AB144"/>
      <c r="AC144"/>
      <c r="AD144"/>
      <c r="AE144"/>
      <c r="AF144"/>
      <c r="AI144" s="2"/>
      <c r="AJ144" s="3">
        <f>USA!AJ157</f>
        <v>164.82710903919664</v>
      </c>
      <c r="AK144" s="3">
        <f>USA!AK157</f>
        <v>91.529643316939641</v>
      </c>
      <c r="AL144" s="3">
        <f>USA!AL157</f>
        <v>33.655797133657956</v>
      </c>
      <c r="AR144" s="2"/>
      <c r="AS144" s="2"/>
      <c r="AT144" s="32"/>
      <c r="AV144" s="12"/>
      <c r="AW144" s="32"/>
      <c r="AX144" s="32"/>
      <c r="AY144" s="32"/>
      <c r="AZ144" s="3"/>
      <c r="BA144"/>
      <c r="BC144" s="9"/>
      <c r="BH144" s="9"/>
    </row>
    <row r="145" spans="3:65">
      <c r="C145" s="3"/>
      <c r="D145" s="3"/>
      <c r="E145" s="3"/>
      <c r="G145" s="32"/>
      <c r="J145" s="2"/>
      <c r="L145" s="37"/>
      <c r="M145" s="32"/>
      <c r="N145" s="32"/>
      <c r="O145" s="32"/>
      <c r="P145" s="37"/>
      <c r="Q145" s="2"/>
      <c r="R145" s="2"/>
      <c r="U145" s="37"/>
      <c r="W145" s="2"/>
      <c r="AI145" s="2"/>
      <c r="AJ145" s="3">
        <f>USA!AJ158</f>
        <v>166.55304735374321</v>
      </c>
      <c r="AK145" s="3">
        <f>USA!AK158</f>
        <v>91.468448273790386</v>
      </c>
      <c r="AL145" s="3">
        <f>USA!AL158</f>
        <v>34.08728171229459</v>
      </c>
      <c r="AR145" s="2"/>
      <c r="AS145" s="2"/>
      <c r="AT145" s="32"/>
      <c r="AV145" s="12"/>
      <c r="AW145" s="32"/>
      <c r="AX145" s="32"/>
      <c r="AY145" s="32"/>
      <c r="AZ145" s="3"/>
      <c r="BA145"/>
      <c r="BC145" s="9"/>
      <c r="BH145" s="9"/>
    </row>
    <row r="146" spans="3:65">
      <c r="C146" s="3"/>
      <c r="D146" s="3"/>
      <c r="E146" s="3"/>
      <c r="G146" s="32"/>
      <c r="J146" s="2"/>
      <c r="L146" s="37"/>
      <c r="M146" s="32"/>
      <c r="N146" s="32"/>
      <c r="O146" s="32"/>
      <c r="P146" s="37"/>
      <c r="Q146" s="2"/>
      <c r="R146" s="2">
        <v>1.9595440204913146</v>
      </c>
      <c r="U146" s="37"/>
      <c r="W146" s="2"/>
      <c r="AI146" s="2"/>
      <c r="AJ146" s="3">
        <f>USA!AJ159</f>
        <v>169.14195482556306</v>
      </c>
      <c r="AK146" s="3">
        <f>USA!AK159</f>
        <v>90.153207715955162</v>
      </c>
      <c r="AL146" s="3">
        <f>USA!AL159</f>
        <v>34.518766290931239</v>
      </c>
      <c r="AR146" s="2"/>
      <c r="AS146" s="2"/>
      <c r="AT146" s="32"/>
      <c r="AV146" s="12"/>
      <c r="AW146" s="32"/>
      <c r="AX146" s="32"/>
      <c r="AY146" s="32"/>
      <c r="AZ146" s="3"/>
      <c r="BA146"/>
      <c r="BC146" s="9"/>
      <c r="BH146" s="9"/>
    </row>
    <row r="147" spans="3:65">
      <c r="C147" s="3"/>
      <c r="D147" s="3"/>
      <c r="E147" s="3"/>
      <c r="G147" s="32"/>
      <c r="J147" s="2"/>
      <c r="L147" s="37"/>
      <c r="M147" s="32"/>
      <c r="N147" s="32"/>
      <c r="O147" s="32"/>
      <c r="P147" s="37"/>
      <c r="Q147" s="2"/>
      <c r="R147" s="2">
        <v>1.5657983685623933</v>
      </c>
      <c r="U147" s="37"/>
      <c r="W147" s="2"/>
      <c r="AI147" s="2"/>
      <c r="AJ147" s="3">
        <f>USA!AJ160</f>
        <v>171.73086229738288</v>
      </c>
      <c r="AK147" s="3">
        <f>USA!AK160</f>
        <v>90.054464673113912</v>
      </c>
      <c r="AL147" s="3">
        <f>USA!AL160</f>
        <v>34.950250869567881</v>
      </c>
      <c r="AR147" s="2"/>
      <c r="AS147" s="2"/>
      <c r="AT147" s="32"/>
      <c r="AV147" s="12"/>
      <c r="AW147" s="32"/>
      <c r="AX147" s="32"/>
      <c r="AY147" s="32"/>
      <c r="AZ147" s="3"/>
      <c r="BA147"/>
      <c r="BC147" s="9"/>
      <c r="BH147" s="9"/>
    </row>
    <row r="148" spans="3:65">
      <c r="C148" s="3"/>
      <c r="D148" s="3"/>
      <c r="E148" s="3"/>
      <c r="G148" s="32"/>
      <c r="J148" s="2"/>
      <c r="L148" s="37"/>
      <c r="M148" s="32"/>
      <c r="N148" s="32"/>
      <c r="O148" s="32"/>
      <c r="P148" s="37"/>
      <c r="Q148" s="2"/>
      <c r="R148" s="2">
        <f>R146/R147-1</f>
        <v>0.25146638279514311</v>
      </c>
      <c r="U148" s="37"/>
      <c r="W148" s="2"/>
      <c r="AI148" s="2"/>
      <c r="AJ148" s="3">
        <f>USA!AJ161</f>
        <v>173.45680061192945</v>
      </c>
      <c r="AK148" s="3">
        <f>USA!AK161</f>
        <v>91.250057240640103</v>
      </c>
      <c r="AL148" s="3">
        <f>USA!AL161</f>
        <v>35.381735448204516</v>
      </c>
      <c r="AR148" s="2"/>
      <c r="AS148" s="2"/>
      <c r="AT148" s="32"/>
      <c r="AV148" s="12"/>
      <c r="AW148" s="32"/>
      <c r="AX148" s="32"/>
      <c r="AY148" s="32"/>
      <c r="AZ148" s="3"/>
      <c r="BA148"/>
      <c r="BC148" s="9"/>
      <c r="BH148" s="9"/>
    </row>
    <row r="149" spans="3:65">
      <c r="C149" s="3"/>
      <c r="D149" s="3"/>
      <c r="E149" s="3"/>
      <c r="G149" s="32"/>
      <c r="J149" s="2"/>
      <c r="L149" s="37"/>
      <c r="M149" s="32"/>
      <c r="N149" s="32"/>
      <c r="O149" s="32"/>
      <c r="P149" s="37"/>
      <c r="Q149" s="2"/>
      <c r="R149" s="2"/>
      <c r="U149" s="37"/>
      <c r="W149" s="2"/>
      <c r="AI149" s="2"/>
      <c r="AJ149" s="3">
        <f>USA!AJ162</f>
        <v>175.18273892647602</v>
      </c>
      <c r="AK149" s="3">
        <f>USA!AK162</f>
        <v>91.751958188656559</v>
      </c>
      <c r="AL149" s="3">
        <f>USA!AL162</f>
        <v>36.2447046054778</v>
      </c>
      <c r="AR149" s="2"/>
      <c r="AS149" s="2"/>
      <c r="AT149" s="32"/>
      <c r="AV149" s="12"/>
      <c r="AW149" s="32"/>
      <c r="AX149" s="32"/>
      <c r="AY149" s="32"/>
      <c r="AZ149" s="3"/>
      <c r="BA149"/>
      <c r="BC149" s="9"/>
      <c r="BH149" s="9"/>
    </row>
    <row r="150" spans="3:65">
      <c r="C150" s="3"/>
      <c r="D150" s="3"/>
      <c r="E150" s="3"/>
      <c r="O150" s="2"/>
      <c r="P150" s="37"/>
      <c r="R150" s="32"/>
      <c r="S150" s="37"/>
      <c r="W150" s="2"/>
      <c r="X150" s="37"/>
      <c r="Y150" s="37"/>
      <c r="Z150" s="37"/>
      <c r="AA150" s="37"/>
      <c r="AB150" s="37"/>
      <c r="AC150" s="37"/>
      <c r="AD150" s="37"/>
      <c r="AE150" s="37"/>
      <c r="AF150" s="37"/>
      <c r="AI150" s="2"/>
      <c r="AJ150" s="3">
        <f>USA!AJ163</f>
        <v>177.77164639829587</v>
      </c>
      <c r="AK150" s="3">
        <f>USA!AK163</f>
        <v>91.990526082750478</v>
      </c>
      <c r="AL150" s="3">
        <f>USA!AL163</f>
        <v>37.107673762751077</v>
      </c>
      <c r="AR150" s="2"/>
      <c r="AS150" s="2"/>
      <c r="AT150" s="32"/>
      <c r="AV150" s="12"/>
      <c r="AW150" s="12"/>
      <c r="AX150" s="12"/>
      <c r="AY150" s="12"/>
      <c r="AZ150" s="3"/>
      <c r="BA150"/>
      <c r="BC150" s="9"/>
      <c r="BF150" s="3"/>
      <c r="BG150" s="3"/>
      <c r="BH150" s="3"/>
      <c r="BM150" s="9"/>
    </row>
    <row r="151" spans="3:65">
      <c r="C151" s="3"/>
      <c r="D151" s="3"/>
      <c r="E151" s="3"/>
      <c r="O151" s="2"/>
      <c r="P151" s="37"/>
      <c r="R151" s="32"/>
      <c r="S151" s="37"/>
      <c r="W151" s="2"/>
      <c r="X151" s="37"/>
      <c r="Y151" s="37"/>
      <c r="Z151" s="37"/>
      <c r="AA151" s="37"/>
      <c r="AB151" s="37"/>
      <c r="AC151" s="37"/>
      <c r="AD151" s="37"/>
      <c r="AE151" s="37"/>
      <c r="AF151" s="37"/>
      <c r="AI151" s="2"/>
      <c r="AJ151" s="3">
        <f>USA!AJ164</f>
        <v>180.36055387011569</v>
      </c>
      <c r="AK151" s="3">
        <f>USA!AK164</f>
        <v>92.727792343203248</v>
      </c>
      <c r="AL151" s="3">
        <f>USA!AL164</f>
        <v>37.970642920024368</v>
      </c>
      <c r="AR151" s="2"/>
      <c r="AS151" s="2"/>
      <c r="AT151" s="32"/>
      <c r="AV151" s="12"/>
      <c r="AW151" s="12"/>
      <c r="AX151" s="12"/>
      <c r="AY151" s="12"/>
      <c r="AZ151" s="3"/>
      <c r="BA151"/>
      <c r="BC151" s="9"/>
      <c r="BF151" s="3"/>
      <c r="BG151" s="3"/>
      <c r="BH151" s="3"/>
      <c r="BM151" s="9"/>
    </row>
    <row r="152" spans="3:65">
      <c r="C152" s="3"/>
      <c r="D152" s="3"/>
      <c r="E152" s="3"/>
      <c r="O152" s="2"/>
      <c r="P152" s="37"/>
      <c r="R152" s="32"/>
      <c r="S152" s="37"/>
      <c r="W152" s="2"/>
      <c r="X152" s="37"/>
      <c r="Y152" s="37"/>
      <c r="Z152" s="37"/>
      <c r="AA152" s="37"/>
      <c r="AB152" s="37"/>
      <c r="AC152" s="37"/>
      <c r="AD152" s="37"/>
      <c r="AE152" s="37"/>
      <c r="AF152" s="37"/>
      <c r="AI152" s="2"/>
      <c r="AJ152" s="3">
        <f>USA!AJ165</f>
        <v>181.22352302738898</v>
      </c>
      <c r="AK152" s="3">
        <f>USA!AK165</f>
        <v>93.367803080926592</v>
      </c>
      <c r="AL152" s="3">
        <f>USA!AL165</f>
        <v>38.833612077297637</v>
      </c>
      <c r="AR152" s="2"/>
      <c r="AS152" s="2"/>
      <c r="AT152" s="32"/>
      <c r="AV152" s="12"/>
      <c r="AW152" s="12"/>
      <c r="AX152" s="12"/>
      <c r="AY152" s="12"/>
      <c r="AZ152" s="3"/>
      <c r="BA152"/>
      <c r="BC152" s="9"/>
      <c r="BF152" s="3"/>
      <c r="BG152" s="3"/>
      <c r="BH152" s="3"/>
      <c r="BM152" s="9"/>
    </row>
    <row r="153" spans="3:65">
      <c r="C153" s="3"/>
      <c r="D153" s="3"/>
      <c r="E153" s="3"/>
      <c r="O153" s="2"/>
      <c r="P153" s="37"/>
      <c r="R153" s="32"/>
      <c r="S153" s="37"/>
      <c r="W153" s="2"/>
      <c r="X153" s="37"/>
      <c r="Y153" s="37"/>
      <c r="Z153" s="37"/>
      <c r="AA153" s="37"/>
      <c r="AB153" s="37"/>
      <c r="AC153" s="37"/>
      <c r="AD153" s="37"/>
      <c r="AE153" s="37"/>
      <c r="AF153" s="37"/>
      <c r="AI153" s="2"/>
      <c r="AJ153" s="2"/>
      <c r="AK153" s="2"/>
      <c r="AL153" s="2"/>
      <c r="AM153" s="2"/>
      <c r="AR153" s="2"/>
      <c r="AS153" s="2"/>
      <c r="AT153" s="32"/>
      <c r="AV153" s="12"/>
      <c r="AW153" s="12"/>
      <c r="AX153" s="12"/>
      <c r="AY153" s="12"/>
      <c r="AZ153" s="3"/>
      <c r="BA153"/>
      <c r="BC153" s="9"/>
      <c r="BF153" s="3"/>
      <c r="BG153" s="3"/>
      <c r="BH153" s="3"/>
      <c r="BM153" s="9"/>
    </row>
    <row r="154" spans="3:65">
      <c r="C154" s="3"/>
      <c r="D154" s="3"/>
      <c r="E154" s="3"/>
      <c r="O154" s="2"/>
      <c r="P154" s="37"/>
      <c r="Q154" s="32">
        <v>0.25</v>
      </c>
      <c r="R154" s="32"/>
      <c r="S154" s="37"/>
      <c r="W154" s="2"/>
      <c r="X154" s="37"/>
      <c r="AI154" s="2"/>
      <c r="AJ154" s="2"/>
      <c r="AK154" s="2"/>
      <c r="AL154" s="2"/>
      <c r="AM154" s="2"/>
      <c r="AO154"/>
      <c r="AP154"/>
      <c r="AQ154"/>
      <c r="AR154"/>
      <c r="AS154"/>
      <c r="AV154" s="32"/>
      <c r="AW154" s="32"/>
      <c r="AX154" s="32"/>
      <c r="AY154" s="12"/>
      <c r="AZ154" s="3"/>
      <c r="BA154"/>
      <c r="BC154" s="9"/>
      <c r="BG154" s="9"/>
    </row>
    <row r="155" spans="3:65">
      <c r="C155" s="3"/>
      <c r="D155" s="3"/>
      <c r="E155" s="3"/>
    </row>
    <row r="156" spans="3:65">
      <c r="C156" s="3"/>
      <c r="D156" s="3"/>
      <c r="E156" s="3"/>
      <c r="AH156"/>
      <c r="AK156" t="s">
        <v>2433</v>
      </c>
    </row>
    <row r="157" spans="3:65">
      <c r="C157" s="3"/>
      <c r="D157" s="3"/>
      <c r="E157" s="3"/>
      <c r="AH157"/>
      <c r="AI157" s="3" t="s">
        <v>1845</v>
      </c>
    </row>
    <row r="158" spans="3:65">
      <c r="C158" s="3"/>
      <c r="D158" s="3"/>
      <c r="E158" s="3"/>
      <c r="AH158"/>
      <c r="AK158" t="s">
        <v>2416</v>
      </c>
    </row>
    <row r="159" spans="3:65">
      <c r="C159" s="3"/>
      <c r="D159" s="3"/>
      <c r="E159" s="3"/>
      <c r="AH159">
        <v>2018</v>
      </c>
      <c r="AI159" t="s">
        <v>1968</v>
      </c>
      <c r="AJ159">
        <v>1.56</v>
      </c>
      <c r="AK159">
        <v>1.62</v>
      </c>
    </row>
    <row r="160" spans="3:65">
      <c r="C160" s="3"/>
      <c r="D160" s="3"/>
      <c r="E160" s="3"/>
      <c r="AH160"/>
      <c r="AI160" t="s">
        <v>1969</v>
      </c>
      <c r="AJ160">
        <v>1.58</v>
      </c>
      <c r="AK160">
        <v>1.73</v>
      </c>
    </row>
    <row r="161" spans="3:37">
      <c r="C161" s="3"/>
      <c r="D161" s="3"/>
      <c r="E161" s="3"/>
      <c r="AH161"/>
      <c r="AI161" t="s">
        <v>1970</v>
      </c>
      <c r="AJ161">
        <v>1.54</v>
      </c>
      <c r="AK161">
        <v>1.69</v>
      </c>
    </row>
    <row r="162" spans="3:37">
      <c r="C162" s="3"/>
      <c r="D162" s="3"/>
      <c r="E162" s="3"/>
      <c r="AH162"/>
      <c r="AI162" t="s">
        <v>1971</v>
      </c>
      <c r="AJ162">
        <v>1.58</v>
      </c>
      <c r="AK162">
        <v>1.66</v>
      </c>
    </row>
    <row r="163" spans="3:37">
      <c r="C163" s="3"/>
      <c r="D163" s="3"/>
      <c r="E163" s="3"/>
      <c r="AH163"/>
      <c r="AI163" t="s">
        <v>1972</v>
      </c>
      <c r="AJ163">
        <v>1.65</v>
      </c>
      <c r="AK163">
        <v>1.65</v>
      </c>
    </row>
    <row r="164" spans="3:37">
      <c r="C164" s="3"/>
      <c r="D164" s="3"/>
      <c r="E164" s="3"/>
      <c r="AH164"/>
      <c r="AI164" t="s">
        <v>1973</v>
      </c>
      <c r="AJ164">
        <v>1.68</v>
      </c>
      <c r="AK164">
        <v>1.72</v>
      </c>
    </row>
    <row r="165" spans="3:37">
      <c r="C165" s="3"/>
      <c r="D165" s="3"/>
      <c r="E165" s="3"/>
      <c r="AH165"/>
      <c r="AI165" t="s">
        <v>1974</v>
      </c>
      <c r="AJ165">
        <v>1.66</v>
      </c>
      <c r="AK165">
        <v>1.72</v>
      </c>
    </row>
    <row r="166" spans="3:37">
      <c r="C166" s="3"/>
      <c r="D166" s="3"/>
      <c r="E166" s="3"/>
      <c r="AH166"/>
      <c r="AI166" t="s">
        <v>1975</v>
      </c>
      <c r="AJ166">
        <v>1.66</v>
      </c>
      <c r="AK166">
        <v>1.72</v>
      </c>
    </row>
    <row r="167" spans="3:37">
      <c r="C167" s="3"/>
      <c r="D167" s="3"/>
      <c r="E167" s="3"/>
      <c r="AH167"/>
      <c r="AI167" t="s">
        <v>1976</v>
      </c>
      <c r="AJ167">
        <v>1.68</v>
      </c>
      <c r="AK167">
        <v>1.76</v>
      </c>
    </row>
    <row r="168" spans="3:37">
      <c r="AH168"/>
      <c r="AI168" t="s">
        <v>1977</v>
      </c>
      <c r="AJ168">
        <v>1.69</v>
      </c>
      <c r="AK168">
        <v>1.75</v>
      </c>
    </row>
    <row r="169" spans="3:37">
      <c r="AH169"/>
      <c r="AI169" t="s">
        <v>1978</v>
      </c>
      <c r="AJ169" s="8">
        <v>1.58</v>
      </c>
      <c r="AK169">
        <v>1.72</v>
      </c>
    </row>
    <row r="170" spans="3:37">
      <c r="AH170"/>
      <c r="AI170" t="s">
        <v>1979</v>
      </c>
      <c r="AJ170" s="8">
        <v>1.58</v>
      </c>
      <c r="AK170">
        <v>1.69</v>
      </c>
    </row>
    <row r="171" spans="3:37">
      <c r="AH171"/>
    </row>
    <row r="172" spans="3:37">
      <c r="AH172">
        <v>2018</v>
      </c>
      <c r="AJ172">
        <f>AVERAGE(AJ159:AJ170)</f>
        <v>1.6199999999999999</v>
      </c>
      <c r="AK172" s="3">
        <f>AVERAGE(AK159:AK170)</f>
        <v>1.7025000000000003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workbookViewId="0">
      <selection activeCell="BN97" sqref="BN97"/>
    </sheetView>
  </sheetViews>
  <sheetFormatPr defaultRowHeight="15"/>
  <cols>
    <col min="1" max="1" width="17.42578125" customWidth="1"/>
    <col min="2" max="7" width="14.28515625" customWidth="1"/>
  </cols>
  <sheetData>
    <row r="1" spans="1:9">
      <c r="A1" t="s">
        <v>77</v>
      </c>
    </row>
    <row r="2" spans="1:9" ht="15.75" thickBot="1"/>
    <row r="3" spans="1:9">
      <c r="A3" s="16" t="s">
        <v>78</v>
      </c>
      <c r="B3" s="16"/>
    </row>
    <row r="4" spans="1:9">
      <c r="A4" s="13" t="s">
        <v>79</v>
      </c>
      <c r="B4" s="13">
        <v>0.97660898430802601</v>
      </c>
    </row>
    <row r="5" spans="1:9">
      <c r="A5" s="13" t="s">
        <v>80</v>
      </c>
      <c r="B5" s="13">
        <v>0.95376510823115423</v>
      </c>
    </row>
    <row r="6" spans="1:9">
      <c r="A6" s="13" t="s">
        <v>81</v>
      </c>
      <c r="B6" s="13">
        <v>0.94925438708297416</v>
      </c>
    </row>
    <row r="7" spans="1:9">
      <c r="A7" s="13" t="s">
        <v>82</v>
      </c>
      <c r="B7" s="13">
        <v>0.15123252039876037</v>
      </c>
    </row>
    <row r="8" spans="1:9" ht="15.75" thickBot="1">
      <c r="A8" s="14" t="s">
        <v>83</v>
      </c>
      <c r="B8" s="14">
        <v>46</v>
      </c>
    </row>
    <row r="10" spans="1:9" ht="15.75" thickBot="1">
      <c r="A10" t="s">
        <v>84</v>
      </c>
    </row>
    <row r="11" spans="1:9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9">
      <c r="A12" s="13" t="s">
        <v>85</v>
      </c>
      <c r="B12" s="13">
        <v>4</v>
      </c>
      <c r="C12" s="13">
        <v>19.343979443522507</v>
      </c>
      <c r="D12" s="13">
        <v>4.8359948608806267</v>
      </c>
      <c r="E12" s="13">
        <v>211.44404118529167</v>
      </c>
      <c r="F12" s="13">
        <v>8.8052121435709224E-27</v>
      </c>
    </row>
    <row r="13" spans="1:9">
      <c r="A13" s="13" t="s">
        <v>86</v>
      </c>
      <c r="B13" s="13">
        <v>41</v>
      </c>
      <c r="C13" s="13">
        <v>0.93772228427262017</v>
      </c>
      <c r="D13" s="13">
        <v>2.2871275226161468E-2</v>
      </c>
      <c r="E13" s="13"/>
      <c r="F13" s="13"/>
    </row>
    <row r="14" spans="1:9" ht="15.75" thickBot="1">
      <c r="A14" s="14" t="s">
        <v>87</v>
      </c>
      <c r="B14" s="14">
        <v>45</v>
      </c>
      <c r="C14" s="14">
        <v>20.281701727795127</v>
      </c>
      <c r="D14" s="14"/>
      <c r="E14" s="14"/>
      <c r="F14" s="14"/>
    </row>
    <row r="15" spans="1:9" ht="15.75" thickBot="1"/>
    <row r="16" spans="1:9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  <c r="H16" s="15"/>
      <c r="I16" s="15"/>
    </row>
    <row r="17" spans="1:9">
      <c r="A17" s="13" t="s">
        <v>88</v>
      </c>
      <c r="B17" s="13">
        <v>0.33250614716347127</v>
      </c>
      <c r="C17" s="13">
        <v>5.9039849281676257E-2</v>
      </c>
      <c r="D17" s="13">
        <v>5.6318935635675587</v>
      </c>
      <c r="E17" s="13">
        <v>1.4428365731043688E-6</v>
      </c>
      <c r="F17" s="13">
        <v>0.21327275395978004</v>
      </c>
      <c r="G17" s="13">
        <v>0.45173954036716246</v>
      </c>
      <c r="H17" s="13"/>
      <c r="I17" s="13"/>
    </row>
    <row r="18" spans="1:9">
      <c r="A18" s="13" t="s">
        <v>229</v>
      </c>
      <c r="B18" s="13">
        <v>1.1535716960054634E-2</v>
      </c>
      <c r="C18" s="13">
        <v>6.4989550992029246E-4</v>
      </c>
      <c r="D18" s="13">
        <v>17.750110262293475</v>
      </c>
      <c r="E18" s="13">
        <v>7.4789912028130367E-21</v>
      </c>
      <c r="F18" s="13">
        <v>1.0223226365677568E-2</v>
      </c>
      <c r="G18" s="13">
        <v>1.2848207554431701E-2</v>
      </c>
      <c r="H18" s="13"/>
      <c r="I18" s="13"/>
    </row>
    <row r="19" spans="1:9">
      <c r="A19" s="13" t="s">
        <v>285</v>
      </c>
      <c r="B19" s="13">
        <v>-0.40499089626878737</v>
      </c>
      <c r="C19" s="13">
        <v>6.1555222077972413E-2</v>
      </c>
      <c r="D19" s="13">
        <v>-6.579310131572309</v>
      </c>
      <c r="E19" s="13">
        <v>6.492815238023393E-8</v>
      </c>
      <c r="F19" s="13">
        <v>-0.52930418783474842</v>
      </c>
      <c r="G19" s="13">
        <v>-0.28067760470282627</v>
      </c>
      <c r="H19" s="13"/>
      <c r="I19" s="13"/>
    </row>
    <row r="20" spans="1:9">
      <c r="A20" s="13" t="s">
        <v>245</v>
      </c>
      <c r="B20" s="13">
        <v>0.92414653063017849</v>
      </c>
      <c r="C20" s="13">
        <v>0.12508348064718097</v>
      </c>
      <c r="D20" s="13">
        <v>7.388238045892642</v>
      </c>
      <c r="E20" s="13">
        <v>4.6907521251905787E-9</v>
      </c>
      <c r="F20" s="13">
        <v>0.67153531951178536</v>
      </c>
      <c r="G20" s="13">
        <v>1.1767577417485715</v>
      </c>
      <c r="H20" s="13"/>
      <c r="I20" s="13"/>
    </row>
    <row r="21" spans="1:9" ht="15.75" thickBot="1">
      <c r="A21" s="14" t="s">
        <v>284</v>
      </c>
      <c r="B21" s="14">
        <v>-0.30019674512720101</v>
      </c>
      <c r="C21" s="14">
        <v>5.8293234343125194E-2</v>
      </c>
      <c r="D21" s="14">
        <v>-5.1497699263037147</v>
      </c>
      <c r="E21" s="14">
        <v>6.9191779017113823E-6</v>
      </c>
      <c r="F21" s="14">
        <v>-0.41792231888990261</v>
      </c>
      <c r="G21" s="14">
        <v>-0.18247117136449942</v>
      </c>
      <c r="H21" s="14"/>
      <c r="I21" s="14"/>
    </row>
  </sheetData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6"/>
  <sheetViews>
    <sheetView zoomScale="75" zoomScaleNormal="75" workbookViewId="0">
      <pane xSplit="1" ySplit="4" topLeftCell="B68" activePane="bottomRight" state="frozen"/>
      <selection activeCell="BN97" sqref="BN97"/>
      <selection pane="topRight" activeCell="BN97" sqref="BN97"/>
      <selection pane="bottomLeft" activeCell="BN97" sqref="BN97"/>
      <selection pane="bottomRight" activeCell="BN97" sqref="BN97"/>
    </sheetView>
  </sheetViews>
  <sheetFormatPr defaultRowHeight="15"/>
  <cols>
    <col min="1" max="1" width="6.7109375" customWidth="1"/>
    <col min="2" max="3" width="14.42578125" customWidth="1"/>
    <col min="4" max="7" width="14.42578125" style="2" customWidth="1"/>
    <col min="8" max="8" width="15" style="58" customWidth="1"/>
    <col min="9" max="9" width="18.5703125" style="55" customWidth="1"/>
    <col min="10" max="10" width="9.28515625" style="32" bestFit="1" customWidth="1"/>
    <col min="11" max="12" width="9.28515625" style="2" bestFit="1" customWidth="1"/>
    <col min="13" max="13" width="9.85546875" style="2" customWidth="1"/>
    <col min="14" max="14" width="8.28515625" style="2" customWidth="1"/>
    <col min="15" max="15" width="9.28515625" style="37" customWidth="1"/>
    <col min="16" max="17" width="11.5703125" style="32" customWidth="1"/>
    <col min="18" max="18" width="11" style="37" customWidth="1"/>
    <col min="19" max="19" width="18" style="2" customWidth="1"/>
    <col min="20" max="22" width="9.28515625" style="2" bestFit="1" customWidth="1"/>
    <col min="23" max="23" width="8.85546875" style="37" customWidth="1"/>
    <col min="24" max="24" width="9.28515625" style="2" bestFit="1" customWidth="1"/>
    <col min="25" max="25" width="16.7109375" style="55" customWidth="1"/>
    <col min="26" max="26" width="9.28515625" style="2" bestFit="1" customWidth="1"/>
    <col min="27" max="27" width="14.5703125" style="58" customWidth="1"/>
    <col min="28" max="28" width="13.7109375" style="55" customWidth="1"/>
    <col min="29" max="29" width="9.28515625" style="2" bestFit="1" customWidth="1"/>
    <col min="30" max="30" width="13.7109375" style="2" customWidth="1"/>
    <col min="31" max="34" width="9.140625" style="2"/>
    <col min="40" max="42" width="16.140625" style="64" customWidth="1"/>
    <col min="43" max="43" width="1.5703125" style="23" customWidth="1"/>
    <col min="44" max="44" width="18" customWidth="1"/>
    <col min="45" max="45" width="1.140625" style="23" customWidth="1"/>
    <col min="46" max="48" width="9.140625" style="3"/>
    <col min="51" max="51" width="9.140625" style="9"/>
  </cols>
  <sheetData>
    <row r="1" spans="1:54">
      <c r="A1" s="23" t="s">
        <v>212</v>
      </c>
      <c r="B1" s="23"/>
      <c r="C1" s="23"/>
      <c r="G1" s="39" t="s">
        <v>214</v>
      </c>
      <c r="AC1" s="2" t="s">
        <v>182</v>
      </c>
      <c r="AD1"/>
      <c r="AE1"/>
      <c r="AF1"/>
      <c r="AG1"/>
      <c r="AH1"/>
    </row>
    <row r="2" spans="1:54">
      <c r="D2" s="2" t="s">
        <v>45</v>
      </c>
      <c r="F2" s="2" t="s">
        <v>46</v>
      </c>
      <c r="H2" s="58" t="s">
        <v>169</v>
      </c>
      <c r="I2" s="55" t="s">
        <v>169</v>
      </c>
      <c r="J2" s="2" t="s">
        <v>169</v>
      </c>
      <c r="K2" s="2" t="s">
        <v>169</v>
      </c>
      <c r="N2" s="37"/>
      <c r="P2" s="37"/>
      <c r="Q2" s="38" t="s">
        <v>142</v>
      </c>
      <c r="S2" s="37"/>
      <c r="X2" s="37"/>
      <c r="Y2" s="56"/>
      <c r="Z2" s="37"/>
      <c r="AA2" s="59"/>
      <c r="AB2" s="56"/>
      <c r="AC2" s="2" t="s">
        <v>113</v>
      </c>
      <c r="AD2" t="s">
        <v>212</v>
      </c>
      <c r="AE2"/>
      <c r="AF2"/>
      <c r="AG2"/>
      <c r="AH2"/>
    </row>
    <row r="3" spans="1:54">
      <c r="B3" t="s">
        <v>182</v>
      </c>
      <c r="C3" t="s">
        <v>218</v>
      </c>
      <c r="D3" s="37"/>
      <c r="F3" s="37"/>
      <c r="H3" s="59"/>
      <c r="I3" s="56"/>
      <c r="J3" s="37"/>
      <c r="K3" s="37"/>
      <c r="L3" s="2" t="s">
        <v>25</v>
      </c>
      <c r="M3" s="2" t="s">
        <v>169</v>
      </c>
      <c r="N3" s="2" t="s">
        <v>5</v>
      </c>
      <c r="P3" s="38" t="s">
        <v>133</v>
      </c>
      <c r="Q3" s="38" t="s">
        <v>133</v>
      </c>
      <c r="S3" s="2" t="s">
        <v>128</v>
      </c>
      <c r="X3" s="2" t="s">
        <v>61</v>
      </c>
      <c r="Y3" s="55" t="s">
        <v>61</v>
      </c>
      <c r="Z3" s="2" t="s">
        <v>61</v>
      </c>
      <c r="AA3" s="58" t="s">
        <v>61</v>
      </c>
      <c r="AB3" s="61" t="s">
        <v>61</v>
      </c>
      <c r="AC3" s="2" t="s">
        <v>61</v>
      </c>
      <c r="AD3"/>
      <c r="AE3"/>
      <c r="AF3"/>
      <c r="AG3"/>
      <c r="AH3"/>
      <c r="AN3" s="64" t="s">
        <v>3</v>
      </c>
      <c r="AO3" s="64" t="s">
        <v>3</v>
      </c>
      <c r="AP3" s="64" t="s">
        <v>3</v>
      </c>
      <c r="AT3" s="3" t="s">
        <v>182</v>
      </c>
      <c r="AV3" s="3" t="s">
        <v>182</v>
      </c>
      <c r="AW3" t="s">
        <v>182</v>
      </c>
      <c r="AY3" s="9" t="s">
        <v>182</v>
      </c>
    </row>
    <row r="4" spans="1:54">
      <c r="B4" t="s">
        <v>227</v>
      </c>
      <c r="C4" t="s">
        <v>42</v>
      </c>
      <c r="D4" s="2" t="s">
        <v>6</v>
      </c>
      <c r="E4" s="2" t="s">
        <v>42</v>
      </c>
      <c r="F4" s="2" t="s">
        <v>6</v>
      </c>
      <c r="G4" s="2" t="s">
        <v>11</v>
      </c>
      <c r="H4" s="58" t="s">
        <v>6</v>
      </c>
      <c r="I4" s="63" t="s">
        <v>110</v>
      </c>
      <c r="J4" s="38" t="s">
        <v>135</v>
      </c>
      <c r="K4" s="41" t="s">
        <v>8</v>
      </c>
      <c r="L4" s="2" t="s">
        <v>9</v>
      </c>
      <c r="M4" s="41" t="s">
        <v>145</v>
      </c>
      <c r="N4" s="2" t="s">
        <v>10</v>
      </c>
      <c r="P4" s="38" t="s">
        <v>101</v>
      </c>
      <c r="Q4" s="38" t="s">
        <v>103</v>
      </c>
      <c r="S4" s="13" t="s">
        <v>229</v>
      </c>
      <c r="T4" s="2" t="s">
        <v>126</v>
      </c>
      <c r="U4" s="2" t="s">
        <v>126</v>
      </c>
      <c r="V4" s="2" t="s">
        <v>126</v>
      </c>
      <c r="X4" s="2" t="s">
        <v>109</v>
      </c>
      <c r="Y4" s="55" t="s">
        <v>111</v>
      </c>
      <c r="Z4" s="2" t="s">
        <v>152</v>
      </c>
      <c r="AA4" s="58" t="s">
        <v>112</v>
      </c>
      <c r="AB4" s="61" t="s">
        <v>87</v>
      </c>
      <c r="AC4" s="2" t="s">
        <v>87</v>
      </c>
      <c r="AD4" t="s">
        <v>74</v>
      </c>
      <c r="AE4"/>
      <c r="AF4"/>
      <c r="AG4"/>
      <c r="AH4"/>
      <c r="AN4" s="64" t="s">
        <v>131</v>
      </c>
      <c r="AO4" s="64" t="s">
        <v>67</v>
      </c>
      <c r="AP4" s="64" t="s">
        <v>133</v>
      </c>
      <c r="AR4" t="s">
        <v>237</v>
      </c>
      <c r="AT4" s="3" t="s">
        <v>131</v>
      </c>
      <c r="AU4" s="24" t="s">
        <v>103</v>
      </c>
      <c r="AV4" s="3" t="s">
        <v>67</v>
      </c>
      <c r="AW4" t="s">
        <v>133</v>
      </c>
      <c r="AX4" t="s">
        <v>103</v>
      </c>
      <c r="AY4" s="51" t="s">
        <v>229</v>
      </c>
      <c r="AZ4" s="3" t="s">
        <v>285</v>
      </c>
      <c r="BA4" s="3" t="s">
        <v>245</v>
      </c>
      <c r="BB4" s="3" t="s">
        <v>284</v>
      </c>
    </row>
    <row r="5" spans="1:54">
      <c r="A5">
        <v>1926</v>
      </c>
      <c r="AD5"/>
      <c r="AE5"/>
      <c r="AF5"/>
      <c r="AG5"/>
      <c r="AH5"/>
      <c r="AM5">
        <v>1926</v>
      </c>
    </row>
    <row r="6" spans="1:54">
      <c r="A6">
        <v>1927</v>
      </c>
      <c r="AD6"/>
      <c r="AE6"/>
      <c r="AF6"/>
      <c r="AG6"/>
      <c r="AH6"/>
      <c r="AM6">
        <v>1927</v>
      </c>
    </row>
    <row r="7" spans="1:54">
      <c r="A7">
        <v>1928</v>
      </c>
      <c r="AD7"/>
      <c r="AE7"/>
      <c r="AF7"/>
      <c r="AG7"/>
      <c r="AH7"/>
      <c r="AM7">
        <v>1928</v>
      </c>
    </row>
    <row r="8" spans="1:54">
      <c r="A8">
        <v>1929</v>
      </c>
      <c r="AD8"/>
      <c r="AE8"/>
      <c r="AF8"/>
      <c r="AG8"/>
      <c r="AH8"/>
      <c r="AM8">
        <v>1929</v>
      </c>
    </row>
    <row r="9" spans="1:54">
      <c r="A9">
        <v>1930</v>
      </c>
      <c r="AD9"/>
      <c r="AE9"/>
      <c r="AF9"/>
      <c r="AG9"/>
      <c r="AH9"/>
      <c r="AM9">
        <v>1930</v>
      </c>
    </row>
    <row r="10" spans="1:54">
      <c r="A10">
        <v>1931</v>
      </c>
      <c r="AD10"/>
      <c r="AE10"/>
      <c r="AF10"/>
      <c r="AG10"/>
      <c r="AH10"/>
      <c r="AM10">
        <v>1931</v>
      </c>
    </row>
    <row r="11" spans="1:54">
      <c r="A11">
        <v>1932</v>
      </c>
      <c r="AD11"/>
      <c r="AE11"/>
      <c r="AF11"/>
      <c r="AG11"/>
      <c r="AH11"/>
      <c r="AM11">
        <v>1932</v>
      </c>
    </row>
    <row r="12" spans="1:54">
      <c r="A12">
        <v>1933</v>
      </c>
      <c r="AD12"/>
      <c r="AE12"/>
      <c r="AF12"/>
      <c r="AG12"/>
      <c r="AH12"/>
      <c r="AM12">
        <v>1933</v>
      </c>
    </row>
    <row r="13" spans="1:54">
      <c r="A13">
        <v>1934</v>
      </c>
      <c r="AD13"/>
      <c r="AE13"/>
      <c r="AF13"/>
      <c r="AG13"/>
      <c r="AH13"/>
      <c r="AM13">
        <v>1934</v>
      </c>
    </row>
    <row r="14" spans="1:54">
      <c r="A14">
        <v>1935</v>
      </c>
      <c r="AD14"/>
      <c r="AE14"/>
      <c r="AF14"/>
      <c r="AG14"/>
      <c r="AH14"/>
      <c r="AM14">
        <v>1935</v>
      </c>
    </row>
    <row r="15" spans="1:54">
      <c r="A15">
        <v>1936</v>
      </c>
      <c r="AD15"/>
      <c r="AE15"/>
      <c r="AF15"/>
      <c r="AG15"/>
      <c r="AH15"/>
      <c r="AM15">
        <v>1936</v>
      </c>
    </row>
    <row r="16" spans="1:54">
      <c r="A16">
        <v>1937</v>
      </c>
      <c r="AD16"/>
      <c r="AE16"/>
      <c r="AF16"/>
      <c r="AG16"/>
      <c r="AH16"/>
      <c r="AM16">
        <v>1937</v>
      </c>
    </row>
    <row r="17" spans="1:39">
      <c r="A17">
        <v>1938</v>
      </c>
      <c r="D17"/>
      <c r="E17"/>
      <c r="F17"/>
      <c r="G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Z17"/>
      <c r="AC17"/>
      <c r="AD17"/>
      <c r="AE17"/>
      <c r="AF17"/>
      <c r="AG17"/>
      <c r="AH17"/>
      <c r="AM17">
        <v>1938</v>
      </c>
    </row>
    <row r="18" spans="1:39">
      <c r="A18">
        <v>1939</v>
      </c>
      <c r="D18"/>
      <c r="E18"/>
      <c r="F18"/>
      <c r="G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Z18"/>
      <c r="AC18"/>
      <c r="AD18"/>
      <c r="AE18"/>
      <c r="AF18"/>
      <c r="AG18"/>
      <c r="AH18"/>
      <c r="AM18">
        <v>1939</v>
      </c>
    </row>
    <row r="19" spans="1:39">
      <c r="A19">
        <v>1940</v>
      </c>
      <c r="D19"/>
      <c r="E19"/>
      <c r="F19"/>
      <c r="G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Z19"/>
      <c r="AC19"/>
      <c r="AD19"/>
      <c r="AE19"/>
      <c r="AF19"/>
      <c r="AG19"/>
      <c r="AH19"/>
      <c r="AM19">
        <v>1940</v>
      </c>
    </row>
    <row r="20" spans="1:39">
      <c r="A20">
        <v>1941</v>
      </c>
      <c r="D20"/>
      <c r="E20"/>
      <c r="F20"/>
      <c r="G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Z20"/>
      <c r="AC20"/>
      <c r="AD20"/>
      <c r="AE20"/>
      <c r="AF20"/>
      <c r="AG20"/>
      <c r="AH20"/>
      <c r="AM20">
        <v>1941</v>
      </c>
    </row>
    <row r="21" spans="1:39">
      <c r="A21">
        <v>1942</v>
      </c>
      <c r="D21"/>
      <c r="E21"/>
      <c r="F21"/>
      <c r="G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Z21"/>
      <c r="AC21"/>
      <c r="AD21"/>
      <c r="AE21"/>
      <c r="AF21"/>
      <c r="AG21"/>
      <c r="AH21"/>
      <c r="AM21">
        <v>1942</v>
      </c>
    </row>
    <row r="22" spans="1:39">
      <c r="A22">
        <v>1943</v>
      </c>
      <c r="D22"/>
      <c r="E22"/>
      <c r="F22"/>
      <c r="G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Z22"/>
      <c r="AC22"/>
      <c r="AD22"/>
      <c r="AE22"/>
      <c r="AF22"/>
      <c r="AG22"/>
      <c r="AH22"/>
      <c r="AM22">
        <v>1943</v>
      </c>
    </row>
    <row r="23" spans="1:39">
      <c r="A23">
        <v>1944</v>
      </c>
      <c r="D23"/>
      <c r="E23"/>
      <c r="F23"/>
      <c r="G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Z23"/>
      <c r="AC23"/>
      <c r="AD23"/>
      <c r="AE23"/>
      <c r="AF23"/>
      <c r="AG23"/>
      <c r="AH23"/>
      <c r="AM23">
        <v>1944</v>
      </c>
    </row>
    <row r="24" spans="1:39">
      <c r="A24">
        <v>1945</v>
      </c>
      <c r="D24"/>
      <c r="E24"/>
      <c r="F24"/>
      <c r="G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Z24"/>
      <c r="AC24"/>
      <c r="AD24"/>
      <c r="AE24"/>
      <c r="AF24"/>
      <c r="AG24"/>
      <c r="AH24"/>
      <c r="AM24">
        <v>1945</v>
      </c>
    </row>
    <row r="25" spans="1:39">
      <c r="A25">
        <v>1946</v>
      </c>
      <c r="D25"/>
      <c r="E25"/>
      <c r="F25"/>
      <c r="G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Z25"/>
      <c r="AC25"/>
      <c r="AD25"/>
      <c r="AE25"/>
      <c r="AF25"/>
      <c r="AG25"/>
      <c r="AH25"/>
      <c r="AM25">
        <v>1946</v>
      </c>
    </row>
    <row r="26" spans="1:39">
      <c r="A26">
        <v>1947</v>
      </c>
      <c r="D26"/>
      <c r="E26"/>
      <c r="F26"/>
      <c r="G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Z26"/>
      <c r="AC26"/>
      <c r="AD26"/>
      <c r="AE26"/>
      <c r="AF26"/>
      <c r="AG26"/>
      <c r="AH26"/>
      <c r="AM26">
        <v>1947</v>
      </c>
    </row>
    <row r="27" spans="1:39">
      <c r="A27">
        <v>1948</v>
      </c>
      <c r="D27"/>
      <c r="E27"/>
      <c r="F27"/>
      <c r="G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Z27"/>
      <c r="AC27"/>
      <c r="AD27"/>
      <c r="AE27"/>
      <c r="AF27"/>
      <c r="AG27"/>
      <c r="AH27"/>
      <c r="AM27">
        <v>1948</v>
      </c>
    </row>
    <row r="28" spans="1:39">
      <c r="A28">
        <v>1949</v>
      </c>
      <c r="D28"/>
      <c r="E28"/>
      <c r="F28"/>
      <c r="G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Z28"/>
      <c r="AC28"/>
      <c r="AD28"/>
      <c r="AE28"/>
      <c r="AF28"/>
      <c r="AG28"/>
      <c r="AH28"/>
      <c r="AM28">
        <v>1949</v>
      </c>
    </row>
    <row r="29" spans="1:39">
      <c r="A29">
        <v>1950</v>
      </c>
      <c r="D29"/>
      <c r="E29"/>
      <c r="F29"/>
      <c r="G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Z29"/>
      <c r="AC29"/>
      <c r="AD29"/>
      <c r="AE29"/>
      <c r="AF29"/>
      <c r="AG29"/>
      <c r="AH29"/>
      <c r="AM29">
        <v>1950</v>
      </c>
    </row>
    <row r="30" spans="1:39">
      <c r="A30">
        <v>1951</v>
      </c>
      <c r="D30"/>
      <c r="E30"/>
      <c r="F30"/>
      <c r="G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Z30"/>
      <c r="AC30"/>
      <c r="AD30"/>
      <c r="AE30"/>
      <c r="AF30"/>
      <c r="AG30"/>
      <c r="AH30"/>
      <c r="AM30">
        <v>1951</v>
      </c>
    </row>
    <row r="31" spans="1:39">
      <c r="A31">
        <v>1952</v>
      </c>
      <c r="D31"/>
      <c r="E31"/>
      <c r="F31"/>
      <c r="G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Z31"/>
      <c r="AC31"/>
      <c r="AD31"/>
      <c r="AE31"/>
      <c r="AF31"/>
      <c r="AG31"/>
      <c r="AH31"/>
      <c r="AM31">
        <v>1952</v>
      </c>
    </row>
    <row r="32" spans="1:39">
      <c r="A32">
        <v>1953</v>
      </c>
      <c r="D32"/>
      <c r="E32"/>
      <c r="F32"/>
      <c r="G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Z32"/>
      <c r="AC32"/>
      <c r="AD32"/>
      <c r="AE32"/>
      <c r="AF32"/>
      <c r="AG32"/>
      <c r="AH32"/>
      <c r="AM32">
        <v>1953</v>
      </c>
    </row>
    <row r="33" spans="1:54">
      <c r="A33">
        <v>1954</v>
      </c>
      <c r="AF33"/>
      <c r="AG33"/>
      <c r="AH33"/>
      <c r="AM33">
        <v>1954</v>
      </c>
    </row>
    <row r="34" spans="1:54">
      <c r="A34">
        <v>1955</v>
      </c>
      <c r="AF34"/>
      <c r="AG34"/>
      <c r="AH34"/>
      <c r="AM34">
        <v>1955</v>
      </c>
    </row>
    <row r="35" spans="1:54">
      <c r="A35">
        <v>1956</v>
      </c>
      <c r="AF35"/>
      <c r="AG35"/>
      <c r="AH35"/>
      <c r="AM35">
        <v>1956</v>
      </c>
    </row>
    <row r="36" spans="1:54">
      <c r="A36">
        <v>1957</v>
      </c>
      <c r="AF36"/>
      <c r="AG36"/>
      <c r="AH36"/>
      <c r="AM36">
        <v>1957</v>
      </c>
    </row>
    <row r="37" spans="1:54">
      <c r="A37">
        <v>1958</v>
      </c>
      <c r="AF37"/>
      <c r="AG37"/>
      <c r="AH37"/>
      <c r="AM37">
        <v>1958</v>
      </c>
    </row>
    <row r="38" spans="1:54">
      <c r="A38">
        <v>1959</v>
      </c>
      <c r="AF38"/>
      <c r="AG38"/>
      <c r="AH38"/>
      <c r="AM38">
        <v>1959</v>
      </c>
    </row>
    <row r="39" spans="1:54">
      <c r="A39">
        <v>1960</v>
      </c>
      <c r="AF39"/>
      <c r="AG39"/>
      <c r="AH39"/>
      <c r="AM39">
        <v>1960</v>
      </c>
    </row>
    <row r="40" spans="1:54">
      <c r="A40">
        <v>1961</v>
      </c>
      <c r="AF40"/>
      <c r="AG40"/>
      <c r="AH40"/>
      <c r="AM40">
        <v>1961</v>
      </c>
    </row>
    <row r="41" spans="1:54">
      <c r="A41">
        <v>1962</v>
      </c>
      <c r="AF41"/>
      <c r="AG41"/>
      <c r="AH41"/>
      <c r="AM41">
        <v>1962</v>
      </c>
    </row>
    <row r="42" spans="1:54">
      <c r="A42">
        <v>1963</v>
      </c>
      <c r="AF42"/>
      <c r="AG42"/>
      <c r="AH42"/>
      <c r="AM42">
        <v>1963</v>
      </c>
    </row>
    <row r="43" spans="1:54">
      <c r="A43">
        <v>1964</v>
      </c>
      <c r="AF43"/>
      <c r="AG43"/>
      <c r="AH43"/>
      <c r="AM43">
        <v>1964</v>
      </c>
    </row>
    <row r="44" spans="1:54">
      <c r="A44">
        <v>1965</v>
      </c>
      <c r="B44" s="3">
        <f>F44/C44*100</f>
        <v>74.693806648324724</v>
      </c>
      <c r="C44" s="3">
        <f t="shared" ref="C44:C87" si="0">E44/E$89*100</f>
        <v>14.459024846529534</v>
      </c>
      <c r="D44" s="2">
        <v>52.192300000000003</v>
      </c>
      <c r="E44" s="2">
        <v>20.692699999999999</v>
      </c>
      <c r="F44" s="2">
        <f>D44*E44/100</f>
        <v>10.7999960621</v>
      </c>
      <c r="I44" s="57">
        <f>AB44/X44</f>
        <v>7.0386000659549722E-7</v>
      </c>
      <c r="J44" s="32">
        <f t="shared" ref="J44:J89" si="1">Q44+AB44</f>
        <v>4.5047040422111823E-7</v>
      </c>
      <c r="P44" s="32">
        <f t="shared" ref="P44:P78" si="2">I44-AB44</f>
        <v>2.5338960237437899E-7</v>
      </c>
      <c r="Q44" s="32">
        <f t="shared" ref="Q44:Q88" si="3">Q$92+Q$93*S44+Q$94*T44+Q$95*U44+Q$96*V44</f>
        <v>0</v>
      </c>
      <c r="S44" s="68">
        <f>USA!Z52*G44</f>
        <v>0</v>
      </c>
      <c r="T44" s="2">
        <v>0</v>
      </c>
      <c r="U44" s="2">
        <v>0</v>
      </c>
      <c r="V44" s="2">
        <v>0</v>
      </c>
      <c r="X44" s="2">
        <v>0.64</v>
      </c>
      <c r="Y44" s="55">
        <f t="shared" ref="Y44:Y78" si="4">AB44-AA44</f>
        <v>3.8648313089425485E-7</v>
      </c>
      <c r="Z44" s="39">
        <v>0.1</v>
      </c>
      <c r="AA44" s="58">
        <f>Z44*(I44*(1/(1+Z44)))</f>
        <v>6.3987273326863384E-8</v>
      </c>
      <c r="AB44" s="57">
        <f>AC44*AD44/100</f>
        <v>4.5047040422111823E-7</v>
      </c>
      <c r="AC44" s="2">
        <f>AC$49*X44/X$49*AD44/AD$49</f>
        <v>0.69271022964294626</v>
      </c>
      <c r="AD44" s="58">
        <v>6.503013597089663E-5</v>
      </c>
      <c r="AF44"/>
      <c r="AG44"/>
      <c r="AH44"/>
      <c r="AM44">
        <v>1965</v>
      </c>
      <c r="AN44" s="64">
        <f>I44</f>
        <v>7.0386000659549722E-7</v>
      </c>
      <c r="AO44" s="64">
        <f t="shared" ref="AO44:AO49" si="5">AB44</f>
        <v>4.5047040422111823E-7</v>
      </c>
      <c r="AP44" s="64">
        <f>AN44-AO44</f>
        <v>2.5338960237437899E-7</v>
      </c>
      <c r="AR44" s="58">
        <v>6.503013597089663E-5</v>
      </c>
      <c r="AT44" s="3">
        <f t="shared" ref="AT44:AT52" si="6">AN44/$AR44*100</f>
        <v>1.0823597338171036</v>
      </c>
      <c r="AU44" s="3">
        <f>AX44+AV44</f>
        <v>1.2559307160075104</v>
      </c>
      <c r="AV44" s="3">
        <f>AO44/$AR44*100</f>
        <v>0.69271022964294626</v>
      </c>
      <c r="AW44" s="3">
        <f t="shared" ref="AW44:AW52" si="7">AT44-AV44</f>
        <v>0.38964950417415734</v>
      </c>
      <c r="AX44" s="3">
        <f t="shared" ref="AX44:AX88" si="8">BE$85+BE$86*AY44+BE$87*AZ44+BE$88*BA44+BE$89*BB44</f>
        <v>0.56322048636456401</v>
      </c>
      <c r="AY44" s="48">
        <v>20</v>
      </c>
      <c r="AZ44">
        <v>0</v>
      </c>
      <c r="BA44">
        <v>0</v>
      </c>
      <c r="BB44">
        <v>0</v>
      </c>
    </row>
    <row r="45" spans="1:54">
      <c r="A45">
        <v>1966</v>
      </c>
      <c r="B45" s="3">
        <f>F45/C45*100</f>
        <v>72.524647543689255</v>
      </c>
      <c r="C45" s="3">
        <f t="shared" si="0"/>
        <v>14.891495218110531</v>
      </c>
      <c r="D45" s="2">
        <v>50.676600000000001</v>
      </c>
      <c r="E45" s="2">
        <v>21.311620000000001</v>
      </c>
      <c r="F45" s="2">
        <f t="shared" ref="F45:F78" si="9">D45*E45/100</f>
        <v>10.800004420920002</v>
      </c>
      <c r="I45" s="57">
        <f>AB45/X45</f>
        <v>8.2817418461468008E-7</v>
      </c>
      <c r="J45" s="32">
        <f t="shared" si="1"/>
        <v>5.3003147815339529E-7</v>
      </c>
      <c r="P45" s="32">
        <f t="shared" si="2"/>
        <v>2.9814270646128479E-7</v>
      </c>
      <c r="Q45" s="32">
        <f t="shared" si="3"/>
        <v>0</v>
      </c>
      <c r="S45" s="2">
        <f>USA!Z53*G45</f>
        <v>0</v>
      </c>
      <c r="T45" s="2">
        <v>0</v>
      </c>
      <c r="U45" s="2">
        <v>0</v>
      </c>
      <c r="V45" s="2">
        <v>0</v>
      </c>
      <c r="X45" s="2">
        <v>0.64</v>
      </c>
      <c r="Y45" s="55">
        <f t="shared" si="4"/>
        <v>4.5474291591569708E-7</v>
      </c>
      <c r="Z45" s="39">
        <v>0.1</v>
      </c>
      <c r="AA45" s="58">
        <f t="shared" ref="AA45:AA90" si="10">Z45*(I45*(1/(1+Z45)))</f>
        <v>7.528856223769819E-8</v>
      </c>
      <c r="AB45" s="57">
        <f>AC45*AD45/100</f>
        <v>5.3003147815339529E-7</v>
      </c>
      <c r="AC45" s="2">
        <f>AC$49*X45/X$49*AD45/AD$49</f>
        <v>0.7513967303506266</v>
      </c>
      <c r="AD45" s="58">
        <v>7.0539497544268667E-5</v>
      </c>
      <c r="AF45"/>
      <c r="AG45"/>
      <c r="AH45"/>
      <c r="AM45">
        <v>1966</v>
      </c>
      <c r="AN45" s="64">
        <f>I45</f>
        <v>8.2817418461468008E-7</v>
      </c>
      <c r="AO45" s="64">
        <f t="shared" si="5"/>
        <v>5.3003147815339529E-7</v>
      </c>
      <c r="AP45" s="64">
        <f>AN45-AO45</f>
        <v>2.9814270646128479E-7</v>
      </c>
      <c r="AR45" s="58">
        <v>7.0539497544268667E-5</v>
      </c>
      <c r="AT45" s="3">
        <f t="shared" si="6"/>
        <v>1.1740573911728538</v>
      </c>
      <c r="AU45" s="3">
        <f>AX45+AV45</f>
        <v>1.3146172167151906</v>
      </c>
      <c r="AV45" s="3">
        <f>AO45/$AR45*100</f>
        <v>0.7513967303506266</v>
      </c>
      <c r="AW45" s="3">
        <f t="shared" si="7"/>
        <v>0.4226606608222272</v>
      </c>
      <c r="AX45" s="3">
        <f t="shared" si="8"/>
        <v>0.56322048636456401</v>
      </c>
      <c r="AY45" s="48">
        <v>20</v>
      </c>
      <c r="AZ45">
        <v>0</v>
      </c>
      <c r="BA45">
        <v>0</v>
      </c>
      <c r="BB45">
        <v>0</v>
      </c>
    </row>
    <row r="46" spans="1:54">
      <c r="A46">
        <v>1967</v>
      </c>
      <c r="B46" s="3">
        <f>F46/C46*100</f>
        <v>77.753269823022677</v>
      </c>
      <c r="C46" s="3">
        <f t="shared" si="0"/>
        <v>15.30482682623647</v>
      </c>
      <c r="D46" s="2">
        <v>54.330100000000002</v>
      </c>
      <c r="E46" s="2">
        <v>21.90315</v>
      </c>
      <c r="F46" s="2">
        <f t="shared" si="9"/>
        <v>11.900003298150001</v>
      </c>
      <c r="I46" s="57">
        <f>AB46/X46</f>
        <v>1.0758212749786691E-6</v>
      </c>
      <c r="J46" s="32">
        <f t="shared" si="1"/>
        <v>6.9928382873613496E-7</v>
      </c>
      <c r="P46" s="32">
        <f t="shared" si="2"/>
        <v>3.7653744624253413E-7</v>
      </c>
      <c r="Q46" s="32">
        <f t="shared" si="3"/>
        <v>0</v>
      </c>
      <c r="S46" s="2">
        <f>USA!Z54*G46</f>
        <v>0</v>
      </c>
      <c r="T46" s="2">
        <v>0</v>
      </c>
      <c r="U46" s="2">
        <v>0</v>
      </c>
      <c r="V46" s="2">
        <v>0</v>
      </c>
      <c r="X46" s="2">
        <v>0.65</v>
      </c>
      <c r="Y46" s="55">
        <f t="shared" si="4"/>
        <v>6.0148189464716499E-7</v>
      </c>
      <c r="Z46" s="39">
        <v>0.1</v>
      </c>
      <c r="AA46" s="58">
        <f t="shared" si="10"/>
        <v>9.7801934088969922E-8</v>
      </c>
      <c r="AB46" s="57">
        <f>AC46*AD46/100</f>
        <v>6.9928382873613496E-7</v>
      </c>
      <c r="AC46" s="2">
        <f>AC$49*X46/X$49*AD46/AD$49</f>
        <v>0.8697849793957152</v>
      </c>
      <c r="AD46" s="58">
        <v>8.0397321786582673E-5</v>
      </c>
      <c r="AF46"/>
      <c r="AG46"/>
      <c r="AH46"/>
      <c r="AM46">
        <v>1967</v>
      </c>
      <c r="AN46" s="64">
        <f>I46</f>
        <v>1.0758212749786691E-6</v>
      </c>
      <c r="AO46" s="64">
        <f t="shared" si="5"/>
        <v>6.9928382873613496E-7</v>
      </c>
      <c r="AP46" s="64">
        <f>AN46-AO46</f>
        <v>3.7653744624253413E-7</v>
      </c>
      <c r="AR46" s="58">
        <v>8.0397321786582673E-5</v>
      </c>
      <c r="AT46" s="3">
        <f t="shared" si="6"/>
        <v>1.3381307375318694</v>
      </c>
      <c r="AU46" s="3">
        <f>AX46+AV46</f>
        <v>1.4330054657602793</v>
      </c>
      <c r="AV46" s="3">
        <f>AO46/$AR46*100</f>
        <v>0.8697849793957152</v>
      </c>
      <c r="AW46" s="3">
        <f t="shared" si="7"/>
        <v>0.4683457581361542</v>
      </c>
      <c r="AX46" s="3">
        <f t="shared" si="8"/>
        <v>0.56322048636456401</v>
      </c>
      <c r="AY46" s="48">
        <v>20</v>
      </c>
      <c r="AZ46">
        <v>0</v>
      </c>
      <c r="BA46">
        <v>0</v>
      </c>
      <c r="BB46">
        <v>0</v>
      </c>
    </row>
    <row r="47" spans="1:54">
      <c r="A47">
        <v>1968</v>
      </c>
      <c r="B47" s="3">
        <f>F47/C47*100</f>
        <v>78.995201782515096</v>
      </c>
      <c r="C47" s="3">
        <f t="shared" si="0"/>
        <v>15.950346083448959</v>
      </c>
      <c r="D47" s="2">
        <v>55.197899999999997</v>
      </c>
      <c r="E47" s="2">
        <v>22.826969999999999</v>
      </c>
      <c r="F47" s="2">
        <f t="shared" si="9"/>
        <v>12.600008073629999</v>
      </c>
      <c r="I47" s="57">
        <f>AB47/X47</f>
        <v>1.2098477661815961E-6</v>
      </c>
      <c r="J47" s="32">
        <f t="shared" si="1"/>
        <v>1.0283706012543567E-6</v>
      </c>
      <c r="P47" s="32">
        <f t="shared" si="2"/>
        <v>1.8147716492723939E-7</v>
      </c>
      <c r="Q47" s="32">
        <f t="shared" si="3"/>
        <v>0</v>
      </c>
      <c r="S47" s="2">
        <f>USA!Z55*G47</f>
        <v>0</v>
      </c>
      <c r="T47" s="2">
        <v>0</v>
      </c>
      <c r="U47" s="2">
        <v>0</v>
      </c>
      <c r="V47" s="2">
        <v>0</v>
      </c>
      <c r="X47" s="2">
        <v>0.85</v>
      </c>
      <c r="Y47" s="55">
        <f t="shared" si="4"/>
        <v>9.1838444069239349E-7</v>
      </c>
      <c r="Z47" s="39">
        <v>0.1</v>
      </c>
      <c r="AA47" s="58">
        <f t="shared" si="10"/>
        <v>1.0998616056196328E-7</v>
      </c>
      <c r="AB47" s="57">
        <f>AC47*AD47/100</f>
        <v>1.0283706012543567E-6</v>
      </c>
      <c r="AC47" s="2">
        <f>AC$49*X47/X$49*AD47/AD$49</f>
        <v>1.2061818016659616</v>
      </c>
      <c r="AD47" s="58">
        <v>8.5258341639211064E-5</v>
      </c>
      <c r="AF47"/>
      <c r="AG47"/>
      <c r="AH47"/>
      <c r="AM47">
        <v>1968</v>
      </c>
      <c r="AN47" s="64">
        <f>I47</f>
        <v>1.2098477661815961E-6</v>
      </c>
      <c r="AO47" s="64">
        <f t="shared" si="5"/>
        <v>1.0283706012543567E-6</v>
      </c>
      <c r="AP47" s="64">
        <f>AN47-AO47</f>
        <v>1.8147716492723939E-7</v>
      </c>
      <c r="AR47" s="58">
        <v>8.5258341639211064E-5</v>
      </c>
      <c r="AT47" s="3">
        <f t="shared" si="6"/>
        <v>1.4190374137246606</v>
      </c>
      <c r="AU47" s="3">
        <f>AX47+AV47</f>
        <v>1.3644113917617382</v>
      </c>
      <c r="AV47" s="3">
        <f>AO47/$AR47*100</f>
        <v>1.2061818016659616</v>
      </c>
      <c r="AW47" s="3">
        <f t="shared" si="7"/>
        <v>0.21285561205869907</v>
      </c>
      <c r="AX47" s="3">
        <f t="shared" si="8"/>
        <v>0.15822959009577664</v>
      </c>
      <c r="AY47" s="48">
        <v>20</v>
      </c>
      <c r="AZ47" s="23">
        <v>1</v>
      </c>
      <c r="BA47">
        <v>0</v>
      </c>
      <c r="BB47">
        <v>0</v>
      </c>
    </row>
    <row r="48" spans="1:54">
      <c r="A48">
        <v>1969</v>
      </c>
      <c r="B48" s="3">
        <f>F48/C48*100</f>
        <v>74.93752756639519</v>
      </c>
      <c r="C48" s="3">
        <f t="shared" si="0"/>
        <v>16.814008114047141</v>
      </c>
      <c r="D48" s="2">
        <v>52.3626</v>
      </c>
      <c r="E48" s="2">
        <v>24.06298</v>
      </c>
      <c r="F48" s="2">
        <f t="shared" si="9"/>
        <v>12.600001965480001</v>
      </c>
      <c r="I48" s="57">
        <f>AB48/X48</f>
        <v>1.3319319455105894E-6</v>
      </c>
      <c r="J48" s="32">
        <f t="shared" si="1"/>
        <v>1.132142153684001E-6</v>
      </c>
      <c r="P48" s="32">
        <f t="shared" si="2"/>
        <v>1.9978979182658843E-7</v>
      </c>
      <c r="Q48" s="32">
        <f t="shared" si="3"/>
        <v>0</v>
      </c>
      <c r="S48" s="2">
        <f>USA!Z56*G48</f>
        <v>0</v>
      </c>
      <c r="T48" s="2">
        <v>0</v>
      </c>
      <c r="U48" s="2">
        <v>0</v>
      </c>
      <c r="V48" s="2">
        <v>0</v>
      </c>
      <c r="X48" s="2">
        <v>0.85</v>
      </c>
      <c r="Y48" s="55">
        <f t="shared" si="4"/>
        <v>1.0110574313648565E-6</v>
      </c>
      <c r="Z48" s="39">
        <v>0.1</v>
      </c>
      <c r="AA48" s="58">
        <f t="shared" si="10"/>
        <v>1.2108472231914449E-7</v>
      </c>
      <c r="AB48" s="57">
        <f>AC48*AD48/100</f>
        <v>1.132142153684001E-6</v>
      </c>
      <c r="AC48" s="2">
        <f>AC$49*X48/X$49*AD48/AD$49</f>
        <v>1.2655765697581427</v>
      </c>
      <c r="AD48" s="58">
        <v>8.9456630340458844E-5</v>
      </c>
      <c r="AF48"/>
      <c r="AG48"/>
      <c r="AH48"/>
      <c r="AM48">
        <v>1969</v>
      </c>
      <c r="AN48" s="64">
        <f>I48</f>
        <v>1.3319319455105894E-6</v>
      </c>
      <c r="AO48" s="64">
        <f t="shared" si="5"/>
        <v>1.132142153684001E-6</v>
      </c>
      <c r="AP48" s="64">
        <f>AN48-AO48</f>
        <v>1.9978979182658843E-7</v>
      </c>
      <c r="AR48" s="58">
        <v>8.9456630340458844E-5</v>
      </c>
      <c r="AT48" s="3">
        <f t="shared" si="6"/>
        <v>1.488913611480168</v>
      </c>
      <c r="AU48" s="3">
        <f>AX48+AV48</f>
        <v>1.4238061598539193</v>
      </c>
      <c r="AV48" s="3">
        <f>AO48/$AR48*100</f>
        <v>1.2655765697581427</v>
      </c>
      <c r="AW48" s="3">
        <f t="shared" si="7"/>
        <v>0.22333704172202529</v>
      </c>
      <c r="AX48" s="3">
        <f t="shared" si="8"/>
        <v>0.15822959009577664</v>
      </c>
      <c r="AY48" s="48">
        <v>20</v>
      </c>
      <c r="AZ48" s="23">
        <v>1</v>
      </c>
      <c r="BA48">
        <v>0</v>
      </c>
      <c r="BB48">
        <v>0</v>
      </c>
    </row>
    <row r="49" spans="1:54">
      <c r="A49">
        <v>1970</v>
      </c>
      <c r="B49" s="3">
        <f t="shared" ref="B49:B76" si="11">I49/G49*100/C49*100</f>
        <v>79.209463342596607</v>
      </c>
      <c r="C49" s="3">
        <f t="shared" si="0"/>
        <v>17.805240938511318</v>
      </c>
      <c r="D49" s="2">
        <v>39.244100000000003</v>
      </c>
      <c r="E49" s="2">
        <v>25.481560000000002</v>
      </c>
      <c r="F49" s="2">
        <f t="shared" si="9"/>
        <v>10.000008887960002</v>
      </c>
      <c r="G49" s="53">
        <v>1.1000000000000001E-5</v>
      </c>
      <c r="H49" s="58">
        <f t="shared" ref="H49:H78" si="12">F49*G49/100</f>
        <v>1.1000009776756004E-6</v>
      </c>
      <c r="I49" s="62">
        <f t="shared" ref="I49:I73" si="13">H49*(I$75+I$76)/(H$75+H$76)</f>
        <v>1.5513779373676239E-6</v>
      </c>
      <c r="J49" s="32">
        <f t="shared" si="1"/>
        <v>1.3652125848835091E-6</v>
      </c>
      <c r="P49" s="32">
        <f t="shared" si="2"/>
        <v>1.861653524841148E-7</v>
      </c>
      <c r="Q49" s="32">
        <f t="shared" si="3"/>
        <v>0</v>
      </c>
      <c r="S49" s="2">
        <f>USA!Z57*G49</f>
        <v>3.6850000000000008E-5</v>
      </c>
      <c r="T49" s="2">
        <v>0</v>
      </c>
      <c r="U49" s="2">
        <v>0</v>
      </c>
      <c r="V49" s="2">
        <v>0</v>
      </c>
      <c r="X49" s="2">
        <v>0.88</v>
      </c>
      <c r="Y49" s="55">
        <f t="shared" si="4"/>
        <v>1.2241782269409978E-6</v>
      </c>
      <c r="Z49" s="39">
        <v>0.1</v>
      </c>
      <c r="AA49" s="58">
        <f t="shared" si="10"/>
        <v>1.4103435794251126E-7</v>
      </c>
      <c r="AB49" s="55">
        <f t="shared" ref="AB49:AB78" si="14">I49*X49</f>
        <v>1.3652125848835091E-6</v>
      </c>
      <c r="AC49">
        <f>AB49/AD49*100</f>
        <v>1.4140669116785667</v>
      </c>
      <c r="AD49" s="58">
        <v>9.654511916009228E-5</v>
      </c>
      <c r="AE49"/>
      <c r="AF49"/>
      <c r="AG49"/>
      <c r="AH49"/>
      <c r="AM49">
        <v>1970</v>
      </c>
      <c r="AN49" s="64">
        <f t="shared" ref="AN49:AN89" si="15">I49</f>
        <v>1.5513779373676239E-6</v>
      </c>
      <c r="AO49" s="64">
        <f t="shared" si="5"/>
        <v>1.3652125848835091E-6</v>
      </c>
      <c r="AP49" s="64">
        <f t="shared" ref="AP49:AP89" si="16">AN49-AO49</f>
        <v>1.861653524841148E-7</v>
      </c>
      <c r="AR49" s="58">
        <v>9.654511916009228E-5</v>
      </c>
      <c r="AT49" s="3">
        <f t="shared" si="6"/>
        <v>1.6068942178165531</v>
      </c>
      <c r="AU49" s="3">
        <f t="shared" ref="AU49:AU89" si="17">AX49+AV49</f>
        <v>1.7818852806139689</v>
      </c>
      <c r="AV49" s="3">
        <f t="shared" ref="AV49:AV89" si="18">AO49/$AR49*100</f>
        <v>1.4140669116785667</v>
      </c>
      <c r="AW49" s="3">
        <f t="shared" si="7"/>
        <v>0.19282730613798638</v>
      </c>
      <c r="AX49" s="3">
        <f t="shared" si="8"/>
        <v>0.36781836893540232</v>
      </c>
      <c r="AY49" s="9">
        <f t="shared" ref="AY49:AY89" si="19">S49/AR49*100</f>
        <v>38.168682498485389</v>
      </c>
      <c r="AZ49" s="23">
        <v>1</v>
      </c>
      <c r="BA49">
        <v>0</v>
      </c>
      <c r="BB49">
        <v>0</v>
      </c>
    </row>
    <row r="50" spans="1:54">
      <c r="A50">
        <v>1971</v>
      </c>
      <c r="B50" s="3">
        <f t="shared" si="11"/>
        <v>88.132110940544209</v>
      </c>
      <c r="C50" s="3">
        <f t="shared" si="0"/>
        <v>18.563021376325832</v>
      </c>
      <c r="D50" s="2">
        <v>43.6648</v>
      </c>
      <c r="E50" s="2">
        <v>26.566040000000001</v>
      </c>
      <c r="F50" s="2">
        <f t="shared" si="9"/>
        <v>11.600008233920001</v>
      </c>
      <c r="G50" s="53">
        <v>1.5000000000000004E-5</v>
      </c>
      <c r="H50" s="58">
        <f t="shared" si="12"/>
        <v>1.7400012350880006E-6</v>
      </c>
      <c r="I50" s="62">
        <f t="shared" si="13"/>
        <v>2.4539973889950638E-6</v>
      </c>
      <c r="J50" s="32">
        <f t="shared" si="1"/>
        <v>2.0122778589759523E-6</v>
      </c>
      <c r="P50" s="32">
        <f t="shared" si="2"/>
        <v>4.4171953001911145E-7</v>
      </c>
      <c r="Q50" s="32">
        <f t="shared" si="3"/>
        <v>0</v>
      </c>
      <c r="S50" s="2">
        <f>USA!Z58*G50</f>
        <v>5.3400000000000017E-5</v>
      </c>
      <c r="T50" s="2">
        <v>0</v>
      </c>
      <c r="U50" s="2">
        <v>0</v>
      </c>
      <c r="V50" s="2">
        <v>0</v>
      </c>
      <c r="X50" s="2">
        <v>0.82</v>
      </c>
      <c r="Y50" s="55">
        <f t="shared" si="4"/>
        <v>1.7891871872491284E-6</v>
      </c>
      <c r="Z50" s="39">
        <v>0.1</v>
      </c>
      <c r="AA50" s="58">
        <f t="shared" si="10"/>
        <v>2.2309067172682401E-7</v>
      </c>
      <c r="AB50" s="55">
        <f t="shared" si="14"/>
        <v>2.0122778589759523E-6</v>
      </c>
      <c r="AC50">
        <f t="shared" ref="AC50:AC89" si="20">AB50/AD50*100</f>
        <v>1.7513341861632088</v>
      </c>
      <c r="AD50" s="58">
        <v>1.1489970759860597E-4</v>
      </c>
      <c r="AE50"/>
      <c r="AF50"/>
      <c r="AG50"/>
      <c r="AH50"/>
      <c r="AM50">
        <v>1971</v>
      </c>
      <c r="AN50" s="64">
        <f t="shared" si="15"/>
        <v>2.4539973889950638E-6</v>
      </c>
      <c r="AO50" s="64">
        <f t="shared" ref="AO50:AO89" si="21">AB50</f>
        <v>2.0122778589759523E-6</v>
      </c>
      <c r="AP50" s="64">
        <f t="shared" si="16"/>
        <v>4.4171953001911145E-7</v>
      </c>
      <c r="AR50" s="62">
        <v>1.1489970759860597E-4</v>
      </c>
      <c r="AT50" s="3">
        <f t="shared" si="6"/>
        <v>2.1357733977600106</v>
      </c>
      <c r="AU50" s="3">
        <f t="shared" si="17"/>
        <v>2.2149755060805361</v>
      </c>
      <c r="AV50" s="3">
        <f t="shared" si="18"/>
        <v>1.7513341861632088</v>
      </c>
      <c r="AW50" s="3">
        <f t="shared" si="7"/>
        <v>0.38443921159680183</v>
      </c>
      <c r="AX50" s="3">
        <f t="shared" si="8"/>
        <v>0.46364131991732727</v>
      </c>
      <c r="AY50" s="9">
        <f t="shared" si="19"/>
        <v>46.475314094400616</v>
      </c>
      <c r="AZ50" s="23">
        <v>1</v>
      </c>
      <c r="BA50">
        <v>0</v>
      </c>
      <c r="BB50">
        <v>0</v>
      </c>
    </row>
    <row r="51" spans="1:54">
      <c r="A51">
        <v>1972</v>
      </c>
      <c r="B51" s="3">
        <f t="shared" si="11"/>
        <v>71.485530972649286</v>
      </c>
      <c r="C51" s="3">
        <f t="shared" si="0"/>
        <v>19.17664269444656</v>
      </c>
      <c r="D51" s="2">
        <v>35.417299999999997</v>
      </c>
      <c r="E51" s="2">
        <v>27.444210000000002</v>
      </c>
      <c r="F51" s="2">
        <f t="shared" si="9"/>
        <v>9.7199981883299991</v>
      </c>
      <c r="G51" s="53">
        <v>1.3999999999999996E-5</v>
      </c>
      <c r="H51" s="58">
        <f t="shared" si="12"/>
        <v>1.3607997463661993E-6</v>
      </c>
      <c r="I51" s="62">
        <f t="shared" si="13"/>
        <v>1.9191934793994027E-6</v>
      </c>
      <c r="J51" s="32">
        <f t="shared" si="1"/>
        <v>1.2858596311975999E-6</v>
      </c>
      <c r="P51" s="32">
        <f t="shared" si="2"/>
        <v>6.3333384820180274E-7</v>
      </c>
      <c r="Q51" s="32">
        <f t="shared" si="3"/>
        <v>0</v>
      </c>
      <c r="S51" s="2">
        <f>USA!Z59*G51</f>
        <v>4.983999999999999E-5</v>
      </c>
      <c r="T51" s="2">
        <v>0</v>
      </c>
      <c r="U51" s="2">
        <v>0</v>
      </c>
      <c r="V51" s="2">
        <v>0</v>
      </c>
      <c r="X51" s="2">
        <v>0.67</v>
      </c>
      <c r="Y51" s="55">
        <f t="shared" si="4"/>
        <v>1.111387496706745E-6</v>
      </c>
      <c r="Z51" s="39">
        <v>0.1</v>
      </c>
      <c r="AA51" s="58">
        <f t="shared" si="10"/>
        <v>1.7447213449085478E-7</v>
      </c>
      <c r="AB51" s="55">
        <f t="shared" si="14"/>
        <v>1.2858596311975999E-6</v>
      </c>
      <c r="AC51">
        <f t="shared" si="20"/>
        <v>0.9696318865824618</v>
      </c>
      <c r="AD51">
        <v>1.3261317506066202E-4</v>
      </c>
      <c r="AE51"/>
      <c r="AF51"/>
      <c r="AG51"/>
      <c r="AH51"/>
      <c r="AM51">
        <v>1972</v>
      </c>
      <c r="AN51" s="64">
        <f t="shared" si="15"/>
        <v>1.9191934793994027E-6</v>
      </c>
      <c r="AO51" s="64">
        <f t="shared" si="21"/>
        <v>1.2858596311975999E-6</v>
      </c>
      <c r="AP51" s="64">
        <f t="shared" si="16"/>
        <v>6.3333384820180274E-7</v>
      </c>
      <c r="AR51" s="62">
        <v>1.3261317506066202E-4</v>
      </c>
      <c r="AT51" s="3">
        <f t="shared" si="6"/>
        <v>1.4472117710185994</v>
      </c>
      <c r="AU51" s="3">
        <f t="shared" si="17"/>
        <v>1.3306939046261297</v>
      </c>
      <c r="AV51" s="3">
        <f t="shared" si="18"/>
        <v>0.9696318865824618</v>
      </c>
      <c r="AW51" s="3">
        <f t="shared" si="7"/>
        <v>0.47757988443613764</v>
      </c>
      <c r="AX51" s="3">
        <f t="shared" si="8"/>
        <v>0.36106201804366789</v>
      </c>
      <c r="AY51" s="9">
        <f t="shared" si="19"/>
        <v>37.582992773682847</v>
      </c>
      <c r="AZ51" s="23">
        <v>1</v>
      </c>
      <c r="BA51">
        <v>0</v>
      </c>
      <c r="BB51">
        <v>0</v>
      </c>
    </row>
    <row r="52" spans="1:54">
      <c r="A52">
        <v>1973</v>
      </c>
      <c r="B52" s="3">
        <f t="shared" si="11"/>
        <v>66.468648381779389</v>
      </c>
      <c r="C52" s="3">
        <f t="shared" si="0"/>
        <v>20.369443941469338</v>
      </c>
      <c r="D52" s="2">
        <v>32.931699999999999</v>
      </c>
      <c r="E52" s="2">
        <v>29.151260000000001</v>
      </c>
      <c r="F52" s="2">
        <f t="shared" si="9"/>
        <v>9.6000054894200009</v>
      </c>
      <c r="G52" s="53">
        <v>1.3999999999999996E-5</v>
      </c>
      <c r="H52" s="58">
        <f t="shared" si="12"/>
        <v>1.3440007685187998E-6</v>
      </c>
      <c r="I52" s="62">
        <f t="shared" si="13"/>
        <v>1.895501169909048E-6</v>
      </c>
      <c r="J52" s="32">
        <f t="shared" si="1"/>
        <v>1.2699857838390623E-6</v>
      </c>
      <c r="P52" s="32">
        <f t="shared" si="2"/>
        <v>6.2551538606998578E-7</v>
      </c>
      <c r="Q52" s="32">
        <f t="shared" si="3"/>
        <v>0</v>
      </c>
      <c r="S52" s="2">
        <f>USA!Z60*G52</f>
        <v>5.4179999999999986E-5</v>
      </c>
      <c r="T52" s="2">
        <v>0</v>
      </c>
      <c r="U52" s="2">
        <v>0</v>
      </c>
      <c r="V52" s="2">
        <v>0</v>
      </c>
      <c r="X52" s="2">
        <v>0.67</v>
      </c>
      <c r="Y52" s="55">
        <f t="shared" si="4"/>
        <v>1.0976674956655125E-6</v>
      </c>
      <c r="Z52" s="39">
        <v>0.1</v>
      </c>
      <c r="AA52" s="58">
        <f t="shared" si="10"/>
        <v>1.7231828817354983E-7</v>
      </c>
      <c r="AB52" s="55">
        <f t="shared" si="14"/>
        <v>1.2699857838390623E-6</v>
      </c>
      <c r="AC52">
        <f t="shared" si="20"/>
        <v>0.84051011934784281</v>
      </c>
      <c r="AD52">
        <v>1.5109702484301468E-4</v>
      </c>
      <c r="AE52"/>
      <c r="AF52"/>
      <c r="AG52"/>
      <c r="AH52"/>
      <c r="AM52">
        <v>1973</v>
      </c>
      <c r="AN52" s="64">
        <f t="shared" si="15"/>
        <v>1.895501169909048E-6</v>
      </c>
      <c r="AO52" s="64">
        <f t="shared" si="21"/>
        <v>1.2699857838390623E-6</v>
      </c>
      <c r="AP52" s="64">
        <f t="shared" si="16"/>
        <v>6.2551538606998578E-7</v>
      </c>
      <c r="AR52" s="55">
        <v>1.5109702484301468E-4</v>
      </c>
      <c r="AT52" s="3">
        <f t="shared" si="6"/>
        <v>1.2544927154445413</v>
      </c>
      <c r="AU52" s="3">
        <f t="shared" si="17"/>
        <v>1.1816702752597643</v>
      </c>
      <c r="AV52" s="3">
        <f t="shared" si="18"/>
        <v>0.84051011934784281</v>
      </c>
      <c r="AW52" s="3">
        <f t="shared" si="7"/>
        <v>0.41398259609669852</v>
      </c>
      <c r="AX52" s="3">
        <f t="shared" si="8"/>
        <v>0.3411601559119215</v>
      </c>
      <c r="AY52" s="9">
        <f>S52/AR52*100</f>
        <v>35.85775435108097</v>
      </c>
      <c r="AZ52" s="23">
        <v>1</v>
      </c>
      <c r="BA52">
        <v>0</v>
      </c>
      <c r="BB52">
        <v>0</v>
      </c>
    </row>
    <row r="53" spans="1:54">
      <c r="A53">
        <v>1974</v>
      </c>
      <c r="B53" s="3">
        <f t="shared" si="11"/>
        <v>106.50561589425678</v>
      </c>
      <c r="C53" s="3">
        <f t="shared" si="0"/>
        <v>22.617266903639468</v>
      </c>
      <c r="D53" s="2">
        <v>52.767899999999997</v>
      </c>
      <c r="E53" s="2">
        <v>32.368180000000002</v>
      </c>
      <c r="F53" s="2">
        <f t="shared" si="9"/>
        <v>17.080008854220001</v>
      </c>
      <c r="G53" s="53">
        <v>1.3999999999999996E-5</v>
      </c>
      <c r="H53" s="58">
        <f t="shared" si="12"/>
        <v>2.3912012395907996E-6</v>
      </c>
      <c r="I53" s="62">
        <f t="shared" si="13"/>
        <v>3.3724123179836752E-6</v>
      </c>
      <c r="J53" s="32">
        <f t="shared" si="1"/>
        <v>1.4164131735531436E-6</v>
      </c>
      <c r="P53" s="32">
        <f t="shared" si="2"/>
        <v>1.9559991444305315E-6</v>
      </c>
      <c r="Q53" s="32">
        <f t="shared" si="3"/>
        <v>0</v>
      </c>
      <c r="S53" s="2">
        <f>USA!Z61*G53</f>
        <v>1.7191999999999994E-4</v>
      </c>
      <c r="T53" s="2">
        <v>0</v>
      </c>
      <c r="U53" s="2">
        <v>0</v>
      </c>
      <c r="V53" s="2">
        <v>0</v>
      </c>
      <c r="X53" s="2">
        <v>0.42</v>
      </c>
      <c r="Y53" s="55">
        <f t="shared" si="4"/>
        <v>1.1098302355546277E-6</v>
      </c>
      <c r="Z53" s="39">
        <v>0.1</v>
      </c>
      <c r="AA53" s="58">
        <f t="shared" si="10"/>
        <v>3.0658293799851595E-7</v>
      </c>
      <c r="AB53" s="55">
        <f t="shared" si="14"/>
        <v>1.4164131735531436E-6</v>
      </c>
      <c r="AC53">
        <f t="shared" si="20"/>
        <v>0.75660490509361555</v>
      </c>
      <c r="AD53">
        <v>1.8720644870494056E-4</v>
      </c>
      <c r="AE53"/>
      <c r="AF53"/>
      <c r="AG53"/>
      <c r="AH53"/>
      <c r="AM53">
        <v>1974</v>
      </c>
      <c r="AN53" s="64">
        <f t="shared" si="15"/>
        <v>3.3724123179836752E-6</v>
      </c>
      <c r="AO53" s="64">
        <f t="shared" si="21"/>
        <v>1.4164131735531436E-6</v>
      </c>
      <c r="AP53" s="64">
        <f t="shared" si="16"/>
        <v>1.9559991444305315E-6</v>
      </c>
      <c r="AR53" s="55">
        <v>1.8720644870494056E-4</v>
      </c>
      <c r="AT53" s="3">
        <f t="shared" ref="AT53:AT89" si="22">AN53/$AR53*100</f>
        <v>1.8014402502228941</v>
      </c>
      <c r="AU53" s="3">
        <f t="shared" si="17"/>
        <v>1.7434963011436309</v>
      </c>
      <c r="AV53" s="3">
        <f t="shared" si="18"/>
        <v>0.75660490509361555</v>
      </c>
      <c r="AW53" s="3">
        <f t="shared" ref="AW53:AW89" si="23">AT53-AV53</f>
        <v>1.0448353451292784</v>
      </c>
      <c r="AX53" s="3">
        <f t="shared" si="8"/>
        <v>0.98689139605001541</v>
      </c>
      <c r="AY53" s="9">
        <f>S53/AR53*100</f>
        <v>91.834443305404577</v>
      </c>
      <c r="AZ53" s="23">
        <v>1</v>
      </c>
      <c r="BA53">
        <v>0</v>
      </c>
      <c r="BB53">
        <v>0</v>
      </c>
    </row>
    <row r="54" spans="1:54">
      <c r="A54">
        <v>1975</v>
      </c>
      <c r="B54" s="3">
        <f t="shared" si="11"/>
        <v>93.59364240282089</v>
      </c>
      <c r="C54" s="3">
        <f t="shared" si="0"/>
        <v>24.682660206706046</v>
      </c>
      <c r="D54" s="2">
        <v>46.370699999999999</v>
      </c>
      <c r="E54" s="2">
        <v>35.324019999999997</v>
      </c>
      <c r="F54" s="2">
        <f t="shared" si="9"/>
        <v>16.379995342139999</v>
      </c>
      <c r="G54" s="53">
        <v>1.4333333333333336E-5</v>
      </c>
      <c r="H54" s="58">
        <f t="shared" si="12"/>
        <v>2.3477993323734004E-6</v>
      </c>
      <c r="I54" s="62">
        <f t="shared" si="13"/>
        <v>3.3112007712093896E-6</v>
      </c>
      <c r="J54" s="32">
        <f t="shared" si="1"/>
        <v>1.3907043239079435E-6</v>
      </c>
      <c r="P54" s="32">
        <f t="shared" si="2"/>
        <v>1.9204964473014463E-6</v>
      </c>
      <c r="Q54" s="32">
        <f t="shared" si="3"/>
        <v>0</v>
      </c>
      <c r="S54" s="2">
        <f>USA!Z62*G54</f>
        <v>1.8160333333333336E-4</v>
      </c>
      <c r="T54" s="2">
        <v>0</v>
      </c>
      <c r="U54" s="2">
        <v>0</v>
      </c>
      <c r="V54" s="2">
        <v>0</v>
      </c>
      <c r="X54" s="2">
        <v>0.42</v>
      </c>
      <c r="Y54" s="55">
        <f t="shared" si="4"/>
        <v>1.0896860719798171E-6</v>
      </c>
      <c r="Z54" s="39">
        <v>0.1</v>
      </c>
      <c r="AA54" s="58">
        <f t="shared" si="10"/>
        <v>3.0101825192812633E-7</v>
      </c>
      <c r="AB54" s="55">
        <f t="shared" si="14"/>
        <v>1.3907043239079435E-6</v>
      </c>
      <c r="AC54">
        <f t="shared" si="20"/>
        <v>0.61279242540052237</v>
      </c>
      <c r="AD54">
        <v>2.2694541679410876E-4</v>
      </c>
      <c r="AE54"/>
      <c r="AF54"/>
      <c r="AG54"/>
      <c r="AH54"/>
      <c r="AM54">
        <v>1975</v>
      </c>
      <c r="AN54" s="64">
        <f t="shared" si="15"/>
        <v>3.3112007712093896E-6</v>
      </c>
      <c r="AO54" s="64">
        <f t="shared" si="21"/>
        <v>1.3907043239079435E-6</v>
      </c>
      <c r="AP54" s="64">
        <f t="shared" si="16"/>
        <v>1.9204964473014463E-6</v>
      </c>
      <c r="AR54" s="55">
        <v>2.2694541679410876E-4</v>
      </c>
      <c r="AT54" s="3">
        <f t="shared" si="22"/>
        <v>1.4590295842869581</v>
      </c>
      <c r="AU54" s="3">
        <f t="shared" si="17"/>
        <v>1.4634039352676282</v>
      </c>
      <c r="AV54" s="3">
        <f t="shared" si="18"/>
        <v>0.61279242540052237</v>
      </c>
      <c r="AW54" s="3">
        <f t="shared" si="23"/>
        <v>0.84623715888643569</v>
      </c>
      <c r="AX54" s="3">
        <f t="shared" si="8"/>
        <v>0.85061150986710587</v>
      </c>
      <c r="AY54" s="9">
        <f t="shared" si="19"/>
        <v>80.020709780664561</v>
      </c>
      <c r="AZ54" s="23">
        <v>1</v>
      </c>
      <c r="BA54">
        <v>0</v>
      </c>
      <c r="BB54">
        <v>0</v>
      </c>
    </row>
    <row r="55" spans="1:54">
      <c r="A55">
        <v>1976</v>
      </c>
      <c r="B55" s="3">
        <f t="shared" si="11"/>
        <v>81.490433336136221</v>
      </c>
      <c r="C55" s="3">
        <f t="shared" si="0"/>
        <v>26.098712089869402</v>
      </c>
      <c r="D55" s="2">
        <v>40.374200000000002</v>
      </c>
      <c r="E55" s="2">
        <v>37.350569999999998</v>
      </c>
      <c r="F55" s="2">
        <f t="shared" si="9"/>
        <v>15.07999383294</v>
      </c>
      <c r="G55" s="53">
        <v>1.591666666666667E-5</v>
      </c>
      <c r="H55" s="58">
        <f t="shared" si="12"/>
        <v>2.4002323517429504E-6</v>
      </c>
      <c r="I55" s="62">
        <f t="shared" si="13"/>
        <v>3.3851492777019704E-6</v>
      </c>
      <c r="J55" s="32">
        <f t="shared" si="1"/>
        <v>1.4217626966348276E-6</v>
      </c>
      <c r="P55" s="32">
        <f t="shared" si="2"/>
        <v>1.9633865810671427E-6</v>
      </c>
      <c r="Q55" s="32">
        <f t="shared" si="3"/>
        <v>0</v>
      </c>
      <c r="S55" s="2">
        <f>USA!Z63*G55</f>
        <v>2.1201000000000005E-4</v>
      </c>
      <c r="T55" s="2">
        <v>0</v>
      </c>
      <c r="U55" s="2">
        <v>0</v>
      </c>
      <c r="V55" s="2">
        <v>0</v>
      </c>
      <c r="X55" s="2">
        <v>0.42</v>
      </c>
      <c r="Y55" s="55">
        <f t="shared" si="4"/>
        <v>1.1140218532073757E-6</v>
      </c>
      <c r="Z55" s="39">
        <v>0.1</v>
      </c>
      <c r="AA55" s="58">
        <f t="shared" si="10"/>
        <v>3.0774084342745186E-7</v>
      </c>
      <c r="AB55" s="55">
        <f t="shared" si="14"/>
        <v>1.4217626966348276E-6</v>
      </c>
      <c r="AC55">
        <f t="shared" si="20"/>
        <v>0.53337375025410927</v>
      </c>
      <c r="AD55">
        <v>2.6656030521889632E-4</v>
      </c>
      <c r="AE55"/>
      <c r="AF55"/>
      <c r="AG55"/>
      <c r="AH55"/>
      <c r="AM55">
        <v>1976</v>
      </c>
      <c r="AN55" s="64">
        <f t="shared" si="15"/>
        <v>3.3851492777019704E-6</v>
      </c>
      <c r="AO55" s="64">
        <f t="shared" si="21"/>
        <v>1.4217626966348276E-6</v>
      </c>
      <c r="AP55" s="64">
        <f t="shared" si="16"/>
        <v>1.9633865810671427E-6</v>
      </c>
      <c r="AR55" s="55">
        <v>2.6656030521889632E-4</v>
      </c>
      <c r="AT55" s="3">
        <f t="shared" si="22"/>
        <v>1.2699375006050222</v>
      </c>
      <c r="AU55" s="3">
        <f t="shared" si="17"/>
        <v>1.3783877077520934</v>
      </c>
      <c r="AV55" s="3">
        <f t="shared" si="18"/>
        <v>0.53337375025410927</v>
      </c>
      <c r="AW55" s="3">
        <f t="shared" si="23"/>
        <v>0.73656375035091293</v>
      </c>
      <c r="AX55" s="3">
        <f t="shared" si="8"/>
        <v>0.84501395749798425</v>
      </c>
      <c r="AY55" s="9">
        <f t="shared" si="19"/>
        <v>79.535473155277131</v>
      </c>
      <c r="AZ55" s="23">
        <v>1</v>
      </c>
      <c r="BA55">
        <v>0</v>
      </c>
      <c r="BB55">
        <v>0</v>
      </c>
    </row>
    <row r="56" spans="1:54">
      <c r="A56">
        <v>1977</v>
      </c>
      <c r="B56" s="3">
        <f t="shared" si="11"/>
        <v>141.22920095562978</v>
      </c>
      <c r="C56" s="3">
        <f t="shared" si="0"/>
        <v>27.791594761847083</v>
      </c>
      <c r="D56" s="2">
        <v>69.971599999999995</v>
      </c>
      <c r="E56" s="2">
        <v>39.773299999999999</v>
      </c>
      <c r="F56" s="2">
        <f t="shared" si="9"/>
        <v>27.830014382799995</v>
      </c>
      <c r="G56" s="53">
        <v>1.8E-5</v>
      </c>
      <c r="H56" s="58">
        <f t="shared" si="12"/>
        <v>5.0094025889039996E-6</v>
      </c>
      <c r="I56" s="62">
        <f t="shared" si="13"/>
        <v>7.0649724986969939E-6</v>
      </c>
      <c r="J56" s="32">
        <f t="shared" si="1"/>
        <v>2.7200144119983428E-6</v>
      </c>
      <c r="P56" s="32">
        <f t="shared" si="2"/>
        <v>4.3449580866986511E-6</v>
      </c>
      <c r="Q56" s="32">
        <f t="shared" si="3"/>
        <v>0</v>
      </c>
      <c r="S56" s="2">
        <f>USA!Z64*G56</f>
        <v>2.5848000000000001E-4</v>
      </c>
      <c r="T56" s="2">
        <v>0</v>
      </c>
      <c r="U56" s="2">
        <v>0</v>
      </c>
      <c r="V56" s="2">
        <v>0</v>
      </c>
      <c r="X56" s="2">
        <v>0.38500000000000001</v>
      </c>
      <c r="Y56" s="55">
        <f t="shared" si="4"/>
        <v>2.0777441848440707E-6</v>
      </c>
      <c r="Z56" s="39">
        <v>0.1</v>
      </c>
      <c r="AA56" s="58">
        <f t="shared" si="10"/>
        <v>6.422702271542722E-7</v>
      </c>
      <c r="AB56" s="55">
        <f t="shared" si="14"/>
        <v>2.7200144119983428E-6</v>
      </c>
      <c r="AC56">
        <f t="shared" si="20"/>
        <v>0.80994534882049585</v>
      </c>
      <c r="AD56">
        <v>3.3582690683506424E-4</v>
      </c>
      <c r="AE56"/>
      <c r="AF56"/>
      <c r="AG56"/>
      <c r="AH56"/>
      <c r="AM56">
        <v>1977</v>
      </c>
      <c r="AN56" s="64">
        <f t="shared" si="15"/>
        <v>7.0649724986969939E-6</v>
      </c>
      <c r="AO56" s="64">
        <f t="shared" si="21"/>
        <v>2.7200144119983428E-6</v>
      </c>
      <c r="AP56" s="64">
        <f t="shared" si="16"/>
        <v>4.3449580866986511E-6</v>
      </c>
      <c r="AR56" s="55">
        <v>3.3582690683506424E-4</v>
      </c>
      <c r="AT56" s="3">
        <f t="shared" si="22"/>
        <v>2.1037541527805086</v>
      </c>
      <c r="AU56" s="3">
        <f t="shared" si="17"/>
        <v>2.0303351226819788</v>
      </c>
      <c r="AV56" s="3">
        <f t="shared" si="18"/>
        <v>0.80994534882049585</v>
      </c>
      <c r="AW56" s="3">
        <f t="shared" si="23"/>
        <v>1.2938088039600126</v>
      </c>
      <c r="AX56" s="3">
        <f t="shared" si="8"/>
        <v>1.2203897738614831</v>
      </c>
      <c r="AY56" s="9">
        <f t="shared" si="19"/>
        <v>76.968222241628808</v>
      </c>
      <c r="AZ56">
        <v>0</v>
      </c>
      <c r="BA56">
        <v>0</v>
      </c>
      <c r="BB56">
        <v>0</v>
      </c>
    </row>
    <row r="57" spans="1:54">
      <c r="A57">
        <v>1978</v>
      </c>
      <c r="B57" s="3">
        <f t="shared" si="11"/>
        <v>171.59651883971182</v>
      </c>
      <c r="C57" s="3">
        <f t="shared" si="0"/>
        <v>29.916940817905406</v>
      </c>
      <c r="D57" s="2">
        <v>85.016999999999996</v>
      </c>
      <c r="E57" s="2">
        <v>42.81494</v>
      </c>
      <c r="F57" s="2">
        <f t="shared" si="9"/>
        <v>36.399977539799998</v>
      </c>
      <c r="G57" s="53">
        <v>2.3500000000000005E-5</v>
      </c>
      <c r="H57" s="58">
        <f t="shared" si="12"/>
        <v>8.5539947218530007E-6</v>
      </c>
      <c r="I57" s="62">
        <f t="shared" si="13"/>
        <v>1.2064060811912685E-5</v>
      </c>
      <c r="J57" s="32">
        <f t="shared" si="1"/>
        <v>4.6446634125863836E-6</v>
      </c>
      <c r="P57" s="32">
        <f t="shared" si="2"/>
        <v>7.4193973993263017E-6</v>
      </c>
      <c r="Q57" s="32">
        <f t="shared" si="3"/>
        <v>0</v>
      </c>
      <c r="S57" s="2">
        <f>USA!Z65*G57</f>
        <v>3.3699000000000007E-4</v>
      </c>
      <c r="T57" s="2">
        <v>0</v>
      </c>
      <c r="U57" s="2">
        <v>0</v>
      </c>
      <c r="V57" s="2">
        <v>0</v>
      </c>
      <c r="X57" s="2">
        <v>0.38500000000000001</v>
      </c>
      <c r="Y57" s="55">
        <f t="shared" si="4"/>
        <v>3.5479306115034121E-6</v>
      </c>
      <c r="Z57" s="39">
        <v>0.1</v>
      </c>
      <c r="AA57" s="58">
        <f t="shared" si="10"/>
        <v>1.0967328010829714E-6</v>
      </c>
      <c r="AB57" s="55">
        <f t="shared" si="14"/>
        <v>4.6446634125863836E-6</v>
      </c>
      <c r="AC57">
        <f t="shared" si="20"/>
        <v>0.85427912797928718</v>
      </c>
      <c r="AD57">
        <v>5.4369388885490801E-4</v>
      </c>
      <c r="AE57"/>
      <c r="AF57"/>
      <c r="AG57"/>
      <c r="AH57"/>
      <c r="AM57">
        <v>1978</v>
      </c>
      <c r="AN57" s="64">
        <f t="shared" si="15"/>
        <v>1.2064060811912685E-5</v>
      </c>
      <c r="AO57" s="64">
        <f t="shared" si="21"/>
        <v>4.6446634125863836E-6</v>
      </c>
      <c r="AP57" s="64">
        <f t="shared" si="16"/>
        <v>7.4193973993263017E-6</v>
      </c>
      <c r="AR57" s="55">
        <v>5.4369388885490801E-4</v>
      </c>
      <c r="AT57" s="3">
        <f t="shared" si="22"/>
        <v>2.2189068259202269</v>
      </c>
      <c r="AU57" s="3">
        <f t="shared" si="17"/>
        <v>1.9017871057787881</v>
      </c>
      <c r="AV57" s="3">
        <f t="shared" si="18"/>
        <v>0.85427912797928718</v>
      </c>
      <c r="AW57" s="3">
        <f t="shared" si="23"/>
        <v>1.3646276979409397</v>
      </c>
      <c r="AX57" s="3">
        <f t="shared" si="8"/>
        <v>1.0475079777995009</v>
      </c>
      <c r="AY57" s="9">
        <f t="shared" si="19"/>
        <v>61.981568472241989</v>
      </c>
      <c r="AZ57">
        <v>0</v>
      </c>
      <c r="BA57">
        <v>0</v>
      </c>
      <c r="BB57">
        <v>0</v>
      </c>
    </row>
    <row r="58" spans="1:54">
      <c r="A58">
        <v>1979</v>
      </c>
      <c r="B58" s="3">
        <f t="shared" si="11"/>
        <v>180.15161964018702</v>
      </c>
      <c r="C58" s="3">
        <f t="shared" si="0"/>
        <v>33.287054161079702</v>
      </c>
      <c r="D58" s="2">
        <v>89.255600000000001</v>
      </c>
      <c r="E58" s="2">
        <v>47.637999999999998</v>
      </c>
      <c r="F58" s="2">
        <f t="shared" si="9"/>
        <v>42.519582727999996</v>
      </c>
      <c r="G58" s="53">
        <v>3.0333333333333326E-5</v>
      </c>
      <c r="H58" s="58">
        <f t="shared" si="12"/>
        <v>1.2897606760826662E-5</v>
      </c>
      <c r="I58" s="62">
        <f t="shared" si="13"/>
        <v>1.8190040717846372E-5</v>
      </c>
      <c r="J58" s="32">
        <f t="shared" si="1"/>
        <v>7.0031656763708536E-6</v>
      </c>
      <c r="P58" s="32">
        <f t="shared" si="2"/>
        <v>1.1186875041475518E-5</v>
      </c>
      <c r="Q58" s="32">
        <f t="shared" si="3"/>
        <v>0</v>
      </c>
      <c r="S58" s="2">
        <f>USA!Z66*G58</f>
        <v>6.5004333333333315E-4</v>
      </c>
      <c r="T58" s="2">
        <v>0</v>
      </c>
      <c r="U58" s="2">
        <v>0</v>
      </c>
      <c r="V58" s="2">
        <v>0</v>
      </c>
      <c r="X58" s="2">
        <v>0.38500000000000001</v>
      </c>
      <c r="Y58" s="55">
        <f t="shared" si="4"/>
        <v>5.349525611112093E-6</v>
      </c>
      <c r="Z58" s="39">
        <v>0.1</v>
      </c>
      <c r="AA58" s="58">
        <f t="shared" si="10"/>
        <v>1.653640065258761E-6</v>
      </c>
      <c r="AB58" s="55">
        <f t="shared" si="14"/>
        <v>7.0031656763708536E-6</v>
      </c>
      <c r="AC58">
        <f t="shared" si="20"/>
        <v>0.78760375250054671</v>
      </c>
      <c r="AD58">
        <v>8.8917373160509329E-4</v>
      </c>
      <c r="AE58"/>
      <c r="AF58"/>
      <c r="AG58"/>
      <c r="AH58"/>
      <c r="AM58">
        <v>1979</v>
      </c>
      <c r="AN58" s="64">
        <f t="shared" si="15"/>
        <v>1.8190040717846372E-5</v>
      </c>
      <c r="AO58" s="64">
        <f t="shared" si="21"/>
        <v>7.0031656763708536E-6</v>
      </c>
      <c r="AP58" s="64">
        <f t="shared" si="16"/>
        <v>1.1186875041475518E-5</v>
      </c>
      <c r="AR58" s="55">
        <v>8.8917373160509329E-4</v>
      </c>
      <c r="AT58" s="3">
        <f t="shared" si="22"/>
        <v>2.0457240324689518</v>
      </c>
      <c r="AU58" s="3">
        <f t="shared" si="17"/>
        <v>1.9634451938328481</v>
      </c>
      <c r="AV58" s="3">
        <f t="shared" si="18"/>
        <v>0.78760375250054671</v>
      </c>
      <c r="AW58" s="3">
        <f t="shared" si="23"/>
        <v>1.2581202799684053</v>
      </c>
      <c r="AX58" s="3">
        <f t="shared" si="8"/>
        <v>1.1758414413323015</v>
      </c>
      <c r="AY58" s="9">
        <f t="shared" si="19"/>
        <v>73.106448180819115</v>
      </c>
      <c r="AZ58">
        <v>0</v>
      </c>
      <c r="BA58">
        <v>0</v>
      </c>
      <c r="BB58">
        <v>0</v>
      </c>
    </row>
    <row r="59" spans="1:54">
      <c r="A59">
        <v>1980</v>
      </c>
      <c r="B59" s="3">
        <f t="shared" si="11"/>
        <v>181.55419113696672</v>
      </c>
      <c r="C59" s="3">
        <f t="shared" si="0"/>
        <v>37.784321185500851</v>
      </c>
      <c r="D59" s="2">
        <v>89.950500000000005</v>
      </c>
      <c r="E59" s="2">
        <v>54.074159999999999</v>
      </c>
      <c r="F59" s="2">
        <f t="shared" si="9"/>
        <v>48.639977290799997</v>
      </c>
      <c r="G59" s="53">
        <v>7.4333333333333329E-5</v>
      </c>
      <c r="H59" s="58">
        <f t="shared" si="12"/>
        <v>3.6155716452827995E-5</v>
      </c>
      <c r="I59" s="62">
        <f t="shared" si="13"/>
        <v>5.0991937237331012E-5</v>
      </c>
      <c r="J59" s="32">
        <f t="shared" si="1"/>
        <v>1.7847178033065853E-5</v>
      </c>
      <c r="P59" s="32">
        <f t="shared" si="2"/>
        <v>3.3144759204265162E-5</v>
      </c>
      <c r="Q59" s="32">
        <f t="shared" si="3"/>
        <v>0</v>
      </c>
      <c r="S59" s="2">
        <f>USA!Z67*G59</f>
        <v>2.5117233333333332E-3</v>
      </c>
      <c r="T59" s="2">
        <v>0</v>
      </c>
      <c r="U59" s="2">
        <v>0</v>
      </c>
      <c r="V59" s="2">
        <v>0</v>
      </c>
      <c r="X59" s="2">
        <v>0.35</v>
      </c>
      <c r="Y59" s="55">
        <f t="shared" si="4"/>
        <v>1.321154737512667E-5</v>
      </c>
      <c r="Z59" s="39">
        <v>0.1</v>
      </c>
      <c r="AA59" s="58">
        <f t="shared" si="10"/>
        <v>4.6356306579391832E-6</v>
      </c>
      <c r="AB59" s="55">
        <f t="shared" si="14"/>
        <v>1.7847178033065853E-5</v>
      </c>
      <c r="AC59">
        <f t="shared" si="20"/>
        <v>1.0332314686605666</v>
      </c>
      <c r="AD59">
        <v>1.7273165379101459E-3</v>
      </c>
      <c r="AE59"/>
      <c r="AF59"/>
      <c r="AG59"/>
      <c r="AH59"/>
      <c r="AM59">
        <v>1980</v>
      </c>
      <c r="AN59" s="64">
        <f t="shared" si="15"/>
        <v>5.0991937237331012E-5</v>
      </c>
      <c r="AO59" s="64">
        <f t="shared" si="21"/>
        <v>1.7847178033065853E-5</v>
      </c>
      <c r="AP59" s="64">
        <f t="shared" si="16"/>
        <v>3.3144759204265162E-5</v>
      </c>
      <c r="AR59" s="55">
        <v>1.7273165379101459E-3</v>
      </c>
      <c r="AT59" s="3">
        <f t="shared" si="22"/>
        <v>2.9520899104587621</v>
      </c>
      <c r="AU59" s="3">
        <f t="shared" si="17"/>
        <v>3.0431678273331646</v>
      </c>
      <c r="AV59" s="3">
        <f t="shared" si="18"/>
        <v>1.0332314686605666</v>
      </c>
      <c r="AW59" s="3">
        <f t="shared" si="23"/>
        <v>1.9188584417981955</v>
      </c>
      <c r="AX59" s="3">
        <f t="shared" si="8"/>
        <v>2.009936358672598</v>
      </c>
      <c r="AY59" s="9">
        <f t="shared" si="19"/>
        <v>145.41187316901562</v>
      </c>
      <c r="AZ59">
        <v>0</v>
      </c>
      <c r="BA59">
        <v>0</v>
      </c>
      <c r="BB59">
        <v>0</v>
      </c>
    </row>
    <row r="60" spans="1:54">
      <c r="A60">
        <v>1981</v>
      </c>
      <c r="B60" s="3">
        <f t="shared" si="11"/>
        <v>176.62288781140606</v>
      </c>
      <c r="C60" s="3">
        <f t="shared" si="0"/>
        <v>41.681969842500045</v>
      </c>
      <c r="D60" s="2">
        <v>87.507300000000001</v>
      </c>
      <c r="E60" s="2">
        <v>59.652189999999997</v>
      </c>
      <c r="F60" s="2">
        <f t="shared" si="9"/>
        <v>52.200020859870001</v>
      </c>
      <c r="G60" s="53">
        <v>1.0933333333333331E-4</v>
      </c>
      <c r="H60" s="58">
        <f t="shared" si="12"/>
        <v>5.7072022806791183E-5</v>
      </c>
      <c r="I60" s="62">
        <f t="shared" si="13"/>
        <v>8.0491089390203219E-5</v>
      </c>
      <c r="J60" s="32">
        <f t="shared" si="1"/>
        <v>2.2537505029256904E-5</v>
      </c>
      <c r="P60" s="32">
        <f t="shared" si="2"/>
        <v>5.7953584360946316E-5</v>
      </c>
      <c r="Q60" s="32">
        <f t="shared" si="3"/>
        <v>0</v>
      </c>
      <c r="S60" s="2">
        <f>USA!Z68*G60</f>
        <v>3.9808266666666653E-3</v>
      </c>
      <c r="T60" s="2">
        <v>0</v>
      </c>
      <c r="U60" s="2">
        <v>0</v>
      </c>
      <c r="V60" s="2">
        <v>0</v>
      </c>
      <c r="X60" s="2">
        <v>0.28000000000000003</v>
      </c>
      <c r="Y60" s="55">
        <f t="shared" si="4"/>
        <v>1.5220133266511155E-5</v>
      </c>
      <c r="Z60" s="39">
        <v>0.1</v>
      </c>
      <c r="AA60" s="58">
        <f t="shared" si="10"/>
        <v>7.3173717627457476E-6</v>
      </c>
      <c r="AB60" s="55">
        <f t="shared" si="14"/>
        <v>2.2537505029256904E-5</v>
      </c>
      <c r="AC60">
        <f t="shared" si="20"/>
        <v>0.94813197658118964</v>
      </c>
      <c r="AD60">
        <v>2.3770430262803175E-3</v>
      </c>
      <c r="AE60"/>
      <c r="AF60"/>
      <c r="AG60"/>
      <c r="AH60"/>
      <c r="AM60">
        <v>1981</v>
      </c>
      <c r="AN60" s="64">
        <f t="shared" si="15"/>
        <v>8.0491089390203219E-5</v>
      </c>
      <c r="AO60" s="64">
        <f t="shared" si="21"/>
        <v>2.2537505029256904E-5</v>
      </c>
      <c r="AP60" s="64">
        <f t="shared" si="16"/>
        <v>5.7953584360946316E-5</v>
      </c>
      <c r="AR60" s="55">
        <v>2.3770430262803175E-3</v>
      </c>
      <c r="AT60" s="3">
        <f t="shared" si="22"/>
        <v>3.3861856306471059</v>
      </c>
      <c r="AU60" s="3">
        <f t="shared" si="17"/>
        <v>3.2125211054996998</v>
      </c>
      <c r="AV60" s="3">
        <f t="shared" si="18"/>
        <v>0.94813197658118964</v>
      </c>
      <c r="AW60" s="3">
        <f t="shared" si="23"/>
        <v>2.4380536540659161</v>
      </c>
      <c r="AX60" s="3">
        <f t="shared" si="8"/>
        <v>2.2643891289185101</v>
      </c>
      <c r="AY60" s="9">
        <f t="shared" si="19"/>
        <v>167.46969333979646</v>
      </c>
      <c r="AZ60">
        <v>0</v>
      </c>
      <c r="BA60">
        <v>0</v>
      </c>
      <c r="BB60">
        <v>0</v>
      </c>
    </row>
    <row r="61" spans="1:54">
      <c r="A61">
        <v>1982</v>
      </c>
      <c r="B61" s="3">
        <f t="shared" si="11"/>
        <v>189.95872087159108</v>
      </c>
      <c r="C61" s="3">
        <f t="shared" si="0"/>
        <v>44.24984128314113</v>
      </c>
      <c r="D61" s="2">
        <v>94.114500000000007</v>
      </c>
      <c r="E61" s="2">
        <v>63.32714</v>
      </c>
      <c r="F61" s="2">
        <f t="shared" si="9"/>
        <v>59.600021175300007</v>
      </c>
      <c r="G61" s="53">
        <v>1.6000000000000001E-4</v>
      </c>
      <c r="H61" s="58">
        <f t="shared" si="12"/>
        <v>9.5360033880480014E-5</v>
      </c>
      <c r="I61" s="62">
        <f t="shared" si="13"/>
        <v>1.3449029198266262E-4</v>
      </c>
      <c r="J61" s="32">
        <f t="shared" si="1"/>
        <v>3.4967475915492283E-5</v>
      </c>
      <c r="P61" s="32">
        <f t="shared" si="2"/>
        <v>9.9522816067170342E-5</v>
      </c>
      <c r="Q61" s="32">
        <f t="shared" si="3"/>
        <v>0</v>
      </c>
      <c r="S61" s="2">
        <f>USA!Z69*G61</f>
        <v>5.3120000000000007E-3</v>
      </c>
      <c r="T61" s="2">
        <v>0</v>
      </c>
      <c r="U61" s="2">
        <v>0</v>
      </c>
      <c r="V61" s="2">
        <v>0</v>
      </c>
      <c r="X61" s="2">
        <v>0.26</v>
      </c>
      <c r="Y61" s="55">
        <f t="shared" si="4"/>
        <v>2.2741085735250227E-5</v>
      </c>
      <c r="Z61" s="39">
        <v>0.1</v>
      </c>
      <c r="AA61" s="58">
        <f t="shared" si="10"/>
        <v>1.2226390180242057E-5</v>
      </c>
      <c r="AB61" s="55">
        <f t="shared" si="14"/>
        <v>3.4967475915492283E-5</v>
      </c>
      <c r="AC61">
        <f t="shared" si="20"/>
        <v>1.1391340494163185</v>
      </c>
      <c r="AD61">
        <v>3.0696541757670478E-3</v>
      </c>
      <c r="AE61"/>
      <c r="AF61"/>
      <c r="AG61"/>
      <c r="AH61"/>
      <c r="AM61">
        <v>1982</v>
      </c>
      <c r="AN61" s="64">
        <f t="shared" si="15"/>
        <v>1.3449029198266262E-4</v>
      </c>
      <c r="AO61" s="64">
        <f t="shared" si="21"/>
        <v>3.4967475915492283E-5</v>
      </c>
      <c r="AP61" s="64">
        <f t="shared" si="16"/>
        <v>9.9522816067170342E-5</v>
      </c>
      <c r="AR61" s="55">
        <v>3.0696541757670478E-3</v>
      </c>
      <c r="AT61" s="3">
        <f t="shared" si="22"/>
        <v>4.3812848054473781</v>
      </c>
      <c r="AU61" s="3">
        <f t="shared" si="17"/>
        <v>4.3920288112713788</v>
      </c>
      <c r="AV61" s="3">
        <f t="shared" si="18"/>
        <v>1.1391340494163185</v>
      </c>
      <c r="AW61" s="3">
        <f t="shared" si="23"/>
        <v>3.2421507560310596</v>
      </c>
      <c r="AX61" s="3">
        <f t="shared" si="8"/>
        <v>3.2528947618550599</v>
      </c>
      <c r="AY61" s="9">
        <f t="shared" si="19"/>
        <v>173.04880927417935</v>
      </c>
      <c r="AZ61">
        <v>0</v>
      </c>
      <c r="BA61" s="23">
        <v>1</v>
      </c>
      <c r="BB61">
        <v>0</v>
      </c>
    </row>
    <row r="62" spans="1:54">
      <c r="A62">
        <v>1983</v>
      </c>
      <c r="B62" s="3">
        <f t="shared" si="11"/>
        <v>164.59173487140873</v>
      </c>
      <c r="C62" s="3">
        <f t="shared" si="0"/>
        <v>45.671336429076113</v>
      </c>
      <c r="D62" s="2">
        <v>81.546499999999995</v>
      </c>
      <c r="E62" s="2">
        <v>65.36148</v>
      </c>
      <c r="F62" s="2">
        <f t="shared" si="9"/>
        <v>53.299999288199999</v>
      </c>
      <c r="G62" s="53">
        <v>2.2241666666666669E-4</v>
      </c>
      <c r="H62" s="58">
        <f t="shared" si="12"/>
        <v>1.1854808175017151E-4</v>
      </c>
      <c r="I62" s="62">
        <f t="shared" si="13"/>
        <v>1.6719337734871268E-4</v>
      </c>
      <c r="J62" s="32">
        <f t="shared" si="1"/>
        <v>4.1798344337178171E-5</v>
      </c>
      <c r="P62" s="32">
        <f t="shared" si="2"/>
        <v>1.2539503301153452E-4</v>
      </c>
      <c r="Q62" s="32">
        <f t="shared" si="3"/>
        <v>0</v>
      </c>
      <c r="S62" s="2">
        <f>USA!Z70*G62</f>
        <v>6.4389625000000001E-3</v>
      </c>
      <c r="T62" s="2">
        <v>0</v>
      </c>
      <c r="U62" s="2">
        <v>0</v>
      </c>
      <c r="V62" s="2">
        <v>0</v>
      </c>
      <c r="X62" s="2">
        <v>0.25</v>
      </c>
      <c r="Y62" s="55">
        <f t="shared" si="4"/>
        <v>2.659894639638611E-5</v>
      </c>
      <c r="Z62" s="39">
        <v>0.1</v>
      </c>
      <c r="AA62" s="58">
        <f t="shared" si="10"/>
        <v>1.5199397940792063E-5</v>
      </c>
      <c r="AB62" s="55">
        <f t="shared" si="14"/>
        <v>4.1798344337178171E-5</v>
      </c>
      <c r="AC62">
        <f t="shared" si="20"/>
        <v>1.0363499320511866</v>
      </c>
      <c r="AD62">
        <v>4.0332269096065992E-3</v>
      </c>
      <c r="AE62"/>
      <c r="AF62"/>
      <c r="AG62"/>
      <c r="AH62"/>
      <c r="AM62">
        <v>1983</v>
      </c>
      <c r="AN62" s="64">
        <f t="shared" si="15"/>
        <v>1.6719337734871268E-4</v>
      </c>
      <c r="AO62" s="64">
        <f t="shared" si="21"/>
        <v>4.1798344337178171E-5</v>
      </c>
      <c r="AP62" s="64">
        <f t="shared" si="16"/>
        <v>1.2539503301153452E-4</v>
      </c>
      <c r="AR62" s="55">
        <v>4.0332269096065992E-3</v>
      </c>
      <c r="AT62" s="3">
        <f t="shared" si="22"/>
        <v>4.1453997282047466</v>
      </c>
      <c r="AU62" s="3">
        <f t="shared" si="17"/>
        <v>4.134655722380745</v>
      </c>
      <c r="AV62" s="3">
        <f t="shared" si="18"/>
        <v>1.0363499320511866</v>
      </c>
      <c r="AW62" s="3">
        <f t="shared" si="23"/>
        <v>3.1090497961535597</v>
      </c>
      <c r="AX62" s="3">
        <f t="shared" si="8"/>
        <v>3.0983057903295586</v>
      </c>
      <c r="AY62" s="9">
        <f t="shared" si="19"/>
        <v>159.64791082453766</v>
      </c>
      <c r="AZ62">
        <v>0</v>
      </c>
      <c r="BA62" s="23">
        <v>1</v>
      </c>
      <c r="BB62">
        <v>0</v>
      </c>
    </row>
    <row r="63" spans="1:54">
      <c r="A63">
        <v>1984</v>
      </c>
      <c r="B63" s="3">
        <f t="shared" si="11"/>
        <v>143.57092415402346</v>
      </c>
      <c r="C63" s="3">
        <f t="shared" si="0"/>
        <v>47.643090239969929</v>
      </c>
      <c r="D63" s="2">
        <v>71.131799999999998</v>
      </c>
      <c r="E63" s="2">
        <v>68.183310000000006</v>
      </c>
      <c r="F63" s="2">
        <f t="shared" si="9"/>
        <v>48.500015702580001</v>
      </c>
      <c r="G63" s="53">
        <v>3.6000000000000002E-4</v>
      </c>
      <c r="H63" s="58">
        <f t="shared" si="12"/>
        <v>1.7460005652928802E-4</v>
      </c>
      <c r="I63" s="62">
        <f t="shared" si="13"/>
        <v>2.4624584983101667E-4</v>
      </c>
      <c r="J63" s="32">
        <f t="shared" si="1"/>
        <v>1.2558538341381851E-4</v>
      </c>
      <c r="P63" s="32">
        <f t="shared" si="2"/>
        <v>1.2066046641719816E-4</v>
      </c>
      <c r="Q63" s="32">
        <f t="shared" si="3"/>
        <v>0</v>
      </c>
      <c r="S63" s="2">
        <f>USA!Z71*G63</f>
        <v>1.0267200000000001E-2</v>
      </c>
      <c r="T63" s="2">
        <v>0</v>
      </c>
      <c r="U63" s="2">
        <v>0</v>
      </c>
      <c r="V63" s="2">
        <v>0</v>
      </c>
      <c r="X63" s="2">
        <v>0.51</v>
      </c>
      <c r="Y63" s="55">
        <f t="shared" si="4"/>
        <v>1.0319939706554428E-4</v>
      </c>
      <c r="Z63" s="39">
        <v>0.1</v>
      </c>
      <c r="AA63" s="58">
        <f t="shared" si="10"/>
        <v>2.2385986348274243E-5</v>
      </c>
      <c r="AB63" s="55">
        <f t="shared" si="14"/>
        <v>1.2558538341381851E-4</v>
      </c>
      <c r="AC63">
        <f t="shared" si="20"/>
        <v>2.0983357779647895</v>
      </c>
      <c r="AD63">
        <v>5.9849993853522262E-3</v>
      </c>
      <c r="AE63"/>
      <c r="AF63"/>
      <c r="AG63"/>
      <c r="AH63"/>
      <c r="AM63">
        <v>1984</v>
      </c>
      <c r="AN63" s="64">
        <f t="shared" si="15"/>
        <v>2.4624584983101667E-4</v>
      </c>
      <c r="AO63" s="64">
        <f t="shared" si="21"/>
        <v>1.2558538341381851E-4</v>
      </c>
      <c r="AP63" s="64">
        <f t="shared" si="16"/>
        <v>1.2066046641719816E-4</v>
      </c>
      <c r="AR63" s="55">
        <v>5.9849993853522262E-3</v>
      </c>
      <c r="AT63" s="3">
        <f t="shared" si="22"/>
        <v>4.1143838783623323</v>
      </c>
      <c r="AU63" s="3">
        <f t="shared" si="17"/>
        <v>4.4097813626517386</v>
      </c>
      <c r="AV63" s="3">
        <f t="shared" si="18"/>
        <v>2.0983357779647895</v>
      </c>
      <c r="AW63" s="3">
        <f t="shared" si="23"/>
        <v>2.0160481003975428</v>
      </c>
      <c r="AX63" s="3">
        <f t="shared" si="8"/>
        <v>2.3114455846869491</v>
      </c>
      <c r="AY63" s="9">
        <f t="shared" si="19"/>
        <v>171.548889798186</v>
      </c>
      <c r="AZ63">
        <v>0</v>
      </c>
      <c r="BA63">
        <v>0</v>
      </c>
      <c r="BB63">
        <v>0</v>
      </c>
    </row>
    <row r="64" spans="1:54">
      <c r="A64">
        <v>1985</v>
      </c>
      <c r="B64" s="3">
        <f t="shared" si="11"/>
        <v>145.20843495462401</v>
      </c>
      <c r="C64" s="3">
        <f t="shared" si="0"/>
        <v>49.339718212134507</v>
      </c>
      <c r="D64" s="2">
        <v>71.943100000000001</v>
      </c>
      <c r="E64" s="2">
        <v>70.611400000000003</v>
      </c>
      <c r="F64" s="2">
        <f t="shared" si="9"/>
        <v>50.800030113400005</v>
      </c>
      <c r="G64" s="53">
        <v>5.1433333333333344E-4</v>
      </c>
      <c r="H64" s="58">
        <f t="shared" si="12"/>
        <v>2.6128148821658742E-4</v>
      </c>
      <c r="I64" s="62">
        <f t="shared" si="13"/>
        <v>3.6849634181082753E-4</v>
      </c>
      <c r="J64" s="32">
        <f t="shared" si="1"/>
        <v>1.7319328065108894E-4</v>
      </c>
      <c r="P64" s="32">
        <f t="shared" si="2"/>
        <v>1.9530306115973859E-4</v>
      </c>
      <c r="Q64" s="32">
        <f t="shared" si="3"/>
        <v>0</v>
      </c>
      <c r="S64" s="2">
        <f>USA!Z72*G64</f>
        <v>1.3717270000000004E-2</v>
      </c>
      <c r="T64" s="2">
        <v>0</v>
      </c>
      <c r="U64" s="2">
        <v>0</v>
      </c>
      <c r="V64" s="2">
        <v>0</v>
      </c>
      <c r="X64" s="2">
        <v>0.47</v>
      </c>
      <c r="Y64" s="55">
        <f t="shared" si="4"/>
        <v>1.3969361321374097E-4</v>
      </c>
      <c r="Z64" s="39">
        <v>0.1</v>
      </c>
      <c r="AA64" s="58">
        <f t="shared" si="10"/>
        <v>3.3499667437347963E-5</v>
      </c>
      <c r="AB64" s="55">
        <f t="shared" si="14"/>
        <v>1.7319328065108894E-4</v>
      </c>
      <c r="AC64">
        <f t="shared" si="20"/>
        <v>1.9962438687818003</v>
      </c>
      <c r="AD64">
        <v>8.6759580509960157E-3</v>
      </c>
      <c r="AE64"/>
      <c r="AF64"/>
      <c r="AG64"/>
      <c r="AH64"/>
      <c r="AM64">
        <v>1985</v>
      </c>
      <c r="AN64" s="64">
        <f t="shared" si="15"/>
        <v>3.6849634181082753E-4</v>
      </c>
      <c r="AO64" s="64">
        <f t="shared" si="21"/>
        <v>1.7319328065108894E-4</v>
      </c>
      <c r="AP64" s="64">
        <f t="shared" si="16"/>
        <v>1.9530306115973859E-4</v>
      </c>
      <c r="AR64" s="55">
        <v>8.6759580509960157E-3</v>
      </c>
      <c r="AT64" s="3">
        <f t="shared" si="22"/>
        <v>4.2473273803868086</v>
      </c>
      <c r="AU64" s="3">
        <f t="shared" si="17"/>
        <v>4.1526240279511573</v>
      </c>
      <c r="AV64" s="3">
        <f t="shared" si="18"/>
        <v>1.9962438687818003</v>
      </c>
      <c r="AW64" s="3">
        <f t="shared" si="23"/>
        <v>2.2510835116050085</v>
      </c>
      <c r="AX64" s="3">
        <f t="shared" si="8"/>
        <v>2.1563801591693568</v>
      </c>
      <c r="AY64" s="9">
        <f t="shared" si="19"/>
        <v>158.10668884487328</v>
      </c>
      <c r="AZ64">
        <v>0</v>
      </c>
      <c r="BA64">
        <v>0</v>
      </c>
      <c r="BB64">
        <v>0</v>
      </c>
    </row>
    <row r="65" spans="1:54">
      <c r="A65">
        <v>1986</v>
      </c>
      <c r="B65" s="3">
        <f t="shared" si="11"/>
        <v>126.56285252535253</v>
      </c>
      <c r="C65" s="3">
        <f t="shared" si="0"/>
        <v>50.256813657899102</v>
      </c>
      <c r="D65" s="2">
        <v>62.705199999999998</v>
      </c>
      <c r="E65" s="2">
        <v>71.923879999999997</v>
      </c>
      <c r="F65" s="2">
        <f t="shared" si="9"/>
        <v>45.100012801759995</v>
      </c>
      <c r="G65" s="53">
        <v>6.6649999999999999E-4</v>
      </c>
      <c r="H65" s="58">
        <f t="shared" si="12"/>
        <v>3.0059158532373036E-4</v>
      </c>
      <c r="I65" s="62">
        <f t="shared" si="13"/>
        <v>4.2393703559699745E-4</v>
      </c>
      <c r="J65" s="32">
        <f t="shared" si="1"/>
        <v>2.484271028598405E-4</v>
      </c>
      <c r="P65" s="32">
        <f t="shared" si="2"/>
        <v>1.7550993273715695E-4</v>
      </c>
      <c r="Q65" s="32">
        <f t="shared" si="3"/>
        <v>0</v>
      </c>
      <c r="S65" s="2">
        <f>USA!Z73*G65</f>
        <v>1.0030825E-2</v>
      </c>
      <c r="T65" s="2">
        <v>0</v>
      </c>
      <c r="U65" s="2">
        <v>0</v>
      </c>
      <c r="V65" s="2">
        <v>0</v>
      </c>
      <c r="X65" s="2">
        <v>0.58599999999999997</v>
      </c>
      <c r="Y65" s="55">
        <f t="shared" si="4"/>
        <v>2.0988737235102254E-4</v>
      </c>
      <c r="Z65" s="2">
        <v>0.1</v>
      </c>
      <c r="AA65" s="58">
        <f t="shared" si="10"/>
        <v>3.8539730508817952E-5</v>
      </c>
      <c r="AB65" s="55">
        <f t="shared" si="14"/>
        <v>2.484271028598405E-4</v>
      </c>
      <c r="AC65">
        <f t="shared" si="20"/>
        <v>2.1271785686547915</v>
      </c>
      <c r="AD65">
        <v>1.1678714073212177E-2</v>
      </c>
      <c r="AE65"/>
      <c r="AF65"/>
      <c r="AG65"/>
      <c r="AH65"/>
      <c r="AM65">
        <v>1986</v>
      </c>
      <c r="AN65" s="64">
        <f t="shared" si="15"/>
        <v>4.2393703559699745E-4</v>
      </c>
      <c r="AO65" s="64">
        <f t="shared" si="21"/>
        <v>2.484271028598405E-4</v>
      </c>
      <c r="AP65" s="64">
        <f t="shared" si="16"/>
        <v>1.7550993273715695E-4</v>
      </c>
      <c r="AR65" s="55">
        <v>1.1678714073212177E-2</v>
      </c>
      <c r="AT65" s="3">
        <f t="shared" si="22"/>
        <v>3.629997557431385</v>
      </c>
      <c r="AU65" s="3">
        <f t="shared" si="17"/>
        <v>3.4504852213401329</v>
      </c>
      <c r="AV65" s="3">
        <f t="shared" si="18"/>
        <v>2.1271785686547915</v>
      </c>
      <c r="AW65" s="3">
        <f t="shared" si="23"/>
        <v>1.5028189887765935</v>
      </c>
      <c r="AX65" s="3">
        <f t="shared" si="8"/>
        <v>1.3233066526853414</v>
      </c>
      <c r="AY65" s="9">
        <f t="shared" si="19"/>
        <v>85.889807192112102</v>
      </c>
      <c r="AZ65">
        <v>0</v>
      </c>
      <c r="BA65">
        <v>0</v>
      </c>
      <c r="BB65">
        <v>0</v>
      </c>
    </row>
    <row r="66" spans="1:54">
      <c r="A66">
        <v>1987</v>
      </c>
      <c r="B66" s="3">
        <f t="shared" si="11"/>
        <v>101.71095682014533</v>
      </c>
      <c r="C66" s="3">
        <f t="shared" si="0"/>
        <v>52.136856526716379</v>
      </c>
      <c r="D66" s="2">
        <v>50.392400000000002</v>
      </c>
      <c r="E66" s="2">
        <v>74.614459999999994</v>
      </c>
      <c r="F66" s="2">
        <f t="shared" si="9"/>
        <v>37.600017141039999</v>
      </c>
      <c r="G66" s="53">
        <v>8.4633333333333338E-4</v>
      </c>
      <c r="H66" s="58">
        <f t="shared" si="12"/>
        <v>3.1822147840366856E-4</v>
      </c>
      <c r="I66" s="62">
        <f t="shared" si="13"/>
        <v>4.488012200090518E-4</v>
      </c>
      <c r="J66" s="32">
        <f t="shared" si="1"/>
        <v>2.3831344782480651E-4</v>
      </c>
      <c r="P66" s="32">
        <f t="shared" si="2"/>
        <v>2.1048777218424529E-4</v>
      </c>
      <c r="Q66" s="32">
        <f t="shared" si="3"/>
        <v>0</v>
      </c>
      <c r="S66" s="2">
        <f>USA!Z74*G66</f>
        <v>1.6249599999999999E-2</v>
      </c>
      <c r="T66" s="2">
        <v>0</v>
      </c>
      <c r="U66" s="2">
        <v>0</v>
      </c>
      <c r="V66" s="2">
        <v>0</v>
      </c>
      <c r="X66" s="2">
        <v>0.53100000000000003</v>
      </c>
      <c r="Y66" s="55">
        <f t="shared" si="4"/>
        <v>1.975133369148927E-4</v>
      </c>
      <c r="Z66" s="2">
        <v>0.1</v>
      </c>
      <c r="AA66" s="58">
        <f t="shared" si="10"/>
        <v>4.0800110909913803E-5</v>
      </c>
      <c r="AB66" s="55">
        <f t="shared" si="14"/>
        <v>2.3831344782480651E-4</v>
      </c>
      <c r="AC66">
        <f t="shared" si="20"/>
        <v>1.4695668364847989</v>
      </c>
      <c r="AD66">
        <v>1.6216577695428391E-2</v>
      </c>
      <c r="AE66"/>
      <c r="AF66"/>
      <c r="AG66"/>
      <c r="AH66"/>
      <c r="AM66">
        <v>1987</v>
      </c>
      <c r="AN66" s="64">
        <f t="shared" si="15"/>
        <v>4.488012200090518E-4</v>
      </c>
      <c r="AO66" s="64">
        <f t="shared" si="21"/>
        <v>2.3831344782480651E-4</v>
      </c>
      <c r="AP66" s="64">
        <f t="shared" si="16"/>
        <v>2.1048777218424529E-4</v>
      </c>
      <c r="AR66" s="55">
        <v>1.6216577695428391E-2</v>
      </c>
      <c r="AT66" s="3">
        <f t="shared" si="22"/>
        <v>2.7675458314214669</v>
      </c>
      <c r="AU66" s="3">
        <f t="shared" si="17"/>
        <v>2.9579937323704124</v>
      </c>
      <c r="AV66" s="3">
        <f t="shared" si="18"/>
        <v>1.4695668364847989</v>
      </c>
      <c r="AW66" s="3">
        <f t="shared" si="23"/>
        <v>1.297978994936668</v>
      </c>
      <c r="AX66" s="3">
        <f t="shared" si="8"/>
        <v>1.4884268958856133</v>
      </c>
      <c r="AY66" s="9">
        <f t="shared" si="19"/>
        <v>100.20363300563051</v>
      </c>
      <c r="AZ66">
        <v>0</v>
      </c>
      <c r="BA66">
        <v>0</v>
      </c>
      <c r="BB66">
        <v>0</v>
      </c>
    </row>
    <row r="67" spans="1:54">
      <c r="A67">
        <v>1988</v>
      </c>
      <c r="B67" s="3">
        <f t="shared" si="11"/>
        <v>106.11304119843919</v>
      </c>
      <c r="C67" s="3">
        <f t="shared" si="0"/>
        <v>54.227069431021505</v>
      </c>
      <c r="D67" s="2">
        <v>52.573399999999999</v>
      </c>
      <c r="E67" s="2">
        <v>77.605819999999994</v>
      </c>
      <c r="F67" s="2">
        <f t="shared" si="9"/>
        <v>40.800018171879998</v>
      </c>
      <c r="G67" s="53">
        <v>1.3846666666666666E-3</v>
      </c>
      <c r="H67" s="58">
        <f t="shared" si="12"/>
        <v>5.6494425161996505E-4</v>
      </c>
      <c r="I67" s="62">
        <f t="shared" si="13"/>
        <v>7.9676478984398464E-4</v>
      </c>
      <c r="J67" s="32">
        <f t="shared" si="1"/>
        <v>4.7805887390639078E-4</v>
      </c>
      <c r="P67" s="32">
        <f t="shared" si="2"/>
        <v>3.1870591593759386E-4</v>
      </c>
      <c r="Q67" s="32">
        <f t="shared" si="3"/>
        <v>0</v>
      </c>
      <c r="S67" s="2">
        <f>USA!Z75*G67</f>
        <v>2.2113126666666667E-2</v>
      </c>
      <c r="T67" s="2">
        <v>0</v>
      </c>
      <c r="U67" s="2">
        <v>0</v>
      </c>
      <c r="V67" s="2">
        <v>0</v>
      </c>
      <c r="X67" s="2">
        <v>0.6</v>
      </c>
      <c r="Y67" s="55">
        <f t="shared" si="4"/>
        <v>3.9269121785167813E-4</v>
      </c>
      <c r="Z67" s="2">
        <v>0.12</v>
      </c>
      <c r="AA67" s="58">
        <f t="shared" si="10"/>
        <v>8.5367656054712628E-5</v>
      </c>
      <c r="AB67" s="55">
        <f t="shared" si="14"/>
        <v>4.7805887390639078E-4</v>
      </c>
      <c r="AC67">
        <f t="shared" si="20"/>
        <v>1.7463244449275057</v>
      </c>
      <c r="AD67">
        <v>2.7375146427972962E-2</v>
      </c>
      <c r="AE67"/>
      <c r="AF67"/>
      <c r="AG67"/>
      <c r="AH67"/>
      <c r="AM67">
        <v>1988</v>
      </c>
      <c r="AN67" s="64">
        <f t="shared" si="15"/>
        <v>7.9676478984398464E-4</v>
      </c>
      <c r="AO67" s="64">
        <f t="shared" si="21"/>
        <v>4.7805887390639078E-4</v>
      </c>
      <c r="AP67" s="64">
        <f t="shared" si="16"/>
        <v>3.1870591593759386E-4</v>
      </c>
      <c r="AR67" s="55">
        <v>2.7375146427972962E-2</v>
      </c>
      <c r="AT67" s="3">
        <f t="shared" si="22"/>
        <v>2.9105407415458431</v>
      </c>
      <c r="AU67" s="3">
        <f t="shared" si="17"/>
        <v>3.0106640381683345</v>
      </c>
      <c r="AV67" s="3">
        <f t="shared" si="18"/>
        <v>1.7463244449275057</v>
      </c>
      <c r="AW67" s="3">
        <f t="shared" si="23"/>
        <v>1.1642162966183374</v>
      </c>
      <c r="AX67" s="3">
        <f t="shared" si="8"/>
        <v>1.2643395932408286</v>
      </c>
      <c r="AY67" s="9">
        <f t="shared" si="19"/>
        <v>80.778112821601695</v>
      </c>
      <c r="AZ67">
        <v>0</v>
      </c>
      <c r="BA67">
        <v>0</v>
      </c>
      <c r="BB67">
        <v>0</v>
      </c>
    </row>
    <row r="68" spans="1:54">
      <c r="A68">
        <v>1989</v>
      </c>
      <c r="B68" s="3">
        <f t="shared" si="11"/>
        <v>118.34603202831704</v>
      </c>
      <c r="C68" s="3">
        <f t="shared" si="0"/>
        <v>56.844608024141067</v>
      </c>
      <c r="D68" s="2">
        <v>58.6342</v>
      </c>
      <c r="E68" s="2">
        <v>81.351849999999999</v>
      </c>
      <c r="F68" s="2">
        <f t="shared" si="9"/>
        <v>47.7000064327</v>
      </c>
      <c r="G68" s="53">
        <v>2.0985833333333334E-3</v>
      </c>
      <c r="H68" s="58">
        <f t="shared" si="12"/>
        <v>1.00102438499557E-3</v>
      </c>
      <c r="I68" s="62">
        <f t="shared" si="13"/>
        <v>1.4117870594357825E-3</v>
      </c>
      <c r="J68" s="32">
        <f t="shared" si="1"/>
        <v>7.3695284502547855E-4</v>
      </c>
      <c r="P68" s="32">
        <f t="shared" si="2"/>
        <v>6.7483421441030399E-4</v>
      </c>
      <c r="Q68" s="32">
        <f t="shared" si="3"/>
        <v>0</v>
      </c>
      <c r="S68" s="2">
        <f>USA!Z76*G68</f>
        <v>4.1216176666666667E-2</v>
      </c>
      <c r="T68" s="2">
        <v>0</v>
      </c>
      <c r="U68" s="2">
        <v>0</v>
      </c>
      <c r="V68" s="2">
        <v>0</v>
      </c>
      <c r="X68" s="2">
        <v>0.52200000000000002</v>
      </c>
      <c r="Y68" s="55">
        <f t="shared" si="4"/>
        <v>6.0860856689495281E-4</v>
      </c>
      <c r="Z68" s="2">
        <v>0.1</v>
      </c>
      <c r="AA68" s="58">
        <f t="shared" si="10"/>
        <v>1.2834427813052571E-4</v>
      </c>
      <c r="AB68" s="55">
        <f t="shared" si="14"/>
        <v>7.3695284502547855E-4</v>
      </c>
      <c r="AC68">
        <f t="shared" si="20"/>
        <v>1.648807951867431</v>
      </c>
      <c r="AD68">
        <v>4.4696099639185367E-2</v>
      </c>
      <c r="AE68"/>
      <c r="AF68"/>
      <c r="AG68"/>
      <c r="AH68"/>
      <c r="AM68">
        <v>1989</v>
      </c>
      <c r="AN68" s="64">
        <f t="shared" si="15"/>
        <v>1.4117870594357825E-3</v>
      </c>
      <c r="AO68" s="64">
        <f t="shared" si="21"/>
        <v>7.3695284502547855E-4</v>
      </c>
      <c r="AP68" s="64">
        <f t="shared" si="16"/>
        <v>6.7483421441030399E-4</v>
      </c>
      <c r="AR68" s="55">
        <v>4.4696099639185367E-2</v>
      </c>
      <c r="AT68" s="3">
        <f t="shared" si="22"/>
        <v>3.1586359231176844</v>
      </c>
      <c r="AU68" s="3">
        <f t="shared" si="17"/>
        <v>3.0450716797604684</v>
      </c>
      <c r="AV68" s="3">
        <f t="shared" si="18"/>
        <v>1.648807951867431</v>
      </c>
      <c r="AW68" s="3">
        <f t="shared" si="23"/>
        <v>1.5098279712502534</v>
      </c>
      <c r="AX68" s="3">
        <f t="shared" si="8"/>
        <v>1.3962637278930377</v>
      </c>
      <c r="AY68" s="9">
        <f t="shared" si="19"/>
        <v>92.21425806589211</v>
      </c>
      <c r="AZ68">
        <v>0</v>
      </c>
      <c r="BA68">
        <v>0</v>
      </c>
      <c r="BB68">
        <v>0</v>
      </c>
    </row>
    <row r="69" spans="1:54">
      <c r="A69">
        <v>1990</v>
      </c>
      <c r="B69" s="3">
        <f t="shared" si="11"/>
        <v>137.42536408294174</v>
      </c>
      <c r="C69" s="3">
        <f t="shared" si="0"/>
        <v>59.913057002261802</v>
      </c>
      <c r="D69" s="2">
        <v>68.087000000000003</v>
      </c>
      <c r="E69" s="2">
        <v>85.743189999999998</v>
      </c>
      <c r="F69" s="2">
        <f t="shared" si="9"/>
        <v>58.379965775300001</v>
      </c>
      <c r="G69" s="53">
        <v>2.5854999999999997E-3</v>
      </c>
      <c r="H69" s="58">
        <f t="shared" si="12"/>
        <v>1.5094140151203814E-3</v>
      </c>
      <c r="I69" s="62">
        <f t="shared" si="13"/>
        <v>2.1287904728588521E-3</v>
      </c>
      <c r="J69" s="32">
        <f t="shared" si="1"/>
        <v>1.1303877410880506E-3</v>
      </c>
      <c r="K69" s="2">
        <f t="shared" ref="K69:K77" si="24">K$79*L69/L$79</f>
        <v>0</v>
      </c>
      <c r="P69" s="32">
        <f t="shared" si="2"/>
        <v>9.9840273177080152E-4</v>
      </c>
      <c r="Q69" s="32">
        <f t="shared" si="3"/>
        <v>0</v>
      </c>
      <c r="S69" s="2">
        <f>USA!Z77*G69</f>
        <v>6.3422314999999993E-2</v>
      </c>
      <c r="T69" s="2">
        <v>0</v>
      </c>
      <c r="U69" s="2">
        <v>0</v>
      </c>
      <c r="V69" s="2">
        <v>0</v>
      </c>
      <c r="X69" s="2">
        <v>0.53100000000000003</v>
      </c>
      <c r="Y69" s="55">
        <f t="shared" si="4"/>
        <v>9.3686133446451857E-4</v>
      </c>
      <c r="Z69" s="2">
        <v>0.1</v>
      </c>
      <c r="AA69" s="58">
        <f t="shared" si="10"/>
        <v>1.9352640662353201E-4</v>
      </c>
      <c r="AB69" s="55">
        <f t="shared" si="14"/>
        <v>1.1303877410880506E-3</v>
      </c>
      <c r="AC69">
        <f t="shared" si="20"/>
        <v>1.5776612230238698</v>
      </c>
      <c r="AD69">
        <v>7.1649586399890108E-2</v>
      </c>
      <c r="AE69"/>
      <c r="AF69"/>
      <c r="AG69"/>
      <c r="AH69"/>
      <c r="AM69">
        <v>1990</v>
      </c>
      <c r="AN69" s="64">
        <f t="shared" si="15"/>
        <v>2.1287904728588521E-3</v>
      </c>
      <c r="AO69" s="64">
        <f t="shared" si="21"/>
        <v>1.1303877410880506E-3</v>
      </c>
      <c r="AP69" s="64">
        <f t="shared" si="16"/>
        <v>9.9840273177080152E-4</v>
      </c>
      <c r="AR69" s="55">
        <v>7.1649586399890108E-2</v>
      </c>
      <c r="AT69" s="3">
        <f t="shared" si="22"/>
        <v>2.9711134143575699</v>
      </c>
      <c r="AU69" s="3">
        <f t="shared" si="17"/>
        <v>2.9312784631503979</v>
      </c>
      <c r="AV69" s="3">
        <f t="shared" si="18"/>
        <v>1.5776612230238698</v>
      </c>
      <c r="AW69" s="3">
        <f t="shared" si="23"/>
        <v>1.3934521913337001</v>
      </c>
      <c r="AX69" s="3">
        <f t="shared" si="8"/>
        <v>1.3536172401265278</v>
      </c>
      <c r="AY69" s="9">
        <f t="shared" si="19"/>
        <v>88.517349766721424</v>
      </c>
      <c r="AZ69">
        <v>0</v>
      </c>
      <c r="BA69">
        <v>0</v>
      </c>
      <c r="BB69">
        <v>0</v>
      </c>
    </row>
    <row r="70" spans="1:54">
      <c r="A70">
        <v>1991</v>
      </c>
      <c r="B70" s="3">
        <f t="shared" si="11"/>
        <v>135.63607118915107</v>
      </c>
      <c r="C70" s="3">
        <f t="shared" si="0"/>
        <v>62.450351141377027</v>
      </c>
      <c r="D70" s="2">
        <v>67.200500000000005</v>
      </c>
      <c r="E70" s="2">
        <v>89.374380000000002</v>
      </c>
      <c r="F70" s="2">
        <f t="shared" si="9"/>
        <v>60.060030231900008</v>
      </c>
      <c r="G70" s="53">
        <v>4.0896666666666677E-3</v>
      </c>
      <c r="H70" s="58">
        <f t="shared" si="12"/>
        <v>2.456255036383938E-3</v>
      </c>
      <c r="I70" s="62">
        <f t="shared" si="13"/>
        <v>3.4641604410627393E-3</v>
      </c>
      <c r="J70" s="32">
        <f t="shared" si="1"/>
        <v>1.9433940074361968E-3</v>
      </c>
      <c r="K70" s="2">
        <f t="shared" si="24"/>
        <v>0</v>
      </c>
      <c r="P70" s="32">
        <f t="shared" si="2"/>
        <v>1.5207664336265424E-3</v>
      </c>
      <c r="Q70" s="32">
        <f t="shared" si="3"/>
        <v>0</v>
      </c>
      <c r="S70" s="2">
        <f>USA!Z78*G70</f>
        <v>8.8091420000000017E-2</v>
      </c>
      <c r="T70" s="2">
        <v>0</v>
      </c>
      <c r="U70" s="2">
        <v>0</v>
      </c>
      <c r="V70" s="2">
        <v>0</v>
      </c>
      <c r="X70" s="2">
        <v>0.56100000000000005</v>
      </c>
      <c r="Y70" s="55">
        <f t="shared" si="4"/>
        <v>1.5722339601794747E-3</v>
      </c>
      <c r="Z70" s="2">
        <v>0.12</v>
      </c>
      <c r="AA70" s="58">
        <f t="shared" si="10"/>
        <v>3.7116004725672202E-4</v>
      </c>
      <c r="AB70" s="55">
        <f t="shared" si="14"/>
        <v>1.9433940074361968E-3</v>
      </c>
      <c r="AC70">
        <f t="shared" si="20"/>
        <v>1.6341623680581976</v>
      </c>
      <c r="AD70">
        <v>0.1189229445875348</v>
      </c>
      <c r="AE70"/>
      <c r="AF70"/>
      <c r="AG70"/>
      <c r="AH70"/>
      <c r="AM70">
        <v>1991</v>
      </c>
      <c r="AN70" s="64">
        <f t="shared" si="15"/>
        <v>3.4641604410627393E-3</v>
      </c>
      <c r="AO70" s="64">
        <f t="shared" si="21"/>
        <v>1.9433940074361968E-3</v>
      </c>
      <c r="AP70" s="64">
        <f t="shared" si="16"/>
        <v>1.5207664336265424E-3</v>
      </c>
      <c r="AR70" s="55">
        <v>0.1189229445875348</v>
      </c>
      <c r="AT70" s="3">
        <f t="shared" si="22"/>
        <v>2.9129453976081949</v>
      </c>
      <c r="AU70" s="3">
        <f t="shared" si="17"/>
        <v>2.8211694622456558</v>
      </c>
      <c r="AV70" s="3">
        <f t="shared" si="18"/>
        <v>1.6341623680581976</v>
      </c>
      <c r="AW70" s="3">
        <f t="shared" si="23"/>
        <v>1.2787830295499973</v>
      </c>
      <c r="AX70" s="3">
        <f t="shared" si="8"/>
        <v>1.1870070941874582</v>
      </c>
      <c r="AY70" s="9">
        <f t="shared" si="19"/>
        <v>74.074368327769719</v>
      </c>
      <c r="AZ70">
        <v>0</v>
      </c>
      <c r="BA70">
        <v>0</v>
      </c>
      <c r="BB70">
        <v>0</v>
      </c>
    </row>
    <row r="71" spans="1:54">
      <c r="A71">
        <v>1992</v>
      </c>
      <c r="B71" s="3">
        <f t="shared" si="11"/>
        <v>130.07039137569598</v>
      </c>
      <c r="C71" s="3">
        <f t="shared" si="0"/>
        <v>64.341860498266513</v>
      </c>
      <c r="D71" s="2">
        <v>64.442999999999998</v>
      </c>
      <c r="E71" s="2">
        <v>92.081370000000007</v>
      </c>
      <c r="F71" s="2">
        <f t="shared" si="9"/>
        <v>59.339997269100003</v>
      </c>
      <c r="G71" s="53">
        <v>6.7150000000000013E-3</v>
      </c>
      <c r="H71" s="58">
        <f t="shared" si="12"/>
        <v>3.9846808166200658E-3</v>
      </c>
      <c r="I71" s="62">
        <f t="shared" si="13"/>
        <v>5.6197640109547486E-3</v>
      </c>
      <c r="J71" s="32">
        <f t="shared" si="1"/>
        <v>3.5797896749781748E-3</v>
      </c>
      <c r="K71" s="2">
        <f t="shared" si="24"/>
        <v>0</v>
      </c>
      <c r="P71" s="32">
        <f t="shared" si="2"/>
        <v>2.0399743359765738E-3</v>
      </c>
      <c r="Q71" s="32">
        <f t="shared" si="3"/>
        <v>0</v>
      </c>
      <c r="S71" s="2">
        <f>USA!Z79*G71</f>
        <v>0.1381947</v>
      </c>
      <c r="T71" s="2">
        <v>0</v>
      </c>
      <c r="U71" s="2">
        <v>0</v>
      </c>
      <c r="V71" s="2">
        <v>0</v>
      </c>
      <c r="X71" s="2">
        <v>0.63700000000000001</v>
      </c>
      <c r="Y71" s="55">
        <f t="shared" si="4"/>
        <v>2.9332681515940001E-3</v>
      </c>
      <c r="Z71" s="2">
        <v>0.13</v>
      </c>
      <c r="AA71" s="58">
        <f t="shared" si="10"/>
        <v>6.465215233841747E-4</v>
      </c>
      <c r="AB71" s="55">
        <f t="shared" si="14"/>
        <v>3.5797896749781748E-3</v>
      </c>
      <c r="AC71">
        <f t="shared" si="20"/>
        <v>1.7698993451277896</v>
      </c>
      <c r="AD71">
        <v>0.20225950615964028</v>
      </c>
      <c r="AE71"/>
      <c r="AF71"/>
      <c r="AG71"/>
      <c r="AH71"/>
      <c r="AM71">
        <v>1992</v>
      </c>
      <c r="AN71" s="64">
        <f t="shared" si="15"/>
        <v>5.6197640109547486E-3</v>
      </c>
      <c r="AO71" s="64">
        <f t="shared" si="21"/>
        <v>3.5797896749781748E-3</v>
      </c>
      <c r="AP71" s="64">
        <f t="shared" si="16"/>
        <v>2.0399743359765738E-3</v>
      </c>
      <c r="AR71" s="55">
        <v>0.20225950615964028</v>
      </c>
      <c r="AT71" s="3">
        <f t="shared" si="22"/>
        <v>2.7784919075789478</v>
      </c>
      <c r="AU71" s="3">
        <f t="shared" si="17"/>
        <v>2.8905884434161413</v>
      </c>
      <c r="AV71" s="3">
        <f t="shared" si="18"/>
        <v>1.7698993451277896</v>
      </c>
      <c r="AW71" s="3">
        <f t="shared" si="23"/>
        <v>1.0085925624511582</v>
      </c>
      <c r="AX71" s="3">
        <f t="shared" si="8"/>
        <v>1.1206890982883517</v>
      </c>
      <c r="AY71" s="9">
        <f t="shared" si="19"/>
        <v>68.325441223477071</v>
      </c>
      <c r="AZ71">
        <v>0</v>
      </c>
      <c r="BA71">
        <v>0</v>
      </c>
      <c r="BB71">
        <v>0</v>
      </c>
    </row>
    <row r="72" spans="1:54">
      <c r="A72">
        <v>1993</v>
      </c>
      <c r="B72" s="3">
        <f t="shared" si="11"/>
        <v>110.84129560677995</v>
      </c>
      <c r="C72" s="3">
        <f t="shared" si="0"/>
        <v>66.241014180537462</v>
      </c>
      <c r="D72" s="2">
        <v>54.915999999999997</v>
      </c>
      <c r="E72" s="2">
        <v>94.799300000000002</v>
      </c>
      <c r="F72" s="2">
        <f t="shared" si="9"/>
        <v>52.059983587999994</v>
      </c>
      <c r="G72" s="53">
        <v>1.072241666666667E-2</v>
      </c>
      <c r="H72" s="58">
        <f t="shared" si="12"/>
        <v>5.5820883569036453E-3</v>
      </c>
      <c r="I72" s="62">
        <f t="shared" si="13"/>
        <v>7.8726554767580333E-3</v>
      </c>
      <c r="J72" s="32">
        <f t="shared" si="1"/>
        <v>5.1093534044159639E-3</v>
      </c>
      <c r="K72" s="2">
        <f t="shared" si="24"/>
        <v>0</v>
      </c>
      <c r="P72" s="32">
        <f t="shared" si="2"/>
        <v>2.7633020723420694E-3</v>
      </c>
      <c r="Q72" s="32">
        <f t="shared" si="3"/>
        <v>0</v>
      </c>
      <c r="S72" s="2">
        <f>USA!Z80*G72</f>
        <v>0.19761413916666673</v>
      </c>
      <c r="T72" s="2">
        <v>0</v>
      </c>
      <c r="U72" s="2">
        <v>0</v>
      </c>
      <c r="V72" s="2">
        <v>0</v>
      </c>
      <c r="X72" s="2">
        <v>0.64900000000000002</v>
      </c>
      <c r="Y72" s="55">
        <f t="shared" si="4"/>
        <v>4.2036496770013225E-3</v>
      </c>
      <c r="Z72" s="2">
        <v>0.13</v>
      </c>
      <c r="AA72" s="58">
        <f t="shared" si="10"/>
        <v>9.0570372741464111E-4</v>
      </c>
      <c r="AB72" s="55">
        <f t="shared" si="14"/>
        <v>5.1093534044159639E-3</v>
      </c>
      <c r="AC72">
        <f t="shared" si="20"/>
        <v>1.5209097657983683</v>
      </c>
      <c r="AD72">
        <v>0.33594060077153365</v>
      </c>
      <c r="AE72"/>
      <c r="AF72"/>
      <c r="AG72"/>
      <c r="AH72"/>
      <c r="AM72">
        <v>1993</v>
      </c>
      <c r="AN72" s="64">
        <f t="shared" si="15"/>
        <v>7.8726554767580333E-3</v>
      </c>
      <c r="AO72" s="64">
        <f t="shared" si="21"/>
        <v>5.1093534044159639E-3</v>
      </c>
      <c r="AP72" s="64">
        <f t="shared" si="16"/>
        <v>2.7633020723420694E-3</v>
      </c>
      <c r="AR72" s="55">
        <v>0.33594060077153365</v>
      </c>
      <c r="AT72" s="3">
        <f t="shared" si="22"/>
        <v>2.3434665112455599</v>
      </c>
      <c r="AU72" s="3">
        <f t="shared" si="17"/>
        <v>2.5319944388964997</v>
      </c>
      <c r="AV72" s="3">
        <f t="shared" si="18"/>
        <v>1.5209097657983683</v>
      </c>
      <c r="AW72" s="3">
        <f t="shared" si="23"/>
        <v>0.8225567454471916</v>
      </c>
      <c r="AX72" s="3">
        <f t="shared" si="8"/>
        <v>1.0110846730981313</v>
      </c>
      <c r="AY72" s="9">
        <f t="shared" si="19"/>
        <v>58.82413102578812</v>
      </c>
      <c r="AZ72">
        <v>0</v>
      </c>
      <c r="BA72">
        <v>0</v>
      </c>
      <c r="BB72">
        <v>0</v>
      </c>
    </row>
    <row r="73" spans="1:54">
      <c r="A73">
        <v>1994</v>
      </c>
      <c r="B73" s="3">
        <f t="shared" si="11"/>
        <v>128.97943739710288</v>
      </c>
      <c r="C73" s="3">
        <f t="shared" si="0"/>
        <v>67.968212466727536</v>
      </c>
      <c r="D73" s="34">
        <v>63.90249</v>
      </c>
      <c r="E73" s="2">
        <v>97.271140000000003</v>
      </c>
      <c r="F73" s="2">
        <f t="shared" si="9"/>
        <v>62.158680511386002</v>
      </c>
      <c r="G73" s="53">
        <v>2.8294583333333331E-2</v>
      </c>
      <c r="H73" s="58">
        <f t="shared" si="12"/>
        <v>1.7587539656194539E-2</v>
      </c>
      <c r="I73" s="62">
        <f t="shared" si="13"/>
        <v>2.4804451585901163E-2</v>
      </c>
      <c r="J73" s="32">
        <f t="shared" si="1"/>
        <v>1.6470155853038373E-2</v>
      </c>
      <c r="K73" s="2">
        <f t="shared" si="24"/>
        <v>0</v>
      </c>
      <c r="P73" s="32">
        <f t="shared" si="2"/>
        <v>8.3342957328627898E-3</v>
      </c>
      <c r="Q73" s="32">
        <f t="shared" si="3"/>
        <v>0</v>
      </c>
      <c r="S73" s="2">
        <f>USA!Z81*G73</f>
        <v>0.48666683333333327</v>
      </c>
      <c r="T73" s="2">
        <v>0</v>
      </c>
      <c r="U73" s="2">
        <v>0</v>
      </c>
      <c r="V73" s="2">
        <v>0</v>
      </c>
      <c r="X73" s="2">
        <v>0.66400000000000003</v>
      </c>
      <c r="Y73" s="55">
        <f t="shared" si="4"/>
        <v>1.3234792602703438E-2</v>
      </c>
      <c r="Z73" s="2">
        <v>0.15</v>
      </c>
      <c r="AA73" s="58">
        <f t="shared" si="10"/>
        <v>3.2353632503349344E-3</v>
      </c>
      <c r="AB73" s="55">
        <f t="shared" si="14"/>
        <v>1.6470155853038373E-2</v>
      </c>
      <c r="AC73">
        <f t="shared" si="20"/>
        <v>2.3890548034854984</v>
      </c>
      <c r="AD73">
        <v>0.68940050387330287</v>
      </c>
      <c r="AE73"/>
      <c r="AF73"/>
      <c r="AG73"/>
      <c r="AH73"/>
      <c r="AM73">
        <v>1994</v>
      </c>
      <c r="AN73" s="64">
        <f t="shared" si="15"/>
        <v>2.4804451585901163E-2</v>
      </c>
      <c r="AO73" s="64">
        <f t="shared" si="21"/>
        <v>1.6470155853038373E-2</v>
      </c>
      <c r="AP73" s="64">
        <f t="shared" si="16"/>
        <v>8.3342957328627898E-3</v>
      </c>
      <c r="AR73" s="55">
        <v>0.68940050387330287</v>
      </c>
      <c r="AT73" s="3">
        <f t="shared" si="22"/>
        <v>3.597974101634787</v>
      </c>
      <c r="AU73" s="3">
        <f t="shared" si="17"/>
        <v>3.5358990330317983</v>
      </c>
      <c r="AV73" s="3">
        <f t="shared" si="18"/>
        <v>2.3890548034854984</v>
      </c>
      <c r="AW73" s="3">
        <f t="shared" si="23"/>
        <v>1.2089192981492887</v>
      </c>
      <c r="AX73" s="3">
        <f t="shared" si="8"/>
        <v>1.1468442295463002</v>
      </c>
      <c r="AY73" s="9">
        <f t="shared" si="19"/>
        <v>70.592758577787791</v>
      </c>
      <c r="AZ73">
        <v>0</v>
      </c>
      <c r="BA73">
        <v>0</v>
      </c>
      <c r="BB73">
        <v>0</v>
      </c>
    </row>
    <row r="74" spans="1:54">
      <c r="A74">
        <v>1995</v>
      </c>
      <c r="B74" s="3">
        <f t="shared" si="11"/>
        <v>147.36184340175916</v>
      </c>
      <c r="C74" s="3">
        <f t="shared" si="0"/>
        <v>69.875003486879606</v>
      </c>
      <c r="D74" s="2">
        <v>73.010000000000005</v>
      </c>
      <c r="E74" s="2">
        <v>100</v>
      </c>
      <c r="F74" s="2">
        <f t="shared" si="9"/>
        <v>73.010000000000005</v>
      </c>
      <c r="G74" s="53">
        <v>4.4918416666666662E-2</v>
      </c>
      <c r="H74" s="58">
        <f t="shared" si="12"/>
        <v>3.2794936008333331E-2</v>
      </c>
      <c r="I74" s="62">
        <f>H74*(I$75+I$76)/(H$75+H$76)</f>
        <v>4.6252086328341012E-2</v>
      </c>
      <c r="J74" s="32">
        <f t="shared" si="1"/>
        <v>3.140516661694355E-2</v>
      </c>
      <c r="K74" s="2">
        <f t="shared" si="24"/>
        <v>0</v>
      </c>
      <c r="M74" s="2">
        <f>G74*N74/100</f>
        <v>2.5154313333333331E-2</v>
      </c>
      <c r="N74" s="39">
        <v>56</v>
      </c>
      <c r="P74" s="32">
        <f t="shared" si="2"/>
        <v>1.4846919711397462E-2</v>
      </c>
      <c r="Q74" s="32">
        <f t="shared" si="3"/>
        <v>0</v>
      </c>
      <c r="S74" s="2">
        <f>USA!Z82*G74</f>
        <v>0.82784641916666657</v>
      </c>
      <c r="T74" s="2">
        <v>0</v>
      </c>
      <c r="U74" s="2">
        <v>0</v>
      </c>
      <c r="V74" s="2">
        <v>0</v>
      </c>
      <c r="X74" s="2">
        <v>0.67900000000000005</v>
      </c>
      <c r="Y74" s="55">
        <f t="shared" si="4"/>
        <v>2.5372285791507763E-2</v>
      </c>
      <c r="Z74" s="2">
        <v>0.15</v>
      </c>
      <c r="AA74" s="58">
        <f t="shared" si="10"/>
        <v>6.0328808254357848E-3</v>
      </c>
      <c r="AB74" s="55">
        <f t="shared" si="14"/>
        <v>3.140516661694355E-2</v>
      </c>
      <c r="AC74">
        <f t="shared" si="20"/>
        <v>2.4088369775668155</v>
      </c>
      <c r="AD74">
        <v>1.3037481120314813</v>
      </c>
      <c r="AE74"/>
      <c r="AF74"/>
      <c r="AG74"/>
      <c r="AH74"/>
      <c r="AM74">
        <v>1995</v>
      </c>
      <c r="AN74" s="64">
        <f t="shared" si="15"/>
        <v>4.6252086328341012E-2</v>
      </c>
      <c r="AO74" s="64">
        <f t="shared" si="21"/>
        <v>3.140516661694355E-2</v>
      </c>
      <c r="AP74" s="64">
        <f t="shared" si="16"/>
        <v>1.4846919711397462E-2</v>
      </c>
      <c r="AR74" s="55">
        <v>1.3037481120314813</v>
      </c>
      <c r="AT74" s="3">
        <f t="shared" si="22"/>
        <v>3.5476244146786668</v>
      </c>
      <c r="AU74" s="3">
        <f t="shared" si="17"/>
        <v>3.4738313937273593</v>
      </c>
      <c r="AV74" s="3">
        <f t="shared" si="18"/>
        <v>2.4088369775668155</v>
      </c>
      <c r="AW74" s="3">
        <f t="shared" si="23"/>
        <v>1.1387874371118514</v>
      </c>
      <c r="AX74" s="3">
        <f t="shared" si="8"/>
        <v>1.0649944161605438</v>
      </c>
      <c r="AY74" s="9">
        <f t="shared" si="19"/>
        <v>63.497420362644149</v>
      </c>
      <c r="AZ74">
        <v>0</v>
      </c>
      <c r="BA74">
        <v>0</v>
      </c>
      <c r="BB74">
        <v>0</v>
      </c>
    </row>
    <row r="75" spans="1:54">
      <c r="A75">
        <v>1996</v>
      </c>
      <c r="B75" s="3">
        <f t="shared" si="11"/>
        <v>99.991151815118684</v>
      </c>
      <c r="C75" s="3">
        <f t="shared" si="0"/>
        <v>71.923179589087013</v>
      </c>
      <c r="D75" s="2">
        <v>47.565800000000003</v>
      </c>
      <c r="E75" s="2">
        <v>102.9312</v>
      </c>
      <c r="F75" s="2">
        <f t="shared" si="9"/>
        <v>48.960048729600004</v>
      </c>
      <c r="G75" s="53">
        <v>7.9264416666666671E-2</v>
      </c>
      <c r="H75" s="58">
        <f t="shared" si="12"/>
        <v>3.8807897025233191E-2</v>
      </c>
      <c r="I75" s="62">
        <f>K75</f>
        <v>5.7004444444444441E-2</v>
      </c>
      <c r="J75" s="32">
        <f t="shared" si="1"/>
        <v>3.8763022222222221E-2</v>
      </c>
      <c r="K75" s="2">
        <f t="shared" si="24"/>
        <v>5.7004444444444441E-2</v>
      </c>
      <c r="L75" s="2">
        <v>2.2000000000000002</v>
      </c>
      <c r="M75" s="2">
        <f t="shared" ref="M75:M88" si="25">G75*N75/100</f>
        <v>5.0200797222222225E-2</v>
      </c>
      <c r="N75" s="2">
        <f>N74+(N$77-N$74)/3</f>
        <v>63.333333333333336</v>
      </c>
      <c r="P75" s="32">
        <f t="shared" si="2"/>
        <v>1.824142222222222E-2</v>
      </c>
      <c r="Q75" s="32">
        <f t="shared" si="3"/>
        <v>0</v>
      </c>
      <c r="S75" s="2">
        <f>USA!Z83*G75</f>
        <v>1.7533288966666669</v>
      </c>
      <c r="T75" s="2">
        <v>0</v>
      </c>
      <c r="U75" s="2">
        <v>0</v>
      </c>
      <c r="V75" s="2">
        <v>0</v>
      </c>
      <c r="X75" s="2">
        <v>0.68</v>
      </c>
      <c r="Y75" s="55">
        <f t="shared" si="4"/>
        <v>3.1327659903381641E-2</v>
      </c>
      <c r="Z75" s="2">
        <v>0.15</v>
      </c>
      <c r="AA75" s="58">
        <f t="shared" si="10"/>
        <v>7.4353623188405799E-3</v>
      </c>
      <c r="AB75" s="55">
        <f t="shared" si="14"/>
        <v>3.8763022222222221E-2</v>
      </c>
      <c r="AC75">
        <f t="shared" si="20"/>
        <v>1.6480036893966838</v>
      </c>
      <c r="AD75">
        <v>2.3521198691255929</v>
      </c>
      <c r="AE75"/>
      <c r="AF75"/>
      <c r="AG75"/>
      <c r="AH75"/>
      <c r="AM75">
        <v>1996</v>
      </c>
      <c r="AN75" s="64">
        <f t="shared" si="15"/>
        <v>5.7004444444444441E-2</v>
      </c>
      <c r="AO75" s="64">
        <f t="shared" si="21"/>
        <v>3.8763022222222221E-2</v>
      </c>
      <c r="AP75" s="64">
        <f t="shared" si="16"/>
        <v>1.824142222222222E-2</v>
      </c>
      <c r="AR75" s="55">
        <v>2.3521198691255929</v>
      </c>
      <c r="AT75" s="3">
        <f t="shared" si="22"/>
        <v>2.4235348373480643</v>
      </c>
      <c r="AU75" s="3">
        <f t="shared" si="17"/>
        <v>2.8404109902097172</v>
      </c>
      <c r="AV75" s="3">
        <f t="shared" si="18"/>
        <v>1.6480036893966838</v>
      </c>
      <c r="AW75" s="3">
        <f t="shared" si="23"/>
        <v>0.77553114795138045</v>
      </c>
      <c r="AX75" s="3">
        <f t="shared" si="8"/>
        <v>1.1924073008130336</v>
      </c>
      <c r="AY75" s="9">
        <f t="shared" si="19"/>
        <v>74.542497586165609</v>
      </c>
      <c r="AZ75">
        <v>0</v>
      </c>
      <c r="BA75">
        <v>0</v>
      </c>
      <c r="BB75">
        <v>0</v>
      </c>
    </row>
    <row r="76" spans="1:54">
      <c r="A76">
        <v>1997</v>
      </c>
      <c r="B76" s="3">
        <f t="shared" si="11"/>
        <v>104.31137076157523</v>
      </c>
      <c r="C76" s="3">
        <f t="shared" si="0"/>
        <v>73.604511922988308</v>
      </c>
      <c r="D76" s="2">
        <v>52.687800000000003</v>
      </c>
      <c r="E76" s="2">
        <v>105.3374</v>
      </c>
      <c r="F76" s="2">
        <f t="shared" si="9"/>
        <v>55.49995863720001</v>
      </c>
      <c r="G76" s="53">
        <v>0.15186666666666665</v>
      </c>
      <c r="H76" s="58">
        <f t="shared" si="12"/>
        <v>8.4285937183694398E-2</v>
      </c>
      <c r="I76" s="62">
        <f>K76</f>
        <v>0.1166</v>
      </c>
      <c r="J76" s="32">
        <f t="shared" si="1"/>
        <v>8.1619999999999998E-2</v>
      </c>
      <c r="K76" s="2">
        <f t="shared" si="24"/>
        <v>0.1166</v>
      </c>
      <c r="L76" s="2">
        <v>4.5</v>
      </c>
      <c r="M76" s="2">
        <f t="shared" si="25"/>
        <v>0.1073191111111111</v>
      </c>
      <c r="N76" s="2">
        <f>N75+(N$77-N$74)/3</f>
        <v>70.666666666666671</v>
      </c>
      <c r="P76" s="32">
        <f t="shared" si="2"/>
        <v>3.4979999999999997E-2</v>
      </c>
      <c r="Q76" s="32">
        <f t="shared" si="3"/>
        <v>0</v>
      </c>
      <c r="S76" s="2">
        <f>USA!Z84*G76</f>
        <v>3.1299719999999995</v>
      </c>
      <c r="T76" s="2">
        <v>0</v>
      </c>
      <c r="U76" s="2">
        <v>0</v>
      </c>
      <c r="V76" s="2">
        <v>0</v>
      </c>
      <c r="X76" s="2">
        <v>0.7</v>
      </c>
      <c r="Y76" s="55">
        <f t="shared" si="4"/>
        <v>6.6411304347826078E-2</v>
      </c>
      <c r="Z76" s="2">
        <v>0.15</v>
      </c>
      <c r="AA76" s="58">
        <f t="shared" si="10"/>
        <v>1.5208695652173913E-2</v>
      </c>
      <c r="AB76" s="55">
        <f t="shared" si="14"/>
        <v>8.1619999999999998E-2</v>
      </c>
      <c r="AC76">
        <f t="shared" si="20"/>
        <v>1.8689466287731746</v>
      </c>
      <c r="AD76">
        <v>4.3671659074383253</v>
      </c>
      <c r="AE76"/>
      <c r="AF76"/>
      <c r="AG76"/>
      <c r="AH76"/>
      <c r="AM76">
        <v>1997</v>
      </c>
      <c r="AN76" s="64">
        <f t="shared" si="15"/>
        <v>0.1166</v>
      </c>
      <c r="AO76" s="64">
        <f t="shared" si="21"/>
        <v>8.1619999999999998E-2</v>
      </c>
      <c r="AP76" s="64">
        <f t="shared" si="16"/>
        <v>3.4979999999999997E-2</v>
      </c>
      <c r="AR76" s="55">
        <v>4.3671659074383253</v>
      </c>
      <c r="AT76" s="3">
        <f t="shared" si="22"/>
        <v>2.6699237553902493</v>
      </c>
      <c r="AU76" s="3">
        <f t="shared" si="17"/>
        <v>3.0282240012614769</v>
      </c>
      <c r="AV76" s="3">
        <f t="shared" si="18"/>
        <v>1.8689466287731746</v>
      </c>
      <c r="AW76" s="3">
        <f t="shared" si="23"/>
        <v>0.80097712661707465</v>
      </c>
      <c r="AX76" s="3">
        <f t="shared" si="8"/>
        <v>1.1592773724883023</v>
      </c>
      <c r="AY76" s="9">
        <f t="shared" si="19"/>
        <v>71.670554000911906</v>
      </c>
      <c r="AZ76">
        <v>0</v>
      </c>
      <c r="BA76">
        <v>0</v>
      </c>
      <c r="BB76">
        <v>0</v>
      </c>
    </row>
    <row r="77" spans="1:54">
      <c r="A77">
        <v>1998</v>
      </c>
      <c r="B77" s="3">
        <f t="shared" ref="B77:B88" si="26">I77/G77*100/C77*100</f>
        <v>97.06440469931637</v>
      </c>
      <c r="C77" s="3">
        <f t="shared" si="0"/>
        <v>74.747038105002289</v>
      </c>
      <c r="D77" s="2">
        <v>57.996200000000002</v>
      </c>
      <c r="E77" s="2">
        <v>106.9725</v>
      </c>
      <c r="F77" s="2">
        <f t="shared" si="9"/>
        <v>62.039985045000002</v>
      </c>
      <c r="G77" s="53">
        <v>0.26070833333333332</v>
      </c>
      <c r="H77" s="58">
        <f t="shared" si="12"/>
        <v>0.16174341101106876</v>
      </c>
      <c r="I77" s="62">
        <f>K77</f>
        <v>0.1891511111111111</v>
      </c>
      <c r="J77" s="32">
        <f t="shared" si="1"/>
        <v>0.1361888</v>
      </c>
      <c r="K77" s="2">
        <f t="shared" si="24"/>
        <v>0.1891511111111111</v>
      </c>
      <c r="L77" s="2">
        <v>7.3</v>
      </c>
      <c r="M77" s="2">
        <f t="shared" si="25"/>
        <v>0.20335249999999999</v>
      </c>
      <c r="N77" s="39">
        <v>78</v>
      </c>
      <c r="P77" s="32">
        <f t="shared" si="2"/>
        <v>5.2962311111111104E-2</v>
      </c>
      <c r="Q77" s="32">
        <f t="shared" si="3"/>
        <v>0</v>
      </c>
      <c r="S77" s="2">
        <f>USA!Z85*G77</f>
        <v>3.7594141666666663</v>
      </c>
      <c r="T77" s="2">
        <v>0</v>
      </c>
      <c r="U77" s="2">
        <v>0</v>
      </c>
      <c r="V77" s="2">
        <v>0</v>
      </c>
      <c r="X77" s="2">
        <v>0.72</v>
      </c>
      <c r="Y77" s="55">
        <f t="shared" si="4"/>
        <v>0.11151691594202898</v>
      </c>
      <c r="Z77" s="2">
        <v>0.15</v>
      </c>
      <c r="AA77" s="58">
        <f t="shared" si="10"/>
        <v>2.4671884057971015E-2</v>
      </c>
      <c r="AB77" s="55">
        <f t="shared" si="14"/>
        <v>0.1361888</v>
      </c>
      <c r="AC77">
        <f t="shared" si="20"/>
        <v>1.6889344039581013</v>
      </c>
      <c r="AD77">
        <v>8.0635932148006937</v>
      </c>
      <c r="AE77"/>
      <c r="AF77"/>
      <c r="AG77"/>
      <c r="AH77"/>
      <c r="AM77">
        <v>1998</v>
      </c>
      <c r="AN77" s="64">
        <f t="shared" si="15"/>
        <v>0.1891511111111111</v>
      </c>
      <c r="AO77" s="64">
        <f t="shared" si="21"/>
        <v>0.1361888</v>
      </c>
      <c r="AP77" s="64">
        <f t="shared" si="16"/>
        <v>5.2962311111111104E-2</v>
      </c>
      <c r="AR77" s="55">
        <v>8.0635932148006937</v>
      </c>
      <c r="AT77" s="3">
        <f t="shared" si="22"/>
        <v>2.345742227719585</v>
      </c>
      <c r="AU77" s="3">
        <f t="shared" si="17"/>
        <v>2.5592595681161971</v>
      </c>
      <c r="AV77" s="3">
        <f t="shared" si="18"/>
        <v>1.6889344039581013</v>
      </c>
      <c r="AW77" s="3">
        <f t="shared" si="23"/>
        <v>0.65680782376148361</v>
      </c>
      <c r="AX77" s="3">
        <f t="shared" si="8"/>
        <v>0.87032516415809569</v>
      </c>
      <c r="AY77" s="9">
        <f t="shared" si="19"/>
        <v>46.622071160116022</v>
      </c>
      <c r="AZ77">
        <v>0</v>
      </c>
      <c r="BA77">
        <v>0</v>
      </c>
      <c r="BB77">
        <v>0</v>
      </c>
    </row>
    <row r="78" spans="1:54">
      <c r="A78">
        <v>1999</v>
      </c>
      <c r="B78" s="3">
        <f t="shared" si="26"/>
        <v>113.32595515709021</v>
      </c>
      <c r="C78" s="3">
        <f t="shared" si="0"/>
        <v>75.889564287016256</v>
      </c>
      <c r="D78" s="38">
        <v>89.561000000000007</v>
      </c>
      <c r="E78" s="2">
        <v>108.60760000000001</v>
      </c>
      <c r="F78" s="2">
        <f t="shared" si="9"/>
        <v>97.270052636000017</v>
      </c>
      <c r="G78" s="53">
        <v>0.41878333333333329</v>
      </c>
      <c r="H78" s="58">
        <f t="shared" si="12"/>
        <v>0.40735076876412868</v>
      </c>
      <c r="I78" s="62">
        <f>K78</f>
        <v>0.36016444444444445</v>
      </c>
      <c r="J78" s="32">
        <f t="shared" si="1"/>
        <v>0.25571675555555556</v>
      </c>
      <c r="K78" s="2">
        <f>K$79*L78/L$79</f>
        <v>0.36016444444444445</v>
      </c>
      <c r="L78" s="2">
        <v>13.9</v>
      </c>
      <c r="M78" s="2">
        <f t="shared" si="25"/>
        <v>0.34759016666666659</v>
      </c>
      <c r="N78" s="2">
        <f>(N77+N79)/2</f>
        <v>83</v>
      </c>
      <c r="P78" s="32">
        <f t="shared" si="2"/>
        <v>0.10444768888888889</v>
      </c>
      <c r="Q78" s="32">
        <f t="shared" si="3"/>
        <v>0</v>
      </c>
      <c r="S78" s="2">
        <f>USA!Z86*G78</f>
        <v>7.3203326666666664</v>
      </c>
      <c r="T78" s="2">
        <v>0</v>
      </c>
      <c r="U78" s="2">
        <v>0</v>
      </c>
      <c r="V78" s="2">
        <v>0</v>
      </c>
      <c r="X78" s="2">
        <v>0.71</v>
      </c>
      <c r="Y78" s="55">
        <f t="shared" si="4"/>
        <v>0.20873878454106282</v>
      </c>
      <c r="Z78" s="2">
        <v>0.15</v>
      </c>
      <c r="AA78" s="58">
        <f t="shared" si="10"/>
        <v>4.6977971014492755E-2</v>
      </c>
      <c r="AB78" s="55">
        <f t="shared" si="14"/>
        <v>0.25571675555555556</v>
      </c>
      <c r="AC78">
        <f t="shared" si="20"/>
        <v>1.9235149898244541</v>
      </c>
      <c r="AD78">
        <v>13.29424293069289</v>
      </c>
      <c r="AE78"/>
      <c r="AF78"/>
      <c r="AG78"/>
      <c r="AH78"/>
      <c r="AM78">
        <v>1999</v>
      </c>
      <c r="AN78" s="64">
        <f t="shared" si="15"/>
        <v>0.36016444444444445</v>
      </c>
      <c r="AO78" s="64">
        <f t="shared" si="21"/>
        <v>0.25571675555555556</v>
      </c>
      <c r="AP78" s="64">
        <f t="shared" si="16"/>
        <v>0.10444768888888889</v>
      </c>
      <c r="AR78" s="55">
        <v>13.29424293069289</v>
      </c>
      <c r="AT78" s="3">
        <f t="shared" si="22"/>
        <v>2.7091760420062734</v>
      </c>
      <c r="AU78" s="3">
        <f t="shared" si="17"/>
        <v>2.891223052105234</v>
      </c>
      <c r="AV78" s="3">
        <f t="shared" si="18"/>
        <v>1.9235149898244541</v>
      </c>
      <c r="AW78" s="3">
        <f t="shared" si="23"/>
        <v>0.78566105218181925</v>
      </c>
      <c r="AX78" s="3">
        <f t="shared" si="8"/>
        <v>0.96770806228077977</v>
      </c>
      <c r="AY78" s="9">
        <f t="shared" si="19"/>
        <v>55.063930340598446</v>
      </c>
      <c r="AZ78">
        <v>0</v>
      </c>
      <c r="BA78">
        <v>0</v>
      </c>
      <c r="BB78">
        <v>0</v>
      </c>
    </row>
    <row r="79" spans="1:54">
      <c r="A79">
        <v>2000</v>
      </c>
      <c r="B79" s="3">
        <f t="shared" si="26"/>
        <v>118.09903361674455</v>
      </c>
      <c r="C79" s="3">
        <f t="shared" si="0"/>
        <v>78.958238837304293</v>
      </c>
      <c r="D79" s="2">
        <f>F79/E79*100</f>
        <v>82.521703857671355</v>
      </c>
      <c r="E79" s="2">
        <v>112.9992628224058</v>
      </c>
      <c r="F79" s="2">
        <f>I79/G79*100</f>
        <v>93.248917027657441</v>
      </c>
      <c r="G79" s="53">
        <v>0.62520833333333337</v>
      </c>
      <c r="H79" s="60"/>
      <c r="I79" s="57">
        <f>K79</f>
        <v>0.58299999999999996</v>
      </c>
      <c r="J79" s="32">
        <f t="shared" si="1"/>
        <v>0.36170940170940175</v>
      </c>
      <c r="K79" s="2">
        <v>0.58299999999999996</v>
      </c>
      <c r="L79" s="2">
        <v>22.5</v>
      </c>
      <c r="M79" s="2">
        <f t="shared" si="25"/>
        <v>0.55018333333333336</v>
      </c>
      <c r="N79" s="39">
        <v>88</v>
      </c>
      <c r="P79" s="32">
        <f t="shared" ref="P79:P89" si="27">K79-AB79</f>
        <v>0.22129059829059822</v>
      </c>
      <c r="Q79" s="32">
        <f t="shared" si="3"/>
        <v>0</v>
      </c>
      <c r="S79" s="2">
        <f>USA!Z87*G79</f>
        <v>17.255750000000003</v>
      </c>
      <c r="T79" s="2">
        <v>0</v>
      </c>
      <c r="U79" s="2">
        <v>0</v>
      </c>
      <c r="V79" s="2">
        <v>0</v>
      </c>
      <c r="X79" s="2">
        <f>AB79/I79</f>
        <v>0.6204277902391111</v>
      </c>
      <c r="Y79" s="62">
        <v>0.27700000000000002</v>
      </c>
      <c r="Z79" s="2">
        <v>0.17</v>
      </c>
      <c r="AA79" s="58">
        <f t="shared" si="10"/>
        <v>8.4709401709401722E-2</v>
      </c>
      <c r="AB79" s="55">
        <f t="shared" ref="AB79:AB90" si="28">Y79+AA79</f>
        <v>0.36170940170940175</v>
      </c>
      <c r="AC79">
        <f t="shared" si="20"/>
        <v>1.7563119249007859</v>
      </c>
      <c r="AD79">
        <v>20.594826954206027</v>
      </c>
      <c r="AE79"/>
      <c r="AF79"/>
      <c r="AG79"/>
      <c r="AH79"/>
      <c r="AM79">
        <v>2000</v>
      </c>
      <c r="AN79" s="64">
        <f t="shared" si="15"/>
        <v>0.58299999999999996</v>
      </c>
      <c r="AO79" s="64">
        <f t="shared" si="21"/>
        <v>0.36170940170940175</v>
      </c>
      <c r="AP79" s="64">
        <f t="shared" si="16"/>
        <v>0.22129059829059822</v>
      </c>
      <c r="AR79" s="55">
        <v>20.594826954206027</v>
      </c>
      <c r="AT79" s="3">
        <f t="shared" si="22"/>
        <v>2.8308079562714434</v>
      </c>
      <c r="AU79" s="3">
        <f t="shared" si="17"/>
        <v>2.7551623344244232</v>
      </c>
      <c r="AV79" s="3">
        <f t="shared" si="18"/>
        <v>1.7563119249007859</v>
      </c>
      <c r="AW79" s="3">
        <f t="shared" si="23"/>
        <v>1.0744960313706575</v>
      </c>
      <c r="AX79" s="3">
        <f t="shared" si="8"/>
        <v>0.99885040952363724</v>
      </c>
      <c r="AY79" s="9">
        <f t="shared" si="19"/>
        <v>83.786817137960483</v>
      </c>
      <c r="AZ79">
        <v>0</v>
      </c>
      <c r="BA79">
        <v>0</v>
      </c>
      <c r="BB79" s="23">
        <v>1</v>
      </c>
    </row>
    <row r="80" spans="1:54">
      <c r="A80">
        <v>2001</v>
      </c>
      <c r="B80" s="3">
        <f t="shared" si="26"/>
        <v>99.702951114948078</v>
      </c>
      <c r="C80" s="3">
        <f t="shared" si="0"/>
        <v>81.182199298191421</v>
      </c>
      <c r="D80" s="2">
        <f t="shared" ref="D80:D88" si="29">F80/E80*100</f>
        <v>69.667440568091834</v>
      </c>
      <c r="E80" s="2">
        <v>116.1820325539375</v>
      </c>
      <c r="F80" s="2">
        <f t="shared" ref="F80:F88" si="30">I80/G80*100</f>
        <v>80.941048480315516</v>
      </c>
      <c r="G80" s="53">
        <v>1.225583333333333</v>
      </c>
      <c r="H80" s="60"/>
      <c r="I80" s="57">
        <f t="shared" ref="I80:I89" si="31">K80</f>
        <v>0.99199999999999999</v>
      </c>
      <c r="J80" s="32">
        <f t="shared" si="1"/>
        <v>0.6253220338983051</v>
      </c>
      <c r="K80" s="2">
        <v>0.99199999999999999</v>
      </c>
      <c r="L80" s="2">
        <v>39.299999999999997</v>
      </c>
      <c r="M80" s="2">
        <f t="shared" si="25"/>
        <v>1.1643041666666663</v>
      </c>
      <c r="N80" s="2">
        <f>(N79+N81)/2</f>
        <v>95</v>
      </c>
      <c r="P80" s="32">
        <f t="shared" si="27"/>
        <v>0.3666779661016949</v>
      </c>
      <c r="Q80" s="32">
        <f t="shared" si="3"/>
        <v>0</v>
      </c>
      <c r="S80" s="2">
        <f>USA!Z88*G80</f>
        <v>28.335486666666661</v>
      </c>
      <c r="T80" s="2">
        <v>0</v>
      </c>
      <c r="U80" s="2">
        <v>0</v>
      </c>
      <c r="V80" s="2">
        <v>0</v>
      </c>
      <c r="X80" s="2">
        <f t="shared" ref="X80:X89" si="32">AB80/I80</f>
        <v>0.63036495352651722</v>
      </c>
      <c r="Y80" s="62">
        <v>0.47399999999999998</v>
      </c>
      <c r="Z80" s="2">
        <v>0.18</v>
      </c>
      <c r="AA80" s="58">
        <f t="shared" si="10"/>
        <v>0.15132203389830509</v>
      </c>
      <c r="AB80" s="55">
        <f t="shared" si="28"/>
        <v>0.6253220338983051</v>
      </c>
      <c r="AC80">
        <f t="shared" si="20"/>
        <v>1.9665173494341586</v>
      </c>
      <c r="AD80">
        <v>31.798449887982624</v>
      </c>
      <c r="AE80"/>
      <c r="AF80"/>
      <c r="AG80"/>
      <c r="AH80"/>
      <c r="AM80">
        <v>2001</v>
      </c>
      <c r="AN80" s="64">
        <f t="shared" si="15"/>
        <v>0.99199999999999999</v>
      </c>
      <c r="AO80" s="64">
        <f t="shared" si="21"/>
        <v>0.6253220338983051</v>
      </c>
      <c r="AP80" s="64">
        <f t="shared" si="16"/>
        <v>0.3666779661016949</v>
      </c>
      <c r="AR80" s="55">
        <v>31.798449887982624</v>
      </c>
      <c r="AT80" s="3">
        <f t="shared" si="22"/>
        <v>3.1196489246945966</v>
      </c>
      <c r="AU80" s="3">
        <f t="shared" si="17"/>
        <v>3.0267704256543722</v>
      </c>
      <c r="AV80" s="3">
        <f t="shared" si="18"/>
        <v>1.9665173494341586</v>
      </c>
      <c r="AW80" s="3">
        <f t="shared" si="23"/>
        <v>1.1531315752604381</v>
      </c>
      <c r="AX80" s="3">
        <f t="shared" si="8"/>
        <v>1.0602530762202136</v>
      </c>
      <c r="AY80" s="9">
        <f t="shared" si="19"/>
        <v>89.109647691899923</v>
      </c>
      <c r="AZ80">
        <v>0</v>
      </c>
      <c r="BA80">
        <v>0</v>
      </c>
      <c r="BB80" s="23">
        <v>1</v>
      </c>
    </row>
    <row r="81" spans="1:57">
      <c r="A81">
        <v>2002</v>
      </c>
      <c r="B81" s="3">
        <f t="shared" si="26"/>
        <v>118.812352336261</v>
      </c>
      <c r="C81" s="3">
        <f t="shared" si="0"/>
        <v>82.47759894808965</v>
      </c>
      <c r="D81" s="2">
        <f t="shared" si="29"/>
        <v>83.020135337806039</v>
      </c>
      <c r="E81" s="2">
        <v>118.03591389240708</v>
      </c>
      <c r="F81" s="2">
        <f t="shared" si="30"/>
        <v>97.993575460692568</v>
      </c>
      <c r="G81" s="53">
        <v>1.5072416666666666</v>
      </c>
      <c r="H81" s="60"/>
      <c r="I81" s="57">
        <f t="shared" si="31"/>
        <v>1.4770000000000001</v>
      </c>
      <c r="J81" s="32">
        <f t="shared" si="1"/>
        <v>1.0353050847457628</v>
      </c>
      <c r="K81" s="2">
        <v>1.4770000000000001</v>
      </c>
      <c r="L81" s="2">
        <v>58.2</v>
      </c>
      <c r="M81" s="2">
        <f t="shared" si="25"/>
        <v>1.5373864999999998</v>
      </c>
      <c r="N81" s="39">
        <v>102</v>
      </c>
      <c r="P81" s="32">
        <f t="shared" si="27"/>
        <v>0.44169491525423732</v>
      </c>
      <c r="Q81" s="32">
        <f t="shared" si="3"/>
        <v>0</v>
      </c>
      <c r="S81" s="2">
        <f>USA!Z89*G81</f>
        <v>36.716406999999997</v>
      </c>
      <c r="T81" s="2">
        <v>0</v>
      </c>
      <c r="U81" s="2">
        <v>0</v>
      </c>
      <c r="V81" s="2">
        <v>0</v>
      </c>
      <c r="X81" s="2">
        <f t="shared" si="32"/>
        <v>0.70095130991588539</v>
      </c>
      <c r="Y81" s="62">
        <v>0.81</v>
      </c>
      <c r="Z81" s="2">
        <v>0.18</v>
      </c>
      <c r="AA81" s="58">
        <f t="shared" si="10"/>
        <v>0.22530508474576272</v>
      </c>
      <c r="AB81" s="55">
        <f t="shared" si="28"/>
        <v>1.0353050847457628</v>
      </c>
      <c r="AC81">
        <f t="shared" si="20"/>
        <v>2.2459592587170034</v>
      </c>
      <c r="AD81">
        <v>46.096343053755</v>
      </c>
      <c r="AE81"/>
      <c r="AF81"/>
      <c r="AG81"/>
      <c r="AH81"/>
      <c r="AM81">
        <v>2002</v>
      </c>
      <c r="AN81" s="64">
        <f t="shared" si="15"/>
        <v>1.4770000000000001</v>
      </c>
      <c r="AO81" s="64">
        <f t="shared" si="21"/>
        <v>1.0353050847457628</v>
      </c>
      <c r="AP81" s="64">
        <f t="shared" si="16"/>
        <v>0.44169491525423732</v>
      </c>
      <c r="AR81" s="55">
        <v>46.096343053755</v>
      </c>
      <c r="AT81" s="3">
        <f t="shared" si="22"/>
        <v>3.2041587296363283</v>
      </c>
      <c r="AU81" s="3">
        <f t="shared" si="17"/>
        <v>3.1971052774632978</v>
      </c>
      <c r="AV81" s="3">
        <f t="shared" si="18"/>
        <v>2.2459592587170034</v>
      </c>
      <c r="AW81" s="3">
        <f t="shared" si="23"/>
        <v>0.95819947091932489</v>
      </c>
      <c r="AX81" s="3">
        <f t="shared" si="8"/>
        <v>0.95114601874629434</v>
      </c>
      <c r="AY81" s="9">
        <f t="shared" si="19"/>
        <v>79.651452951882447</v>
      </c>
      <c r="AZ81">
        <v>0</v>
      </c>
      <c r="BA81">
        <v>0</v>
      </c>
      <c r="BB81" s="23">
        <v>1</v>
      </c>
    </row>
    <row r="82" spans="1:57">
      <c r="A82">
        <v>2003</v>
      </c>
      <c r="B82" s="3">
        <f t="shared" si="26"/>
        <v>142.45787178951139</v>
      </c>
      <c r="C82" s="3">
        <f t="shared" si="0"/>
        <v>84.37293294912061</v>
      </c>
      <c r="D82" s="2">
        <f t="shared" si="29"/>
        <v>99.54244288025555</v>
      </c>
      <c r="E82" s="2">
        <v>120.74837744367809</v>
      </c>
      <c r="F82" s="2">
        <f t="shared" si="30"/>
        <v>120.19588464570865</v>
      </c>
      <c r="G82" s="53">
        <v>1.5008833333333333</v>
      </c>
      <c r="H82" s="60"/>
      <c r="I82" s="57">
        <f t="shared" si="31"/>
        <v>1.804</v>
      </c>
      <c r="J82" s="32">
        <f t="shared" si="1"/>
        <v>1.2841864406779659</v>
      </c>
      <c r="K82" s="2">
        <v>1.804</v>
      </c>
      <c r="L82" s="2">
        <v>72</v>
      </c>
      <c r="M82" s="2">
        <f t="shared" si="25"/>
        <v>1.8460865000000002</v>
      </c>
      <c r="N82" s="2">
        <f>(N81+N83)/2</f>
        <v>123</v>
      </c>
      <c r="P82" s="32">
        <f t="shared" si="27"/>
        <v>0.5198135593220341</v>
      </c>
      <c r="Q82" s="32">
        <f t="shared" si="3"/>
        <v>0</v>
      </c>
      <c r="S82" s="2">
        <f>USA!Z90*G82</f>
        <v>42.174821666666666</v>
      </c>
      <c r="T82" s="2">
        <v>0</v>
      </c>
      <c r="U82" s="2">
        <v>0</v>
      </c>
      <c r="V82" s="2">
        <v>0</v>
      </c>
      <c r="X82" s="2">
        <f t="shared" si="32"/>
        <v>0.71185501146228713</v>
      </c>
      <c r="Y82" s="62">
        <v>1.0089999999999999</v>
      </c>
      <c r="Z82" s="2">
        <v>0.18</v>
      </c>
      <c r="AA82" s="58">
        <f t="shared" si="10"/>
        <v>0.2751864406779661</v>
      </c>
      <c r="AB82" s="55">
        <f t="shared" si="28"/>
        <v>1.2841864406779659</v>
      </c>
      <c r="AC82">
        <f t="shared" si="20"/>
        <v>2.2909695543204882</v>
      </c>
      <c r="AD82">
        <v>56.05427790413659</v>
      </c>
      <c r="AE82"/>
      <c r="AF82"/>
      <c r="AG82"/>
      <c r="AH82"/>
      <c r="AM82">
        <v>2003</v>
      </c>
      <c r="AN82" s="64">
        <f t="shared" si="15"/>
        <v>1.804</v>
      </c>
      <c r="AO82" s="64">
        <f t="shared" si="21"/>
        <v>1.2841864406779659</v>
      </c>
      <c r="AP82" s="64">
        <f t="shared" si="16"/>
        <v>0.5198135593220341</v>
      </c>
      <c r="AR82" s="55">
        <v>56.05427790413659</v>
      </c>
      <c r="AT82" s="3">
        <f t="shared" si="22"/>
        <v>3.2183092307159518</v>
      </c>
      <c r="AU82" s="3">
        <f t="shared" si="17"/>
        <v>3.1912177181752268</v>
      </c>
      <c r="AV82" s="3">
        <f t="shared" si="18"/>
        <v>2.2909695543204882</v>
      </c>
      <c r="AW82" s="3">
        <f t="shared" si="23"/>
        <v>0.92733967639546355</v>
      </c>
      <c r="AX82" s="3">
        <f t="shared" si="8"/>
        <v>0.9002481638547386</v>
      </c>
      <c r="AY82" s="9">
        <f t="shared" si="19"/>
        <v>75.239256027512454</v>
      </c>
      <c r="AZ82">
        <v>0</v>
      </c>
      <c r="BA82">
        <v>0</v>
      </c>
      <c r="BB82" s="23">
        <v>1</v>
      </c>
    </row>
    <row r="83" spans="1:57">
      <c r="A83">
        <v>2004</v>
      </c>
      <c r="B83" s="3">
        <f t="shared" si="26"/>
        <v>158.64196505161775</v>
      </c>
      <c r="C83" s="3">
        <f t="shared" si="0"/>
        <v>86.62364207534489</v>
      </c>
      <c r="D83" s="2">
        <f t="shared" si="29"/>
        <v>110.8510786114722</v>
      </c>
      <c r="E83" s="2">
        <v>123.96942791081244</v>
      </c>
      <c r="F83" s="2">
        <f t="shared" si="30"/>
        <v>137.42144798760708</v>
      </c>
      <c r="G83" s="53">
        <v>1.4255416666666665</v>
      </c>
      <c r="H83" s="60"/>
      <c r="I83" s="57">
        <f t="shared" si="31"/>
        <v>1.9590000000000001</v>
      </c>
      <c r="J83" s="32">
        <f t="shared" si="1"/>
        <v>1.3408305084745764</v>
      </c>
      <c r="K83" s="2">
        <v>1.9590000000000001</v>
      </c>
      <c r="L83" s="2">
        <v>78.599999999999994</v>
      </c>
      <c r="M83" s="2">
        <f t="shared" si="25"/>
        <v>2.0527799999999998</v>
      </c>
      <c r="N83" s="39">
        <v>144</v>
      </c>
      <c r="P83" s="32">
        <f t="shared" si="27"/>
        <v>0.61816949152542366</v>
      </c>
      <c r="Q83" s="32">
        <f t="shared" si="3"/>
        <v>0</v>
      </c>
      <c r="S83" s="2">
        <f>USA!Z91*G83</f>
        <v>51.390777083333326</v>
      </c>
      <c r="T83" s="2">
        <v>0</v>
      </c>
      <c r="U83" s="2">
        <v>0</v>
      </c>
      <c r="V83" s="2">
        <v>0</v>
      </c>
      <c r="X83" s="2">
        <f t="shared" si="32"/>
        <v>0.68444640555108538</v>
      </c>
      <c r="Y83" s="62">
        <v>1.042</v>
      </c>
      <c r="Z83" s="2">
        <v>0.18</v>
      </c>
      <c r="AA83" s="58">
        <f t="shared" si="10"/>
        <v>0.29883050847457632</v>
      </c>
      <c r="AB83" s="55">
        <f t="shared" si="28"/>
        <v>1.3408305084745764</v>
      </c>
      <c r="AC83">
        <f t="shared" si="20"/>
        <v>2.2026335290125161</v>
      </c>
      <c r="AD83">
        <v>60.873971580542367</v>
      </c>
      <c r="AE83"/>
      <c r="AF83"/>
      <c r="AG83"/>
      <c r="AH83"/>
      <c r="AM83">
        <v>2004</v>
      </c>
      <c r="AN83" s="64">
        <f t="shared" si="15"/>
        <v>1.9590000000000001</v>
      </c>
      <c r="AO83" s="64">
        <f t="shared" si="21"/>
        <v>1.3408305084745764</v>
      </c>
      <c r="AP83" s="64">
        <f t="shared" si="16"/>
        <v>0.61816949152542366</v>
      </c>
      <c r="AR83" s="55">
        <v>60.873971580542367</v>
      </c>
      <c r="AT83" s="3">
        <f t="shared" si="22"/>
        <v>3.2181241820373865</v>
      </c>
      <c r="AU83" s="3">
        <f t="shared" si="17"/>
        <v>3.208806543686944</v>
      </c>
      <c r="AV83" s="3">
        <f t="shared" si="18"/>
        <v>2.2026335290125161</v>
      </c>
      <c r="AW83" s="3">
        <f t="shared" si="23"/>
        <v>1.0154906530248704</v>
      </c>
      <c r="AX83" s="3">
        <f t="shared" si="8"/>
        <v>1.0061730146744279</v>
      </c>
      <c r="AY83" s="9">
        <f t="shared" si="19"/>
        <v>84.421593907895726</v>
      </c>
      <c r="AZ83">
        <v>0</v>
      </c>
      <c r="BA83">
        <v>0</v>
      </c>
      <c r="BB83" s="23">
        <v>1</v>
      </c>
    </row>
    <row r="84" spans="1:57">
      <c r="A84">
        <v>2005</v>
      </c>
      <c r="B84" s="3">
        <f t="shared" si="26"/>
        <v>210.71755964474707</v>
      </c>
      <c r="C84" s="3">
        <f t="shared" si="0"/>
        <v>89.539246597092159</v>
      </c>
      <c r="D84" s="2">
        <f t="shared" si="29"/>
        <v>147.23890214923463</v>
      </c>
      <c r="E84" s="2">
        <v>128.14202809149756</v>
      </c>
      <c r="F84" s="2">
        <f t="shared" si="30"/>
        <v>188.67491535368484</v>
      </c>
      <c r="G84" s="53">
        <v>1.3435808333333334</v>
      </c>
      <c r="H84" s="60"/>
      <c r="I84" s="57">
        <f t="shared" si="31"/>
        <v>2.5350000000000001</v>
      </c>
      <c r="J84" s="32">
        <f t="shared" si="1"/>
        <v>1.7496949152542374</v>
      </c>
      <c r="K84" s="2">
        <v>2.5350000000000001</v>
      </c>
      <c r="L84" s="2">
        <v>100</v>
      </c>
      <c r="M84" s="2">
        <f t="shared" si="25"/>
        <v>2.2303441833333335</v>
      </c>
      <c r="N84" s="2">
        <f>(N83+N85)/2</f>
        <v>166</v>
      </c>
      <c r="P84" s="32">
        <f t="shared" si="27"/>
        <v>0.78530508474576277</v>
      </c>
      <c r="Q84" s="32">
        <f t="shared" si="3"/>
        <v>0</v>
      </c>
      <c r="S84" s="2">
        <f>USA!Z92*G84</f>
        <v>68.038933400000005</v>
      </c>
      <c r="T84" s="2">
        <v>0</v>
      </c>
      <c r="U84" s="2">
        <v>0</v>
      </c>
      <c r="V84" s="2">
        <v>0</v>
      </c>
      <c r="X84" s="2">
        <f t="shared" si="32"/>
        <v>0.69021495670778588</v>
      </c>
      <c r="Y84" s="62">
        <v>1.363</v>
      </c>
      <c r="Z84" s="2">
        <v>0.18</v>
      </c>
      <c r="AA84" s="58">
        <f t="shared" si="10"/>
        <v>0.38669491525423733</v>
      </c>
      <c r="AB84" s="55">
        <f t="shared" si="28"/>
        <v>1.7496949152542374</v>
      </c>
      <c r="AC84">
        <f t="shared" si="20"/>
        <v>2.6569726726640011</v>
      </c>
      <c r="AD84">
        <v>65.852951114469462</v>
      </c>
      <c r="AE84"/>
      <c r="AF84"/>
      <c r="AG84"/>
      <c r="AH84"/>
      <c r="AM84">
        <v>2005</v>
      </c>
      <c r="AN84" s="64">
        <f t="shared" si="15"/>
        <v>2.5350000000000001</v>
      </c>
      <c r="AO84" s="64">
        <f t="shared" si="21"/>
        <v>1.7496949152542374</v>
      </c>
      <c r="AP84" s="64">
        <f t="shared" si="16"/>
        <v>0.78530508474576277</v>
      </c>
      <c r="AR84" s="55">
        <v>65.852951114469462</v>
      </c>
      <c r="AT84" s="3">
        <f t="shared" si="22"/>
        <v>3.849485796913664</v>
      </c>
      <c r="AU84" s="3">
        <f t="shared" si="17"/>
        <v>3.8811464705753886</v>
      </c>
      <c r="AV84" s="3">
        <f t="shared" si="18"/>
        <v>2.6569726726640011</v>
      </c>
      <c r="AW84" s="3">
        <f t="shared" si="23"/>
        <v>1.1925131242496629</v>
      </c>
      <c r="AX84" s="3">
        <f t="shared" si="8"/>
        <v>1.2241737979113876</v>
      </c>
      <c r="AY84" s="9">
        <f t="shared" si="19"/>
        <v>103.31949024081052</v>
      </c>
      <c r="AZ84">
        <v>0</v>
      </c>
      <c r="BA84">
        <v>0</v>
      </c>
      <c r="BB84" s="23">
        <v>1</v>
      </c>
    </row>
    <row r="85" spans="1:57">
      <c r="A85">
        <v>2006</v>
      </c>
      <c r="B85" s="3">
        <f t="shared" si="26"/>
        <v>210.34090646414941</v>
      </c>
      <c r="C85" s="3">
        <f t="shared" si="0"/>
        <v>92.424281215596963</v>
      </c>
      <c r="D85" s="2">
        <f t="shared" si="29"/>
        <v>146.97571572615857</v>
      </c>
      <c r="E85" s="2">
        <v>132.27087886006535</v>
      </c>
      <c r="F85" s="2">
        <f t="shared" si="30"/>
        <v>194.40607090186123</v>
      </c>
      <c r="G85" s="53">
        <v>1.4284533333333334</v>
      </c>
      <c r="H85" s="60"/>
      <c r="I85" s="57">
        <f t="shared" si="31"/>
        <v>2.7770000000000001</v>
      </c>
      <c r="J85" s="32">
        <f t="shared" si="1"/>
        <v>1.7866101694915255</v>
      </c>
      <c r="K85" s="2">
        <v>2.7770000000000001</v>
      </c>
      <c r="L85" s="2">
        <v>110.2</v>
      </c>
      <c r="M85" s="2">
        <f t="shared" si="25"/>
        <v>2.685492266666667</v>
      </c>
      <c r="N85" s="39">
        <v>188</v>
      </c>
      <c r="P85" s="32">
        <f t="shared" si="27"/>
        <v>0.99038983050847462</v>
      </c>
      <c r="Q85" s="32">
        <f t="shared" si="3"/>
        <v>0</v>
      </c>
      <c r="S85" s="2">
        <f>USA!Z93*G85</f>
        <v>87.249929600000002</v>
      </c>
      <c r="T85" s="2">
        <v>0</v>
      </c>
      <c r="U85" s="2">
        <v>0</v>
      </c>
      <c r="V85" s="2">
        <v>0</v>
      </c>
      <c r="X85" s="2">
        <f t="shared" si="32"/>
        <v>0.64335980176144236</v>
      </c>
      <c r="Y85" s="62">
        <v>1.363</v>
      </c>
      <c r="Z85" s="2">
        <v>0.18</v>
      </c>
      <c r="AA85" s="58">
        <f t="shared" si="10"/>
        <v>0.42361016949152547</v>
      </c>
      <c r="AB85" s="55">
        <f t="shared" si="28"/>
        <v>1.7866101694915255</v>
      </c>
      <c r="AC85">
        <f t="shared" si="20"/>
        <v>2.4754544206717624</v>
      </c>
      <c r="AD85">
        <v>72.173018197066796</v>
      </c>
      <c r="AE85"/>
      <c r="AF85"/>
      <c r="AG85"/>
      <c r="AH85"/>
      <c r="AM85">
        <v>2006</v>
      </c>
      <c r="AN85" s="64">
        <f t="shared" si="15"/>
        <v>2.7770000000000001</v>
      </c>
      <c r="AO85" s="64">
        <f t="shared" si="21"/>
        <v>1.7866101694915255</v>
      </c>
      <c r="AP85" s="64">
        <f t="shared" si="16"/>
        <v>0.99038983050847462</v>
      </c>
      <c r="AR85" s="55">
        <v>72.173018197066796</v>
      </c>
      <c r="AT85" s="3">
        <f t="shared" si="22"/>
        <v>3.8476983079985159</v>
      </c>
      <c r="AU85" s="3">
        <f t="shared" si="17"/>
        <v>3.9023161329662699</v>
      </c>
      <c r="AV85" s="3">
        <f t="shared" si="18"/>
        <v>2.4754544206717624</v>
      </c>
      <c r="AW85" s="3">
        <f t="shared" si="23"/>
        <v>1.3722438873267535</v>
      </c>
      <c r="AX85" s="3">
        <f t="shared" si="8"/>
        <v>1.4268617122945075</v>
      </c>
      <c r="AY85" s="9">
        <f t="shared" si="19"/>
        <v>120.88995552571467</v>
      </c>
      <c r="AZ85">
        <v>0</v>
      </c>
      <c r="BA85">
        <v>0</v>
      </c>
      <c r="BB85" s="23">
        <v>1</v>
      </c>
      <c r="BD85" s="13" t="s">
        <v>88</v>
      </c>
      <c r="BE85" s="13">
        <v>0.33250614716347127</v>
      </c>
    </row>
    <row r="86" spans="1:57">
      <c r="A86">
        <v>2007</v>
      </c>
      <c r="B86" s="3">
        <f t="shared" si="26"/>
        <v>232.35031229993859</v>
      </c>
      <c r="C86" s="3">
        <f t="shared" si="0"/>
        <v>95.074004003893037</v>
      </c>
      <c r="D86" s="2">
        <f t="shared" si="29"/>
        <v>162.35478882135772</v>
      </c>
      <c r="E86" s="2">
        <v>136.06296852886032</v>
      </c>
      <c r="F86" s="2">
        <f t="shared" si="30"/>
        <v>220.90474521910159</v>
      </c>
      <c r="G86" s="53">
        <v>1.3032766666666669</v>
      </c>
      <c r="H86" s="60"/>
      <c r="I86" s="57">
        <f t="shared" si="31"/>
        <v>2.879</v>
      </c>
      <c r="J86" s="32">
        <f t="shared" si="1"/>
        <v>1.8021694915254236</v>
      </c>
      <c r="K86" s="2">
        <v>2.879</v>
      </c>
      <c r="L86" s="2">
        <v>114.5</v>
      </c>
      <c r="M86" s="2">
        <f t="shared" si="25"/>
        <v>2.7890120666666673</v>
      </c>
      <c r="N86" s="2">
        <f>(N85+N87)/2</f>
        <v>214</v>
      </c>
      <c r="P86" s="32">
        <f t="shared" si="27"/>
        <v>1.0768305084745764</v>
      </c>
      <c r="Q86" s="32">
        <f t="shared" si="3"/>
        <v>0</v>
      </c>
      <c r="S86" s="2">
        <f>USA!Z94*G86</f>
        <v>90.030352133333338</v>
      </c>
      <c r="T86" s="2">
        <v>0</v>
      </c>
      <c r="U86" s="2">
        <v>0</v>
      </c>
      <c r="V86" s="2">
        <v>0</v>
      </c>
      <c r="X86" s="2">
        <f t="shared" si="32"/>
        <v>0.6259706465875039</v>
      </c>
      <c r="Y86" s="62">
        <v>1.363</v>
      </c>
      <c r="Z86" s="2">
        <v>0.18</v>
      </c>
      <c r="AA86" s="58">
        <f t="shared" si="10"/>
        <v>0.43916949152542373</v>
      </c>
      <c r="AB86" s="55">
        <f t="shared" si="28"/>
        <v>1.8021694915254236</v>
      </c>
      <c r="AC86">
        <f t="shared" si="20"/>
        <v>2.2959732143927916</v>
      </c>
      <c r="AD86">
        <v>78.492618303564896</v>
      </c>
      <c r="AE86"/>
      <c r="AF86"/>
      <c r="AG86"/>
      <c r="AH86"/>
      <c r="AM86">
        <v>2007</v>
      </c>
      <c r="AN86" s="64">
        <f t="shared" si="15"/>
        <v>2.879</v>
      </c>
      <c r="AO86" s="64">
        <f t="shared" si="21"/>
        <v>1.8021694915254236</v>
      </c>
      <c r="AP86" s="64">
        <f t="shared" si="16"/>
        <v>1.0768305084745764</v>
      </c>
      <c r="AR86" s="55">
        <v>78.492618303564896</v>
      </c>
      <c r="AT86" s="3">
        <f t="shared" si="22"/>
        <v>3.6678608284739109</v>
      </c>
      <c r="AU86" s="3">
        <f t="shared" si="17"/>
        <v>3.6514193424936781</v>
      </c>
      <c r="AV86" s="3">
        <f t="shared" si="18"/>
        <v>2.2959732143927916</v>
      </c>
      <c r="AW86" s="3">
        <f t="shared" si="23"/>
        <v>1.3718876140811194</v>
      </c>
      <c r="AX86" s="3">
        <f t="shared" si="8"/>
        <v>1.3554461281008865</v>
      </c>
      <c r="AY86" s="9">
        <f t="shared" si="19"/>
        <v>114.69913232496212</v>
      </c>
      <c r="AZ86">
        <v>0</v>
      </c>
      <c r="BA86">
        <v>0</v>
      </c>
      <c r="BB86" s="23">
        <v>1</v>
      </c>
      <c r="BD86" s="13" t="s">
        <v>229</v>
      </c>
      <c r="BE86" s="13">
        <v>1.1535716960054634E-2</v>
      </c>
    </row>
    <row r="87" spans="1:57">
      <c r="A87">
        <v>2008</v>
      </c>
      <c r="B87" s="3">
        <f t="shared" si="26"/>
        <v>249.79763268541819</v>
      </c>
      <c r="C87" s="3">
        <f t="shared" si="0"/>
        <v>98.70291900542351</v>
      </c>
      <c r="D87" s="2">
        <f t="shared" si="29"/>
        <v>174.54610454907865</v>
      </c>
      <c r="E87" s="2">
        <v>141.25640655453694</v>
      </c>
      <c r="F87" s="2">
        <f t="shared" si="30"/>
        <v>246.55755506695365</v>
      </c>
      <c r="G87" s="53">
        <v>1.3015216666666669</v>
      </c>
      <c r="H87" s="60"/>
      <c r="I87" s="57">
        <f t="shared" si="31"/>
        <v>3.2090000000000001</v>
      </c>
      <c r="J87" s="32">
        <f t="shared" si="1"/>
        <v>1.9165084745762713</v>
      </c>
      <c r="K87" s="2">
        <v>3.2090000000000001</v>
      </c>
      <c r="L87" s="2">
        <v>131.30000000000001</v>
      </c>
      <c r="M87" s="2">
        <f t="shared" si="25"/>
        <v>3.1236520000000008</v>
      </c>
      <c r="N87" s="39">
        <v>240</v>
      </c>
      <c r="P87" s="32">
        <f t="shared" si="27"/>
        <v>1.2924915254237288</v>
      </c>
      <c r="Q87" s="32">
        <f t="shared" si="3"/>
        <v>0</v>
      </c>
      <c r="S87" s="2">
        <f>USA!Z95*G87</f>
        <v>122.92872141666669</v>
      </c>
      <c r="T87" s="2">
        <v>0</v>
      </c>
      <c r="U87" s="2">
        <v>0</v>
      </c>
      <c r="V87" s="2">
        <v>0</v>
      </c>
      <c r="X87" s="2">
        <f t="shared" si="32"/>
        <v>0.59722919120482121</v>
      </c>
      <c r="Y87" s="62">
        <v>1.427</v>
      </c>
      <c r="Z87" s="2">
        <v>0.18</v>
      </c>
      <c r="AA87" s="58">
        <f t="shared" si="10"/>
        <v>0.48950847457627122</v>
      </c>
      <c r="AB87" s="55">
        <f t="shared" si="28"/>
        <v>1.9165084745762713</v>
      </c>
      <c r="AC87">
        <f t="shared" si="20"/>
        <v>2.210748246837408</v>
      </c>
      <c r="AD87">
        <v>86.690489399593005</v>
      </c>
      <c r="AE87"/>
      <c r="AF87"/>
      <c r="AG87"/>
      <c r="AH87"/>
      <c r="AM87">
        <v>2008</v>
      </c>
      <c r="AN87" s="64">
        <f t="shared" si="15"/>
        <v>3.2090000000000001</v>
      </c>
      <c r="AO87" s="64">
        <f t="shared" si="21"/>
        <v>1.9165084745762713</v>
      </c>
      <c r="AP87" s="64">
        <f t="shared" si="16"/>
        <v>1.2924915254237288</v>
      </c>
      <c r="AR87" s="55">
        <v>86.690489399593005</v>
      </c>
      <c r="AT87" s="3">
        <f t="shared" si="22"/>
        <v>3.7016747998830257</v>
      </c>
      <c r="AU87" s="3">
        <f t="shared" si="17"/>
        <v>3.8788437037747951</v>
      </c>
      <c r="AV87" s="3">
        <f t="shared" si="18"/>
        <v>2.210748246837408</v>
      </c>
      <c r="AW87" s="3">
        <f t="shared" si="23"/>
        <v>1.4909265530456177</v>
      </c>
      <c r="AX87" s="3">
        <f t="shared" si="8"/>
        <v>1.6680954569373871</v>
      </c>
      <c r="AY87" s="9">
        <f t="shared" si="19"/>
        <v>141.80185423805418</v>
      </c>
      <c r="AZ87">
        <v>0</v>
      </c>
      <c r="BA87">
        <v>0</v>
      </c>
      <c r="BB87" s="23">
        <v>1</v>
      </c>
      <c r="BD87" s="13" t="s">
        <v>285</v>
      </c>
      <c r="BE87" s="13">
        <v>-0.40499089626878737</v>
      </c>
    </row>
    <row r="88" spans="1:57">
      <c r="A88">
        <v>2009</v>
      </c>
      <c r="B88" s="3">
        <f t="shared" si="26"/>
        <v>204.74011932209376</v>
      </c>
      <c r="C88" s="3">
        <f>E88/E$89*100</f>
        <v>98.380597588111073</v>
      </c>
      <c r="D88" s="2">
        <f t="shared" si="29"/>
        <v>143.06216551535448</v>
      </c>
      <c r="E88" s="2">
        <v>140.7951236905254</v>
      </c>
      <c r="F88" s="2">
        <f t="shared" si="30"/>
        <v>201.42455289168751</v>
      </c>
      <c r="G88" s="53">
        <v>1.5499600000000002</v>
      </c>
      <c r="H88" s="60"/>
      <c r="I88" s="57">
        <f t="shared" si="31"/>
        <v>3.1219999999999999</v>
      </c>
      <c r="J88" s="32">
        <f t="shared" si="1"/>
        <v>1.9682372881355932</v>
      </c>
      <c r="K88" s="2">
        <v>3.1219999999999999</v>
      </c>
      <c r="L88" s="2">
        <v>124.2</v>
      </c>
      <c r="M88" s="2">
        <f t="shared" si="25"/>
        <v>2.8984252000000001</v>
      </c>
      <c r="N88" s="2">
        <v>187</v>
      </c>
      <c r="P88" s="32">
        <f t="shared" si="27"/>
        <v>1.1537627118644067</v>
      </c>
      <c r="Q88" s="32">
        <f t="shared" si="3"/>
        <v>0</v>
      </c>
      <c r="S88" s="2">
        <f>USA!Z96*G88</f>
        <v>94.640557600000022</v>
      </c>
      <c r="T88" s="2">
        <v>0</v>
      </c>
      <c r="U88" s="2">
        <v>0</v>
      </c>
      <c r="V88" s="2">
        <v>0</v>
      </c>
      <c r="X88" s="2">
        <f t="shared" si="32"/>
        <v>0.63044115571287418</v>
      </c>
      <c r="Y88" s="62">
        <v>1.492</v>
      </c>
      <c r="Z88" s="2">
        <v>0.18</v>
      </c>
      <c r="AA88" s="58">
        <f t="shared" si="10"/>
        <v>0.47623728813559324</v>
      </c>
      <c r="AB88" s="55">
        <f t="shared" si="28"/>
        <v>1.9682372881355932</v>
      </c>
      <c r="AC88">
        <f t="shared" si="20"/>
        <v>2.1368452332108472</v>
      </c>
      <c r="AD88">
        <v>92.109491953148989</v>
      </c>
      <c r="AE88"/>
      <c r="AF88"/>
      <c r="AG88"/>
      <c r="AH88"/>
      <c r="AM88">
        <v>2009</v>
      </c>
      <c r="AN88" s="64">
        <f t="shared" si="15"/>
        <v>3.1219999999999999</v>
      </c>
      <c r="AO88" s="64">
        <f t="shared" si="21"/>
        <v>1.9682372881355932</v>
      </c>
      <c r="AP88" s="64">
        <f t="shared" si="16"/>
        <v>1.1537627118644067</v>
      </c>
      <c r="AR88" s="55">
        <v>92.109491953148989</v>
      </c>
      <c r="AT88" s="3">
        <f t="shared" si="22"/>
        <v>3.3894443816799997</v>
      </c>
      <c r="AU88" s="3">
        <f t="shared" si="17"/>
        <v>3.3544251890904273</v>
      </c>
      <c r="AV88" s="3">
        <f t="shared" si="18"/>
        <v>2.1368452332108472</v>
      </c>
      <c r="AW88" s="3">
        <f t="shared" si="23"/>
        <v>1.2525991484691525</v>
      </c>
      <c r="AX88" s="3">
        <f t="shared" si="8"/>
        <v>1.2175799558795801</v>
      </c>
      <c r="AY88" s="9">
        <f t="shared" si="19"/>
        <v>102.74788796809176</v>
      </c>
      <c r="AZ88">
        <v>0</v>
      </c>
      <c r="BA88">
        <v>0</v>
      </c>
      <c r="BB88" s="23">
        <v>1</v>
      </c>
      <c r="BD88" s="13" t="s">
        <v>245</v>
      </c>
      <c r="BE88" s="13">
        <v>0.92414653063017849</v>
      </c>
    </row>
    <row r="89" spans="1:57">
      <c r="A89">
        <v>2010</v>
      </c>
      <c r="B89" s="3">
        <f>I89/G89*100/C89*100</f>
        <v>245.00211543334777</v>
      </c>
      <c r="C89" s="3">
        <f>E89/E$89*100</f>
        <v>100</v>
      </c>
      <c r="D89" s="2">
        <f>F89/E89*100</f>
        <v>171.19523670198055</v>
      </c>
      <c r="E89" s="2">
        <v>143.11269411067286</v>
      </c>
      <c r="F89" s="2">
        <f>I89/G89*100</f>
        <v>245.00211543334777</v>
      </c>
      <c r="G89" s="53">
        <v>1.5028441666666668</v>
      </c>
      <c r="H89" s="60"/>
      <c r="I89" s="57">
        <f t="shared" si="31"/>
        <v>3.6819999999999999</v>
      </c>
      <c r="J89" s="32">
        <f t="shared" si="1"/>
        <v>2.0356610169491525</v>
      </c>
      <c r="K89" s="2">
        <v>3.6819999999999999</v>
      </c>
      <c r="L89" s="2">
        <v>147.5</v>
      </c>
      <c r="P89" s="32">
        <f t="shared" si="27"/>
        <v>1.6463389830508475</v>
      </c>
      <c r="Q89" s="32">
        <f>Q$92+Q$93*S89+Q$94*T89+Q$95*U89+Q$96*V89</f>
        <v>0</v>
      </c>
      <c r="S89" s="2">
        <f>USA!Z97*G89</f>
        <v>116.39528070833335</v>
      </c>
      <c r="T89" s="2">
        <v>0</v>
      </c>
      <c r="U89" s="2">
        <v>0</v>
      </c>
      <c r="V89" s="2">
        <v>0</v>
      </c>
      <c r="X89" s="2">
        <f t="shared" si="32"/>
        <v>0.55286828271296917</v>
      </c>
      <c r="Y89" s="62">
        <v>1.474</v>
      </c>
      <c r="Z89" s="2">
        <v>0.18</v>
      </c>
      <c r="AA89" s="58">
        <f t="shared" si="10"/>
        <v>0.5616610169491526</v>
      </c>
      <c r="AB89" s="55">
        <f t="shared" si="28"/>
        <v>2.0356610169491525</v>
      </c>
      <c r="AC89">
        <f t="shared" si="20"/>
        <v>2.0356610169491525</v>
      </c>
      <c r="AD89">
        <v>100</v>
      </c>
      <c r="AE89"/>
      <c r="AF89"/>
      <c r="AG89"/>
      <c r="AH89"/>
      <c r="AM89">
        <v>2010</v>
      </c>
      <c r="AN89" s="64">
        <f t="shared" si="15"/>
        <v>3.6819999999999999</v>
      </c>
      <c r="AO89" s="64">
        <f t="shared" si="21"/>
        <v>2.0356610169491525</v>
      </c>
      <c r="AP89" s="64">
        <f t="shared" si="16"/>
        <v>1.6463389830508475</v>
      </c>
      <c r="AR89" s="55">
        <v>100</v>
      </c>
      <c r="AT89" s="3">
        <f t="shared" si="22"/>
        <v>3.6819999999999999</v>
      </c>
      <c r="AU89" s="3">
        <f t="shared" si="17"/>
        <v>3.7108701778500643</v>
      </c>
      <c r="AV89" s="3">
        <f t="shared" si="18"/>
        <v>2.0356610169491525</v>
      </c>
      <c r="AW89" s="3">
        <f t="shared" si="23"/>
        <v>1.6463389830508475</v>
      </c>
      <c r="AX89" s="3">
        <f>BE$85+BE$86*AY89+BE$87*AZ89+BE$88*BA89+BE$89*BB89</f>
        <v>1.6752091609009119</v>
      </c>
      <c r="AY89" s="9">
        <f t="shared" si="19"/>
        <v>116.39528070833333</v>
      </c>
      <c r="AZ89">
        <v>0</v>
      </c>
      <c r="BA89">
        <v>0</v>
      </c>
      <c r="BB89">
        <v>0</v>
      </c>
      <c r="BD89" s="25" t="s">
        <v>284</v>
      </c>
      <c r="BE89" s="13">
        <v>-0.30019674512720101</v>
      </c>
    </row>
    <row r="90" spans="1:57">
      <c r="A90">
        <v>2011</v>
      </c>
      <c r="G90" s="54">
        <v>1.5893786446600382</v>
      </c>
      <c r="Y90" s="62"/>
      <c r="Z90" s="2">
        <v>0.18</v>
      </c>
      <c r="AA90" s="58">
        <f t="shared" si="10"/>
        <v>0</v>
      </c>
      <c r="AB90" s="55">
        <f t="shared" si="28"/>
        <v>0</v>
      </c>
      <c r="AD90"/>
      <c r="AE90"/>
      <c r="AF90"/>
      <c r="AG90"/>
      <c r="AH90"/>
    </row>
    <row r="91" spans="1:57">
      <c r="A91">
        <v>2012</v>
      </c>
      <c r="Y91" s="62"/>
      <c r="Z91" s="32"/>
      <c r="AD91"/>
      <c r="AE91"/>
      <c r="AF91"/>
      <c r="AG91"/>
      <c r="AH91"/>
    </row>
    <row r="92" spans="1:57">
      <c r="P92" s="40" t="s">
        <v>88</v>
      </c>
      <c r="Q92" s="40"/>
      <c r="R92" s="42"/>
      <c r="AD92"/>
      <c r="AE92"/>
      <c r="AF92"/>
      <c r="AG92"/>
      <c r="AH92"/>
    </row>
    <row r="93" spans="1:57">
      <c r="P93" s="40" t="s">
        <v>99</v>
      </c>
      <c r="Q93" s="40"/>
      <c r="R93" s="42"/>
      <c r="AD93"/>
      <c r="AE93"/>
      <c r="AF93"/>
      <c r="AG93"/>
      <c r="AH93"/>
    </row>
    <row r="94" spans="1:57">
      <c r="P94" s="40" t="s">
        <v>127</v>
      </c>
      <c r="Q94" s="40"/>
      <c r="R94" s="42"/>
      <c r="AD94"/>
      <c r="AE94"/>
      <c r="AF94"/>
      <c r="AG94"/>
      <c r="AH94"/>
    </row>
    <row r="95" spans="1:57">
      <c r="P95" s="40" t="s">
        <v>136</v>
      </c>
      <c r="Q95" s="40"/>
      <c r="AD95"/>
      <c r="AE95"/>
      <c r="AF95"/>
      <c r="AG95"/>
      <c r="AH95"/>
    </row>
    <row r="96" spans="1:57" ht="15.75" thickBot="1">
      <c r="P96" s="49" t="s">
        <v>141</v>
      </c>
      <c r="Q96" s="49"/>
      <c r="AD96"/>
      <c r="AE96"/>
      <c r="AF96"/>
      <c r="AG96"/>
      <c r="AH96"/>
    </row>
    <row r="97" spans="4:34">
      <c r="D97"/>
      <c r="E97"/>
      <c r="F97"/>
      <c r="G97"/>
      <c r="J97"/>
      <c r="K97"/>
      <c r="L97"/>
      <c r="M97"/>
      <c r="N97"/>
      <c r="O97"/>
      <c r="P97" s="2"/>
      <c r="R97"/>
      <c r="S97"/>
      <c r="T97"/>
      <c r="U97"/>
      <c r="V97"/>
      <c r="W97"/>
      <c r="X97"/>
      <c r="Z97"/>
      <c r="AC97"/>
      <c r="AD97"/>
      <c r="AE97"/>
      <c r="AF97"/>
      <c r="AG97"/>
      <c r="AH97"/>
    </row>
    <row r="98" spans="4:34">
      <c r="D98"/>
      <c r="E98"/>
      <c r="F98"/>
      <c r="G98"/>
      <c r="J98"/>
      <c r="K98"/>
      <c r="L98"/>
      <c r="M98"/>
      <c r="N98"/>
      <c r="O98"/>
      <c r="P98" s="40"/>
      <c r="Q98" s="40"/>
      <c r="R98"/>
      <c r="S98"/>
      <c r="T98"/>
      <c r="U98"/>
      <c r="V98"/>
      <c r="W98"/>
      <c r="X98"/>
      <c r="Z98"/>
      <c r="AC98"/>
      <c r="AD98"/>
      <c r="AE98"/>
      <c r="AF98"/>
      <c r="AG98"/>
      <c r="AH98"/>
    </row>
    <row r="99" spans="4:34">
      <c r="D99"/>
      <c r="E99"/>
      <c r="F99"/>
      <c r="G99"/>
      <c r="J99"/>
      <c r="K99"/>
      <c r="L99"/>
      <c r="M99"/>
      <c r="N99"/>
      <c r="O99"/>
      <c r="P99" s="40"/>
      <c r="Q99" s="40"/>
      <c r="R99"/>
      <c r="S99"/>
      <c r="T99"/>
      <c r="U99"/>
      <c r="V99"/>
      <c r="W99"/>
      <c r="X99"/>
      <c r="Z99"/>
      <c r="AC99"/>
      <c r="AD99"/>
      <c r="AE99"/>
      <c r="AF99"/>
      <c r="AG99"/>
      <c r="AH99"/>
    </row>
    <row r="111" spans="4:34">
      <c r="R111" s="13" t="s">
        <v>88</v>
      </c>
      <c r="S111" s="13">
        <v>0.33250614716347127</v>
      </c>
    </row>
    <row r="112" spans="4:34">
      <c r="R112" s="13" t="s">
        <v>229</v>
      </c>
      <c r="S112" s="13">
        <v>1.1535716960054634E-2</v>
      </c>
    </row>
    <row r="120" spans="1:31">
      <c r="B120" s="76" t="s">
        <v>27</v>
      </c>
      <c r="C120" s="26" t="s">
        <v>263</v>
      </c>
      <c r="D120" s="26"/>
      <c r="E120" s="76" t="s">
        <v>265</v>
      </c>
      <c r="F120" s="76"/>
      <c r="G120" s="76"/>
      <c r="H120" s="76"/>
      <c r="I120" s="26" t="s">
        <v>269</v>
      </c>
      <c r="J120" s="76" t="s">
        <v>271</v>
      </c>
      <c r="K120" s="76"/>
      <c r="L120" s="76"/>
      <c r="M120" s="76"/>
      <c r="N120" s="26" t="s">
        <v>273</v>
      </c>
      <c r="O120" s="26"/>
      <c r="P120" s="26"/>
      <c r="Q120" s="26"/>
      <c r="R120" s="77" t="s">
        <v>111</v>
      </c>
      <c r="S120" s="26" t="s">
        <v>288</v>
      </c>
      <c r="T120" s="26"/>
      <c r="U120" s="26"/>
      <c r="V120" s="79">
        <v>0.18</v>
      </c>
      <c r="W120" s="76" t="s">
        <v>289</v>
      </c>
      <c r="X120" s="76"/>
      <c r="Y120" s="76"/>
      <c r="Z120" s="76"/>
      <c r="AA120" s="26" t="s">
        <v>272</v>
      </c>
      <c r="AB120" s="26"/>
      <c r="AC120" s="23" t="s">
        <v>298</v>
      </c>
      <c r="AD120" s="24"/>
      <c r="AE120" s="24"/>
    </row>
    <row r="121" spans="1:31">
      <c r="A121" s="71"/>
      <c r="B121" s="77" t="s">
        <v>262</v>
      </c>
      <c r="C121" s="75" t="s">
        <v>262</v>
      </c>
      <c r="D121" s="75" t="s">
        <v>264</v>
      </c>
      <c r="E121" s="77" t="s">
        <v>262</v>
      </c>
      <c r="F121" s="77" t="s">
        <v>268</v>
      </c>
      <c r="G121" s="77" t="s">
        <v>267</v>
      </c>
      <c r="H121" s="77" t="s">
        <v>266</v>
      </c>
      <c r="I121" s="75" t="s">
        <v>270</v>
      </c>
      <c r="J121" s="77" t="s">
        <v>262</v>
      </c>
      <c r="K121" s="77" t="s">
        <v>268</v>
      </c>
      <c r="L121" s="77" t="s">
        <v>267</v>
      </c>
      <c r="M121" s="77" t="s">
        <v>266</v>
      </c>
      <c r="N121" s="75" t="s">
        <v>262</v>
      </c>
      <c r="O121" s="75" t="s">
        <v>268</v>
      </c>
      <c r="P121" s="75" t="s">
        <v>267</v>
      </c>
      <c r="Q121" s="75" t="s">
        <v>266</v>
      </c>
      <c r="R121" s="77" t="s">
        <v>67</v>
      </c>
      <c r="S121" s="75" t="s">
        <v>262</v>
      </c>
      <c r="T121" s="75" t="s">
        <v>268</v>
      </c>
      <c r="U121" s="75" t="s">
        <v>267</v>
      </c>
      <c r="V121" s="75" t="s">
        <v>266</v>
      </c>
      <c r="W121" s="77" t="s">
        <v>262</v>
      </c>
      <c r="X121" s="77" t="s">
        <v>268</v>
      </c>
      <c r="Y121" s="77" t="s">
        <v>267</v>
      </c>
      <c r="Z121" s="77" t="s">
        <v>266</v>
      </c>
      <c r="AA121" s="75" t="s">
        <v>262</v>
      </c>
      <c r="AB121" s="75" t="s">
        <v>264</v>
      </c>
      <c r="AC121" s="9" t="s">
        <v>315</v>
      </c>
      <c r="AD121" s="9" t="s">
        <v>114</v>
      </c>
      <c r="AE121" s="9" t="s">
        <v>297</v>
      </c>
    </row>
    <row r="122" spans="1:31">
      <c r="A122">
        <v>2010</v>
      </c>
      <c r="B122" s="48">
        <f>[2]POP!AB51</f>
        <v>77804</v>
      </c>
      <c r="C122" s="6">
        <f>[2]Turkey!K52</f>
        <v>10.6</v>
      </c>
      <c r="D122" s="6">
        <f>C122</f>
        <v>10.6</v>
      </c>
      <c r="E122" s="3">
        <f>USA!BB97</f>
        <v>79.48</v>
      </c>
      <c r="F122" s="3">
        <f>USA!BB97</f>
        <v>79.48</v>
      </c>
      <c r="G122" s="3">
        <f>USA!BB97</f>
        <v>79.48</v>
      </c>
      <c r="H122" s="3">
        <f>USA!BB97</f>
        <v>79.48</v>
      </c>
      <c r="I122" s="39">
        <f>'Exchange Rates'!AA49</f>
        <v>1.5066656415199426</v>
      </c>
      <c r="J122" s="3">
        <f>E122*$I122</f>
        <v>119.74978518800505</v>
      </c>
      <c r="K122" s="3">
        <f t="shared" ref="K122:M137" si="33">F122*$I122</f>
        <v>119.74978518800505</v>
      </c>
      <c r="L122" s="3">
        <f t="shared" si="33"/>
        <v>119.74978518800505</v>
      </c>
      <c r="M122" s="3">
        <f t="shared" si="33"/>
        <v>119.74978518800505</v>
      </c>
      <c r="N122" s="6">
        <f>S$111+S$112*J122+S$115</f>
        <v>1.7139057751196405</v>
      </c>
      <c r="O122" s="6">
        <f>S$111+S$112*K122+S$115</f>
        <v>1.7139057751196405</v>
      </c>
      <c r="P122" s="6">
        <f>S$111+S$112*L122+S$115</f>
        <v>1.7139057751196405</v>
      </c>
      <c r="Q122" s="6">
        <f>S$111+S$112*M122+S$115</f>
        <v>1.7139057751196405</v>
      </c>
      <c r="R122" s="24">
        <f>Y89</f>
        <v>1.474</v>
      </c>
      <c r="S122" s="3">
        <f>(N122+R122)*$V$120</f>
        <v>0.57382303952153524</v>
      </c>
      <c r="T122" s="3">
        <f>(O122+R122)*$V$120</f>
        <v>0.57382303952153524</v>
      </c>
      <c r="U122" s="3">
        <f>(P122+R122)*$V$120</f>
        <v>0.57382303952153524</v>
      </c>
      <c r="V122" s="3">
        <f>(Q122+R122)*$V$120</f>
        <v>0.57382303952153524</v>
      </c>
      <c r="W122" s="3">
        <f>N122+$R122+S122</f>
        <v>3.7617288146411756</v>
      </c>
      <c r="X122" s="3">
        <f t="shared" ref="X122:Z137" si="34">O122+$R122+T122</f>
        <v>3.7617288146411756</v>
      </c>
      <c r="Y122" s="3">
        <f t="shared" si="34"/>
        <v>3.7617288146411756</v>
      </c>
      <c r="Z122" s="3">
        <f t="shared" si="34"/>
        <v>3.7617288146411756</v>
      </c>
      <c r="AA122" s="6">
        <v>1</v>
      </c>
      <c r="AB122" s="6">
        <v>1</v>
      </c>
      <c r="AC122" s="48">
        <v>15</v>
      </c>
      <c r="AD122" s="48">
        <v>48</v>
      </c>
      <c r="AE122" s="48">
        <v>2304</v>
      </c>
    </row>
    <row r="123" spans="1:31">
      <c r="A123">
        <v>2011</v>
      </c>
      <c r="B123" s="48">
        <f>[2]POP!AB52</f>
        <v>78786</v>
      </c>
      <c r="C123" s="6">
        <f>[2]Turkey!K53</f>
        <v>9.1999999999999993</v>
      </c>
      <c r="D123" s="6">
        <f>C123</f>
        <v>9.1999999999999993</v>
      </c>
      <c r="E123" s="3">
        <f>USA!BB98</f>
        <v>91.997969509010503</v>
      </c>
      <c r="F123" s="7">
        <v>104.09485663394722</v>
      </c>
      <c r="G123" s="7">
        <v>104.09485663394722</v>
      </c>
      <c r="H123" s="7">
        <v>104.09485663394722</v>
      </c>
      <c r="I123" s="6">
        <f>'[2]Real Exchage Rate'!Y104</f>
        <v>1.5785408326335917</v>
      </c>
      <c r="J123" s="3">
        <f>E123*$I123</f>
        <v>145.22255138935321</v>
      </c>
      <c r="K123" s="3">
        <f t="shared" si="33"/>
        <v>164.31798166382541</v>
      </c>
      <c r="L123" s="3">
        <f t="shared" si="33"/>
        <v>164.31798166382541</v>
      </c>
      <c r="M123" s="3">
        <f t="shared" si="33"/>
        <v>164.31798166382541</v>
      </c>
      <c r="N123" s="6">
        <f>S$111+S$112*J123+S$115</f>
        <v>2.0077523962080388</v>
      </c>
      <c r="O123" s="6">
        <f t="shared" ref="O123:O142" si="35">S$111+S$112*K123+S$115</f>
        <v>2.2280318750848083</v>
      </c>
      <c r="P123" s="6">
        <f t="shared" ref="P123:P142" si="36">S$111+S$112*L123+S$115</f>
        <v>2.2280318750848083</v>
      </c>
      <c r="Q123" s="6">
        <f t="shared" ref="Q123:Q142" si="37">S$111+S$112*M123+S$115</f>
        <v>2.2280318750848083</v>
      </c>
      <c r="R123" s="3">
        <f>R122</f>
        <v>1.474</v>
      </c>
      <c r="S123" s="3">
        <f>(N123+R123)*$V$120</f>
        <v>0.626715431317447</v>
      </c>
      <c r="T123" s="3">
        <f t="shared" ref="T123:T142" si="38">(O123+R123)*$V$120</f>
        <v>0.6663657375152654</v>
      </c>
      <c r="U123" s="3">
        <f t="shared" ref="U123:U142" si="39">(P123+R123)*$V$120</f>
        <v>0.6663657375152654</v>
      </c>
      <c r="V123" s="3">
        <f t="shared" ref="V123:V142" si="40">(Q123+R123)*$V$120</f>
        <v>0.6663657375152654</v>
      </c>
      <c r="W123" s="3">
        <f>N123+$R123+S123</f>
        <v>4.1084678275254856</v>
      </c>
      <c r="X123" s="3">
        <f t="shared" si="34"/>
        <v>4.3683976126000736</v>
      </c>
      <c r="Y123" s="3">
        <f t="shared" si="34"/>
        <v>4.3683976126000736</v>
      </c>
      <c r="Z123" s="3">
        <f t="shared" si="34"/>
        <v>4.3683976126000736</v>
      </c>
      <c r="AA123" s="6">
        <v>1</v>
      </c>
      <c r="AB123" s="6">
        <v>1</v>
      </c>
      <c r="AC123" s="48">
        <v>15</v>
      </c>
      <c r="AD123" s="48">
        <v>49</v>
      </c>
      <c r="AE123" s="48">
        <v>2401</v>
      </c>
    </row>
    <row r="124" spans="1:31">
      <c r="A124">
        <v>2012</v>
      </c>
      <c r="B124" s="48">
        <f>[2]POP!AB53</f>
        <v>79749</v>
      </c>
      <c r="C124" s="6">
        <f>[2]Turkey!K54</f>
        <v>8.9749999999999996</v>
      </c>
      <c r="D124" s="6">
        <f>D123</f>
        <v>9.1999999999999993</v>
      </c>
      <c r="E124" s="3"/>
      <c r="F124" s="12">
        <v>100</v>
      </c>
      <c r="G124" s="9">
        <v>104.75757094086609</v>
      </c>
      <c r="H124" s="12">
        <v>80</v>
      </c>
      <c r="I124" s="6">
        <f>'[2]Real Exchage Rate'!Y105</f>
        <v>1.5604917901740754</v>
      </c>
      <c r="J124" s="3"/>
      <c r="K124" s="3">
        <f t="shared" si="33"/>
        <v>156.04917901740754</v>
      </c>
      <c r="L124" s="3">
        <f t="shared" si="33"/>
        <v>163.47332941179982</v>
      </c>
      <c r="M124" s="3">
        <f t="shared" si="33"/>
        <v>124.83934321392603</v>
      </c>
      <c r="N124" s="6"/>
      <c r="O124" s="6">
        <f t="shared" si="35"/>
        <v>2.1326453081571812</v>
      </c>
      <c r="P124" s="6">
        <f t="shared" si="36"/>
        <v>2.2182882057757687</v>
      </c>
      <c r="Q124" s="6">
        <f t="shared" si="37"/>
        <v>1.7726174759584392</v>
      </c>
      <c r="R124" s="3">
        <f t="shared" ref="R124:R142" si="41">R123</f>
        <v>1.474</v>
      </c>
      <c r="S124" s="3"/>
      <c r="T124" s="3">
        <f t="shared" si="38"/>
        <v>0.64919615546829257</v>
      </c>
      <c r="U124" s="3">
        <f t="shared" si="39"/>
        <v>0.66461187703963831</v>
      </c>
      <c r="V124" s="3">
        <f t="shared" si="40"/>
        <v>0.58439114567251904</v>
      </c>
      <c r="W124" s="3">
        <f>W123</f>
        <v>4.1084678275254856</v>
      </c>
      <c r="X124" s="3">
        <f t="shared" si="34"/>
        <v>4.2558414636254733</v>
      </c>
      <c r="Y124" s="3">
        <f t="shared" si="34"/>
        <v>4.3569000828154065</v>
      </c>
      <c r="Z124" s="3">
        <f t="shared" si="34"/>
        <v>3.8310086216309585</v>
      </c>
      <c r="AA124" s="6">
        <v>0.9</v>
      </c>
      <c r="AB124" s="6">
        <v>1</v>
      </c>
      <c r="AC124" s="48">
        <v>15</v>
      </c>
      <c r="AD124" s="48">
        <v>50</v>
      </c>
      <c r="AE124" s="48">
        <v>2500</v>
      </c>
    </row>
    <row r="125" spans="1:31">
      <c r="A125">
        <v>2013</v>
      </c>
      <c r="B125" s="48">
        <f>[2]POP!AB54</f>
        <v>80694</v>
      </c>
      <c r="C125" s="6">
        <f>[2]Turkey!K55</f>
        <v>8.75</v>
      </c>
      <c r="D125" s="6">
        <f t="shared" ref="D125:D142" si="42">D124</f>
        <v>9.1999999999999993</v>
      </c>
      <c r="E125" s="3"/>
      <c r="F125" s="12">
        <v>100</v>
      </c>
      <c r="G125" s="9">
        <v>105.42028524778496</v>
      </c>
      <c r="H125" s="12">
        <v>50</v>
      </c>
      <c r="I125" s="6">
        <f>'[2]Real Exchage Rate'!Y106</f>
        <v>1.5471032279539119</v>
      </c>
      <c r="J125" s="3"/>
      <c r="K125" s="3">
        <f t="shared" si="33"/>
        <v>154.71032279539119</v>
      </c>
      <c r="L125" s="3">
        <f t="shared" si="33"/>
        <v>163.09606359867027</v>
      </c>
      <c r="M125" s="3">
        <f t="shared" si="33"/>
        <v>77.355161397695596</v>
      </c>
      <c r="N125" s="6"/>
      <c r="O125" s="6">
        <f t="shared" si="35"/>
        <v>2.1172006417297924</v>
      </c>
      <c r="P125" s="6">
        <f t="shared" si="36"/>
        <v>2.2139361741368013</v>
      </c>
      <c r="Q125" s="6">
        <f t="shared" si="37"/>
        <v>1.2248533944466318</v>
      </c>
      <c r="R125" s="3">
        <f t="shared" si="41"/>
        <v>1.474</v>
      </c>
      <c r="S125" s="3"/>
      <c r="T125" s="3">
        <f t="shared" si="38"/>
        <v>0.64641611551136269</v>
      </c>
      <c r="U125" s="3">
        <f t="shared" si="39"/>
        <v>0.66382851134462428</v>
      </c>
      <c r="V125" s="3">
        <f t="shared" si="40"/>
        <v>0.48579361100039364</v>
      </c>
      <c r="W125" s="3">
        <f t="shared" ref="W125:W142" si="43">W124</f>
        <v>4.1084678275254856</v>
      </c>
      <c r="X125" s="3">
        <f t="shared" si="34"/>
        <v>4.2376167572411552</v>
      </c>
      <c r="Y125" s="3">
        <f t="shared" si="34"/>
        <v>4.3517646854814256</v>
      </c>
      <c r="Z125" s="3">
        <f t="shared" si="34"/>
        <v>3.1846470054470251</v>
      </c>
      <c r="AA125" s="6">
        <v>0.8</v>
      </c>
      <c r="AB125" s="6">
        <v>1</v>
      </c>
      <c r="AC125" s="48">
        <v>15</v>
      </c>
      <c r="AD125" s="48">
        <v>51</v>
      </c>
      <c r="AE125" s="48">
        <v>2601</v>
      </c>
    </row>
    <row r="126" spans="1:31">
      <c r="A126">
        <v>2014</v>
      </c>
      <c r="B126" s="48">
        <f>[2]POP!AB55</f>
        <v>81619</v>
      </c>
      <c r="C126" s="6">
        <f>[2]Turkey!K56</f>
        <v>8.5250000000000004</v>
      </c>
      <c r="D126" s="6">
        <f t="shared" si="42"/>
        <v>9.1999999999999993</v>
      </c>
      <c r="E126" s="3"/>
      <c r="F126" s="12">
        <v>100</v>
      </c>
      <c r="G126" s="9">
        <v>106.08299955470383</v>
      </c>
      <c r="H126" s="12">
        <v>50</v>
      </c>
      <c r="I126" s="6">
        <f>'[2]Real Exchage Rate'!Y107</f>
        <v>1.536569511875741</v>
      </c>
      <c r="J126" s="3"/>
      <c r="K126" s="3">
        <f t="shared" si="33"/>
        <v>153.65695118757409</v>
      </c>
      <c r="L126" s="3">
        <f t="shared" si="33"/>
        <v>163.0039028440857</v>
      </c>
      <c r="M126" s="3">
        <f t="shared" si="33"/>
        <v>76.828475593787047</v>
      </c>
      <c r="N126" s="6"/>
      <c r="O126" s="6">
        <f t="shared" si="35"/>
        <v>2.105049245008257</v>
      </c>
      <c r="P126" s="6">
        <f t="shared" si="36"/>
        <v>2.2128730337570883</v>
      </c>
      <c r="Q126" s="6">
        <f t="shared" si="37"/>
        <v>1.2187776960858641</v>
      </c>
      <c r="R126" s="3">
        <f t="shared" si="41"/>
        <v>1.474</v>
      </c>
      <c r="S126" s="3"/>
      <c r="T126" s="3">
        <f t="shared" si="38"/>
        <v>0.64422886410148616</v>
      </c>
      <c r="U126" s="3">
        <f t="shared" si="39"/>
        <v>0.66363714607627577</v>
      </c>
      <c r="V126" s="3">
        <f t="shared" si="40"/>
        <v>0.48469998529545549</v>
      </c>
      <c r="W126" s="3">
        <f t="shared" si="43"/>
        <v>4.1084678275254856</v>
      </c>
      <c r="X126" s="3">
        <f t="shared" si="34"/>
        <v>4.2232781091097431</v>
      </c>
      <c r="Y126" s="3">
        <f t="shared" si="34"/>
        <v>4.3505101798333641</v>
      </c>
      <c r="Z126" s="3">
        <f t="shared" si="34"/>
        <v>3.1774776813813195</v>
      </c>
      <c r="AA126" s="6">
        <v>0.70000000000000007</v>
      </c>
      <c r="AB126" s="6">
        <v>1</v>
      </c>
      <c r="AC126" s="48">
        <v>15</v>
      </c>
      <c r="AD126" s="48">
        <v>52</v>
      </c>
      <c r="AE126" s="48">
        <v>2704</v>
      </c>
    </row>
    <row r="127" spans="1:31">
      <c r="A127">
        <v>2015</v>
      </c>
      <c r="B127" s="48">
        <f>[2]POP!AB56</f>
        <v>82523</v>
      </c>
      <c r="C127" s="6">
        <f>[2]Turkey!K57</f>
        <v>8.3000000000000007</v>
      </c>
      <c r="D127" s="6">
        <f t="shared" si="42"/>
        <v>9.1999999999999993</v>
      </c>
      <c r="E127" s="3"/>
      <c r="F127" s="12">
        <v>120</v>
      </c>
      <c r="G127" s="9">
        <v>106.7457138616227</v>
      </c>
      <c r="H127" s="12">
        <v>50</v>
      </c>
      <c r="I127" s="6">
        <f>'[2]Real Exchage Rate'!Y108</f>
        <v>1.5255370001667095</v>
      </c>
      <c r="J127" s="3"/>
      <c r="K127" s="3">
        <f t="shared" si="33"/>
        <v>183.06444002000512</v>
      </c>
      <c r="L127" s="3">
        <f t="shared" si="33"/>
        <v>162.84453610511383</v>
      </c>
      <c r="M127" s="3">
        <f t="shared" si="33"/>
        <v>76.276850008335472</v>
      </c>
      <c r="N127" s="6"/>
      <c r="O127" s="6">
        <f t="shared" si="35"/>
        <v>2.4442857126851485</v>
      </c>
      <c r="P127" s="6">
        <f t="shared" si="36"/>
        <v>2.211034624163462</v>
      </c>
      <c r="Q127" s="6">
        <f t="shared" si="37"/>
        <v>1.2124142994641702</v>
      </c>
      <c r="R127" s="3">
        <f t="shared" si="41"/>
        <v>1.474</v>
      </c>
      <c r="S127" s="3"/>
      <c r="T127" s="3">
        <f t="shared" si="38"/>
        <v>0.70529142828332669</v>
      </c>
      <c r="U127" s="3">
        <f t="shared" si="39"/>
        <v>0.66330623234942321</v>
      </c>
      <c r="V127" s="3">
        <f t="shared" si="40"/>
        <v>0.48355457390355056</v>
      </c>
      <c r="W127" s="3">
        <f t="shared" si="43"/>
        <v>4.1084678275254856</v>
      </c>
      <c r="X127" s="3">
        <f t="shared" si="34"/>
        <v>4.6235771409684752</v>
      </c>
      <c r="Y127" s="3">
        <f t="shared" si="34"/>
        <v>4.3483408565128858</v>
      </c>
      <c r="Z127" s="3">
        <f t="shared" si="34"/>
        <v>3.1699688733677207</v>
      </c>
      <c r="AA127" s="6">
        <v>0.60000000000000009</v>
      </c>
      <c r="AB127" s="6">
        <v>1</v>
      </c>
      <c r="AC127" s="48">
        <v>15</v>
      </c>
      <c r="AD127" s="48">
        <v>53</v>
      </c>
      <c r="AE127" s="48">
        <v>2809</v>
      </c>
    </row>
    <row r="128" spans="1:31">
      <c r="A128">
        <v>2016</v>
      </c>
      <c r="B128" s="48">
        <f>[2]POP!AB57</f>
        <v>83407</v>
      </c>
      <c r="C128" s="6">
        <f>[2]Turkey!K58</f>
        <v>8</v>
      </c>
      <c r="D128" s="6">
        <f t="shared" si="42"/>
        <v>9.1999999999999993</v>
      </c>
      <c r="E128" s="3"/>
      <c r="F128" s="12">
        <v>120</v>
      </c>
      <c r="G128" s="9">
        <v>107.40842816854158</v>
      </c>
      <c r="H128" s="12">
        <v>50</v>
      </c>
      <c r="I128" s="6">
        <f>'[2]Real Exchage Rate'!Y109</f>
        <v>1.5177670523192761</v>
      </c>
      <c r="J128" s="3"/>
      <c r="K128" s="3">
        <f t="shared" si="33"/>
        <v>182.13204627831314</v>
      </c>
      <c r="L128" s="3">
        <f t="shared" si="33"/>
        <v>163.02097341561407</v>
      </c>
      <c r="M128" s="3">
        <f t="shared" si="33"/>
        <v>75.888352615963811</v>
      </c>
      <c r="N128" s="6"/>
      <c r="O128" s="6">
        <f t="shared" si="35"/>
        <v>2.4335298823856637</v>
      </c>
      <c r="P128" s="6">
        <f t="shared" si="36"/>
        <v>2.2130699550385859</v>
      </c>
      <c r="Q128" s="6">
        <f t="shared" si="37"/>
        <v>1.2079327035060516</v>
      </c>
      <c r="R128" s="3">
        <f t="shared" si="41"/>
        <v>1.474</v>
      </c>
      <c r="S128" s="3"/>
      <c r="T128" s="3">
        <f t="shared" si="38"/>
        <v>0.70335537882941934</v>
      </c>
      <c r="U128" s="3">
        <f t="shared" si="39"/>
        <v>0.6636725919069455</v>
      </c>
      <c r="V128" s="3">
        <f t="shared" si="40"/>
        <v>0.48274788663108925</v>
      </c>
      <c r="W128" s="3">
        <f t="shared" si="43"/>
        <v>4.1084678275254856</v>
      </c>
      <c r="X128" s="3">
        <f t="shared" si="34"/>
        <v>4.610885261215083</v>
      </c>
      <c r="Y128" s="3">
        <f t="shared" si="34"/>
        <v>4.3507425469455319</v>
      </c>
      <c r="Z128" s="3">
        <f t="shared" si="34"/>
        <v>3.1646805901371406</v>
      </c>
      <c r="AA128" s="6">
        <v>0.50000000000000011</v>
      </c>
      <c r="AB128" s="6">
        <v>1</v>
      </c>
      <c r="AC128" s="48">
        <v>15</v>
      </c>
      <c r="AD128" s="48">
        <v>54</v>
      </c>
      <c r="AE128" s="48">
        <v>2916</v>
      </c>
    </row>
    <row r="129" spans="1:31">
      <c r="A129">
        <v>2017</v>
      </c>
      <c r="B129" s="48">
        <f>[2]POP!AB58</f>
        <v>84273</v>
      </c>
      <c r="C129" s="6">
        <f>[2]Turkey!K59</f>
        <v>8</v>
      </c>
      <c r="D129" s="6">
        <f t="shared" si="42"/>
        <v>9.1999999999999993</v>
      </c>
      <c r="E129" s="3"/>
      <c r="F129" s="12">
        <v>120</v>
      </c>
      <c r="G129" s="9">
        <v>108.07114247546045</v>
      </c>
      <c r="H129" s="12">
        <v>50</v>
      </c>
      <c r="I129" s="6">
        <f>'[2]Real Exchage Rate'!Y110</f>
        <v>1.5117464546565451</v>
      </c>
      <c r="J129" s="3"/>
      <c r="K129" s="3">
        <f t="shared" si="33"/>
        <v>181.40957455878541</v>
      </c>
      <c r="L129" s="3">
        <f t="shared" si="33"/>
        <v>163.37616648795969</v>
      </c>
      <c r="M129" s="3">
        <f t="shared" si="33"/>
        <v>75.587322732827261</v>
      </c>
      <c r="N129" s="6"/>
      <c r="O129" s="6">
        <f t="shared" si="35"/>
        <v>2.4251956531175476</v>
      </c>
      <c r="P129" s="6">
        <f t="shared" si="36"/>
        <v>2.2171673617873373</v>
      </c>
      <c r="Q129" s="6">
        <f t="shared" si="37"/>
        <v>1.20446010797767</v>
      </c>
      <c r="R129" s="3">
        <f t="shared" si="41"/>
        <v>1.474</v>
      </c>
      <c r="S129" s="3"/>
      <c r="T129" s="3">
        <f t="shared" si="38"/>
        <v>0.70185521756115854</v>
      </c>
      <c r="U129" s="3">
        <f t="shared" si="39"/>
        <v>0.6644101251217206</v>
      </c>
      <c r="V129" s="3">
        <f t="shared" si="40"/>
        <v>0.48212281943598057</v>
      </c>
      <c r="W129" s="3">
        <f t="shared" si="43"/>
        <v>4.1084678275254856</v>
      </c>
      <c r="X129" s="3">
        <f t="shared" si="34"/>
        <v>4.6010508706787059</v>
      </c>
      <c r="Y129" s="3">
        <f t="shared" si="34"/>
        <v>4.3555774869090573</v>
      </c>
      <c r="Z129" s="3">
        <f t="shared" si="34"/>
        <v>3.1605829274136505</v>
      </c>
      <c r="AA129" s="6">
        <v>0.40000000000000013</v>
      </c>
      <c r="AB129" s="6">
        <v>1</v>
      </c>
      <c r="AC129" s="48">
        <v>15</v>
      </c>
      <c r="AD129" s="48">
        <v>55</v>
      </c>
      <c r="AE129" s="48">
        <v>3025</v>
      </c>
    </row>
    <row r="130" spans="1:31">
      <c r="A130">
        <v>2018</v>
      </c>
      <c r="B130" s="48">
        <f>[2]POP!AB59</f>
        <v>85121</v>
      </c>
      <c r="C130" s="6">
        <f>[2]Turkey!K60</f>
        <v>8</v>
      </c>
      <c r="D130" s="6">
        <f t="shared" si="42"/>
        <v>9.1999999999999993</v>
      </c>
      <c r="E130" s="3"/>
      <c r="F130" s="12">
        <v>120</v>
      </c>
      <c r="G130" s="9">
        <v>108.73385678237932</v>
      </c>
      <c r="H130" s="12">
        <v>70</v>
      </c>
      <c r="I130" s="6">
        <f>'[2]Real Exchage Rate'!Y111</f>
        <v>1.5060108819245632</v>
      </c>
      <c r="J130" s="3"/>
      <c r="K130" s="3">
        <f t="shared" si="33"/>
        <v>180.72130583094759</v>
      </c>
      <c r="L130" s="3">
        <f t="shared" si="33"/>
        <v>163.75437154789023</v>
      </c>
      <c r="M130" s="3">
        <f t="shared" si="33"/>
        <v>105.42076173471942</v>
      </c>
      <c r="N130" s="6"/>
      <c r="O130" s="6">
        <f t="shared" si="35"/>
        <v>2.4172559798807538</v>
      </c>
      <c r="P130" s="6">
        <f t="shared" si="36"/>
        <v>2.2215302283115568</v>
      </c>
      <c r="Q130" s="6">
        <f t="shared" si="37"/>
        <v>1.5486102162485529</v>
      </c>
      <c r="R130" s="3">
        <f t="shared" si="41"/>
        <v>1.474</v>
      </c>
      <c r="S130" s="3"/>
      <c r="T130" s="3">
        <f t="shared" si="38"/>
        <v>0.7004260763785356</v>
      </c>
      <c r="U130" s="3">
        <f t="shared" si="39"/>
        <v>0.6651954410960802</v>
      </c>
      <c r="V130" s="3">
        <f t="shared" si="40"/>
        <v>0.54406983892473948</v>
      </c>
      <c r="W130" s="3">
        <f t="shared" si="43"/>
        <v>4.1084678275254856</v>
      </c>
      <c r="X130" s="3">
        <f t="shared" si="34"/>
        <v>4.5916820562592893</v>
      </c>
      <c r="Y130" s="3">
        <f t="shared" si="34"/>
        <v>4.3607256694076373</v>
      </c>
      <c r="Z130" s="3">
        <f t="shared" si="34"/>
        <v>3.566680055173292</v>
      </c>
      <c r="AA130" s="6">
        <v>0.30000000000000016</v>
      </c>
      <c r="AB130" s="6">
        <v>1</v>
      </c>
      <c r="AC130" s="48">
        <v>15</v>
      </c>
      <c r="AD130" s="48">
        <v>56</v>
      </c>
      <c r="AE130" s="48">
        <v>3136</v>
      </c>
    </row>
    <row r="131" spans="1:31">
      <c r="A131">
        <v>2019</v>
      </c>
      <c r="B131" s="48">
        <f>[2]POP!AB60</f>
        <v>85949</v>
      </c>
      <c r="C131" s="6">
        <f>[2]Turkey!K61</f>
        <v>8</v>
      </c>
      <c r="D131" s="6">
        <f t="shared" si="42"/>
        <v>9.1999999999999993</v>
      </c>
      <c r="E131" s="3"/>
      <c r="F131" s="12">
        <v>120</v>
      </c>
      <c r="G131" s="9">
        <v>109.39657108929819</v>
      </c>
      <c r="H131" s="12">
        <v>70</v>
      </c>
      <c r="I131" s="6">
        <f>'[2]Real Exchage Rate'!Y112</f>
        <v>1.4987132764608553</v>
      </c>
      <c r="J131" s="3"/>
      <c r="K131" s="3">
        <f t="shared" si="33"/>
        <v>179.84559317530264</v>
      </c>
      <c r="L131" s="3">
        <f t="shared" si="33"/>
        <v>163.95409349082496</v>
      </c>
      <c r="M131" s="3">
        <f t="shared" si="33"/>
        <v>104.90992935225987</v>
      </c>
      <c r="N131" s="6"/>
      <c r="O131" s="6">
        <f t="shared" si="35"/>
        <v>2.4071540065468957</v>
      </c>
      <c r="P131" s="6">
        <f t="shared" si="36"/>
        <v>2.223834164115964</v>
      </c>
      <c r="Q131" s="6">
        <f t="shared" si="37"/>
        <v>1.5427173984704687</v>
      </c>
      <c r="R131" s="3">
        <f t="shared" si="41"/>
        <v>1.474</v>
      </c>
      <c r="S131" s="3"/>
      <c r="T131" s="3">
        <f t="shared" si="38"/>
        <v>0.69860772117844128</v>
      </c>
      <c r="U131" s="3">
        <f t="shared" si="39"/>
        <v>0.6656101495408735</v>
      </c>
      <c r="V131" s="3">
        <f t="shared" si="40"/>
        <v>0.54300913172468435</v>
      </c>
      <c r="W131" s="3">
        <f t="shared" si="43"/>
        <v>4.1084678275254856</v>
      </c>
      <c r="X131" s="3">
        <f t="shared" si="34"/>
        <v>4.5797617277253373</v>
      </c>
      <c r="Y131" s="3">
        <f t="shared" si="34"/>
        <v>4.3634443136568368</v>
      </c>
      <c r="Z131" s="3">
        <f t="shared" si="34"/>
        <v>3.5597265301951531</v>
      </c>
      <c r="AA131" s="6">
        <v>0.20000000000000015</v>
      </c>
      <c r="AB131" s="6">
        <v>1</v>
      </c>
      <c r="AC131" s="48">
        <v>15</v>
      </c>
      <c r="AD131" s="48">
        <v>57</v>
      </c>
      <c r="AE131" s="48">
        <v>3249</v>
      </c>
    </row>
    <row r="132" spans="1:31">
      <c r="A132">
        <v>2020</v>
      </c>
      <c r="B132" s="48">
        <f>[2]POP!AB61</f>
        <v>86757</v>
      </c>
      <c r="C132" s="6">
        <f>[2]Turkey!K62</f>
        <v>8</v>
      </c>
      <c r="D132" s="6">
        <f t="shared" si="42"/>
        <v>9.1999999999999993</v>
      </c>
      <c r="E132" s="3"/>
      <c r="F132" s="12">
        <v>150</v>
      </c>
      <c r="G132" s="9">
        <v>110.05928539621706</v>
      </c>
      <c r="H132" s="12">
        <v>70</v>
      </c>
      <c r="I132" s="6">
        <f>'[2]Real Exchage Rate'!Y113</f>
        <v>1.4946401047182134</v>
      </c>
      <c r="J132" s="3"/>
      <c r="K132" s="3">
        <f t="shared" si="33"/>
        <v>224.19601570773202</v>
      </c>
      <c r="L132" s="3">
        <f t="shared" si="33"/>
        <v>164.4990218498136</v>
      </c>
      <c r="M132" s="3">
        <f t="shared" si="33"/>
        <v>104.62480733027493</v>
      </c>
      <c r="N132" s="6"/>
      <c r="O132" s="6">
        <f t="shared" si="35"/>
        <v>2.9187679279398306</v>
      </c>
      <c r="P132" s="6">
        <f t="shared" si="36"/>
        <v>2.2301203034287638</v>
      </c>
      <c r="Q132" s="6">
        <f t="shared" si="37"/>
        <v>1.5394283115257723</v>
      </c>
      <c r="R132" s="3">
        <f t="shared" si="41"/>
        <v>1.474</v>
      </c>
      <c r="S132" s="3"/>
      <c r="T132" s="3">
        <f t="shared" si="38"/>
        <v>0.79069822702916948</v>
      </c>
      <c r="U132" s="3">
        <f t="shared" si="39"/>
        <v>0.66674165461717738</v>
      </c>
      <c r="V132" s="3">
        <f t="shared" si="40"/>
        <v>0.54241709607463906</v>
      </c>
      <c r="W132" s="3">
        <f t="shared" si="43"/>
        <v>4.1084678275254856</v>
      </c>
      <c r="X132" s="3">
        <f t="shared" si="34"/>
        <v>5.1834661549690004</v>
      </c>
      <c r="Y132" s="3">
        <f t="shared" si="34"/>
        <v>4.3708619580459409</v>
      </c>
      <c r="Z132" s="3">
        <f t="shared" si="34"/>
        <v>3.5558454076004118</v>
      </c>
      <c r="AA132" s="6">
        <v>0.10000000000000014</v>
      </c>
      <c r="AB132" s="6">
        <v>1</v>
      </c>
      <c r="AC132" s="48">
        <v>15</v>
      </c>
      <c r="AD132" s="48">
        <v>58</v>
      </c>
      <c r="AE132" s="48">
        <v>3364</v>
      </c>
    </row>
    <row r="133" spans="1:31">
      <c r="A133">
        <v>2021</v>
      </c>
      <c r="B133" s="48">
        <f>[2]POP!AB62</f>
        <v>87545</v>
      </c>
      <c r="C133" s="6">
        <f>[2]Turkey!K63</f>
        <v>8</v>
      </c>
      <c r="D133" s="6">
        <f t="shared" si="42"/>
        <v>9.1999999999999993</v>
      </c>
      <c r="E133" s="3"/>
      <c r="F133" s="12">
        <v>180</v>
      </c>
      <c r="G133" s="9">
        <v>110.72199970313594</v>
      </c>
      <c r="H133" s="12">
        <v>70</v>
      </c>
      <c r="I133" s="6">
        <f>'[2]Real Exchage Rate'!Y114</f>
        <v>1.4905780029569384</v>
      </c>
      <c r="J133" s="3"/>
      <c r="K133" s="3">
        <f t="shared" si="33"/>
        <v>268.30404053224891</v>
      </c>
      <c r="L133" s="3">
        <f t="shared" si="33"/>
        <v>165.0397772008991</v>
      </c>
      <c r="M133" s="3">
        <f t="shared" si="33"/>
        <v>104.3404602069857</v>
      </c>
      <c r="N133" s="6"/>
      <c r="O133" s="6">
        <f t="shared" si="35"/>
        <v>3.4275856179825208</v>
      </c>
      <c r="P133" s="6">
        <f t="shared" si="36"/>
        <v>2.2363583041035211</v>
      </c>
      <c r="Q133" s="6">
        <f t="shared" si="37"/>
        <v>1.536148163593102</v>
      </c>
      <c r="R133" s="3">
        <f t="shared" si="41"/>
        <v>1.474</v>
      </c>
      <c r="S133" s="3"/>
      <c r="T133" s="3">
        <f t="shared" si="38"/>
        <v>0.88228541123685378</v>
      </c>
      <c r="U133" s="3">
        <f t="shared" si="39"/>
        <v>0.66786449473863385</v>
      </c>
      <c r="V133" s="3">
        <f t="shared" si="40"/>
        <v>0.54182666944675828</v>
      </c>
      <c r="W133" s="3">
        <f t="shared" si="43"/>
        <v>4.1084678275254856</v>
      </c>
      <c r="X133" s="3">
        <f t="shared" si="34"/>
        <v>5.7838710292193749</v>
      </c>
      <c r="Y133" s="3">
        <f t="shared" si="34"/>
        <v>4.3782227988421552</v>
      </c>
      <c r="Z133" s="3">
        <f t="shared" si="34"/>
        <v>3.5519748330398602</v>
      </c>
      <c r="AA133" s="6">
        <v>0</v>
      </c>
      <c r="AB133" s="6">
        <v>1</v>
      </c>
      <c r="AC133" s="48">
        <v>15</v>
      </c>
      <c r="AD133" s="48">
        <v>59</v>
      </c>
      <c r="AE133" s="48">
        <v>3481</v>
      </c>
    </row>
    <row r="134" spans="1:31">
      <c r="A134">
        <v>2022</v>
      </c>
      <c r="B134" s="48">
        <f>[2]POP!AB63</f>
        <v>88314</v>
      </c>
      <c r="C134" s="6">
        <f>[2]Turkey!K64</f>
        <v>8</v>
      </c>
      <c r="D134" s="6">
        <f t="shared" si="42"/>
        <v>9.1999999999999993</v>
      </c>
      <c r="E134" s="3"/>
      <c r="F134" s="12">
        <v>180</v>
      </c>
      <c r="G134" s="9">
        <v>111.38471401005481</v>
      </c>
      <c r="H134" s="12">
        <v>70</v>
      </c>
      <c r="I134" s="6">
        <f>'[2]Real Exchage Rate'!Y115</f>
        <v>1.486526941091266</v>
      </c>
      <c r="J134" s="3"/>
      <c r="K134" s="3">
        <f t="shared" si="33"/>
        <v>267.57484939642791</v>
      </c>
      <c r="L134" s="3">
        <f t="shared" si="33"/>
        <v>165.57637820169225</v>
      </c>
      <c r="M134" s="3">
        <f t="shared" si="33"/>
        <v>104.05688587638862</v>
      </c>
      <c r="N134" s="6"/>
      <c r="O134" s="6">
        <f t="shared" si="35"/>
        <v>3.4191738754299092</v>
      </c>
      <c r="P134" s="6">
        <f t="shared" si="36"/>
        <v>2.2425483813691529</v>
      </c>
      <c r="Q134" s="6">
        <f t="shared" si="37"/>
        <v>1.5328769303781971</v>
      </c>
      <c r="R134" s="3">
        <f t="shared" si="41"/>
        <v>1.474</v>
      </c>
      <c r="S134" s="3"/>
      <c r="T134" s="3">
        <f t="shared" si="38"/>
        <v>0.88077129757738359</v>
      </c>
      <c r="U134" s="3">
        <f t="shared" si="39"/>
        <v>0.66897870864644748</v>
      </c>
      <c r="V134" s="3">
        <f t="shared" si="40"/>
        <v>0.54123784746807535</v>
      </c>
      <c r="W134" s="3">
        <f t="shared" si="43"/>
        <v>4.1084678275254856</v>
      </c>
      <c r="X134" s="3">
        <f t="shared" si="34"/>
        <v>5.7739451730072924</v>
      </c>
      <c r="Y134" s="3">
        <f t="shared" si="34"/>
        <v>4.3855270900156</v>
      </c>
      <c r="Z134" s="3">
        <f t="shared" si="34"/>
        <v>3.5481147778462723</v>
      </c>
      <c r="AA134" s="6">
        <v>0</v>
      </c>
      <c r="AB134" s="6">
        <v>1</v>
      </c>
      <c r="AC134" s="48">
        <v>15</v>
      </c>
      <c r="AD134" s="48">
        <v>60</v>
      </c>
      <c r="AE134" s="48">
        <v>3600</v>
      </c>
    </row>
    <row r="135" spans="1:31">
      <c r="A135">
        <v>2023</v>
      </c>
      <c r="B135" s="48">
        <f>[2]POP!AB64</f>
        <v>89063</v>
      </c>
      <c r="C135" s="6">
        <f>[2]Turkey!K65</f>
        <v>8</v>
      </c>
      <c r="D135" s="6">
        <f t="shared" si="42"/>
        <v>9.1999999999999993</v>
      </c>
      <c r="E135" s="3"/>
      <c r="F135" s="12">
        <v>180</v>
      </c>
      <c r="G135" s="9">
        <v>112.04742831697368</v>
      </c>
      <c r="H135" s="12">
        <v>70</v>
      </c>
      <c r="I135" s="6">
        <f>'[2]Real Exchage Rate'!Y116</f>
        <v>1.4824868891171976</v>
      </c>
      <c r="J135" s="3"/>
      <c r="K135" s="3">
        <f t="shared" si="33"/>
        <v>266.84764004109559</v>
      </c>
      <c r="L135" s="3">
        <f t="shared" si="33"/>
        <v>166.10884343921251</v>
      </c>
      <c r="M135" s="3">
        <f t="shared" si="33"/>
        <v>103.77408223820383</v>
      </c>
      <c r="N135" s="6"/>
      <c r="O135" s="6">
        <f t="shared" si="35"/>
        <v>3.4107849941360917</v>
      </c>
      <c r="P135" s="6">
        <f t="shared" si="36"/>
        <v>2.2486907496402551</v>
      </c>
      <c r="Q135" s="6">
        <f t="shared" si="37"/>
        <v>1.5296145876528238</v>
      </c>
      <c r="R135" s="3">
        <f t="shared" si="41"/>
        <v>1.474</v>
      </c>
      <c r="S135" s="3"/>
      <c r="T135" s="3">
        <f t="shared" si="38"/>
        <v>0.87926129894449645</v>
      </c>
      <c r="U135" s="3">
        <f t="shared" si="39"/>
        <v>0.67008433493524588</v>
      </c>
      <c r="V135" s="3">
        <f t="shared" si="40"/>
        <v>0.54065062577750833</v>
      </c>
      <c r="W135" s="3">
        <f t="shared" si="43"/>
        <v>4.1084678275254856</v>
      </c>
      <c r="X135" s="3">
        <f t="shared" si="34"/>
        <v>5.7640462930805878</v>
      </c>
      <c r="Y135" s="3">
        <f t="shared" si="34"/>
        <v>4.3927750845755007</v>
      </c>
      <c r="Z135" s="3">
        <f t="shared" si="34"/>
        <v>3.5442652134303323</v>
      </c>
      <c r="AA135" s="6">
        <v>0</v>
      </c>
      <c r="AB135" s="6">
        <v>1</v>
      </c>
      <c r="AC135" s="48">
        <v>15</v>
      </c>
      <c r="AD135" s="48">
        <v>61</v>
      </c>
      <c r="AE135" s="48">
        <v>3721</v>
      </c>
    </row>
    <row r="136" spans="1:31">
      <c r="A136">
        <v>2024</v>
      </c>
      <c r="B136" s="48">
        <f>[2]POP!AB65</f>
        <v>89791</v>
      </c>
      <c r="C136" s="6">
        <f>[2]Turkey!K66</f>
        <v>8</v>
      </c>
      <c r="D136" s="6">
        <f t="shared" si="42"/>
        <v>9.1999999999999993</v>
      </c>
      <c r="E136" s="3"/>
      <c r="F136" s="12">
        <v>180</v>
      </c>
      <c r="G136" s="9">
        <v>112.71014262389255</v>
      </c>
      <c r="H136" s="12">
        <v>70</v>
      </c>
      <c r="I136" s="6">
        <f>'[2]Real Exchage Rate'!Y117</f>
        <v>1.478457817112278</v>
      </c>
      <c r="J136" s="3"/>
      <c r="K136" s="3">
        <f t="shared" si="33"/>
        <v>266.12240708021005</v>
      </c>
      <c r="L136" s="3">
        <f t="shared" si="33"/>
        <v>166.6371914301337</v>
      </c>
      <c r="M136" s="3">
        <f t="shared" si="33"/>
        <v>103.49204719785946</v>
      </c>
      <c r="N136" s="6"/>
      <c r="O136" s="6">
        <f t="shared" si="35"/>
        <v>3.4024189119692139</v>
      </c>
      <c r="P136" s="6">
        <f t="shared" si="36"/>
        <v>2.2547856225199352</v>
      </c>
      <c r="Q136" s="6">
        <f t="shared" si="37"/>
        <v>1.5263611112545932</v>
      </c>
      <c r="R136" s="3">
        <f t="shared" si="41"/>
        <v>1.474</v>
      </c>
      <c r="S136" s="3"/>
      <c r="T136" s="3">
        <f t="shared" si="38"/>
        <v>0.87775540415445852</v>
      </c>
      <c r="U136" s="3">
        <f t="shared" si="39"/>
        <v>0.67118141205358839</v>
      </c>
      <c r="V136" s="3">
        <f t="shared" si="40"/>
        <v>0.54006500002582669</v>
      </c>
      <c r="W136" s="3">
        <f t="shared" si="43"/>
        <v>4.1084678275254856</v>
      </c>
      <c r="X136" s="3">
        <f t="shared" si="34"/>
        <v>5.7541743161236729</v>
      </c>
      <c r="Y136" s="3">
        <f t="shared" si="34"/>
        <v>4.3999670345735238</v>
      </c>
      <c r="Z136" s="3">
        <f t="shared" si="34"/>
        <v>3.5404261112804196</v>
      </c>
      <c r="AA136" s="6">
        <v>0</v>
      </c>
      <c r="AB136" s="6">
        <v>1</v>
      </c>
      <c r="AC136" s="48">
        <v>15</v>
      </c>
      <c r="AD136" s="48">
        <v>62</v>
      </c>
      <c r="AE136" s="48">
        <v>3844</v>
      </c>
    </row>
    <row r="137" spans="1:31">
      <c r="A137">
        <v>2025</v>
      </c>
      <c r="B137" s="48">
        <f>[2]POP!AB66</f>
        <v>90498</v>
      </c>
      <c r="C137" s="6">
        <f>[2]Turkey!K67</f>
        <v>8</v>
      </c>
      <c r="D137" s="6">
        <f t="shared" si="42"/>
        <v>9.1999999999999993</v>
      </c>
      <c r="E137" s="3"/>
      <c r="F137" s="12">
        <v>180</v>
      </c>
      <c r="G137" s="9">
        <v>113.37285693081142</v>
      </c>
      <c r="H137" s="12">
        <v>70</v>
      </c>
      <c r="I137" s="6">
        <f>'[2]Real Exchage Rate'!Y118</f>
        <v>1.4744396952353769</v>
      </c>
      <c r="J137" s="3"/>
      <c r="K137" s="3">
        <f t="shared" si="33"/>
        <v>265.39914514236784</v>
      </c>
      <c r="L137" s="3">
        <f t="shared" si="33"/>
        <v>167.16144062102958</v>
      </c>
      <c r="M137" s="3">
        <f t="shared" si="33"/>
        <v>103.21077866647639</v>
      </c>
      <c r="N137" s="6"/>
      <c r="O137" s="6">
        <f t="shared" si="35"/>
        <v>3.3940755669662854</v>
      </c>
      <c r="P137" s="6">
        <f t="shared" si="36"/>
        <v>2.2608332128026478</v>
      </c>
      <c r="Q137" s="6">
        <f t="shared" si="37"/>
        <v>1.5231164770867878</v>
      </c>
      <c r="R137" s="3">
        <f t="shared" si="41"/>
        <v>1.474</v>
      </c>
      <c r="S137" s="3"/>
      <c r="T137" s="3">
        <f t="shared" si="38"/>
        <v>0.87625360205393144</v>
      </c>
      <c r="U137" s="3">
        <f t="shared" si="39"/>
        <v>0.67226997830447655</v>
      </c>
      <c r="V137" s="3">
        <f t="shared" si="40"/>
        <v>0.53948096587562178</v>
      </c>
      <c r="W137" s="3">
        <f t="shared" si="43"/>
        <v>4.1084678275254856</v>
      </c>
      <c r="X137" s="3">
        <f t="shared" si="34"/>
        <v>5.744329169020217</v>
      </c>
      <c r="Y137" s="3">
        <f t="shared" si="34"/>
        <v>4.4071031911071241</v>
      </c>
      <c r="Z137" s="3">
        <f t="shared" si="34"/>
        <v>3.5365974429624099</v>
      </c>
      <c r="AA137" s="6">
        <v>0</v>
      </c>
      <c r="AB137" s="6">
        <v>1</v>
      </c>
      <c r="AC137" s="48">
        <v>15</v>
      </c>
      <c r="AD137" s="48">
        <v>63</v>
      </c>
      <c r="AE137" s="80">
        <v>3969</v>
      </c>
    </row>
    <row r="138" spans="1:31">
      <c r="A138">
        <v>2026</v>
      </c>
      <c r="B138" s="48">
        <f>[2]POP!AB67</f>
        <v>91185</v>
      </c>
      <c r="C138" s="6">
        <f>[2]Turkey!K68</f>
        <v>8</v>
      </c>
      <c r="D138" s="6">
        <f t="shared" si="42"/>
        <v>9.1999999999999993</v>
      </c>
      <c r="E138" s="3"/>
      <c r="F138" s="12">
        <v>190</v>
      </c>
      <c r="G138" s="9">
        <v>114.0355712377303</v>
      </c>
      <c r="H138" s="12">
        <v>70</v>
      </c>
      <c r="I138" s="6">
        <f>'[2]Real Exchage Rate'!Y119</f>
        <v>1.4704324937264641</v>
      </c>
      <c r="J138" s="3"/>
      <c r="K138" s="3">
        <f t="shared" ref="K138:M142" si="44">F138*$I138</f>
        <v>279.3821738080282</v>
      </c>
      <c r="L138" s="3">
        <f t="shared" si="44"/>
        <v>167.6816093886176</v>
      </c>
      <c r="M138" s="3">
        <f t="shared" si="44"/>
        <v>102.93027456085248</v>
      </c>
      <c r="N138" s="6"/>
      <c r="O138" s="6">
        <f t="shared" si="35"/>
        <v>3.5553798278976738</v>
      </c>
      <c r="P138" s="6">
        <f t="shared" si="36"/>
        <v>2.2668337324770036</v>
      </c>
      <c r="Q138" s="6">
        <f t="shared" si="37"/>
        <v>1.5198806611181772</v>
      </c>
      <c r="R138" s="3">
        <f t="shared" si="41"/>
        <v>1.474</v>
      </c>
      <c r="S138" s="3"/>
      <c r="T138" s="3">
        <f t="shared" si="38"/>
        <v>0.90528836902158116</v>
      </c>
      <c r="U138" s="3">
        <f t="shared" si="39"/>
        <v>0.67335007184586071</v>
      </c>
      <c r="V138" s="3">
        <f t="shared" si="40"/>
        <v>0.53889851900127184</v>
      </c>
      <c r="W138" s="3">
        <f t="shared" si="43"/>
        <v>4.1084678275254856</v>
      </c>
      <c r="X138" s="3">
        <f t="shared" ref="X138:Z142" si="45">O138+$R138+T138</f>
        <v>5.9346681969192545</v>
      </c>
      <c r="Y138" s="3">
        <f t="shared" si="45"/>
        <v>4.4141838043228647</v>
      </c>
      <c r="Z138" s="3">
        <f t="shared" si="45"/>
        <v>3.5327791801194488</v>
      </c>
      <c r="AA138" s="6">
        <v>0</v>
      </c>
      <c r="AB138" s="6">
        <v>1</v>
      </c>
      <c r="AC138" s="48">
        <v>15</v>
      </c>
      <c r="AD138" s="48">
        <v>64</v>
      </c>
      <c r="AE138" s="48">
        <v>4096</v>
      </c>
    </row>
    <row r="139" spans="1:31">
      <c r="A139">
        <v>2027</v>
      </c>
      <c r="B139" s="48">
        <f>[2]POP!AB68</f>
        <v>91854</v>
      </c>
      <c r="C139" s="6">
        <f>[2]Turkey!K69</f>
        <v>8</v>
      </c>
      <c r="D139" s="6">
        <f t="shared" si="42"/>
        <v>9.1999999999999993</v>
      </c>
      <c r="E139" s="3"/>
      <c r="F139" s="12">
        <v>200</v>
      </c>
      <c r="G139" s="9">
        <v>114.69828554464917</v>
      </c>
      <c r="H139" s="12">
        <v>70</v>
      </c>
      <c r="I139" s="6">
        <f>'[2]Real Exchage Rate'!Y120</f>
        <v>1.4664361829063901</v>
      </c>
      <c r="J139" s="3"/>
      <c r="K139" s="3">
        <f t="shared" si="44"/>
        <v>293.28723658127802</v>
      </c>
      <c r="L139" s="3">
        <f t="shared" si="44"/>
        <v>168.19771604000252</v>
      </c>
      <c r="M139" s="3">
        <f t="shared" si="44"/>
        <v>102.65053280344731</v>
      </c>
      <c r="N139" s="6"/>
      <c r="O139" s="6">
        <f t="shared" si="35"/>
        <v>3.7157846963616761</v>
      </c>
      <c r="P139" s="6">
        <f t="shared" si="36"/>
        <v>2.2727873927285818</v>
      </c>
      <c r="Q139" s="6">
        <f t="shared" si="37"/>
        <v>1.5166536393828429</v>
      </c>
      <c r="R139" s="3">
        <f t="shared" si="41"/>
        <v>1.474</v>
      </c>
      <c r="S139" s="3"/>
      <c r="T139" s="3">
        <f t="shared" si="38"/>
        <v>0.9341612453451017</v>
      </c>
      <c r="U139" s="3">
        <f t="shared" si="39"/>
        <v>0.67442173069114464</v>
      </c>
      <c r="V139" s="3">
        <f t="shared" si="40"/>
        <v>0.53831765508891172</v>
      </c>
      <c r="W139" s="3">
        <f t="shared" si="43"/>
        <v>4.1084678275254856</v>
      </c>
      <c r="X139" s="3">
        <f t="shared" si="45"/>
        <v>6.1239459417067783</v>
      </c>
      <c r="Y139" s="3">
        <f t="shared" si="45"/>
        <v>4.4212091234197262</v>
      </c>
      <c r="Z139" s="3">
        <f t="shared" si="45"/>
        <v>3.5289712944717544</v>
      </c>
      <c r="AA139" s="6">
        <v>0</v>
      </c>
      <c r="AB139" s="6">
        <v>1</v>
      </c>
      <c r="AC139" s="48">
        <v>15</v>
      </c>
      <c r="AD139" s="48">
        <v>65</v>
      </c>
      <c r="AE139" s="48">
        <v>4225</v>
      </c>
    </row>
    <row r="140" spans="1:31">
      <c r="A140">
        <v>2028</v>
      </c>
      <c r="B140" s="48">
        <f>[2]POP!AB69</f>
        <v>92504</v>
      </c>
      <c r="C140" s="6">
        <f>[2]Turkey!K70</f>
        <v>8</v>
      </c>
      <c r="D140" s="6">
        <f t="shared" si="42"/>
        <v>9.1999999999999993</v>
      </c>
      <c r="E140" s="3"/>
      <c r="F140" s="12">
        <v>210</v>
      </c>
      <c r="G140" s="9">
        <v>115.36099985156804</v>
      </c>
      <c r="H140" s="12">
        <v>70</v>
      </c>
      <c r="I140" s="6">
        <f>'[2]Real Exchage Rate'!Y121</f>
        <v>1.4624507331766678</v>
      </c>
      <c r="J140" s="3"/>
      <c r="K140" s="3">
        <f t="shared" si="44"/>
        <v>307.11465396710025</v>
      </c>
      <c r="L140" s="3">
        <f t="shared" si="44"/>
        <v>168.70977881291915</v>
      </c>
      <c r="M140" s="3">
        <f t="shared" si="44"/>
        <v>102.37155132236676</v>
      </c>
      <c r="N140" s="6"/>
      <c r="O140" s="6">
        <f t="shared" si="35"/>
        <v>3.8752938696130599</v>
      </c>
      <c r="P140" s="6">
        <f t="shared" si="36"/>
        <v>2.2786944039427288</v>
      </c>
      <c r="Q140" s="6">
        <f t="shared" si="37"/>
        <v>1.5134353879800009</v>
      </c>
      <c r="R140" s="3">
        <f t="shared" si="41"/>
        <v>1.474</v>
      </c>
      <c r="S140" s="3"/>
      <c r="T140" s="3">
        <f t="shared" si="38"/>
        <v>0.9628728965303508</v>
      </c>
      <c r="U140" s="3">
        <f t="shared" si="39"/>
        <v>0.6754849927096912</v>
      </c>
      <c r="V140" s="3">
        <f t="shared" si="40"/>
        <v>0.53773836983640011</v>
      </c>
      <c r="W140" s="3">
        <f t="shared" si="43"/>
        <v>4.1084678275254856</v>
      </c>
      <c r="X140" s="3">
        <f t="shared" si="45"/>
        <v>6.3121667661434113</v>
      </c>
      <c r="Y140" s="3">
        <f t="shared" si="45"/>
        <v>4.4281793966524203</v>
      </c>
      <c r="Z140" s="3">
        <f t="shared" si="45"/>
        <v>3.5251737578164009</v>
      </c>
      <c r="AA140" s="6">
        <v>0</v>
      </c>
      <c r="AB140" s="6">
        <v>1</v>
      </c>
      <c r="AC140" s="48">
        <v>15</v>
      </c>
      <c r="AD140" s="48">
        <v>66</v>
      </c>
      <c r="AE140" s="48">
        <v>4356</v>
      </c>
    </row>
    <row r="141" spans="1:31">
      <c r="A141">
        <v>2029</v>
      </c>
      <c r="B141" s="48">
        <f>[2]POP!AB70</f>
        <v>93133</v>
      </c>
      <c r="C141" s="6">
        <f>[2]Turkey!K71</f>
        <v>8</v>
      </c>
      <c r="D141" s="6">
        <f t="shared" si="42"/>
        <v>9.1999999999999993</v>
      </c>
      <c r="E141" s="3"/>
      <c r="F141" s="12">
        <v>220</v>
      </c>
      <c r="G141" s="9">
        <v>116.02371415848691</v>
      </c>
      <c r="H141" s="12">
        <v>90</v>
      </c>
      <c r="I141" s="6">
        <f>'[2]Real Exchage Rate'!Y122</f>
        <v>1.4584761150192525</v>
      </c>
      <c r="J141" s="3"/>
      <c r="K141" s="3">
        <f t="shared" si="44"/>
        <v>320.86474530423556</v>
      </c>
      <c r="L141" s="3">
        <f t="shared" si="44"/>
        <v>169.21781587597422</v>
      </c>
      <c r="M141" s="3">
        <f t="shared" si="44"/>
        <v>131.26285035173271</v>
      </c>
      <c r="N141" s="6"/>
      <c r="O141" s="6">
        <f t="shared" si="35"/>
        <v>4.0339110314531519</v>
      </c>
      <c r="P141" s="6">
        <f t="shared" si="36"/>
        <v>2.2845549757073496</v>
      </c>
      <c r="Q141" s="6">
        <f t="shared" si="37"/>
        <v>1.8467172361910675</v>
      </c>
      <c r="R141" s="3">
        <f t="shared" si="41"/>
        <v>1.474</v>
      </c>
      <c r="S141" s="3"/>
      <c r="T141" s="3">
        <f t="shared" si="38"/>
        <v>0.99142398566156731</v>
      </c>
      <c r="U141" s="3">
        <f t="shared" si="39"/>
        <v>0.67653989562732297</v>
      </c>
      <c r="V141" s="3">
        <f t="shared" si="40"/>
        <v>0.59772910251439215</v>
      </c>
      <c r="W141" s="3">
        <f t="shared" si="43"/>
        <v>4.1084678275254856</v>
      </c>
      <c r="X141" s="3">
        <f t="shared" si="45"/>
        <v>6.4993350171147197</v>
      </c>
      <c r="Y141" s="3">
        <f t="shared" si="45"/>
        <v>4.4350948713346732</v>
      </c>
      <c r="Z141" s="3">
        <f t="shared" si="45"/>
        <v>3.91844633870546</v>
      </c>
      <c r="AA141" s="6">
        <v>0</v>
      </c>
      <c r="AB141" s="6">
        <v>1</v>
      </c>
      <c r="AC141" s="48">
        <v>15</v>
      </c>
      <c r="AD141" s="48">
        <v>67</v>
      </c>
      <c r="AE141" s="48">
        <v>4489</v>
      </c>
    </row>
    <row r="142" spans="1:31">
      <c r="A142">
        <v>2030</v>
      </c>
      <c r="B142" s="48">
        <f>[2]POP!AB71</f>
        <v>93743</v>
      </c>
      <c r="C142" s="6">
        <f>[2]Turkey!K72</f>
        <v>8</v>
      </c>
      <c r="D142" s="6">
        <f t="shared" si="42"/>
        <v>9.1999999999999993</v>
      </c>
      <c r="E142" s="3"/>
      <c r="F142" s="12">
        <v>230</v>
      </c>
      <c r="G142" s="9">
        <v>116.68642846540578</v>
      </c>
      <c r="H142" s="12">
        <v>90</v>
      </c>
      <c r="I142" s="6">
        <f>'[2]Real Exchage Rate'!Y123</f>
        <v>1.454512298996322</v>
      </c>
      <c r="J142" s="3"/>
      <c r="K142" s="3">
        <f t="shared" si="44"/>
        <v>334.53782876915403</v>
      </c>
      <c r="L142" s="3">
        <f t="shared" si="44"/>
        <v>169.72184532888724</v>
      </c>
      <c r="M142" s="3">
        <f t="shared" si="44"/>
        <v>130.90610690966898</v>
      </c>
      <c r="N142" s="6"/>
      <c r="O142" s="6">
        <f t="shared" si="35"/>
        <v>4.1916398522756548</v>
      </c>
      <c r="P142" s="6">
        <f t="shared" si="36"/>
        <v>2.2903693168156853</v>
      </c>
      <c r="Q142" s="6">
        <f t="shared" si="37"/>
        <v>1.8426019448160647</v>
      </c>
      <c r="R142" s="3">
        <f t="shared" si="41"/>
        <v>1.474</v>
      </c>
      <c r="S142" s="3"/>
      <c r="T142" s="3">
        <f t="shared" si="38"/>
        <v>1.0198151734096179</v>
      </c>
      <c r="U142" s="3">
        <f t="shared" si="39"/>
        <v>0.67758647702682329</v>
      </c>
      <c r="V142" s="3">
        <f t="shared" si="40"/>
        <v>0.59698835006689166</v>
      </c>
      <c r="W142" s="3">
        <f t="shared" si="43"/>
        <v>4.1084678275254856</v>
      </c>
      <c r="X142" s="3">
        <f t="shared" si="45"/>
        <v>6.6854550256852727</v>
      </c>
      <c r="Y142" s="3">
        <f t="shared" si="45"/>
        <v>4.4419557938425083</v>
      </c>
      <c r="Z142" s="3">
        <f t="shared" si="45"/>
        <v>3.9135902948829564</v>
      </c>
      <c r="AA142" s="6">
        <v>0</v>
      </c>
      <c r="AB142" s="6">
        <v>1</v>
      </c>
      <c r="AC142" s="48">
        <v>15</v>
      </c>
      <c r="AD142" s="48">
        <v>68</v>
      </c>
      <c r="AE142" s="48">
        <v>4624</v>
      </c>
    </row>
    <row r="143" spans="1:31">
      <c r="C143" s="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 s="3"/>
      <c r="AE143" s="3"/>
    </row>
    <row r="144" spans="1:31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 s="3"/>
      <c r="AE144" s="3"/>
    </row>
    <row r="145" spans="1:31">
      <c r="B145" t="s">
        <v>295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 s="3"/>
      <c r="AE145" s="3"/>
    </row>
    <row r="146" spans="1:31">
      <c r="B146" s="13"/>
      <c r="C146" s="13" t="s">
        <v>88</v>
      </c>
      <c r="D146" s="13">
        <f t="shared" ref="D146:D151" si="46">G146</f>
        <v>0.13132776667734827</v>
      </c>
      <c r="E146"/>
      <c r="F146" s="13" t="s">
        <v>88</v>
      </c>
      <c r="G146" s="13">
        <v>0.13132776667734827</v>
      </c>
      <c r="H146" s="13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 s="3"/>
      <c r="AE146" s="3"/>
    </row>
    <row r="147" spans="1:31">
      <c r="B147" s="13"/>
      <c r="C147" s="13" t="s">
        <v>315</v>
      </c>
      <c r="D147" s="13">
        <f t="shared" si="46"/>
        <v>3.7702576330069466E-2</v>
      </c>
      <c r="E147"/>
      <c r="F147" s="13" t="s">
        <v>315</v>
      </c>
      <c r="G147" s="13">
        <v>3.7702576330069466E-2</v>
      </c>
      <c r="H147" s="13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 s="3"/>
      <c r="AE147" s="3"/>
    </row>
    <row r="148" spans="1:31">
      <c r="B148" s="13"/>
      <c r="C148" s="13" t="s">
        <v>309</v>
      </c>
      <c r="D148" s="13">
        <f t="shared" si="46"/>
        <v>-2.3462311596797927E-2</v>
      </c>
      <c r="E148"/>
      <c r="F148" s="13" t="s">
        <v>114</v>
      </c>
      <c r="G148" s="13">
        <v>-2.3462311596797927E-2</v>
      </c>
      <c r="H148" s="13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 s="3"/>
      <c r="AE148" s="3"/>
    </row>
    <row r="149" spans="1:31">
      <c r="B149" s="13"/>
      <c r="C149" s="13" t="s">
        <v>297</v>
      </c>
      <c r="D149" s="13">
        <f t="shared" si="46"/>
        <v>7.6740904246536264E-4</v>
      </c>
      <c r="E149"/>
      <c r="F149" s="13" t="s">
        <v>297</v>
      </c>
      <c r="G149" s="13">
        <v>7.6740904246536264E-4</v>
      </c>
      <c r="H149" s="13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 s="3"/>
      <c r="AE149" s="3"/>
    </row>
    <row r="150" spans="1:31">
      <c r="B150" s="13"/>
      <c r="C150" s="13" t="s">
        <v>131</v>
      </c>
      <c r="D150" s="13">
        <f t="shared" si="46"/>
        <v>-3.484260605941164E-2</v>
      </c>
      <c r="E150"/>
      <c r="F150" s="13" t="s">
        <v>131</v>
      </c>
      <c r="G150" s="13">
        <v>-3.484260605941164E-2</v>
      </c>
      <c r="H150" s="13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 s="3"/>
      <c r="AE150" s="3"/>
    </row>
    <row r="151" spans="1:31" ht="15.75" thickBot="1">
      <c r="B151" s="13"/>
      <c r="C151" s="13" t="s">
        <v>296</v>
      </c>
      <c r="D151" s="13">
        <f t="shared" si="46"/>
        <v>-2.3531735123983144E-3</v>
      </c>
      <c r="E151"/>
      <c r="F151" s="14" t="s">
        <v>296</v>
      </c>
      <c r="G151" s="14">
        <v>-2.3531735123983144E-3</v>
      </c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 s="3"/>
      <c r="AE151" s="3"/>
    </row>
    <row r="152" spans="1:31" ht="15.75" thickBot="1">
      <c r="B152" s="13"/>
      <c r="C152" s="13" t="s">
        <v>293</v>
      </c>
      <c r="D152" s="14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 s="3"/>
      <c r="AE152" s="3"/>
    </row>
    <row r="153" spans="1:31" ht="15.75" thickBot="1">
      <c r="B153" s="14"/>
      <c r="C153" s="3"/>
      <c r="D153" s="1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 s="3"/>
      <c r="AE153" s="3"/>
    </row>
    <row r="154" spans="1:31" ht="15.75" thickBot="1">
      <c r="B154" s="4"/>
      <c r="C154" s="3"/>
      <c r="D154" s="1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 s="3"/>
      <c r="AE154" s="3"/>
    </row>
    <row r="155" spans="1:31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 s="3"/>
      <c r="AE155" s="3"/>
    </row>
    <row r="156" spans="1:31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 s="3"/>
      <c r="AE156" s="3"/>
    </row>
    <row r="157" spans="1:31">
      <c r="A157" t="s">
        <v>290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 s="3"/>
      <c r="AE157" s="3"/>
    </row>
    <row r="158" spans="1:31">
      <c r="B158" s="75" t="s">
        <v>291</v>
      </c>
      <c r="C158" s="71" t="s">
        <v>292</v>
      </c>
      <c r="D158" s="26" t="s">
        <v>300</v>
      </c>
      <c r="E158" s="26"/>
      <c r="F158" s="26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 s="3"/>
      <c r="AE158" s="3"/>
    </row>
    <row r="159" spans="1:31">
      <c r="A159" s="71"/>
      <c r="B159" s="71" t="s">
        <v>299</v>
      </c>
      <c r="C159" s="71" t="s">
        <v>319</v>
      </c>
      <c r="D159" s="71" t="s">
        <v>301</v>
      </c>
      <c r="E159" s="71" t="s">
        <v>302</v>
      </c>
      <c r="F159" s="71" t="s">
        <v>303</v>
      </c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2"/>
      <c r="AE159" s="72"/>
    </row>
    <row r="160" spans="1:31">
      <c r="A160">
        <v>2010</v>
      </c>
      <c r="B160" s="4">
        <f>B122*(D$146+D$147*AC122+D$148*AD122+D$149*AE122+D$150*W122+D$151*C122+D$152*AA122+D$153*(MAX((C122-C122),0)))/1000</f>
        <v>92.024533855576294</v>
      </c>
      <c r="C160" s="9">
        <f>B122*(D$146+D$147*AC122+D$148*AD122+D$149*AE122+D$150*W122+D$151*D122+D$152*AA122+D$153*(MAX((C122-C122),0)))/1000</f>
        <v>92.024533855576294</v>
      </c>
      <c r="D160" s="9">
        <f>B122*(D$146+D$147*AC122+D$148*AD122+D$149*AE122+D$150*X122+D$151*C122+D$152*AA122+D$153*(MAX((C122-C122),0)))/1000</f>
        <v>92.024533855576294</v>
      </c>
      <c r="E160" s="9">
        <f>B122*(D$146+D$147*AC122+D$148*AD122+D$149*AE122+D$150*Y122+D$151*C122+D$152*AA122+D$153*(MAX((C122-C122),0)))/1000</f>
        <v>92.024533855576294</v>
      </c>
      <c r="F160" s="9">
        <f>B122*(D$146+D$147*AC122+D$148*AD122+D$149*AE122+D$150*Z122+D$151*C122+D$152*AA122+D$153*(MAX((C122-C122),0)))/1000</f>
        <v>92.024533855576294</v>
      </c>
      <c r="G160" s="9"/>
      <c r="H160"/>
      <c r="I160"/>
      <c r="J160"/>
      <c r="K160" s="3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 s="3"/>
      <c r="AE160" s="3"/>
    </row>
    <row r="161" spans="1:31">
      <c r="A161">
        <v>2011</v>
      </c>
      <c r="B161" s="9">
        <f>B123*(D$146+D$147*AC123+D$148*AD123+D$149*AE123+D$150*W123+D$151*C123+D$152*AA123+D$153*(MAX((C123-C122),0)))/1000</f>
        <v>96.509961075607947</v>
      </c>
      <c r="C161" s="9">
        <f>B123*(D$146+D$147*AC123+D$148*AD123+D$149*AE123+D$150*W123+D$151*D123+D$152*AA123+D$153*(MAX((C123-C122),0)))/1000</f>
        <v>96.509961075607947</v>
      </c>
      <c r="D161" s="9">
        <f t="shared" ref="D161:D180" si="47">B123*(D$146+D$147*AC123+D$148*AD123+D$149*AE123+D$150*X123+D$151*C123+D$152*AA123+D$153*(MAX((C123-C123),0)))/1000</f>
        <v>95.796425337411847</v>
      </c>
      <c r="E161" s="9">
        <f>B123*(D$146+D$147*AC123+D$148*AD123+D$149*AE123+D$150*Y123+D$151*C123+D$152*AA123+D$153*(MAX((C123-C123),0)))/1000</f>
        <v>95.796425337411847</v>
      </c>
      <c r="F161" s="9">
        <f>B123*(D$146+D$147*AC123+D$148*AD123+D$149*AE123+D$150*Z123+D$151*C123+D$152*AA123+D$153*(MAX((C123-C123),0)))/1000</f>
        <v>95.796425337411847</v>
      </c>
      <c r="G161" s="9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 s="3"/>
      <c r="AE161" s="3"/>
    </row>
    <row r="162" spans="1:31">
      <c r="A162">
        <v>2012</v>
      </c>
      <c r="B162" s="9">
        <f t="shared" ref="B162:B180" si="48">B124*(D$146+D$147*AC124+D$148*AD124+D$149*AE124+D$150*W124+D$151*C124+D$152*AA124+D$153*(MAX((C124-C123),0)))/1000</f>
        <v>101.91953937357745</v>
      </c>
      <c r="C162" s="9">
        <f t="shared" ref="C162:C180" si="49">B124*(D$146+D$147*AC124+D$148*AD124+D$149*AE124+D$150*W124+D$151*D124+D$152*AA124+D$153*(MAX((C124-C123),0)))/1000</f>
        <v>101.87731514582839</v>
      </c>
      <c r="D162" s="9">
        <f t="shared" si="47"/>
        <v>101.51003770515153</v>
      </c>
      <c r="E162" s="9">
        <f t="shared" ref="E162:E180" si="50">B124*(D$146+D$147*AC124+D$148*AD124+D$149*AE124+D$150*Y124+D$151*C124+D$152*AA124+D$153*(MAX((C124-C124),0)))/1000</f>
        <v>101.22922986012412</v>
      </c>
      <c r="F162" s="9">
        <f t="shared" ref="F162:F180" si="51">B124*(D$146+D$147*AC124+D$148*AD124+D$149*AE124+D$150*Z124+D$151*C124+D$152*AA124+D$153*(MAX((C124-C124),0)))/1000</f>
        <v>102.69050500040673</v>
      </c>
      <c r="G162" s="9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 s="3"/>
      <c r="AE162" s="3"/>
    </row>
    <row r="163" spans="1:31">
      <c r="A163">
        <v>2013</v>
      </c>
      <c r="B163" s="9">
        <f t="shared" si="48"/>
        <v>107.53116576617008</v>
      </c>
      <c r="C163" s="9">
        <f t="shared" si="49"/>
        <v>107.4457166236358</v>
      </c>
      <c r="D163" s="9">
        <f t="shared" si="47"/>
        <v>107.16805202329877</v>
      </c>
      <c r="E163" s="9">
        <f t="shared" si="50"/>
        <v>106.84711493496533</v>
      </c>
      <c r="F163" s="9">
        <f t="shared" si="51"/>
        <v>110.12857046155438</v>
      </c>
      <c r="G163" s="9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 s="3"/>
      <c r="AE163" s="3"/>
    </row>
    <row r="164" spans="1:31">
      <c r="A164">
        <v>2014</v>
      </c>
      <c r="B164" s="9">
        <f t="shared" si="48"/>
        <v>113.34346700804868</v>
      </c>
      <c r="C164" s="9">
        <f t="shared" si="49"/>
        <v>113.21382403153548</v>
      </c>
      <c r="D164" s="9">
        <f t="shared" si="47"/>
        <v>113.01696738646451</v>
      </c>
      <c r="E164" s="9">
        <f t="shared" si="50"/>
        <v>112.655142449086</v>
      </c>
      <c r="F164" s="9">
        <f t="shared" si="51"/>
        <v>115.9910341616192</v>
      </c>
      <c r="G164" s="9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 s="3"/>
      <c r="AE164" s="3"/>
    </row>
    <row r="165" spans="1:31">
      <c r="A165">
        <v>2015</v>
      </c>
      <c r="B165" s="9">
        <f t="shared" si="48"/>
        <v>119.35588926753874</v>
      </c>
      <c r="C165" s="9">
        <f t="shared" si="49"/>
        <v>119.18111742355146</v>
      </c>
      <c r="D165" s="9">
        <f t="shared" si="47"/>
        <v>117.87478702118756</v>
      </c>
      <c r="E165" s="9">
        <f t="shared" si="50"/>
        <v>118.66617841820924</v>
      </c>
      <c r="F165" s="9">
        <f t="shared" si="51"/>
        <v>122.05437068289206</v>
      </c>
      <c r="G165" s="9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 s="3"/>
      <c r="AE165" s="3"/>
    </row>
    <row r="166" spans="1:31">
      <c r="A166">
        <v>2016</v>
      </c>
      <c r="B166" s="9">
        <f t="shared" si="48"/>
        <v>125.58518918035404</v>
      </c>
      <c r="C166" s="9">
        <f t="shared" si="49"/>
        <v>125.34966380857568</v>
      </c>
      <c r="D166" s="9">
        <f t="shared" si="47"/>
        <v>124.12510521282475</v>
      </c>
      <c r="E166" s="9">
        <f t="shared" si="50"/>
        <v>124.88111044055971</v>
      </c>
      <c r="F166" s="9">
        <f t="shared" si="51"/>
        <v>128.32794554521539</v>
      </c>
      <c r="G166" s="9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 s="3"/>
      <c r="AE166" s="3"/>
    </row>
    <row r="167" spans="1:31">
      <c r="A167">
        <v>2017</v>
      </c>
      <c r="B167" s="9">
        <f t="shared" si="48"/>
        <v>131.96111139191484</v>
      </c>
      <c r="C167" s="9">
        <f t="shared" si="49"/>
        <v>131.7231406022224</v>
      </c>
      <c r="D167" s="9">
        <f t="shared" si="47"/>
        <v>130.5147442648873</v>
      </c>
      <c r="E167" s="9">
        <f t="shared" si="50"/>
        <v>131.23552553777046</v>
      </c>
      <c r="F167" s="9">
        <f t="shared" si="51"/>
        <v>134.74437723669766</v>
      </c>
      <c r="G167" s="9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 s="3"/>
      <c r="AE167" s="3"/>
    </row>
    <row r="168" spans="1:31">
      <c r="A168">
        <v>2018</v>
      </c>
      <c r="B168" s="9">
        <f t="shared" si="48"/>
        <v>138.5426506361373</v>
      </c>
      <c r="C168" s="9">
        <f t="shared" si="49"/>
        <v>138.30228525707864</v>
      </c>
      <c r="D168" s="9">
        <f t="shared" si="47"/>
        <v>137.10951577033626</v>
      </c>
      <c r="E168" s="9">
        <f t="shared" si="50"/>
        <v>137.7944948764852</v>
      </c>
      <c r="F168" s="9">
        <f t="shared" si="51"/>
        <v>140.14950511237484</v>
      </c>
      <c r="G168" s="9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 s="3"/>
      <c r="AE168" s="3"/>
    </row>
    <row r="169" spans="1:31">
      <c r="A169">
        <v>2019</v>
      </c>
      <c r="B169" s="9">
        <f t="shared" si="48"/>
        <v>145.3269969022241</v>
      </c>
      <c r="C169" s="9">
        <f t="shared" si="49"/>
        <v>145.08429340996352</v>
      </c>
      <c r="D169" s="9">
        <f t="shared" si="47"/>
        <v>143.91561911627036</v>
      </c>
      <c r="E169" s="9">
        <f t="shared" si="50"/>
        <v>144.56342209611324</v>
      </c>
      <c r="F169" s="9">
        <f t="shared" si="51"/>
        <v>146.97030541302601</v>
      </c>
      <c r="G169" s="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 s="3"/>
      <c r="AE169" s="3"/>
    </row>
    <row r="170" spans="1:31">
      <c r="A170">
        <v>2020</v>
      </c>
      <c r="B170" s="9">
        <f t="shared" si="48"/>
        <v>152.3141673836862</v>
      </c>
      <c r="C170" s="9">
        <f t="shared" si="49"/>
        <v>152.06918225438801</v>
      </c>
      <c r="D170" s="9">
        <f t="shared" si="47"/>
        <v>149.0646194676182</v>
      </c>
      <c r="E170" s="9">
        <f t="shared" si="50"/>
        <v>151.52099191703317</v>
      </c>
      <c r="F170" s="9">
        <f t="shared" si="51"/>
        <v>153.98465652510706</v>
      </c>
      <c r="G170" s="9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 s="3"/>
      <c r="AE170" s="3"/>
    </row>
    <row r="171" spans="1:31">
      <c r="A171">
        <v>2021</v>
      </c>
      <c r="B171" s="9">
        <f t="shared" si="48"/>
        <v>159.50399509586424</v>
      </c>
      <c r="C171" s="9">
        <f t="shared" si="49"/>
        <v>159.25678480569275</v>
      </c>
      <c r="D171" s="9">
        <f t="shared" si="47"/>
        <v>154.3935194993571</v>
      </c>
      <c r="E171" s="9">
        <f t="shared" si="50"/>
        <v>158.68116260004678</v>
      </c>
      <c r="F171" s="9">
        <f t="shared" si="51"/>
        <v>161.20146342173985</v>
      </c>
      <c r="G171" s="9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 s="3"/>
      <c r="AE171" s="3"/>
    </row>
    <row r="172" spans="1:31">
      <c r="A172">
        <v>2022</v>
      </c>
      <c r="B172" s="9">
        <f t="shared" si="48"/>
        <v>166.89801870108323</v>
      </c>
      <c r="C172" s="9">
        <f t="shared" si="49"/>
        <v>166.64863690239446</v>
      </c>
      <c r="D172" s="9">
        <f t="shared" si="47"/>
        <v>161.77319516341794</v>
      </c>
      <c r="E172" s="9">
        <f t="shared" si="50"/>
        <v>166.04548243957871</v>
      </c>
      <c r="F172" s="9">
        <f t="shared" si="51"/>
        <v>168.62227541714671</v>
      </c>
      <c r="G172" s="9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 s="3"/>
      <c r="AE172" s="3"/>
    </row>
    <row r="173" spans="1:31">
      <c r="A173">
        <v>2023</v>
      </c>
      <c r="B173" s="9">
        <f t="shared" si="48"/>
        <v>174.49395182155408</v>
      </c>
      <c r="C173" s="9">
        <f t="shared" si="49"/>
        <v>174.24245499051239</v>
      </c>
      <c r="D173" s="9">
        <f t="shared" si="47"/>
        <v>169.35638221090809</v>
      </c>
      <c r="E173" s="9">
        <f t="shared" si="50"/>
        <v>173.61169323079829</v>
      </c>
      <c r="F173" s="9">
        <f t="shared" si="51"/>
        <v>176.24477805222165</v>
      </c>
      <c r="G173" s="9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 s="3"/>
      <c r="AE173" s="3"/>
    </row>
    <row r="174" spans="1:31">
      <c r="A174">
        <v>2024</v>
      </c>
      <c r="B174" s="9">
        <f t="shared" si="48"/>
        <v>182.28904939422327</v>
      </c>
      <c r="C174" s="9">
        <f t="shared" si="49"/>
        <v>182.03549683080112</v>
      </c>
      <c r="D174" s="9">
        <f t="shared" si="47"/>
        <v>177.14037034267545</v>
      </c>
      <c r="E174" s="9">
        <f t="shared" si="50"/>
        <v>181.37707883855663</v>
      </c>
      <c r="F174" s="9">
        <f t="shared" si="51"/>
        <v>184.06619769199014</v>
      </c>
      <c r="G174" s="9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 s="3"/>
      <c r="AE174" s="3"/>
    </row>
    <row r="175" spans="1:31">
      <c r="A175">
        <v>2025</v>
      </c>
      <c r="B175" s="9">
        <f t="shared" si="48"/>
        <v>190.28219493474887</v>
      </c>
      <c r="C175" s="9">
        <f t="shared" si="49"/>
        <v>190.02664593891885</v>
      </c>
      <c r="D175" s="9">
        <f t="shared" si="47"/>
        <v>185.12401958789172</v>
      </c>
      <c r="E175" s="9">
        <f t="shared" si="50"/>
        <v>189.3405420384716</v>
      </c>
      <c r="F175" s="9">
        <f t="shared" si="51"/>
        <v>192.0854087184768</v>
      </c>
      <c r="G175" s="9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 s="3"/>
      <c r="AE175" s="3"/>
    </row>
    <row r="176" spans="1:31">
      <c r="A176">
        <v>2026</v>
      </c>
      <c r="B176" s="9">
        <f t="shared" si="48"/>
        <v>198.4742551825035</v>
      </c>
      <c r="C176" s="9">
        <f t="shared" si="49"/>
        <v>198.21676623042984</v>
      </c>
      <c r="D176" s="9">
        <f t="shared" si="47"/>
        <v>192.67219192506622</v>
      </c>
      <c r="E176" s="9">
        <f t="shared" si="50"/>
        <v>197.50295791090318</v>
      </c>
      <c r="F176" s="9">
        <f t="shared" si="51"/>
        <v>200.30328884431745</v>
      </c>
      <c r="G176" s="9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 s="3"/>
      <c r="AE176" s="3"/>
    </row>
    <row r="177" spans="1:31">
      <c r="A177">
        <v>2027</v>
      </c>
      <c r="B177" s="9">
        <f t="shared" si="48"/>
        <v>206.86845776784858</v>
      </c>
      <c r="C177" s="9">
        <f t="shared" si="49"/>
        <v>206.60907968807919</v>
      </c>
      <c r="D177" s="9">
        <f t="shared" si="47"/>
        <v>200.41805563055365</v>
      </c>
      <c r="E177" s="9">
        <f t="shared" si="50"/>
        <v>205.86755028626271</v>
      </c>
      <c r="F177" s="9">
        <f t="shared" si="51"/>
        <v>208.72309744320086</v>
      </c>
      <c r="G177" s="9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 s="3"/>
      <c r="AE177" s="3"/>
    </row>
    <row r="178" spans="1:31">
      <c r="A178">
        <v>2028</v>
      </c>
      <c r="B178" s="9">
        <f t="shared" si="48"/>
        <v>215.46147505159598</v>
      </c>
      <c r="C178" s="9">
        <f t="shared" si="49"/>
        <v>215.20026149648689</v>
      </c>
      <c r="D178" s="9">
        <f t="shared" si="47"/>
        <v>208.35877612689774</v>
      </c>
      <c r="E178" s="9">
        <f t="shared" si="50"/>
        <v>214.43101894960429</v>
      </c>
      <c r="F178" s="9">
        <f t="shared" si="51"/>
        <v>217.34147875314693</v>
      </c>
      <c r="G178" s="9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 s="3"/>
      <c r="AE178" s="3"/>
    </row>
    <row r="179" spans="1:31">
      <c r="A179">
        <v>2029</v>
      </c>
      <c r="B179" s="9">
        <f t="shared" si="48"/>
        <v>224.24709140622795</v>
      </c>
      <c r="C179" s="9">
        <f t="shared" si="49"/>
        <v>223.98410167575173</v>
      </c>
      <c r="D179" s="9">
        <f t="shared" si="47"/>
        <v>216.48873591109313</v>
      </c>
      <c r="E179" s="9">
        <f t="shared" si="50"/>
        <v>223.18718781508284</v>
      </c>
      <c r="F179" s="9">
        <f t="shared" si="51"/>
        <v>224.86371045909715</v>
      </c>
      <c r="G179" s="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 s="3"/>
      <c r="AE179" s="3"/>
    </row>
    <row r="180" spans="1:31">
      <c r="A180">
        <v>2030</v>
      </c>
      <c r="B180" s="9">
        <f t="shared" si="48"/>
        <v>233.22822694577704</v>
      </c>
      <c r="C180" s="9">
        <f t="shared" si="49"/>
        <v>232.96351469228975</v>
      </c>
      <c r="D180" s="9">
        <f t="shared" si="47"/>
        <v>224.81114142789775</v>
      </c>
      <c r="E180" s="9">
        <f t="shared" si="50"/>
        <v>232.13897173578667</v>
      </c>
      <c r="F180" s="9">
        <f t="shared" si="51"/>
        <v>233.86474576858561</v>
      </c>
      <c r="G180" s="9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 s="3"/>
      <c r="AE180" s="3"/>
    </row>
    <row r="181" spans="1:31">
      <c r="D181"/>
      <c r="E181"/>
      <c r="F181"/>
      <c r="G181"/>
      <c r="H181"/>
      <c r="I181"/>
      <c r="J181" s="12"/>
      <c r="K181"/>
      <c r="L181"/>
      <c r="M181"/>
      <c r="N181"/>
      <c r="O181"/>
      <c r="P181"/>
      <c r="Q181" s="23"/>
      <c r="R181" s="12"/>
      <c r="S181" s="12"/>
      <c r="T181" s="23"/>
      <c r="U181"/>
      <c r="V181"/>
      <c r="W181"/>
      <c r="X181"/>
      <c r="Y181" s="23"/>
      <c r="Z181"/>
      <c r="AA181"/>
      <c r="AB181"/>
      <c r="AC181"/>
      <c r="AD181"/>
      <c r="AE181"/>
    </row>
    <row r="182" spans="1:31">
      <c r="H182" s="2"/>
      <c r="I182" s="2"/>
      <c r="Y182" s="2"/>
      <c r="AA182" s="2"/>
      <c r="AB182" s="2"/>
    </row>
    <row r="183" spans="1:31">
      <c r="A183" t="s">
        <v>290</v>
      </c>
      <c r="D183"/>
      <c r="E183"/>
      <c r="F183"/>
      <c r="G183"/>
    </row>
    <row r="184" spans="1:31">
      <c r="B184" s="75" t="s">
        <v>291</v>
      </c>
      <c r="C184" s="74" t="s">
        <v>321</v>
      </c>
      <c r="D184" s="26" t="s">
        <v>300</v>
      </c>
      <c r="E184" s="26"/>
      <c r="F184" s="26"/>
      <c r="G184" s="23"/>
    </row>
    <row r="185" spans="1:31">
      <c r="A185" s="71"/>
      <c r="B185" s="71"/>
      <c r="C185" s="71" t="s">
        <v>264</v>
      </c>
      <c r="D185" s="71" t="s">
        <v>301</v>
      </c>
      <c r="E185" s="71" t="s">
        <v>302</v>
      </c>
      <c r="F185" s="71" t="s">
        <v>303</v>
      </c>
      <c r="G185" s="71"/>
    </row>
    <row r="186" spans="1:31">
      <c r="A186">
        <v>2010</v>
      </c>
      <c r="B186" s="4">
        <v>92.148318715920979</v>
      </c>
      <c r="C186" s="9">
        <v>92.148318715920979</v>
      </c>
      <c r="D186" s="9">
        <v>92.148318715920979</v>
      </c>
      <c r="E186" s="9">
        <v>92.148318715920979</v>
      </c>
      <c r="F186" s="9">
        <v>92.148318715920979</v>
      </c>
      <c r="G186" s="9"/>
    </row>
    <row r="187" spans="1:31">
      <c r="A187">
        <v>2011</v>
      </c>
      <c r="B187" s="9">
        <v>95.796422606384297</v>
      </c>
      <c r="C187" s="9">
        <v>95.796422606384297</v>
      </c>
      <c r="D187" s="9">
        <v>95.796425337411847</v>
      </c>
      <c r="E187" s="9">
        <v>95.796425337411847</v>
      </c>
      <c r="F187" s="9">
        <v>95.796425337411847</v>
      </c>
      <c r="G187" s="9"/>
    </row>
    <row r="188" spans="1:31">
      <c r="A188">
        <v>2012</v>
      </c>
      <c r="B188" s="9">
        <v>101.19727933521891</v>
      </c>
      <c r="C188" s="9">
        <v>101.15505510746983</v>
      </c>
      <c r="D188" s="9">
        <v>101.51003770515153</v>
      </c>
      <c r="E188" s="9">
        <v>101.22922986012412</v>
      </c>
      <c r="F188" s="9">
        <v>102.69050500040673</v>
      </c>
      <c r="G188" s="9"/>
    </row>
    <row r="189" spans="1:31">
      <c r="A189">
        <v>2013</v>
      </c>
      <c r="B189" s="9">
        <v>106.80034717866043</v>
      </c>
      <c r="C189" s="9">
        <v>106.71489803612616</v>
      </c>
      <c r="D189" s="9">
        <v>107.16805202329877</v>
      </c>
      <c r="E189" s="9">
        <v>106.84711493496533</v>
      </c>
      <c r="F189" s="9">
        <v>110.12857046155438</v>
      </c>
      <c r="G189" s="9"/>
    </row>
    <row r="190" spans="1:31">
      <c r="A190">
        <v>2014</v>
      </c>
      <c r="B190" s="9">
        <v>112.60427100470334</v>
      </c>
      <c r="C190" s="9">
        <v>112.47462802819012</v>
      </c>
      <c r="D190" s="9">
        <v>113.01696738646451</v>
      </c>
      <c r="E190" s="9">
        <v>112.655142449086</v>
      </c>
      <c r="F190" s="9">
        <v>115.9910341616192</v>
      </c>
      <c r="G190" s="9"/>
    </row>
    <row r="191" spans="1:31">
      <c r="A191">
        <v>2015</v>
      </c>
      <c r="B191" s="9">
        <v>118.60850603833883</v>
      </c>
      <c r="C191" s="9">
        <v>118.43373419435154</v>
      </c>
      <c r="D191" s="9">
        <v>117.87478702118756</v>
      </c>
      <c r="E191" s="9">
        <v>118.66617841820924</v>
      </c>
      <c r="F191" s="9">
        <v>122.05437068289206</v>
      </c>
      <c r="G191" s="9"/>
    </row>
    <row r="192" spans="1:31">
      <c r="A192">
        <v>2016</v>
      </c>
      <c r="B192" s="9">
        <v>124.82979985861492</v>
      </c>
      <c r="C192" s="9">
        <v>124.59427448683657</v>
      </c>
      <c r="D192" s="9">
        <v>124.12510521282475</v>
      </c>
      <c r="E192" s="9">
        <v>124.88111044055971</v>
      </c>
      <c r="F192" s="9">
        <v>128.32794554521539</v>
      </c>
      <c r="G192" s="9"/>
    </row>
    <row r="193" spans="1:7">
      <c r="A193">
        <v>2017</v>
      </c>
      <c r="B193" s="9">
        <v>131.19787899762034</v>
      </c>
      <c r="C193" s="9">
        <v>130.95990820792792</v>
      </c>
      <c r="D193" s="9">
        <v>130.5147442648873</v>
      </c>
      <c r="E193" s="9">
        <v>131.23552553777046</v>
      </c>
      <c r="F193" s="9">
        <v>134.74437723669766</v>
      </c>
      <c r="G193" s="9"/>
    </row>
    <row r="194" spans="1:7">
      <c r="A194">
        <v>2018</v>
      </c>
      <c r="B194" s="9">
        <v>137.77173818927125</v>
      </c>
      <c r="C194" s="9">
        <v>137.53137281021262</v>
      </c>
      <c r="D194" s="9">
        <v>137.10951577033626</v>
      </c>
      <c r="E194" s="9">
        <v>137.7944948764852</v>
      </c>
      <c r="F194" s="9">
        <v>140.14950511237484</v>
      </c>
      <c r="G194" s="9"/>
    </row>
    <row r="195" spans="1:7">
      <c r="A195">
        <v>2019</v>
      </c>
      <c r="B195" s="9">
        <v>144.54858553610185</v>
      </c>
      <c r="C195" s="9">
        <v>144.30588204384134</v>
      </c>
      <c r="D195" s="9">
        <v>143.91561911627036</v>
      </c>
      <c r="E195" s="9">
        <v>144.56342209611324</v>
      </c>
      <c r="F195" s="9">
        <v>146.97030541302601</v>
      </c>
      <c r="G195" s="9"/>
    </row>
    <row r="196" spans="1:7">
      <c r="A196">
        <v>2020</v>
      </c>
      <c r="B196" s="9">
        <v>151.52843823162317</v>
      </c>
      <c r="C196" s="9">
        <v>151.28345310232498</v>
      </c>
      <c r="D196" s="9">
        <v>149.0646194676182</v>
      </c>
      <c r="E196" s="9">
        <v>151.52099191703317</v>
      </c>
      <c r="F196" s="9">
        <v>153.98465652510706</v>
      </c>
      <c r="G196" s="9"/>
    </row>
    <row r="197" spans="1:7">
      <c r="A197">
        <v>2021</v>
      </c>
      <c r="B197" s="9">
        <v>158.71112929117578</v>
      </c>
      <c r="C197" s="9">
        <v>158.46391900100426</v>
      </c>
      <c r="D197" s="9">
        <v>154.3935194993571</v>
      </c>
      <c r="E197" s="9">
        <v>158.68116260004678</v>
      </c>
      <c r="F197" s="9">
        <v>161.20146342173985</v>
      </c>
      <c r="G197" s="9"/>
    </row>
    <row r="198" spans="1:7">
      <c r="A198">
        <v>2022</v>
      </c>
      <c r="B198" s="9">
        <v>166.0981883204189</v>
      </c>
      <c r="C198" s="9">
        <v>165.84880652173018</v>
      </c>
      <c r="D198" s="9">
        <v>161.77319516341794</v>
      </c>
      <c r="E198" s="9">
        <v>166.04548243957871</v>
      </c>
      <c r="F198" s="9">
        <v>168.62227541714671</v>
      </c>
      <c r="G198" s="9"/>
    </row>
    <row r="199" spans="1:7">
      <c r="A199">
        <v>2023</v>
      </c>
      <c r="B199" s="9">
        <v>173.68733799822928</v>
      </c>
      <c r="C199" s="9">
        <v>173.43584116718759</v>
      </c>
      <c r="D199" s="9">
        <v>169.35638221090809</v>
      </c>
      <c r="E199" s="9">
        <v>173.61169323079829</v>
      </c>
      <c r="F199" s="9">
        <v>176.24477805222165</v>
      </c>
      <c r="G199" s="9"/>
    </row>
    <row r="200" spans="1:7">
      <c r="A200">
        <v>2024</v>
      </c>
      <c r="B200" s="9">
        <v>181.47584231821912</v>
      </c>
      <c r="C200" s="9">
        <v>181.22228975479703</v>
      </c>
      <c r="D200" s="9">
        <v>177.14037034267545</v>
      </c>
      <c r="E200" s="9">
        <v>181.37707883855663</v>
      </c>
      <c r="F200" s="9">
        <v>184.06619769199014</v>
      </c>
      <c r="G200" s="9"/>
    </row>
    <row r="201" spans="1:7">
      <c r="A201">
        <v>2025</v>
      </c>
      <c r="B201" s="9">
        <v>189.46258479604654</v>
      </c>
      <c r="C201" s="9">
        <v>189.20703580021652</v>
      </c>
      <c r="D201" s="9">
        <v>185.12401958789172</v>
      </c>
      <c r="E201" s="9">
        <v>189.3405420384716</v>
      </c>
      <c r="F201" s="9">
        <v>192.0854087184768</v>
      </c>
      <c r="G201" s="9"/>
    </row>
    <row r="202" spans="1:7">
      <c r="A202">
        <v>2026</v>
      </c>
      <c r="B202" s="9">
        <v>197.64842311441831</v>
      </c>
      <c r="C202" s="9">
        <v>197.39093416234468</v>
      </c>
      <c r="D202" s="9">
        <v>192.67219192506622</v>
      </c>
      <c r="E202" s="9">
        <v>197.50295791090318</v>
      </c>
      <c r="F202" s="9">
        <v>200.30328884431745</v>
      </c>
      <c r="G202" s="9"/>
    </row>
    <row r="203" spans="1:7">
      <c r="A203">
        <v>2027</v>
      </c>
      <c r="B203" s="9">
        <v>206.03656679036439</v>
      </c>
      <c r="C203" s="9">
        <v>205.77718871059503</v>
      </c>
      <c r="D203" s="9">
        <v>200.41805563055365</v>
      </c>
      <c r="E203" s="9">
        <v>205.86755028626271</v>
      </c>
      <c r="F203" s="9">
        <v>208.72309744320086</v>
      </c>
      <c r="G203" s="9"/>
    </row>
    <row r="204" spans="1:7">
      <c r="A204">
        <v>2028</v>
      </c>
      <c r="B204" s="9">
        <v>214.62369724136238</v>
      </c>
      <c r="C204" s="9">
        <v>214.36248368625331</v>
      </c>
      <c r="D204" s="9">
        <v>208.35877612689774</v>
      </c>
      <c r="E204" s="9">
        <v>214.43101894960429</v>
      </c>
      <c r="F204" s="9">
        <v>217.34147875314693</v>
      </c>
      <c r="G204" s="9"/>
    </row>
    <row r="205" spans="1:7">
      <c r="A205">
        <v>2029</v>
      </c>
      <c r="B205" s="9">
        <v>223.40361695322611</v>
      </c>
      <c r="C205" s="9">
        <v>223.14062722274986</v>
      </c>
      <c r="D205" s="9">
        <v>216.48873591109313</v>
      </c>
      <c r="E205" s="9">
        <v>223.18718781508284</v>
      </c>
      <c r="F205" s="9">
        <v>224.86371045909715</v>
      </c>
      <c r="G205" s="9"/>
    </row>
    <row r="206" spans="1:7">
      <c r="A206">
        <v>2030</v>
      </c>
      <c r="B206" s="9">
        <v>232.37922792665648</v>
      </c>
      <c r="C206" s="9">
        <v>232.11451567316919</v>
      </c>
      <c r="D206" s="9">
        <v>224.81114142789775</v>
      </c>
      <c r="E206" s="9">
        <v>232.13897173578667</v>
      </c>
      <c r="F206" s="9">
        <v>233.86474576858561</v>
      </c>
      <c r="G206" s="9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workbookViewId="0">
      <selection activeCell="K15" sqref="K14:K15"/>
    </sheetView>
  </sheetViews>
  <sheetFormatPr defaultRowHeight="15"/>
  <cols>
    <col min="1" max="1" width="18.2851562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0.99540489062984472</v>
      </c>
    </row>
    <row r="5" spans="1:7">
      <c r="A5" s="13" t="s">
        <v>80</v>
      </c>
      <c r="B5" s="13">
        <v>0.99083089628981313</v>
      </c>
    </row>
    <row r="6" spans="1:7">
      <c r="A6" s="13" t="s">
        <v>81</v>
      </c>
      <c r="B6" s="13">
        <v>0.99008239802775699</v>
      </c>
    </row>
    <row r="7" spans="1:7">
      <c r="A7" s="13" t="s">
        <v>82</v>
      </c>
      <c r="B7" s="13">
        <v>1.6166706792595507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13839.227830763521</v>
      </c>
      <c r="D12" s="13">
        <v>3459.8069576908802</v>
      </c>
      <c r="E12" s="13">
        <v>1323.7584461025749</v>
      </c>
      <c r="F12" s="13">
        <v>3.0179078866626684E-49</v>
      </c>
    </row>
    <row r="13" spans="1:7">
      <c r="A13" s="13" t="s">
        <v>86</v>
      </c>
      <c r="B13" s="13">
        <v>49</v>
      </c>
      <c r="C13" s="13">
        <v>128.0675801736993</v>
      </c>
      <c r="D13" s="13">
        <v>2.6136240851775367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13967.29541093722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10.736922527178271</v>
      </c>
      <c r="C17" s="13">
        <v>0.8131441986940342</v>
      </c>
      <c r="D17" s="13">
        <v>13.204204794700019</v>
      </c>
      <c r="E17" s="13">
        <v>9.2394222176420557E-18</v>
      </c>
      <c r="F17" s="13">
        <v>9.1028480812674424</v>
      </c>
      <c r="G17" s="13">
        <v>12.370996973089099</v>
      </c>
    </row>
    <row r="18" spans="1:7">
      <c r="A18" s="13" t="s">
        <v>229</v>
      </c>
      <c r="B18" s="13">
        <v>0.75030553005740686</v>
      </c>
      <c r="C18" s="13">
        <v>1.322266769676932E-2</v>
      </c>
      <c r="D18" s="13">
        <v>56.743884612688873</v>
      </c>
      <c r="E18" s="13">
        <v>2.3165579617360688E-46</v>
      </c>
      <c r="F18" s="13">
        <v>0.72373358448519054</v>
      </c>
      <c r="G18" s="13">
        <v>0.77687747562962317</v>
      </c>
    </row>
    <row r="19" spans="1:7">
      <c r="A19" s="13" t="s">
        <v>240</v>
      </c>
      <c r="B19" s="13">
        <v>11.130720956959037</v>
      </c>
      <c r="C19" s="13">
        <v>0.78661195982909415</v>
      </c>
      <c r="D19" s="13">
        <v>14.150205597404582</v>
      </c>
      <c r="E19" s="13">
        <v>6.2125475774020898E-19</v>
      </c>
      <c r="F19" s="13">
        <v>9.5499650412567902</v>
      </c>
      <c r="G19" s="13">
        <v>12.711476872661283</v>
      </c>
    </row>
    <row r="20" spans="1:7">
      <c r="A20" s="13" t="s">
        <v>1981</v>
      </c>
      <c r="B20" s="13">
        <v>-10.825355250002216</v>
      </c>
      <c r="C20" s="13">
        <v>1.4718587275334885</v>
      </c>
      <c r="D20" s="13">
        <v>-7.3548874273709206</v>
      </c>
      <c r="E20" s="13">
        <v>1.8741540122124791E-9</v>
      </c>
      <c r="F20" s="13">
        <v>-13.783166101406067</v>
      </c>
      <c r="G20" s="13">
        <v>-7.8675443985983664</v>
      </c>
    </row>
    <row r="21" spans="1:7" ht="15.75" thickBot="1">
      <c r="A21" s="14" t="s">
        <v>2019</v>
      </c>
      <c r="B21" s="14">
        <v>-7.9072636765290598</v>
      </c>
      <c r="C21" s="14">
        <v>1.3710063660385479</v>
      </c>
      <c r="D21" s="14">
        <v>-5.7674886655535307</v>
      </c>
      <c r="E21" s="14">
        <v>5.3289511747625686E-7</v>
      </c>
      <c r="F21" s="14">
        <v>-10.662404119666672</v>
      </c>
      <c r="G21" s="14">
        <v>-5.1521232333914488</v>
      </c>
    </row>
    <row r="43" spans="10:10">
      <c r="J43" t="s">
        <v>2469</v>
      </c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showGridLines="0" workbookViewId="0">
      <selection activeCell="A3" sqref="A3:G21"/>
    </sheetView>
  </sheetViews>
  <sheetFormatPr defaultRowHeight="15"/>
  <cols>
    <col min="1" max="1" width="18.140625" customWidth="1"/>
    <col min="2" max="7" width="13.71093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0.99540489062984483</v>
      </c>
    </row>
    <row r="5" spans="1:7">
      <c r="A5" s="13" t="s">
        <v>80</v>
      </c>
      <c r="B5" s="13">
        <v>0.99083089628981325</v>
      </c>
    </row>
    <row r="6" spans="1:7">
      <c r="A6" s="13" t="s">
        <v>81</v>
      </c>
      <c r="B6" s="13">
        <v>0.9900823980277571</v>
      </c>
    </row>
    <row r="7" spans="1:7">
      <c r="A7" s="13" t="s">
        <v>82</v>
      </c>
      <c r="B7" s="13">
        <v>6.119761355975899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198306.84686757269</v>
      </c>
      <c r="D12" s="13">
        <v>49576.711716893173</v>
      </c>
      <c r="E12" s="13">
        <v>1323.7584461025738</v>
      </c>
      <c r="F12" s="13">
        <v>3.0179078866627113E-49</v>
      </c>
    </row>
    <row r="13" spans="1:7">
      <c r="A13" s="13" t="s">
        <v>86</v>
      </c>
      <c r="B13" s="13">
        <v>49</v>
      </c>
      <c r="C13" s="13">
        <v>1835.1224736507024</v>
      </c>
      <c r="D13" s="13">
        <v>37.451479054095969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200141.96934122339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40.643653903605923</v>
      </c>
      <c r="C17" s="13">
        <v>3.0780841811783857</v>
      </c>
      <c r="D17" s="13">
        <v>13.204204794700019</v>
      </c>
      <c r="E17" s="13">
        <v>9.2394222176420557E-18</v>
      </c>
      <c r="F17" s="13">
        <v>34.458012155310612</v>
      </c>
      <c r="G17" s="13">
        <v>46.829295651901234</v>
      </c>
    </row>
    <row r="18" spans="1:7">
      <c r="A18" s="13" t="s">
        <v>229</v>
      </c>
      <c r="B18" s="13">
        <v>2.8402140565346077</v>
      </c>
      <c r="C18" s="13">
        <v>5.0053218526027579E-2</v>
      </c>
      <c r="D18" s="13">
        <v>56.743884612688824</v>
      </c>
      <c r="E18" s="13">
        <v>2.3165579617361676E-46</v>
      </c>
      <c r="F18" s="13">
        <v>2.7396283480460841</v>
      </c>
      <c r="G18" s="13">
        <v>2.9407997650231312</v>
      </c>
    </row>
    <row r="19" spans="1:7">
      <c r="A19" s="13" t="s">
        <v>240</v>
      </c>
      <c r="B19" s="13">
        <v>42.134342417682269</v>
      </c>
      <c r="C19" s="13">
        <v>2.9776487788566528</v>
      </c>
      <c r="D19" s="13">
        <v>14.150205597404563</v>
      </c>
      <c r="E19" s="13">
        <v>6.2125475774024433E-19</v>
      </c>
      <c r="F19" s="13">
        <v>36.15053316682382</v>
      </c>
      <c r="G19" s="13">
        <v>48.118151668540719</v>
      </c>
    </row>
    <row r="20" spans="1:7">
      <c r="A20" s="13" t="s">
        <v>1981</v>
      </c>
      <c r="B20" s="13">
        <v>-40.978408016910933</v>
      </c>
      <c r="C20" s="13">
        <v>5.5715887457925453</v>
      </c>
      <c r="D20" s="13">
        <v>-7.354887427370925</v>
      </c>
      <c r="E20" s="13">
        <v>1.8741540122124452E-9</v>
      </c>
      <c r="F20" s="13">
        <v>-52.174934791923583</v>
      </c>
      <c r="G20" s="13">
        <v>-29.781881241898283</v>
      </c>
    </row>
    <row r="21" spans="1:7" ht="15.75" thickBot="1">
      <c r="A21" s="14" t="s">
        <v>2019</v>
      </c>
      <c r="B21" s="14">
        <v>-29.932234993769878</v>
      </c>
      <c r="C21" s="14">
        <v>5.1898212080659825</v>
      </c>
      <c r="D21" s="14">
        <v>-5.7674886655535289</v>
      </c>
      <c r="E21" s="14">
        <v>5.3289511747625961E-7</v>
      </c>
      <c r="F21" s="14">
        <v>-40.361571178627429</v>
      </c>
      <c r="G21" s="14">
        <v>-19.502898808912327</v>
      </c>
    </row>
    <row r="43" spans="12:12">
      <c r="L43" t="s">
        <v>2472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workbookViewId="0">
      <selection activeCell="A3" sqref="A3:G22"/>
    </sheetView>
  </sheetViews>
  <sheetFormatPr defaultRowHeight="15"/>
  <cols>
    <col min="1" max="1" width="18.140625" customWidth="1"/>
    <col min="2" max="7" width="13.425781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0.97840017485430431</v>
      </c>
    </row>
    <row r="5" spans="1:7">
      <c r="A5" s="13" t="s">
        <v>80</v>
      </c>
      <c r="B5" s="13">
        <v>0.95726690215493315</v>
      </c>
    </row>
    <row r="6" spans="1:7">
      <c r="A6" s="13" t="s">
        <v>81</v>
      </c>
      <c r="B6" s="13">
        <v>0.95281553779607198</v>
      </c>
    </row>
    <row r="7" spans="1:7">
      <c r="A7" s="13" t="s">
        <v>82</v>
      </c>
      <c r="B7" s="13">
        <v>2.534372002055028E-2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5</v>
      </c>
      <c r="C12" s="13">
        <v>0.69063825049921612</v>
      </c>
      <c r="D12" s="13">
        <v>0.13812765009984324</v>
      </c>
      <c r="E12" s="13">
        <v>215.05022392726502</v>
      </c>
      <c r="F12" s="13">
        <v>1.2324234376171939E-31</v>
      </c>
    </row>
    <row r="13" spans="1:7">
      <c r="A13" s="13" t="s">
        <v>86</v>
      </c>
      <c r="B13" s="13">
        <v>48</v>
      </c>
      <c r="C13" s="13">
        <v>3.0830598935041972E-2</v>
      </c>
      <c r="D13" s="13">
        <v>6.4230414448004111E-4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0.72146884943425804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0.21347054497496856</v>
      </c>
      <c r="C17" s="13">
        <v>9.3767206053820672E-3</v>
      </c>
      <c r="D17" s="13">
        <v>22.766013189348985</v>
      </c>
      <c r="E17" s="13">
        <v>2.2611066752080052E-27</v>
      </c>
      <c r="F17" s="13">
        <v>0.19461738461325606</v>
      </c>
      <c r="G17" s="13">
        <v>0.23232370533668106</v>
      </c>
    </row>
    <row r="18" spans="1:7">
      <c r="A18" s="13" t="s">
        <v>229</v>
      </c>
      <c r="B18" s="13">
        <v>5.6128407214698587E-3</v>
      </c>
      <c r="C18" s="13">
        <v>1.8912193089318406E-4</v>
      </c>
      <c r="D18" s="13">
        <v>29.678423305861799</v>
      </c>
      <c r="E18" s="13">
        <v>1.5476250398548202E-32</v>
      </c>
      <c r="F18" s="13">
        <v>5.2325855937870149E-3</v>
      </c>
      <c r="G18" s="13">
        <v>5.9930958491527025E-3</v>
      </c>
    </row>
    <row r="19" spans="1:7">
      <c r="A19" s="13" t="s">
        <v>241</v>
      </c>
      <c r="B19" s="13">
        <v>0.1191076035170454</v>
      </c>
      <c r="C19" s="13">
        <v>1.012323893555395E-2</v>
      </c>
      <c r="D19" s="13">
        <v>11.765760373266124</v>
      </c>
      <c r="E19" s="13">
        <v>9.5054350246595042E-16</v>
      </c>
      <c r="F19" s="13">
        <v>9.8753467453485705E-2</v>
      </c>
      <c r="G19" s="13">
        <v>0.13946173958060509</v>
      </c>
    </row>
    <row r="20" spans="1:7">
      <c r="A20" s="13" t="s">
        <v>276</v>
      </c>
      <c r="B20" s="13">
        <v>0.19904888963527276</v>
      </c>
      <c r="C20" s="13">
        <v>1.9252662735006799E-2</v>
      </c>
      <c r="D20" s="13">
        <v>10.338771959753155</v>
      </c>
      <c r="E20" s="13">
        <v>8.4138596536260382E-14</v>
      </c>
      <c r="F20" s="13">
        <v>0.1603388167634513</v>
      </c>
      <c r="G20" s="13">
        <v>0.23775896250709422</v>
      </c>
    </row>
    <row r="21" spans="1:7">
      <c r="A21" s="13" t="s">
        <v>1997</v>
      </c>
      <c r="B21" s="13">
        <v>-9.5771770955852167E-2</v>
      </c>
      <c r="C21" s="13">
        <v>8.7428855297502807E-3</v>
      </c>
      <c r="D21" s="13">
        <v>-10.954251960632458</v>
      </c>
      <c r="E21" s="13">
        <v>1.178558473480026E-14</v>
      </c>
      <c r="F21" s="13">
        <v>-0.11335052048389802</v>
      </c>
      <c r="G21" s="13">
        <v>-7.819302142780632E-2</v>
      </c>
    </row>
    <row r="22" spans="1:7" ht="15.75" thickBot="1">
      <c r="A22" s="14" t="s">
        <v>1994</v>
      </c>
      <c r="B22" s="14">
        <v>-4.1465073785965624E-2</v>
      </c>
      <c r="C22" s="14">
        <v>1.5826173691861841E-2</v>
      </c>
      <c r="D22" s="14">
        <v>-2.6200315119306352</v>
      </c>
      <c r="E22" s="14">
        <v>1.1736387843625087E-2</v>
      </c>
      <c r="F22" s="14">
        <v>-7.3285728691021235E-2</v>
      </c>
      <c r="G22" s="14">
        <v>-9.6444188809100065E-3</v>
      </c>
    </row>
    <row r="43" spans="10:10">
      <c r="J43" t="s">
        <v>1864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271"/>
  <sheetViews>
    <sheetView zoomScale="75" zoomScaleNormal="75" workbookViewId="0">
      <pane xSplit="1" ySplit="5" topLeftCell="AL80" activePane="bottomRight" state="frozen"/>
      <selection activeCell="BN97" sqref="BN97"/>
      <selection pane="topRight" activeCell="BN97" sqref="BN97"/>
      <selection pane="bottomLeft" activeCell="BN97" sqref="BN97"/>
      <selection pane="bottomRight" activeCell="AP50" sqref="AP50:BE105"/>
    </sheetView>
  </sheetViews>
  <sheetFormatPr defaultRowHeight="15"/>
  <cols>
    <col min="2" max="3" width="10.140625" customWidth="1"/>
    <col min="4" max="4" width="10.140625" style="3" customWidth="1"/>
    <col min="5" max="7" width="10.140625" customWidth="1"/>
    <col min="12" max="12" width="9.85546875" customWidth="1"/>
    <col min="13" max="13" width="9.5703125" customWidth="1"/>
    <col min="15" max="15" width="9.140625" style="3" customWidth="1"/>
    <col min="16" max="22" width="9.140625" customWidth="1"/>
    <col min="23" max="23" width="10.42578125" customWidth="1"/>
    <col min="26" max="27" width="9.28515625" customWidth="1"/>
    <col min="28" max="31" width="12.140625" customWidth="1"/>
    <col min="32" max="32" width="19" customWidth="1"/>
    <col min="33" max="33" width="18.7109375" customWidth="1"/>
    <col min="34" max="34" width="14.42578125" customWidth="1"/>
    <col min="36" max="36" width="13" customWidth="1"/>
    <col min="37" max="37" width="13.140625" customWidth="1"/>
    <col min="38" max="38" width="10.7109375" customWidth="1"/>
    <col min="40" max="40" width="13.42578125" style="2" customWidth="1"/>
    <col min="41" max="41" width="13.7109375" style="2" customWidth="1"/>
    <col min="42" max="42" width="9.140625" style="2" customWidth="1"/>
    <col min="43" max="44" width="8.5703125" style="12" customWidth="1"/>
    <col min="45" max="45" width="8.7109375" style="12" customWidth="1"/>
    <col min="46" max="46" width="3.42578125" style="12" customWidth="1"/>
    <col min="47" max="47" width="7.85546875" style="12" customWidth="1"/>
    <col min="48" max="48" width="3.85546875" style="12" customWidth="1"/>
    <col min="49" max="49" width="12" style="12" customWidth="1"/>
    <col min="50" max="50" width="9.7109375" style="12" customWidth="1"/>
    <col min="51" max="51" width="8.28515625" style="9" customWidth="1"/>
    <col min="52" max="52" width="8" customWidth="1"/>
    <col min="53" max="53" width="9.7109375" customWidth="1"/>
    <col min="54" max="54" width="8.42578125" customWidth="1"/>
    <col min="55" max="55" width="7.28515625" customWidth="1"/>
    <col min="56" max="56" width="5.28515625" customWidth="1"/>
    <col min="57" max="57" width="6.140625" customWidth="1"/>
    <col min="60" max="60" width="10.28515625" customWidth="1"/>
    <col min="61" max="61" width="11" bestFit="1" customWidth="1"/>
    <col min="63" max="63" width="3" customWidth="1"/>
    <col min="65" max="65" width="1.85546875" customWidth="1"/>
    <col min="66" max="70" width="10.7109375" customWidth="1"/>
    <col min="72" max="73" width="5.85546875" customWidth="1"/>
    <col min="74" max="74" width="6.42578125" customWidth="1"/>
  </cols>
  <sheetData>
    <row r="1" spans="1:78">
      <c r="A1" t="s">
        <v>55</v>
      </c>
      <c r="W1" t="s">
        <v>129</v>
      </c>
      <c r="X1" s="12"/>
      <c r="Z1" s="8" t="s">
        <v>1947</v>
      </c>
      <c r="AA1" s="12"/>
      <c r="AN1"/>
      <c r="AO1"/>
      <c r="AP1"/>
      <c r="AQ1" s="32"/>
      <c r="AR1" s="32"/>
      <c r="AS1" s="32"/>
      <c r="AW1" s="12" t="s">
        <v>1955</v>
      </c>
      <c r="AY1"/>
      <c r="BB1" s="9"/>
      <c r="BH1" s="32"/>
      <c r="BI1" s="32"/>
      <c r="BJ1" s="32"/>
      <c r="BK1" s="12"/>
      <c r="BL1" s="12"/>
      <c r="BM1" s="12"/>
      <c r="BN1" s="12" t="s">
        <v>2467</v>
      </c>
      <c r="BO1" s="12"/>
      <c r="BS1" s="9"/>
      <c r="BX1" s="12"/>
      <c r="BY1" s="12"/>
    </row>
    <row r="2" spans="1:78">
      <c r="H2" t="s">
        <v>135</v>
      </c>
      <c r="M2" s="8" t="s">
        <v>134</v>
      </c>
      <c r="N2" s="8" t="s">
        <v>135</v>
      </c>
      <c r="S2" s="26" t="s">
        <v>139</v>
      </c>
      <c r="T2" s="26" t="s">
        <v>139</v>
      </c>
      <c r="V2" t="s">
        <v>1862</v>
      </c>
      <c r="W2" s="127" t="s">
        <v>1862</v>
      </c>
      <c r="X2" s="12" t="s">
        <v>1862</v>
      </c>
      <c r="Y2" s="127" t="s">
        <v>1960</v>
      </c>
      <c r="Z2" s="8" t="s">
        <v>1961</v>
      </c>
      <c r="AA2" s="12"/>
      <c r="AB2" s="133" t="s">
        <v>2057</v>
      </c>
      <c r="AN2"/>
      <c r="AO2"/>
      <c r="AP2"/>
      <c r="AQ2" s="32"/>
      <c r="AR2" s="32"/>
      <c r="AS2" s="32"/>
      <c r="AY2"/>
      <c r="BB2" s="9"/>
      <c r="BH2" s="32"/>
      <c r="BI2" s="32"/>
      <c r="BJ2" s="32"/>
      <c r="BK2" s="12"/>
      <c r="BL2" s="12"/>
      <c r="BM2" s="12"/>
      <c r="BN2" s="12"/>
      <c r="BO2" s="12"/>
      <c r="BS2" s="9"/>
      <c r="BX2" s="12"/>
      <c r="BY2" s="12"/>
    </row>
    <row r="3" spans="1:78">
      <c r="D3" s="3" t="s">
        <v>131</v>
      </c>
      <c r="E3" t="s">
        <v>131</v>
      </c>
      <c r="G3" t="s">
        <v>131</v>
      </c>
      <c r="H3" t="s">
        <v>131</v>
      </c>
      <c r="M3" s="8" t="s">
        <v>131</v>
      </c>
      <c r="N3" s="8" t="s">
        <v>131</v>
      </c>
      <c r="P3" s="8" t="s">
        <v>134</v>
      </c>
      <c r="Q3" s="8" t="s">
        <v>135</v>
      </c>
      <c r="S3" s="26" t="s">
        <v>134</v>
      </c>
      <c r="T3" s="26" t="s">
        <v>135</v>
      </c>
      <c r="V3" t="s">
        <v>1965</v>
      </c>
      <c r="W3" s="12" t="s">
        <v>1965</v>
      </c>
      <c r="X3" s="12"/>
      <c r="Z3" s="8" t="s">
        <v>2028</v>
      </c>
      <c r="AA3" s="12"/>
      <c r="AN3"/>
      <c r="AO3"/>
      <c r="AP3" s="46" t="s">
        <v>2103</v>
      </c>
      <c r="AQ3" s="46" t="s">
        <v>58</v>
      </c>
      <c r="AR3" s="46" t="s">
        <v>58</v>
      </c>
      <c r="AS3" s="46" t="s">
        <v>58</v>
      </c>
      <c r="AT3" s="3"/>
      <c r="AU3" s="46"/>
      <c r="AV3" s="3"/>
      <c r="AW3" s="46" t="s">
        <v>227</v>
      </c>
      <c r="AX3" s="46" t="s">
        <v>227</v>
      </c>
      <c r="AY3" s="46" t="s">
        <v>227</v>
      </c>
      <c r="AZ3" s="46" t="s">
        <v>227</v>
      </c>
      <c r="BA3" s="46" t="s">
        <v>227</v>
      </c>
      <c r="BB3" s="46" t="s">
        <v>1957</v>
      </c>
      <c r="BC3" s="46" t="s">
        <v>2098</v>
      </c>
      <c r="BD3" s="46" t="s">
        <v>2098</v>
      </c>
      <c r="BE3" s="46" t="s">
        <v>2098</v>
      </c>
      <c r="BG3" s="46" t="s">
        <v>2103</v>
      </c>
      <c r="BH3" s="46" t="s">
        <v>2471</v>
      </c>
      <c r="BI3" s="46" t="s">
        <v>2471</v>
      </c>
      <c r="BJ3" s="46" t="s">
        <v>2471</v>
      </c>
      <c r="BK3" s="3"/>
      <c r="BL3" s="46"/>
      <c r="BM3" s="3"/>
      <c r="BN3" s="46" t="s">
        <v>2466</v>
      </c>
      <c r="BO3" s="46" t="s">
        <v>2466</v>
      </c>
      <c r="BP3" s="46" t="s">
        <v>2466</v>
      </c>
      <c r="BQ3" s="46" t="s">
        <v>2466</v>
      </c>
      <c r="BR3" s="46" t="s">
        <v>2466</v>
      </c>
      <c r="BS3" s="46" t="s">
        <v>1957</v>
      </c>
      <c r="BT3" s="46" t="s">
        <v>2098</v>
      </c>
      <c r="BU3" s="46" t="s">
        <v>2098</v>
      </c>
      <c r="BV3" s="46" t="s">
        <v>2098</v>
      </c>
      <c r="BX3" s="46" t="s">
        <v>2468</v>
      </c>
      <c r="BY3" s="46" t="s">
        <v>2468</v>
      </c>
      <c r="BZ3" s="46" t="s">
        <v>2473</v>
      </c>
    </row>
    <row r="4" spans="1:78">
      <c r="B4" t="s">
        <v>50</v>
      </c>
      <c r="C4" t="s">
        <v>50</v>
      </c>
      <c r="D4" s="3" t="s">
        <v>132</v>
      </c>
      <c r="E4" t="s">
        <v>132</v>
      </c>
      <c r="G4" t="s">
        <v>5</v>
      </c>
      <c r="H4" t="s">
        <v>132</v>
      </c>
      <c r="J4" t="s">
        <v>182</v>
      </c>
      <c r="K4" t="s">
        <v>218</v>
      </c>
      <c r="M4" t="s">
        <v>130</v>
      </c>
      <c r="N4" t="s">
        <v>130</v>
      </c>
      <c r="O4" s="3" t="s">
        <v>130</v>
      </c>
      <c r="P4" s="8" t="s">
        <v>130</v>
      </c>
      <c r="Q4" s="8" t="s">
        <v>130</v>
      </c>
      <c r="S4" s="26" t="s">
        <v>316</v>
      </c>
      <c r="T4" s="26" t="s">
        <v>316</v>
      </c>
      <c r="V4" s="12" t="s">
        <v>1964</v>
      </c>
      <c r="W4" s="12" t="s">
        <v>1963</v>
      </c>
      <c r="X4" t="s">
        <v>129</v>
      </c>
      <c r="Z4" t="s">
        <v>129</v>
      </c>
      <c r="AA4" s="12"/>
      <c r="AB4" t="s">
        <v>129</v>
      </c>
      <c r="AN4"/>
      <c r="AO4"/>
      <c r="AP4" s="46"/>
      <c r="AQ4" s="46" t="s">
        <v>2136</v>
      </c>
      <c r="AR4" s="46" t="s">
        <v>67</v>
      </c>
      <c r="AS4" s="46" t="s">
        <v>133</v>
      </c>
      <c r="AT4" s="3"/>
      <c r="AU4" s="139" t="s">
        <v>237</v>
      </c>
      <c r="AV4" s="3"/>
      <c r="AW4" s="46" t="s">
        <v>2136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2137</v>
      </c>
      <c r="BC4" s="46">
        <v>6573</v>
      </c>
      <c r="BD4" s="138" t="s">
        <v>2211</v>
      </c>
      <c r="BE4" s="46">
        <v>8906</v>
      </c>
      <c r="BG4" s="46"/>
      <c r="BH4" s="46" t="s">
        <v>2136</v>
      </c>
      <c r="BI4" s="46" t="s">
        <v>67</v>
      </c>
      <c r="BJ4" s="46" t="s">
        <v>133</v>
      </c>
      <c r="BK4" s="3"/>
      <c r="BL4" s="139" t="s">
        <v>237</v>
      </c>
      <c r="BM4" s="3"/>
      <c r="BN4" s="46" t="s">
        <v>2136</v>
      </c>
      <c r="BO4" s="46" t="s">
        <v>2097</v>
      </c>
      <c r="BP4" s="46" t="s">
        <v>67</v>
      </c>
      <c r="BQ4" s="46" t="s">
        <v>133</v>
      </c>
      <c r="BR4" s="46" t="s">
        <v>2097</v>
      </c>
      <c r="BS4" s="46" t="s">
        <v>2137</v>
      </c>
      <c r="BT4" s="46">
        <v>6573</v>
      </c>
      <c r="BU4" s="138" t="s">
        <v>2211</v>
      </c>
      <c r="BV4" s="46">
        <v>8906</v>
      </c>
      <c r="BX4" s="46" t="s">
        <v>2136</v>
      </c>
      <c r="BY4" s="46" t="s">
        <v>2097</v>
      </c>
      <c r="BZ4" s="46" t="s">
        <v>2136</v>
      </c>
    </row>
    <row r="5" spans="1:78">
      <c r="A5" t="s">
        <v>2103</v>
      </c>
      <c r="B5" t="s">
        <v>52</v>
      </c>
      <c r="C5" t="s">
        <v>215</v>
      </c>
      <c r="D5" s="3" t="s">
        <v>53</v>
      </c>
      <c r="E5" t="s">
        <v>208</v>
      </c>
      <c r="G5" t="s">
        <v>208</v>
      </c>
      <c r="H5" t="s">
        <v>208</v>
      </c>
      <c r="J5" t="s">
        <v>227</v>
      </c>
      <c r="K5" t="s">
        <v>42</v>
      </c>
      <c r="M5" t="s">
        <v>53</v>
      </c>
      <c r="N5" t="s">
        <v>53</v>
      </c>
      <c r="O5" s="30" t="s">
        <v>67</v>
      </c>
      <c r="P5" s="8" t="s">
        <v>133</v>
      </c>
      <c r="Q5" s="8" t="s">
        <v>133</v>
      </c>
      <c r="S5" s="26" t="s">
        <v>133</v>
      </c>
      <c r="T5" s="26" t="s">
        <v>133</v>
      </c>
      <c r="V5" s="12" t="s">
        <v>1962</v>
      </c>
      <c r="W5" s="12" t="s">
        <v>1962</v>
      </c>
      <c r="X5" s="12" t="s">
        <v>1895</v>
      </c>
      <c r="Z5" t="s">
        <v>128</v>
      </c>
      <c r="AA5" s="12"/>
      <c r="AN5"/>
      <c r="AO5"/>
      <c r="AP5"/>
      <c r="AQ5" s="32"/>
      <c r="AR5" s="32"/>
      <c r="AS5" s="32"/>
      <c r="AY5"/>
      <c r="BB5" s="51"/>
      <c r="BC5" s="3"/>
      <c r="BD5" s="3"/>
      <c r="BH5" s="32"/>
      <c r="BI5" s="32"/>
      <c r="BJ5" s="32"/>
      <c r="BK5" s="12"/>
      <c r="BL5" s="12"/>
      <c r="BM5" s="12"/>
      <c r="BN5" s="12"/>
      <c r="BO5" s="12"/>
      <c r="BS5" s="51"/>
      <c r="BT5" s="3"/>
      <c r="BU5" s="3"/>
      <c r="BX5" s="12"/>
      <c r="BY5" s="12"/>
    </row>
    <row r="6" spans="1:78">
      <c r="A6">
        <v>1919</v>
      </c>
      <c r="B6" s="3">
        <v>0.17300000000000001</v>
      </c>
      <c r="D6" s="3">
        <v>0.25469999999999998</v>
      </c>
      <c r="E6">
        <v>3.3172113277456643</v>
      </c>
      <c r="G6">
        <f t="shared" ref="G6:G12" si="0">M6*B$98/B6</f>
        <v>87.553681002302497</v>
      </c>
      <c r="M6" s="3">
        <f t="shared" ref="M6:M69" si="1">D6*0.26418*100</f>
        <v>6.7286646000000001</v>
      </c>
      <c r="N6" s="3"/>
      <c r="W6" s="12"/>
      <c r="X6" s="12"/>
      <c r="AA6" s="12"/>
      <c r="AN6"/>
      <c r="AO6"/>
      <c r="AP6"/>
      <c r="AQ6" s="32"/>
      <c r="AR6" s="32"/>
      <c r="AS6" s="32"/>
      <c r="AY6"/>
      <c r="BB6" s="51"/>
      <c r="BC6" s="3"/>
      <c r="BD6" s="3"/>
      <c r="BH6" s="32"/>
      <c r="BI6" s="32"/>
      <c r="BJ6" s="32"/>
      <c r="BK6" s="12"/>
      <c r="BL6" s="12"/>
      <c r="BM6" s="12"/>
      <c r="BN6" s="12"/>
      <c r="BO6" s="12"/>
      <c r="BS6" s="51"/>
      <c r="BT6" s="3"/>
      <c r="BU6" s="3"/>
      <c r="BX6" s="12"/>
      <c r="BY6" s="12"/>
    </row>
    <row r="7" spans="1:78">
      <c r="A7">
        <v>1920</v>
      </c>
      <c r="B7" s="3">
        <v>0.2</v>
      </c>
      <c r="D7" s="3">
        <v>0.29830000000000001</v>
      </c>
      <c r="E7">
        <v>3.3605747164999999</v>
      </c>
      <c r="G7">
        <f t="shared" si="0"/>
        <v>88.698203895499091</v>
      </c>
      <c r="M7" s="3">
        <f t="shared" si="1"/>
        <v>7.8804894000000019</v>
      </c>
      <c r="N7" s="3"/>
      <c r="W7" s="12"/>
      <c r="X7" s="12"/>
      <c r="AA7" s="12"/>
      <c r="AN7"/>
      <c r="AO7"/>
      <c r="AP7"/>
      <c r="AQ7" s="32"/>
      <c r="AR7" s="32"/>
      <c r="AS7" s="32"/>
      <c r="AY7"/>
      <c r="BB7" s="51"/>
      <c r="BC7" s="3"/>
      <c r="BD7" s="3"/>
      <c r="BH7" s="32"/>
      <c r="BI7" s="32"/>
      <c r="BJ7" s="32"/>
      <c r="BK7" s="12"/>
      <c r="BL7" s="12"/>
      <c r="BM7" s="12"/>
      <c r="BN7" s="12"/>
      <c r="BO7" s="12"/>
      <c r="BS7" s="51"/>
      <c r="BT7" s="3"/>
      <c r="BU7" s="3"/>
      <c r="BX7" s="12"/>
      <c r="BY7" s="12"/>
    </row>
    <row r="8" spans="1:78">
      <c r="A8">
        <v>1921</v>
      </c>
      <c r="B8" s="3">
        <v>0.17899999999999999</v>
      </c>
      <c r="D8" s="3">
        <v>0.2631</v>
      </c>
      <c r="E8">
        <v>3.3117543469273745</v>
      </c>
      <c r="G8">
        <f t="shared" si="0"/>
        <v>87.409650758041593</v>
      </c>
      <c r="M8" s="3">
        <f t="shared" si="1"/>
        <v>6.9505758000000002</v>
      </c>
      <c r="N8" s="3"/>
      <c r="W8" s="12"/>
      <c r="X8" s="12"/>
      <c r="AA8" s="12"/>
      <c r="AN8"/>
      <c r="AO8"/>
      <c r="AP8"/>
      <c r="AQ8" s="32"/>
      <c r="AR8" s="32"/>
      <c r="AS8" s="32"/>
      <c r="AY8"/>
      <c r="BB8" s="51"/>
      <c r="BC8" s="3"/>
      <c r="BD8" s="3"/>
      <c r="BH8" s="32"/>
      <c r="BI8" s="32"/>
      <c r="BJ8" s="32"/>
      <c r="BK8" s="12"/>
      <c r="BL8" s="12"/>
      <c r="BM8" s="12"/>
      <c r="BN8" s="12"/>
      <c r="BO8" s="12"/>
      <c r="BS8" s="51"/>
      <c r="BT8" s="3"/>
      <c r="BU8" s="3"/>
      <c r="BX8" s="12"/>
      <c r="BY8" s="12"/>
    </row>
    <row r="9" spans="1:78">
      <c r="A9">
        <v>1922</v>
      </c>
      <c r="B9" s="3">
        <v>0.16800000000000001</v>
      </c>
      <c r="D9" s="3">
        <v>0.252</v>
      </c>
      <c r="E9">
        <v>3.3797264999999999</v>
      </c>
      <c r="G9">
        <f t="shared" si="0"/>
        <v>89.203691480555563</v>
      </c>
      <c r="M9" s="3">
        <f t="shared" si="1"/>
        <v>6.6573360000000008</v>
      </c>
      <c r="N9" s="3"/>
      <c r="W9" s="12"/>
      <c r="X9" s="12"/>
      <c r="AA9" s="12"/>
      <c r="AN9"/>
      <c r="AO9"/>
      <c r="AP9"/>
      <c r="AQ9" s="32"/>
      <c r="AR9" s="32"/>
      <c r="AS9" s="32"/>
      <c r="AY9"/>
      <c r="BB9" s="51"/>
      <c r="BC9" s="3"/>
      <c r="BD9" s="3"/>
      <c r="BH9" s="32"/>
      <c r="BI9" s="32"/>
      <c r="BJ9" s="32"/>
      <c r="BK9" s="12"/>
      <c r="BL9" s="12"/>
      <c r="BM9" s="12"/>
      <c r="BN9" s="12"/>
      <c r="BO9" s="12"/>
      <c r="BS9" s="51"/>
      <c r="BT9" s="3"/>
      <c r="BU9" s="3"/>
      <c r="BX9" s="12"/>
      <c r="BY9" s="12"/>
    </row>
    <row r="10" spans="1:78">
      <c r="A10">
        <v>1923</v>
      </c>
      <c r="B10" s="3">
        <v>0.17100000000000001</v>
      </c>
      <c r="D10" s="3">
        <v>0.21969999999999998</v>
      </c>
      <c r="E10">
        <v>2.8948378637426897</v>
      </c>
      <c r="G10">
        <f t="shared" si="0"/>
        <v>76.405656991337437</v>
      </c>
      <c r="M10" s="3">
        <f t="shared" si="1"/>
        <v>5.8040345999999996</v>
      </c>
      <c r="N10" s="3"/>
      <c r="W10" s="12"/>
      <c r="X10" s="12"/>
      <c r="AA10" s="12"/>
      <c r="AN10"/>
      <c r="AO10"/>
      <c r="AP10"/>
      <c r="AQ10" s="32"/>
      <c r="AR10" s="32"/>
      <c r="AS10" s="32"/>
      <c r="AY10"/>
      <c r="BB10" s="51"/>
      <c r="BC10" s="3"/>
      <c r="BD10" s="3"/>
      <c r="BH10" s="32"/>
      <c r="BI10" s="32"/>
      <c r="BJ10" s="32"/>
      <c r="BK10" s="12"/>
      <c r="BL10" s="12"/>
      <c r="BM10" s="12"/>
      <c r="BN10" s="12"/>
      <c r="BO10" s="12"/>
      <c r="BS10" s="51"/>
      <c r="BT10" s="3"/>
      <c r="BU10" s="3"/>
      <c r="BX10" s="12"/>
      <c r="BY10" s="12"/>
    </row>
    <row r="11" spans="1:78">
      <c r="A11">
        <v>1924</v>
      </c>
      <c r="B11" s="3">
        <v>0.17100000000000001</v>
      </c>
      <c r="D11" s="3">
        <v>0.20949999999999999</v>
      </c>
      <c r="E11">
        <v>2.7604393830409353</v>
      </c>
      <c r="G11">
        <f t="shared" si="0"/>
        <v>72.858375692695475</v>
      </c>
      <c r="M11" s="3">
        <f t="shared" si="1"/>
        <v>5.5345710000000006</v>
      </c>
      <c r="N11" s="3"/>
      <c r="W11" s="12"/>
      <c r="X11" s="12"/>
      <c r="AA11" s="12"/>
      <c r="AN11"/>
      <c r="AO11"/>
      <c r="AP11"/>
      <c r="AQ11" s="32"/>
      <c r="AR11" s="32"/>
      <c r="AS11" s="32"/>
      <c r="AY11"/>
      <c r="BB11" s="51"/>
      <c r="BC11" s="3"/>
      <c r="BD11" s="3"/>
      <c r="BH11" s="32"/>
      <c r="BI11" s="32"/>
      <c r="BJ11" s="32"/>
      <c r="BK11" s="12"/>
      <c r="BL11" s="12"/>
      <c r="BM11" s="12"/>
      <c r="BN11" s="12"/>
      <c r="BO11" s="12"/>
      <c r="BS11" s="51"/>
      <c r="BT11" s="3"/>
      <c r="BU11" s="3"/>
      <c r="BX11" s="12"/>
      <c r="BY11" s="12"/>
    </row>
    <row r="12" spans="1:78">
      <c r="A12">
        <v>1925</v>
      </c>
      <c r="B12" s="3">
        <v>0.17499999999999999</v>
      </c>
      <c r="D12" s="3">
        <v>0.222</v>
      </c>
      <c r="E12">
        <v>2.8582829828571428</v>
      </c>
      <c r="G12">
        <f t="shared" si="0"/>
        <v>75.440836223555564</v>
      </c>
      <c r="M12" s="3">
        <f t="shared" si="1"/>
        <v>5.864796000000001</v>
      </c>
      <c r="N12" s="3"/>
      <c r="W12" s="12"/>
      <c r="X12" s="12"/>
      <c r="AA12" s="12"/>
      <c r="AN12"/>
      <c r="AO12"/>
      <c r="AP12"/>
      <c r="AQ12" s="32"/>
      <c r="AR12" s="32"/>
      <c r="AS12" s="32"/>
      <c r="AY12"/>
      <c r="BB12" s="51"/>
      <c r="BC12" s="3"/>
      <c r="BD12" s="3"/>
      <c r="BH12" s="32"/>
      <c r="BI12" s="32"/>
      <c r="BJ12" s="32"/>
      <c r="BK12" s="12"/>
      <c r="BL12" s="12"/>
      <c r="BM12" s="12"/>
      <c r="BN12" s="12"/>
      <c r="BO12" s="12"/>
      <c r="BS12" s="51"/>
      <c r="BT12" s="3"/>
      <c r="BU12" s="3"/>
      <c r="BX12" s="12"/>
      <c r="BY12" s="12"/>
    </row>
    <row r="13" spans="1:78">
      <c r="A13">
        <v>1926</v>
      </c>
      <c r="B13" s="3">
        <v>0.17699999999999999</v>
      </c>
      <c r="D13" s="3">
        <v>0.23379999999999998</v>
      </c>
      <c r="E13">
        <v>2.9761960666666663</v>
      </c>
      <c r="G13">
        <f t="shared" ref="G13:G49" si="2">M13*B$98/B13</f>
        <v>78.553005906417667</v>
      </c>
      <c r="M13" s="3">
        <f t="shared" si="1"/>
        <v>6.1765284000000005</v>
      </c>
      <c r="N13" s="3"/>
      <c r="W13" s="12"/>
      <c r="X13" s="12"/>
      <c r="AA13" s="12"/>
      <c r="AN13"/>
      <c r="AO13"/>
      <c r="AP13">
        <v>1926</v>
      </c>
      <c r="AQ13" s="32"/>
      <c r="AR13" s="32"/>
      <c r="AS13" s="32"/>
      <c r="AY13"/>
      <c r="BB13" s="9"/>
      <c r="BG13">
        <v>1926</v>
      </c>
      <c r="BH13" s="32"/>
      <c r="BI13" s="32"/>
      <c r="BJ13" s="32"/>
      <c r="BK13" s="12"/>
      <c r="BL13" s="12"/>
      <c r="BM13" s="12"/>
      <c r="BN13" s="12"/>
      <c r="BO13" s="12"/>
      <c r="BS13" s="9"/>
      <c r="BX13" s="12"/>
      <c r="BY13" s="12"/>
    </row>
    <row r="14" spans="1:78">
      <c r="A14">
        <v>1927</v>
      </c>
      <c r="B14" s="3">
        <v>0.17399999999999999</v>
      </c>
      <c r="D14" s="3">
        <v>0.2109</v>
      </c>
      <c r="E14">
        <v>2.7309744017241382</v>
      </c>
      <c r="G14">
        <f t="shared" si="2"/>
        <v>72.080684035437429</v>
      </c>
      <c r="M14" s="3">
        <f t="shared" si="1"/>
        <v>5.5715562000000007</v>
      </c>
      <c r="N14" s="3"/>
      <c r="W14" s="12"/>
      <c r="X14" s="12"/>
      <c r="AA14" s="12"/>
      <c r="AN14"/>
      <c r="AO14"/>
      <c r="AP14">
        <v>1927</v>
      </c>
      <c r="AQ14" s="32"/>
      <c r="AR14" s="32"/>
      <c r="AS14" s="32"/>
      <c r="AY14"/>
      <c r="BB14" s="9"/>
      <c r="BG14">
        <v>1927</v>
      </c>
      <c r="BH14" s="32"/>
      <c r="BI14" s="32"/>
      <c r="BJ14" s="32"/>
      <c r="BK14" s="12"/>
      <c r="BL14" s="12"/>
      <c r="BM14" s="12"/>
      <c r="BN14" s="12"/>
      <c r="BO14" s="12"/>
      <c r="BS14" s="9"/>
      <c r="BX14" s="12"/>
      <c r="BY14" s="12"/>
    </row>
    <row r="15" spans="1:78">
      <c r="A15">
        <v>1928</v>
      </c>
      <c r="B15" s="3">
        <v>0.17100000000000001</v>
      </c>
      <c r="D15" s="3">
        <v>0.2094</v>
      </c>
      <c r="E15">
        <v>2.7591217508771928</v>
      </c>
      <c r="G15">
        <f t="shared" si="2"/>
        <v>72.823598425061718</v>
      </c>
      <c r="M15" s="3">
        <f t="shared" si="1"/>
        <v>5.5319292000000004</v>
      </c>
      <c r="N15" s="3"/>
      <c r="W15" s="12"/>
      <c r="X15" s="12"/>
      <c r="AA15" s="12"/>
      <c r="AN15"/>
      <c r="AO15"/>
      <c r="AP15">
        <v>1928</v>
      </c>
      <c r="AQ15" s="32"/>
      <c r="AR15" s="32"/>
      <c r="AS15" s="32"/>
      <c r="AY15"/>
      <c r="BB15" s="9"/>
      <c r="BG15">
        <v>1928</v>
      </c>
      <c r="BH15" s="32"/>
      <c r="BI15" s="32"/>
      <c r="BJ15" s="32"/>
      <c r="BK15" s="12"/>
      <c r="BL15" s="12"/>
      <c r="BM15" s="12"/>
      <c r="BN15" s="12"/>
      <c r="BO15" s="12"/>
      <c r="BS15" s="9"/>
      <c r="BX15" s="12"/>
      <c r="BY15" s="12"/>
    </row>
    <row r="16" spans="1:78">
      <c r="A16">
        <v>1929</v>
      </c>
      <c r="B16" s="3">
        <v>0.17100000000000001</v>
      </c>
      <c r="D16" s="3">
        <v>0.21420000000000003</v>
      </c>
      <c r="E16">
        <v>2.8223680947368424</v>
      </c>
      <c r="G16">
        <f t="shared" si="2"/>
        <v>74.492907271481471</v>
      </c>
      <c r="M16" s="3">
        <f t="shared" si="1"/>
        <v>5.6587356000000009</v>
      </c>
      <c r="N16" s="3"/>
      <c r="W16" s="12"/>
      <c r="X16" s="12"/>
      <c r="AA16" s="12"/>
      <c r="AN16"/>
      <c r="AO16"/>
      <c r="AP16">
        <v>1929</v>
      </c>
      <c r="AQ16" s="32"/>
      <c r="AR16" s="32"/>
      <c r="AS16" s="32"/>
      <c r="AY16"/>
      <c r="BB16" s="9"/>
      <c r="BG16">
        <v>1929</v>
      </c>
      <c r="BH16" s="32"/>
      <c r="BI16" s="32"/>
      <c r="BJ16" s="32"/>
      <c r="BK16" s="12"/>
      <c r="BL16" s="12"/>
      <c r="BM16" s="12"/>
      <c r="BN16" s="12"/>
      <c r="BO16" s="12"/>
      <c r="BS16" s="9"/>
      <c r="BX16" s="12"/>
      <c r="BY16" s="12"/>
    </row>
    <row r="17" spans="1:77">
      <c r="A17">
        <v>1930</v>
      </c>
      <c r="B17" s="3">
        <v>0.16699999999999998</v>
      </c>
      <c r="D17" s="3">
        <v>0.19949999999999998</v>
      </c>
      <c r="E17">
        <v>2.6916384700598801</v>
      </c>
      <c r="G17">
        <f t="shared" si="2"/>
        <v>71.04246087972389</v>
      </c>
      <c r="M17" s="3">
        <f t="shared" si="1"/>
        <v>5.270391</v>
      </c>
      <c r="N17" s="3"/>
      <c r="W17" s="12"/>
      <c r="X17" s="12"/>
      <c r="AA17" s="12"/>
      <c r="AN17"/>
      <c r="AO17"/>
      <c r="AP17">
        <v>1930</v>
      </c>
      <c r="AQ17" s="32"/>
      <c r="AR17" s="32"/>
      <c r="AS17" s="32"/>
      <c r="AY17"/>
      <c r="BB17" s="9"/>
      <c r="BG17">
        <v>1930</v>
      </c>
      <c r="BH17" s="32"/>
      <c r="BI17" s="32"/>
      <c r="BJ17" s="32"/>
      <c r="BK17" s="12"/>
      <c r="BL17" s="12"/>
      <c r="BM17" s="12"/>
      <c r="BN17" s="12"/>
      <c r="BO17" s="12"/>
      <c r="BS17" s="9"/>
      <c r="BX17" s="12"/>
      <c r="BY17" s="12"/>
    </row>
    <row r="18" spans="1:77">
      <c r="A18">
        <v>1931</v>
      </c>
      <c r="B18" s="3">
        <v>0.152</v>
      </c>
      <c r="D18" s="3">
        <v>0.16980000000000001</v>
      </c>
      <c r="E18">
        <v>2.5170068407894735</v>
      </c>
      <c r="G18">
        <f t="shared" si="2"/>
        <v>66.433275497361109</v>
      </c>
      <c r="M18" s="3">
        <f t="shared" si="1"/>
        <v>4.4857764000000007</v>
      </c>
      <c r="N18" s="3"/>
      <c r="W18" s="12"/>
      <c r="X18" s="12"/>
      <c r="AA18" s="12"/>
      <c r="AN18"/>
      <c r="AO18"/>
      <c r="AP18">
        <v>1931</v>
      </c>
      <c r="AQ18" s="32"/>
      <c r="AR18" s="32"/>
      <c r="AS18" s="32"/>
      <c r="AY18"/>
      <c r="BB18" s="9"/>
      <c r="BG18">
        <v>1931</v>
      </c>
      <c r="BH18" s="32"/>
      <c r="BI18" s="32"/>
      <c r="BJ18" s="32"/>
      <c r="BK18" s="12"/>
      <c r="BL18" s="12"/>
      <c r="BM18" s="12"/>
      <c r="BN18" s="12"/>
      <c r="BO18" s="12"/>
      <c r="BS18" s="9"/>
      <c r="BX18" s="12"/>
      <c r="BY18" s="12"/>
    </row>
    <row r="19" spans="1:77">
      <c r="A19">
        <v>1932</v>
      </c>
      <c r="B19" s="3">
        <v>0.13699999999999998</v>
      </c>
      <c r="D19" s="3">
        <v>0.17929999999999999</v>
      </c>
      <c r="E19">
        <v>2.9488319291970804</v>
      </c>
      <c r="G19">
        <f t="shared" si="2"/>
        <v>77.830763418314405</v>
      </c>
      <c r="M19" s="3">
        <f t="shared" si="1"/>
        <v>4.7367473999999996</v>
      </c>
      <c r="N19" s="3"/>
      <c r="W19" s="12"/>
      <c r="X19" s="12"/>
      <c r="AA19" s="12"/>
      <c r="AN19"/>
      <c r="AO19"/>
      <c r="AP19">
        <v>1932</v>
      </c>
      <c r="AQ19" s="32"/>
      <c r="AR19" s="32"/>
      <c r="AS19" s="32"/>
      <c r="AY19"/>
      <c r="BB19" s="9"/>
      <c r="BG19">
        <v>1932</v>
      </c>
      <c r="BH19" s="32"/>
      <c r="BI19" s="32"/>
      <c r="BJ19" s="32"/>
      <c r="BK19" s="12"/>
      <c r="BL19" s="12"/>
      <c r="BM19" s="12"/>
      <c r="BN19" s="12"/>
      <c r="BO19" s="12"/>
      <c r="BS19" s="9"/>
      <c r="BX19" s="12"/>
      <c r="BY19" s="12"/>
    </row>
    <row r="20" spans="1:77">
      <c r="A20">
        <v>1933</v>
      </c>
      <c r="B20" s="3">
        <v>0.13</v>
      </c>
      <c r="D20" s="3">
        <v>0.1782</v>
      </c>
      <c r="E20">
        <v>3.0885500630769229</v>
      </c>
      <c r="G20">
        <f t="shared" si="2"/>
        <v>81.51845036838462</v>
      </c>
      <c r="M20" s="3">
        <f t="shared" si="1"/>
        <v>4.7076876000000007</v>
      </c>
      <c r="N20" s="3"/>
      <c r="W20" s="12"/>
      <c r="X20" s="12"/>
      <c r="AA20" s="12"/>
      <c r="AN20"/>
      <c r="AO20"/>
      <c r="AP20">
        <v>1933</v>
      </c>
      <c r="AQ20" s="32"/>
      <c r="AR20" s="32"/>
      <c r="AS20" s="32"/>
      <c r="AY20"/>
      <c r="BB20" s="9"/>
      <c r="BG20">
        <v>1933</v>
      </c>
      <c r="BH20" s="32"/>
      <c r="BI20" s="32"/>
      <c r="BJ20" s="32"/>
      <c r="BK20" s="12"/>
      <c r="BL20" s="12"/>
      <c r="BM20" s="12"/>
      <c r="BN20" s="12"/>
      <c r="BO20" s="12"/>
      <c r="BS20" s="9"/>
      <c r="BX20" s="12"/>
      <c r="BY20" s="12"/>
    </row>
    <row r="21" spans="1:77">
      <c r="A21">
        <v>1934</v>
      </c>
      <c r="B21" s="3">
        <v>0.13400000000000001</v>
      </c>
      <c r="D21" s="3">
        <v>0.1885</v>
      </c>
      <c r="E21">
        <v>3.169544503731343</v>
      </c>
      <c r="G21">
        <f t="shared" si="2"/>
        <v>83.656198229277223</v>
      </c>
      <c r="M21" s="3">
        <f t="shared" si="1"/>
        <v>4.9797930000000008</v>
      </c>
      <c r="N21" s="3"/>
      <c r="W21" s="12"/>
      <c r="X21" s="12"/>
      <c r="AA21" s="12"/>
      <c r="AN21"/>
      <c r="AO21"/>
      <c r="AP21">
        <v>1934</v>
      </c>
      <c r="AQ21" s="32"/>
      <c r="AR21" s="32"/>
      <c r="AS21" s="32"/>
      <c r="AY21"/>
      <c r="BB21" s="9"/>
      <c r="BG21">
        <v>1934</v>
      </c>
      <c r="BH21" s="32"/>
      <c r="BI21" s="32"/>
      <c r="BJ21" s="32"/>
      <c r="BK21" s="12"/>
      <c r="BL21" s="12"/>
      <c r="BM21" s="12"/>
      <c r="BN21" s="12"/>
      <c r="BO21" s="12"/>
      <c r="BS21" s="9"/>
      <c r="BX21" s="12"/>
      <c r="BY21" s="12"/>
    </row>
    <row r="22" spans="1:77">
      <c r="A22">
        <v>1935</v>
      </c>
      <c r="B22" s="3">
        <v>0.13699999999999998</v>
      </c>
      <c r="D22" s="3">
        <v>0.18840000000000001</v>
      </c>
      <c r="E22">
        <v>3.0984937839416067</v>
      </c>
      <c r="G22">
        <f t="shared" si="2"/>
        <v>81.780902554436338</v>
      </c>
      <c r="M22" s="3">
        <f t="shared" si="1"/>
        <v>4.9771512000000007</v>
      </c>
      <c r="N22" s="3"/>
      <c r="W22" s="12"/>
      <c r="X22" s="12"/>
      <c r="AA22" s="12"/>
      <c r="AN22"/>
      <c r="AO22"/>
      <c r="AP22">
        <v>1935</v>
      </c>
      <c r="AQ22" s="32"/>
      <c r="AR22" s="32"/>
      <c r="AS22" s="32"/>
      <c r="AY22"/>
      <c r="BB22" s="9"/>
      <c r="BG22">
        <v>1935</v>
      </c>
      <c r="BH22" s="32"/>
      <c r="BI22" s="32"/>
      <c r="BJ22" s="32"/>
      <c r="BK22" s="12"/>
      <c r="BL22" s="12"/>
      <c r="BM22" s="12"/>
      <c r="BN22" s="12"/>
      <c r="BO22" s="12"/>
      <c r="BS22" s="9"/>
      <c r="BX22" s="12"/>
      <c r="BY22" s="12"/>
    </row>
    <row r="23" spans="1:77">
      <c r="A23">
        <v>1936</v>
      </c>
      <c r="B23" s="3">
        <v>0.13900000000000001</v>
      </c>
      <c r="D23" s="3">
        <v>0.19450000000000001</v>
      </c>
      <c r="E23">
        <v>3.1527904280575534</v>
      </c>
      <c r="G23">
        <f t="shared" si="2"/>
        <v>83.213995170110564</v>
      </c>
      <c r="M23" s="3">
        <f t="shared" si="1"/>
        <v>5.1383010000000002</v>
      </c>
      <c r="N23" s="3"/>
      <c r="W23" s="12"/>
      <c r="X23" s="12"/>
      <c r="AA23" s="12"/>
      <c r="AN23"/>
      <c r="AO23"/>
      <c r="AP23">
        <v>1936</v>
      </c>
      <c r="AQ23" s="32"/>
      <c r="AR23" s="32"/>
      <c r="AS23" s="32"/>
      <c r="AY23"/>
      <c r="BB23" s="9"/>
      <c r="BG23">
        <v>1936</v>
      </c>
      <c r="BH23" s="32"/>
      <c r="BI23" s="32"/>
      <c r="BJ23" s="32"/>
      <c r="BK23" s="12"/>
      <c r="BL23" s="12"/>
      <c r="BM23" s="12"/>
      <c r="BN23" s="12"/>
      <c r="BO23" s="12"/>
      <c r="BS23" s="9"/>
      <c r="BX23" s="12"/>
      <c r="BY23" s="12"/>
    </row>
    <row r="24" spans="1:77">
      <c r="A24">
        <v>1937</v>
      </c>
      <c r="B24" s="3">
        <v>0.14400000000000002</v>
      </c>
      <c r="D24" s="3">
        <v>0.19989999999999999</v>
      </c>
      <c r="E24">
        <v>3.1278117006944437</v>
      </c>
      <c r="G24">
        <f t="shared" si="2"/>
        <v>82.554712624828937</v>
      </c>
      <c r="M24" s="3">
        <f t="shared" si="1"/>
        <v>5.2809581999999997</v>
      </c>
      <c r="N24" s="3"/>
      <c r="W24" s="12"/>
      <c r="X24" s="12"/>
      <c r="AA24" s="12"/>
      <c r="AN24"/>
      <c r="AO24"/>
      <c r="AP24">
        <v>1937</v>
      </c>
      <c r="AQ24" s="32"/>
      <c r="AR24" s="32"/>
      <c r="AS24" s="32"/>
      <c r="AY24"/>
      <c r="BB24" s="9"/>
      <c r="BG24">
        <v>1937</v>
      </c>
      <c r="BH24" s="32"/>
      <c r="BI24" s="32"/>
      <c r="BJ24" s="32"/>
      <c r="BK24" s="12"/>
      <c r="BL24" s="12"/>
      <c r="BM24" s="12"/>
      <c r="BN24" s="12"/>
      <c r="BO24" s="12"/>
      <c r="BS24" s="9"/>
      <c r="BX24" s="12"/>
      <c r="BY24" s="12"/>
    </row>
    <row r="25" spans="1:77">
      <c r="A25">
        <v>1938</v>
      </c>
      <c r="B25" s="3">
        <v>0.14099999999999999</v>
      </c>
      <c r="D25" s="3">
        <v>0.19510000000000002</v>
      </c>
      <c r="E25">
        <v>3.1176578730496463</v>
      </c>
      <c r="G25">
        <f t="shared" si="2"/>
        <v>82.286714930763083</v>
      </c>
      <c r="M25" s="3">
        <f t="shared" si="1"/>
        <v>5.1541518000000011</v>
      </c>
      <c r="N25" s="3"/>
      <c r="W25" s="12"/>
      <c r="X25" s="12"/>
      <c r="AA25" s="12"/>
      <c r="AN25"/>
      <c r="AO25"/>
      <c r="AP25">
        <v>1938</v>
      </c>
      <c r="AQ25" s="32"/>
      <c r="AR25" s="32"/>
      <c r="AS25" s="32"/>
      <c r="AY25"/>
      <c r="BB25" s="9"/>
      <c r="BG25">
        <v>1938</v>
      </c>
      <c r="BH25" s="32"/>
      <c r="BI25" s="32"/>
      <c r="BJ25" s="32"/>
      <c r="BK25" s="12"/>
      <c r="BL25" s="12"/>
      <c r="BM25" s="12"/>
      <c r="BN25" s="12"/>
      <c r="BO25" s="12"/>
      <c r="BS25" s="9"/>
      <c r="BX25" s="12"/>
      <c r="BY25" s="12"/>
    </row>
    <row r="26" spans="1:77">
      <c r="A26">
        <v>1939</v>
      </c>
      <c r="B26" s="3">
        <v>0.13900000000000001</v>
      </c>
      <c r="D26" s="3">
        <v>0.1875</v>
      </c>
      <c r="E26">
        <v>3.0393223920863304</v>
      </c>
      <c r="G26">
        <f t="shared" si="2"/>
        <v>80.21914701488808</v>
      </c>
      <c r="M26" s="3">
        <f t="shared" si="1"/>
        <v>4.9533750000000003</v>
      </c>
      <c r="N26" s="3"/>
      <c r="W26" s="12"/>
      <c r="X26" s="12"/>
      <c r="AA26" s="12"/>
      <c r="AN26"/>
      <c r="AO26"/>
      <c r="AP26">
        <v>1939</v>
      </c>
      <c r="AQ26" s="32"/>
      <c r="AR26" s="32"/>
      <c r="AS26" s="32"/>
      <c r="AY26"/>
      <c r="BB26" s="9"/>
      <c r="BG26">
        <v>1939</v>
      </c>
      <c r="BH26" s="32"/>
      <c r="BI26" s="32"/>
      <c r="BJ26" s="32"/>
      <c r="BK26" s="12"/>
      <c r="BL26" s="12"/>
      <c r="BM26" s="12"/>
      <c r="BN26" s="12"/>
      <c r="BO26" s="12"/>
      <c r="BS26" s="9"/>
      <c r="BX26" s="12"/>
      <c r="BY26" s="12"/>
    </row>
    <row r="27" spans="1:77">
      <c r="A27">
        <v>1940</v>
      </c>
      <c r="B27" s="3">
        <v>0.14000000000000001</v>
      </c>
      <c r="D27" s="3">
        <v>0.18410000000000001</v>
      </c>
      <c r="E27">
        <v>2.9628935649999999</v>
      </c>
      <c r="G27">
        <f t="shared" si="2"/>
        <v>78.201902864620365</v>
      </c>
      <c r="M27" s="3">
        <f t="shared" si="1"/>
        <v>4.8635538000000009</v>
      </c>
      <c r="N27" s="3"/>
      <c r="W27" s="12"/>
      <c r="X27" s="12"/>
      <c r="AA27" s="12"/>
      <c r="AN27"/>
      <c r="AO27"/>
      <c r="AP27">
        <v>1940</v>
      </c>
      <c r="AQ27" s="32"/>
      <c r="AR27" s="32"/>
      <c r="AS27" s="32"/>
      <c r="AY27"/>
      <c r="BB27" s="9"/>
      <c r="BG27">
        <v>1940</v>
      </c>
      <c r="BH27" s="32"/>
      <c r="BI27" s="32"/>
      <c r="BJ27" s="32"/>
      <c r="BK27" s="12"/>
      <c r="BL27" s="12"/>
      <c r="BM27" s="12"/>
      <c r="BN27" s="12"/>
      <c r="BO27" s="12"/>
      <c r="BS27" s="9"/>
      <c r="BX27" s="12"/>
      <c r="BY27" s="12"/>
    </row>
    <row r="28" spans="1:77">
      <c r="A28">
        <v>1941</v>
      </c>
      <c r="B28" s="3">
        <v>0.14699999999999999</v>
      </c>
      <c r="D28" s="3">
        <v>0.1923</v>
      </c>
      <c r="E28">
        <v>2.9474893693877551</v>
      </c>
      <c r="G28">
        <f t="shared" si="2"/>
        <v>77.795328216375665</v>
      </c>
      <c r="M28" s="3">
        <f t="shared" si="1"/>
        <v>5.0801814000000007</v>
      </c>
      <c r="N28" s="3"/>
      <c r="W28" s="12"/>
      <c r="X28" s="12"/>
      <c r="AA28" s="12"/>
      <c r="AN28"/>
      <c r="AO28"/>
      <c r="AP28">
        <v>1941</v>
      </c>
      <c r="AQ28" s="32"/>
      <c r="AR28" s="32"/>
      <c r="AS28" s="32"/>
      <c r="AY28"/>
      <c r="BB28" s="9"/>
      <c r="BG28">
        <v>1941</v>
      </c>
      <c r="BH28" s="32"/>
      <c r="BI28" s="32"/>
      <c r="BJ28" s="32"/>
      <c r="BK28" s="12"/>
      <c r="BL28" s="12"/>
      <c r="BM28" s="12"/>
      <c r="BN28" s="12"/>
      <c r="BO28" s="12"/>
      <c r="BS28" s="9"/>
      <c r="BX28" s="12"/>
      <c r="BY28" s="12"/>
    </row>
    <row r="29" spans="1:77">
      <c r="A29">
        <v>1942</v>
      </c>
      <c r="B29" s="3">
        <v>0.16300000000000001</v>
      </c>
      <c r="D29" s="3">
        <v>0.20430000000000001</v>
      </c>
      <c r="E29">
        <v>2.8240414067484663</v>
      </c>
      <c r="G29">
        <f t="shared" si="2"/>
        <v>74.537072267801634</v>
      </c>
      <c r="M29" s="3">
        <f t="shared" si="1"/>
        <v>5.3971974000000005</v>
      </c>
      <c r="N29" s="3"/>
      <c r="W29" s="12"/>
      <c r="X29" s="12"/>
      <c r="AA29" s="12"/>
      <c r="AN29"/>
      <c r="AO29"/>
      <c r="AP29">
        <v>1942</v>
      </c>
      <c r="AQ29" s="32"/>
      <c r="AR29" s="32"/>
      <c r="AS29" s="32"/>
      <c r="AY29"/>
      <c r="BB29" s="9"/>
      <c r="BG29">
        <v>1942</v>
      </c>
      <c r="BH29" s="32"/>
      <c r="BI29" s="32"/>
      <c r="BJ29" s="32"/>
      <c r="BK29" s="12"/>
      <c r="BL29" s="12"/>
      <c r="BM29" s="12"/>
      <c r="BN29" s="12"/>
      <c r="BO29" s="12"/>
      <c r="BS29" s="9"/>
      <c r="BX29" s="12"/>
      <c r="BY29" s="12"/>
    </row>
    <row r="30" spans="1:77">
      <c r="A30">
        <v>1943</v>
      </c>
      <c r="B30" s="3">
        <v>0.17300000000000001</v>
      </c>
      <c r="D30" s="3">
        <v>0.20530000000000001</v>
      </c>
      <c r="E30">
        <v>2.6738260132947973</v>
      </c>
      <c r="G30">
        <f t="shared" si="2"/>
        <v>70.572323163614854</v>
      </c>
      <c r="M30" s="3">
        <f t="shared" si="1"/>
        <v>5.423615400000001</v>
      </c>
      <c r="N30" s="3"/>
      <c r="W30" s="12"/>
      <c r="X30" s="12"/>
      <c r="AA30" s="12"/>
      <c r="AN30"/>
      <c r="AO30"/>
      <c r="AP30">
        <v>1943</v>
      </c>
      <c r="AQ30" s="32"/>
      <c r="AR30" s="32"/>
      <c r="AS30" s="32"/>
      <c r="AY30"/>
      <c r="BB30" s="9"/>
      <c r="BG30">
        <v>1943</v>
      </c>
      <c r="BH30" s="32"/>
      <c r="BI30" s="32"/>
      <c r="BJ30" s="32"/>
      <c r="BK30" s="12"/>
      <c r="BL30" s="12"/>
      <c r="BM30" s="12"/>
      <c r="BN30" s="12"/>
      <c r="BO30" s="12"/>
      <c r="BS30" s="9"/>
      <c r="BX30" s="12"/>
      <c r="BY30" s="12"/>
    </row>
    <row r="31" spans="1:77">
      <c r="A31">
        <v>1944</v>
      </c>
      <c r="B31" s="3">
        <v>0.17600000000000002</v>
      </c>
      <c r="D31" s="3">
        <v>0.2059</v>
      </c>
      <c r="E31">
        <v>2.635930630113636</v>
      </c>
      <c r="G31">
        <f t="shared" si="2"/>
        <v>69.572121499418117</v>
      </c>
      <c r="M31" s="3">
        <f t="shared" si="1"/>
        <v>5.4394662</v>
      </c>
      <c r="N31" s="3"/>
      <c r="W31" s="12"/>
      <c r="X31" s="12"/>
      <c r="AA31" s="12"/>
      <c r="AN31"/>
      <c r="AO31"/>
      <c r="AP31">
        <v>1944</v>
      </c>
      <c r="AQ31" s="32"/>
      <c r="AR31" s="32"/>
      <c r="AS31" s="32"/>
      <c r="AY31"/>
      <c r="BB31" s="9"/>
      <c r="BG31">
        <v>1944</v>
      </c>
      <c r="BH31" s="32"/>
      <c r="BI31" s="32"/>
      <c r="BJ31" s="32"/>
      <c r="BK31" s="12"/>
      <c r="BL31" s="12"/>
      <c r="BM31" s="12"/>
      <c r="BN31" s="12"/>
      <c r="BO31" s="12"/>
      <c r="BS31" s="9"/>
      <c r="BX31" s="12"/>
      <c r="BY31" s="12"/>
    </row>
    <row r="32" spans="1:77">
      <c r="A32">
        <v>1945</v>
      </c>
      <c r="B32" s="3">
        <v>0.18</v>
      </c>
      <c r="D32" s="3">
        <v>0.20499999999999999</v>
      </c>
      <c r="E32">
        <v>2.5660886388888886</v>
      </c>
      <c r="G32">
        <f t="shared" si="2"/>
        <v>67.728728716718095</v>
      </c>
      <c r="M32" s="3">
        <f t="shared" si="1"/>
        <v>5.4156899999999997</v>
      </c>
      <c r="N32" s="3"/>
      <c r="W32" s="12"/>
      <c r="X32" s="12"/>
      <c r="AA32" s="12"/>
      <c r="AN32"/>
      <c r="AO32"/>
      <c r="AP32">
        <v>1945</v>
      </c>
      <c r="AQ32" s="32"/>
      <c r="AR32" s="32"/>
      <c r="AS32" s="32"/>
      <c r="AY32"/>
      <c r="BB32" s="9"/>
      <c r="BG32">
        <v>1945</v>
      </c>
      <c r="BH32" s="32"/>
      <c r="BI32" s="32"/>
      <c r="BJ32" s="32"/>
      <c r="BK32" s="12"/>
      <c r="BL32" s="12"/>
      <c r="BM32" s="12"/>
      <c r="BN32" s="12"/>
      <c r="BO32" s="12"/>
      <c r="BS32" s="9"/>
      <c r="BX32" s="12"/>
      <c r="BY32" s="12"/>
    </row>
    <row r="33" spans="1:77">
      <c r="A33">
        <v>1946</v>
      </c>
      <c r="B33" s="3">
        <v>0.19500000000000001</v>
      </c>
      <c r="D33" s="3">
        <v>0.2077</v>
      </c>
      <c r="E33">
        <v>2.3998946805128201</v>
      </c>
      <c r="G33">
        <f t="shared" si="2"/>
        <v>63.342245198329522</v>
      </c>
      <c r="M33" s="3">
        <f t="shared" si="1"/>
        <v>5.4870185999999999</v>
      </c>
      <c r="N33" s="3"/>
      <c r="W33" s="12"/>
      <c r="X33" s="12"/>
      <c r="AA33" s="12"/>
      <c r="AN33"/>
      <c r="AO33"/>
      <c r="AP33">
        <v>1946</v>
      </c>
      <c r="AQ33" s="32"/>
      <c r="AR33" s="32"/>
      <c r="AS33" s="32"/>
      <c r="AY33"/>
      <c r="BB33" s="9"/>
      <c r="BG33">
        <v>1946</v>
      </c>
      <c r="BH33" s="32"/>
      <c r="BI33" s="32"/>
      <c r="BJ33" s="32"/>
      <c r="BK33" s="12"/>
      <c r="BL33" s="12"/>
      <c r="BM33" s="12"/>
      <c r="BN33" s="12"/>
      <c r="BO33" s="12"/>
      <c r="BS33" s="9"/>
      <c r="BX33" s="12"/>
      <c r="BY33" s="12"/>
    </row>
    <row r="34" spans="1:77">
      <c r="A34">
        <v>1947</v>
      </c>
      <c r="B34" s="3">
        <v>0.223</v>
      </c>
      <c r="D34" s="3">
        <v>0.2311</v>
      </c>
      <c r="E34">
        <v>2.3349919107623314</v>
      </c>
      <c r="G34">
        <f t="shared" si="2"/>
        <v>61.629217043815807</v>
      </c>
      <c r="M34" s="3">
        <f t="shared" si="1"/>
        <v>6.1051998000000003</v>
      </c>
      <c r="N34" s="3"/>
      <c r="W34" s="12"/>
      <c r="X34" s="12"/>
      <c r="AA34" s="12"/>
      <c r="AN34"/>
      <c r="AO34"/>
      <c r="AP34">
        <v>1947</v>
      </c>
      <c r="AQ34" s="32"/>
      <c r="AR34" s="32"/>
      <c r="AS34" s="32"/>
      <c r="AY34"/>
      <c r="BB34" s="9"/>
      <c r="BG34">
        <v>1947</v>
      </c>
      <c r="BH34" s="32"/>
      <c r="BI34" s="32"/>
      <c r="BJ34" s="32"/>
      <c r="BK34" s="12"/>
      <c r="BL34" s="12"/>
      <c r="BM34" s="12"/>
      <c r="BN34" s="12"/>
      <c r="BO34" s="12"/>
      <c r="BS34" s="9"/>
      <c r="BX34" s="12"/>
      <c r="BY34" s="12"/>
    </row>
    <row r="35" spans="1:77">
      <c r="A35">
        <v>1948</v>
      </c>
      <c r="B35" s="3">
        <v>0.24100000000000002</v>
      </c>
      <c r="D35" s="3">
        <v>0.25879999999999997</v>
      </c>
      <c r="E35">
        <v>2.4195663020746885</v>
      </c>
      <c r="G35">
        <f t="shared" si="2"/>
        <v>63.861453264641149</v>
      </c>
      <c r="M35" s="3">
        <f t="shared" si="1"/>
        <v>6.8369784000000005</v>
      </c>
      <c r="N35" s="3"/>
      <c r="W35" s="12"/>
      <c r="X35" s="12"/>
      <c r="AA35" s="12"/>
      <c r="AN35"/>
      <c r="AO35"/>
      <c r="AP35">
        <v>1948</v>
      </c>
      <c r="AQ35" s="32"/>
      <c r="AR35" s="32"/>
      <c r="AS35" s="32"/>
      <c r="AY35"/>
      <c r="BB35" s="9"/>
      <c r="BG35">
        <v>1948</v>
      </c>
      <c r="BH35" s="32"/>
      <c r="BI35" s="32"/>
      <c r="BJ35" s="32"/>
      <c r="BK35" s="12"/>
      <c r="BL35" s="12"/>
      <c r="BM35" s="12"/>
      <c r="BN35" s="12"/>
      <c r="BO35" s="12"/>
      <c r="BS35" s="9"/>
      <c r="BX35" s="12"/>
      <c r="BY35" s="12"/>
    </row>
    <row r="36" spans="1:77">
      <c r="A36">
        <v>1949</v>
      </c>
      <c r="B36" s="3">
        <v>0.23800000000000002</v>
      </c>
      <c r="D36" s="3">
        <v>0.26789999999999997</v>
      </c>
      <c r="E36">
        <v>2.53621492815126</v>
      </c>
      <c r="G36">
        <f t="shared" si="2"/>
        <v>66.940249153055532</v>
      </c>
      <c r="M36" s="3">
        <f t="shared" si="1"/>
        <v>7.0773821999999997</v>
      </c>
      <c r="N36" s="3"/>
      <c r="W36" s="12"/>
      <c r="X36" s="12"/>
      <c r="AA36" s="12"/>
      <c r="AN36"/>
      <c r="AO36"/>
      <c r="AP36">
        <v>1949</v>
      </c>
      <c r="AQ36" s="32"/>
      <c r="AR36" s="32"/>
      <c r="AS36" s="32"/>
      <c r="AY36"/>
      <c r="BB36" s="9"/>
      <c r="BG36">
        <v>1949</v>
      </c>
      <c r="BH36" s="32"/>
      <c r="BI36" s="32"/>
      <c r="BJ36" s="32"/>
      <c r="BK36" s="12"/>
      <c r="BL36" s="12"/>
      <c r="BM36" s="12"/>
      <c r="BN36" s="12"/>
      <c r="BO36" s="12"/>
      <c r="BS36" s="9"/>
      <c r="BX36" s="12"/>
      <c r="BY36" s="12"/>
    </row>
    <row r="37" spans="1:77">
      <c r="A37">
        <v>1950</v>
      </c>
      <c r="B37" s="3">
        <v>0.24100000000000002</v>
      </c>
      <c r="D37" s="3">
        <v>0.2676</v>
      </c>
      <c r="E37">
        <v>2.5018390356846472</v>
      </c>
      <c r="G37">
        <f t="shared" si="2"/>
        <v>66.032940083531571</v>
      </c>
      <c r="M37" s="3">
        <f t="shared" si="1"/>
        <v>7.0694568000000011</v>
      </c>
      <c r="N37" s="3"/>
      <c r="W37" s="12"/>
      <c r="X37" s="12"/>
      <c r="AA37" s="12"/>
      <c r="AN37"/>
      <c r="AO37"/>
      <c r="AP37">
        <v>1950</v>
      </c>
      <c r="AQ37" s="32"/>
      <c r="AR37" s="32"/>
      <c r="AS37" s="32"/>
      <c r="AY37"/>
      <c r="BB37" s="9"/>
      <c r="BG37">
        <v>1950</v>
      </c>
      <c r="BH37" s="32"/>
      <c r="BI37" s="32"/>
      <c r="BJ37" s="32"/>
      <c r="BK37" s="12"/>
      <c r="BL37" s="12"/>
      <c r="BM37" s="12"/>
      <c r="BN37" s="12"/>
      <c r="BO37" s="12"/>
      <c r="BS37" s="9"/>
      <c r="BX37" s="12"/>
      <c r="BY37" s="12"/>
    </row>
    <row r="38" spans="1:77">
      <c r="A38">
        <v>1951</v>
      </c>
      <c r="B38" s="3">
        <v>0.26</v>
      </c>
      <c r="D38" s="3">
        <v>0.27149999999999996</v>
      </c>
      <c r="E38">
        <v>2.3528096019230764</v>
      </c>
      <c r="G38">
        <f t="shared" si="2"/>
        <v>62.09949291530981</v>
      </c>
      <c r="M38" s="3">
        <f t="shared" si="1"/>
        <v>7.1724869999999994</v>
      </c>
      <c r="N38" s="3"/>
      <c r="W38" s="12"/>
      <c r="X38" s="12"/>
      <c r="AA38" s="12"/>
      <c r="AN38"/>
      <c r="AO38"/>
      <c r="AP38">
        <v>1951</v>
      </c>
      <c r="AQ38" s="32"/>
      <c r="AR38" s="32"/>
      <c r="AS38" s="32"/>
      <c r="AY38"/>
      <c r="BB38" s="9"/>
      <c r="BG38">
        <v>1951</v>
      </c>
      <c r="BH38" s="32"/>
      <c r="BI38" s="32"/>
      <c r="BJ38" s="32"/>
      <c r="BK38" s="12"/>
      <c r="BL38" s="12"/>
      <c r="BM38" s="12"/>
      <c r="BN38" s="12"/>
      <c r="BO38" s="12"/>
      <c r="BS38" s="9"/>
      <c r="BX38" s="12"/>
      <c r="BY38" s="12"/>
    </row>
    <row r="39" spans="1:77">
      <c r="A39">
        <v>1952</v>
      </c>
      <c r="B39" s="3">
        <v>0.26500000000000001</v>
      </c>
      <c r="D39" s="3">
        <v>0.27560000000000001</v>
      </c>
      <c r="E39">
        <v>2.3432770400000003</v>
      </c>
      <c r="G39">
        <f t="shared" si="2"/>
        <v>61.847892759851845</v>
      </c>
      <c r="M39" s="3">
        <f t="shared" si="1"/>
        <v>7.2808008000000006</v>
      </c>
      <c r="N39" s="3"/>
      <c r="W39" s="12"/>
      <c r="X39" s="12"/>
      <c r="AA39" s="12"/>
      <c r="AN39"/>
      <c r="AO39"/>
      <c r="AP39">
        <v>1952</v>
      </c>
      <c r="AQ39" s="32"/>
      <c r="AR39" s="32"/>
      <c r="AS39" s="32"/>
      <c r="AY39"/>
      <c r="BB39" s="9"/>
      <c r="BG39">
        <v>1952</v>
      </c>
      <c r="BH39" s="32"/>
      <c r="BI39" s="32"/>
      <c r="BJ39" s="32"/>
      <c r="BK39" s="12"/>
      <c r="BL39" s="12"/>
      <c r="BM39" s="12"/>
      <c r="BN39" s="12"/>
      <c r="BO39" s="12"/>
      <c r="BS39" s="9"/>
      <c r="BX39" s="12"/>
      <c r="BY39" s="12"/>
    </row>
    <row r="40" spans="1:77">
      <c r="A40">
        <v>1953</v>
      </c>
      <c r="B40" s="3">
        <v>0.26700000000000002</v>
      </c>
      <c r="D40" s="3">
        <v>0.28689999999999999</v>
      </c>
      <c r="E40">
        <v>2.4210824790262171</v>
      </c>
      <c r="G40">
        <f t="shared" si="2"/>
        <v>63.901470875833674</v>
      </c>
      <c r="M40" s="3">
        <f t="shared" si="1"/>
        <v>7.5793242000000012</v>
      </c>
      <c r="N40" s="3"/>
      <c r="W40" s="12"/>
      <c r="X40" s="12"/>
      <c r="AA40" s="12"/>
      <c r="AN40"/>
      <c r="AO40"/>
      <c r="AP40">
        <v>1953</v>
      </c>
      <c r="AQ40" s="32"/>
      <c r="AR40" s="32"/>
      <c r="AS40" s="32"/>
      <c r="AY40"/>
      <c r="BB40" s="9"/>
      <c r="BG40">
        <v>1953</v>
      </c>
      <c r="BH40" s="32"/>
      <c r="BI40" s="32"/>
      <c r="BJ40" s="32"/>
      <c r="BK40" s="12"/>
      <c r="BL40" s="12"/>
      <c r="BM40" s="12"/>
      <c r="BN40" s="12"/>
      <c r="BO40" s="12"/>
      <c r="BS40" s="9"/>
      <c r="BX40" s="12"/>
      <c r="BY40" s="12"/>
    </row>
    <row r="41" spans="1:77">
      <c r="A41">
        <v>1954</v>
      </c>
      <c r="B41" s="3">
        <v>0.26899999999999996</v>
      </c>
      <c r="D41" s="3">
        <v>0.29039999999999999</v>
      </c>
      <c r="E41">
        <v>2.4323979568773235</v>
      </c>
      <c r="G41">
        <f t="shared" si="2"/>
        <v>64.200128887121025</v>
      </c>
      <c r="M41" s="3">
        <f t="shared" si="1"/>
        <v>7.6717872000000007</v>
      </c>
      <c r="N41" s="3"/>
      <c r="W41" s="12"/>
      <c r="X41" s="12"/>
      <c r="AA41" s="12"/>
      <c r="AN41"/>
      <c r="AO41"/>
      <c r="AP41">
        <v>1954</v>
      </c>
      <c r="AQ41" s="32"/>
      <c r="AR41" s="32"/>
      <c r="AS41" s="32"/>
      <c r="AY41"/>
      <c r="BB41" s="9"/>
      <c r="BG41">
        <v>1954</v>
      </c>
      <c r="BH41" s="32"/>
      <c r="BI41" s="32"/>
      <c r="BJ41" s="32"/>
      <c r="BK41" s="12"/>
      <c r="BL41" s="12"/>
      <c r="BM41" s="12"/>
      <c r="BN41" s="12"/>
      <c r="BO41" s="12"/>
      <c r="BS41" s="9"/>
      <c r="BX41" s="12"/>
      <c r="BY41" s="12"/>
    </row>
    <row r="42" spans="1:77">
      <c r="A42">
        <v>1955</v>
      </c>
      <c r="B42" s="3">
        <v>0.26800000000000002</v>
      </c>
      <c r="D42" s="3">
        <v>0.29070000000000001</v>
      </c>
      <c r="E42">
        <v>2.4439962526119401</v>
      </c>
      <c r="G42">
        <f t="shared" si="2"/>
        <v>64.506251525864428</v>
      </c>
      <c r="M42" s="3">
        <f t="shared" si="1"/>
        <v>7.6797126000000011</v>
      </c>
      <c r="N42" s="3"/>
      <c r="W42" s="12"/>
      <c r="X42" s="12"/>
      <c r="AA42" s="12"/>
      <c r="AN42"/>
      <c r="AO42"/>
      <c r="AP42">
        <v>1955</v>
      </c>
      <c r="AQ42" s="32"/>
      <c r="AR42" s="32"/>
      <c r="AS42" s="32"/>
      <c r="AY42"/>
      <c r="BB42" s="9"/>
      <c r="BG42">
        <v>1955</v>
      </c>
      <c r="BH42" s="32"/>
      <c r="BI42" s="32"/>
      <c r="BJ42" s="32"/>
      <c r="BK42" s="12"/>
      <c r="BL42" s="12"/>
      <c r="BM42" s="12"/>
      <c r="BN42" s="12"/>
      <c r="BO42" s="12"/>
      <c r="BS42" s="9"/>
      <c r="BX42" s="12"/>
      <c r="BY42" s="12"/>
    </row>
    <row r="43" spans="1:77">
      <c r="A43">
        <v>1956</v>
      </c>
      <c r="B43" s="3">
        <v>0.27200000000000002</v>
      </c>
      <c r="D43" s="3">
        <v>0.29930000000000001</v>
      </c>
      <c r="E43">
        <v>2.4792944643382353</v>
      </c>
      <c r="G43">
        <f t="shared" si="2"/>
        <v>65.437904068946764</v>
      </c>
      <c r="M43" s="3">
        <f t="shared" si="1"/>
        <v>7.9069074000000015</v>
      </c>
      <c r="N43" s="3"/>
      <c r="W43" s="12"/>
      <c r="X43" s="12"/>
      <c r="AA43" s="12"/>
      <c r="AN43"/>
      <c r="AO43"/>
      <c r="AP43">
        <v>1956</v>
      </c>
      <c r="AQ43" s="32"/>
      <c r="AR43" s="32"/>
      <c r="AS43" s="32"/>
      <c r="AY43"/>
      <c r="BB43" s="9"/>
      <c r="BG43">
        <v>1956</v>
      </c>
      <c r="BH43" s="32"/>
      <c r="BI43" s="32"/>
      <c r="BJ43" s="32"/>
      <c r="BK43" s="12"/>
      <c r="BL43" s="12"/>
      <c r="BM43" s="12"/>
      <c r="BN43" s="12"/>
      <c r="BO43" s="12"/>
      <c r="BS43" s="9"/>
      <c r="BX43" s="12"/>
      <c r="BY43" s="12"/>
    </row>
    <row r="44" spans="1:77">
      <c r="A44">
        <v>1957</v>
      </c>
      <c r="B44" s="3">
        <v>0.28100000000000003</v>
      </c>
      <c r="D44" s="3">
        <v>0.30959999999999999</v>
      </c>
      <c r="E44">
        <v>2.4824752654804265</v>
      </c>
      <c r="G44">
        <f t="shared" si="2"/>
        <v>65.521857372194546</v>
      </c>
      <c r="M44" s="3">
        <f t="shared" si="1"/>
        <v>8.1790128000000006</v>
      </c>
      <c r="N44" s="3"/>
      <c r="W44" s="12"/>
      <c r="X44" s="12"/>
      <c r="AA44" s="12"/>
      <c r="AN44"/>
      <c r="AO44"/>
      <c r="AP44">
        <v>1957</v>
      </c>
      <c r="AQ44" s="32"/>
      <c r="AR44" s="32"/>
      <c r="AS44" s="32"/>
      <c r="AY44"/>
      <c r="BB44" s="9"/>
      <c r="BG44">
        <v>1957</v>
      </c>
      <c r="BH44" s="32"/>
      <c r="BI44" s="32"/>
      <c r="BJ44" s="32"/>
      <c r="BK44" s="12"/>
      <c r="BL44" s="12"/>
      <c r="BM44" s="12"/>
      <c r="BN44" s="12"/>
      <c r="BO44" s="12"/>
      <c r="BS44" s="9"/>
      <c r="BX44" s="12"/>
      <c r="BY44" s="12"/>
    </row>
    <row r="45" spans="1:77">
      <c r="A45">
        <v>1958</v>
      </c>
      <c r="B45" s="3">
        <v>0.28899999999999998</v>
      </c>
      <c r="D45" s="3">
        <v>0.30380000000000001</v>
      </c>
      <c r="E45">
        <v>2.3685372795847752</v>
      </c>
      <c r="G45">
        <f t="shared" si="2"/>
        <v>62.514605471263621</v>
      </c>
      <c r="M45" s="3">
        <f t="shared" si="1"/>
        <v>8.0257884000000015</v>
      </c>
      <c r="N45" s="3"/>
      <c r="W45" s="12"/>
      <c r="X45" s="12"/>
      <c r="AA45" s="12"/>
      <c r="AN45"/>
      <c r="AO45"/>
      <c r="AP45">
        <v>1958</v>
      </c>
      <c r="AQ45" s="32"/>
      <c r="AR45" s="32"/>
      <c r="AS45" s="32"/>
      <c r="AY45"/>
      <c r="BB45" s="9"/>
      <c r="BG45">
        <v>1958</v>
      </c>
      <c r="BH45" s="32"/>
      <c r="BI45" s="32"/>
      <c r="BJ45" s="32"/>
      <c r="BK45" s="12"/>
      <c r="BL45" s="12"/>
      <c r="BM45" s="12"/>
      <c r="BN45" s="12"/>
      <c r="BO45" s="12"/>
      <c r="BS45" s="9"/>
      <c r="BX45" s="12"/>
      <c r="BY45" s="12"/>
    </row>
    <row r="46" spans="1:77">
      <c r="A46">
        <v>1959</v>
      </c>
      <c r="B46" s="3">
        <v>0.29100000000000004</v>
      </c>
      <c r="D46" s="3">
        <v>0.30499999999999999</v>
      </c>
      <c r="E46">
        <v>2.3615500171821298</v>
      </c>
      <c r="G46">
        <f t="shared" si="2"/>
        <v>62.330185341510749</v>
      </c>
      <c r="M46" s="3">
        <f t="shared" si="1"/>
        <v>8.0574900000000014</v>
      </c>
      <c r="N46" s="3"/>
      <c r="W46" s="12"/>
      <c r="X46" s="12"/>
      <c r="AA46" s="12"/>
      <c r="AN46"/>
      <c r="AO46"/>
      <c r="AP46">
        <v>1959</v>
      </c>
      <c r="AQ46" s="32"/>
      <c r="AR46" s="32"/>
      <c r="AS46" s="32"/>
      <c r="AY46"/>
      <c r="BB46" s="9"/>
      <c r="BG46">
        <v>1959</v>
      </c>
      <c r="BH46" s="32"/>
      <c r="BI46" s="32"/>
      <c r="BJ46" s="32"/>
      <c r="BK46" s="12"/>
      <c r="BL46" s="12"/>
      <c r="BM46" s="12"/>
      <c r="BN46" s="12"/>
      <c r="BO46" s="12"/>
      <c r="BS46" s="9"/>
      <c r="BX46" s="12"/>
      <c r="BY46" s="12"/>
    </row>
    <row r="47" spans="1:77">
      <c r="A47">
        <v>1960</v>
      </c>
      <c r="B47" s="3">
        <v>0.29600000000000004</v>
      </c>
      <c r="D47" s="3">
        <v>0.31129999999999997</v>
      </c>
      <c r="E47">
        <v>2.36961454831081</v>
      </c>
      <c r="G47">
        <f t="shared" si="2"/>
        <v>62.54303864391202</v>
      </c>
      <c r="M47" s="3">
        <f t="shared" si="1"/>
        <v>8.2239234000000003</v>
      </c>
      <c r="N47" s="3"/>
      <c r="V47" t="s">
        <v>1966</v>
      </c>
      <c r="W47" t="s">
        <v>1966</v>
      </c>
      <c r="X47" s="12"/>
      <c r="AA47" s="12"/>
      <c r="AN47"/>
      <c r="AO47"/>
      <c r="AP47">
        <v>1960</v>
      </c>
      <c r="AQ47" s="32"/>
      <c r="AR47" s="32"/>
      <c r="AS47" s="32"/>
      <c r="AY47"/>
      <c r="BB47" s="9"/>
      <c r="BG47">
        <v>1960</v>
      </c>
      <c r="BH47" s="32"/>
      <c r="BI47" s="32"/>
      <c r="BJ47" s="32"/>
      <c r="BK47" s="12"/>
      <c r="BL47" s="12"/>
      <c r="BM47" s="12"/>
      <c r="BN47" s="12"/>
      <c r="BO47" s="12"/>
      <c r="BS47" s="9"/>
      <c r="BX47" s="12"/>
      <c r="BY47" s="12"/>
    </row>
    <row r="48" spans="1:77">
      <c r="A48">
        <v>1961</v>
      </c>
      <c r="B48" s="3">
        <v>0.29899999999999999</v>
      </c>
      <c r="D48" s="3">
        <v>0.30760000000000004</v>
      </c>
      <c r="E48">
        <v>2.3179573498327763</v>
      </c>
      <c r="G48">
        <f t="shared" si="2"/>
        <v>61.179610924010916</v>
      </c>
      <c r="M48" s="3">
        <f t="shared" si="1"/>
        <v>8.1261768000000014</v>
      </c>
      <c r="N48" s="3"/>
      <c r="V48" s="12" t="s">
        <v>1964</v>
      </c>
      <c r="W48" s="12" t="s">
        <v>1963</v>
      </c>
      <c r="X48" s="12"/>
      <c r="AA48" s="12"/>
      <c r="AN48"/>
      <c r="AO48"/>
      <c r="AP48">
        <v>1961</v>
      </c>
      <c r="AQ48" s="32"/>
      <c r="AR48" s="32"/>
      <c r="AS48" s="32"/>
      <c r="AY48"/>
      <c r="BB48" s="9"/>
      <c r="BG48">
        <v>1961</v>
      </c>
      <c r="BH48" s="32"/>
      <c r="BI48" s="32"/>
      <c r="BJ48" s="32"/>
      <c r="BK48" s="12"/>
      <c r="BL48" s="12"/>
      <c r="BM48" s="12"/>
      <c r="BN48" s="12"/>
      <c r="BO48" s="12"/>
      <c r="BS48" s="9"/>
      <c r="BX48" s="12"/>
      <c r="BY48" s="12"/>
    </row>
    <row r="49" spans="1:78">
      <c r="A49">
        <v>1962</v>
      </c>
      <c r="B49" s="3">
        <v>0.30199999999999999</v>
      </c>
      <c r="D49" s="3">
        <v>0.30640000000000001</v>
      </c>
      <c r="E49">
        <v>2.2859783655629138</v>
      </c>
      <c r="G49">
        <f t="shared" si="2"/>
        <v>60.335565275148397</v>
      </c>
      <c r="M49" s="3">
        <f t="shared" si="1"/>
        <v>8.0944752000000015</v>
      </c>
      <c r="N49" s="3"/>
      <c r="V49" s="12" t="s">
        <v>1965</v>
      </c>
      <c r="W49" s="12" t="s">
        <v>1965</v>
      </c>
      <c r="X49" s="12" t="s">
        <v>1967</v>
      </c>
      <c r="AA49" s="12"/>
      <c r="AN49"/>
      <c r="AO49"/>
      <c r="AP49">
        <v>1962</v>
      </c>
      <c r="AQ49" s="32"/>
      <c r="AR49" s="32"/>
      <c r="AS49" s="32"/>
      <c r="AY49"/>
      <c r="BB49" s="9"/>
      <c r="BG49">
        <v>1962</v>
      </c>
      <c r="BH49" s="32"/>
      <c r="BI49" s="32"/>
      <c r="BJ49" s="32"/>
      <c r="BK49" s="12"/>
      <c r="BL49" s="12"/>
      <c r="BM49" s="12"/>
      <c r="BN49" s="12"/>
      <c r="BO49" s="12"/>
      <c r="BS49" s="9"/>
      <c r="BX49" s="12"/>
      <c r="BY49" s="12"/>
    </row>
    <row r="50" spans="1:78">
      <c r="A50">
        <v>1963</v>
      </c>
      <c r="B50" s="3">
        <v>0.30599999999999999</v>
      </c>
      <c r="C50" s="3">
        <f t="shared" ref="C50:C81" si="3">B50*1/1.52383*100</f>
        <v>20.080980161829075</v>
      </c>
      <c r="D50" s="3">
        <v>0.30420000000000003</v>
      </c>
      <c r="E50">
        <v>2.2398971705882356</v>
      </c>
      <c r="G50">
        <f t="shared" ref="G50:G97" si="4">M50*B$98/B50</f>
        <v>59.119309255740745</v>
      </c>
      <c r="M50" s="3">
        <f t="shared" si="1"/>
        <v>8.036355600000002</v>
      </c>
      <c r="N50" s="3"/>
      <c r="V50" s="3">
        <v>2.9699999999999993</v>
      </c>
      <c r="W50" s="7">
        <f>X50</f>
        <v>3.3</v>
      </c>
      <c r="X50" s="7">
        <v>3.3</v>
      </c>
      <c r="Z50" s="3">
        <f>X50</f>
        <v>3.3</v>
      </c>
      <c r="AA50" s="12"/>
      <c r="AN50"/>
      <c r="AO50"/>
      <c r="AP50" s="46" t="s">
        <v>2103</v>
      </c>
      <c r="AQ50" s="46" t="s">
        <v>58</v>
      </c>
      <c r="AR50" s="46" t="s">
        <v>58</v>
      </c>
      <c r="AS50" s="46" t="s">
        <v>58</v>
      </c>
      <c r="AT50" s="3"/>
      <c r="AU50" s="46"/>
      <c r="AV50" s="3"/>
      <c r="AW50" s="46" t="s">
        <v>227</v>
      </c>
      <c r="AX50" s="46" t="s">
        <v>227</v>
      </c>
      <c r="AY50" s="46" t="s">
        <v>227</v>
      </c>
      <c r="AZ50" s="46" t="s">
        <v>227</v>
      </c>
      <c r="BA50" s="46" t="s">
        <v>227</v>
      </c>
      <c r="BB50" s="46" t="s">
        <v>1957</v>
      </c>
      <c r="BC50" s="46" t="s">
        <v>2098</v>
      </c>
      <c r="BD50" s="46" t="s">
        <v>2098</v>
      </c>
      <c r="BE50" s="46" t="s">
        <v>2098</v>
      </c>
      <c r="BG50" s="46" t="s">
        <v>2103</v>
      </c>
      <c r="BH50" s="46" t="s">
        <v>2471</v>
      </c>
      <c r="BI50" s="46" t="s">
        <v>2471</v>
      </c>
      <c r="BJ50" s="46" t="s">
        <v>2471</v>
      </c>
      <c r="BK50" s="3"/>
      <c r="BL50" s="46"/>
      <c r="BM50" s="3"/>
      <c r="BN50" s="46" t="s">
        <v>2466</v>
      </c>
      <c r="BO50" s="46" t="s">
        <v>2466</v>
      </c>
      <c r="BP50" s="46" t="s">
        <v>2466</v>
      </c>
      <c r="BQ50" s="46" t="s">
        <v>2466</v>
      </c>
      <c r="BR50" s="46" t="s">
        <v>2466</v>
      </c>
      <c r="BS50" s="46" t="s">
        <v>1957</v>
      </c>
      <c r="BT50" s="46" t="s">
        <v>2098</v>
      </c>
      <c r="BU50" s="46" t="s">
        <v>2098</v>
      </c>
      <c r="BV50" s="46" t="s">
        <v>2098</v>
      </c>
      <c r="BX50" s="46" t="s">
        <v>2468</v>
      </c>
      <c r="BY50" s="46" t="s">
        <v>2468</v>
      </c>
      <c r="BZ50" s="46" t="s">
        <v>2473</v>
      </c>
    </row>
    <row r="51" spans="1:78">
      <c r="A51">
        <v>1964</v>
      </c>
      <c r="B51" s="3">
        <v>0.31</v>
      </c>
      <c r="C51" s="3">
        <f t="shared" si="3"/>
        <v>20.343476634532724</v>
      </c>
      <c r="D51" s="3">
        <v>0.30349999999999999</v>
      </c>
      <c r="E51">
        <v>2.2059075112903224</v>
      </c>
      <c r="G51">
        <f t="shared" si="4"/>
        <v>58.222194331932499</v>
      </c>
      <c r="M51" s="3">
        <f t="shared" si="1"/>
        <v>8.0178630000000002</v>
      </c>
      <c r="N51" s="3"/>
      <c r="V51" s="3">
        <v>2.9450000000000007</v>
      </c>
      <c r="W51" s="7">
        <f t="shared" ref="W51:W55" si="5">X51</f>
        <v>3.3</v>
      </c>
      <c r="X51" s="7">
        <v>3.3</v>
      </c>
      <c r="Z51" s="3">
        <f t="shared" ref="Z51:Z56" si="6">X51</f>
        <v>3.3</v>
      </c>
      <c r="AA51" s="12"/>
      <c r="AN51"/>
      <c r="AO51"/>
      <c r="AP51" s="46"/>
      <c r="AQ51" s="46" t="s">
        <v>2136</v>
      </c>
      <c r="AR51" s="46" t="s">
        <v>67</v>
      </c>
      <c r="AS51" s="46" t="s">
        <v>133</v>
      </c>
      <c r="AT51" s="3"/>
      <c r="AU51" s="139" t="s">
        <v>237</v>
      </c>
      <c r="AV51" s="3"/>
      <c r="AW51" s="46" t="s">
        <v>2136</v>
      </c>
      <c r="AX51" s="46" t="s">
        <v>2097</v>
      </c>
      <c r="AY51" s="46" t="s">
        <v>67</v>
      </c>
      <c r="AZ51" s="46" t="s">
        <v>133</v>
      </c>
      <c r="BA51" s="46" t="s">
        <v>2097</v>
      </c>
      <c r="BB51" s="46" t="s">
        <v>2137</v>
      </c>
      <c r="BC51" s="46">
        <v>6573</v>
      </c>
      <c r="BD51" s="138" t="s">
        <v>2211</v>
      </c>
      <c r="BE51" s="46">
        <v>8906</v>
      </c>
      <c r="BG51" s="46"/>
      <c r="BH51" s="46" t="s">
        <v>2136</v>
      </c>
      <c r="BI51" s="46" t="s">
        <v>67</v>
      </c>
      <c r="BJ51" s="46" t="s">
        <v>133</v>
      </c>
      <c r="BK51" s="3"/>
      <c r="BL51" s="139" t="s">
        <v>237</v>
      </c>
      <c r="BM51" s="3"/>
      <c r="BN51" s="46" t="s">
        <v>2136</v>
      </c>
      <c r="BO51" s="46" t="s">
        <v>2097</v>
      </c>
      <c r="BP51" s="46" t="s">
        <v>67</v>
      </c>
      <c r="BQ51" s="46" t="s">
        <v>133</v>
      </c>
      <c r="BR51" s="46" t="s">
        <v>2097</v>
      </c>
      <c r="BS51" s="46" t="s">
        <v>2137</v>
      </c>
      <c r="BT51" s="46">
        <v>6573</v>
      </c>
      <c r="BU51" s="138" t="s">
        <v>2211</v>
      </c>
      <c r="BV51" s="46">
        <v>8906</v>
      </c>
      <c r="BX51" s="46" t="s">
        <v>2136</v>
      </c>
      <c r="BY51" s="46" t="s">
        <v>2097</v>
      </c>
      <c r="BZ51" s="46" t="s">
        <v>2136</v>
      </c>
    </row>
    <row r="52" spans="1:78">
      <c r="A52">
        <v>1965</v>
      </c>
      <c r="B52" s="3">
        <v>0.315</v>
      </c>
      <c r="C52" s="3">
        <f t="shared" si="3"/>
        <v>20.671597225412285</v>
      </c>
      <c r="D52" s="3">
        <v>0.3115</v>
      </c>
      <c r="E52">
        <v>2.2281159888888888</v>
      </c>
      <c r="G52">
        <f t="shared" si="4"/>
        <v>58.808359568662546</v>
      </c>
      <c r="H52">
        <f t="shared" ref="H52:H97" si="7">N52*B$98/B52</f>
        <v>204.91546836329542</v>
      </c>
      <c r="J52" s="3">
        <f t="shared" ref="J52:J96" si="8">M52/K52*100</f>
        <v>56.913983393390332</v>
      </c>
      <c r="K52" s="3">
        <v>14.459024846529534</v>
      </c>
      <c r="M52" s="3">
        <f t="shared" si="1"/>
        <v>8.2292070000000006</v>
      </c>
      <c r="N52" s="3">
        <f t="shared" ref="N52:N96" si="9">Q52+O52</f>
        <v>28.674355466328816</v>
      </c>
      <c r="O52" s="3">
        <v>2.7549059999999992</v>
      </c>
      <c r="P52" s="3">
        <f>M52-O52</f>
        <v>5.4743010000000014</v>
      </c>
      <c r="Q52" s="3">
        <f t="shared" ref="Q52:Q96" si="10">AG$96+AG$97*Z52+AG$98*AA52+AG$99*AB52+AG$100*AC52</f>
        <v>25.919449466328818</v>
      </c>
      <c r="R52" s="3"/>
      <c r="S52" s="3">
        <f t="shared" ref="S52:S96" si="11">P52*B$97/B52</f>
        <v>37.899440277388891</v>
      </c>
      <c r="T52">
        <f t="shared" ref="T52:T96" si="12">Q52*B$97/B52</f>
        <v>179.44439428375023</v>
      </c>
      <c r="V52" s="3">
        <v>2.9200000000000004</v>
      </c>
      <c r="W52" s="7">
        <f t="shared" si="5"/>
        <v>3.3</v>
      </c>
      <c r="X52" s="7">
        <v>3.3</v>
      </c>
      <c r="Z52" s="3">
        <f t="shared" si="6"/>
        <v>3.3</v>
      </c>
      <c r="AA52" s="12"/>
      <c r="AM52" s="3"/>
      <c r="AN52"/>
      <c r="AO52"/>
      <c r="AP52">
        <v>1965</v>
      </c>
      <c r="AQ52" s="32">
        <f t="shared" ref="AQ52:AQ83" si="13">M52</f>
        <v>8.2292070000000006</v>
      </c>
      <c r="AR52" s="32">
        <f t="shared" ref="AR52:AR83" si="14">O52</f>
        <v>2.7549059999999992</v>
      </c>
      <c r="AS52" s="32">
        <f>AQ52-AR52</f>
        <v>5.4743010000000014</v>
      </c>
      <c r="AU52" s="7">
        <v>14.444279282050514</v>
      </c>
      <c r="AW52" s="32">
        <f t="shared" ref="AW52:AW83" si="15">AQ52/$AU52*100</f>
        <v>56.972084513944544</v>
      </c>
      <c r="AX52" s="32">
        <f>BA52+AY52</f>
        <v>58.082079296727471</v>
      </c>
      <c r="AY52" s="2">
        <f t="shared" ref="AY52:AY83" si="16">AR52/$AU52*100</f>
        <v>19.072644236555579</v>
      </c>
      <c r="AZ52" s="2">
        <f t="shared" ref="AZ52:AZ59" si="17">AW52-AY52</f>
        <v>37.899440277388962</v>
      </c>
      <c r="BA52" s="2">
        <f t="shared" ref="BA52:BA83" si="18">AX$107+AX$108*BB52+AX$109*BC52+AX$110*BD52+AX$111*BE52</f>
        <v>39.009435060171889</v>
      </c>
      <c r="BB52" s="3">
        <f>W52/AU52*100</f>
        <v>22.846415079365116</v>
      </c>
      <c r="BC52" s="23">
        <v>1</v>
      </c>
      <c r="BD52">
        <v>0</v>
      </c>
      <c r="BE52">
        <v>0</v>
      </c>
      <c r="BG52">
        <v>1965</v>
      </c>
      <c r="BH52" s="32">
        <f>AQ52*3.78541</f>
        <v>31.150922469870004</v>
      </c>
      <c r="BI52" s="32">
        <f t="shared" ref="BI52:BJ52" si="19">AR52*3.78541</f>
        <v>10.428448721459997</v>
      </c>
      <c r="BJ52" s="32">
        <f t="shared" si="19"/>
        <v>20.722473748410007</v>
      </c>
      <c r="BK52" s="12"/>
      <c r="BL52" s="7">
        <f t="shared" ref="BL52:BL104" si="20">AU52</f>
        <v>14.444279282050514</v>
      </c>
      <c r="BM52" s="12"/>
      <c r="BN52" s="32">
        <f t="shared" ref="BN52:BN97" si="21">BH52/$AU52*100</f>
        <v>215.66269843993081</v>
      </c>
      <c r="BO52" s="32">
        <f>BR52+BP52</f>
        <v>219.86448379062509</v>
      </c>
      <c r="BP52" s="2">
        <f t="shared" ref="BP52:BP97" si="22">BI52/$AU52*100</f>
        <v>72.197778219499867</v>
      </c>
      <c r="BQ52" s="2">
        <f t="shared" ref="BQ52:BQ59" si="23">BN52-BP52</f>
        <v>143.46492022043094</v>
      </c>
      <c r="BR52" s="2">
        <f t="shared" ref="BR52:BR83" si="24">BO$107+BO$108*BS52+BO$109*BT52+BO$110*BU52+BO$111*BV52</f>
        <v>147.66670557112522</v>
      </c>
      <c r="BS52" s="3">
        <f t="shared" ref="BS52:BS104" si="25">BB52</f>
        <v>22.846415079365116</v>
      </c>
      <c r="BT52" s="23">
        <v>1</v>
      </c>
      <c r="BU52">
        <v>0</v>
      </c>
      <c r="BV52">
        <v>0</v>
      </c>
      <c r="BX52" s="32">
        <f t="shared" ref="BX52:BX104" si="26">BN52*$BL$105/$BL$97</f>
        <v>248.94383657593826</v>
      </c>
      <c r="BY52" s="32">
        <f t="shared" ref="BY52:BY104" si="27">BO52*$BL$105/$BL$97</f>
        <v>253.7940428157612</v>
      </c>
      <c r="BZ52" s="3">
        <f t="shared" ref="BZ52:BZ104" si="28">AW52*$AU$105/$AU$97</f>
        <v>65.764035223645067</v>
      </c>
    </row>
    <row r="53" spans="1:78">
      <c r="A53">
        <v>1966</v>
      </c>
      <c r="B53" s="3">
        <v>0.32400000000000001</v>
      </c>
      <c r="C53" s="3">
        <f t="shared" si="3"/>
        <v>21.262214288995494</v>
      </c>
      <c r="D53" s="3">
        <v>0.32079999999999997</v>
      </c>
      <c r="E53">
        <v>2.2308976567901233</v>
      </c>
      <c r="G53">
        <f t="shared" si="4"/>
        <v>58.881778244778225</v>
      </c>
      <c r="H53">
        <f t="shared" si="7"/>
        <v>199.38293049588313</v>
      </c>
      <c r="J53" s="3">
        <f t="shared" si="8"/>
        <v>56.910970160290695</v>
      </c>
      <c r="K53" s="3">
        <v>14.891495218110531</v>
      </c>
      <c r="M53" s="3">
        <f t="shared" si="1"/>
        <v>8.4748944000000002</v>
      </c>
      <c r="N53" s="3">
        <f t="shared" si="9"/>
        <v>28.697320826328816</v>
      </c>
      <c r="O53" s="3">
        <v>2.7778713599999998</v>
      </c>
      <c r="P53" s="3">
        <f t="shared" ref="P53:P97" si="29">M53-O53</f>
        <v>5.6970230400000004</v>
      </c>
      <c r="Q53" s="3">
        <f t="shared" si="10"/>
        <v>25.919449466328818</v>
      </c>
      <c r="R53" s="3"/>
      <c r="S53" s="3">
        <f t="shared" si="11"/>
        <v>38.34578584258518</v>
      </c>
      <c r="T53">
        <f t="shared" si="12"/>
        <v>174.45982777586826</v>
      </c>
      <c r="V53" s="3">
        <v>2.9366666666666661</v>
      </c>
      <c r="W53" s="7">
        <f t="shared" si="5"/>
        <v>3.3</v>
      </c>
      <c r="X53" s="7">
        <v>3.3</v>
      </c>
      <c r="Z53" s="3">
        <f t="shared" si="6"/>
        <v>3.3</v>
      </c>
      <c r="AA53" s="12"/>
      <c r="AM53" s="3"/>
      <c r="AN53"/>
      <c r="AO53"/>
      <c r="AP53">
        <v>1966</v>
      </c>
      <c r="AQ53" s="32">
        <f t="shared" si="13"/>
        <v>8.4748944000000002</v>
      </c>
      <c r="AR53" s="32">
        <f t="shared" si="14"/>
        <v>2.7778713599999998</v>
      </c>
      <c r="AS53" s="32">
        <f t="shared" ref="AS53:AS105" si="30">AQ53-AR53</f>
        <v>5.6970230400000004</v>
      </c>
      <c r="AU53" s="7">
        <v>14.856972975823387</v>
      </c>
      <c r="AW53" s="32">
        <f t="shared" si="15"/>
        <v>57.043210711839599</v>
      </c>
      <c r="AX53" s="32">
        <f t="shared" ref="AX53:AX97" si="31">BA53+AY53</f>
        <v>57.230699052314158</v>
      </c>
      <c r="AY53" s="2">
        <f t="shared" si="16"/>
        <v>18.697424869254348</v>
      </c>
      <c r="AZ53" s="2">
        <f t="shared" si="17"/>
        <v>38.345785842585251</v>
      </c>
      <c r="BA53" s="2">
        <f t="shared" si="18"/>
        <v>38.53327418305981</v>
      </c>
      <c r="BB53" s="3">
        <f t="shared" ref="BB53:BB104" si="32">W53/AU53*100</f>
        <v>22.211792438271637</v>
      </c>
      <c r="BC53" s="23">
        <v>1</v>
      </c>
      <c r="BD53">
        <v>0</v>
      </c>
      <c r="BE53">
        <v>0</v>
      </c>
      <c r="BG53">
        <v>1966</v>
      </c>
      <c r="BH53" s="32">
        <f t="shared" ref="BH53:BH104" si="33">AQ53*3.78541</f>
        <v>32.080950010704001</v>
      </c>
      <c r="BI53" s="32">
        <f t="shared" ref="BI53:BI105" si="34">AR53*3.78541</f>
        <v>10.515382024857599</v>
      </c>
      <c r="BJ53" s="32">
        <f t="shared" ref="BJ53:BJ105" si="35">AS53*3.78541</f>
        <v>21.565567985846403</v>
      </c>
      <c r="BK53" s="12"/>
      <c r="BL53" s="7">
        <f t="shared" si="20"/>
        <v>14.856972975823387</v>
      </c>
      <c r="BM53" s="12"/>
      <c r="BN53" s="32">
        <f t="shared" si="21"/>
        <v>215.93194026070472</v>
      </c>
      <c r="BO53" s="32">
        <f t="shared" ref="BO53:BO97" si="36">BR53+BP53</f>
        <v>216.64166049962051</v>
      </c>
      <c r="BP53" s="2">
        <f t="shared" si="22"/>
        <v>70.777419074324101</v>
      </c>
      <c r="BQ53" s="2">
        <f t="shared" si="23"/>
        <v>145.15452118638063</v>
      </c>
      <c r="BR53" s="2">
        <f t="shared" si="24"/>
        <v>145.8642414252964</v>
      </c>
      <c r="BS53" s="3">
        <f t="shared" si="25"/>
        <v>22.211792438271637</v>
      </c>
      <c r="BT53" s="23">
        <v>1</v>
      </c>
      <c r="BU53">
        <v>0</v>
      </c>
      <c r="BV53">
        <v>0</v>
      </c>
      <c r="BX53" s="32">
        <f t="shared" si="26"/>
        <v>249.25462788252491</v>
      </c>
      <c r="BY53" s="32">
        <f t="shared" si="27"/>
        <v>250.07387238075924</v>
      </c>
      <c r="BZ53" s="3">
        <f t="shared" si="28"/>
        <v>65.8461376396546</v>
      </c>
    </row>
    <row r="54" spans="1:78">
      <c r="A54">
        <v>1967</v>
      </c>
      <c r="B54" s="3">
        <v>0.33399999999999996</v>
      </c>
      <c r="C54" s="3">
        <f t="shared" si="3"/>
        <v>21.918455470754608</v>
      </c>
      <c r="D54" s="3">
        <v>0.33159999999999995</v>
      </c>
      <c r="E54">
        <v>2.2369606934131734</v>
      </c>
      <c r="G54">
        <f t="shared" si="4"/>
        <v>59.041804580742955</v>
      </c>
      <c r="H54">
        <f t="shared" si="7"/>
        <v>193.57166817507405</v>
      </c>
      <c r="J54" s="3">
        <f t="shared" si="8"/>
        <v>57.238209222875447</v>
      </c>
      <c r="K54" s="3">
        <v>15.30482682623647</v>
      </c>
      <c r="M54" s="3">
        <f t="shared" si="1"/>
        <v>8.7602087999999991</v>
      </c>
      <c r="N54" s="3">
        <f t="shared" si="9"/>
        <v>28.720806266328818</v>
      </c>
      <c r="O54" s="3">
        <v>2.8013568000000006</v>
      </c>
      <c r="P54" s="3">
        <f t="shared" si="29"/>
        <v>5.9588519999999985</v>
      </c>
      <c r="Q54" s="3">
        <f t="shared" si="10"/>
        <v>25.919449466328818</v>
      </c>
      <c r="R54" s="3"/>
      <c r="S54" s="3">
        <f t="shared" si="11"/>
        <v>38.907274495898193</v>
      </c>
      <c r="T54">
        <f t="shared" si="12"/>
        <v>169.23647963886626</v>
      </c>
      <c r="V54" s="3">
        <v>3.0266666666666668</v>
      </c>
      <c r="W54" s="7">
        <f t="shared" si="5"/>
        <v>3.3</v>
      </c>
      <c r="X54" s="7">
        <v>3.3</v>
      </c>
      <c r="Z54" s="3">
        <f t="shared" si="6"/>
        <v>3.3</v>
      </c>
      <c r="AA54" s="12"/>
      <c r="AM54" s="3"/>
      <c r="AN54"/>
      <c r="AO54"/>
      <c r="AP54">
        <v>1967</v>
      </c>
      <c r="AQ54" s="32">
        <f t="shared" si="13"/>
        <v>8.7602087999999991</v>
      </c>
      <c r="AR54" s="32">
        <f t="shared" si="14"/>
        <v>2.8013568000000006</v>
      </c>
      <c r="AS54" s="32">
        <f t="shared" si="30"/>
        <v>5.9588519999999985</v>
      </c>
      <c r="AU54" s="7">
        <v>15.315521524459911</v>
      </c>
      <c r="AW54" s="32">
        <f t="shared" si="15"/>
        <v>57.198240268928224</v>
      </c>
      <c r="AX54" s="32">
        <f t="shared" si="31"/>
        <v>56.325268977080135</v>
      </c>
      <c r="AY54" s="2">
        <f t="shared" si="16"/>
        <v>18.290965773029974</v>
      </c>
      <c r="AZ54" s="2">
        <f t="shared" si="17"/>
        <v>38.90727449589825</v>
      </c>
      <c r="BA54" s="2">
        <f t="shared" si="18"/>
        <v>38.034303204050161</v>
      </c>
      <c r="BB54" s="3">
        <f t="shared" si="32"/>
        <v>21.546768712574885</v>
      </c>
      <c r="BC54" s="23">
        <v>1</v>
      </c>
      <c r="BD54">
        <v>0</v>
      </c>
      <c r="BE54">
        <v>0</v>
      </c>
      <c r="BG54">
        <v>1967</v>
      </c>
      <c r="BH54" s="32">
        <f t="shared" si="33"/>
        <v>33.160981993607997</v>
      </c>
      <c r="BI54" s="32">
        <f t="shared" si="34"/>
        <v>10.604284044288002</v>
      </c>
      <c r="BJ54" s="32">
        <f t="shared" si="35"/>
        <v>22.556697949319997</v>
      </c>
      <c r="BK54" s="12"/>
      <c r="BL54" s="7">
        <f t="shared" si="20"/>
        <v>15.315521524459911</v>
      </c>
      <c r="BM54" s="12"/>
      <c r="BN54" s="32">
        <f t="shared" si="21"/>
        <v>216.51879069640364</v>
      </c>
      <c r="BO54" s="32">
        <f t="shared" si="36"/>
        <v>213.21423643852887</v>
      </c>
      <c r="BP54" s="2">
        <f t="shared" si="22"/>
        <v>69.238804746885393</v>
      </c>
      <c r="BQ54" s="2">
        <f t="shared" si="23"/>
        <v>147.27998594951825</v>
      </c>
      <c r="BR54" s="2">
        <f t="shared" si="24"/>
        <v>143.97543169164348</v>
      </c>
      <c r="BS54" s="3">
        <f t="shared" si="25"/>
        <v>21.546768712574885</v>
      </c>
      <c r="BT54" s="23">
        <v>1</v>
      </c>
      <c r="BU54">
        <v>0</v>
      </c>
      <c r="BV54">
        <v>0</v>
      </c>
      <c r="BX54" s="32">
        <f t="shared" si="26"/>
        <v>249.93204126933662</v>
      </c>
      <c r="BY54" s="32">
        <f t="shared" si="27"/>
        <v>246.11752711793443</v>
      </c>
      <c r="BZ54" s="3">
        <f t="shared" si="28"/>
        <v>66.025091408681376</v>
      </c>
    </row>
    <row r="55" spans="1:78">
      <c r="A55">
        <v>1968</v>
      </c>
      <c r="B55" s="3">
        <v>0.34799999999999998</v>
      </c>
      <c r="C55" s="3">
        <f t="shared" si="3"/>
        <v>22.837193125217379</v>
      </c>
      <c r="D55" s="3">
        <v>0.33710000000000001</v>
      </c>
      <c r="E55">
        <v>2.182578166954023</v>
      </c>
      <c r="G55">
        <f t="shared" si="4"/>
        <v>57.606445207079084</v>
      </c>
      <c r="H55">
        <f t="shared" si="7"/>
        <v>185.77552557525661</v>
      </c>
      <c r="J55" s="3">
        <f t="shared" si="8"/>
        <v>55.832693243194839</v>
      </c>
      <c r="K55" s="3">
        <v>15.950346083448959</v>
      </c>
      <c r="M55" s="3">
        <f t="shared" si="1"/>
        <v>8.9055078000000005</v>
      </c>
      <c r="N55" s="3">
        <f t="shared" si="9"/>
        <v>28.719449466328818</v>
      </c>
      <c r="O55" s="6">
        <v>2.8</v>
      </c>
      <c r="P55" s="3">
        <f t="shared" si="29"/>
        <v>6.1055078000000007</v>
      </c>
      <c r="Q55" s="3">
        <f t="shared" si="10"/>
        <v>25.919449466328818</v>
      </c>
      <c r="R55" s="3"/>
      <c r="S55" s="3">
        <f t="shared" si="11"/>
        <v>38.261079870051248</v>
      </c>
      <c r="T55">
        <f t="shared" si="12"/>
        <v>162.42811551546359</v>
      </c>
      <c r="V55" s="3">
        <v>3.07</v>
      </c>
      <c r="W55" s="7">
        <f t="shared" si="5"/>
        <v>3.3</v>
      </c>
      <c r="X55" s="7">
        <v>3.3</v>
      </c>
      <c r="Z55" s="3">
        <f t="shared" si="6"/>
        <v>3.3</v>
      </c>
      <c r="AA55" s="12"/>
      <c r="AM55" s="3"/>
      <c r="AN55"/>
      <c r="AO55"/>
      <c r="AP55">
        <v>1968</v>
      </c>
      <c r="AQ55" s="32">
        <f t="shared" si="13"/>
        <v>8.9055078000000005</v>
      </c>
      <c r="AR55" s="32">
        <f t="shared" si="14"/>
        <v>2.8</v>
      </c>
      <c r="AS55" s="32">
        <f t="shared" si="30"/>
        <v>6.1055078000000007</v>
      </c>
      <c r="AU55" s="7">
        <v>15.957489492551044</v>
      </c>
      <c r="AW55" s="32">
        <f t="shared" si="15"/>
        <v>55.8076996018521</v>
      </c>
      <c r="AX55" s="32">
        <f t="shared" si="31"/>
        <v>54.930540073555605</v>
      </c>
      <c r="AY55" s="2">
        <f t="shared" si="16"/>
        <v>17.546619731800796</v>
      </c>
      <c r="AZ55" s="2">
        <f t="shared" si="17"/>
        <v>38.261079870051304</v>
      </c>
      <c r="BA55" s="2">
        <f t="shared" si="18"/>
        <v>37.383920341754809</v>
      </c>
      <c r="BB55" s="3">
        <f t="shared" si="32"/>
        <v>20.679944683908076</v>
      </c>
      <c r="BC55" s="23">
        <v>1</v>
      </c>
      <c r="BD55">
        <v>0</v>
      </c>
      <c r="BE55">
        <v>0</v>
      </c>
      <c r="BG55">
        <v>1968</v>
      </c>
      <c r="BH55" s="32">
        <f t="shared" si="33"/>
        <v>33.710998281198002</v>
      </c>
      <c r="BI55" s="32">
        <f t="shared" si="34"/>
        <v>10.599148</v>
      </c>
      <c r="BJ55" s="32">
        <f t="shared" si="35"/>
        <v>23.111850281198002</v>
      </c>
      <c r="BK55" s="12"/>
      <c r="BL55" s="7">
        <f t="shared" si="20"/>
        <v>15.957489492551044</v>
      </c>
      <c r="BM55" s="12"/>
      <c r="BN55" s="32">
        <f t="shared" si="21"/>
        <v>211.25502414984697</v>
      </c>
      <c r="BO55" s="32">
        <f t="shared" si="36"/>
        <v>207.9346156998381</v>
      </c>
      <c r="BP55" s="2">
        <f t="shared" si="22"/>
        <v>66.421149798956051</v>
      </c>
      <c r="BQ55" s="2">
        <f t="shared" si="23"/>
        <v>144.83387435089094</v>
      </c>
      <c r="BR55" s="2">
        <f t="shared" si="24"/>
        <v>141.51346590088204</v>
      </c>
      <c r="BS55" s="3">
        <f t="shared" si="25"/>
        <v>20.679944683908076</v>
      </c>
      <c r="BT55" s="23">
        <v>1</v>
      </c>
      <c r="BU55">
        <v>0</v>
      </c>
      <c r="BV55">
        <v>0</v>
      </c>
      <c r="BX55" s="32">
        <f t="shared" si="26"/>
        <v>243.85596854828199</v>
      </c>
      <c r="BY55" s="32">
        <f t="shared" si="27"/>
        <v>240.02315358063191</v>
      </c>
      <c r="BZ55" s="3">
        <f t="shared" si="28"/>
        <v>64.419962051212948</v>
      </c>
    </row>
    <row r="56" spans="1:78">
      <c r="A56">
        <v>1969</v>
      </c>
      <c r="B56" s="3">
        <v>0.36700000000000005</v>
      </c>
      <c r="C56" s="3">
        <f t="shared" si="3"/>
        <v>24.084051370559713</v>
      </c>
      <c r="D56" s="3">
        <v>0.34840000000000004</v>
      </c>
      <c r="E56">
        <v>2.1389586059945502</v>
      </c>
      <c r="G56">
        <f t="shared" si="4"/>
        <v>56.455160966077308</v>
      </c>
      <c r="H56">
        <f t="shared" si="7"/>
        <v>176.86733129875404</v>
      </c>
      <c r="J56" s="3">
        <f t="shared" si="8"/>
        <v>54.740256681038247</v>
      </c>
      <c r="K56" s="3">
        <v>16.814008114047141</v>
      </c>
      <c r="M56" s="3">
        <f t="shared" si="1"/>
        <v>9.2040312000000029</v>
      </c>
      <c r="N56" s="3">
        <f t="shared" si="9"/>
        <v>28.835139386328819</v>
      </c>
      <c r="O56" s="3">
        <v>2.9156899200000002</v>
      </c>
      <c r="P56" s="3">
        <f t="shared" si="29"/>
        <v>6.2883412800000027</v>
      </c>
      <c r="Q56" s="3">
        <f t="shared" si="10"/>
        <v>25.919449466328818</v>
      </c>
      <c r="R56" s="3"/>
      <c r="S56" s="3">
        <f t="shared" si="11"/>
        <v>37.366697497093192</v>
      </c>
      <c r="T56">
        <f t="shared" si="12"/>
        <v>154.01903051602537</v>
      </c>
      <c r="V56" s="3">
        <v>3.2950000000000004</v>
      </c>
      <c r="W56" s="7">
        <v>3.2950000000000004</v>
      </c>
      <c r="X56" s="7">
        <v>3.3</v>
      </c>
      <c r="Z56" s="3">
        <f t="shared" si="6"/>
        <v>3.3</v>
      </c>
      <c r="AA56" s="12"/>
      <c r="AM56" s="3"/>
      <c r="AN56"/>
      <c r="AO56"/>
      <c r="AP56">
        <v>1969</v>
      </c>
      <c r="AQ56" s="32">
        <f t="shared" si="13"/>
        <v>9.2040312000000029</v>
      </c>
      <c r="AR56" s="32">
        <f t="shared" si="14"/>
        <v>2.9156899200000002</v>
      </c>
      <c r="AS56" s="32">
        <f t="shared" si="30"/>
        <v>6.2883412800000027</v>
      </c>
      <c r="AU56" s="7">
        <v>16.828731734960446</v>
      </c>
      <c r="AW56" s="32">
        <f t="shared" si="15"/>
        <v>54.692363898577746</v>
      </c>
      <c r="AX56" s="32">
        <f t="shared" si="31"/>
        <v>53.883999359286797</v>
      </c>
      <c r="AY56" s="2">
        <f t="shared" si="16"/>
        <v>17.32566640148449</v>
      </c>
      <c r="AZ56" s="2">
        <f t="shared" si="17"/>
        <v>37.366697497093256</v>
      </c>
      <c r="BA56" s="2">
        <f t="shared" si="18"/>
        <v>36.558332957802307</v>
      </c>
      <c r="BB56" s="3">
        <f t="shared" si="32"/>
        <v>19.579609752497756</v>
      </c>
      <c r="BC56" s="23">
        <v>1</v>
      </c>
      <c r="BD56">
        <v>0</v>
      </c>
      <c r="BE56">
        <v>0</v>
      </c>
      <c r="BG56">
        <v>1969</v>
      </c>
      <c r="BH56" s="32">
        <f t="shared" si="33"/>
        <v>34.841031744792012</v>
      </c>
      <c r="BI56" s="32">
        <f t="shared" si="34"/>
        <v>11.037081780067201</v>
      </c>
      <c r="BJ56" s="32">
        <f t="shared" si="35"/>
        <v>23.803949964724811</v>
      </c>
      <c r="BK56" s="12"/>
      <c r="BL56" s="7">
        <f t="shared" si="20"/>
        <v>16.828731734960446</v>
      </c>
      <c r="BM56" s="12"/>
      <c r="BN56" s="32">
        <f t="shared" si="21"/>
        <v>207.03302122531517</v>
      </c>
      <c r="BO56" s="32">
        <f t="shared" si="36"/>
        <v>203.9730300146378</v>
      </c>
      <c r="BP56" s="2">
        <f t="shared" si="22"/>
        <v>65.584750852843413</v>
      </c>
      <c r="BQ56" s="2">
        <f t="shared" si="23"/>
        <v>141.44827037247177</v>
      </c>
      <c r="BR56" s="2">
        <f t="shared" si="24"/>
        <v>138.3882791617944</v>
      </c>
      <c r="BS56" s="3">
        <f t="shared" si="25"/>
        <v>19.579609752497756</v>
      </c>
      <c r="BT56" s="23">
        <v>1</v>
      </c>
      <c r="BU56">
        <v>0</v>
      </c>
      <c r="BV56">
        <v>0</v>
      </c>
      <c r="BX56" s="32">
        <f t="shared" si="26"/>
        <v>238.98242475201658</v>
      </c>
      <c r="BY56" s="32">
        <f t="shared" si="27"/>
        <v>235.45021469721732</v>
      </c>
      <c r="BZ56" s="3">
        <f t="shared" si="28"/>
        <v>63.132507377540776</v>
      </c>
    </row>
    <row r="57" spans="1:78">
      <c r="A57">
        <v>1970</v>
      </c>
      <c r="B57" s="3">
        <v>0.38799999999999996</v>
      </c>
      <c r="C57" s="3">
        <f t="shared" si="3"/>
        <v>25.46215785225386</v>
      </c>
      <c r="D57" s="3">
        <v>0.3569</v>
      </c>
      <c r="E57">
        <v>2.0725504945876287</v>
      </c>
      <c r="G57">
        <f t="shared" si="4"/>
        <v>54.70240118455375</v>
      </c>
      <c r="H57">
        <f t="shared" si="7"/>
        <v>-705.1298755821399</v>
      </c>
      <c r="J57" s="3">
        <f t="shared" si="8"/>
        <v>52.953982664771047</v>
      </c>
      <c r="K57" s="3">
        <v>17.805240938511318</v>
      </c>
      <c r="M57" s="3">
        <f t="shared" si="1"/>
        <v>9.4285842000000013</v>
      </c>
      <c r="N57" s="3">
        <f t="shared" si="9"/>
        <v>-121.53719507543343</v>
      </c>
      <c r="O57" s="3">
        <v>2.9208696000000005</v>
      </c>
      <c r="P57" s="3">
        <f t="shared" si="29"/>
        <v>6.5077146000000008</v>
      </c>
      <c r="Q57" s="3">
        <f t="shared" si="10"/>
        <v>-124.45806467543343</v>
      </c>
      <c r="R57" s="3"/>
      <c r="S57" s="3">
        <f t="shared" si="11"/>
        <v>36.577283603122424</v>
      </c>
      <c r="T57">
        <f t="shared" si="12"/>
        <v>-699.52943669795866</v>
      </c>
      <c r="V57" s="3">
        <v>3.3508333333333331</v>
      </c>
      <c r="W57" s="7">
        <v>3.35</v>
      </c>
      <c r="X57" s="7">
        <v>3.35</v>
      </c>
      <c r="Z57" s="3">
        <f t="shared" ref="Z57:Z72" si="37">W57</f>
        <v>3.35</v>
      </c>
      <c r="AA57" s="7">
        <v>21.734722600286851</v>
      </c>
      <c r="AM57" s="3"/>
      <c r="AN57"/>
      <c r="AO57"/>
      <c r="AP57">
        <v>1970</v>
      </c>
      <c r="AQ57" s="32">
        <f t="shared" si="13"/>
        <v>9.4285842000000013</v>
      </c>
      <c r="AR57" s="32">
        <f t="shared" si="14"/>
        <v>2.9208696000000005</v>
      </c>
      <c r="AS57" s="32">
        <f t="shared" si="30"/>
        <v>6.5077146000000008</v>
      </c>
      <c r="AU57" s="7">
        <v>17.791683687097141</v>
      </c>
      <c r="AW57" s="32">
        <f t="shared" si="15"/>
        <v>52.994333565168908</v>
      </c>
      <c r="AX57" s="32">
        <f t="shared" si="31"/>
        <v>52.412212628166301</v>
      </c>
      <c r="AY57" s="2">
        <f t="shared" si="16"/>
        <v>16.41704996204642</v>
      </c>
      <c r="AZ57" s="2">
        <f t="shared" si="17"/>
        <v>36.577283603122488</v>
      </c>
      <c r="BA57" s="2">
        <f t="shared" si="18"/>
        <v>35.995162666119882</v>
      </c>
      <c r="BB57" s="3">
        <f t="shared" si="32"/>
        <v>18.829021799828212</v>
      </c>
      <c r="BC57" s="23">
        <v>1</v>
      </c>
      <c r="BD57">
        <v>0</v>
      </c>
      <c r="BE57">
        <v>0</v>
      </c>
      <c r="BG57">
        <v>1970</v>
      </c>
      <c r="BH57" s="32">
        <f t="shared" si="33"/>
        <v>35.691056916522008</v>
      </c>
      <c r="BI57" s="32">
        <f t="shared" si="34"/>
        <v>11.056688992536003</v>
      </c>
      <c r="BJ57" s="32">
        <f t="shared" si="35"/>
        <v>24.634367923986005</v>
      </c>
      <c r="BK57" s="12"/>
      <c r="BL57" s="7">
        <f t="shared" si="20"/>
        <v>17.791683687097141</v>
      </c>
      <c r="BM57" s="12"/>
      <c r="BN57" s="32">
        <f t="shared" si="21"/>
        <v>200.60528022092606</v>
      </c>
      <c r="BO57" s="32">
        <f t="shared" si="36"/>
        <v>198.40171380478697</v>
      </c>
      <c r="BP57" s="2">
        <f t="shared" si="22"/>
        <v>62.145265096830151</v>
      </c>
      <c r="BQ57" s="2">
        <f t="shared" si="23"/>
        <v>138.46001512409592</v>
      </c>
      <c r="BR57" s="2">
        <f t="shared" si="24"/>
        <v>136.25644870795682</v>
      </c>
      <c r="BS57" s="3">
        <f t="shared" si="25"/>
        <v>18.829021799828212</v>
      </c>
      <c r="BT57" s="23">
        <v>1</v>
      </c>
      <c r="BU57">
        <v>0</v>
      </c>
      <c r="BV57">
        <v>0</v>
      </c>
      <c r="BX57" s="32">
        <f t="shared" si="26"/>
        <v>231.56275265422548</v>
      </c>
      <c r="BY57" s="32">
        <f t="shared" si="27"/>
        <v>229.01913114827298</v>
      </c>
      <c r="BZ57" s="3">
        <f t="shared" si="28"/>
        <v>61.172436447894796</v>
      </c>
    </row>
    <row r="58" spans="1:78">
      <c r="A58">
        <v>1971</v>
      </c>
      <c r="B58" s="3">
        <v>0.40500000000000003</v>
      </c>
      <c r="C58" s="3">
        <f t="shared" si="3"/>
        <v>26.577767861244368</v>
      </c>
      <c r="D58" s="3">
        <v>0.36430000000000001</v>
      </c>
      <c r="E58">
        <v>2.026723232839506</v>
      </c>
      <c r="G58">
        <f t="shared" si="4"/>
        <v>53.492847417887056</v>
      </c>
      <c r="H58">
        <f t="shared" si="7"/>
        <v>-689.75756538581516</v>
      </c>
      <c r="J58" s="3">
        <f t="shared" si="8"/>
        <v>51.845425401890523</v>
      </c>
      <c r="K58" s="3">
        <v>18.563021376325832</v>
      </c>
      <c r="M58" s="3">
        <f t="shared" si="1"/>
        <v>9.6240774000000009</v>
      </c>
      <c r="N58" s="3">
        <f t="shared" si="9"/>
        <v>-124.09659453441104</v>
      </c>
      <c r="O58" s="3">
        <v>2.9621961600000004</v>
      </c>
      <c r="P58" s="3">
        <f t="shared" si="29"/>
        <v>6.6618812400000005</v>
      </c>
      <c r="Q58" s="3">
        <f t="shared" si="10"/>
        <v>-127.05879069441104</v>
      </c>
      <c r="R58" s="3"/>
      <c r="S58" s="3">
        <f t="shared" si="11"/>
        <v>35.872078388192833</v>
      </c>
      <c r="T58">
        <f t="shared" si="12"/>
        <v>-684.17054214837663</v>
      </c>
      <c r="V58" s="3">
        <v>3.56</v>
      </c>
      <c r="W58" s="7">
        <v>3.56</v>
      </c>
      <c r="X58" s="7">
        <v>3.56</v>
      </c>
      <c r="Z58" s="3">
        <f t="shared" si="37"/>
        <v>3.56</v>
      </c>
      <c r="AA58" s="7">
        <v>22.127685744112195</v>
      </c>
      <c r="AM58" s="3"/>
      <c r="AN58"/>
      <c r="AO58"/>
      <c r="AP58">
        <v>1971</v>
      </c>
      <c r="AQ58" s="32">
        <f t="shared" si="13"/>
        <v>9.6240774000000009</v>
      </c>
      <c r="AR58" s="32">
        <f t="shared" si="14"/>
        <v>2.9621961600000004</v>
      </c>
      <c r="AS58" s="32">
        <f t="shared" si="30"/>
        <v>6.6618812400000005</v>
      </c>
      <c r="AU58" s="7">
        <v>18.571216219779235</v>
      </c>
      <c r="AW58" s="32">
        <f t="shared" si="15"/>
        <v>51.822547786342056</v>
      </c>
      <c r="AX58" s="32">
        <f t="shared" si="31"/>
        <v>52.201057194568676</v>
      </c>
      <c r="AY58" s="2">
        <f t="shared" si="16"/>
        <v>15.950469398149162</v>
      </c>
      <c r="AZ58" s="2">
        <f t="shared" si="17"/>
        <v>35.872078388192897</v>
      </c>
      <c r="BA58" s="2">
        <f t="shared" si="18"/>
        <v>36.250587796419516</v>
      </c>
      <c r="BB58" s="3">
        <f t="shared" si="32"/>
        <v>19.169449958847764</v>
      </c>
      <c r="BC58" s="23">
        <v>1</v>
      </c>
      <c r="BD58">
        <v>0</v>
      </c>
      <c r="BE58">
        <v>0</v>
      </c>
      <c r="BG58">
        <v>1971</v>
      </c>
      <c r="BH58" s="32">
        <f t="shared" si="33"/>
        <v>36.431078830734002</v>
      </c>
      <c r="BI58" s="32">
        <f t="shared" si="34"/>
        <v>11.213126966025602</v>
      </c>
      <c r="BJ58" s="32">
        <f t="shared" si="35"/>
        <v>25.217951864708404</v>
      </c>
      <c r="BK58" s="12"/>
      <c r="BL58" s="7">
        <f t="shared" si="20"/>
        <v>18.571216219779235</v>
      </c>
      <c r="BM58" s="12"/>
      <c r="BN58" s="32">
        <f t="shared" si="21"/>
        <v>196.16959061589708</v>
      </c>
      <c r="BO58" s="32">
        <f t="shared" si="36"/>
        <v>197.60240391489219</v>
      </c>
      <c r="BP58" s="2">
        <f t="shared" si="22"/>
        <v>60.379066364447823</v>
      </c>
      <c r="BQ58" s="2">
        <f t="shared" si="23"/>
        <v>135.79052425144926</v>
      </c>
      <c r="BR58" s="2">
        <f t="shared" si="24"/>
        <v>137.22333755044437</v>
      </c>
      <c r="BS58" s="3">
        <f t="shared" si="25"/>
        <v>19.169449958847764</v>
      </c>
      <c r="BT58" s="23">
        <v>1</v>
      </c>
      <c r="BU58">
        <v>0</v>
      </c>
      <c r="BV58">
        <v>0</v>
      </c>
      <c r="BX58" s="32">
        <f t="shared" si="26"/>
        <v>226.44254597906192</v>
      </c>
      <c r="BY58" s="32">
        <f t="shared" si="27"/>
        <v>228.09647149482845</v>
      </c>
      <c r="BZ58" s="3">
        <f t="shared" si="28"/>
        <v>59.819820304554042</v>
      </c>
    </row>
    <row r="59" spans="1:78">
      <c r="A59">
        <v>1972</v>
      </c>
      <c r="B59" s="3">
        <v>0.41799999999999998</v>
      </c>
      <c r="C59" s="3">
        <f t="shared" si="3"/>
        <v>27.43088139753122</v>
      </c>
      <c r="D59" s="3">
        <v>0.36130000000000001</v>
      </c>
      <c r="E59">
        <v>1.9475202303827752</v>
      </c>
      <c r="G59">
        <f t="shared" si="4"/>
        <v>51.40238234756734</v>
      </c>
      <c r="H59">
        <f t="shared" si="7"/>
        <v>-642.79060465418331</v>
      </c>
      <c r="J59" s="3">
        <f t="shared" si="8"/>
        <v>49.773172249614497</v>
      </c>
      <c r="K59" s="3">
        <v>19.17664269444656</v>
      </c>
      <c r="M59" s="3">
        <f t="shared" si="1"/>
        <v>9.5448234000000003</v>
      </c>
      <c r="N59" s="3">
        <f t="shared" si="9"/>
        <v>-119.35872472054317</v>
      </c>
      <c r="O59" s="3">
        <v>2.9378025600000006</v>
      </c>
      <c r="P59" s="3">
        <f t="shared" si="29"/>
        <v>6.6070208399999997</v>
      </c>
      <c r="Q59" s="3">
        <f t="shared" si="10"/>
        <v>-122.29652728054316</v>
      </c>
      <c r="R59" s="3"/>
      <c r="S59" s="3">
        <f t="shared" si="11"/>
        <v>34.470221308414111</v>
      </c>
      <c r="T59">
        <f t="shared" si="12"/>
        <v>-638.04677822248652</v>
      </c>
      <c r="V59" s="3">
        <v>3.56</v>
      </c>
      <c r="W59" s="7">
        <v>3.56</v>
      </c>
      <c r="X59" s="7">
        <v>3.56</v>
      </c>
      <c r="Z59" s="3">
        <f t="shared" si="37"/>
        <v>3.56</v>
      </c>
      <c r="AA59" s="7">
        <v>21.439504130060858</v>
      </c>
      <c r="AM59" s="3"/>
      <c r="AN59"/>
      <c r="AO59"/>
      <c r="AP59">
        <v>1972</v>
      </c>
      <c r="AQ59" s="32">
        <f t="shared" si="13"/>
        <v>9.5448234000000003</v>
      </c>
      <c r="AR59" s="32">
        <f t="shared" si="14"/>
        <v>2.9378025600000006</v>
      </c>
      <c r="AS59" s="32">
        <f t="shared" si="30"/>
        <v>6.6070208399999997</v>
      </c>
      <c r="AU59" s="7">
        <v>19.167329333006716</v>
      </c>
      <c r="AW59" s="32">
        <f t="shared" si="15"/>
        <v>49.797356920056295</v>
      </c>
      <c r="AX59" s="32">
        <f t="shared" si="31"/>
        <v>51.130406958158133</v>
      </c>
      <c r="AY59" s="2">
        <f t="shared" si="16"/>
        <v>15.327135611642131</v>
      </c>
      <c r="AZ59" s="2">
        <f t="shared" si="17"/>
        <v>34.470221308414168</v>
      </c>
      <c r="BA59" s="2">
        <f t="shared" si="18"/>
        <v>35.803271346516006</v>
      </c>
      <c r="BB59" s="3">
        <f t="shared" si="32"/>
        <v>18.573270893141974</v>
      </c>
      <c r="BC59" s="23">
        <v>1</v>
      </c>
      <c r="BD59">
        <v>0</v>
      </c>
      <c r="BE59">
        <v>0</v>
      </c>
      <c r="BG59">
        <v>1972</v>
      </c>
      <c r="BH59" s="32">
        <f t="shared" si="33"/>
        <v>36.131069946594003</v>
      </c>
      <c r="BI59" s="32">
        <f t="shared" si="34"/>
        <v>11.120787188649603</v>
      </c>
      <c r="BJ59" s="32">
        <f t="shared" si="35"/>
        <v>25.010282757944399</v>
      </c>
      <c r="BK59" s="12"/>
      <c r="BL59" s="7">
        <f t="shared" si="20"/>
        <v>19.167329333006716</v>
      </c>
      <c r="BM59" s="12"/>
      <c r="BN59" s="32">
        <f t="shared" si="21"/>
        <v>188.50341285875032</v>
      </c>
      <c r="BO59" s="32">
        <f t="shared" si="36"/>
        <v>193.54955380348133</v>
      </c>
      <c r="BP59" s="2">
        <f t="shared" si="22"/>
        <v>58.019492415666242</v>
      </c>
      <c r="BQ59" s="2">
        <f t="shared" si="23"/>
        <v>130.48392044308409</v>
      </c>
      <c r="BR59" s="2">
        <f t="shared" si="24"/>
        <v>135.5300613878151</v>
      </c>
      <c r="BS59" s="3">
        <f t="shared" si="25"/>
        <v>18.573270893141974</v>
      </c>
      <c r="BT59" s="23">
        <v>1</v>
      </c>
      <c r="BU59">
        <v>0</v>
      </c>
      <c r="BV59">
        <v>0</v>
      </c>
      <c r="BX59" s="32">
        <f t="shared" si="26"/>
        <v>217.59332116391008</v>
      </c>
      <c r="BY59" s="32">
        <f t="shared" si="27"/>
        <v>223.41818422911078</v>
      </c>
      <c r="BZ59" s="3">
        <f t="shared" si="28"/>
        <v>57.482101321629642</v>
      </c>
    </row>
    <row r="60" spans="1:78">
      <c r="A60">
        <v>1973</v>
      </c>
      <c r="B60" s="3">
        <v>0.44400000000000001</v>
      </c>
      <c r="C60" s="3">
        <f t="shared" si="3"/>
        <v>29.137108470104934</v>
      </c>
      <c r="D60" s="3">
        <v>0.38719999999999999</v>
      </c>
      <c r="E60">
        <v>1.9649100612612611</v>
      </c>
      <c r="G60">
        <f t="shared" si="4"/>
        <v>51.861365377283953</v>
      </c>
      <c r="H60">
        <f t="shared" si="7"/>
        <v>-622.07090576601706</v>
      </c>
      <c r="J60" s="3">
        <f t="shared" si="8"/>
        <v>50.217618258960364</v>
      </c>
      <c r="K60" s="3">
        <v>20.369443941469338</v>
      </c>
      <c r="M60" s="3">
        <f t="shared" si="1"/>
        <v>10.229049600000002</v>
      </c>
      <c r="N60" s="3">
        <f t="shared" si="9"/>
        <v>-122.69623260988593</v>
      </c>
      <c r="O60" s="6">
        <v>2.9</v>
      </c>
      <c r="P60" s="3">
        <f t="shared" si="29"/>
        <v>7.3290496000000012</v>
      </c>
      <c r="Q60" s="3">
        <f t="shared" si="10"/>
        <v>-125.59623260988593</v>
      </c>
      <c r="R60" s="3"/>
      <c r="S60" s="3">
        <f t="shared" si="11"/>
        <v>35.998082465969972</v>
      </c>
      <c r="T60">
        <f t="shared" si="12"/>
        <v>-616.8908365561914</v>
      </c>
      <c r="V60" s="3">
        <v>3.8724999999999996</v>
      </c>
      <c r="W60" s="7">
        <v>3.87</v>
      </c>
      <c r="X60" s="7">
        <v>3.87</v>
      </c>
      <c r="Z60" s="3">
        <f t="shared" si="37"/>
        <v>3.87</v>
      </c>
      <c r="AA60" s="7">
        <v>21.941636458038673</v>
      </c>
      <c r="AM60" s="3"/>
      <c r="AN60"/>
      <c r="AO60"/>
      <c r="AP60">
        <v>1973</v>
      </c>
      <c r="AQ60" s="32">
        <f t="shared" si="13"/>
        <v>10.229049600000002</v>
      </c>
      <c r="AR60" s="32">
        <f t="shared" si="14"/>
        <v>2.9</v>
      </c>
      <c r="AS60" s="32">
        <f t="shared" si="30"/>
        <v>7.3290496000000012</v>
      </c>
      <c r="AU60" s="7">
        <v>20.359555559461679</v>
      </c>
      <c r="AW60" s="32">
        <f t="shared" si="15"/>
        <v>50.242008329333423</v>
      </c>
      <c r="AX60" s="32">
        <f t="shared" si="31"/>
        <v>50.373582056185484</v>
      </c>
      <c r="AY60" s="2">
        <f t="shared" si="16"/>
        <v>14.243925863363385</v>
      </c>
      <c r="AZ60" s="2">
        <f>AW60-AY60</f>
        <v>35.998082465970036</v>
      </c>
      <c r="BA60" s="2">
        <f t="shared" si="18"/>
        <v>36.129656192822097</v>
      </c>
      <c r="BB60" s="3">
        <f t="shared" si="32"/>
        <v>19.008273479729759</v>
      </c>
      <c r="BC60" s="23">
        <v>1</v>
      </c>
      <c r="BD60">
        <v>0</v>
      </c>
      <c r="BE60">
        <v>0</v>
      </c>
      <c r="BG60">
        <v>1973</v>
      </c>
      <c r="BH60" s="32">
        <f t="shared" si="33"/>
        <v>38.72114664633601</v>
      </c>
      <c r="BI60" s="32">
        <f t="shared" si="34"/>
        <v>10.977689</v>
      </c>
      <c r="BJ60" s="32">
        <f t="shared" si="35"/>
        <v>27.743457646336005</v>
      </c>
      <c r="BK60" s="12"/>
      <c r="BL60" s="7">
        <f t="shared" si="20"/>
        <v>20.359555559461679</v>
      </c>
      <c r="BM60" s="12"/>
      <c r="BN60" s="32">
        <f t="shared" si="21"/>
        <v>190.18660074994202</v>
      </c>
      <c r="BO60" s="32">
        <f t="shared" si="36"/>
        <v>190.68466125130504</v>
      </c>
      <c r="BP60" s="2">
        <f t="shared" si="22"/>
        <v>53.919099402434391</v>
      </c>
      <c r="BQ60" s="2">
        <f>BN60-BP60</f>
        <v>136.26750134750762</v>
      </c>
      <c r="BR60" s="2">
        <f t="shared" si="24"/>
        <v>136.76556184887065</v>
      </c>
      <c r="BS60" s="3">
        <f t="shared" si="25"/>
        <v>19.008273479729759</v>
      </c>
      <c r="BT60" s="23">
        <v>1</v>
      </c>
      <c r="BU60">
        <v>0</v>
      </c>
      <c r="BV60">
        <v>0</v>
      </c>
      <c r="BX60" s="32">
        <f t="shared" si="26"/>
        <v>219.53625916080313</v>
      </c>
      <c r="BY60" s="32">
        <f t="shared" si="27"/>
        <v>220.11118052158162</v>
      </c>
      <c r="BZ60" s="3">
        <f t="shared" si="28"/>
        <v>57.995371481768991</v>
      </c>
    </row>
    <row r="61" spans="1:78">
      <c r="A61">
        <v>1974</v>
      </c>
      <c r="B61" s="3">
        <v>0.49299999999999999</v>
      </c>
      <c r="C61" s="3">
        <f t="shared" si="3"/>
        <v>32.352690260724621</v>
      </c>
      <c r="D61" s="3">
        <v>0.52410000000000001</v>
      </c>
      <c r="E61">
        <v>2.3952868947261661</v>
      </c>
      <c r="G61">
        <f t="shared" si="4"/>
        <v>63.220628404272034</v>
      </c>
      <c r="H61">
        <f t="shared" si="7"/>
        <v>-1826.537049997273</v>
      </c>
      <c r="J61" s="3">
        <f t="shared" si="8"/>
        <v>61.217272002798971</v>
      </c>
      <c r="K61" s="3">
        <v>22.617266903639468</v>
      </c>
      <c r="M61" s="3">
        <f t="shared" si="1"/>
        <v>13.845673800000002</v>
      </c>
      <c r="N61" s="3">
        <f t="shared" si="9"/>
        <v>-400.02190449862138</v>
      </c>
      <c r="O61" s="6">
        <v>2.9</v>
      </c>
      <c r="P61" s="3">
        <f t="shared" si="29"/>
        <v>10.945673800000002</v>
      </c>
      <c r="Q61" s="3">
        <f t="shared" si="10"/>
        <v>-402.92190449862136</v>
      </c>
      <c r="R61" s="3"/>
      <c r="S61" s="3">
        <f t="shared" si="11"/>
        <v>48.418380473176811</v>
      </c>
      <c r="T61">
        <f t="shared" si="12"/>
        <v>-1782.3321276933411</v>
      </c>
      <c r="V61" s="3">
        <v>10.3725</v>
      </c>
      <c r="W61" s="7">
        <v>12.28</v>
      </c>
      <c r="X61" s="7">
        <v>12.28</v>
      </c>
      <c r="Z61" s="3">
        <f t="shared" si="37"/>
        <v>12.28</v>
      </c>
      <c r="AA61" s="7">
        <v>62.703598855760191</v>
      </c>
      <c r="AM61" s="3"/>
      <c r="AN61"/>
      <c r="AO61"/>
      <c r="AP61">
        <v>1974</v>
      </c>
      <c r="AQ61" s="32">
        <f t="shared" si="13"/>
        <v>13.845673800000002</v>
      </c>
      <c r="AR61" s="32">
        <f t="shared" si="14"/>
        <v>2.9</v>
      </c>
      <c r="AS61" s="32">
        <f t="shared" si="30"/>
        <v>10.945673800000002</v>
      </c>
      <c r="AU61" s="7">
        <v>22.606443447780649</v>
      </c>
      <c r="AW61" s="32">
        <f t="shared" si="15"/>
        <v>61.246581453569057</v>
      </c>
      <c r="AX61" s="32">
        <f t="shared" si="31"/>
        <v>64.322317050146481</v>
      </c>
      <c r="AY61" s="2">
        <f t="shared" si="16"/>
        <v>12.828200980392177</v>
      </c>
      <c r="AZ61" s="2">
        <f t="shared" ref="AZ61:AZ97" si="38">AW61-AY61</f>
        <v>48.418380473176882</v>
      </c>
      <c r="BA61" s="2">
        <f t="shared" si="18"/>
        <v>51.494116069754305</v>
      </c>
      <c r="BB61" s="3">
        <f t="shared" si="32"/>
        <v>54.320795875591699</v>
      </c>
      <c r="BC61">
        <v>0</v>
      </c>
      <c r="BD61">
        <v>0</v>
      </c>
      <c r="BE61">
        <v>0</v>
      </c>
      <c r="BG61">
        <v>1974</v>
      </c>
      <c r="BH61" s="32">
        <f t="shared" si="33"/>
        <v>52.411552059258007</v>
      </c>
      <c r="BI61" s="32">
        <f t="shared" si="34"/>
        <v>10.977689</v>
      </c>
      <c r="BJ61" s="32">
        <f t="shared" si="35"/>
        <v>41.433863059258009</v>
      </c>
      <c r="BK61" s="12"/>
      <c r="BL61" s="7">
        <f t="shared" si="20"/>
        <v>22.606443447780649</v>
      </c>
      <c r="BM61" s="12"/>
      <c r="BN61" s="32">
        <f t="shared" si="21"/>
        <v>231.84342190015488</v>
      </c>
      <c r="BO61" s="32">
        <f t="shared" si="36"/>
        <v>243.48634218479495</v>
      </c>
      <c r="BP61" s="2">
        <f t="shared" si="22"/>
        <v>48.560000273186347</v>
      </c>
      <c r="BQ61" s="2">
        <f t="shared" ref="BQ61:BQ97" si="39">BN61-BP61</f>
        <v>183.28342162696853</v>
      </c>
      <c r="BR61" s="2">
        <f t="shared" si="24"/>
        <v>194.9263419116086</v>
      </c>
      <c r="BS61" s="3">
        <f t="shared" si="25"/>
        <v>54.320795875591699</v>
      </c>
      <c r="BT61">
        <v>0</v>
      </c>
      <c r="BU61">
        <v>0</v>
      </c>
      <c r="BV61">
        <v>0</v>
      </c>
      <c r="BX61" s="32">
        <f t="shared" si="26"/>
        <v>267.62157457096953</v>
      </c>
      <c r="BY61" s="32">
        <f t="shared" si="27"/>
        <v>281.06123412068729</v>
      </c>
      <c r="BZ61" s="3">
        <f t="shared" si="28"/>
        <v>70.698173928575628</v>
      </c>
    </row>
    <row r="62" spans="1:78">
      <c r="A62">
        <v>1975</v>
      </c>
      <c r="B62" s="3">
        <v>0.53825000000000001</v>
      </c>
      <c r="C62" s="3">
        <f t="shared" si="3"/>
        <v>35.322181608184636</v>
      </c>
      <c r="D62" s="3">
        <v>0.57220000000000004</v>
      </c>
      <c r="E62">
        <v>2.395268002229447</v>
      </c>
      <c r="G62">
        <f t="shared" si="4"/>
        <v>63.220129760240148</v>
      </c>
      <c r="H62">
        <f t="shared" si="7"/>
        <v>-1572.2881944680441</v>
      </c>
      <c r="J62" s="3">
        <f t="shared" si="8"/>
        <v>61.242910907524561</v>
      </c>
      <c r="K62" s="3">
        <v>24.682660206706046</v>
      </c>
      <c r="M62" s="3">
        <f t="shared" si="1"/>
        <v>15.116379600000002</v>
      </c>
      <c r="N62" s="3">
        <f t="shared" si="9"/>
        <v>-375.9452136260104</v>
      </c>
      <c r="O62" s="6">
        <v>2.9</v>
      </c>
      <c r="P62" s="3">
        <f t="shared" si="29"/>
        <v>12.216379600000002</v>
      </c>
      <c r="Q62" s="3">
        <f t="shared" si="10"/>
        <v>-378.84521362601038</v>
      </c>
      <c r="R62" s="3"/>
      <c r="S62" s="3">
        <f t="shared" si="11"/>
        <v>49.496348108621767</v>
      </c>
      <c r="T62">
        <f t="shared" si="12"/>
        <v>-1534.9436729125694</v>
      </c>
      <c r="V62" s="3">
        <v>11.160000000000002</v>
      </c>
      <c r="W62" s="7">
        <v>12.67</v>
      </c>
      <c r="X62" s="7">
        <v>12.67</v>
      </c>
      <c r="Z62" s="3">
        <f t="shared" si="37"/>
        <v>12.67</v>
      </c>
      <c r="AA62" s="7">
        <v>59.256172595881438</v>
      </c>
      <c r="AM62" s="3"/>
      <c r="AN62"/>
      <c r="AO62"/>
      <c r="AP62">
        <v>1975</v>
      </c>
      <c r="AQ62" s="32">
        <f t="shared" si="13"/>
        <v>15.116379600000002</v>
      </c>
      <c r="AR62" s="32">
        <f t="shared" si="14"/>
        <v>2.9</v>
      </c>
      <c r="AS62" s="32">
        <f t="shared" si="30"/>
        <v>12.216379600000002</v>
      </c>
      <c r="AU62" s="7">
        <v>24.681375630360922</v>
      </c>
      <c r="AW62" s="32">
        <f t="shared" si="15"/>
        <v>61.246098379561644</v>
      </c>
      <c r="AX62" s="32">
        <f t="shared" si="31"/>
        <v>61.003047283069456</v>
      </c>
      <c r="AY62" s="2">
        <f t="shared" si="16"/>
        <v>11.74975027093979</v>
      </c>
      <c r="AZ62" s="2">
        <f t="shared" si="38"/>
        <v>49.496348108621852</v>
      </c>
      <c r="BA62" s="2">
        <f t="shared" si="18"/>
        <v>49.253297012129664</v>
      </c>
      <c r="BB62" s="3">
        <f t="shared" si="32"/>
        <v>51.334253769933504</v>
      </c>
      <c r="BC62">
        <v>0</v>
      </c>
      <c r="BD62">
        <v>0</v>
      </c>
      <c r="BE62">
        <v>0</v>
      </c>
      <c r="BG62">
        <v>1975</v>
      </c>
      <c r="BH62" s="32">
        <f t="shared" si="33"/>
        <v>57.221694501636009</v>
      </c>
      <c r="BI62" s="32">
        <f t="shared" si="34"/>
        <v>10.977689</v>
      </c>
      <c r="BJ62" s="32">
        <f t="shared" si="35"/>
        <v>46.244005501636011</v>
      </c>
      <c r="BK62" s="12"/>
      <c r="BL62" s="7">
        <f t="shared" si="20"/>
        <v>24.681375630360922</v>
      </c>
      <c r="BM62" s="12"/>
      <c r="BN62" s="32">
        <f t="shared" si="21"/>
        <v>231.84159326697645</v>
      </c>
      <c r="BO62" s="32">
        <f t="shared" si="36"/>
        <v>230.92154521580392</v>
      </c>
      <c r="BP62" s="2">
        <f t="shared" si="22"/>
        <v>44.477622173118192</v>
      </c>
      <c r="BQ62" s="2">
        <f t="shared" si="39"/>
        <v>187.36397109385825</v>
      </c>
      <c r="BR62" s="2">
        <f t="shared" si="24"/>
        <v>186.44392304268573</v>
      </c>
      <c r="BS62" s="3">
        <f t="shared" si="25"/>
        <v>51.334253769933504</v>
      </c>
      <c r="BT62">
        <v>0</v>
      </c>
      <c r="BU62">
        <v>0</v>
      </c>
      <c r="BV62">
        <v>0</v>
      </c>
      <c r="BX62" s="32">
        <f t="shared" si="26"/>
        <v>267.61946374252113</v>
      </c>
      <c r="BY62" s="32">
        <f t="shared" si="27"/>
        <v>266.5574335752741</v>
      </c>
      <c r="BZ62" s="3">
        <f t="shared" si="28"/>
        <v>70.697616306429452</v>
      </c>
    </row>
    <row r="63" spans="1:78">
      <c r="A63">
        <v>1976</v>
      </c>
      <c r="B63" s="3">
        <v>0.56933333333333325</v>
      </c>
      <c r="C63" s="3">
        <f t="shared" si="3"/>
        <v>37.361997948152563</v>
      </c>
      <c r="D63" s="3">
        <v>0.59470000000000001</v>
      </c>
      <c r="E63">
        <v>2.3535402219555039</v>
      </c>
      <c r="G63">
        <f t="shared" si="4"/>
        <v>62.118776725393907</v>
      </c>
      <c r="H63">
        <f t="shared" si="7"/>
        <v>-1475.4071745382796</v>
      </c>
      <c r="J63" s="3">
        <f t="shared" si="8"/>
        <v>60.197547472460812</v>
      </c>
      <c r="K63" s="3">
        <v>26.098712089869402</v>
      </c>
      <c r="M63" s="3">
        <f t="shared" si="1"/>
        <v>15.710784600000002</v>
      </c>
      <c r="N63" s="3">
        <f t="shared" si="9"/>
        <v>-373.15294244984233</v>
      </c>
      <c r="O63" s="3">
        <v>2.8260143999999983</v>
      </c>
      <c r="P63" s="3">
        <f t="shared" si="29"/>
        <v>12.884770200000004</v>
      </c>
      <c r="Q63" s="3">
        <f t="shared" si="10"/>
        <v>-375.97895684984235</v>
      </c>
      <c r="R63" s="3"/>
      <c r="S63" s="3">
        <f t="shared" si="11"/>
        <v>49.354271120024315</v>
      </c>
      <c r="T63">
        <f t="shared" si="12"/>
        <v>-1440.1628499195922</v>
      </c>
      <c r="V63" s="3">
        <v>12.645</v>
      </c>
      <c r="W63" s="7">
        <v>13.32</v>
      </c>
      <c r="X63" s="7">
        <v>13.32</v>
      </c>
      <c r="Z63" s="3">
        <f t="shared" si="37"/>
        <v>13.32</v>
      </c>
      <c r="AA63" s="7">
        <v>58.895028113827038</v>
      </c>
      <c r="AM63" s="3"/>
      <c r="AN63"/>
      <c r="AO63"/>
      <c r="AP63">
        <v>1976</v>
      </c>
      <c r="AQ63" s="32">
        <f t="shared" si="13"/>
        <v>15.710784600000002</v>
      </c>
      <c r="AR63" s="32">
        <f t="shared" si="14"/>
        <v>2.8260143999999983</v>
      </c>
      <c r="AS63" s="32">
        <f t="shared" si="30"/>
        <v>12.884770200000004</v>
      </c>
      <c r="AU63" s="7">
        <v>26.106697369039445</v>
      </c>
      <c r="AW63" s="32">
        <f t="shared" si="15"/>
        <v>60.179134794092327</v>
      </c>
      <c r="AX63" s="32">
        <f t="shared" si="31"/>
        <v>59.843417612107331</v>
      </c>
      <c r="AY63" s="2">
        <f t="shared" si="16"/>
        <v>10.824863674067927</v>
      </c>
      <c r="AZ63" s="2">
        <f t="shared" si="38"/>
        <v>49.3542711200244</v>
      </c>
      <c r="BA63" s="2">
        <f t="shared" si="18"/>
        <v>49.018553938039403</v>
      </c>
      <c r="BB63" s="3">
        <f t="shared" si="32"/>
        <v>51.021390456674567</v>
      </c>
      <c r="BC63">
        <v>0</v>
      </c>
      <c r="BD63">
        <v>0</v>
      </c>
      <c r="BE63">
        <v>0</v>
      </c>
      <c r="BG63">
        <v>1976</v>
      </c>
      <c r="BH63" s="32">
        <f t="shared" si="33"/>
        <v>59.471761132686012</v>
      </c>
      <c r="BI63" s="32">
        <f t="shared" si="34"/>
        <v>10.697623169903993</v>
      </c>
      <c r="BJ63" s="32">
        <f t="shared" si="35"/>
        <v>48.774137962782014</v>
      </c>
      <c r="BK63" s="12"/>
      <c r="BL63" s="7">
        <f t="shared" si="20"/>
        <v>26.106697369039445</v>
      </c>
      <c r="BM63" s="12"/>
      <c r="BN63" s="32">
        <f t="shared" si="21"/>
        <v>227.80269864090505</v>
      </c>
      <c r="BO63" s="32">
        <f t="shared" si="36"/>
        <v>226.53187146304717</v>
      </c>
      <c r="BP63" s="2">
        <f t="shared" si="22"/>
        <v>40.976547200453474</v>
      </c>
      <c r="BQ63" s="2">
        <f t="shared" si="39"/>
        <v>186.82615144045158</v>
      </c>
      <c r="BR63" s="2">
        <f t="shared" si="24"/>
        <v>185.5553242625937</v>
      </c>
      <c r="BS63" s="3">
        <f t="shared" si="25"/>
        <v>51.021390456674567</v>
      </c>
      <c r="BT63">
        <v>0</v>
      </c>
      <c r="BU63">
        <v>0</v>
      </c>
      <c r="BV63">
        <v>0</v>
      </c>
      <c r="BX63" s="32">
        <f t="shared" si="26"/>
        <v>262.95728557720338</v>
      </c>
      <c r="BY63" s="32">
        <f t="shared" si="27"/>
        <v>261.49034393375064</v>
      </c>
      <c r="BZ63" s="3">
        <f t="shared" si="28"/>
        <v>69.465998551597679</v>
      </c>
    </row>
    <row r="64" spans="1:78">
      <c r="A64">
        <v>1977</v>
      </c>
      <c r="B64" s="3">
        <v>0.60616666666666674</v>
      </c>
      <c r="C64" s="3">
        <f t="shared" si="3"/>
        <v>39.779152967632001</v>
      </c>
      <c r="D64" s="3">
        <v>0.62</v>
      </c>
      <c r="E64">
        <v>2.3045701732196862</v>
      </c>
      <c r="G64">
        <f t="shared" si="4"/>
        <v>60.826272991965297</v>
      </c>
      <c r="H64">
        <f t="shared" si="7"/>
        <v>-1401.5433287329536</v>
      </c>
      <c r="J64" s="3">
        <f t="shared" si="8"/>
        <v>58.935660728925413</v>
      </c>
      <c r="K64" s="3">
        <v>27.791594761847083</v>
      </c>
      <c r="M64" s="3">
        <f t="shared" si="1"/>
        <v>16.379160000000002</v>
      </c>
      <c r="N64" s="3">
        <f t="shared" si="9"/>
        <v>-377.4043895683364</v>
      </c>
      <c r="O64" s="3">
        <v>3.1099199999999989</v>
      </c>
      <c r="P64" s="3">
        <f t="shared" si="29"/>
        <v>13.269240000000003</v>
      </c>
      <c r="Q64" s="3">
        <f t="shared" si="10"/>
        <v>-380.51430956833639</v>
      </c>
      <c r="R64" s="3"/>
      <c r="S64" s="3">
        <f t="shared" si="11"/>
        <v>47.738489724663189</v>
      </c>
      <c r="T64">
        <f t="shared" si="12"/>
        <v>-1368.9690183774901</v>
      </c>
      <c r="V64" s="3">
        <v>14.295833333333334</v>
      </c>
      <c r="W64" s="7">
        <v>14.36</v>
      </c>
      <c r="X64" s="7">
        <v>14.36</v>
      </c>
      <c r="Z64" s="3">
        <f t="shared" si="37"/>
        <v>14.36</v>
      </c>
      <c r="AA64" s="7">
        <v>59.635300153513214</v>
      </c>
      <c r="AM64" s="3"/>
      <c r="AN64"/>
      <c r="AO64"/>
      <c r="AP64">
        <v>1977</v>
      </c>
      <c r="AQ64" s="32">
        <f t="shared" si="13"/>
        <v>16.379160000000002</v>
      </c>
      <c r="AR64" s="32">
        <f t="shared" si="14"/>
        <v>3.1099199999999989</v>
      </c>
      <c r="AS64" s="32">
        <f t="shared" si="30"/>
        <v>13.269240000000003</v>
      </c>
      <c r="AU64" s="7">
        <v>27.795684523183983</v>
      </c>
      <c r="AW64" s="32">
        <f t="shared" si="15"/>
        <v>58.926989138685826</v>
      </c>
      <c r="AX64" s="32">
        <f t="shared" si="31"/>
        <v>60.688228457577857</v>
      </c>
      <c r="AY64" s="2">
        <f t="shared" si="16"/>
        <v>11.188499414022559</v>
      </c>
      <c r="AZ64" s="2">
        <f t="shared" si="38"/>
        <v>47.738489724663268</v>
      </c>
      <c r="BA64" s="2">
        <f t="shared" si="18"/>
        <v>49.499729043555298</v>
      </c>
      <c r="BB64" s="3">
        <f t="shared" si="32"/>
        <v>51.66269601319776</v>
      </c>
      <c r="BC64">
        <v>0</v>
      </c>
      <c r="BD64">
        <v>0</v>
      </c>
      <c r="BE64">
        <v>0</v>
      </c>
      <c r="BG64">
        <v>1977</v>
      </c>
      <c r="BH64" s="32">
        <f t="shared" si="33"/>
        <v>62.001836055600009</v>
      </c>
      <c r="BI64" s="32">
        <f t="shared" si="34"/>
        <v>11.772322267199996</v>
      </c>
      <c r="BJ64" s="32">
        <f t="shared" si="35"/>
        <v>50.229513788400013</v>
      </c>
      <c r="BK64" s="12"/>
      <c r="BL64" s="7">
        <f t="shared" si="20"/>
        <v>27.795684523183983</v>
      </c>
      <c r="BM64" s="12"/>
      <c r="BN64" s="32">
        <f t="shared" si="21"/>
        <v>223.06281395547271</v>
      </c>
      <c r="BO64" s="32">
        <f t="shared" si="36"/>
        <v>229.72982688559978</v>
      </c>
      <c r="BP64" s="2">
        <f t="shared" si="22"/>
        <v>42.353057566835133</v>
      </c>
      <c r="BQ64" s="2">
        <f t="shared" si="39"/>
        <v>180.70975638863757</v>
      </c>
      <c r="BR64" s="2">
        <f t="shared" si="24"/>
        <v>187.37676931876464</v>
      </c>
      <c r="BS64" s="3">
        <f t="shared" si="25"/>
        <v>51.66269601319776</v>
      </c>
      <c r="BT64">
        <v>0</v>
      </c>
      <c r="BU64">
        <v>0</v>
      </c>
      <c r="BV64">
        <v>0</v>
      </c>
      <c r="BX64" s="32">
        <f t="shared" si="26"/>
        <v>257.48594033736941</v>
      </c>
      <c r="BY64" s="32">
        <f t="shared" si="27"/>
        <v>265.18180888271041</v>
      </c>
      <c r="BZ64" s="3">
        <f t="shared" si="28"/>
        <v>68.020621369249142</v>
      </c>
    </row>
    <row r="65" spans="1:78">
      <c r="A65">
        <v>1978</v>
      </c>
      <c r="B65" s="3">
        <v>0.65241666666666698</v>
      </c>
      <c r="C65" s="3">
        <f t="shared" si="3"/>
        <v>42.814268433267948</v>
      </c>
      <c r="D65" s="3">
        <v>0.63</v>
      </c>
      <c r="E65">
        <v>2.1757340094520363</v>
      </c>
      <c r="G65">
        <f t="shared" si="4"/>
        <v>57.425802153787174</v>
      </c>
      <c r="H65">
        <f t="shared" si="7"/>
        <v>-1199.2700009809769</v>
      </c>
      <c r="J65" s="3">
        <f t="shared" si="8"/>
        <v>55.631824461272785</v>
      </c>
      <c r="K65" s="3">
        <v>29.916940817905406</v>
      </c>
      <c r="M65" s="3">
        <f t="shared" si="1"/>
        <v>16.643340000000002</v>
      </c>
      <c r="N65" s="3">
        <f t="shared" si="9"/>
        <v>-347.57648355827803</v>
      </c>
      <c r="O65" s="3">
        <v>3.1600799999999989</v>
      </c>
      <c r="P65" s="3">
        <f t="shared" si="29"/>
        <v>13.483260000000003</v>
      </c>
      <c r="Q65" s="3">
        <f t="shared" si="10"/>
        <v>-350.73656355827802</v>
      </c>
      <c r="R65" s="3"/>
      <c r="S65" s="3">
        <f t="shared" si="11"/>
        <v>45.069686686396714</v>
      </c>
      <c r="T65">
        <f t="shared" si="12"/>
        <v>-1172.3861313239568</v>
      </c>
      <c r="V65" s="3">
        <v>14.85</v>
      </c>
      <c r="W65" s="7">
        <v>14.34</v>
      </c>
      <c r="X65" s="7">
        <v>14.34</v>
      </c>
      <c r="Z65" s="3">
        <f t="shared" si="37"/>
        <v>14.34</v>
      </c>
      <c r="AA65" s="7">
        <v>55.330567493694716</v>
      </c>
      <c r="AM65" s="3"/>
      <c r="AN65"/>
      <c r="AO65"/>
      <c r="AP65">
        <v>1978</v>
      </c>
      <c r="AQ65" s="32">
        <f t="shared" si="13"/>
        <v>16.643340000000002</v>
      </c>
      <c r="AR65" s="32">
        <f t="shared" si="14"/>
        <v>3.1600799999999989</v>
      </c>
      <c r="AS65" s="32">
        <f t="shared" si="30"/>
        <v>13.483260000000003</v>
      </c>
      <c r="AU65" s="7">
        <v>29.916471560627922</v>
      </c>
      <c r="AW65" s="32">
        <f t="shared" si="15"/>
        <v>55.632697078835157</v>
      </c>
      <c r="AX65" s="32">
        <f t="shared" si="31"/>
        <v>57.264673210658458</v>
      </c>
      <c r="AY65" s="2">
        <f t="shared" si="16"/>
        <v>10.563010392438377</v>
      </c>
      <c r="AZ65" s="2">
        <f t="shared" si="38"/>
        <v>45.069686686396778</v>
      </c>
      <c r="BA65" s="2">
        <f t="shared" si="18"/>
        <v>46.701662818220079</v>
      </c>
      <c r="BB65" s="3">
        <f t="shared" si="32"/>
        <v>47.933460237578281</v>
      </c>
      <c r="BC65">
        <v>0</v>
      </c>
      <c r="BD65">
        <v>0</v>
      </c>
      <c r="BE65">
        <v>0</v>
      </c>
      <c r="BG65">
        <v>1978</v>
      </c>
      <c r="BH65" s="32">
        <f t="shared" si="33"/>
        <v>63.001865669400011</v>
      </c>
      <c r="BI65" s="32">
        <f t="shared" si="34"/>
        <v>11.962198432799996</v>
      </c>
      <c r="BJ65" s="32">
        <f t="shared" si="35"/>
        <v>51.039667236600017</v>
      </c>
      <c r="BK65" s="12"/>
      <c r="BL65" s="7">
        <f t="shared" si="20"/>
        <v>29.916471560627922</v>
      </c>
      <c r="BM65" s="12"/>
      <c r="BN65" s="32">
        <f t="shared" si="21"/>
        <v>210.59256784919341</v>
      </c>
      <c r="BO65" s="32">
        <f t="shared" si="36"/>
        <v>216.77026661835862</v>
      </c>
      <c r="BP65" s="2">
        <f t="shared" si="22"/>
        <v>39.985325169640156</v>
      </c>
      <c r="BQ65" s="2">
        <f t="shared" si="39"/>
        <v>170.60724267955325</v>
      </c>
      <c r="BR65" s="2">
        <f t="shared" si="24"/>
        <v>176.78494144871846</v>
      </c>
      <c r="BS65" s="3">
        <f t="shared" si="25"/>
        <v>47.933460237578281</v>
      </c>
      <c r="BT65">
        <v>0</v>
      </c>
      <c r="BU65">
        <v>0</v>
      </c>
      <c r="BV65">
        <v>0</v>
      </c>
      <c r="BX65" s="32">
        <f t="shared" si="26"/>
        <v>243.09128177471587</v>
      </c>
      <c r="BY65" s="32">
        <f t="shared" si="27"/>
        <v>250.22232503778989</v>
      </c>
      <c r="BZ65" s="3">
        <f t="shared" si="28"/>
        <v>64.217953081625453</v>
      </c>
    </row>
    <row r="66" spans="1:78">
      <c r="A66">
        <v>1979</v>
      </c>
      <c r="B66" s="3">
        <v>0.72583333333333344</v>
      </c>
      <c r="C66" s="3">
        <f t="shared" si="3"/>
        <v>47.632172442682808</v>
      </c>
      <c r="D66" s="3">
        <v>0.86</v>
      </c>
      <c r="E66">
        <v>2.6696347095292761</v>
      </c>
      <c r="G66">
        <f t="shared" si="4"/>
        <v>70.461698896236754</v>
      </c>
      <c r="H66">
        <f t="shared" si="7"/>
        <v>-1473.0452891754023</v>
      </c>
      <c r="J66" s="3">
        <f t="shared" si="8"/>
        <v>68.253201049446886</v>
      </c>
      <c r="K66" s="3">
        <v>33.287054161079702</v>
      </c>
      <c r="M66" s="3">
        <f t="shared" si="1"/>
        <v>22.719480000000004</v>
      </c>
      <c r="N66" s="3">
        <f t="shared" si="9"/>
        <v>-474.96474695846683</v>
      </c>
      <c r="O66" s="6">
        <v>3.2</v>
      </c>
      <c r="P66" s="3">
        <f t="shared" si="29"/>
        <v>19.519480000000005</v>
      </c>
      <c r="Q66" s="3">
        <f t="shared" si="10"/>
        <v>-478.16474695846682</v>
      </c>
      <c r="R66" s="3"/>
      <c r="S66" s="3">
        <f t="shared" si="11"/>
        <v>58.647028409230771</v>
      </c>
      <c r="T66">
        <f t="shared" si="12"/>
        <v>-1436.6643731885192</v>
      </c>
      <c r="V66" s="3">
        <v>22.404166666666665</v>
      </c>
      <c r="W66" s="7">
        <v>21.43</v>
      </c>
      <c r="X66" s="7">
        <v>21.43</v>
      </c>
      <c r="Z66" s="3">
        <f t="shared" si="37"/>
        <v>21.43</v>
      </c>
      <c r="AA66" s="7">
        <v>74.323522127224805</v>
      </c>
      <c r="AM66" s="3"/>
      <c r="AN66"/>
      <c r="AO66"/>
      <c r="AP66">
        <v>1979</v>
      </c>
      <c r="AQ66" s="32">
        <f t="shared" si="13"/>
        <v>22.719480000000004</v>
      </c>
      <c r="AR66" s="32">
        <f t="shared" si="14"/>
        <v>3.2</v>
      </c>
      <c r="AS66" s="32">
        <f t="shared" si="30"/>
        <v>19.519480000000005</v>
      </c>
      <c r="AU66" s="7">
        <v>33.282982155201061</v>
      </c>
      <c r="AW66" s="32">
        <f t="shared" si="15"/>
        <v>68.261551486153948</v>
      </c>
      <c r="AX66" s="32">
        <f t="shared" si="31"/>
        <v>68.661562270187389</v>
      </c>
      <c r="AY66" s="2">
        <f t="shared" si="16"/>
        <v>9.6145230769230903</v>
      </c>
      <c r="AZ66" s="2">
        <f t="shared" si="38"/>
        <v>58.647028409230856</v>
      </c>
      <c r="BA66" s="2">
        <f t="shared" si="18"/>
        <v>59.047039193264304</v>
      </c>
      <c r="BB66" s="3">
        <f t="shared" si="32"/>
        <v>64.387259230769317</v>
      </c>
      <c r="BC66">
        <v>0</v>
      </c>
      <c r="BD66">
        <v>0</v>
      </c>
      <c r="BE66">
        <v>0</v>
      </c>
      <c r="BG66">
        <v>1979</v>
      </c>
      <c r="BH66" s="32">
        <f t="shared" si="33"/>
        <v>86.002546786800025</v>
      </c>
      <c r="BI66" s="32">
        <f t="shared" si="34"/>
        <v>12.113312000000001</v>
      </c>
      <c r="BJ66" s="32">
        <f t="shared" si="35"/>
        <v>73.889234786800017</v>
      </c>
      <c r="BK66" s="12"/>
      <c r="BL66" s="7">
        <f t="shared" si="20"/>
        <v>33.282982155201061</v>
      </c>
      <c r="BM66" s="12"/>
      <c r="BN66" s="32">
        <f t="shared" si="21"/>
        <v>258.39795961120205</v>
      </c>
      <c r="BO66" s="32">
        <f t="shared" si="36"/>
        <v>259.91216443319007</v>
      </c>
      <c r="BP66" s="2">
        <f t="shared" si="22"/>
        <v>36.394911800615439</v>
      </c>
      <c r="BQ66" s="2">
        <f t="shared" si="39"/>
        <v>222.00304781058662</v>
      </c>
      <c r="BR66" s="2">
        <f t="shared" si="24"/>
        <v>223.51725263257461</v>
      </c>
      <c r="BS66" s="3">
        <f t="shared" si="25"/>
        <v>64.387259230769317</v>
      </c>
      <c r="BT66">
        <v>0</v>
      </c>
      <c r="BU66">
        <v>0</v>
      </c>
      <c r="BV66">
        <v>0</v>
      </c>
      <c r="BX66" s="32">
        <f t="shared" si="26"/>
        <v>298.27401722381796</v>
      </c>
      <c r="BY66" s="32">
        <f t="shared" si="27"/>
        <v>300.02189462901731</v>
      </c>
      <c r="BZ66" s="3">
        <f t="shared" si="28"/>
        <v>78.79569643019326</v>
      </c>
    </row>
    <row r="67" spans="1:78">
      <c r="A67">
        <v>1980</v>
      </c>
      <c r="B67" s="3">
        <v>0.82383333333333308</v>
      </c>
      <c r="C67" s="3">
        <f t="shared" si="3"/>
        <v>54.063336023922162</v>
      </c>
      <c r="D67" s="3">
        <v>1.2457385522648352</v>
      </c>
      <c r="E67">
        <v>3.4070447883156785</v>
      </c>
      <c r="G67">
        <f t="shared" si="4"/>
        <v>89.924723837075717</v>
      </c>
      <c r="H67">
        <f t="shared" si="7"/>
        <v>-1825.4627647300883</v>
      </c>
      <c r="J67" s="3">
        <f t="shared" si="8"/>
        <v>87.099410658093532</v>
      </c>
      <c r="K67" s="3">
        <v>37.784321185500851</v>
      </c>
      <c r="M67" s="3">
        <f t="shared" si="1"/>
        <v>32.90992107373242</v>
      </c>
      <c r="N67" s="3">
        <f t="shared" si="9"/>
        <v>-668.0680567799028</v>
      </c>
      <c r="O67" s="3">
        <v>3.288749777979163</v>
      </c>
      <c r="P67" s="3">
        <f t="shared" si="29"/>
        <v>29.621171295753257</v>
      </c>
      <c r="Q67" s="3">
        <f t="shared" si="10"/>
        <v>-671.35680655788201</v>
      </c>
      <c r="R67" s="3"/>
      <c r="S67" s="3">
        <f t="shared" si="11"/>
        <v>78.411099621621887</v>
      </c>
      <c r="T67">
        <f t="shared" si="12"/>
        <v>-1777.1689348493519</v>
      </c>
      <c r="V67" s="3">
        <v>37.375000000000007</v>
      </c>
      <c r="W67" s="7">
        <v>33.79</v>
      </c>
      <c r="X67" s="7">
        <v>33.79</v>
      </c>
      <c r="Z67" s="3">
        <f t="shared" si="37"/>
        <v>33.79</v>
      </c>
      <c r="AA67" s="7">
        <v>103.24995045446911</v>
      </c>
      <c r="AM67" s="3"/>
      <c r="AN67"/>
      <c r="AO67"/>
      <c r="AP67">
        <v>1980</v>
      </c>
      <c r="AQ67" s="32">
        <f t="shared" si="13"/>
        <v>32.90992107373242</v>
      </c>
      <c r="AR67" s="32">
        <f t="shared" si="14"/>
        <v>3.288749777979163</v>
      </c>
      <c r="AS67" s="32">
        <f t="shared" si="30"/>
        <v>29.621171295753257</v>
      </c>
      <c r="AU67" s="7">
        <v>37.776757931838986</v>
      </c>
      <c r="AW67" s="32">
        <f t="shared" si="15"/>
        <v>87.116848759526022</v>
      </c>
      <c r="AX67" s="32">
        <f t="shared" si="31"/>
        <v>86.55489952323822</v>
      </c>
      <c r="AY67" s="2">
        <f t="shared" si="16"/>
        <v>8.705749137904025</v>
      </c>
      <c r="AZ67" s="2">
        <f t="shared" si="38"/>
        <v>78.411099621622</v>
      </c>
      <c r="BA67" s="2">
        <f t="shared" si="18"/>
        <v>77.849150385334198</v>
      </c>
      <c r="BB67" s="3">
        <f t="shared" si="32"/>
        <v>89.446532338660873</v>
      </c>
      <c r="BC67">
        <v>0</v>
      </c>
      <c r="BD67">
        <v>0</v>
      </c>
      <c r="BE67">
        <v>0</v>
      </c>
      <c r="BG67">
        <v>1980</v>
      </c>
      <c r="BH67" s="32">
        <f t="shared" si="33"/>
        <v>124.57754433171745</v>
      </c>
      <c r="BI67" s="32">
        <f t="shared" si="34"/>
        <v>12.449266297060104</v>
      </c>
      <c r="BJ67" s="32">
        <f t="shared" si="35"/>
        <v>112.12827803465734</v>
      </c>
      <c r="BK67" s="12"/>
      <c r="BL67" s="7">
        <f t="shared" si="20"/>
        <v>37.776757931838986</v>
      </c>
      <c r="BM67" s="12"/>
      <c r="BN67" s="32">
        <f t="shared" si="21"/>
        <v>329.7729904627974</v>
      </c>
      <c r="BO67" s="32">
        <f t="shared" si="36"/>
        <v>327.6457822042612</v>
      </c>
      <c r="BP67" s="2">
        <f t="shared" si="22"/>
        <v>32.954829844113277</v>
      </c>
      <c r="BQ67" s="2">
        <f t="shared" si="39"/>
        <v>296.81816061868415</v>
      </c>
      <c r="BR67" s="2">
        <f t="shared" si="24"/>
        <v>294.69095236014789</v>
      </c>
      <c r="BS67" s="3">
        <f t="shared" si="25"/>
        <v>89.446532338660873</v>
      </c>
      <c r="BT67">
        <v>0</v>
      </c>
      <c r="BU67">
        <v>0</v>
      </c>
      <c r="BV67">
        <v>0</v>
      </c>
      <c r="BX67" s="32">
        <f t="shared" si="26"/>
        <v>380.66366617310609</v>
      </c>
      <c r="BY67" s="32">
        <f t="shared" si="27"/>
        <v>378.20818644060375</v>
      </c>
      <c r="BZ67" s="3">
        <f t="shared" si="28"/>
        <v>100.56074934369227</v>
      </c>
    </row>
    <row r="68" spans="1:78">
      <c r="A68">
        <v>1981</v>
      </c>
      <c r="B68" s="3">
        <v>0.90933333333333344</v>
      </c>
      <c r="C68" s="3">
        <f t="shared" si="3"/>
        <v>59.674198127962661</v>
      </c>
      <c r="D68" s="3">
        <v>1.3783438768659346</v>
      </c>
      <c r="E68">
        <v>3.415267834865495</v>
      </c>
      <c r="G68">
        <f t="shared" si="4"/>
        <v>90.141760957523232</v>
      </c>
      <c r="H68">
        <f t="shared" si="7"/>
        <v>-1608.1377992399168</v>
      </c>
      <c r="J68" s="3">
        <f t="shared" si="8"/>
        <v>87.359327490123832</v>
      </c>
      <c r="K68" s="3">
        <v>41.681969842500045</v>
      </c>
      <c r="M68" s="3">
        <f t="shared" si="1"/>
        <v>36.413088539044267</v>
      </c>
      <c r="N68" s="3">
        <f t="shared" si="9"/>
        <v>-649.61304776706493</v>
      </c>
      <c r="O68" s="3">
        <v>3.2749450514334626</v>
      </c>
      <c r="P68" s="3">
        <f t="shared" si="29"/>
        <v>33.138143487610805</v>
      </c>
      <c r="Q68" s="3">
        <f t="shared" si="10"/>
        <v>-652.88799281849833</v>
      </c>
      <c r="R68" s="3"/>
      <c r="S68" s="3">
        <f t="shared" si="11"/>
        <v>79.473024206683959</v>
      </c>
      <c r="T68">
        <f t="shared" si="12"/>
        <v>-1565.7782179896876</v>
      </c>
      <c r="V68" s="3">
        <v>36.666666666666671</v>
      </c>
      <c r="W68" s="7">
        <v>36.409999999999997</v>
      </c>
      <c r="X68" s="7">
        <v>36.409999999999997</v>
      </c>
      <c r="Z68" s="3">
        <f t="shared" si="37"/>
        <v>36.409999999999997</v>
      </c>
      <c r="AA68" s="7">
        <v>100.79490686481606</v>
      </c>
      <c r="AM68" s="3"/>
      <c r="AN68"/>
      <c r="AO68"/>
      <c r="AP68">
        <v>1981</v>
      </c>
      <c r="AQ68" s="32">
        <f t="shared" si="13"/>
        <v>36.413088539044267</v>
      </c>
      <c r="AR68" s="32">
        <f t="shared" si="14"/>
        <v>3.2749450514334626</v>
      </c>
      <c r="AS68" s="32">
        <f t="shared" si="30"/>
        <v>33.138143487610805</v>
      </c>
      <c r="AU68" s="7">
        <v>41.697348022681282</v>
      </c>
      <c r="AW68" s="32">
        <f t="shared" si="15"/>
        <v>87.327108954836547</v>
      </c>
      <c r="AX68" s="32">
        <f t="shared" si="31"/>
        <v>84.107462505361681</v>
      </c>
      <c r="AY68" s="2">
        <f t="shared" si="16"/>
        <v>7.8540847481524612</v>
      </c>
      <c r="AZ68" s="2">
        <f t="shared" si="38"/>
        <v>79.473024206684087</v>
      </c>
      <c r="BA68" s="2">
        <f t="shared" si="18"/>
        <v>76.253377757209222</v>
      </c>
      <c r="BB68" s="3">
        <f t="shared" si="32"/>
        <v>87.319701915322696</v>
      </c>
      <c r="BC68">
        <v>0</v>
      </c>
      <c r="BD68">
        <v>0</v>
      </c>
      <c r="BE68">
        <v>0</v>
      </c>
      <c r="BG68">
        <v>1981</v>
      </c>
      <c r="BH68" s="32">
        <f t="shared" si="33"/>
        <v>137.83846948658356</v>
      </c>
      <c r="BI68" s="32">
        <f t="shared" si="34"/>
        <v>12.397009747146743</v>
      </c>
      <c r="BJ68" s="32">
        <f t="shared" si="35"/>
        <v>125.44145973943682</v>
      </c>
      <c r="BK68" s="12"/>
      <c r="BL68" s="7">
        <f t="shared" si="20"/>
        <v>41.697348022681282</v>
      </c>
      <c r="BM68" s="12"/>
      <c r="BN68" s="32">
        <f t="shared" si="21"/>
        <v>330.56891150872787</v>
      </c>
      <c r="BO68" s="32">
        <f t="shared" si="36"/>
        <v>318.38122964242115</v>
      </c>
      <c r="BP68" s="2">
        <f t="shared" si="22"/>
        <v>29.730930946503808</v>
      </c>
      <c r="BQ68" s="2">
        <f t="shared" si="39"/>
        <v>300.83798056222406</v>
      </c>
      <c r="BR68" s="2">
        <f t="shared" si="24"/>
        <v>288.65029869591734</v>
      </c>
      <c r="BS68" s="3">
        <f t="shared" si="25"/>
        <v>87.319701915322696</v>
      </c>
      <c r="BT68">
        <v>0</v>
      </c>
      <c r="BU68">
        <v>0</v>
      </c>
      <c r="BV68">
        <v>0</v>
      </c>
      <c r="BX68" s="32">
        <f t="shared" si="26"/>
        <v>381.58241401507775</v>
      </c>
      <c r="BY68" s="32">
        <f t="shared" si="27"/>
        <v>367.51392509829611</v>
      </c>
      <c r="BZ68" s="3">
        <f t="shared" si="28"/>
        <v>100.80345696108947</v>
      </c>
    </row>
    <row r="69" spans="1:78">
      <c r="A69">
        <v>1982</v>
      </c>
      <c r="B69" s="3">
        <v>0.96533333333333349</v>
      </c>
      <c r="C69" s="3">
        <f t="shared" si="3"/>
        <v>63.349148745813736</v>
      </c>
      <c r="D69" s="3">
        <v>1.2576011010298809</v>
      </c>
      <c r="E69">
        <v>2.9353230439087468</v>
      </c>
      <c r="G69">
        <f t="shared" si="4"/>
        <v>77.47421313665501</v>
      </c>
      <c r="H69">
        <f t="shared" si="7"/>
        <v>-1289.5328168262088</v>
      </c>
      <c r="J69" s="3">
        <f t="shared" si="8"/>
        <v>75.081186561600717</v>
      </c>
      <c r="K69" s="3">
        <v>44.24984128314113</v>
      </c>
      <c r="M69" s="3">
        <f t="shared" si="1"/>
        <v>33.223305887007399</v>
      </c>
      <c r="N69" s="3">
        <f t="shared" si="9"/>
        <v>-552.9910081072062</v>
      </c>
      <c r="O69" s="3">
        <v>3.3200669067188855</v>
      </c>
      <c r="P69" s="3">
        <f t="shared" si="29"/>
        <v>29.903238980288513</v>
      </c>
      <c r="Q69" s="3">
        <f t="shared" si="10"/>
        <v>-556.31107501392512</v>
      </c>
      <c r="R69" s="3"/>
      <c r="S69" s="3">
        <f t="shared" si="11"/>
        <v>67.554705593217321</v>
      </c>
      <c r="T69">
        <f t="shared" si="12"/>
        <v>-1256.7679011489261</v>
      </c>
      <c r="V69" s="3">
        <v>33.635833333333331</v>
      </c>
      <c r="W69" s="7">
        <v>33.200000000000003</v>
      </c>
      <c r="X69" s="7">
        <v>33.200000000000003</v>
      </c>
      <c r="Z69" s="3">
        <f t="shared" si="37"/>
        <v>33.200000000000003</v>
      </c>
      <c r="AA69" s="7">
        <v>86.57685412133722</v>
      </c>
      <c r="AM69" s="3"/>
      <c r="AN69"/>
      <c r="AO69"/>
      <c r="AP69">
        <v>1982</v>
      </c>
      <c r="AQ69" s="32">
        <f t="shared" si="13"/>
        <v>33.223305887007399</v>
      </c>
      <c r="AR69" s="32">
        <f t="shared" si="14"/>
        <v>3.3200669067188855</v>
      </c>
      <c r="AS69" s="32">
        <f t="shared" si="30"/>
        <v>29.903238980288513</v>
      </c>
      <c r="AU69" s="7">
        <v>44.265219895045824</v>
      </c>
      <c r="AW69" s="32">
        <f t="shared" si="15"/>
        <v>75.055101874069223</v>
      </c>
      <c r="AX69" s="32">
        <f t="shared" si="31"/>
        <v>74.51207279540121</v>
      </c>
      <c r="AY69" s="2">
        <f t="shared" si="16"/>
        <v>7.5003962808517937</v>
      </c>
      <c r="AZ69" s="2">
        <f t="shared" si="38"/>
        <v>67.554705593217435</v>
      </c>
      <c r="BA69" s="2">
        <f t="shared" si="18"/>
        <v>67.011676514549421</v>
      </c>
      <c r="BB69" s="3">
        <f t="shared" si="32"/>
        <v>75.00245131215479</v>
      </c>
      <c r="BC69">
        <v>0</v>
      </c>
      <c r="BD69">
        <v>0</v>
      </c>
      <c r="BE69">
        <v>0</v>
      </c>
      <c r="BG69">
        <v>1982</v>
      </c>
      <c r="BH69" s="32">
        <f t="shared" si="33"/>
        <v>125.76383433773668</v>
      </c>
      <c r="BI69" s="32">
        <f t="shared" si="34"/>
        <v>12.567814469362737</v>
      </c>
      <c r="BJ69" s="32">
        <f t="shared" si="35"/>
        <v>113.19601986837395</v>
      </c>
      <c r="BK69" s="12"/>
      <c r="BL69" s="7">
        <f t="shared" si="20"/>
        <v>44.265219895045824</v>
      </c>
      <c r="BM69" s="12"/>
      <c r="BN69" s="32">
        <f t="shared" si="21"/>
        <v>284.11433318512036</v>
      </c>
      <c r="BO69" s="32">
        <f t="shared" si="36"/>
        <v>282.05874548043971</v>
      </c>
      <c r="BP69" s="2">
        <f t="shared" si="22"/>
        <v>28.39207508549919</v>
      </c>
      <c r="BQ69" s="2">
        <f t="shared" si="39"/>
        <v>255.72225809962117</v>
      </c>
      <c r="BR69" s="2">
        <f t="shared" si="24"/>
        <v>253.6666703949405</v>
      </c>
      <c r="BS69" s="3">
        <f t="shared" si="25"/>
        <v>75.00245131215479</v>
      </c>
      <c r="BT69">
        <v>0</v>
      </c>
      <c r="BU69">
        <v>0</v>
      </c>
      <c r="BV69">
        <v>0</v>
      </c>
      <c r="BX69" s="32">
        <f t="shared" si="26"/>
        <v>327.95894997585083</v>
      </c>
      <c r="BY69" s="32">
        <f t="shared" si="27"/>
        <v>325.58614330449194</v>
      </c>
      <c r="BZ69" s="3">
        <f t="shared" si="28"/>
        <v>86.637629735180838</v>
      </c>
    </row>
    <row r="70" spans="1:78">
      <c r="A70">
        <v>1983</v>
      </c>
      <c r="B70" s="3">
        <v>0.99583333333333324</v>
      </c>
      <c r="C70" s="3">
        <f t="shared" si="3"/>
        <v>65.350684350179037</v>
      </c>
      <c r="D70" s="3">
        <v>1.2053917715932294</v>
      </c>
      <c r="E70">
        <v>2.7272933980489271</v>
      </c>
      <c r="G70">
        <f t="shared" si="4"/>
        <v>71.983528506378406</v>
      </c>
      <c r="H70">
        <f t="shared" si="7"/>
        <v>-1042.4255749527279</v>
      </c>
      <c r="J70" s="3">
        <f t="shared" si="8"/>
        <v>69.724344220583859</v>
      </c>
      <c r="K70" s="3">
        <v>45.671336429076113</v>
      </c>
      <c r="M70" s="3">
        <f t="shared" ref="M70:M96" si="40">D70*0.26418*100</f>
        <v>31.844039821949938</v>
      </c>
      <c r="N70" s="3">
        <f t="shared" si="9"/>
        <v>-461.14774044832126</v>
      </c>
      <c r="O70" s="3">
        <v>4.8688184438193716</v>
      </c>
      <c r="P70" s="3">
        <f t="shared" si="29"/>
        <v>26.975221378130566</v>
      </c>
      <c r="Q70" s="3">
        <f t="shared" si="10"/>
        <v>-466.01655889214061</v>
      </c>
      <c r="R70" s="3"/>
      <c r="S70" s="3">
        <f t="shared" si="11"/>
        <v>59.073545197625869</v>
      </c>
      <c r="T70">
        <f t="shared" si="12"/>
        <v>-1020.5384366882544</v>
      </c>
      <c r="V70" s="3">
        <v>30.395</v>
      </c>
      <c r="W70" s="7">
        <v>28.95</v>
      </c>
      <c r="X70" s="7">
        <v>28.95</v>
      </c>
      <c r="Z70" s="3">
        <f t="shared" si="37"/>
        <v>28.95</v>
      </c>
      <c r="AA70" s="7">
        <v>73.181773333161431</v>
      </c>
      <c r="AM70" s="3"/>
      <c r="AN70"/>
      <c r="AO70"/>
      <c r="AP70">
        <v>1983</v>
      </c>
      <c r="AQ70" s="32">
        <f t="shared" si="13"/>
        <v>31.844039821949938</v>
      </c>
      <c r="AR70" s="32">
        <f t="shared" si="14"/>
        <v>4.8688184438193716</v>
      </c>
      <c r="AS70" s="32">
        <f t="shared" si="30"/>
        <v>26.975221378130566</v>
      </c>
      <c r="AU70" s="7">
        <v>45.663792968387206</v>
      </c>
      <c r="AW70" s="32">
        <f t="shared" si="15"/>
        <v>69.735862380059814</v>
      </c>
      <c r="AX70" s="32">
        <f t="shared" si="31"/>
        <v>68.967222312808275</v>
      </c>
      <c r="AY70" s="2">
        <f t="shared" si="16"/>
        <v>10.662317182433855</v>
      </c>
      <c r="AZ70" s="2">
        <f t="shared" si="38"/>
        <v>59.073545197625961</v>
      </c>
      <c r="BA70" s="2">
        <f t="shared" si="18"/>
        <v>58.304905130374415</v>
      </c>
      <c r="BB70" s="3">
        <f t="shared" si="32"/>
        <v>63.398150083682111</v>
      </c>
      <c r="BC70">
        <v>0</v>
      </c>
      <c r="BD70">
        <v>0</v>
      </c>
      <c r="BE70">
        <v>0</v>
      </c>
      <c r="BG70">
        <v>1983</v>
      </c>
      <c r="BH70" s="32">
        <f t="shared" si="33"/>
        <v>120.54274678240752</v>
      </c>
      <c r="BI70" s="32">
        <f t="shared" si="34"/>
        <v>18.430474025418288</v>
      </c>
      <c r="BJ70" s="32">
        <f t="shared" si="35"/>
        <v>102.11227275698923</v>
      </c>
      <c r="BK70" s="12"/>
      <c r="BL70" s="7">
        <f t="shared" si="20"/>
        <v>45.663792968387206</v>
      </c>
      <c r="BM70" s="12"/>
      <c r="BN70" s="32">
        <f t="shared" si="21"/>
        <v>263.97883081210227</v>
      </c>
      <c r="BO70" s="32">
        <f t="shared" si="36"/>
        <v>261.0692130151275</v>
      </c>
      <c r="BP70" s="2">
        <f t="shared" si="22"/>
        <v>40.361242085556945</v>
      </c>
      <c r="BQ70" s="2">
        <f t="shared" si="39"/>
        <v>223.61758872654534</v>
      </c>
      <c r="BR70" s="2">
        <f t="shared" si="24"/>
        <v>220.70797092957056</v>
      </c>
      <c r="BS70" s="3">
        <f t="shared" si="25"/>
        <v>63.398150083682111</v>
      </c>
      <c r="BT70">
        <v>0</v>
      </c>
      <c r="BU70">
        <v>0</v>
      </c>
      <c r="BV70">
        <v>0</v>
      </c>
      <c r="BX70" s="32">
        <f t="shared" si="26"/>
        <v>304.71613029315449</v>
      </c>
      <c r="BY70" s="32">
        <f t="shared" si="27"/>
        <v>301.35749932642625</v>
      </c>
      <c r="BZ70" s="3">
        <f t="shared" si="28"/>
        <v>80.497523463285191</v>
      </c>
    </row>
    <row r="71" spans="1:78">
      <c r="A71">
        <v>1984</v>
      </c>
      <c r="B71" s="3">
        <v>1.0393333333333332</v>
      </c>
      <c r="C71" s="3">
        <f t="shared" si="3"/>
        <v>68.205333490831208</v>
      </c>
      <c r="D71" s="3">
        <v>1.1758544597995879</v>
      </c>
      <c r="E71">
        <v>2.5491125580037539</v>
      </c>
      <c r="G71">
        <f t="shared" si="4"/>
        <v>67.2806661051942</v>
      </c>
      <c r="H71">
        <f t="shared" si="7"/>
        <v>-937.1889689423856</v>
      </c>
      <c r="J71" s="3">
        <f t="shared" si="8"/>
        <v>65.20089893943269</v>
      </c>
      <c r="K71" s="3">
        <v>47.643090239969929</v>
      </c>
      <c r="M71" s="3">
        <f t="shared" si="40"/>
        <v>31.063723118985514</v>
      </c>
      <c r="N71" s="3">
        <f t="shared" si="9"/>
        <v>-432.70348417591293</v>
      </c>
      <c r="O71" s="3">
        <v>5.1530645846257137</v>
      </c>
      <c r="P71" s="3">
        <f t="shared" si="29"/>
        <v>25.910658534359801</v>
      </c>
      <c r="Q71" s="3">
        <f t="shared" si="10"/>
        <v>-437.85654876053866</v>
      </c>
      <c r="R71" s="3"/>
      <c r="S71" s="3">
        <f t="shared" si="11"/>
        <v>54.367363360702761</v>
      </c>
      <c r="T71">
        <f t="shared" si="12"/>
        <v>-918.73798015437615</v>
      </c>
      <c r="V71" s="3">
        <v>29.276666666666671</v>
      </c>
      <c r="W71" s="7">
        <v>28.52</v>
      </c>
      <c r="X71" s="7">
        <v>28.52</v>
      </c>
      <c r="Z71" s="3">
        <f t="shared" si="37"/>
        <v>28.52</v>
      </c>
      <c r="AA71" s="7">
        <v>69.077352673839016</v>
      </c>
      <c r="AM71" s="3"/>
      <c r="AN71"/>
      <c r="AO71"/>
      <c r="AP71">
        <v>1984</v>
      </c>
      <c r="AQ71" s="32">
        <f t="shared" si="13"/>
        <v>31.063723118985514</v>
      </c>
      <c r="AR71" s="32">
        <f t="shared" si="14"/>
        <v>5.1530645846257137</v>
      </c>
      <c r="AS71" s="32">
        <f t="shared" si="30"/>
        <v>25.910658534359801</v>
      </c>
      <c r="AU71" s="7">
        <v>47.65847915495609</v>
      </c>
      <c r="AW71" s="32">
        <f t="shared" si="15"/>
        <v>65.179845580018139</v>
      </c>
      <c r="AX71" s="32">
        <f t="shared" si="31"/>
        <v>66.449523459182188</v>
      </c>
      <c r="AY71" s="2">
        <f t="shared" si="16"/>
        <v>10.812482219315294</v>
      </c>
      <c r="AZ71" s="2">
        <f t="shared" si="38"/>
        <v>54.367363360702846</v>
      </c>
      <c r="BA71" s="2">
        <f t="shared" si="18"/>
        <v>55.637041239866889</v>
      </c>
      <c r="BB71" s="3">
        <f t="shared" si="32"/>
        <v>59.842446728672314</v>
      </c>
      <c r="BC71">
        <v>0</v>
      </c>
      <c r="BD71">
        <v>0</v>
      </c>
      <c r="BE71">
        <v>0</v>
      </c>
      <c r="BG71">
        <v>1984</v>
      </c>
      <c r="BH71" s="32">
        <f t="shared" si="33"/>
        <v>117.58892813183895</v>
      </c>
      <c r="BI71" s="32">
        <f t="shared" si="34"/>
        <v>19.506462209288024</v>
      </c>
      <c r="BJ71" s="32">
        <f t="shared" si="35"/>
        <v>98.082465922550938</v>
      </c>
      <c r="BK71" s="12"/>
      <c r="BL71" s="7">
        <f t="shared" si="20"/>
        <v>47.65847915495609</v>
      </c>
      <c r="BM71" s="12"/>
      <c r="BN71" s="32">
        <f t="shared" si="21"/>
        <v>246.73243925705646</v>
      </c>
      <c r="BO71" s="32">
        <f t="shared" si="36"/>
        <v>251.5386905976228</v>
      </c>
      <c r="BP71" s="2">
        <f t="shared" si="22"/>
        <v>40.929678317818315</v>
      </c>
      <c r="BQ71" s="2">
        <f t="shared" si="39"/>
        <v>205.80276093923814</v>
      </c>
      <c r="BR71" s="2">
        <f t="shared" si="24"/>
        <v>210.60901227980449</v>
      </c>
      <c r="BS71" s="3">
        <f t="shared" si="25"/>
        <v>59.842446728672314</v>
      </c>
      <c r="BT71">
        <v>0</v>
      </c>
      <c r="BU71">
        <v>0</v>
      </c>
      <c r="BV71">
        <v>0</v>
      </c>
      <c r="BX71" s="32">
        <f t="shared" si="26"/>
        <v>284.80826995447927</v>
      </c>
      <c r="BY71" s="32">
        <f t="shared" si="27"/>
        <v>290.35622357336666</v>
      </c>
      <c r="BZ71" s="3">
        <f t="shared" si="28"/>
        <v>75.238420661032563</v>
      </c>
    </row>
    <row r="72" spans="1:78">
      <c r="A72">
        <v>1985</v>
      </c>
      <c r="B72" s="3">
        <v>1.0760000000000005</v>
      </c>
      <c r="C72" s="3">
        <f t="shared" si="3"/>
        <v>70.611551157281355</v>
      </c>
      <c r="D72" s="3">
        <v>1.1665129906536347</v>
      </c>
      <c r="E72">
        <v>2.4426857912678681</v>
      </c>
      <c r="G72">
        <f t="shared" si="4"/>
        <v>64.471663523126992</v>
      </c>
      <c r="H72">
        <f t="shared" si="7"/>
        <v>-810.72090231901859</v>
      </c>
      <c r="J72" s="3">
        <f t="shared" si="8"/>
        <v>62.458687045173811</v>
      </c>
      <c r="K72" s="3">
        <v>49.339718212134507</v>
      </c>
      <c r="M72" s="3">
        <f t="shared" si="40"/>
        <v>30.81694018708772</v>
      </c>
      <c r="N72" s="3">
        <f t="shared" si="9"/>
        <v>-387.51811555513621</v>
      </c>
      <c r="O72" s="3">
        <v>5.142922473193746</v>
      </c>
      <c r="P72" s="3">
        <f t="shared" si="29"/>
        <v>25.674017713893974</v>
      </c>
      <c r="Q72" s="3">
        <f t="shared" si="10"/>
        <v>-392.66103802832993</v>
      </c>
      <c r="R72" s="3"/>
      <c r="S72" s="3">
        <f t="shared" si="11"/>
        <v>52.035081845126967</v>
      </c>
      <c r="T72">
        <f t="shared" si="12"/>
        <v>-795.82983383778765</v>
      </c>
      <c r="V72" s="3">
        <v>27.973333333333333</v>
      </c>
      <c r="W72" s="7">
        <v>26.67</v>
      </c>
      <c r="X72" s="7">
        <v>26.67</v>
      </c>
      <c r="Z72" s="3">
        <f t="shared" si="37"/>
        <v>26.67</v>
      </c>
      <c r="AA72" s="7">
        <v>62.395283825906951</v>
      </c>
      <c r="AM72" s="3"/>
      <c r="AN72"/>
      <c r="AO72"/>
      <c r="AP72">
        <v>1985</v>
      </c>
      <c r="AQ72" s="32">
        <f t="shared" si="13"/>
        <v>30.81694018708772</v>
      </c>
      <c r="AR72" s="32">
        <f t="shared" si="14"/>
        <v>5.142922473193746</v>
      </c>
      <c r="AS72" s="32">
        <f t="shared" si="30"/>
        <v>25.674017713893974</v>
      </c>
      <c r="AU72" s="7">
        <v>49.339823833290041</v>
      </c>
      <c r="AW72" s="32">
        <f t="shared" si="15"/>
        <v>62.458553340628754</v>
      </c>
      <c r="AX72" s="32">
        <f t="shared" si="31"/>
        <v>61.717183512328845</v>
      </c>
      <c r="AY72" s="2">
        <f t="shared" si="16"/>
        <v>10.423471495501708</v>
      </c>
      <c r="AZ72" s="2">
        <f t="shared" si="38"/>
        <v>52.035081845127046</v>
      </c>
      <c r="BA72" s="2">
        <f t="shared" si="18"/>
        <v>51.293712016827136</v>
      </c>
      <c r="BB72" s="3">
        <f t="shared" si="32"/>
        <v>54.053699279739831</v>
      </c>
      <c r="BC72">
        <v>0</v>
      </c>
      <c r="BD72">
        <v>0</v>
      </c>
      <c r="BE72">
        <v>0</v>
      </c>
      <c r="BG72">
        <v>1985</v>
      </c>
      <c r="BH72" s="32">
        <f t="shared" si="33"/>
        <v>116.65475355360373</v>
      </c>
      <c r="BI72" s="32">
        <f t="shared" si="34"/>
        <v>19.468070159252338</v>
      </c>
      <c r="BJ72" s="32">
        <f t="shared" si="35"/>
        <v>97.186683394351391</v>
      </c>
      <c r="BK72" s="12"/>
      <c r="BL72" s="7">
        <f t="shared" si="20"/>
        <v>49.339823833290041</v>
      </c>
      <c r="BM72" s="12"/>
      <c r="BN72" s="32">
        <f t="shared" si="21"/>
        <v>236.43123240114949</v>
      </c>
      <c r="BO72" s="32">
        <f t="shared" si="36"/>
        <v>233.6248436394047</v>
      </c>
      <c r="BP72" s="2">
        <f t="shared" si="22"/>
        <v>39.457113233787119</v>
      </c>
      <c r="BQ72" s="2">
        <f t="shared" si="39"/>
        <v>196.97411916736237</v>
      </c>
      <c r="BR72" s="2">
        <f t="shared" si="24"/>
        <v>194.16773040561759</v>
      </c>
      <c r="BS72" s="3">
        <f t="shared" si="25"/>
        <v>54.053699279739831</v>
      </c>
      <c r="BT72">
        <v>0</v>
      </c>
      <c r="BU72">
        <v>0</v>
      </c>
      <c r="BV72">
        <v>0</v>
      </c>
      <c r="BX72" s="32">
        <f t="shared" si="26"/>
        <v>272.91737748850136</v>
      </c>
      <c r="BY72" s="32">
        <f t="shared" si="27"/>
        <v>269.67790589547144</v>
      </c>
      <c r="BZ72" s="3">
        <f t="shared" si="28"/>
        <v>72.097177713510916</v>
      </c>
    </row>
    <row r="73" spans="1:78">
      <c r="A73">
        <v>1986</v>
      </c>
      <c r="B73" s="3">
        <v>1.0969166666666668</v>
      </c>
      <c r="C73" s="3">
        <f t="shared" si="3"/>
        <v>71.98418896246082</v>
      </c>
      <c r="D73" s="3">
        <v>0.884830362521141</v>
      </c>
      <c r="E73">
        <v>1.817509457854475</v>
      </c>
      <c r="G73">
        <f t="shared" si="4"/>
        <v>47.970909167189234</v>
      </c>
      <c r="H73">
        <f t="shared" si="7"/>
        <v>-413.72020175014308</v>
      </c>
      <c r="J73" s="3">
        <f t="shared" si="8"/>
        <v>46.511998703701096</v>
      </c>
      <c r="K73" s="3">
        <v>50.256813657899102</v>
      </c>
      <c r="M73" s="3">
        <f t="shared" si="40"/>
        <v>23.375448517083505</v>
      </c>
      <c r="N73" s="3">
        <f t="shared" si="9"/>
        <v>-201.59916591913364</v>
      </c>
      <c r="O73" s="3">
        <v>4.8541085823619774</v>
      </c>
      <c r="P73" s="3">
        <f t="shared" si="29"/>
        <v>18.521339934721528</v>
      </c>
      <c r="Q73" s="3">
        <f t="shared" si="10"/>
        <v>-206.45327450149563</v>
      </c>
      <c r="R73" s="3"/>
      <c r="S73" s="3">
        <f t="shared" si="11"/>
        <v>36.822514704998326</v>
      </c>
      <c r="T73">
        <f t="shared" si="12"/>
        <v>-410.4524166728803</v>
      </c>
      <c r="V73" s="3">
        <v>14.412500000000001</v>
      </c>
      <c r="W73">
        <v>15.05</v>
      </c>
      <c r="X73" s="7">
        <v>13.79</v>
      </c>
      <c r="Z73" s="3">
        <f>W73</f>
        <v>15.05</v>
      </c>
      <c r="AA73" s="7">
        <v>34.538532812471416</v>
      </c>
      <c r="AM73" s="3"/>
      <c r="AN73"/>
      <c r="AO73"/>
      <c r="AP73">
        <v>1986</v>
      </c>
      <c r="AQ73" s="32">
        <f t="shared" si="13"/>
        <v>23.375448517083505</v>
      </c>
      <c r="AR73" s="32">
        <f t="shared" si="14"/>
        <v>4.8541085823619774</v>
      </c>
      <c r="AS73" s="32">
        <f t="shared" si="30"/>
        <v>18.521339934721528</v>
      </c>
      <c r="AU73" s="7">
        <v>50.298954547521411</v>
      </c>
      <c r="AW73" s="32">
        <f t="shared" si="15"/>
        <v>46.473030557720371</v>
      </c>
      <c r="AX73" s="32">
        <f t="shared" si="31"/>
        <v>42.837404445686836</v>
      </c>
      <c r="AY73" s="2">
        <f t="shared" si="16"/>
        <v>9.6505158527219805</v>
      </c>
      <c r="AZ73" s="2">
        <f t="shared" si="38"/>
        <v>36.82251470499839</v>
      </c>
      <c r="BA73" s="2">
        <f t="shared" si="18"/>
        <v>33.186888592964856</v>
      </c>
      <c r="BB73" s="3">
        <f t="shared" si="32"/>
        <v>29.921099027577348</v>
      </c>
      <c r="BC73">
        <v>0</v>
      </c>
      <c r="BD73">
        <v>0</v>
      </c>
      <c r="BE73">
        <v>0</v>
      </c>
      <c r="BG73">
        <v>1986</v>
      </c>
      <c r="BH73" s="32">
        <f t="shared" si="33"/>
        <v>88.48565657105307</v>
      </c>
      <c r="BI73" s="32">
        <f t="shared" si="34"/>
        <v>18.374791168758854</v>
      </c>
      <c r="BJ73" s="32">
        <f t="shared" si="35"/>
        <v>70.110865402294223</v>
      </c>
      <c r="BK73" s="12"/>
      <c r="BL73" s="7">
        <f t="shared" si="20"/>
        <v>50.298954547521411</v>
      </c>
      <c r="BM73" s="12"/>
      <c r="BN73" s="32">
        <f t="shared" si="21"/>
        <v>175.91947460350025</v>
      </c>
      <c r="BO73" s="32">
        <f t="shared" si="36"/>
        <v>162.1571391627474</v>
      </c>
      <c r="BP73" s="2">
        <f t="shared" si="22"/>
        <v>36.531159214052316</v>
      </c>
      <c r="BQ73" s="2">
        <f t="shared" si="39"/>
        <v>139.38831538944794</v>
      </c>
      <c r="BR73" s="2">
        <f t="shared" si="24"/>
        <v>125.62597994869509</v>
      </c>
      <c r="BS73" s="3">
        <f t="shared" si="25"/>
        <v>29.921099027577348</v>
      </c>
      <c r="BT73">
        <v>0</v>
      </c>
      <c r="BU73">
        <v>0</v>
      </c>
      <c r="BV73">
        <v>0</v>
      </c>
      <c r="BX73" s="32">
        <f t="shared" si="26"/>
        <v>203.06742544268397</v>
      </c>
      <c r="BY73" s="32">
        <f t="shared" si="27"/>
        <v>187.18128189700127</v>
      </c>
      <c r="BZ73" s="3">
        <f t="shared" si="28"/>
        <v>53.644763828141201</v>
      </c>
    </row>
    <row r="74" spans="1:78">
      <c r="A74">
        <v>1987</v>
      </c>
      <c r="B74" s="3">
        <v>1.136166666666667</v>
      </c>
      <c r="C74" s="3">
        <f t="shared" si="3"/>
        <v>74.559935600865373</v>
      </c>
      <c r="D74" s="3">
        <v>0.91245038774636156</v>
      </c>
      <c r="E74">
        <v>1.8094955290606731</v>
      </c>
      <c r="G74">
        <f t="shared" si="4"/>
        <v>47.75939145069075</v>
      </c>
      <c r="H74">
        <f t="shared" si="7"/>
        <v>-503.68248279797729</v>
      </c>
      <c r="J74" s="3">
        <f t="shared" si="8"/>
        <v>46.234307070529368</v>
      </c>
      <c r="K74" s="3">
        <v>52.136856526716379</v>
      </c>
      <c r="M74" s="3">
        <f t="shared" si="40"/>
        <v>24.105114343483383</v>
      </c>
      <c r="N74" s="3">
        <f t="shared" si="9"/>
        <v>-254.21856250388308</v>
      </c>
      <c r="O74" s="3">
        <v>5.2633788166761128</v>
      </c>
      <c r="P74" s="3">
        <f t="shared" si="29"/>
        <v>18.84173552680727</v>
      </c>
      <c r="Q74" s="3">
        <f t="shared" si="10"/>
        <v>-259.4819413205592</v>
      </c>
      <c r="R74" s="3"/>
      <c r="S74" s="3">
        <f t="shared" si="11"/>
        <v>36.165421968670124</v>
      </c>
      <c r="T74">
        <f t="shared" si="12"/>
        <v>-498.05782953253714</v>
      </c>
      <c r="V74" s="3">
        <v>19.030833333333334</v>
      </c>
      <c r="W74">
        <v>19.2</v>
      </c>
      <c r="X74" s="7">
        <v>17.57</v>
      </c>
      <c r="Z74" s="3">
        <f t="shared" ref="Z74:Z85" si="41">W74</f>
        <v>19.2</v>
      </c>
      <c r="AA74" s="7">
        <v>42.540266405915901</v>
      </c>
      <c r="AM74" s="3"/>
      <c r="AN74"/>
      <c r="AO74"/>
      <c r="AP74">
        <v>1987</v>
      </c>
      <c r="AQ74" s="32">
        <f t="shared" si="13"/>
        <v>24.105114343483383</v>
      </c>
      <c r="AR74" s="32">
        <f t="shared" si="14"/>
        <v>5.2633788166761128</v>
      </c>
      <c r="AS74" s="32">
        <f t="shared" si="30"/>
        <v>18.84173552680727</v>
      </c>
      <c r="AU74" s="7">
        <v>52.098757600919789</v>
      </c>
      <c r="AW74" s="32">
        <f t="shared" si="15"/>
        <v>46.268117424469665</v>
      </c>
      <c r="AX74" s="32">
        <f t="shared" si="31"/>
        <v>48.49069228968613</v>
      </c>
      <c r="AY74" s="2">
        <f t="shared" si="16"/>
        <v>10.102695455799486</v>
      </c>
      <c r="AZ74" s="2">
        <f t="shared" si="38"/>
        <v>36.165421968670181</v>
      </c>
      <c r="BA74" s="2">
        <f t="shared" si="18"/>
        <v>38.387996833886646</v>
      </c>
      <c r="BB74" s="3">
        <f t="shared" si="32"/>
        <v>36.8530861082588</v>
      </c>
      <c r="BC74">
        <v>0</v>
      </c>
      <c r="BD74">
        <v>0</v>
      </c>
      <c r="BE74">
        <v>0</v>
      </c>
      <c r="BG74">
        <v>1987</v>
      </c>
      <c r="BH74" s="32">
        <f t="shared" si="33"/>
        <v>91.247740886965431</v>
      </c>
      <c r="BI74" s="32">
        <f t="shared" si="34"/>
        <v>19.924046806433925</v>
      </c>
      <c r="BJ74" s="32">
        <f t="shared" si="35"/>
        <v>71.32369408053151</v>
      </c>
      <c r="BK74" s="12"/>
      <c r="BL74" s="7">
        <f t="shared" si="20"/>
        <v>52.098757600919789</v>
      </c>
      <c r="BM74" s="12"/>
      <c r="BN74" s="32">
        <f t="shared" si="21"/>
        <v>175.14379437976172</v>
      </c>
      <c r="BO74" s="32">
        <f t="shared" si="36"/>
        <v>183.55715150030076</v>
      </c>
      <c r="BP74" s="2">
        <f t="shared" si="22"/>
        <v>38.242844405337934</v>
      </c>
      <c r="BQ74" s="2">
        <f t="shared" si="39"/>
        <v>136.90094997442378</v>
      </c>
      <c r="BR74" s="2">
        <f t="shared" si="24"/>
        <v>145.31430709496283</v>
      </c>
      <c r="BS74" s="3">
        <f t="shared" si="25"/>
        <v>36.8530861082588</v>
      </c>
      <c r="BT74">
        <v>0</v>
      </c>
      <c r="BU74">
        <v>0</v>
      </c>
      <c r="BV74">
        <v>0</v>
      </c>
      <c r="BX74" s="32">
        <f t="shared" si="26"/>
        <v>202.17204199320284</v>
      </c>
      <c r="BY74" s="32">
        <f t="shared" si="27"/>
        <v>211.88375113540226</v>
      </c>
      <c r="BZ74" s="3">
        <f t="shared" si="28"/>
        <v>53.40822843316915</v>
      </c>
    </row>
    <row r="75" spans="1:78">
      <c r="A75">
        <v>1988</v>
      </c>
      <c r="B75" s="3">
        <v>1.1827499999999997</v>
      </c>
      <c r="C75" s="3">
        <f t="shared" si="3"/>
        <v>77.61692577255991</v>
      </c>
      <c r="D75" s="3">
        <v>0.90923151456367324</v>
      </c>
      <c r="E75">
        <v>1.7320954523531222</v>
      </c>
      <c r="G75">
        <f t="shared" si="4"/>
        <v>45.716512370625615</v>
      </c>
      <c r="H75">
        <f t="shared" si="7"/>
        <v>-374.43477935221881</v>
      </c>
      <c r="J75" s="3">
        <f t="shared" si="8"/>
        <v>44.295364665238637</v>
      </c>
      <c r="K75" s="3">
        <v>54.227069431021505</v>
      </c>
      <c r="M75" s="3">
        <f t="shared" si="40"/>
        <v>24.020078151743121</v>
      </c>
      <c r="N75" s="3">
        <f t="shared" si="9"/>
        <v>-196.73313199958579</v>
      </c>
      <c r="O75" s="3">
        <v>5.4056359389051138</v>
      </c>
      <c r="P75" s="3">
        <f t="shared" si="29"/>
        <v>18.614442212838007</v>
      </c>
      <c r="Q75" s="3">
        <f>AG$96+AG$97*Z75+AG$98*AA75+AG$99*AB75+AG$100*AC75</f>
        <v>-202.1387679384909</v>
      </c>
      <c r="R75" s="3"/>
      <c r="S75" s="3">
        <f t="shared" si="11"/>
        <v>34.321933623767393</v>
      </c>
      <c r="T75">
        <f t="shared" si="12"/>
        <v>-372.7102481314293</v>
      </c>
      <c r="V75" s="3">
        <v>15.987500000000001</v>
      </c>
      <c r="W75">
        <v>15.97</v>
      </c>
      <c r="X75" s="7">
        <v>14.12</v>
      </c>
      <c r="Z75" s="3">
        <f t="shared" si="41"/>
        <v>15.97</v>
      </c>
      <c r="AA75" s="7">
        <v>33.990142056114721</v>
      </c>
      <c r="AM75" s="3"/>
      <c r="AN75"/>
      <c r="AO75"/>
      <c r="AP75">
        <v>1988</v>
      </c>
      <c r="AQ75" s="32">
        <f t="shared" si="13"/>
        <v>24.020078151743121</v>
      </c>
      <c r="AR75" s="32">
        <f t="shared" si="14"/>
        <v>5.4056359389051138</v>
      </c>
      <c r="AS75" s="32">
        <f t="shared" si="30"/>
        <v>18.614442212838007</v>
      </c>
      <c r="AU75" s="7">
        <v>54.234829589984898</v>
      </c>
      <c r="AW75" s="32">
        <f t="shared" si="15"/>
        <v>44.289026688817536</v>
      </c>
      <c r="AX75" s="32">
        <f t="shared" si="31"/>
        <v>42.797528940760152</v>
      </c>
      <c r="AY75" s="2">
        <f t="shared" si="16"/>
        <v>9.9670930650500811</v>
      </c>
      <c r="AZ75" s="2">
        <f t="shared" si="38"/>
        <v>34.321933623767457</v>
      </c>
      <c r="BA75" s="2">
        <f t="shared" si="18"/>
        <v>32.830435875710073</v>
      </c>
      <c r="BB75" s="3">
        <f t="shared" si="32"/>
        <v>29.446022271542361</v>
      </c>
      <c r="BC75">
        <v>0</v>
      </c>
      <c r="BD75">
        <v>0</v>
      </c>
      <c r="BE75">
        <v>0</v>
      </c>
      <c r="BG75">
        <v>1988</v>
      </c>
      <c r="BH75" s="32">
        <f t="shared" si="33"/>
        <v>90.925844036389933</v>
      </c>
      <c r="BI75" s="32">
        <f t="shared" si="34"/>
        <v>20.462548339490809</v>
      </c>
      <c r="BJ75" s="32">
        <f t="shared" si="35"/>
        <v>70.463295696899124</v>
      </c>
      <c r="BK75" s="12"/>
      <c r="BL75" s="7">
        <f t="shared" si="20"/>
        <v>54.234829589984898</v>
      </c>
      <c r="BM75" s="12"/>
      <c r="BN75" s="32">
        <f t="shared" si="21"/>
        <v>167.65212451811681</v>
      </c>
      <c r="BO75" s="32">
        <f t="shared" si="36"/>
        <v>162.00619402764289</v>
      </c>
      <c r="BP75" s="2">
        <f t="shared" si="22"/>
        <v>37.729533759371229</v>
      </c>
      <c r="BQ75" s="2">
        <f t="shared" si="39"/>
        <v>129.92259075874557</v>
      </c>
      <c r="BR75" s="2">
        <f t="shared" si="24"/>
        <v>124.27666026827166</v>
      </c>
      <c r="BS75" s="3">
        <f t="shared" si="25"/>
        <v>29.446022271542361</v>
      </c>
      <c r="BT75">
        <v>0</v>
      </c>
      <c r="BU75">
        <v>0</v>
      </c>
      <c r="BV75">
        <v>0</v>
      </c>
      <c r="BX75" s="32">
        <f t="shared" si="26"/>
        <v>193.52425518904357</v>
      </c>
      <c r="BY75" s="32">
        <f t="shared" si="27"/>
        <v>187.00704285929464</v>
      </c>
      <c r="BZ75" s="3">
        <f t="shared" si="28"/>
        <v>51.123723768110601</v>
      </c>
    </row>
    <row r="76" spans="1:78">
      <c r="A76">
        <v>1989</v>
      </c>
      <c r="B76" s="3">
        <v>1.2394166666666668</v>
      </c>
      <c r="C76" s="3">
        <f t="shared" si="3"/>
        <v>81.335625802528284</v>
      </c>
      <c r="D76" s="3">
        <v>0.98686919831828523</v>
      </c>
      <c r="E76">
        <v>1.7940418108465346</v>
      </c>
      <c r="G76">
        <f t="shared" si="4"/>
        <v>47.351509714756936</v>
      </c>
      <c r="H76">
        <f t="shared" si="7"/>
        <v>-426.50197949231216</v>
      </c>
      <c r="J76" s="3">
        <f t="shared" si="8"/>
        <v>45.863823126549562</v>
      </c>
      <c r="K76" s="3">
        <v>56.844608024141067</v>
      </c>
      <c r="M76" s="3">
        <f t="shared" si="40"/>
        <v>26.071110481172461</v>
      </c>
      <c r="N76" s="3">
        <f t="shared" si="9"/>
        <v>-234.82630849080411</v>
      </c>
      <c r="O76" s="3">
        <v>6.0678244780118753</v>
      </c>
      <c r="P76" s="3">
        <f t="shared" si="29"/>
        <v>20.003286003160586</v>
      </c>
      <c r="Q76" s="3">
        <f t="shared" si="10"/>
        <v>-240.894132968816</v>
      </c>
      <c r="R76" s="3"/>
      <c r="S76" s="3">
        <f t="shared" si="11"/>
        <v>35.1964360356546</v>
      </c>
      <c r="T76">
        <f>Q76*B$97/B76</f>
        <v>-423.86110667326142</v>
      </c>
      <c r="V76" s="3">
        <v>19.581666666666667</v>
      </c>
      <c r="W76">
        <v>19.64</v>
      </c>
      <c r="X76" s="7">
        <v>17.63</v>
      </c>
      <c r="Z76" s="3">
        <f t="shared" si="41"/>
        <v>19.64</v>
      </c>
      <c r="AA76" s="7">
        <v>39.89010429406818</v>
      </c>
      <c r="AM76" s="3"/>
      <c r="AN76"/>
      <c r="AO76"/>
      <c r="AP76">
        <v>1989</v>
      </c>
      <c r="AQ76" s="32">
        <f t="shared" si="13"/>
        <v>26.071110481172461</v>
      </c>
      <c r="AR76" s="32">
        <f t="shared" si="14"/>
        <v>6.0678244780118753</v>
      </c>
      <c r="AS76" s="32">
        <f t="shared" si="30"/>
        <v>20.003286003160586</v>
      </c>
      <c r="AU76" s="7">
        <v>56.833271365591884</v>
      </c>
      <c r="AW76" s="32">
        <f t="shared" si="15"/>
        <v>45.872971684956511</v>
      </c>
      <c r="AX76" s="32">
        <f t="shared" si="31"/>
        <v>45.365117349930628</v>
      </c>
      <c r="AY76" s="2">
        <f t="shared" si="16"/>
        <v>10.676535649301846</v>
      </c>
      <c r="AZ76" s="2">
        <f t="shared" si="38"/>
        <v>35.196436035654663</v>
      </c>
      <c r="BA76" s="2">
        <f t="shared" si="18"/>
        <v>34.688581700628781</v>
      </c>
      <c r="BB76" s="3">
        <f t="shared" si="32"/>
        <v>34.557222429906595</v>
      </c>
      <c r="BC76">
        <v>0</v>
      </c>
      <c r="BD76">
        <v>0</v>
      </c>
      <c r="BE76" s="23">
        <v>0.25</v>
      </c>
      <c r="BG76">
        <v>1989</v>
      </c>
      <c r="BH76" s="32">
        <f t="shared" si="33"/>
        <v>98.689842326535043</v>
      </c>
      <c r="BI76" s="32">
        <f t="shared" si="34"/>
        <v>22.969203457310932</v>
      </c>
      <c r="BJ76" s="32">
        <f t="shared" si="35"/>
        <v>75.720638869224118</v>
      </c>
      <c r="BK76" s="12"/>
      <c r="BL76" s="7">
        <f t="shared" si="20"/>
        <v>56.833271365591884</v>
      </c>
      <c r="BM76" s="12"/>
      <c r="BN76" s="32">
        <f t="shared" si="21"/>
        <v>173.64800574595122</v>
      </c>
      <c r="BO76" s="32">
        <f t="shared" si="36"/>
        <v>171.72556886760091</v>
      </c>
      <c r="BP76" s="2">
        <f t="shared" si="22"/>
        <v>40.415064812223697</v>
      </c>
      <c r="BQ76" s="2">
        <f t="shared" si="39"/>
        <v>133.23294093372752</v>
      </c>
      <c r="BR76" s="2">
        <f t="shared" si="24"/>
        <v>131.31050405537721</v>
      </c>
      <c r="BS76" s="3">
        <f t="shared" si="25"/>
        <v>34.557222429906595</v>
      </c>
      <c r="BT76">
        <v>0</v>
      </c>
      <c r="BU76">
        <v>0</v>
      </c>
      <c r="BV76" s="23">
        <v>0.25</v>
      </c>
      <c r="BX76" s="32">
        <f t="shared" si="26"/>
        <v>200.44542276836185</v>
      </c>
      <c r="BY76" s="32">
        <f t="shared" si="27"/>
        <v>198.22631480238744</v>
      </c>
      <c r="BZ76" s="3">
        <f t="shared" si="28"/>
        <v>52.952103673938062</v>
      </c>
    </row>
    <row r="77" spans="1:78">
      <c r="A77">
        <v>1990</v>
      </c>
      <c r="B77" s="3">
        <v>1.3065833333333334</v>
      </c>
      <c r="C77" s="3">
        <f t="shared" si="3"/>
        <v>85.743379073343704</v>
      </c>
      <c r="D77" s="3">
        <v>1.1266518168132145</v>
      </c>
      <c r="E77">
        <v>1.942866255019716</v>
      </c>
      <c r="G77">
        <f t="shared" si="4"/>
        <v>51.279546436896922</v>
      </c>
      <c r="H77">
        <f t="shared" si="7"/>
        <v>-483.03801044872063</v>
      </c>
      <c r="J77" s="3">
        <f t="shared" si="8"/>
        <v>49.678466073677185</v>
      </c>
      <c r="K77" s="3">
        <v>59.913057002261802</v>
      </c>
      <c r="M77" s="3">
        <f t="shared" si="40"/>
        <v>29.763887696571501</v>
      </c>
      <c r="N77" s="3">
        <f t="shared" si="9"/>
        <v>-280.3669317524691</v>
      </c>
      <c r="O77" s="3">
        <v>8.7713899885449251</v>
      </c>
      <c r="P77" s="3">
        <f t="shared" si="29"/>
        <v>20.992497708026576</v>
      </c>
      <c r="Q77" s="3">
        <f t="shared" si="10"/>
        <v>-289.13832174101401</v>
      </c>
      <c r="R77" s="3"/>
      <c r="S77" s="3">
        <f t="shared" si="11"/>
        <v>35.038191118383359</v>
      </c>
      <c r="T77">
        <f t="shared" si="12"/>
        <v>-482.59544517833518</v>
      </c>
      <c r="V77" s="3">
        <v>24.835000000000001</v>
      </c>
      <c r="W77">
        <v>24.53</v>
      </c>
      <c r="X77" s="7">
        <v>21.55</v>
      </c>
      <c r="Z77" s="3">
        <f t="shared" si="41"/>
        <v>24.53</v>
      </c>
      <c r="AA77" s="7">
        <v>47.260841957304422</v>
      </c>
      <c r="AM77" s="3"/>
      <c r="AN77"/>
      <c r="AO77"/>
      <c r="AP77">
        <v>1990</v>
      </c>
      <c r="AQ77" s="32">
        <f t="shared" si="13"/>
        <v>29.763887696571501</v>
      </c>
      <c r="AR77" s="32">
        <f t="shared" si="14"/>
        <v>8.7713899885449251</v>
      </c>
      <c r="AS77" s="32">
        <f t="shared" si="30"/>
        <v>20.992497708026576</v>
      </c>
      <c r="AU77" s="7">
        <v>59.913189117267208</v>
      </c>
      <c r="AW77" s="32">
        <f t="shared" si="15"/>
        <v>49.678356527333371</v>
      </c>
      <c r="AX77" s="32">
        <f t="shared" si="31"/>
        <v>48.189261704807372</v>
      </c>
      <c r="AY77" s="2">
        <f t="shared" si="16"/>
        <v>14.64016540894996</v>
      </c>
      <c r="AZ77" s="2">
        <f t="shared" si="38"/>
        <v>35.038191118383409</v>
      </c>
      <c r="BA77" s="2">
        <f t="shared" si="18"/>
        <v>33.54909629585741</v>
      </c>
      <c r="BB77" s="3">
        <f t="shared" si="32"/>
        <v>40.942571012181958</v>
      </c>
      <c r="BC77">
        <v>0</v>
      </c>
      <c r="BD77">
        <v>0</v>
      </c>
      <c r="BE77" s="23">
        <v>1</v>
      </c>
      <c r="BG77">
        <v>1990</v>
      </c>
      <c r="BH77" s="32">
        <f t="shared" si="33"/>
        <v>112.66851812547873</v>
      </c>
      <c r="BI77" s="32">
        <f t="shared" si="34"/>
        <v>33.203307376537843</v>
      </c>
      <c r="BJ77" s="32">
        <f t="shared" si="35"/>
        <v>79.465210748940891</v>
      </c>
      <c r="BK77" s="12"/>
      <c r="BL77" s="7">
        <f t="shared" si="20"/>
        <v>59.913189117267208</v>
      </c>
      <c r="BM77" s="12"/>
      <c r="BN77" s="32">
        <f t="shared" si="21"/>
        <v>188.05294758213302</v>
      </c>
      <c r="BO77" s="32">
        <f t="shared" si="36"/>
        <v>182.41611314999483</v>
      </c>
      <c r="BP77" s="2">
        <f t="shared" si="22"/>
        <v>55.419028540693262</v>
      </c>
      <c r="BQ77" s="2">
        <f t="shared" si="39"/>
        <v>132.63391904143975</v>
      </c>
      <c r="BR77" s="2">
        <f t="shared" si="24"/>
        <v>126.99708460930158</v>
      </c>
      <c r="BS77" s="3">
        <f t="shared" si="25"/>
        <v>40.942571012181958</v>
      </c>
      <c r="BT77">
        <v>0</v>
      </c>
      <c r="BU77">
        <v>0</v>
      </c>
      <c r="BV77" s="23">
        <v>1</v>
      </c>
      <c r="BX77" s="32">
        <f t="shared" si="26"/>
        <v>217.07333993852174</v>
      </c>
      <c r="BY77" s="32">
        <f t="shared" si="27"/>
        <v>210.56662737380492</v>
      </c>
      <c r="BZ77" s="3">
        <f t="shared" si="28"/>
        <v>57.344736749393526</v>
      </c>
    </row>
    <row r="78" spans="1:78">
      <c r="A78">
        <v>1991</v>
      </c>
      <c r="B78" s="3">
        <v>1.3616666666666666</v>
      </c>
      <c r="C78" s="3">
        <f t="shared" si="3"/>
        <v>89.358174249533519</v>
      </c>
      <c r="D78" s="3">
        <v>1.1021368877779374</v>
      </c>
      <c r="E78">
        <v>1.8237068525094839</v>
      </c>
      <c r="G78">
        <f t="shared" si="4"/>
        <v>48.134481716858168</v>
      </c>
      <c r="H78">
        <f t="shared" si="7"/>
        <v>-382.14552040056657</v>
      </c>
      <c r="J78" s="3">
        <f t="shared" si="8"/>
        <v>46.62304017379067</v>
      </c>
      <c r="K78" s="3">
        <v>62.450351141377027</v>
      </c>
      <c r="M78" s="3">
        <f t="shared" si="40"/>
        <v>29.116252301317552</v>
      </c>
      <c r="N78" s="3">
        <f t="shared" si="9"/>
        <v>-231.15747777760527</v>
      </c>
      <c r="O78" s="3">
        <v>8.1877308538267854</v>
      </c>
      <c r="P78" s="3">
        <f t="shared" si="29"/>
        <v>20.928521447490766</v>
      </c>
      <c r="Q78" s="3">
        <f t="shared" si="10"/>
        <v>-239.34520863143206</v>
      </c>
      <c r="R78" s="3"/>
      <c r="S78" s="3">
        <f t="shared" si="11"/>
        <v>33.518333529727848</v>
      </c>
      <c r="T78">
        <f t="shared" si="12"/>
        <v>-383.32629238901592</v>
      </c>
      <c r="V78" s="3">
        <v>21.139166666666668</v>
      </c>
      <c r="W78">
        <v>21.54</v>
      </c>
      <c r="X78" s="7">
        <v>18.02</v>
      </c>
      <c r="Z78" s="3">
        <f t="shared" si="41"/>
        <v>21.54</v>
      </c>
      <c r="AA78" s="7">
        <v>39.821343939717423</v>
      </c>
      <c r="AM78" s="3"/>
      <c r="AN78"/>
      <c r="AO78"/>
      <c r="AP78">
        <v>1991</v>
      </c>
      <c r="AQ78" s="32">
        <f t="shared" si="13"/>
        <v>29.116252301317552</v>
      </c>
      <c r="AR78" s="32">
        <f t="shared" si="14"/>
        <v>8.1877308538267854</v>
      </c>
      <c r="AS78" s="32">
        <f t="shared" si="30"/>
        <v>20.928521447490766</v>
      </c>
      <c r="AU78" s="7">
        <v>62.439027372673394</v>
      </c>
      <c r="AW78" s="32">
        <f t="shared" si="15"/>
        <v>46.631495598953478</v>
      </c>
      <c r="AX78" s="32">
        <f t="shared" si="31"/>
        <v>45.780233780182762</v>
      </c>
      <c r="AY78" s="2">
        <f t="shared" si="16"/>
        <v>13.113162069225581</v>
      </c>
      <c r="AZ78" s="2">
        <f t="shared" si="38"/>
        <v>33.518333529727897</v>
      </c>
      <c r="BA78" s="2">
        <f t="shared" si="18"/>
        <v>32.667071710957181</v>
      </c>
      <c r="BB78" s="3">
        <f t="shared" si="32"/>
        <v>34.497654602203234</v>
      </c>
      <c r="BC78">
        <v>0</v>
      </c>
      <c r="BD78">
        <v>0</v>
      </c>
      <c r="BE78" s="23">
        <v>0.5</v>
      </c>
      <c r="BG78">
        <v>1991</v>
      </c>
      <c r="BH78" s="32">
        <f t="shared" si="33"/>
        <v>110.21695262393048</v>
      </c>
      <c r="BI78" s="32">
        <f t="shared" si="34"/>
        <v>30.993918251384454</v>
      </c>
      <c r="BJ78" s="32">
        <f t="shared" si="35"/>
        <v>79.223034372546024</v>
      </c>
      <c r="BK78" s="12"/>
      <c r="BL78" s="7">
        <f t="shared" si="20"/>
        <v>62.439027372673394</v>
      </c>
      <c r="BM78" s="12"/>
      <c r="BN78" s="32">
        <f t="shared" si="21"/>
        <v>176.51932975523451</v>
      </c>
      <c r="BO78" s="32">
        <f t="shared" si="36"/>
        <v>173.29695475384159</v>
      </c>
      <c r="BP78" s="2">
        <f t="shared" si="22"/>
        <v>49.638694828467209</v>
      </c>
      <c r="BQ78" s="2">
        <f t="shared" si="39"/>
        <v>126.8806349267673</v>
      </c>
      <c r="BR78" s="2">
        <f t="shared" si="24"/>
        <v>123.6582599253744</v>
      </c>
      <c r="BS78" s="3">
        <f t="shared" si="25"/>
        <v>34.497654602203234</v>
      </c>
      <c r="BT78">
        <v>0</v>
      </c>
      <c r="BU78">
        <v>0</v>
      </c>
      <c r="BV78" s="23">
        <v>0.5</v>
      </c>
      <c r="BX78" s="32">
        <f t="shared" si="26"/>
        <v>203.75985043756162</v>
      </c>
      <c r="BY78" s="32">
        <f t="shared" si="27"/>
        <v>200.04019747237078</v>
      </c>
      <c r="BZ78" s="3">
        <f t="shared" si="28"/>
        <v>53.827683246348897</v>
      </c>
    </row>
    <row r="79" spans="1:78">
      <c r="A79">
        <v>1992</v>
      </c>
      <c r="B79" s="3">
        <v>1.4030833333333337</v>
      </c>
      <c r="C79" s="3">
        <f t="shared" si="3"/>
        <v>92.076106477319229</v>
      </c>
      <c r="D79" s="3">
        <v>1.0869206707671852</v>
      </c>
      <c r="E79">
        <v>1.7454390185375686</v>
      </c>
      <c r="G79">
        <f t="shared" si="4"/>
        <v>46.068699259466406</v>
      </c>
      <c r="H79">
        <f t="shared" si="7"/>
        <v>-336.81542050194111</v>
      </c>
      <c r="J79" s="3">
        <f t="shared" si="8"/>
        <v>44.627665501063838</v>
      </c>
      <c r="K79" s="3">
        <v>64.341860498266513</v>
      </c>
      <c r="M79" s="3">
        <f t="shared" si="40"/>
        <v>28.714270280327504</v>
      </c>
      <c r="N79" s="3">
        <f t="shared" si="9"/>
        <v>-209.93449292770242</v>
      </c>
      <c r="O79" s="3">
        <v>9.8996734693475226</v>
      </c>
      <c r="P79" s="3">
        <f t="shared" si="29"/>
        <v>18.814596810979982</v>
      </c>
      <c r="Q79" s="3">
        <f t="shared" si="10"/>
        <v>-219.83416639704996</v>
      </c>
      <c r="R79" s="3"/>
      <c r="S79" s="3">
        <f t="shared" si="11"/>
        <v>29.243282988824898</v>
      </c>
      <c r="T79">
        <f t="shared" si="12"/>
        <v>-341.68538412737354</v>
      </c>
      <c r="V79" s="3">
        <v>20.596666666666668</v>
      </c>
      <c r="W79">
        <v>20.58</v>
      </c>
      <c r="X79" s="7">
        <v>17.649999999999999</v>
      </c>
      <c r="Z79" s="3">
        <f t="shared" si="41"/>
        <v>20.58</v>
      </c>
      <c r="AA79" s="7">
        <v>36.923505396808793</v>
      </c>
      <c r="AM79" s="3"/>
      <c r="AN79"/>
      <c r="AO79"/>
      <c r="AP79">
        <v>1992</v>
      </c>
      <c r="AQ79" s="32">
        <f t="shared" si="13"/>
        <v>28.714270280327504</v>
      </c>
      <c r="AR79" s="32">
        <f t="shared" si="14"/>
        <v>9.8996734693475226</v>
      </c>
      <c r="AS79" s="32">
        <f t="shared" si="30"/>
        <v>18.814596810979982</v>
      </c>
      <c r="AU79" s="7">
        <v>64.338182611609682</v>
      </c>
      <c r="AW79" s="32">
        <f t="shared" si="15"/>
        <v>44.630216637710987</v>
      </c>
      <c r="AX79" s="32">
        <f t="shared" si="31"/>
        <v>46.170417041090545</v>
      </c>
      <c r="AY79" s="2">
        <f t="shared" si="16"/>
        <v>15.386933648886048</v>
      </c>
      <c r="AZ79" s="2">
        <f t="shared" si="38"/>
        <v>29.243282988824937</v>
      </c>
      <c r="BA79" s="2">
        <f t="shared" si="18"/>
        <v>30.783483392204499</v>
      </c>
      <c r="BB79" s="3">
        <f t="shared" si="32"/>
        <v>31.987226192314584</v>
      </c>
      <c r="BC79">
        <v>0</v>
      </c>
      <c r="BD79">
        <v>0</v>
      </c>
      <c r="BE79" s="23">
        <v>0.5</v>
      </c>
      <c r="BG79">
        <v>1992</v>
      </c>
      <c r="BH79" s="32">
        <f t="shared" si="33"/>
        <v>108.69528586185454</v>
      </c>
      <c r="BI79" s="32">
        <f t="shared" si="34"/>
        <v>37.474322947602808</v>
      </c>
      <c r="BJ79" s="32">
        <f t="shared" si="35"/>
        <v>71.220962914251729</v>
      </c>
      <c r="BK79" s="12"/>
      <c r="BL79" s="7">
        <f t="shared" si="20"/>
        <v>64.338182611609682</v>
      </c>
      <c r="BM79" s="12"/>
      <c r="BN79" s="32">
        <f t="shared" si="21"/>
        <v>168.94366836255756</v>
      </c>
      <c r="BO79" s="32">
        <f t="shared" si="36"/>
        <v>174.7739583715146</v>
      </c>
      <c r="BP79" s="2">
        <f t="shared" si="22"/>
        <v>58.245852503829745</v>
      </c>
      <c r="BQ79" s="2">
        <f t="shared" si="39"/>
        <v>110.69781585872781</v>
      </c>
      <c r="BR79" s="2">
        <f t="shared" si="24"/>
        <v>116.52810586768486</v>
      </c>
      <c r="BS79" s="3">
        <f t="shared" si="25"/>
        <v>31.987226192314584</v>
      </c>
      <c r="BT79">
        <v>0</v>
      </c>
      <c r="BU79">
        <v>0</v>
      </c>
      <c r="BV79" s="23">
        <v>0.5</v>
      </c>
      <c r="BX79" s="32">
        <f t="shared" si="26"/>
        <v>195.0151105018397</v>
      </c>
      <c r="BY79" s="32">
        <f t="shared" si="27"/>
        <v>201.745132771242</v>
      </c>
      <c r="BZ79" s="3">
        <f t="shared" si="28"/>
        <v>51.517566261472254</v>
      </c>
    </row>
    <row r="80" spans="1:78">
      <c r="A80">
        <v>1993</v>
      </c>
      <c r="B80" s="3">
        <v>1.4447499999999998</v>
      </c>
      <c r="C80" s="3">
        <f t="shared" si="3"/>
        <v>94.810444734648854</v>
      </c>
      <c r="D80" s="3">
        <v>1.0671866477663123</v>
      </c>
      <c r="E80">
        <v>1.6643243901030038</v>
      </c>
      <c r="G80">
        <f t="shared" si="4"/>
        <v>43.927779191100861</v>
      </c>
      <c r="H80">
        <f t="shared" si="7"/>
        <v>-276.91701050145264</v>
      </c>
      <c r="J80" s="3">
        <f t="shared" si="8"/>
        <v>42.561149175421178</v>
      </c>
      <c r="K80" s="3">
        <v>66.241014180537462</v>
      </c>
      <c r="M80" s="3">
        <f t="shared" si="40"/>
        <v>28.192936860690445</v>
      </c>
      <c r="N80" s="3">
        <f t="shared" si="9"/>
        <v>-177.72589319289361</v>
      </c>
      <c r="O80" s="3">
        <v>10.029846990366913</v>
      </c>
      <c r="P80" s="3">
        <f t="shared" si="29"/>
        <v>18.163089870323532</v>
      </c>
      <c r="Q80" s="3">
        <f t="shared" si="10"/>
        <v>-187.75574018326051</v>
      </c>
      <c r="R80" s="3"/>
      <c r="S80" s="3">
        <f t="shared" si="11"/>
        <v>27.416480662982508</v>
      </c>
      <c r="T80">
        <f t="shared" si="12"/>
        <v>-283.41001761539144</v>
      </c>
      <c r="V80" s="3">
        <v>18.504999999999999</v>
      </c>
      <c r="W80">
        <v>18.43</v>
      </c>
      <c r="X80" s="7">
        <v>15.75</v>
      </c>
      <c r="Z80" s="3">
        <f t="shared" si="41"/>
        <v>18.43</v>
      </c>
      <c r="AA80" s="7">
        <v>32.11246561978863</v>
      </c>
      <c r="AM80" s="3"/>
      <c r="AN80"/>
      <c r="AO80"/>
      <c r="AP80">
        <v>1993</v>
      </c>
      <c r="AQ80" s="32">
        <f t="shared" si="13"/>
        <v>28.192936860690445</v>
      </c>
      <c r="AR80" s="32">
        <f t="shared" si="14"/>
        <v>10.029846990366913</v>
      </c>
      <c r="AS80" s="32">
        <f t="shared" si="30"/>
        <v>18.163089870323532</v>
      </c>
      <c r="AU80" s="7">
        <v>66.248801564261839</v>
      </c>
      <c r="AW80" s="32">
        <f t="shared" si="15"/>
        <v>42.556146216989418</v>
      </c>
      <c r="AX80" s="32">
        <f t="shared" si="31"/>
        <v>42.79598427127614</v>
      </c>
      <c r="AY80" s="2">
        <f t="shared" si="16"/>
        <v>15.139665554006868</v>
      </c>
      <c r="AZ80" s="2">
        <f t="shared" si="38"/>
        <v>27.416480662982551</v>
      </c>
      <c r="BA80" s="2">
        <f t="shared" si="18"/>
        <v>27.656318717269269</v>
      </c>
      <c r="BB80" s="3">
        <f t="shared" si="32"/>
        <v>27.81937116571499</v>
      </c>
      <c r="BC80">
        <v>0</v>
      </c>
      <c r="BD80">
        <v>0</v>
      </c>
      <c r="BE80" s="23">
        <v>0.5</v>
      </c>
      <c r="BG80">
        <v>1993</v>
      </c>
      <c r="BH80" s="32">
        <f t="shared" si="33"/>
        <v>106.72182512182621</v>
      </c>
      <c r="BI80" s="32">
        <f t="shared" si="34"/>
        <v>37.967083095804817</v>
      </c>
      <c r="BJ80" s="32">
        <f t="shared" si="35"/>
        <v>68.754742026021404</v>
      </c>
      <c r="BK80" s="12"/>
      <c r="BL80" s="7">
        <f t="shared" si="20"/>
        <v>66.248801564261839</v>
      </c>
      <c r="BM80" s="12"/>
      <c r="BN80" s="32">
        <f t="shared" si="21"/>
        <v>161.09246145125394</v>
      </c>
      <c r="BO80" s="32">
        <f t="shared" si="36"/>
        <v>162.0003468203314</v>
      </c>
      <c r="BP80" s="2">
        <f t="shared" si="22"/>
        <v>57.309841384793138</v>
      </c>
      <c r="BQ80" s="2">
        <f t="shared" si="39"/>
        <v>103.78262006646079</v>
      </c>
      <c r="BR80" s="2">
        <f t="shared" si="24"/>
        <v>104.69050543553826</v>
      </c>
      <c r="BS80" s="3">
        <f t="shared" si="25"/>
        <v>27.81937116571499</v>
      </c>
      <c r="BT80">
        <v>0</v>
      </c>
      <c r="BU80">
        <v>0</v>
      </c>
      <c r="BV80" s="23">
        <v>0.5</v>
      </c>
      <c r="BX80" s="32">
        <f t="shared" si="26"/>
        <v>185.95230277296469</v>
      </c>
      <c r="BY80" s="32">
        <f t="shared" si="27"/>
        <v>187.00029330903905</v>
      </c>
      <c r="BZ80" s="3">
        <f t="shared" si="28"/>
        <v>49.123424615289935</v>
      </c>
    </row>
    <row r="81" spans="1:78">
      <c r="A81">
        <v>1994</v>
      </c>
      <c r="B81" s="3">
        <v>1.4822499999999998</v>
      </c>
      <c r="C81" s="3">
        <f t="shared" si="3"/>
        <v>97.271349166245571</v>
      </c>
      <c r="D81" s="3">
        <v>1.0760134656992479</v>
      </c>
      <c r="E81">
        <v>1.6356355650219101</v>
      </c>
      <c r="G81">
        <f t="shared" si="4"/>
        <v>43.170573215566009</v>
      </c>
      <c r="H81">
        <f t="shared" si="7"/>
        <v>-241.08188983427112</v>
      </c>
      <c r="J81" s="3">
        <f t="shared" si="8"/>
        <v>41.82267372524791</v>
      </c>
      <c r="K81" s="3">
        <v>67.968212466727536</v>
      </c>
      <c r="M81" s="3">
        <f t="shared" si="40"/>
        <v>28.426123736842733</v>
      </c>
      <c r="N81" s="3">
        <f t="shared" si="9"/>
        <v>-158.74293808704596</v>
      </c>
      <c r="O81" s="3">
        <v>9.6298901126219896</v>
      </c>
      <c r="P81" s="3">
        <f t="shared" si="29"/>
        <v>18.796233624220744</v>
      </c>
      <c r="Q81" s="3">
        <f t="shared" si="10"/>
        <v>-168.37282819966794</v>
      </c>
      <c r="R81" s="3"/>
      <c r="S81" s="3">
        <f t="shared" si="11"/>
        <v>27.654388020242507</v>
      </c>
      <c r="T81">
        <f t="shared" si="12"/>
        <v>-247.72236907606995</v>
      </c>
      <c r="V81" s="3">
        <v>17.446666666666669</v>
      </c>
      <c r="W81">
        <v>17.2</v>
      </c>
      <c r="X81" s="7">
        <v>15.07</v>
      </c>
      <c r="Z81" s="3">
        <f t="shared" si="41"/>
        <v>17.2</v>
      </c>
      <c r="AA81" s="7">
        <v>29.211106500610327</v>
      </c>
      <c r="AM81" s="3"/>
      <c r="AN81"/>
      <c r="AO81"/>
      <c r="AP81">
        <v>1994</v>
      </c>
      <c r="AQ81" s="32">
        <f t="shared" si="13"/>
        <v>28.426123736842733</v>
      </c>
      <c r="AR81" s="32">
        <f t="shared" si="14"/>
        <v>9.6298901126219896</v>
      </c>
      <c r="AS81" s="32">
        <f t="shared" si="30"/>
        <v>18.796233624220744</v>
      </c>
      <c r="AU81" s="7">
        <v>67.968358621648804</v>
      </c>
      <c r="AW81" s="32">
        <f t="shared" si="15"/>
        <v>41.822583792377536</v>
      </c>
      <c r="AX81" s="32">
        <f t="shared" si="31"/>
        <v>41.915453723389838</v>
      </c>
      <c r="AY81" s="2">
        <f t="shared" si="16"/>
        <v>14.168195772134984</v>
      </c>
      <c r="AZ81" s="2">
        <f t="shared" si="38"/>
        <v>27.65438802024255</v>
      </c>
      <c r="BA81" s="2">
        <f t="shared" si="18"/>
        <v>27.747257951254852</v>
      </c>
      <c r="BB81" s="3">
        <f t="shared" si="32"/>
        <v>25.30589284308769</v>
      </c>
      <c r="BC81">
        <v>0</v>
      </c>
      <c r="BD81">
        <v>0</v>
      </c>
      <c r="BE81" s="23">
        <v>0.25</v>
      </c>
      <c r="BG81">
        <v>1994</v>
      </c>
      <c r="BH81" s="32">
        <f t="shared" si="33"/>
        <v>107.60453305468185</v>
      </c>
      <c r="BI81" s="32">
        <f t="shared" si="34"/>
        <v>36.453082331220408</v>
      </c>
      <c r="BJ81" s="32">
        <f t="shared" si="35"/>
        <v>71.151450723461451</v>
      </c>
      <c r="BK81" s="12"/>
      <c r="BL81" s="7">
        <f t="shared" si="20"/>
        <v>67.968358621648804</v>
      </c>
      <c r="BM81" s="12"/>
      <c r="BN81" s="32">
        <f t="shared" si="21"/>
        <v>158.31562691350385</v>
      </c>
      <c r="BO81" s="32">
        <f t="shared" si="36"/>
        <v>158.66717767905712</v>
      </c>
      <c r="BP81" s="2">
        <f t="shared" si="22"/>
        <v>53.632429957797491</v>
      </c>
      <c r="BQ81" s="2">
        <f t="shared" si="39"/>
        <v>104.68319695570636</v>
      </c>
      <c r="BR81" s="2">
        <f t="shared" si="24"/>
        <v>105.03474772125963</v>
      </c>
      <c r="BS81" s="3">
        <f t="shared" si="25"/>
        <v>25.30589284308769</v>
      </c>
      <c r="BT81">
        <v>0</v>
      </c>
      <c r="BU81">
        <v>0</v>
      </c>
      <c r="BV81" s="23">
        <v>0.25</v>
      </c>
      <c r="BX81" s="32">
        <f t="shared" si="26"/>
        <v>182.74694622143929</v>
      </c>
      <c r="BY81" s="32">
        <f t="shared" si="27"/>
        <v>183.15274841607527</v>
      </c>
      <c r="BZ81" s="3">
        <f t="shared" si="28"/>
        <v>48.27665859746746</v>
      </c>
    </row>
    <row r="82" spans="1:78">
      <c r="A82">
        <v>1995</v>
      </c>
      <c r="B82" s="3">
        <v>1.5238333333333338</v>
      </c>
      <c r="C82" s="3">
        <f>B82*1/1.52383*100</f>
        <v>100.00021874706061</v>
      </c>
      <c r="D82" s="3">
        <v>1.1107076914296483</v>
      </c>
      <c r="E82">
        <v>1.642300434640098</v>
      </c>
      <c r="G82">
        <f t="shared" si="4"/>
        <v>43.346484187409118</v>
      </c>
      <c r="H82">
        <f t="shared" si="7"/>
        <v>-245.59780175847706</v>
      </c>
      <c r="J82" s="3">
        <f t="shared" si="8"/>
        <v>41.993093850361106</v>
      </c>
      <c r="K82" s="3">
        <v>69.875003486879606</v>
      </c>
      <c r="M82" s="3">
        <f t="shared" si="40"/>
        <v>29.342675792188448</v>
      </c>
      <c r="N82" s="3">
        <f t="shared" si="9"/>
        <v>-166.25331459676809</v>
      </c>
      <c r="O82" s="6">
        <v>9.9697122382725283</v>
      </c>
      <c r="P82" s="3">
        <f t="shared" si="29"/>
        <v>19.37296355391592</v>
      </c>
      <c r="Q82" s="3">
        <f t="shared" si="10"/>
        <v>-176.22302683504063</v>
      </c>
      <c r="R82" s="3"/>
      <c r="S82" s="3">
        <f t="shared" si="11"/>
        <v>27.725109423225913</v>
      </c>
      <c r="T82">
        <f t="shared" si="12"/>
        <v>-252.19696967354253</v>
      </c>
      <c r="V82" s="3">
        <v>18.444166666666668</v>
      </c>
      <c r="W82">
        <v>18.43</v>
      </c>
      <c r="X82" s="7">
        <v>16.77</v>
      </c>
      <c r="Z82" s="3">
        <f t="shared" si="41"/>
        <v>18.43</v>
      </c>
      <c r="AA82" s="7">
        <v>30.445904869860836</v>
      </c>
      <c r="AM82" s="3"/>
      <c r="AN82"/>
      <c r="AO82"/>
      <c r="AP82">
        <v>1995</v>
      </c>
      <c r="AQ82" s="32">
        <f t="shared" si="13"/>
        <v>29.342675792188448</v>
      </c>
      <c r="AR82" s="32">
        <f t="shared" si="14"/>
        <v>9.9697122382725283</v>
      </c>
      <c r="AS82" s="32">
        <f t="shared" si="30"/>
        <v>19.37296355391592</v>
      </c>
      <c r="AU82" s="7">
        <v>69.875156336395719</v>
      </c>
      <c r="AW82" s="32">
        <f t="shared" si="15"/>
        <v>41.993001991903654</v>
      </c>
      <c r="AX82" s="32">
        <f t="shared" si="31"/>
        <v>42.817766590460963</v>
      </c>
      <c r="AY82" s="2">
        <f t="shared" si="16"/>
        <v>14.267892568677699</v>
      </c>
      <c r="AZ82" s="2">
        <f t="shared" si="38"/>
        <v>27.725109423225955</v>
      </c>
      <c r="BA82" s="2">
        <f t="shared" si="18"/>
        <v>28.549874021783268</v>
      </c>
      <c r="BB82" s="3">
        <f t="shared" si="32"/>
        <v>26.375611828721457</v>
      </c>
      <c r="BC82">
        <v>0</v>
      </c>
      <c r="BD82">
        <v>0</v>
      </c>
      <c r="BE82" s="23">
        <v>0.25</v>
      </c>
      <c r="BG82">
        <v>1995</v>
      </c>
      <c r="BH82" s="32">
        <f t="shared" si="33"/>
        <v>111.07405837050808</v>
      </c>
      <c r="BI82" s="32">
        <f t="shared" si="34"/>
        <v>37.739448403879216</v>
      </c>
      <c r="BJ82" s="32">
        <f t="shared" si="35"/>
        <v>73.334609966628861</v>
      </c>
      <c r="BK82" s="12"/>
      <c r="BL82" s="7">
        <f t="shared" si="20"/>
        <v>69.875156336395719</v>
      </c>
      <c r="BM82" s="12"/>
      <c r="BN82" s="32">
        <f t="shared" si="21"/>
        <v>158.96072967017204</v>
      </c>
      <c r="BO82" s="32">
        <f t="shared" si="36"/>
        <v>162.08280182919685</v>
      </c>
      <c r="BP82" s="2">
        <f t="shared" si="22"/>
        <v>54.009823208398252</v>
      </c>
      <c r="BQ82" s="2">
        <f t="shared" si="39"/>
        <v>104.9509064617738</v>
      </c>
      <c r="BR82" s="2">
        <f t="shared" si="24"/>
        <v>108.07297862079859</v>
      </c>
      <c r="BS82" s="3">
        <f t="shared" si="25"/>
        <v>26.375611828721457</v>
      </c>
      <c r="BT82">
        <v>0</v>
      </c>
      <c r="BU82">
        <v>0</v>
      </c>
      <c r="BV82" s="23">
        <v>0.25</v>
      </c>
      <c r="BX82" s="32">
        <f t="shared" si="26"/>
        <v>183.49160144643835</v>
      </c>
      <c r="BY82" s="32">
        <f t="shared" si="27"/>
        <v>187.09547280183196</v>
      </c>
      <c r="BZ82" s="3">
        <f t="shared" si="28"/>
        <v>48.473375789264125</v>
      </c>
    </row>
    <row r="83" spans="1:78">
      <c r="A83">
        <v>1996</v>
      </c>
      <c r="B83" s="3">
        <v>1.5685833333333337</v>
      </c>
      <c r="C83" s="3">
        <f t="shared" ref="C83:C98" si="42">B83*1/1.52383*100</f>
        <v>102.93689803543266</v>
      </c>
      <c r="D83" s="3">
        <v>1.2008545742193304</v>
      </c>
      <c r="E83">
        <v>1.724936525372273</v>
      </c>
      <c r="G83">
        <f t="shared" si="4"/>
        <v>45.527561367125337</v>
      </c>
      <c r="H83">
        <f t="shared" si="7"/>
        <v>-286.44335278441389</v>
      </c>
      <c r="J83" s="3">
        <f t="shared" si="8"/>
        <v>44.108417234851807</v>
      </c>
      <c r="K83" s="3">
        <v>71.923179589087013</v>
      </c>
      <c r="M83" s="3">
        <f t="shared" si="40"/>
        <v>31.724176141726275</v>
      </c>
      <c r="N83" s="3">
        <f t="shared" si="9"/>
        <v>-199.59732314854622</v>
      </c>
      <c r="O83" s="3">
        <v>9.5107682278170991</v>
      </c>
      <c r="P83" s="3">
        <f t="shared" si="29"/>
        <v>22.213407913909176</v>
      </c>
      <c r="Q83" s="3">
        <f t="shared" si="10"/>
        <v>-209.10809137636332</v>
      </c>
      <c r="R83" s="3"/>
      <c r="S83" s="3">
        <f t="shared" si="11"/>
        <v>30.883198470237655</v>
      </c>
      <c r="T83">
        <f t="shared" si="12"/>
        <v>-290.72201405283317</v>
      </c>
      <c r="V83" s="3">
        <v>21.681666666666665</v>
      </c>
      <c r="W83">
        <v>22.12</v>
      </c>
      <c r="X83" s="7">
        <v>20.27</v>
      </c>
      <c r="Z83" s="3">
        <f t="shared" si="41"/>
        <v>22.12</v>
      </c>
      <c r="AA83" s="7">
        <v>35.499198418001072</v>
      </c>
      <c r="AM83" s="3"/>
      <c r="AN83"/>
      <c r="AO83"/>
      <c r="AP83">
        <v>1996</v>
      </c>
      <c r="AQ83" s="32">
        <f t="shared" si="13"/>
        <v>31.724176141726275</v>
      </c>
      <c r="AR83" s="32">
        <f t="shared" si="14"/>
        <v>9.5107682278170991</v>
      </c>
      <c r="AS83" s="32">
        <f t="shared" si="30"/>
        <v>22.213407913909176</v>
      </c>
      <c r="AU83" s="7">
        <v>71.92716109154415</v>
      </c>
      <c r="AW83" s="32">
        <f t="shared" si="15"/>
        <v>44.105975629080973</v>
      </c>
      <c r="AX83" s="32">
        <f t="shared" si="31"/>
        <v>45.057280243828743</v>
      </c>
      <c r="AY83" s="2">
        <f t="shared" si="16"/>
        <v>13.222777158843263</v>
      </c>
      <c r="AZ83" s="2">
        <f t="shared" si="38"/>
        <v>30.883198470237708</v>
      </c>
      <c r="BA83" s="2">
        <f t="shared" si="18"/>
        <v>31.834503084985478</v>
      </c>
      <c r="BB83" s="3">
        <f t="shared" si="32"/>
        <v>30.753333878765382</v>
      </c>
      <c r="BC83">
        <v>0</v>
      </c>
      <c r="BD83">
        <v>0</v>
      </c>
      <c r="BE83" s="23">
        <v>0.25</v>
      </c>
      <c r="BG83">
        <v>1996</v>
      </c>
      <c r="BH83" s="32">
        <f t="shared" si="33"/>
        <v>120.08901360865207</v>
      </c>
      <c r="BI83" s="32">
        <f t="shared" si="34"/>
        <v>36.002157157261124</v>
      </c>
      <c r="BJ83" s="32">
        <f t="shared" si="35"/>
        <v>84.086856451390943</v>
      </c>
      <c r="BK83" s="12"/>
      <c r="BL83" s="7">
        <f t="shared" si="20"/>
        <v>71.92716109154415</v>
      </c>
      <c r="BM83" s="12"/>
      <c r="BN83" s="32">
        <f t="shared" si="21"/>
        <v>166.9592012060794</v>
      </c>
      <c r="BO83" s="32">
        <f t="shared" si="36"/>
        <v>170.56027920779172</v>
      </c>
      <c r="BP83" s="2">
        <f t="shared" si="22"/>
        <v>50.053632884856881</v>
      </c>
      <c r="BQ83" s="2">
        <f t="shared" si="39"/>
        <v>116.90556832122252</v>
      </c>
      <c r="BR83" s="2">
        <f t="shared" si="24"/>
        <v>120.50664632293486</v>
      </c>
      <c r="BS83" s="3">
        <f t="shared" si="25"/>
        <v>30.753333878765382</v>
      </c>
      <c r="BT83">
        <v>0</v>
      </c>
      <c r="BU83">
        <v>0</v>
      </c>
      <c r="BV83" s="23">
        <v>0.25</v>
      </c>
      <c r="BX83" s="32">
        <f t="shared" si="26"/>
        <v>192.72439972493538</v>
      </c>
      <c r="BY83" s="32">
        <f t="shared" si="27"/>
        <v>196.88119726127508</v>
      </c>
      <c r="BZ83" s="3">
        <f t="shared" si="28"/>
        <v>50.912424208985385</v>
      </c>
    </row>
    <row r="84" spans="1:78">
      <c r="A84">
        <v>1997</v>
      </c>
      <c r="B84" s="3">
        <v>1.6052500000000007</v>
      </c>
      <c r="C84" s="3">
        <f t="shared" si="42"/>
        <v>105.34311570188279</v>
      </c>
      <c r="D84" s="3">
        <v>1.1989373021696323</v>
      </c>
      <c r="E84">
        <v>1.6828449034859418</v>
      </c>
      <c r="G84">
        <f t="shared" si="4"/>
        <v>44.416605183935815</v>
      </c>
      <c r="H84">
        <f t="shared" si="7"/>
        <v>374.81765654650974</v>
      </c>
      <c r="J84" s="3">
        <f t="shared" si="8"/>
        <v>43.032043581590557</v>
      </c>
      <c r="K84" s="3">
        <v>73.604511922988308</v>
      </c>
      <c r="M84" s="3">
        <f t="shared" si="40"/>
        <v>31.673525648717348</v>
      </c>
      <c r="N84" s="3">
        <f t="shared" si="9"/>
        <v>267.28284633765054</v>
      </c>
      <c r="O84" s="3">
        <v>10.128622328729058</v>
      </c>
      <c r="P84" s="3">
        <f t="shared" si="29"/>
        <v>21.54490331998829</v>
      </c>
      <c r="Q84" s="3">
        <f t="shared" si="10"/>
        <v>257.15422400892146</v>
      </c>
      <c r="R84" s="3"/>
      <c r="S84" s="3">
        <f t="shared" si="11"/>
        <v>29.269583853996405</v>
      </c>
      <c r="T84">
        <f t="shared" si="12"/>
        <v>349.35395212730037</v>
      </c>
      <c r="V84" s="3">
        <v>20.39</v>
      </c>
      <c r="W84">
        <v>20.61</v>
      </c>
      <c r="X84" s="7">
        <v>18.13</v>
      </c>
      <c r="Z84" s="3">
        <f t="shared" si="41"/>
        <v>20.61</v>
      </c>
      <c r="AA84" s="7">
        <v>32.320370709590833</v>
      </c>
      <c r="AB84" s="3">
        <v>21.84</v>
      </c>
      <c r="AM84" s="3"/>
      <c r="AN84"/>
      <c r="AO84"/>
      <c r="AP84">
        <v>1997</v>
      </c>
      <c r="AQ84" s="32">
        <f t="shared" ref="AQ84:AQ103" si="43">M84</f>
        <v>31.673525648717348</v>
      </c>
      <c r="AR84" s="32">
        <f t="shared" ref="AR84:AR105" si="44">O84</f>
        <v>10.128622328729058</v>
      </c>
      <c r="AS84" s="32">
        <f t="shared" si="30"/>
        <v>21.54490331998829</v>
      </c>
      <c r="AU84" s="7">
        <v>73.608505769878093</v>
      </c>
      <c r="AW84" s="32">
        <f t="shared" ref="AW84:AW105" si="45">AQ84/$AU84*100</f>
        <v>43.029708750967089</v>
      </c>
      <c r="AX84" s="32">
        <f t="shared" si="31"/>
        <v>43.528397358603648</v>
      </c>
      <c r="AY84" s="2">
        <f t="shared" ref="AY84:AY105" si="46">AR84/$AU84*100</f>
        <v>13.76012489697063</v>
      </c>
      <c r="AZ84" s="2">
        <f t="shared" si="38"/>
        <v>29.269583853996458</v>
      </c>
      <c r="BA84" s="2">
        <f t="shared" ref="BA84:BA105" si="47">AX$107+AX$108*BB84+AX$109*BC84+AX$110*BD84+AX$111*BE84</f>
        <v>29.768272461633018</v>
      </c>
      <c r="BB84" s="3">
        <f t="shared" si="32"/>
        <v>27.999481560504623</v>
      </c>
      <c r="BC84">
        <v>0</v>
      </c>
      <c r="BD84">
        <v>0</v>
      </c>
      <c r="BE84" s="23">
        <v>0.25</v>
      </c>
      <c r="BG84">
        <v>1997</v>
      </c>
      <c r="BH84" s="32">
        <f t="shared" si="33"/>
        <v>119.89728072591114</v>
      </c>
      <c r="BI84" s="32">
        <f t="shared" si="34"/>
        <v>38.340988249394265</v>
      </c>
      <c r="BJ84" s="32">
        <f t="shared" si="35"/>
        <v>81.556292476516873</v>
      </c>
      <c r="BK84" s="12"/>
      <c r="BL84" s="7">
        <f t="shared" si="20"/>
        <v>73.608505769878093</v>
      </c>
      <c r="BM84" s="12"/>
      <c r="BN84" s="32">
        <f t="shared" si="21"/>
        <v>162.88508980299835</v>
      </c>
      <c r="BO84" s="32">
        <f t="shared" si="36"/>
        <v>164.77283064523183</v>
      </c>
      <c r="BP84" s="2">
        <f t="shared" si="22"/>
        <v>52.087714386241593</v>
      </c>
      <c r="BQ84" s="2">
        <f t="shared" si="39"/>
        <v>110.79737541675675</v>
      </c>
      <c r="BR84" s="2">
        <f t="shared" ref="BR84:BR105" si="48">BO$107+BO$108*BS84+BO$109*BT84+BO$110*BU84+BO$111*BV84</f>
        <v>112.68511625899023</v>
      </c>
      <c r="BS84" s="3">
        <f t="shared" si="25"/>
        <v>27.999481560504623</v>
      </c>
      <c r="BT84">
        <v>0</v>
      </c>
      <c r="BU84">
        <v>0</v>
      </c>
      <c r="BV84" s="23">
        <v>0.25</v>
      </c>
      <c r="BX84" s="32">
        <f t="shared" si="26"/>
        <v>188.02157011806543</v>
      </c>
      <c r="BY84" s="32">
        <f t="shared" si="27"/>
        <v>190.20062774428533</v>
      </c>
      <c r="BZ84" s="3">
        <f t="shared" si="28"/>
        <v>49.67006747434634</v>
      </c>
    </row>
    <row r="85" spans="1:78">
      <c r="A85">
        <v>1998</v>
      </c>
      <c r="B85" s="3">
        <v>1.6300833333333336</v>
      </c>
      <c r="C85" s="3">
        <f t="shared" si="42"/>
        <v>106.97278130325125</v>
      </c>
      <c r="D85" s="3">
        <v>1.0294869317293471</v>
      </c>
      <c r="E85">
        <v>1.4229882989905893</v>
      </c>
      <c r="G85">
        <f t="shared" si="4"/>
        <v>37.558012224834492</v>
      </c>
      <c r="H85">
        <f t="shared" si="7"/>
        <v>249.91415145493139</v>
      </c>
      <c r="J85" s="3">
        <f t="shared" si="8"/>
        <v>36.385369175726304</v>
      </c>
      <c r="K85" s="3">
        <v>74.747038105002289</v>
      </c>
      <c r="M85" s="3">
        <f t="shared" si="40"/>
        <v>27.196985762425896</v>
      </c>
      <c r="N85" s="3">
        <f t="shared" si="9"/>
        <v>180.97101567196879</v>
      </c>
      <c r="O85" s="7">
        <v>10</v>
      </c>
      <c r="P85" s="3">
        <f t="shared" si="29"/>
        <v>17.196985762425896</v>
      </c>
      <c r="Q85" s="3">
        <f t="shared" si="10"/>
        <v>170.97101567196879</v>
      </c>
      <c r="R85" s="3"/>
      <c r="S85" s="3">
        <f t="shared" si="11"/>
        <v>23.00685214556399</v>
      </c>
      <c r="T85">
        <f t="shared" si="12"/>
        <v>228.73222860580012</v>
      </c>
      <c r="V85" s="3">
        <v>14.600833333333334</v>
      </c>
      <c r="W85">
        <v>14.42</v>
      </c>
      <c r="X85" s="7">
        <v>12.44</v>
      </c>
      <c r="Z85" s="3">
        <f t="shared" si="41"/>
        <v>14.42</v>
      </c>
      <c r="AA85" s="7">
        <v>22.268782503052613</v>
      </c>
      <c r="AB85" s="3">
        <v>14.37</v>
      </c>
      <c r="AM85" s="3"/>
      <c r="AN85"/>
      <c r="AO85"/>
      <c r="AP85">
        <v>1998</v>
      </c>
      <c r="AQ85" s="32">
        <f t="shared" si="43"/>
        <v>27.196985762425896</v>
      </c>
      <c r="AR85" s="32">
        <f t="shared" si="44"/>
        <v>10</v>
      </c>
      <c r="AS85" s="32">
        <f t="shared" si="30"/>
        <v>17.196985762425896</v>
      </c>
      <c r="AU85" s="7">
        <v>74.74723466565878</v>
      </c>
      <c r="AW85" s="32">
        <f t="shared" si="45"/>
        <v>36.385273494165851</v>
      </c>
      <c r="AX85" s="32">
        <f t="shared" si="31"/>
        <v>36.61318483435381</v>
      </c>
      <c r="AY85" s="2">
        <f t="shared" si="46"/>
        <v>13.378421348601826</v>
      </c>
      <c r="AZ85" s="2">
        <f t="shared" si="38"/>
        <v>23.006852145564025</v>
      </c>
      <c r="BA85" s="2">
        <f t="shared" si="47"/>
        <v>23.234763485751984</v>
      </c>
      <c r="BB85" s="3">
        <f t="shared" si="32"/>
        <v>19.291683584683835</v>
      </c>
      <c r="BC85">
        <v>0</v>
      </c>
      <c r="BD85">
        <v>0</v>
      </c>
      <c r="BE85" s="23">
        <v>0.25</v>
      </c>
      <c r="BG85">
        <v>1998</v>
      </c>
      <c r="BH85" s="32">
        <f t="shared" si="33"/>
        <v>102.95174187494462</v>
      </c>
      <c r="BI85" s="32">
        <f t="shared" si="34"/>
        <v>37.854100000000003</v>
      </c>
      <c r="BJ85" s="32">
        <f t="shared" si="35"/>
        <v>65.097641874944614</v>
      </c>
      <c r="BK85" s="12"/>
      <c r="BL85" s="7">
        <f t="shared" si="20"/>
        <v>74.74723466565878</v>
      </c>
      <c r="BM85" s="12"/>
      <c r="BN85" s="32">
        <f t="shared" si="21"/>
        <v>137.73317813755037</v>
      </c>
      <c r="BO85" s="32">
        <f t="shared" si="36"/>
        <v>138.59591600381128</v>
      </c>
      <c r="BP85" s="2">
        <f t="shared" si="22"/>
        <v>50.642809957210844</v>
      </c>
      <c r="BQ85" s="2">
        <f t="shared" si="39"/>
        <v>87.090368180339524</v>
      </c>
      <c r="BR85" s="2">
        <f t="shared" si="48"/>
        <v>87.953106046600425</v>
      </c>
      <c r="BS85" s="3">
        <f t="shared" si="25"/>
        <v>19.291683584683835</v>
      </c>
      <c r="BT85">
        <v>0</v>
      </c>
      <c r="BU85">
        <v>0</v>
      </c>
      <c r="BV85" s="23">
        <v>0.25</v>
      </c>
      <c r="BX85" s="32">
        <f t="shared" si="26"/>
        <v>158.98820722077363</v>
      </c>
      <c r="BY85" s="32">
        <f t="shared" si="27"/>
        <v>159.98408307663541</v>
      </c>
      <c r="BZ85" s="3">
        <f t="shared" si="28"/>
        <v>42.000260796260797</v>
      </c>
    </row>
    <row r="86" spans="1:78">
      <c r="A86">
        <v>1999</v>
      </c>
      <c r="B86" s="3">
        <v>1.6658333333333333</v>
      </c>
      <c r="C86" s="3">
        <f t="shared" si="42"/>
        <v>109.31884352804009</v>
      </c>
      <c r="D86" s="3">
        <v>1.1393145654211285</v>
      </c>
      <c r="E86">
        <v>1.5409991510114145</v>
      </c>
      <c r="G86">
        <f t="shared" si="4"/>
        <v>40.672762378441057</v>
      </c>
      <c r="H86">
        <f t="shared" si="7"/>
        <v>289.08467631650342</v>
      </c>
      <c r="J86" s="3">
        <f t="shared" si="8"/>
        <v>39.66080510814691</v>
      </c>
      <c r="K86" s="3">
        <v>75.889564287016256</v>
      </c>
      <c r="M86" s="3">
        <f t="shared" si="40"/>
        <v>30.098412189295377</v>
      </c>
      <c r="N86" s="3">
        <f t="shared" si="9"/>
        <v>213.92669778424465</v>
      </c>
      <c r="O86" s="7">
        <v>10</v>
      </c>
      <c r="P86" s="3">
        <f t="shared" si="29"/>
        <v>20.098412189295377</v>
      </c>
      <c r="Q86" s="3">
        <f t="shared" si="10"/>
        <v>203.92669778424465</v>
      </c>
      <c r="R86" s="3"/>
      <c r="S86" s="3">
        <f t="shared" si="11"/>
        <v>26.311455764888994</v>
      </c>
      <c r="T86">
        <f t="shared" si="12"/>
        <v>266.96677516086658</v>
      </c>
      <c r="V86" s="3">
        <v>19.690000000000001</v>
      </c>
      <c r="W86">
        <v>19.34</v>
      </c>
      <c r="X86" s="12"/>
      <c r="Y86" s="6">
        <v>17.48</v>
      </c>
      <c r="Z86" s="7">
        <f>Y86</f>
        <v>17.48</v>
      </c>
      <c r="AA86" s="7">
        <v>26.415017360961585</v>
      </c>
      <c r="AB86" s="3">
        <v>17.309999999999999</v>
      </c>
      <c r="AI86" t="s">
        <v>1893</v>
      </c>
      <c r="AJ86" t="s">
        <v>1893</v>
      </c>
      <c r="AK86" t="s">
        <v>1893</v>
      </c>
      <c r="AL86" t="s">
        <v>58</v>
      </c>
      <c r="AM86" s="3"/>
      <c r="AN86"/>
      <c r="AO86"/>
      <c r="AP86">
        <v>1999</v>
      </c>
      <c r="AQ86" s="32">
        <f t="shared" si="43"/>
        <v>30.098412189295377</v>
      </c>
      <c r="AR86" s="32">
        <f t="shared" si="44"/>
        <v>10</v>
      </c>
      <c r="AS86" s="32">
        <f t="shared" si="30"/>
        <v>20.098412189295377</v>
      </c>
      <c r="AU86" s="7">
        <v>76.386545727034331</v>
      </c>
      <c r="AW86" s="32">
        <f t="shared" si="45"/>
        <v>39.402766420216722</v>
      </c>
      <c r="AX86" s="32">
        <f t="shared" si="31"/>
        <v>40.848098960651463</v>
      </c>
      <c r="AY86" s="2">
        <f t="shared" si="46"/>
        <v>13.091310655327684</v>
      </c>
      <c r="AZ86" s="2">
        <f t="shared" si="38"/>
        <v>26.31145576488904</v>
      </c>
      <c r="BA86" s="2">
        <f t="shared" si="47"/>
        <v>27.756788305323781</v>
      </c>
      <c r="BB86" s="3">
        <f t="shared" si="32"/>
        <v>25.318594807403745</v>
      </c>
      <c r="BC86">
        <v>0</v>
      </c>
      <c r="BD86">
        <v>0</v>
      </c>
      <c r="BE86" s="23">
        <v>0.25</v>
      </c>
      <c r="BG86">
        <v>1999</v>
      </c>
      <c r="BH86" s="32">
        <f t="shared" si="33"/>
        <v>113.93483048548062</v>
      </c>
      <c r="BI86" s="32">
        <f t="shared" si="34"/>
        <v>37.854100000000003</v>
      </c>
      <c r="BJ86" s="32">
        <f t="shared" si="35"/>
        <v>76.080730485480615</v>
      </c>
      <c r="BK86" s="12"/>
      <c r="BL86" s="7">
        <f t="shared" si="20"/>
        <v>76.386545727034331</v>
      </c>
      <c r="BM86" s="12"/>
      <c r="BN86" s="32">
        <f t="shared" si="21"/>
        <v>149.1556260347526</v>
      </c>
      <c r="BO86" s="32">
        <f t="shared" si="36"/>
        <v>154.62680228663964</v>
      </c>
      <c r="BP86" s="2">
        <f t="shared" si="22"/>
        <v>49.555978267783971</v>
      </c>
      <c r="BQ86" s="2">
        <f t="shared" si="39"/>
        <v>99.59964776696863</v>
      </c>
      <c r="BR86" s="2">
        <f t="shared" si="48"/>
        <v>105.07082401885569</v>
      </c>
      <c r="BS86" s="3">
        <f t="shared" si="25"/>
        <v>25.318594807403745</v>
      </c>
      <c r="BT86">
        <v>0</v>
      </c>
      <c r="BU86">
        <v>0</v>
      </c>
      <c r="BV86" s="23">
        <v>0.25</v>
      </c>
      <c r="BX86" s="32">
        <f t="shared" si="26"/>
        <v>172.17337101213877</v>
      </c>
      <c r="BY86" s="32">
        <f t="shared" si="27"/>
        <v>178.48886097206477</v>
      </c>
      <c r="BZ86" s="3">
        <f t="shared" si="28"/>
        <v>45.483414217254868</v>
      </c>
    </row>
    <row r="87" spans="1:78">
      <c r="A87">
        <v>2000</v>
      </c>
      <c r="B87" s="3">
        <v>1.7219166666666663</v>
      </c>
      <c r="C87" s="3">
        <f t="shared" si="42"/>
        <v>112.9992628224058</v>
      </c>
      <c r="D87" s="3">
        <v>1.4875575560378094</v>
      </c>
      <c r="E87">
        <v>1.9464889676876429</v>
      </c>
      <c r="G87">
        <f t="shared" si="4"/>
        <v>51.375163447075835</v>
      </c>
      <c r="H87">
        <f t="shared" si="7"/>
        <v>486.80237963581135</v>
      </c>
      <c r="J87" s="3">
        <f t="shared" si="8"/>
        <v>49.770987922339692</v>
      </c>
      <c r="K87" s="3">
        <v>78.958238837304293</v>
      </c>
      <c r="M87" s="3">
        <f t="shared" si="40"/>
        <v>39.298295515406849</v>
      </c>
      <c r="N87" s="3">
        <f t="shared" si="9"/>
        <v>372.36871844191194</v>
      </c>
      <c r="O87" s="7">
        <v>10.1</v>
      </c>
      <c r="P87" s="3">
        <f t="shared" si="29"/>
        <v>29.198295515406848</v>
      </c>
      <c r="Q87" s="3">
        <f t="shared" si="10"/>
        <v>362.26871844191191</v>
      </c>
      <c r="R87" s="3"/>
      <c r="S87" s="3">
        <f t="shared" si="11"/>
        <v>36.979415885365384</v>
      </c>
      <c r="T87">
        <f t="shared" si="12"/>
        <v>458.81053551406706</v>
      </c>
      <c r="V87" s="3">
        <v>29.729166666666668</v>
      </c>
      <c r="W87">
        <v>30.38</v>
      </c>
      <c r="X87" s="12"/>
      <c r="Y87" s="6">
        <v>27.6</v>
      </c>
      <c r="Z87" s="7">
        <f t="shared" ref="Z87:Z105" si="49">Y87</f>
        <v>27.6</v>
      </c>
      <c r="AA87" s="7">
        <v>40.34948283193367</v>
      </c>
      <c r="AB87" s="3">
        <v>29.53</v>
      </c>
      <c r="AI87" t="s">
        <v>1892</v>
      </c>
      <c r="AJ87" t="s">
        <v>1892</v>
      </c>
      <c r="AK87" t="s">
        <v>1892</v>
      </c>
      <c r="AL87" t="s">
        <v>1892</v>
      </c>
      <c r="AM87" s="3"/>
      <c r="AN87"/>
      <c r="AO87"/>
      <c r="AP87">
        <v>2000</v>
      </c>
      <c r="AQ87" s="32">
        <f t="shared" si="43"/>
        <v>39.298295515406849</v>
      </c>
      <c r="AR87" s="32">
        <f t="shared" si="44"/>
        <v>10.1</v>
      </c>
      <c r="AS87" s="32">
        <f t="shared" si="30"/>
        <v>29.198295515406848</v>
      </c>
      <c r="AU87" s="7">
        <v>78.958238837304165</v>
      </c>
      <c r="AW87" s="32">
        <f t="shared" si="45"/>
        <v>49.770987922339778</v>
      </c>
      <c r="AX87" s="32">
        <f t="shared" si="31"/>
        <v>50.42046085039896</v>
      </c>
      <c r="AY87" s="2">
        <f t="shared" si="46"/>
        <v>12.791572036974324</v>
      </c>
      <c r="AZ87" s="2">
        <f t="shared" si="38"/>
        <v>36.979415885365455</v>
      </c>
      <c r="BA87" s="2">
        <f t="shared" si="47"/>
        <v>37.628888813424638</v>
      </c>
      <c r="BB87" s="3">
        <f t="shared" si="32"/>
        <v>38.476035493394058</v>
      </c>
      <c r="BC87">
        <v>0</v>
      </c>
      <c r="BD87">
        <v>0</v>
      </c>
      <c r="BE87" s="23">
        <v>0.25</v>
      </c>
      <c r="BG87">
        <v>2000</v>
      </c>
      <c r="BH87" s="32">
        <f t="shared" si="33"/>
        <v>148.76016082697626</v>
      </c>
      <c r="BI87" s="32">
        <f t="shared" si="34"/>
        <v>38.232641000000001</v>
      </c>
      <c r="BJ87" s="32">
        <f t="shared" si="35"/>
        <v>110.52751982697625</v>
      </c>
      <c r="BK87" s="12"/>
      <c r="BL87" s="7">
        <f t="shared" si="20"/>
        <v>78.958238837304165</v>
      </c>
      <c r="BM87" s="12"/>
      <c r="BN87" s="32">
        <f t="shared" si="21"/>
        <v>188.40359539110423</v>
      </c>
      <c r="BO87" s="32">
        <f t="shared" si="36"/>
        <v>190.86211670770874</v>
      </c>
      <c r="BP87" s="2">
        <f t="shared" si="22"/>
        <v>48.421344704482976</v>
      </c>
      <c r="BQ87" s="2">
        <f t="shared" si="39"/>
        <v>139.98225068662126</v>
      </c>
      <c r="BR87" s="2">
        <f t="shared" si="48"/>
        <v>142.44077200322576</v>
      </c>
      <c r="BS87" s="3">
        <f t="shared" si="25"/>
        <v>38.476035493394058</v>
      </c>
      <c r="BT87">
        <v>0</v>
      </c>
      <c r="BU87">
        <v>0</v>
      </c>
      <c r="BV87" s="23">
        <v>0.25</v>
      </c>
      <c r="BX87" s="32">
        <f t="shared" si="26"/>
        <v>217.47809983202066</v>
      </c>
      <c r="BY87" s="32">
        <f t="shared" si="27"/>
        <v>220.3160209620381</v>
      </c>
      <c r="BZ87" s="3">
        <f t="shared" si="28"/>
        <v>57.451663051563948</v>
      </c>
    </row>
    <row r="88" spans="1:78">
      <c r="A88">
        <v>2001</v>
      </c>
      <c r="B88" s="3">
        <v>1.7704166666666661</v>
      </c>
      <c r="C88" s="3">
        <f t="shared" si="42"/>
        <v>116.1820325539375</v>
      </c>
      <c r="D88" s="3">
        <v>1.4252257168899876</v>
      </c>
      <c r="E88">
        <v>1.8138378437673204</v>
      </c>
      <c r="G88">
        <f t="shared" si="4"/>
        <v>47.874001464667671</v>
      </c>
      <c r="H88">
        <f t="shared" si="7"/>
        <v>451.28507423242701</v>
      </c>
      <c r="J88" s="3">
        <f t="shared" si="8"/>
        <v>46.379148771889078</v>
      </c>
      <c r="K88" s="3">
        <v>81.182199298191421</v>
      </c>
      <c r="M88" s="3">
        <f t="shared" si="40"/>
        <v>37.651612988799691</v>
      </c>
      <c r="N88" s="3">
        <f t="shared" si="9"/>
        <v>354.92355856573545</v>
      </c>
      <c r="O88" s="7">
        <v>10.1</v>
      </c>
      <c r="P88" s="3">
        <f t="shared" si="29"/>
        <v>27.55161298879969</v>
      </c>
      <c r="Q88" s="3">
        <f t="shared" si="10"/>
        <v>344.82355856573542</v>
      </c>
      <c r="R88" s="3"/>
      <c r="S88" s="3">
        <f t="shared" si="11"/>
        <v>33.93799777165372</v>
      </c>
      <c r="T88">
        <f t="shared" si="12"/>
        <v>424.75266936186262</v>
      </c>
      <c r="V88" s="3">
        <v>25.249166666666667</v>
      </c>
      <c r="W88">
        <v>25.98</v>
      </c>
      <c r="X88" s="12"/>
      <c r="Y88" s="6">
        <v>23.12</v>
      </c>
      <c r="Z88" s="7">
        <f t="shared" si="49"/>
        <v>23.12</v>
      </c>
      <c r="AA88" s="7">
        <v>32.874061296680885</v>
      </c>
      <c r="AB88" s="3">
        <v>26.26</v>
      </c>
      <c r="AI88" t="s">
        <v>63</v>
      </c>
      <c r="AJ88" t="s">
        <v>1891</v>
      </c>
      <c r="AK88" t="s">
        <v>1894</v>
      </c>
      <c r="AL88" t="s">
        <v>1894</v>
      </c>
      <c r="AM88" s="3" t="s">
        <v>1895</v>
      </c>
      <c r="AN88"/>
      <c r="AO88"/>
      <c r="AP88">
        <v>2001</v>
      </c>
      <c r="AQ88" s="32">
        <f t="shared" si="43"/>
        <v>37.651612988799691</v>
      </c>
      <c r="AR88" s="32">
        <f t="shared" si="44"/>
        <v>10.1</v>
      </c>
      <c r="AS88" s="32">
        <f t="shared" si="30"/>
        <v>27.55161298879969</v>
      </c>
      <c r="AU88" s="7">
        <v>81.182199298191293</v>
      </c>
      <c r="AW88" s="32">
        <f t="shared" si="45"/>
        <v>46.379148771889149</v>
      </c>
      <c r="AX88" s="32">
        <f t="shared" si="31"/>
        <v>45.212602261918676</v>
      </c>
      <c r="AY88" s="2">
        <f t="shared" si="46"/>
        <v>12.441151000235372</v>
      </c>
      <c r="AZ88" s="2">
        <f t="shared" si="38"/>
        <v>33.937997771653777</v>
      </c>
      <c r="BA88" s="2">
        <f t="shared" si="47"/>
        <v>32.771451261683303</v>
      </c>
      <c r="BB88" s="3">
        <f t="shared" si="32"/>
        <v>32.002089404565844</v>
      </c>
      <c r="BC88">
        <v>0</v>
      </c>
      <c r="BD88">
        <v>0</v>
      </c>
      <c r="BE88" s="23">
        <v>0.25</v>
      </c>
      <c r="BG88">
        <v>2001</v>
      </c>
      <c r="BH88" s="32">
        <f t="shared" si="33"/>
        <v>142.52679232393226</v>
      </c>
      <c r="BI88" s="32">
        <f t="shared" si="34"/>
        <v>38.232641000000001</v>
      </c>
      <c r="BJ88" s="32">
        <f t="shared" si="35"/>
        <v>104.29415132393224</v>
      </c>
      <c r="BK88" s="12"/>
      <c r="BL88" s="7">
        <f t="shared" si="20"/>
        <v>81.182199298191293</v>
      </c>
      <c r="BM88" s="12"/>
      <c r="BN88" s="32">
        <f t="shared" si="21"/>
        <v>175.56409355259694</v>
      </c>
      <c r="BO88" s="32">
        <f t="shared" si="36"/>
        <v>171.14823672828956</v>
      </c>
      <c r="BP88" s="2">
        <f t="shared" si="22"/>
        <v>47.09485740780098</v>
      </c>
      <c r="BQ88" s="2">
        <f t="shared" si="39"/>
        <v>128.46923614479596</v>
      </c>
      <c r="BR88" s="2">
        <f t="shared" si="48"/>
        <v>124.05337932048859</v>
      </c>
      <c r="BS88" s="3">
        <f t="shared" si="25"/>
        <v>32.002089404565844</v>
      </c>
      <c r="BT88">
        <v>0</v>
      </c>
      <c r="BU88">
        <v>0</v>
      </c>
      <c r="BV88" s="23">
        <v>0.25</v>
      </c>
      <c r="BX88" s="32">
        <f t="shared" si="26"/>
        <v>202.6572018718104</v>
      </c>
      <c r="BY88" s="32">
        <f t="shared" si="27"/>
        <v>197.55988857857389</v>
      </c>
      <c r="BZ88" s="3">
        <f t="shared" si="28"/>
        <v>53.536394174425055</v>
      </c>
    </row>
    <row r="89" spans="1:78">
      <c r="A89">
        <v>2002</v>
      </c>
      <c r="B89" s="3">
        <v>1.7986666666666669</v>
      </c>
      <c r="C89" s="3">
        <f t="shared" si="42"/>
        <v>118.03591389240708</v>
      </c>
      <c r="D89" s="3">
        <v>1.3440247089094961</v>
      </c>
      <c r="E89">
        <v>1.6836308099911821</v>
      </c>
      <c r="G89">
        <f t="shared" si="4"/>
        <v>44.437348211937056</v>
      </c>
      <c r="H89">
        <f t="shared" si="7"/>
        <v>417.55051943465878</v>
      </c>
      <c r="J89" s="3">
        <f t="shared" si="8"/>
        <v>43.049804083552893</v>
      </c>
      <c r="K89" s="3">
        <v>82.47759894808965</v>
      </c>
      <c r="M89" s="3">
        <f t="shared" si="40"/>
        <v>35.506444759971075</v>
      </c>
      <c r="N89" s="3">
        <f t="shared" si="9"/>
        <v>333.63229466562439</v>
      </c>
      <c r="O89" s="7">
        <v>10.199999999999999</v>
      </c>
      <c r="P89" s="3">
        <f t="shared" si="29"/>
        <v>25.306444759971075</v>
      </c>
      <c r="Q89" s="3">
        <f t="shared" si="10"/>
        <v>323.4322946656244</v>
      </c>
      <c r="R89" s="3"/>
      <c r="S89" s="3">
        <f t="shared" si="11"/>
        <v>30.682809735887957</v>
      </c>
      <c r="T89">
        <f t="shared" si="12"/>
        <v>392.14562352765455</v>
      </c>
      <c r="V89" s="3">
        <v>26.584999999999997</v>
      </c>
      <c r="W89">
        <v>26.18</v>
      </c>
      <c r="X89" s="12"/>
      <c r="Y89" s="6">
        <v>24.36</v>
      </c>
      <c r="Z89" s="7">
        <f t="shared" si="49"/>
        <v>24.36</v>
      </c>
      <c r="AA89" s="7">
        <v>34.093188360645129</v>
      </c>
      <c r="AB89" s="3">
        <v>25.59</v>
      </c>
      <c r="AM89" s="3"/>
      <c r="AN89"/>
      <c r="AO89"/>
      <c r="AP89">
        <v>2002</v>
      </c>
      <c r="AQ89" s="32">
        <f t="shared" si="43"/>
        <v>35.506444759971075</v>
      </c>
      <c r="AR89" s="32">
        <f t="shared" si="44"/>
        <v>10.199999999999999</v>
      </c>
      <c r="AS89" s="32">
        <f t="shared" si="30"/>
        <v>25.306444759971075</v>
      </c>
      <c r="AU89" s="7">
        <v>82.477598948089508</v>
      </c>
      <c r="AW89" s="32">
        <f t="shared" si="45"/>
        <v>43.049804083552971</v>
      </c>
      <c r="AX89" s="32">
        <f t="shared" si="31"/>
        <v>44.943263195431349</v>
      </c>
      <c r="AY89" s="2">
        <f t="shared" si="46"/>
        <v>12.366994347664955</v>
      </c>
      <c r="AZ89" s="2">
        <f t="shared" si="38"/>
        <v>30.682809735888014</v>
      </c>
      <c r="BA89" s="2">
        <f t="shared" si="47"/>
        <v>32.576268847766393</v>
      </c>
      <c r="BB89" s="3">
        <f t="shared" si="32"/>
        <v>31.741952159006718</v>
      </c>
      <c r="BC89">
        <v>0</v>
      </c>
      <c r="BD89">
        <v>0</v>
      </c>
      <c r="BE89" s="23">
        <v>0.25</v>
      </c>
      <c r="BG89">
        <v>2002</v>
      </c>
      <c r="BH89" s="32">
        <f t="shared" si="33"/>
        <v>134.40645105884212</v>
      </c>
      <c r="BI89" s="32">
        <f t="shared" si="34"/>
        <v>38.611181999999999</v>
      </c>
      <c r="BJ89" s="32">
        <f t="shared" si="35"/>
        <v>95.795269058842109</v>
      </c>
      <c r="BK89" s="12"/>
      <c r="BL89" s="7">
        <f t="shared" si="20"/>
        <v>82.477598948089508</v>
      </c>
      <c r="BM89" s="12"/>
      <c r="BN89" s="32">
        <f t="shared" si="21"/>
        <v>162.96115887592225</v>
      </c>
      <c r="BO89" s="32">
        <f t="shared" si="36"/>
        <v>170.12867793261776</v>
      </c>
      <c r="BP89" s="2">
        <f t="shared" si="22"/>
        <v>46.814144073594399</v>
      </c>
      <c r="BQ89" s="2">
        <f t="shared" si="39"/>
        <v>116.14701480232785</v>
      </c>
      <c r="BR89" s="2">
        <f t="shared" si="48"/>
        <v>123.31453385902337</v>
      </c>
      <c r="BS89" s="3">
        <f t="shared" si="25"/>
        <v>31.741952159006718</v>
      </c>
      <c r="BT89">
        <v>0</v>
      </c>
      <c r="BU89">
        <v>0</v>
      </c>
      <c r="BV89" s="23">
        <v>0.25</v>
      </c>
      <c r="BX89" s="32">
        <f t="shared" si="26"/>
        <v>188.10937819519438</v>
      </c>
      <c r="BY89" s="32">
        <f t="shared" si="27"/>
        <v>196.38299113620059</v>
      </c>
      <c r="BZ89" s="3">
        <f t="shared" si="28"/>
        <v>49.693263925227221</v>
      </c>
    </row>
    <row r="90" spans="1:78">
      <c r="A90">
        <v>2003</v>
      </c>
      <c r="B90" s="3">
        <v>1.84</v>
      </c>
      <c r="C90" s="3">
        <f t="shared" si="42"/>
        <v>120.74837744367809</v>
      </c>
      <c r="D90" s="3">
        <v>1.5582411694296681</v>
      </c>
      <c r="E90">
        <v>1.9081264397508835</v>
      </c>
      <c r="G90">
        <f t="shared" si="4"/>
        <v>50.362632076124704</v>
      </c>
      <c r="H90">
        <f t="shared" si="7"/>
        <v>487.75006831611574</v>
      </c>
      <c r="J90" s="3">
        <f t="shared" si="8"/>
        <v>48.790072568435029</v>
      </c>
      <c r="K90" s="3">
        <v>84.37293294912061</v>
      </c>
      <c r="M90" s="3">
        <f t="shared" si="40"/>
        <v>41.165615213992972</v>
      </c>
      <c r="N90" s="3">
        <f t="shared" si="9"/>
        <v>398.67915565951108</v>
      </c>
      <c r="O90" s="7">
        <f t="shared" ref="O90:O105" si="50">AL90</f>
        <v>9.8988191160542094</v>
      </c>
      <c r="P90" s="3">
        <f t="shared" si="29"/>
        <v>31.266796097938762</v>
      </c>
      <c r="Q90" s="3">
        <f t="shared" si="10"/>
        <v>388.78033654345688</v>
      </c>
      <c r="R90" s="3"/>
      <c r="S90" s="3">
        <f t="shared" si="11"/>
        <v>37.057851380837469</v>
      </c>
      <c r="T90">
        <f t="shared" si="12"/>
        <v>460.78798372210554</v>
      </c>
      <c r="V90" s="3">
        <v>30.9</v>
      </c>
      <c r="W90">
        <v>31.08</v>
      </c>
      <c r="X90" s="12"/>
      <c r="Y90" s="6">
        <v>28.1</v>
      </c>
      <c r="Z90" s="7">
        <f t="shared" si="49"/>
        <v>28.1</v>
      </c>
      <c r="AA90" s="7">
        <v>38.444083965997315</v>
      </c>
      <c r="AB90" s="3">
        <v>30.17</v>
      </c>
      <c r="AI90">
        <v>19.07</v>
      </c>
      <c r="AJ90">
        <v>18.399999999999999</v>
      </c>
      <c r="AK90">
        <f>AI90+AJ90</f>
        <v>37.47</v>
      </c>
      <c r="AL90" s="3">
        <f>AK90/3.7853</f>
        <v>9.8988191160542094</v>
      </c>
      <c r="AM90" s="3">
        <v>10.199999999999999</v>
      </c>
      <c r="AN90" s="3">
        <f>AJ90/3.785</f>
        <v>4.8612945838837511</v>
      </c>
      <c r="AO90"/>
      <c r="AP90">
        <v>2003</v>
      </c>
      <c r="AQ90" s="32">
        <f t="shared" si="43"/>
        <v>41.165615213992972</v>
      </c>
      <c r="AR90" s="32">
        <f t="shared" si="44"/>
        <v>9.8988191160542094</v>
      </c>
      <c r="AS90" s="32">
        <f t="shared" si="30"/>
        <v>31.266796097938762</v>
      </c>
      <c r="AU90" s="7">
        <v>84.372932949120482</v>
      </c>
      <c r="AW90" s="32">
        <f t="shared" si="45"/>
        <v>48.7900725684351</v>
      </c>
      <c r="AX90" s="32">
        <f t="shared" si="31"/>
        <v>48.130925932615526</v>
      </c>
      <c r="AY90" s="2">
        <f t="shared" si="46"/>
        <v>11.732221187597576</v>
      </c>
      <c r="AZ90" s="2">
        <f t="shared" si="38"/>
        <v>37.057851380837526</v>
      </c>
      <c r="BA90" s="2">
        <f t="shared" si="47"/>
        <v>36.398704745017952</v>
      </c>
      <c r="BB90" s="3">
        <f t="shared" si="32"/>
        <v>36.83645798913048</v>
      </c>
      <c r="BC90">
        <v>0</v>
      </c>
      <c r="BD90">
        <v>0</v>
      </c>
      <c r="BE90" s="23">
        <v>0.25</v>
      </c>
      <c r="BG90">
        <v>2003</v>
      </c>
      <c r="BH90" s="32">
        <f t="shared" si="33"/>
        <v>155.82873148720114</v>
      </c>
      <c r="BI90" s="32">
        <f t="shared" si="34"/>
        <v>37.471088870102768</v>
      </c>
      <c r="BJ90" s="32">
        <f t="shared" si="35"/>
        <v>118.35764261709838</v>
      </c>
      <c r="BK90" s="12"/>
      <c r="BL90" s="7">
        <f t="shared" si="20"/>
        <v>84.372932949120482</v>
      </c>
      <c r="BM90" s="12"/>
      <c r="BN90" s="32">
        <f t="shared" si="21"/>
        <v>184.6904286012799</v>
      </c>
      <c r="BO90" s="32">
        <f t="shared" si="36"/>
        <v>182.19528833458213</v>
      </c>
      <c r="BP90" s="2">
        <f t="shared" si="22"/>
        <v>44.411267405743743</v>
      </c>
      <c r="BQ90" s="2">
        <f t="shared" si="39"/>
        <v>140.27916119553618</v>
      </c>
      <c r="BR90" s="2">
        <f t="shared" si="48"/>
        <v>137.7840209288384</v>
      </c>
      <c r="BS90" s="3">
        <f t="shared" si="25"/>
        <v>36.83645798913048</v>
      </c>
      <c r="BT90">
        <v>0</v>
      </c>
      <c r="BU90">
        <v>0</v>
      </c>
      <c r="BV90" s="23">
        <v>0.25</v>
      </c>
      <c r="BX90" s="32">
        <f t="shared" si="26"/>
        <v>213.19191592913913</v>
      </c>
      <c r="BY90" s="32">
        <f t="shared" si="27"/>
        <v>210.31172480067718</v>
      </c>
      <c r="BZ90" s="3">
        <f t="shared" si="28"/>
        <v>56.319372519526063</v>
      </c>
    </row>
    <row r="91" spans="1:78">
      <c r="A91">
        <v>2004</v>
      </c>
      <c r="B91" s="3">
        <v>1.8890833333333334</v>
      </c>
      <c r="C91" s="3">
        <f t="shared" si="42"/>
        <v>123.96942791081244</v>
      </c>
      <c r="D91" s="3">
        <v>1.851226350604658</v>
      </c>
      <c r="E91">
        <v>2.2079981488859159</v>
      </c>
      <c r="G91">
        <f t="shared" si="4"/>
        <v>58.27737411972744</v>
      </c>
      <c r="H91">
        <f t="shared" si="7"/>
        <v>667.74567284498983</v>
      </c>
      <c r="J91" s="3">
        <f t="shared" si="8"/>
        <v>56.457678941432512</v>
      </c>
      <c r="K91" s="3">
        <v>86.62364207534489</v>
      </c>
      <c r="M91" s="3">
        <f t="shared" si="40"/>
        <v>48.905697730273864</v>
      </c>
      <c r="N91" s="3">
        <f t="shared" si="9"/>
        <v>560.36443868875097</v>
      </c>
      <c r="O91" s="7">
        <f t="shared" si="50"/>
        <v>9.9146699072728719</v>
      </c>
      <c r="P91" s="3">
        <f t="shared" si="29"/>
        <v>38.991027823000991</v>
      </c>
      <c r="Q91" s="3">
        <f t="shared" si="10"/>
        <v>550.44976878147804</v>
      </c>
      <c r="R91" s="3"/>
      <c r="S91" s="3">
        <f t="shared" si="11"/>
        <v>45.011993133568261</v>
      </c>
      <c r="T91">
        <f t="shared" si="12"/>
        <v>635.44980976752174</v>
      </c>
      <c r="V91" s="3">
        <v>41.577499999999993</v>
      </c>
      <c r="W91">
        <v>41.51</v>
      </c>
      <c r="X91" s="12"/>
      <c r="Y91" s="6">
        <v>36.049999999999997</v>
      </c>
      <c r="Z91" s="7">
        <f t="shared" si="49"/>
        <v>36.049999999999997</v>
      </c>
      <c r="AA91" s="7">
        <v>48.03913434009133</v>
      </c>
      <c r="AB91" s="3">
        <v>41.14</v>
      </c>
      <c r="AI91">
        <v>19.13</v>
      </c>
      <c r="AJ91">
        <v>18.399999999999999</v>
      </c>
      <c r="AK91">
        <f t="shared" ref="AK91:AK103" si="51">AI91+AJ91</f>
        <v>37.53</v>
      </c>
      <c r="AL91" s="3">
        <f t="shared" ref="AL91:AL103" si="52">AK91/3.7853</f>
        <v>9.9146699072728719</v>
      </c>
      <c r="AM91" s="3">
        <v>10.3</v>
      </c>
      <c r="AN91" s="3">
        <f t="shared" ref="AN91:AN103" si="53">AJ91/3.785</f>
        <v>4.8612945838837511</v>
      </c>
      <c r="AO91"/>
      <c r="AP91">
        <v>2004</v>
      </c>
      <c r="AQ91" s="32">
        <f t="shared" si="43"/>
        <v>48.905697730273864</v>
      </c>
      <c r="AR91" s="32">
        <f t="shared" si="44"/>
        <v>9.9146699072728719</v>
      </c>
      <c r="AS91" s="32">
        <f t="shared" si="30"/>
        <v>38.991027823000991</v>
      </c>
      <c r="AU91" s="7">
        <v>86.623642075344748</v>
      </c>
      <c r="AW91" s="32">
        <f t="shared" si="45"/>
        <v>56.457678941432611</v>
      </c>
      <c r="AX91" s="32">
        <f t="shared" si="31"/>
        <v>56.160390729374228</v>
      </c>
      <c r="AY91" s="2">
        <f t="shared" si="46"/>
        <v>11.445685807864265</v>
      </c>
      <c r="AZ91" s="2">
        <f t="shared" si="38"/>
        <v>45.011993133568346</v>
      </c>
      <c r="BA91" s="2">
        <f t="shared" si="47"/>
        <v>44.714704921509963</v>
      </c>
      <c r="BB91" s="3">
        <f t="shared" si="32"/>
        <v>47.919943107327256</v>
      </c>
      <c r="BC91">
        <v>0</v>
      </c>
      <c r="BD91">
        <v>0</v>
      </c>
      <c r="BE91" s="23">
        <v>0.25</v>
      </c>
      <c r="BG91">
        <v>2004</v>
      </c>
      <c r="BH91" s="32">
        <f t="shared" si="33"/>
        <v>185.12811724515601</v>
      </c>
      <c r="BI91" s="32">
        <f t="shared" si="34"/>
        <v>37.531090613689805</v>
      </c>
      <c r="BJ91" s="32">
        <f t="shared" si="35"/>
        <v>147.59702663146618</v>
      </c>
      <c r="BK91" s="12"/>
      <c r="BL91" s="7">
        <f t="shared" si="20"/>
        <v>86.623642075344748</v>
      </c>
      <c r="BM91" s="12"/>
      <c r="BN91" s="32">
        <f t="shared" si="21"/>
        <v>213.71546244168843</v>
      </c>
      <c r="BO91" s="32">
        <f t="shared" si="36"/>
        <v>212.59010467088049</v>
      </c>
      <c r="BP91" s="2">
        <f t="shared" si="22"/>
        <v>43.326613513947471</v>
      </c>
      <c r="BQ91" s="2">
        <f t="shared" si="39"/>
        <v>170.38884892774095</v>
      </c>
      <c r="BR91" s="2">
        <f t="shared" si="48"/>
        <v>169.26349115693301</v>
      </c>
      <c r="BS91" s="3">
        <f t="shared" si="25"/>
        <v>47.919943107327256</v>
      </c>
      <c r="BT91">
        <v>0</v>
      </c>
      <c r="BU91">
        <v>0</v>
      </c>
      <c r="BV91" s="23">
        <v>0.25</v>
      </c>
      <c r="BX91" s="32">
        <f t="shared" si="26"/>
        <v>246.69610248178171</v>
      </c>
      <c r="BY91" s="32">
        <f t="shared" si="27"/>
        <v>245.39707913183739</v>
      </c>
      <c r="BZ91" s="3">
        <f t="shared" si="28"/>
        <v>65.170246414993798</v>
      </c>
    </row>
    <row r="92" spans="1:78">
      <c r="A92">
        <v>2005</v>
      </c>
      <c r="B92" s="3">
        <v>1.9526666666666674</v>
      </c>
      <c r="C92" s="3">
        <f t="shared" si="42"/>
        <v>128.14202809149756</v>
      </c>
      <c r="D92" s="3">
        <v>2.2708162269321819</v>
      </c>
      <c r="E92">
        <v>2.6202587158732351</v>
      </c>
      <c r="G92">
        <f t="shared" si="4"/>
        <v>69.158480749845523</v>
      </c>
      <c r="H92">
        <f t="shared" si="7"/>
        <v>905.40700954759802</v>
      </c>
      <c r="J92" s="3">
        <f t="shared" si="8"/>
        <v>66.999025972419361</v>
      </c>
      <c r="K92" s="3">
        <v>89.539246597092159</v>
      </c>
      <c r="M92" s="3">
        <f t="shared" si="40"/>
        <v>59.990423083094392</v>
      </c>
      <c r="N92" s="3">
        <f t="shared" si="9"/>
        <v>785.38089582427699</v>
      </c>
      <c r="O92" s="7">
        <f t="shared" si="50"/>
        <v>9.9463714897101951</v>
      </c>
      <c r="P92" s="3">
        <f t="shared" si="29"/>
        <v>50.044051593384197</v>
      </c>
      <c r="Q92" s="3">
        <f t="shared" si="10"/>
        <v>775.43452433456685</v>
      </c>
      <c r="R92" s="3"/>
      <c r="S92" s="3">
        <f t="shared" si="11"/>
        <v>55.890632873617911</v>
      </c>
      <c r="T92">
        <f t="shared" si="12"/>
        <v>866.02752849134367</v>
      </c>
      <c r="V92" s="3">
        <v>57.24666666666667</v>
      </c>
      <c r="W92">
        <v>56.64</v>
      </c>
      <c r="X92" s="12"/>
      <c r="Y92" s="6">
        <v>50.64</v>
      </c>
      <c r="Z92" s="7">
        <f t="shared" si="49"/>
        <v>50.64</v>
      </c>
      <c r="AA92" s="7">
        <v>65.283977226449025</v>
      </c>
      <c r="AB92" s="3">
        <v>57.63</v>
      </c>
      <c r="AI92">
        <v>19.25</v>
      </c>
      <c r="AJ92">
        <v>18.399999999999999</v>
      </c>
      <c r="AK92">
        <f t="shared" si="51"/>
        <v>37.65</v>
      </c>
      <c r="AL92" s="3">
        <f t="shared" si="52"/>
        <v>9.9463714897101951</v>
      </c>
      <c r="AM92" s="3">
        <v>10.4</v>
      </c>
      <c r="AN92" s="3">
        <f t="shared" si="53"/>
        <v>4.8612945838837511</v>
      </c>
      <c r="AO92"/>
      <c r="AP92">
        <v>2005</v>
      </c>
      <c r="AQ92" s="32">
        <f t="shared" si="43"/>
        <v>59.990423083094392</v>
      </c>
      <c r="AR92" s="32">
        <f t="shared" si="44"/>
        <v>9.9463714897101951</v>
      </c>
      <c r="AS92" s="32">
        <f t="shared" si="30"/>
        <v>50.044051593384197</v>
      </c>
      <c r="AU92" s="7">
        <v>89.539246597092017</v>
      </c>
      <c r="AW92" s="32">
        <f t="shared" si="45"/>
        <v>66.999025972419474</v>
      </c>
      <c r="AX92" s="32">
        <f t="shared" si="31"/>
        <v>67.330709673478708</v>
      </c>
      <c r="AY92" s="2">
        <f t="shared" si="46"/>
        <v>11.108393098801466</v>
      </c>
      <c r="AZ92" s="2">
        <f t="shared" si="38"/>
        <v>55.89063287361801</v>
      </c>
      <c r="BA92" s="2">
        <f t="shared" si="47"/>
        <v>56.222316574677237</v>
      </c>
      <c r="BB92" s="3">
        <f t="shared" si="32"/>
        <v>63.257177330146874</v>
      </c>
      <c r="BC92">
        <v>0</v>
      </c>
      <c r="BD92">
        <v>0</v>
      </c>
      <c r="BE92" s="23">
        <v>0.25</v>
      </c>
      <c r="BG92">
        <v>2005</v>
      </c>
      <c r="BH92" s="32">
        <f t="shared" si="33"/>
        <v>227.08834744297636</v>
      </c>
      <c r="BI92" s="32">
        <f t="shared" si="34"/>
        <v>37.651094100863872</v>
      </c>
      <c r="BJ92" s="32">
        <f t="shared" si="35"/>
        <v>189.43725334211248</v>
      </c>
      <c r="BK92" s="12"/>
      <c r="BL92" s="7">
        <f t="shared" si="20"/>
        <v>89.539246597092017</v>
      </c>
      <c r="BM92" s="12"/>
      <c r="BN92" s="32">
        <f t="shared" si="21"/>
        <v>253.6187829062564</v>
      </c>
      <c r="BO92" s="32">
        <f t="shared" si="36"/>
        <v>254.874341705083</v>
      </c>
      <c r="BP92" s="2">
        <f t="shared" si="22"/>
        <v>42.049822320134055</v>
      </c>
      <c r="BQ92" s="2">
        <f t="shared" si="39"/>
        <v>211.56896058612233</v>
      </c>
      <c r="BR92" s="2">
        <f t="shared" si="48"/>
        <v>212.82451938494893</v>
      </c>
      <c r="BS92" s="3">
        <f t="shared" si="25"/>
        <v>63.257177330146874</v>
      </c>
      <c r="BT92">
        <v>0</v>
      </c>
      <c r="BU92">
        <v>0</v>
      </c>
      <c r="BV92" s="23">
        <v>0.25</v>
      </c>
      <c r="BX92" s="32">
        <f t="shared" si="26"/>
        <v>292.75731640717254</v>
      </c>
      <c r="BY92" s="32">
        <f t="shared" si="27"/>
        <v>294.20663345034967</v>
      </c>
      <c r="BZ92" s="3">
        <f t="shared" si="28"/>
        <v>77.338337566385803</v>
      </c>
    </row>
    <row r="93" spans="1:78">
      <c r="A93">
        <v>2006</v>
      </c>
      <c r="B93" s="3">
        <v>2.0155833333333342</v>
      </c>
      <c r="C93" s="3">
        <f t="shared" si="42"/>
        <v>132.27087886006535</v>
      </c>
      <c r="D93" s="3">
        <v>2.5758821334262798</v>
      </c>
      <c r="E93">
        <v>2.8794896786595543</v>
      </c>
      <c r="G93">
        <f t="shared" si="4"/>
        <v>76.000560671578285</v>
      </c>
      <c r="H93">
        <f t="shared" si="7"/>
        <v>1081.0397381626879</v>
      </c>
      <c r="J93" s="3">
        <f t="shared" si="8"/>
        <v>73.627463806958787</v>
      </c>
      <c r="K93" s="3">
        <v>92.424281215596963</v>
      </c>
      <c r="M93" s="3">
        <f t="shared" si="40"/>
        <v>68.049654200855471</v>
      </c>
      <c r="N93" s="3">
        <f t="shared" si="9"/>
        <v>967.94523236806731</v>
      </c>
      <c r="O93" s="7">
        <f t="shared" si="50"/>
        <v>10.223760336036776</v>
      </c>
      <c r="P93" s="3">
        <f t="shared" si="29"/>
        <v>57.825893864818696</v>
      </c>
      <c r="Q93" s="3">
        <f t="shared" si="10"/>
        <v>957.72147203203053</v>
      </c>
      <c r="R93" s="3"/>
      <c r="S93" s="3">
        <f t="shared" si="11"/>
        <v>62.565694971356017</v>
      </c>
      <c r="T93">
        <f t="shared" si="12"/>
        <v>1036.2227971218576</v>
      </c>
      <c r="V93" s="3">
        <v>66.918333333333337</v>
      </c>
      <c r="W93">
        <v>66.05</v>
      </c>
      <c r="X93" s="12"/>
      <c r="Y93" s="6">
        <v>61.08</v>
      </c>
      <c r="Z93" s="7">
        <f t="shared" si="49"/>
        <v>61.08</v>
      </c>
      <c r="AA93" s="7">
        <v>76.285024501471085</v>
      </c>
      <c r="AB93" s="3">
        <v>70.02</v>
      </c>
      <c r="AI93">
        <v>20.3</v>
      </c>
      <c r="AJ93">
        <v>18.399999999999999</v>
      </c>
      <c r="AK93">
        <f t="shared" si="51"/>
        <v>38.700000000000003</v>
      </c>
      <c r="AL93" s="3">
        <f t="shared" si="52"/>
        <v>10.223760336036776</v>
      </c>
      <c r="AM93" s="3">
        <v>12.7</v>
      </c>
      <c r="AN93" s="3">
        <f t="shared" si="53"/>
        <v>4.8612945838837511</v>
      </c>
      <c r="AO93"/>
      <c r="AP93">
        <v>2006</v>
      </c>
      <c r="AQ93" s="32">
        <f t="shared" si="43"/>
        <v>68.049654200855471</v>
      </c>
      <c r="AR93" s="32">
        <f t="shared" si="44"/>
        <v>10.223760336036776</v>
      </c>
      <c r="AS93" s="32">
        <f t="shared" si="30"/>
        <v>57.825893864818696</v>
      </c>
      <c r="AU93" s="7">
        <v>92.424281215596821</v>
      </c>
      <c r="AW93" s="32">
        <f t="shared" si="45"/>
        <v>73.6274638069589</v>
      </c>
      <c r="AX93" s="32">
        <f t="shared" si="31"/>
        <v>73.441638138572245</v>
      </c>
      <c r="AY93" s="2">
        <f t="shared" si="46"/>
        <v>11.061768835602793</v>
      </c>
      <c r="AZ93" s="2">
        <f t="shared" si="38"/>
        <v>62.565694971356109</v>
      </c>
      <c r="BA93" s="2">
        <f t="shared" si="47"/>
        <v>62.379869302969453</v>
      </c>
      <c r="BB93" s="3">
        <f t="shared" si="32"/>
        <v>71.463904432133035</v>
      </c>
      <c r="BC93">
        <v>0</v>
      </c>
      <c r="BD93">
        <v>0</v>
      </c>
      <c r="BE93" s="23">
        <v>0.25</v>
      </c>
      <c r="BG93">
        <v>2006</v>
      </c>
      <c r="BH93" s="32">
        <f t="shared" si="33"/>
        <v>257.5958415084603</v>
      </c>
      <c r="BI93" s="32">
        <f t="shared" si="34"/>
        <v>38.701124613636971</v>
      </c>
      <c r="BJ93" s="32">
        <f t="shared" si="35"/>
        <v>218.89471689482335</v>
      </c>
      <c r="BK93" s="12"/>
      <c r="BL93" s="7">
        <f t="shared" si="20"/>
        <v>92.424281215596821</v>
      </c>
      <c r="BM93" s="12"/>
      <c r="BN93" s="32">
        <f t="shared" si="21"/>
        <v>278.71013776950031</v>
      </c>
      <c r="BO93" s="32">
        <f t="shared" si="36"/>
        <v>278.00671142613271</v>
      </c>
      <c r="BP93" s="2">
        <f t="shared" si="22"/>
        <v>41.873330367979165</v>
      </c>
      <c r="BQ93" s="2">
        <f t="shared" si="39"/>
        <v>236.83680740152113</v>
      </c>
      <c r="BR93" s="2">
        <f t="shared" si="48"/>
        <v>236.13338105815356</v>
      </c>
      <c r="BS93" s="3">
        <f t="shared" si="25"/>
        <v>71.463904432133035</v>
      </c>
      <c r="BT93">
        <v>0</v>
      </c>
      <c r="BU93">
        <v>0</v>
      </c>
      <c r="BV93" s="23">
        <v>0.25</v>
      </c>
      <c r="BX93" s="32">
        <f t="shared" si="26"/>
        <v>321.72077735674452</v>
      </c>
      <c r="BY93" s="32">
        <f t="shared" si="27"/>
        <v>320.90879803007721</v>
      </c>
      <c r="BZ93" s="3">
        <f t="shared" si="28"/>
        <v>84.989678094775613</v>
      </c>
    </row>
    <row r="94" spans="1:78">
      <c r="A94">
        <v>2007</v>
      </c>
      <c r="B94" s="3">
        <v>2.0733683333333324</v>
      </c>
      <c r="C94" s="3">
        <f t="shared" si="42"/>
        <v>136.06296852886032</v>
      </c>
      <c r="D94" s="3">
        <v>2.8058691349373182</v>
      </c>
      <c r="E94">
        <v>3.0491672635364626</v>
      </c>
      <c r="G94">
        <f t="shared" si="4"/>
        <v>80.478990193175818</v>
      </c>
      <c r="H94">
        <f t="shared" si="7"/>
        <v>1164.471172521326</v>
      </c>
      <c r="J94" s="3">
        <f t="shared" si="8"/>
        <v>77.966055583121147</v>
      </c>
      <c r="K94" s="3">
        <v>95.074004003893037</v>
      </c>
      <c r="M94" s="3">
        <f t="shared" si="40"/>
        <v>74.125450806774069</v>
      </c>
      <c r="N94" s="3">
        <f t="shared" si="9"/>
        <v>1072.5401798338578</v>
      </c>
      <c r="O94" s="7">
        <f t="shared" si="50"/>
        <v>9.9463714897101951</v>
      </c>
      <c r="P94" s="3">
        <f t="shared" si="29"/>
        <v>64.179079317063866</v>
      </c>
      <c r="Q94" s="3">
        <f t="shared" si="10"/>
        <v>1062.5938083441476</v>
      </c>
      <c r="R94" s="3"/>
      <c r="S94" s="3">
        <f t="shared" si="11"/>
        <v>67.504340423525122</v>
      </c>
      <c r="T94">
        <f t="shared" si="12"/>
        <v>1117.6491612792884</v>
      </c>
      <c r="V94" s="3">
        <v>74.890833333333333</v>
      </c>
      <c r="W94">
        <v>72.34</v>
      </c>
      <c r="X94" s="12"/>
      <c r="Y94" s="6">
        <v>69.08</v>
      </c>
      <c r="Z94" s="7">
        <f t="shared" si="49"/>
        <v>69.08</v>
      </c>
      <c r="AA94" s="7">
        <v>83.871978488493781</v>
      </c>
      <c r="AB94" s="3">
        <v>77.52</v>
      </c>
      <c r="AI94">
        <v>19.25</v>
      </c>
      <c r="AJ94">
        <v>18.399999999999999</v>
      </c>
      <c r="AK94">
        <f t="shared" si="51"/>
        <v>37.65</v>
      </c>
      <c r="AL94" s="3">
        <f t="shared" si="52"/>
        <v>9.9463714897101951</v>
      </c>
      <c r="AM94" s="3">
        <v>13.1</v>
      </c>
      <c r="AN94" s="3">
        <f t="shared" si="53"/>
        <v>4.8612945838837511</v>
      </c>
      <c r="AO94"/>
      <c r="AP94">
        <v>2007</v>
      </c>
      <c r="AQ94" s="32">
        <f t="shared" si="43"/>
        <v>74.125450806774069</v>
      </c>
      <c r="AR94" s="32">
        <f t="shared" si="44"/>
        <v>9.9463714897101951</v>
      </c>
      <c r="AS94" s="32">
        <f t="shared" si="30"/>
        <v>64.179079317063866</v>
      </c>
      <c r="AU94" s="7">
        <v>95.074004003892881</v>
      </c>
      <c r="AW94" s="32">
        <f t="shared" si="45"/>
        <v>77.966055583121275</v>
      </c>
      <c r="AX94" s="32">
        <f t="shared" si="31"/>
        <v>78.287957331006794</v>
      </c>
      <c r="AY94" s="2">
        <f t="shared" si="46"/>
        <v>10.461715159596027</v>
      </c>
      <c r="AZ94" s="2">
        <f t="shared" si="38"/>
        <v>67.50434042352525</v>
      </c>
      <c r="BA94" s="2">
        <f t="shared" si="47"/>
        <v>67.826242171410769</v>
      </c>
      <c r="BB94" s="3">
        <f t="shared" si="32"/>
        <v>76.088096591617187</v>
      </c>
      <c r="BC94">
        <v>0</v>
      </c>
      <c r="BD94">
        <v>0</v>
      </c>
      <c r="BE94">
        <v>0</v>
      </c>
      <c r="BG94">
        <v>2007</v>
      </c>
      <c r="BH94" s="32">
        <f t="shared" si="33"/>
        <v>280.59522273847062</v>
      </c>
      <c r="BI94" s="32">
        <f t="shared" si="34"/>
        <v>37.651094100863872</v>
      </c>
      <c r="BJ94" s="32">
        <f t="shared" si="35"/>
        <v>242.94412863760675</v>
      </c>
      <c r="BK94" s="12"/>
      <c r="BL94" s="7">
        <f t="shared" si="20"/>
        <v>95.074004003892881</v>
      </c>
      <c r="BM94" s="12"/>
      <c r="BN94" s="32">
        <f t="shared" si="21"/>
        <v>295.13348646490311</v>
      </c>
      <c r="BO94" s="32">
        <f t="shared" si="36"/>
        <v>296.35201656036639</v>
      </c>
      <c r="BP94" s="2">
        <f t="shared" si="22"/>
        <v>39.601881182286398</v>
      </c>
      <c r="BQ94" s="2">
        <f t="shared" si="39"/>
        <v>255.53160528261671</v>
      </c>
      <c r="BR94" s="2">
        <f t="shared" si="48"/>
        <v>256.75013537808002</v>
      </c>
      <c r="BS94" s="3">
        <f t="shared" si="25"/>
        <v>76.088096591617187</v>
      </c>
      <c r="BT94">
        <v>0</v>
      </c>
      <c r="BU94">
        <v>0</v>
      </c>
      <c r="BV94">
        <v>0</v>
      </c>
      <c r="BX94" s="32">
        <f t="shared" si="26"/>
        <v>340.67858259257576</v>
      </c>
      <c r="BY94" s="32">
        <f t="shared" si="27"/>
        <v>342.08515665077971</v>
      </c>
      <c r="BZ94" s="3">
        <f t="shared" si="28"/>
        <v>89.997802772374911</v>
      </c>
    </row>
    <row r="95" spans="1:78">
      <c r="A95">
        <v>2008</v>
      </c>
      <c r="B95" s="3">
        <v>2.1525075</v>
      </c>
      <c r="C95" s="3">
        <f t="shared" si="42"/>
        <v>141.25640655453694</v>
      </c>
      <c r="D95" s="3">
        <v>3.2565255576957695</v>
      </c>
      <c r="E95">
        <v>3.4087889667505364</v>
      </c>
      <c r="G95">
        <f t="shared" si="4"/>
        <v>89.970759264791582</v>
      </c>
      <c r="H95">
        <f t="shared" si="7"/>
        <v>1517.7170288673015</v>
      </c>
      <c r="J95" s="3">
        <f t="shared" si="8"/>
        <v>87.161446743514887</v>
      </c>
      <c r="K95" s="3">
        <v>98.70291900542351</v>
      </c>
      <c r="M95" s="3">
        <f t="shared" si="40"/>
        <v>86.030892183206845</v>
      </c>
      <c r="N95" s="3">
        <f t="shared" si="9"/>
        <v>1451.2553983324697</v>
      </c>
      <c r="O95" s="7">
        <f t="shared" si="50"/>
        <v>10.271312709692758</v>
      </c>
      <c r="P95" s="3">
        <f t="shared" si="29"/>
        <v>75.759579473514094</v>
      </c>
      <c r="Q95" s="3">
        <f t="shared" si="10"/>
        <v>1440.984085622777</v>
      </c>
      <c r="R95" s="3"/>
      <c r="S95" s="3">
        <f t="shared" si="11"/>
        <v>76.755156014536183</v>
      </c>
      <c r="T95">
        <f t="shared" si="12"/>
        <v>1459.9204361358331</v>
      </c>
      <c r="V95" s="3">
        <v>98.694166666666661</v>
      </c>
      <c r="W95">
        <v>99.67</v>
      </c>
      <c r="X95" s="12"/>
      <c r="Y95" s="6">
        <v>94.45</v>
      </c>
      <c r="Z95" s="7">
        <f t="shared" si="49"/>
        <v>94.45</v>
      </c>
      <c r="AA95" s="7">
        <v>110.45828834630711</v>
      </c>
      <c r="AB95" s="3">
        <v>104.41</v>
      </c>
      <c r="AI95">
        <v>20.48</v>
      </c>
      <c r="AJ95">
        <v>18.399999999999999</v>
      </c>
      <c r="AK95">
        <f t="shared" si="51"/>
        <v>38.879999999999995</v>
      </c>
      <c r="AL95" s="3">
        <f t="shared" si="52"/>
        <v>10.271312709692758</v>
      </c>
      <c r="AM95" s="3">
        <v>13.4</v>
      </c>
      <c r="AN95" s="3">
        <f t="shared" si="53"/>
        <v>4.8612945838837511</v>
      </c>
      <c r="AO95"/>
      <c r="AP95">
        <v>2008</v>
      </c>
      <c r="AQ95" s="32">
        <f t="shared" si="43"/>
        <v>86.030892183206845</v>
      </c>
      <c r="AR95" s="32">
        <f t="shared" si="44"/>
        <v>10.271312709692758</v>
      </c>
      <c r="AS95" s="32">
        <f t="shared" si="30"/>
        <v>75.759579473514094</v>
      </c>
      <c r="AU95" s="7">
        <v>98.70291900542334</v>
      </c>
      <c r="AW95" s="32">
        <f t="shared" si="45"/>
        <v>87.161446743515043</v>
      </c>
      <c r="AX95" s="32">
        <f t="shared" si="31"/>
        <v>86.08355261211949</v>
      </c>
      <c r="AY95" s="2">
        <f t="shared" si="46"/>
        <v>10.406290728978734</v>
      </c>
      <c r="AZ95" s="2">
        <f t="shared" si="38"/>
        <v>76.755156014536311</v>
      </c>
      <c r="BA95" s="2">
        <f t="shared" si="47"/>
        <v>75.677261883140758</v>
      </c>
      <c r="BB95" s="3">
        <f t="shared" si="32"/>
        <v>100.97978966004393</v>
      </c>
      <c r="BC95">
        <v>0</v>
      </c>
      <c r="BD95" s="23">
        <v>1</v>
      </c>
      <c r="BE95">
        <v>0</v>
      </c>
      <c r="BG95">
        <v>2008</v>
      </c>
      <c r="BH95" s="32">
        <f t="shared" si="33"/>
        <v>325.66219957923306</v>
      </c>
      <c r="BI95" s="32">
        <f t="shared" si="34"/>
        <v>38.881129844398068</v>
      </c>
      <c r="BJ95" s="32">
        <f t="shared" si="35"/>
        <v>286.781069734835</v>
      </c>
      <c r="BK95" s="12"/>
      <c r="BL95" s="7">
        <f t="shared" si="20"/>
        <v>98.70291900542334</v>
      </c>
      <c r="BM95" s="12"/>
      <c r="BN95" s="32">
        <f t="shared" si="21"/>
        <v>329.9418121173693</v>
      </c>
      <c r="BO95" s="32">
        <f t="shared" si="36"/>
        <v>325.86154089344319</v>
      </c>
      <c r="BP95" s="2">
        <f t="shared" si="22"/>
        <v>39.392076988383394</v>
      </c>
      <c r="BQ95" s="2">
        <f t="shared" si="39"/>
        <v>290.5497351289859</v>
      </c>
      <c r="BR95" s="2">
        <f t="shared" si="48"/>
        <v>286.4694639050598</v>
      </c>
      <c r="BS95" s="3">
        <f t="shared" si="25"/>
        <v>100.97978966004393</v>
      </c>
      <c r="BT95">
        <v>0</v>
      </c>
      <c r="BU95" s="23">
        <v>1</v>
      </c>
      <c r="BV95">
        <v>0</v>
      </c>
      <c r="BX95" s="32">
        <f t="shared" si="26"/>
        <v>380.8585404406092</v>
      </c>
      <c r="BY95" s="32">
        <f t="shared" si="27"/>
        <v>376.14860042732738</v>
      </c>
      <c r="BZ95" s="3">
        <f t="shared" si="28"/>
        <v>100.61222970315217</v>
      </c>
    </row>
    <row r="96" spans="1:78">
      <c r="A96">
        <v>2009</v>
      </c>
      <c r="B96" s="3">
        <v>2.1454783333333332</v>
      </c>
      <c r="C96" s="3">
        <f t="shared" si="42"/>
        <v>140.7951236905254</v>
      </c>
      <c r="D96" s="3">
        <v>2.3493384907568307</v>
      </c>
      <c r="E96">
        <v>2.4672420539260838</v>
      </c>
      <c r="G96">
        <f t="shared" si="4"/>
        <v>65.119795636207414</v>
      </c>
      <c r="H96">
        <f t="shared" si="7"/>
        <v>936.93529842254236</v>
      </c>
      <c r="J96" s="3">
        <f t="shared" si="8"/>
        <v>63.086447704515933</v>
      </c>
      <c r="K96" s="3">
        <v>98.380597588111073</v>
      </c>
      <c r="M96" s="3">
        <f t="shared" si="40"/>
        <v>62.064824248813956</v>
      </c>
      <c r="N96" s="3">
        <f t="shared" si="9"/>
        <v>892.98076047358813</v>
      </c>
      <c r="O96" s="7">
        <f t="shared" si="50"/>
        <v>10.350566665786067</v>
      </c>
      <c r="P96" s="3">
        <f t="shared" si="29"/>
        <v>51.714257583027887</v>
      </c>
      <c r="Q96" s="3">
        <f t="shared" si="10"/>
        <v>882.63019380780202</v>
      </c>
      <c r="R96" s="3"/>
      <c r="S96" s="3">
        <f t="shared" si="11"/>
        <v>52.565504632874244</v>
      </c>
      <c r="T96">
        <f t="shared" si="12"/>
        <v>897.158805136659</v>
      </c>
      <c r="V96" s="3">
        <v>63.775833333333324</v>
      </c>
      <c r="W96">
        <v>61.95</v>
      </c>
      <c r="X96" s="12"/>
      <c r="Y96" s="6">
        <v>61.06</v>
      </c>
      <c r="Z96" s="7">
        <f t="shared" si="49"/>
        <v>61.06</v>
      </c>
      <c r="AA96" s="7">
        <v>71.642987430486102</v>
      </c>
      <c r="AB96" s="3">
        <v>64.760000000000005</v>
      </c>
      <c r="AF96" s="13" t="s">
        <v>88</v>
      </c>
      <c r="AG96" s="13">
        <v>24.055647633900328</v>
      </c>
      <c r="AH96" s="13"/>
      <c r="AI96" s="13">
        <v>20.78</v>
      </c>
      <c r="AJ96">
        <v>18.399999999999999</v>
      </c>
      <c r="AK96">
        <f t="shared" si="51"/>
        <v>39.18</v>
      </c>
      <c r="AL96" s="3">
        <f t="shared" si="52"/>
        <v>10.350566665786067</v>
      </c>
      <c r="AM96">
        <v>13.4</v>
      </c>
      <c r="AN96" s="3">
        <f t="shared" si="53"/>
        <v>4.8612945838837511</v>
      </c>
      <c r="AO96" s="3"/>
      <c r="AP96">
        <v>2009</v>
      </c>
      <c r="AQ96" s="32">
        <f t="shared" si="43"/>
        <v>62.064824248813956</v>
      </c>
      <c r="AR96" s="32">
        <f t="shared" si="44"/>
        <v>10.350566665786067</v>
      </c>
      <c r="AS96" s="32">
        <f t="shared" si="30"/>
        <v>51.714257583027887</v>
      </c>
      <c r="AU96" s="7">
        <v>98.380597588110902</v>
      </c>
      <c r="AW96" s="32">
        <f t="shared" si="45"/>
        <v>63.086447704516047</v>
      </c>
      <c r="AX96" s="32">
        <f t="shared" si="31"/>
        <v>63.091727155924382</v>
      </c>
      <c r="AY96" s="2">
        <f t="shared" si="46"/>
        <v>10.520943071641712</v>
      </c>
      <c r="AZ96" s="2">
        <f t="shared" si="38"/>
        <v>52.565504632874337</v>
      </c>
      <c r="BA96" s="2">
        <f t="shared" si="47"/>
        <v>52.570784084282671</v>
      </c>
      <c r="BB96" s="3">
        <f t="shared" si="32"/>
        <v>62.969733381134233</v>
      </c>
      <c r="BC96">
        <v>0</v>
      </c>
      <c r="BD96" s="23">
        <v>0.5</v>
      </c>
      <c r="BE96">
        <v>0</v>
      </c>
      <c r="BG96">
        <v>2009</v>
      </c>
      <c r="BH96" s="32">
        <f t="shared" si="33"/>
        <v>234.94080635970283</v>
      </c>
      <c r="BI96" s="32">
        <f t="shared" si="34"/>
        <v>39.181138562333238</v>
      </c>
      <c r="BJ96" s="32">
        <f t="shared" si="35"/>
        <v>195.75966779736962</v>
      </c>
      <c r="BK96" s="12"/>
      <c r="BL96" s="7">
        <f t="shared" si="20"/>
        <v>98.380597588110902</v>
      </c>
      <c r="BM96" s="12"/>
      <c r="BN96" s="32">
        <f t="shared" si="21"/>
        <v>238.80807000515208</v>
      </c>
      <c r="BO96" s="32">
        <f t="shared" si="36"/>
        <v>238.82805489330767</v>
      </c>
      <c r="BP96" s="2">
        <f t="shared" si="22"/>
        <v>39.826083112823255</v>
      </c>
      <c r="BQ96" s="2">
        <f t="shared" si="39"/>
        <v>198.98198689232882</v>
      </c>
      <c r="BR96" s="2">
        <f t="shared" si="48"/>
        <v>199.00197178048441</v>
      </c>
      <c r="BS96" s="3">
        <f t="shared" si="25"/>
        <v>62.969733381134233</v>
      </c>
      <c r="BT96">
        <v>0</v>
      </c>
      <c r="BU96" s="23">
        <v>0.5</v>
      </c>
      <c r="BV96">
        <v>0</v>
      </c>
      <c r="BX96" s="32">
        <f t="shared" si="26"/>
        <v>275.66100944868094</v>
      </c>
      <c r="BY96" s="32">
        <f t="shared" si="27"/>
        <v>275.68407841131096</v>
      </c>
      <c r="BZ96" s="3">
        <f t="shared" si="28"/>
        <v>72.821968940928713</v>
      </c>
    </row>
    <row r="97" spans="1:78">
      <c r="A97">
        <v>2010</v>
      </c>
      <c r="B97" s="3">
        <v>2.1807941666666664</v>
      </c>
      <c r="C97" s="3">
        <f t="shared" si="42"/>
        <v>143.11269411067286</v>
      </c>
      <c r="D97" s="3">
        <v>2.7814771005088481</v>
      </c>
      <c r="E97">
        <v>2.8737640655320655</v>
      </c>
      <c r="G97">
        <f t="shared" si="4"/>
        <v>75.800173152083445</v>
      </c>
      <c r="H97">
        <f t="shared" si="7"/>
        <v>1176.0970857353311</v>
      </c>
      <c r="J97" s="3">
        <f>M97/K97*100</f>
        <v>73.433334427575289</v>
      </c>
      <c r="K97" s="3">
        <f>CPIs!AB49</f>
        <v>99.999998509883881</v>
      </c>
      <c r="L97" s="3"/>
      <c r="M97" s="3">
        <f>'Country petrol prices nominal'!AD69*100</f>
        <v>73.433333333333337</v>
      </c>
      <c r="N97" s="3">
        <f>Q97+O97</f>
        <v>1139.3737736704718</v>
      </c>
      <c r="O97" s="7">
        <f t="shared" si="50"/>
        <v>10.625313713576203</v>
      </c>
      <c r="P97" s="3">
        <f t="shared" si="29"/>
        <v>62.808019619757133</v>
      </c>
      <c r="Q97" s="3">
        <f>AG$96+AG$97*Z97+AG$98*AA97+AG$99*AB97+AG$100*AC97</f>
        <v>1128.7484599568957</v>
      </c>
      <c r="R97" s="3"/>
      <c r="S97" s="3">
        <f>P97*B$97/B97</f>
        <v>62.808019619757133</v>
      </c>
      <c r="T97">
        <f>Q97*B$97/B97</f>
        <v>1128.7484599568957</v>
      </c>
      <c r="V97" s="3">
        <v>79.946666666666658</v>
      </c>
      <c r="W97">
        <v>79.48</v>
      </c>
      <c r="X97" s="7">
        <f>Y97/AU97*100</f>
        <v>77.45</v>
      </c>
      <c r="Y97" s="6">
        <v>77.45</v>
      </c>
      <c r="Z97" s="7">
        <f t="shared" si="49"/>
        <v>77.45</v>
      </c>
      <c r="AA97" s="7">
        <v>89.402109322937591</v>
      </c>
      <c r="AB97" s="3">
        <v>82.411666666666676</v>
      </c>
      <c r="AC97" s="3"/>
      <c r="AF97" s="13" t="s">
        <v>128</v>
      </c>
      <c r="AG97" s="13">
        <v>0.56478843406923962</v>
      </c>
      <c r="AH97" s="13"/>
      <c r="AI97" s="13">
        <v>21.82</v>
      </c>
      <c r="AJ97">
        <v>18.399999999999999</v>
      </c>
      <c r="AK97">
        <f t="shared" si="51"/>
        <v>40.22</v>
      </c>
      <c r="AL97" s="3">
        <f t="shared" si="52"/>
        <v>10.625313713576203</v>
      </c>
      <c r="AM97">
        <v>13.4</v>
      </c>
      <c r="AN97" s="3">
        <f t="shared" si="53"/>
        <v>4.8612945838837511</v>
      </c>
      <c r="AO97" s="3"/>
      <c r="AP97">
        <v>2010</v>
      </c>
      <c r="AQ97" s="32">
        <f t="shared" si="43"/>
        <v>73.433333333333337</v>
      </c>
      <c r="AR97" s="32">
        <f t="shared" si="44"/>
        <v>10.625313713576203</v>
      </c>
      <c r="AS97" s="32">
        <f t="shared" si="30"/>
        <v>62.808019619757133</v>
      </c>
      <c r="AU97" s="7">
        <v>100</v>
      </c>
      <c r="AW97" s="32">
        <f t="shared" si="45"/>
        <v>73.433333333333337</v>
      </c>
      <c r="AX97" s="32">
        <f t="shared" si="31"/>
        <v>75.583842144716058</v>
      </c>
      <c r="AY97" s="2">
        <f t="shared" si="46"/>
        <v>10.625313713576203</v>
      </c>
      <c r="AZ97" s="2">
        <f t="shared" si="38"/>
        <v>62.808019619757133</v>
      </c>
      <c r="BA97" s="2">
        <f t="shared" si="47"/>
        <v>64.958528431139854</v>
      </c>
      <c r="BB97" s="3">
        <f>W97/AU97*100</f>
        <v>79.48</v>
      </c>
      <c r="BC97">
        <v>0</v>
      </c>
      <c r="BD97" s="23">
        <v>0.5</v>
      </c>
      <c r="BE97">
        <v>0</v>
      </c>
      <c r="BG97">
        <v>2010</v>
      </c>
      <c r="BH97" s="32">
        <f t="shared" si="33"/>
        <v>277.97527433333335</v>
      </c>
      <c r="BI97" s="32">
        <f t="shared" si="34"/>
        <v>40.221168784508492</v>
      </c>
      <c r="BJ97" s="32">
        <f t="shared" si="35"/>
        <v>237.75410554882487</v>
      </c>
      <c r="BK97" s="12"/>
      <c r="BL97" s="7">
        <f t="shared" si="20"/>
        <v>100</v>
      </c>
      <c r="BM97" s="12"/>
      <c r="BN97" s="32">
        <f t="shared" si="21"/>
        <v>277.97527433333335</v>
      </c>
      <c r="BO97" s="32">
        <f t="shared" si="36"/>
        <v>286.11583189302956</v>
      </c>
      <c r="BP97" s="2">
        <f t="shared" si="22"/>
        <v>40.221168784508492</v>
      </c>
      <c r="BQ97" s="2">
        <f t="shared" si="39"/>
        <v>237.75410554882484</v>
      </c>
      <c r="BR97" s="2">
        <f t="shared" si="48"/>
        <v>245.89466310852109</v>
      </c>
      <c r="BS97" s="3">
        <f t="shared" si="25"/>
        <v>79.48</v>
      </c>
      <c r="BT97">
        <v>0</v>
      </c>
      <c r="BU97" s="23">
        <v>0.5</v>
      </c>
      <c r="BV97">
        <v>0</v>
      </c>
      <c r="BX97" s="32">
        <f t="shared" si="26"/>
        <v>320.87250955483842</v>
      </c>
      <c r="BY97" s="32">
        <f t="shared" si="27"/>
        <v>330.26932061877164</v>
      </c>
      <c r="BZ97" s="3">
        <f t="shared" si="28"/>
        <v>84.765589342987539</v>
      </c>
    </row>
    <row r="98" spans="1:78">
      <c r="A98">
        <v>2011</v>
      </c>
      <c r="B98" s="3">
        <v>2.2510836419753084</v>
      </c>
      <c r="C98" s="3">
        <f t="shared" si="42"/>
        <v>147.72537894485004</v>
      </c>
      <c r="D98" s="3">
        <v>3.5995723801455375</v>
      </c>
      <c r="E98">
        <v>3.6028781679478166</v>
      </c>
      <c r="G98">
        <f>M98*B$98/B98</f>
        <v>93.041666666666657</v>
      </c>
      <c r="H98">
        <f>N98*B$98/B98</f>
        <v>0</v>
      </c>
      <c r="J98" s="3">
        <f>M98/K98*100</f>
        <v>90.215476528957822</v>
      </c>
      <c r="K98" s="3">
        <f>CPIs!AB50</f>
        <v>103.13271097869961</v>
      </c>
      <c r="L98" s="3"/>
      <c r="M98" s="3">
        <f>'Country petrol prices nominal'!AD70*100</f>
        <v>93.041666666666657</v>
      </c>
      <c r="N98" s="3"/>
      <c r="O98" s="7">
        <f t="shared" si="50"/>
        <v>10.509074577972685</v>
      </c>
      <c r="P98" s="3"/>
      <c r="Q98" s="3"/>
      <c r="R98" s="3"/>
      <c r="S98" s="3">
        <f>P98*B$97/B98</f>
        <v>0</v>
      </c>
      <c r="T98">
        <f>Q98*B$97/B98</f>
        <v>0</v>
      </c>
      <c r="V98" s="3">
        <v>96.789166666666659</v>
      </c>
      <c r="W98">
        <v>94.88</v>
      </c>
      <c r="X98" s="7">
        <f t="shared" ref="X98:X104" si="54">Y98/AU98*100</f>
        <v>104.18614906980585</v>
      </c>
      <c r="Y98" s="6">
        <v>107.45</v>
      </c>
      <c r="Z98" s="7">
        <f t="shared" si="49"/>
        <v>107.45</v>
      </c>
      <c r="AA98" s="7">
        <v>120.26418965880769</v>
      </c>
      <c r="AB98" s="3">
        <v>116.04166666666667</v>
      </c>
      <c r="AC98" s="3"/>
      <c r="AF98" s="13" t="s">
        <v>137</v>
      </c>
      <c r="AG98" s="13">
        <v>-6.9200677795391172</v>
      </c>
      <c r="AH98" s="13"/>
      <c r="AI98" s="13">
        <v>21.38</v>
      </c>
      <c r="AJ98">
        <v>18.399999999999999</v>
      </c>
      <c r="AK98">
        <f t="shared" si="51"/>
        <v>39.78</v>
      </c>
      <c r="AL98" s="3">
        <f t="shared" si="52"/>
        <v>10.509074577972685</v>
      </c>
      <c r="AM98">
        <v>13.4</v>
      </c>
      <c r="AN98" s="3">
        <f t="shared" si="53"/>
        <v>4.8612945838837511</v>
      </c>
      <c r="AO98" s="3"/>
      <c r="AP98">
        <v>2011</v>
      </c>
      <c r="AQ98" s="32">
        <f t="shared" si="43"/>
        <v>93.041666666666657</v>
      </c>
      <c r="AR98" s="32">
        <f t="shared" si="44"/>
        <v>10.509074577972685</v>
      </c>
      <c r="AS98" s="32">
        <f t="shared" si="30"/>
        <v>82.532592088693974</v>
      </c>
      <c r="AU98" s="7">
        <f>CPIs!AB50</f>
        <v>103.13271097869961</v>
      </c>
      <c r="AW98" s="32">
        <f>AQ98/$AU98*100</f>
        <v>90.215476528957822</v>
      </c>
      <c r="AX98" s="32">
        <f>BA98+AY98</f>
        <v>89.953363649038096</v>
      </c>
      <c r="AY98" s="2">
        <f>AR98/$AU98*100</f>
        <v>10.189855845196549</v>
      </c>
      <c r="AZ98" s="2">
        <f>AW98-AY98</f>
        <v>80.025620683761275</v>
      </c>
      <c r="BA98" s="2">
        <f t="shared" si="47"/>
        <v>79.763507803841549</v>
      </c>
      <c r="BB98" s="3">
        <f t="shared" si="32"/>
        <v>91.997969509010503</v>
      </c>
      <c r="BC98">
        <v>0</v>
      </c>
      <c r="BD98">
        <v>0</v>
      </c>
      <c r="BE98">
        <v>0</v>
      </c>
      <c r="BG98">
        <v>2011</v>
      </c>
      <c r="BH98" s="32">
        <f t="shared" si="33"/>
        <v>352.20085541666663</v>
      </c>
      <c r="BI98" s="32">
        <f t="shared" si="34"/>
        <v>39.78115599820358</v>
      </c>
      <c r="BJ98" s="32">
        <f t="shared" si="35"/>
        <v>312.4196994184631</v>
      </c>
      <c r="BK98" s="12"/>
      <c r="BL98" s="7">
        <f t="shared" si="20"/>
        <v>103.13271097869961</v>
      </c>
      <c r="BM98" s="12"/>
      <c r="BN98" s="32">
        <f>BH98/$AU98*100</f>
        <v>341.5025670074823</v>
      </c>
      <c r="BO98" s="32">
        <f>BR98+BP98</f>
        <v>340.51036229070525</v>
      </c>
      <c r="BP98" s="2">
        <f>BI98/$AU98*100</f>
        <v>38.572782214965464</v>
      </c>
      <c r="BQ98" s="2">
        <f>BN98-BP98</f>
        <v>302.92978479251684</v>
      </c>
      <c r="BR98" s="2">
        <f t="shared" si="48"/>
        <v>301.93758007573979</v>
      </c>
      <c r="BS98" s="3">
        <f t="shared" si="25"/>
        <v>91.997969509010503</v>
      </c>
      <c r="BT98">
        <v>0</v>
      </c>
      <c r="BU98">
        <v>0</v>
      </c>
      <c r="BV98">
        <v>0</v>
      </c>
      <c r="BX98" s="32">
        <f t="shared" si="26"/>
        <v>394.20335480525182</v>
      </c>
      <c r="BY98" s="32">
        <f t="shared" si="27"/>
        <v>393.05803273217191</v>
      </c>
      <c r="BZ98" s="3">
        <f t="shared" si="28"/>
        <v>104.13755836362554</v>
      </c>
    </row>
    <row r="99" spans="1:78">
      <c r="A99">
        <v>2012</v>
      </c>
      <c r="B99" s="3">
        <v>2.2925159166666664</v>
      </c>
      <c r="C99" s="3">
        <f>B99*1/1.52383*100</f>
        <v>150.44433543549255</v>
      </c>
      <c r="D99" s="3">
        <v>3.671034387666531</v>
      </c>
      <c r="E99">
        <v>3.6079988546521826</v>
      </c>
      <c r="G99">
        <f>M99*B$98/B99</f>
        <v>94.052256419681697</v>
      </c>
      <c r="H99">
        <f>N99*B$98/B99</f>
        <v>0</v>
      </c>
      <c r="J99" s="3">
        <f t="shared" ref="J99:J103" si="55">M99/K99*100</f>
        <v>91.039516602232354</v>
      </c>
      <c r="K99" s="3">
        <f>CPIs!AB51</f>
        <v>105.21072267093371</v>
      </c>
      <c r="L99" s="3"/>
      <c r="M99" s="3">
        <f>'Country petrol prices nominal'!AD71*100</f>
        <v>95.783333333333331</v>
      </c>
      <c r="N99" s="3"/>
      <c r="O99" s="7">
        <f t="shared" si="50"/>
        <v>10.575119541383774</v>
      </c>
      <c r="P99" s="3"/>
      <c r="Q99" s="3"/>
      <c r="R99" s="3"/>
      <c r="S99" s="3">
        <f>P99*B$97/B99</f>
        <v>0</v>
      </c>
      <c r="V99" s="3">
        <v>94.029166666666669</v>
      </c>
      <c r="W99">
        <v>94.05</v>
      </c>
      <c r="X99" s="7">
        <f t="shared" si="54"/>
        <v>104.07290773565181</v>
      </c>
      <c r="Y99" s="6">
        <v>109.49585833333333</v>
      </c>
      <c r="Z99" s="7">
        <f t="shared" si="49"/>
        <v>109.49585833333333</v>
      </c>
      <c r="AA99" s="7">
        <v>120.13347288494178</v>
      </c>
      <c r="AB99" s="3">
        <v>114.375</v>
      </c>
      <c r="AC99" s="3"/>
      <c r="AF99" s="13" t="s">
        <v>138</v>
      </c>
      <c r="AG99" s="13">
        <v>20.380835289333952</v>
      </c>
      <c r="AH99" s="25"/>
      <c r="AI99" s="13">
        <v>21.63</v>
      </c>
      <c r="AJ99">
        <v>18.399999999999999</v>
      </c>
      <c r="AK99">
        <f t="shared" si="51"/>
        <v>40.03</v>
      </c>
      <c r="AL99" s="3">
        <f t="shared" si="52"/>
        <v>10.575119541383774</v>
      </c>
      <c r="AM99">
        <v>13.4</v>
      </c>
      <c r="AN99" s="3">
        <f t="shared" si="53"/>
        <v>4.8612945838837511</v>
      </c>
      <c r="AO99" s="3"/>
      <c r="AP99">
        <v>2012</v>
      </c>
      <c r="AQ99" s="32">
        <f t="shared" si="43"/>
        <v>95.783333333333331</v>
      </c>
      <c r="AR99" s="32">
        <f t="shared" si="44"/>
        <v>10.575119541383774</v>
      </c>
      <c r="AS99" s="32">
        <f t="shared" si="30"/>
        <v>85.208213791949561</v>
      </c>
      <c r="AU99" s="7">
        <f>CPIs!AB51</f>
        <v>105.21072267093371</v>
      </c>
      <c r="AW99" s="32">
        <f t="shared" si="45"/>
        <v>91.039516602232354</v>
      </c>
      <c r="AX99" s="32">
        <f t="shared" ref="AX99:AX105" si="56">BA99+AY99</f>
        <v>87.859626927819747</v>
      </c>
      <c r="AY99" s="2">
        <f t="shared" si="46"/>
        <v>10.051370500000695</v>
      </c>
      <c r="AZ99" s="2">
        <f t="shared" ref="AZ99:AZ103" si="57">AW99-AY99</f>
        <v>80.988146102231653</v>
      </c>
      <c r="BA99" s="2">
        <f t="shared" si="47"/>
        <v>77.808256427819046</v>
      </c>
      <c r="BB99" s="3">
        <f t="shared" si="32"/>
        <v>89.392029265076943</v>
      </c>
      <c r="BC99">
        <v>0</v>
      </c>
      <c r="BD99">
        <v>0</v>
      </c>
      <c r="BE99">
        <v>0</v>
      </c>
      <c r="BG99">
        <v>2012</v>
      </c>
      <c r="BH99" s="32">
        <f t="shared" si="33"/>
        <v>362.57918783333332</v>
      </c>
      <c r="BI99" s="32">
        <f t="shared" si="34"/>
        <v>40.031163263149551</v>
      </c>
      <c r="BJ99" s="32">
        <f t="shared" si="35"/>
        <v>322.54802457018383</v>
      </c>
      <c r="BK99" s="12"/>
      <c r="BL99" s="7">
        <f t="shared" si="20"/>
        <v>105.21072267093371</v>
      </c>
      <c r="BM99" s="12"/>
      <c r="BN99" s="32">
        <f t="shared" ref="BN99:BN103" si="58">BH99/$AU99*100</f>
        <v>344.62189654125638</v>
      </c>
      <c r="BO99" s="32">
        <f t="shared" ref="BO99:BO104" si="59">BR99+BP99</f>
        <v>332.5847103688381</v>
      </c>
      <c r="BP99" s="2">
        <f t="shared" ref="BP99:BP105" si="60">BI99/$AU99*100</f>
        <v>38.048558404407629</v>
      </c>
      <c r="BQ99" s="2">
        <f t="shared" ref="BQ99:BQ103" si="61">BN99-BP99</f>
        <v>306.57333813684875</v>
      </c>
      <c r="BR99" s="2">
        <f t="shared" si="48"/>
        <v>294.53615196443047</v>
      </c>
      <c r="BS99" s="3">
        <f t="shared" si="25"/>
        <v>89.392029265076943</v>
      </c>
      <c r="BT99">
        <v>0</v>
      </c>
      <c r="BU99">
        <v>0</v>
      </c>
      <c r="BV99">
        <v>0</v>
      </c>
      <c r="BX99" s="32">
        <f t="shared" si="26"/>
        <v>397.80406029256926</v>
      </c>
      <c r="BY99" s="32">
        <f t="shared" si="27"/>
        <v>383.90929161436281</v>
      </c>
      <c r="BZ99" s="3">
        <f t="shared" si="28"/>
        <v>105.08876457043472</v>
      </c>
    </row>
    <row r="100" spans="1:78" ht="15.75" thickBot="1">
      <c r="A100">
        <v>2013</v>
      </c>
      <c r="B100" s="3">
        <v>2.2531509999999999</v>
      </c>
      <c r="J100" s="3">
        <f t="shared" si="55"/>
        <v>86.810701220507184</v>
      </c>
      <c r="K100" s="3">
        <f>CPIs!AB52</f>
        <v>106.69767516878358</v>
      </c>
      <c r="L100" s="3"/>
      <c r="M100" s="3">
        <f>'Country petrol prices nominal'!AD72*100</f>
        <v>92.624999999999986</v>
      </c>
      <c r="O100" s="7">
        <f t="shared" si="50"/>
        <v>10.645919742160464</v>
      </c>
      <c r="P100" s="3"/>
      <c r="V100" s="3">
        <v>97.573333333333338</v>
      </c>
      <c r="W100">
        <v>97.98</v>
      </c>
      <c r="X100" s="7">
        <f t="shared" si="54"/>
        <v>99.286371359470479</v>
      </c>
      <c r="Y100" s="6">
        <v>105.93624999999999</v>
      </c>
      <c r="Z100" s="7">
        <f t="shared" si="49"/>
        <v>105.93624999999999</v>
      </c>
      <c r="AA100" s="7">
        <v>114.6082766501893</v>
      </c>
      <c r="AB100" s="3">
        <v>113.73995308663781</v>
      </c>
      <c r="AC100" s="3"/>
      <c r="AF100" s="14" t="s">
        <v>140</v>
      </c>
      <c r="AG100" s="14">
        <v>3.3476271878527206</v>
      </c>
      <c r="AI100" s="13">
        <v>21.898</v>
      </c>
      <c r="AJ100">
        <v>18.399999999999999</v>
      </c>
      <c r="AK100">
        <f t="shared" si="51"/>
        <v>40.298000000000002</v>
      </c>
      <c r="AL100" s="3">
        <f t="shared" si="52"/>
        <v>10.645919742160464</v>
      </c>
      <c r="AM100">
        <v>13.4</v>
      </c>
      <c r="AN100" s="3">
        <f t="shared" si="53"/>
        <v>4.8612945838837511</v>
      </c>
      <c r="AO100"/>
      <c r="AP100">
        <v>2013</v>
      </c>
      <c r="AQ100" s="32">
        <f t="shared" si="43"/>
        <v>92.624999999999986</v>
      </c>
      <c r="AR100" s="32">
        <f t="shared" si="44"/>
        <v>10.645919742160464</v>
      </c>
      <c r="AS100" s="32">
        <f t="shared" si="30"/>
        <v>81.979080257839527</v>
      </c>
      <c r="AU100" s="7">
        <f>CPIs!AB52</f>
        <v>106.69767516878358</v>
      </c>
      <c r="AW100" s="32">
        <f t="shared" si="45"/>
        <v>86.810701220507184</v>
      </c>
      <c r="AX100" s="32">
        <f t="shared" si="56"/>
        <v>89.614794462112457</v>
      </c>
      <c r="AY100" s="2">
        <f t="shared" si="46"/>
        <v>9.977649208682223</v>
      </c>
      <c r="AZ100" s="2">
        <f t="shared" si="57"/>
        <v>76.833052011824961</v>
      </c>
      <c r="BA100" s="2">
        <f t="shared" si="47"/>
        <v>79.637145253430234</v>
      </c>
      <c r="BB100" s="3">
        <f>W100/AU100*100</f>
        <v>91.82955471617052</v>
      </c>
      <c r="BC100">
        <v>0</v>
      </c>
      <c r="BD100">
        <v>0</v>
      </c>
      <c r="BE100">
        <v>0</v>
      </c>
      <c r="BG100">
        <v>2013</v>
      </c>
      <c r="BH100" s="32">
        <f t="shared" si="33"/>
        <v>350.62360124999998</v>
      </c>
      <c r="BI100" s="32">
        <f t="shared" si="34"/>
        <v>40.299171051171641</v>
      </c>
      <c r="BJ100" s="32">
        <f t="shared" si="35"/>
        <v>310.32443019882834</v>
      </c>
      <c r="BK100" s="12"/>
      <c r="BL100" s="7">
        <f t="shared" si="20"/>
        <v>106.69767516878358</v>
      </c>
      <c r="BM100" s="12"/>
      <c r="BN100" s="32">
        <f t="shared" si="58"/>
        <v>328.61409650712005</v>
      </c>
      <c r="BO100" s="32">
        <f t="shared" si="59"/>
        <v>339.22873910482508</v>
      </c>
      <c r="BP100" s="2">
        <f t="shared" si="60"/>
        <v>37.769493091037774</v>
      </c>
      <c r="BQ100" s="2">
        <f t="shared" si="61"/>
        <v>290.84460341608229</v>
      </c>
      <c r="BR100" s="2">
        <f t="shared" si="48"/>
        <v>301.45924601378732</v>
      </c>
      <c r="BS100" s="3">
        <f t="shared" si="25"/>
        <v>91.82955471617052</v>
      </c>
      <c r="BT100">
        <v>0</v>
      </c>
      <c r="BU100">
        <v>0</v>
      </c>
      <c r="BV100">
        <v>0</v>
      </c>
      <c r="BX100" s="32">
        <f t="shared" si="26"/>
        <v>379.32593132327844</v>
      </c>
      <c r="BY100" s="32">
        <f t="shared" si="27"/>
        <v>391.57862903720911</v>
      </c>
      <c r="BZ100" s="3">
        <f t="shared" si="28"/>
        <v>100.20735701635449</v>
      </c>
    </row>
    <row r="101" spans="1:78">
      <c r="A101">
        <v>2014</v>
      </c>
      <c r="J101" s="3">
        <f t="shared" si="55"/>
        <v>81.921028759039473</v>
      </c>
      <c r="K101" s="3">
        <f>CPIs!AB53</f>
        <v>108.45811062912946</v>
      </c>
      <c r="L101" s="3"/>
      <c r="M101" s="3">
        <f>'Country petrol prices nominal'!AD73*100</f>
        <v>88.85</v>
      </c>
      <c r="O101" s="7">
        <f t="shared" si="50"/>
        <v>10.821599344833961</v>
      </c>
      <c r="P101" s="3"/>
      <c r="V101" s="3">
        <v>91.56</v>
      </c>
      <c r="W101">
        <v>93.17</v>
      </c>
      <c r="X101" s="7">
        <f t="shared" si="54"/>
        <v>88.687750298592292</v>
      </c>
      <c r="Y101" s="6">
        <v>96.189058333333321</v>
      </c>
      <c r="Z101" s="7">
        <f t="shared" si="49"/>
        <v>96.189058333333321</v>
      </c>
      <c r="AA101" s="7">
        <v>102.37407292188689</v>
      </c>
      <c r="AB101" s="3">
        <v>106.4385730593545</v>
      </c>
      <c r="AC101" s="3"/>
      <c r="AI101">
        <v>22.562999999999999</v>
      </c>
      <c r="AJ101">
        <v>18.399999999999999</v>
      </c>
      <c r="AK101">
        <f t="shared" si="51"/>
        <v>40.962999999999994</v>
      </c>
      <c r="AL101" s="3">
        <f t="shared" si="52"/>
        <v>10.821599344833961</v>
      </c>
      <c r="AM101">
        <v>13.4</v>
      </c>
      <c r="AN101" s="3">
        <f t="shared" si="53"/>
        <v>4.8612945838837511</v>
      </c>
      <c r="AO101"/>
      <c r="AP101">
        <v>2014</v>
      </c>
      <c r="AQ101" s="32">
        <f t="shared" si="43"/>
        <v>88.85</v>
      </c>
      <c r="AR101" s="32">
        <f t="shared" si="44"/>
        <v>10.821599344833961</v>
      </c>
      <c r="AS101" s="32">
        <f t="shared" si="30"/>
        <v>78.028400655166038</v>
      </c>
      <c r="AU101" s="7">
        <f>CPIs!AB53</f>
        <v>108.45811062912946</v>
      </c>
      <c r="AW101" s="32">
        <f t="shared" si="45"/>
        <v>81.921028759039473</v>
      </c>
      <c r="AX101" s="32">
        <f t="shared" si="56"/>
        <v>85.168945279565136</v>
      </c>
      <c r="AY101" s="2">
        <f t="shared" si="46"/>
        <v>9.9776764338429462</v>
      </c>
      <c r="AZ101" s="2">
        <f t="shared" si="57"/>
        <v>71.943352325196528</v>
      </c>
      <c r="BA101" s="2">
        <f t="shared" si="47"/>
        <v>75.191268845722192</v>
      </c>
      <c r="BB101" s="3">
        <f t="shared" si="32"/>
        <v>85.904133364993911</v>
      </c>
      <c r="BC101">
        <v>0</v>
      </c>
      <c r="BD101">
        <v>0</v>
      </c>
      <c r="BE101">
        <v>0</v>
      </c>
      <c r="BG101">
        <v>2014</v>
      </c>
      <c r="BH101" s="32">
        <f t="shared" si="33"/>
        <v>336.33367850000002</v>
      </c>
      <c r="BI101" s="32">
        <f t="shared" si="34"/>
        <v>40.964190375927927</v>
      </c>
      <c r="BJ101" s="32">
        <f t="shared" si="35"/>
        <v>295.36948812407206</v>
      </c>
      <c r="BK101" s="12"/>
      <c r="BL101" s="7">
        <f t="shared" si="20"/>
        <v>108.45811062912946</v>
      </c>
      <c r="BM101" s="12"/>
      <c r="BN101" s="32">
        <f t="shared" si="58"/>
        <v>310.10468147475564</v>
      </c>
      <c r="BO101" s="32">
        <f t="shared" si="59"/>
        <v>322.39937715071864</v>
      </c>
      <c r="BP101" s="2">
        <f t="shared" si="60"/>
        <v>37.769596149433426</v>
      </c>
      <c r="BQ101" s="2">
        <f t="shared" si="61"/>
        <v>272.33508532532221</v>
      </c>
      <c r="BR101" s="2">
        <f t="shared" si="48"/>
        <v>284.62978100128521</v>
      </c>
      <c r="BS101" s="3">
        <f t="shared" si="25"/>
        <v>85.904133364993911</v>
      </c>
      <c r="BT101">
        <v>0</v>
      </c>
      <c r="BU101">
        <v>0</v>
      </c>
      <c r="BV101">
        <v>0</v>
      </c>
      <c r="BX101" s="32">
        <f t="shared" si="26"/>
        <v>357.96013731130847</v>
      </c>
      <c r="BY101" s="32">
        <f t="shared" si="27"/>
        <v>372.15215444384165</v>
      </c>
      <c r="BZ101" s="3">
        <f t="shared" si="28"/>
        <v>94.563108701913009</v>
      </c>
    </row>
    <row r="102" spans="1:78">
      <c r="A102">
        <v>2015</v>
      </c>
      <c r="J102" s="3">
        <f t="shared" si="55"/>
        <v>58.865901872916346</v>
      </c>
      <c r="K102" s="3">
        <f>CPIs!AB54</f>
        <v>108.69337137051741</v>
      </c>
      <c r="L102" s="3"/>
      <c r="M102" s="3">
        <f>'Country petrol prices nominal'!AD74*100</f>
        <v>63.983333333333334</v>
      </c>
      <c r="O102" s="7">
        <f>AL102</f>
        <v>11.476501202018335</v>
      </c>
      <c r="P102" s="3"/>
      <c r="S102" t="s">
        <v>174</v>
      </c>
      <c r="V102" s="3">
        <v>49.185833333333328</v>
      </c>
      <c r="W102">
        <v>48.66</v>
      </c>
      <c r="X102" s="7">
        <f t="shared" si="54"/>
        <v>45.556296925601828</v>
      </c>
      <c r="Y102" s="6">
        <v>49.516674999999999</v>
      </c>
      <c r="Z102" s="7">
        <f t="shared" si="49"/>
        <v>49.516674999999999</v>
      </c>
      <c r="AA102" s="7">
        <v>52.586559562180234</v>
      </c>
      <c r="AB102" s="3">
        <v>67.676211458872089</v>
      </c>
      <c r="AC102" s="3"/>
      <c r="AI102">
        <v>25.042000000000002</v>
      </c>
      <c r="AJ102">
        <v>18.399999999999999</v>
      </c>
      <c r="AK102">
        <f t="shared" si="51"/>
        <v>43.442</v>
      </c>
      <c r="AL102" s="3">
        <f t="shared" si="52"/>
        <v>11.476501202018335</v>
      </c>
      <c r="AM102">
        <v>13.4</v>
      </c>
      <c r="AN102" s="3">
        <f t="shared" si="53"/>
        <v>4.8612945838837511</v>
      </c>
      <c r="AO102"/>
      <c r="AP102">
        <v>2015</v>
      </c>
      <c r="AQ102" s="32">
        <f t="shared" si="43"/>
        <v>63.983333333333334</v>
      </c>
      <c r="AR102" s="32">
        <f t="shared" si="44"/>
        <v>11.476501202018335</v>
      </c>
      <c r="AS102" s="32">
        <f t="shared" si="30"/>
        <v>52.506832131315001</v>
      </c>
      <c r="AU102" s="7">
        <f>CPIs!AB54</f>
        <v>108.69337137051741</v>
      </c>
      <c r="AW102" s="32">
        <f t="shared" si="45"/>
        <v>58.865901872916346</v>
      </c>
      <c r="AX102" s="32">
        <f t="shared" si="56"/>
        <v>54.885307741060629</v>
      </c>
      <c r="AY102" s="2">
        <f t="shared" si="46"/>
        <v>10.558602661147454</v>
      </c>
      <c r="AZ102" s="2">
        <f t="shared" si="57"/>
        <v>48.307299211768893</v>
      </c>
      <c r="BA102" s="2">
        <f t="shared" si="47"/>
        <v>44.326705079913175</v>
      </c>
      <c r="BB102" s="3">
        <f t="shared" si="32"/>
        <v>44.76813938738384</v>
      </c>
      <c r="BC102">
        <v>0</v>
      </c>
      <c r="BD102">
        <v>0</v>
      </c>
      <c r="BE102">
        <v>0</v>
      </c>
      <c r="BG102">
        <v>2015</v>
      </c>
      <c r="BH102" s="32">
        <f t="shared" si="33"/>
        <v>242.20314983333336</v>
      </c>
      <c r="BI102" s="32">
        <f t="shared" si="34"/>
        <v>43.443262415132232</v>
      </c>
      <c r="BJ102" s="32">
        <f t="shared" si="35"/>
        <v>198.75988741820112</v>
      </c>
      <c r="BK102" s="12"/>
      <c r="BL102" s="7">
        <f t="shared" si="20"/>
        <v>108.69337137051741</v>
      </c>
      <c r="BM102" s="12"/>
      <c r="BN102" s="32">
        <f t="shared" si="58"/>
        <v>222.83157360875632</v>
      </c>
      <c r="BO102" s="32">
        <f t="shared" si="59"/>
        <v>207.76339277608832</v>
      </c>
      <c r="BP102" s="2">
        <f t="shared" si="60"/>
        <v>39.968640099534184</v>
      </c>
      <c r="BQ102" s="2">
        <f t="shared" si="61"/>
        <v>182.86293350922213</v>
      </c>
      <c r="BR102" s="2">
        <f t="shared" si="48"/>
        <v>167.79475267655414</v>
      </c>
      <c r="BS102" s="3">
        <f t="shared" si="25"/>
        <v>44.76813938738384</v>
      </c>
      <c r="BT102">
        <v>0</v>
      </c>
      <c r="BU102">
        <v>0</v>
      </c>
      <c r="BV102">
        <v>0</v>
      </c>
      <c r="BX102" s="32">
        <f t="shared" si="26"/>
        <v>257.21901490474175</v>
      </c>
      <c r="BY102" s="32">
        <f t="shared" si="27"/>
        <v>239.82550747930628</v>
      </c>
      <c r="BZ102" s="3">
        <f t="shared" si="28"/>
        <v>67.950107096653113</v>
      </c>
    </row>
    <row r="103" spans="1:78">
      <c r="A103">
        <v>2016</v>
      </c>
      <c r="J103" s="3">
        <f t="shared" si="55"/>
        <v>52.286523771660455</v>
      </c>
      <c r="K103" s="3">
        <f>CPIs!AB55</f>
        <v>110.08253978538585</v>
      </c>
      <c r="L103" s="3"/>
      <c r="M103" s="3">
        <f>'Country petrol prices nominal'!AD75*100</f>
        <v>57.558333333333344</v>
      </c>
      <c r="O103" s="7">
        <f t="shared" si="50"/>
        <v>11.481784799091223</v>
      </c>
      <c r="P103" s="3"/>
      <c r="V103" s="3">
        <v>43.086666666666673</v>
      </c>
      <c r="W103">
        <v>43.29</v>
      </c>
      <c r="X103" s="7">
        <f t="shared" si="54"/>
        <v>36.957692605914716</v>
      </c>
      <c r="Y103" s="6">
        <v>40.68396666666667</v>
      </c>
      <c r="Z103" s="7">
        <f t="shared" si="49"/>
        <v>40.68396666666667</v>
      </c>
      <c r="AA103" s="7">
        <v>42.66101581249206</v>
      </c>
      <c r="AB103" s="3">
        <v>57.427116730602677</v>
      </c>
      <c r="AC103" s="3"/>
      <c r="AI103">
        <v>25.062000000000001</v>
      </c>
      <c r="AJ103">
        <v>18.399999999999999</v>
      </c>
      <c r="AK103">
        <f t="shared" si="51"/>
        <v>43.462000000000003</v>
      </c>
      <c r="AL103" s="3">
        <f t="shared" si="52"/>
        <v>11.481784799091223</v>
      </c>
      <c r="AM103">
        <v>13.4</v>
      </c>
      <c r="AN103" s="3">
        <f t="shared" si="53"/>
        <v>4.8612945838837511</v>
      </c>
      <c r="AO103"/>
      <c r="AP103">
        <v>2016</v>
      </c>
      <c r="AQ103" s="32">
        <f t="shared" si="43"/>
        <v>57.558333333333344</v>
      </c>
      <c r="AR103" s="32">
        <f>O103</f>
        <v>11.481784799091223</v>
      </c>
      <c r="AS103" s="32">
        <f t="shared" si="30"/>
        <v>46.076548534242121</v>
      </c>
      <c r="AU103" s="7">
        <f>CPIs!AB55</f>
        <v>110.08253978538585</v>
      </c>
      <c r="AW103" s="32">
        <f t="shared" si="45"/>
        <v>52.286523771660455</v>
      </c>
      <c r="AX103" s="32">
        <f t="shared" si="56"/>
        <v>50.672875386718552</v>
      </c>
      <c r="AY103" s="2">
        <f t="shared" si="46"/>
        <v>10.430159788714741</v>
      </c>
      <c r="AZ103" s="2">
        <f t="shared" si="57"/>
        <v>41.856363982945716</v>
      </c>
      <c r="BA103" s="2">
        <f t="shared" si="47"/>
        <v>40.242715598003812</v>
      </c>
      <c r="BB103" s="3">
        <f t="shared" si="32"/>
        <v>39.325037453166594</v>
      </c>
      <c r="BC103">
        <v>0</v>
      </c>
      <c r="BD103">
        <v>0</v>
      </c>
      <c r="BE103">
        <v>0</v>
      </c>
      <c r="BG103">
        <v>2016</v>
      </c>
      <c r="BH103" s="32">
        <f t="shared" si="33"/>
        <v>217.88189058333339</v>
      </c>
      <c r="BI103" s="32">
        <f t="shared" si="34"/>
        <v>43.463262996327906</v>
      </c>
      <c r="BJ103" s="32">
        <f t="shared" si="35"/>
        <v>174.41862758700549</v>
      </c>
      <c r="BK103" s="12"/>
      <c r="BL103" s="7">
        <f t="shared" si="20"/>
        <v>110.08253978538585</v>
      </c>
      <c r="BM103" s="12"/>
      <c r="BN103" s="32">
        <f t="shared" si="58"/>
        <v>197.92592995048119</v>
      </c>
      <c r="BO103" s="32">
        <f t="shared" si="59"/>
        <v>191.81760921763828</v>
      </c>
      <c r="BP103" s="2">
        <f t="shared" si="60"/>
        <v>39.482431165798673</v>
      </c>
      <c r="BQ103" s="2">
        <f t="shared" si="61"/>
        <v>158.4434987846825</v>
      </c>
      <c r="BR103" s="2">
        <f t="shared" si="48"/>
        <v>152.33517805183959</v>
      </c>
      <c r="BS103" s="3">
        <f t="shared" si="25"/>
        <v>39.325037453166594</v>
      </c>
      <c r="BT103">
        <v>0</v>
      </c>
      <c r="BU103">
        <v>0</v>
      </c>
      <c r="BV103">
        <v>0</v>
      </c>
      <c r="BX103" s="32">
        <f t="shared" si="26"/>
        <v>228.46992417400915</v>
      </c>
      <c r="BY103" s="32">
        <f t="shared" si="27"/>
        <v>221.41896538850636</v>
      </c>
      <c r="BZ103" s="3">
        <f t="shared" si="28"/>
        <v>60.355397215627676</v>
      </c>
    </row>
    <row r="104" spans="1:78">
      <c r="A104">
        <v>2017</v>
      </c>
      <c r="J104" s="3">
        <f>M104/K104*100</f>
        <v>56.807081437851757</v>
      </c>
      <c r="K104" s="3">
        <f>CPIs!AB56</f>
        <v>112.42729788281457</v>
      </c>
      <c r="L104" s="3"/>
      <c r="M104" s="3">
        <f>'Country petrol prices nominal'!AD76*100</f>
        <v>63.86666666666666</v>
      </c>
      <c r="O104" s="7">
        <f t="shared" si="50"/>
        <v>11.696695110030909</v>
      </c>
      <c r="P104" s="3"/>
      <c r="V104" s="3">
        <v>50.885000000000005</v>
      </c>
      <c r="W104">
        <v>50.8</v>
      </c>
      <c r="X104" s="7">
        <f t="shared" si="54"/>
        <v>46.705738720797434</v>
      </c>
      <c r="Y104" s="6">
        <v>52.51</v>
      </c>
      <c r="Z104" s="7">
        <f t="shared" si="49"/>
        <v>52.51</v>
      </c>
      <c r="AA104" s="7">
        <v>53.913383591030232</v>
      </c>
      <c r="AB104" s="3">
        <v>69.000808761812394</v>
      </c>
      <c r="AI104">
        <v>28</v>
      </c>
      <c r="AJ104" s="4">
        <f>AN104*3.785</f>
        <v>16.275500000000001</v>
      </c>
      <c r="AK104">
        <f>AI104+AJ104</f>
        <v>44.275500000000001</v>
      </c>
      <c r="AL104" s="3">
        <f>AK104/3.7853</f>
        <v>11.696695110030909</v>
      </c>
      <c r="AM104">
        <v>13.4</v>
      </c>
      <c r="AN104" s="3">
        <v>4.3</v>
      </c>
      <c r="AO104"/>
      <c r="AP104">
        <v>2017</v>
      </c>
      <c r="AQ104" s="32">
        <f>M104</f>
        <v>63.86666666666666</v>
      </c>
      <c r="AR104" s="32">
        <f t="shared" si="44"/>
        <v>11.696695110030909</v>
      </c>
      <c r="AS104" s="32">
        <f t="shared" si="30"/>
        <v>52.169971556635751</v>
      </c>
      <c r="AU104" s="7">
        <f>CPIs!AB56</f>
        <v>112.42729788281457</v>
      </c>
      <c r="AW104" s="32">
        <f>AQ104/$AU104*100</f>
        <v>56.807081437851757</v>
      </c>
      <c r="AX104" s="32">
        <f t="shared" si="56"/>
        <v>55.043080350936997</v>
      </c>
      <c r="AY104" s="2">
        <f t="shared" si="46"/>
        <v>10.403785673318085</v>
      </c>
      <c r="AZ104" s="2">
        <f>AW104-AY104</f>
        <v>46.403295764533674</v>
      </c>
      <c r="BA104" s="2">
        <f t="shared" si="47"/>
        <v>44.639294677618913</v>
      </c>
      <c r="BB104" s="3">
        <f t="shared" si="32"/>
        <v>45.18475579920986</v>
      </c>
      <c r="BC104">
        <v>0</v>
      </c>
      <c r="BD104">
        <v>0</v>
      </c>
      <c r="BE104">
        <v>0</v>
      </c>
      <c r="BG104">
        <v>2017</v>
      </c>
      <c r="BH104" s="32">
        <f t="shared" si="33"/>
        <v>241.76151866666666</v>
      </c>
      <c r="BI104" s="32">
        <f t="shared" si="34"/>
        <v>44.276786636462106</v>
      </c>
      <c r="BJ104" s="32">
        <f t="shared" si="35"/>
        <v>197.48473203020455</v>
      </c>
      <c r="BK104" s="12"/>
      <c r="BL104" s="7">
        <f t="shared" si="20"/>
        <v>112.42729788281457</v>
      </c>
      <c r="BM104" s="12"/>
      <c r="BN104" s="32">
        <f>BH104/$AU104*100</f>
        <v>215.03809414565845</v>
      </c>
      <c r="BO104" s="32">
        <f t="shared" si="59"/>
        <v>208.36062679124041</v>
      </c>
      <c r="BP104" s="2">
        <f t="shared" si="60"/>
        <v>39.382594325635012</v>
      </c>
      <c r="BQ104" s="2">
        <f>BN104-BP104</f>
        <v>175.65549982002344</v>
      </c>
      <c r="BR104" s="2">
        <f t="shared" si="48"/>
        <v>168.97803246560539</v>
      </c>
      <c r="BS104" s="3">
        <f t="shared" si="25"/>
        <v>45.18475579920986</v>
      </c>
      <c r="BT104">
        <v>0</v>
      </c>
      <c r="BU104">
        <v>0</v>
      </c>
      <c r="BV104">
        <v>0</v>
      </c>
      <c r="BX104" s="32">
        <f t="shared" si="26"/>
        <v>248.22284314275407</v>
      </c>
      <c r="BY104" s="32">
        <f t="shared" si="27"/>
        <v>240.5149068429474</v>
      </c>
      <c r="BZ104" s="3">
        <f t="shared" si="28"/>
        <v>65.573568818900469</v>
      </c>
    </row>
    <row r="105" spans="1:78">
      <c r="A105">
        <v>2018</v>
      </c>
      <c r="J105" s="3">
        <f>M105/K105*100</f>
        <v>62.374367251861727</v>
      </c>
      <c r="K105" s="3">
        <f>CPIs!AB57</f>
        <v>115.43203269585229</v>
      </c>
      <c r="L105" s="3"/>
      <c r="M105" s="3">
        <f>AQ187*100</f>
        <v>72.000000000000014</v>
      </c>
      <c r="O105" s="7">
        <f t="shared" si="50"/>
        <v>11.696695110030909</v>
      </c>
      <c r="V105" s="3">
        <f>W127</f>
        <v>65.375184523809523</v>
      </c>
      <c r="W105" s="7">
        <f>V105</f>
        <v>65.375184523809523</v>
      </c>
      <c r="X105" s="7">
        <f>Y105/AU105*100</f>
        <v>60.818458312139953</v>
      </c>
      <c r="Y105" s="6">
        <f>V127</f>
        <v>70.203982683982687</v>
      </c>
      <c r="Z105" s="7">
        <f t="shared" si="49"/>
        <v>70.203982683982687</v>
      </c>
      <c r="AA105" s="7">
        <v>70.203982683982687</v>
      </c>
      <c r="AB105">
        <f>X127</f>
        <v>72.254053325073102</v>
      </c>
      <c r="AI105">
        <f>AI104</f>
        <v>28</v>
      </c>
      <c r="AJ105" s="4">
        <f t="shared" ref="AJ105:AK105" si="62">AJ104</f>
        <v>16.275500000000001</v>
      </c>
      <c r="AK105">
        <f t="shared" si="62"/>
        <v>44.275500000000001</v>
      </c>
      <c r="AL105" s="3">
        <f>AK105/3.7853</f>
        <v>11.696695110030909</v>
      </c>
      <c r="AN105" s="3">
        <v>4.3</v>
      </c>
      <c r="AO105"/>
      <c r="AP105">
        <v>2018</v>
      </c>
      <c r="AQ105" s="7">
        <f>AP187</f>
        <v>72</v>
      </c>
      <c r="AR105" s="32">
        <f t="shared" si="44"/>
        <v>11.696695110030909</v>
      </c>
      <c r="AS105" s="32">
        <f t="shared" si="30"/>
        <v>60.303304889969091</v>
      </c>
      <c r="AU105" s="7">
        <f>CPIs!AB57</f>
        <v>115.43203269585229</v>
      </c>
      <c r="AW105" s="32">
        <f t="shared" si="45"/>
        <v>62.37436725186172</v>
      </c>
      <c r="AX105" s="32">
        <f t="shared" si="56"/>
        <v>63.363612162655343</v>
      </c>
      <c r="AY105" s="2">
        <f t="shared" si="46"/>
        <v>10.132971617029487</v>
      </c>
      <c r="AZ105" s="2">
        <f>AW105-AY105</f>
        <v>52.24139563483223</v>
      </c>
      <c r="BA105" s="2">
        <f t="shared" si="47"/>
        <v>53.230640545625853</v>
      </c>
      <c r="BB105" s="3">
        <f>W105/AU105*100</f>
        <v>56.635219008976691</v>
      </c>
      <c r="BC105">
        <v>0</v>
      </c>
      <c r="BD105">
        <v>0</v>
      </c>
      <c r="BE105">
        <v>0</v>
      </c>
      <c r="BG105">
        <v>2018</v>
      </c>
      <c r="BH105" s="32">
        <f>AQ105*3.78541</f>
        <v>272.54952000000003</v>
      </c>
      <c r="BI105" s="32">
        <f t="shared" si="34"/>
        <v>44.276786636462106</v>
      </c>
      <c r="BJ105" s="32">
        <f t="shared" si="35"/>
        <v>228.2727333635379</v>
      </c>
      <c r="BK105" s="12"/>
      <c r="BL105" s="7">
        <f>AU105</f>
        <v>115.43203269585229</v>
      </c>
      <c r="BM105" s="12"/>
      <c r="BN105" s="32">
        <f>BH105/$AU105*100</f>
        <v>236.11255353886992</v>
      </c>
      <c r="BO105" s="32">
        <f>BR105+BP105</f>
        <v>239.85725111663714</v>
      </c>
      <c r="BP105" s="2">
        <f t="shared" si="60"/>
        <v>38.357452088819592</v>
      </c>
      <c r="BQ105" s="2">
        <f>BN105-BP105</f>
        <v>197.75510145005032</v>
      </c>
      <c r="BR105" s="2">
        <f t="shared" si="48"/>
        <v>201.49979902781755</v>
      </c>
      <c r="BS105" s="3">
        <f>BB105</f>
        <v>56.635219008976691</v>
      </c>
      <c r="BT105">
        <v>0</v>
      </c>
      <c r="BU105">
        <v>0</v>
      </c>
      <c r="BV105">
        <v>0</v>
      </c>
      <c r="BX105" s="32">
        <f>BN105*$BL$105/$BL$97</f>
        <v>272.54952000000003</v>
      </c>
      <c r="BY105" s="32">
        <f>BO105*$BL$105/$BL$97</f>
        <v>276.87210053232911</v>
      </c>
      <c r="BZ105" s="3">
        <f>AW105*$AU$105/$AU$97</f>
        <v>72</v>
      </c>
    </row>
    <row r="106" spans="1:78">
      <c r="A106">
        <v>2019</v>
      </c>
      <c r="W106" s="44">
        <f>W125</f>
        <v>50</v>
      </c>
      <c r="X106" s="12"/>
      <c r="Y106" s="7">
        <f>V125</f>
        <v>60</v>
      </c>
      <c r="Z106" s="7">
        <f>Y106</f>
        <v>60</v>
      </c>
      <c r="AA106" s="12"/>
      <c r="AB106" s="3">
        <f>X125</f>
        <v>61.185497043734323</v>
      </c>
      <c r="AN106"/>
      <c r="AO106"/>
      <c r="AP106">
        <v>2019</v>
      </c>
      <c r="AQ106" s="32"/>
      <c r="AR106" s="32"/>
      <c r="AS106" s="32"/>
      <c r="AU106" s="7">
        <f>AU105</f>
        <v>115.43203269585229</v>
      </c>
      <c r="AY106"/>
      <c r="BB106" s="9"/>
      <c r="BG106">
        <v>2019</v>
      </c>
      <c r="BL106" s="3">
        <f>BL105</f>
        <v>115.43203269585229</v>
      </c>
    </row>
    <row r="107" spans="1:78">
      <c r="A107">
        <v>2020</v>
      </c>
      <c r="W107" s="12"/>
      <c r="X107" s="12"/>
      <c r="AN107"/>
      <c r="AO107"/>
      <c r="AP107">
        <v>2020</v>
      </c>
      <c r="AQ107" s="32"/>
      <c r="AR107" s="32"/>
      <c r="AS107" s="32"/>
      <c r="AU107" s="7">
        <f t="shared" ref="AU107:AU127" si="63">AU106</f>
        <v>115.43203269585229</v>
      </c>
      <c r="AW107" s="13" t="s">
        <v>88</v>
      </c>
      <c r="AX107" s="13">
        <v>10.736922527178271</v>
      </c>
      <c r="AY107"/>
      <c r="BB107" s="9"/>
      <c r="BG107">
        <v>2020</v>
      </c>
      <c r="BH107" s="32"/>
      <c r="BL107" s="3">
        <f t="shared" ref="BL107:BL117" si="64">BL106</f>
        <v>115.43203269585229</v>
      </c>
      <c r="BN107" s="13" t="s">
        <v>88</v>
      </c>
      <c r="BO107" s="13">
        <v>40.643653903605923</v>
      </c>
    </row>
    <row r="108" spans="1:78">
      <c r="A108">
        <v>2021</v>
      </c>
      <c r="W108" s="12"/>
      <c r="X108" s="12"/>
      <c r="AN108"/>
      <c r="AO108"/>
      <c r="AP108">
        <v>2021</v>
      </c>
      <c r="AQ108" s="32"/>
      <c r="AR108" s="32"/>
      <c r="AS108" s="32"/>
      <c r="AU108" s="7">
        <f t="shared" si="63"/>
        <v>115.43203269585229</v>
      </c>
      <c r="AW108" s="13" t="s">
        <v>229</v>
      </c>
      <c r="AX108" s="13">
        <v>0.75030553005740686</v>
      </c>
      <c r="AY108"/>
      <c r="BB108" s="9"/>
      <c r="BG108">
        <v>2021</v>
      </c>
      <c r="BL108" s="3">
        <f t="shared" si="64"/>
        <v>115.43203269585229</v>
      </c>
      <c r="BN108" s="13" t="s">
        <v>229</v>
      </c>
      <c r="BO108" s="13">
        <v>2.8402140565346077</v>
      </c>
    </row>
    <row r="109" spans="1:78">
      <c r="A109">
        <v>2022</v>
      </c>
      <c r="W109" s="12"/>
      <c r="X109" s="12"/>
      <c r="AN109"/>
      <c r="AO109"/>
      <c r="AP109">
        <v>2022</v>
      </c>
      <c r="AQ109" s="32"/>
      <c r="AR109" s="32"/>
      <c r="AS109" s="32"/>
      <c r="AU109" s="7">
        <f t="shared" si="63"/>
        <v>115.43203269585229</v>
      </c>
      <c r="AW109" s="3" t="s">
        <v>240</v>
      </c>
      <c r="AX109" s="13">
        <v>11.130720956959037</v>
      </c>
      <c r="AY109"/>
      <c r="BB109" s="9"/>
      <c r="BG109">
        <v>2022</v>
      </c>
      <c r="BL109" s="3">
        <f t="shared" si="64"/>
        <v>115.43203269585229</v>
      </c>
      <c r="BN109" s="13" t="s">
        <v>240</v>
      </c>
      <c r="BO109" s="13">
        <v>42.134342417682269</v>
      </c>
    </row>
    <row r="110" spans="1:78">
      <c r="A110">
        <v>2023</v>
      </c>
      <c r="W110" s="12"/>
      <c r="X110" s="12"/>
      <c r="AN110"/>
      <c r="AO110"/>
      <c r="AP110">
        <v>2023</v>
      </c>
      <c r="AQ110" s="32"/>
      <c r="AR110" s="32"/>
      <c r="AS110" s="32"/>
      <c r="AU110" s="7">
        <f t="shared" si="63"/>
        <v>115.43203269585229</v>
      </c>
      <c r="AW110" s="3" t="s">
        <v>1981</v>
      </c>
      <c r="AX110" s="13">
        <v>-10.825355250002216</v>
      </c>
      <c r="AY110"/>
      <c r="BB110" s="9"/>
      <c r="BG110">
        <v>2023</v>
      </c>
      <c r="BL110" s="3">
        <f t="shared" si="64"/>
        <v>115.43203269585229</v>
      </c>
      <c r="BN110" s="13" t="s">
        <v>1981</v>
      </c>
      <c r="BO110" s="13">
        <v>-40.978408016910933</v>
      </c>
    </row>
    <row r="111" spans="1:78" ht="15.75" thickBot="1">
      <c r="A111">
        <v>2024</v>
      </c>
      <c r="V111" t="s">
        <v>2052</v>
      </c>
      <c r="W111" t="s">
        <v>2052</v>
      </c>
      <c r="X111" t="s">
        <v>2052</v>
      </c>
      <c r="AN111"/>
      <c r="AO111"/>
      <c r="AP111">
        <v>2024</v>
      </c>
      <c r="AQ111" s="32"/>
      <c r="AR111" s="32"/>
      <c r="AS111" s="32"/>
      <c r="AU111" s="7">
        <f t="shared" si="63"/>
        <v>115.43203269585229</v>
      </c>
      <c r="AW111" t="s">
        <v>2019</v>
      </c>
      <c r="AX111" s="14">
        <v>-7.9072636765290598</v>
      </c>
      <c r="AY111"/>
      <c r="BB111" s="9"/>
      <c r="BG111">
        <v>2024</v>
      </c>
      <c r="BL111" s="3">
        <f t="shared" si="64"/>
        <v>115.43203269585229</v>
      </c>
      <c r="BN111" s="14" t="s">
        <v>2019</v>
      </c>
      <c r="BO111" s="14">
        <v>-29.932234993769878</v>
      </c>
    </row>
    <row r="112" spans="1:78">
      <c r="A112">
        <v>2025</v>
      </c>
      <c r="V112" s="123" t="s">
        <v>1960</v>
      </c>
      <c r="W112" s="123" t="s">
        <v>1862</v>
      </c>
      <c r="X112" s="123" t="s">
        <v>2059</v>
      </c>
      <c r="AN112"/>
      <c r="AO112"/>
      <c r="AP112">
        <v>2025</v>
      </c>
      <c r="AQ112" s="32"/>
      <c r="AR112" s="32"/>
      <c r="AS112" s="32"/>
      <c r="AU112" s="7">
        <f t="shared" si="63"/>
        <v>115.43203269585229</v>
      </c>
      <c r="AY112"/>
      <c r="BB112" s="9"/>
      <c r="BG112">
        <v>2025</v>
      </c>
      <c r="BL112" s="3">
        <f t="shared" si="64"/>
        <v>115.43203269585229</v>
      </c>
    </row>
    <row r="113" spans="1:64">
      <c r="A113">
        <v>2026</v>
      </c>
      <c r="V113" s="8">
        <v>2018</v>
      </c>
      <c r="W113" s="8">
        <v>2018</v>
      </c>
      <c r="X113" s="8">
        <v>2018</v>
      </c>
      <c r="AN113"/>
      <c r="AO113"/>
      <c r="AP113">
        <v>2026</v>
      </c>
      <c r="AQ113" s="32"/>
      <c r="AR113" s="32"/>
      <c r="AS113" s="32"/>
      <c r="AU113" s="7">
        <f t="shared" si="63"/>
        <v>115.43203269585229</v>
      </c>
      <c r="AY113"/>
      <c r="BB113" s="9"/>
      <c r="BG113">
        <v>2026</v>
      </c>
      <c r="BL113" s="3">
        <f t="shared" si="64"/>
        <v>115.43203269585229</v>
      </c>
    </row>
    <row r="114" spans="1:64">
      <c r="A114">
        <v>2027</v>
      </c>
      <c r="U114" s="78">
        <v>43101</v>
      </c>
      <c r="V114">
        <v>66.849999999999994</v>
      </c>
      <c r="W114" s="12">
        <v>63.7</v>
      </c>
      <c r="X114" s="12">
        <v>66.23</v>
      </c>
      <c r="AN114"/>
      <c r="AO114"/>
      <c r="AP114">
        <v>2027</v>
      </c>
      <c r="AQ114" s="32"/>
      <c r="AR114" s="32"/>
      <c r="AS114" s="32"/>
      <c r="AU114" s="7">
        <f t="shared" si="63"/>
        <v>115.43203269585229</v>
      </c>
      <c r="AY114"/>
      <c r="BB114" s="9"/>
      <c r="BG114">
        <v>2027</v>
      </c>
      <c r="BL114" s="3">
        <f t="shared" si="64"/>
        <v>115.43203269585229</v>
      </c>
    </row>
    <row r="115" spans="1:64">
      <c r="A115">
        <v>2028</v>
      </c>
      <c r="U115" s="78">
        <v>43132</v>
      </c>
      <c r="V115">
        <v>63.48</v>
      </c>
      <c r="W115" s="12">
        <v>62.23</v>
      </c>
      <c r="X115" s="12">
        <v>63.46</v>
      </c>
      <c r="AN115"/>
      <c r="AO115"/>
      <c r="AP115">
        <v>2028</v>
      </c>
      <c r="AQ115" s="32"/>
      <c r="AR115" s="32"/>
      <c r="AS115" s="32"/>
      <c r="AU115" s="7">
        <f t="shared" si="63"/>
        <v>115.43203269585229</v>
      </c>
      <c r="AY115"/>
      <c r="BB115" s="9"/>
      <c r="BG115">
        <v>2028</v>
      </c>
      <c r="BL115" s="3">
        <f t="shared" si="64"/>
        <v>115.43203269585229</v>
      </c>
    </row>
    <row r="116" spans="1:64">
      <c r="A116">
        <v>2029</v>
      </c>
      <c r="U116" s="78">
        <v>43160</v>
      </c>
      <c r="V116">
        <v>63.76</v>
      </c>
      <c r="W116" s="12">
        <v>62.73</v>
      </c>
      <c r="X116" s="12">
        <v>64.17</v>
      </c>
      <c r="AN116"/>
      <c r="AO116"/>
      <c r="AP116">
        <v>2029</v>
      </c>
      <c r="AQ116" s="32"/>
      <c r="AR116" s="32"/>
      <c r="AS116" s="32"/>
      <c r="AU116" s="7">
        <f t="shared" si="63"/>
        <v>115.43203269585229</v>
      </c>
      <c r="AY116"/>
      <c r="BB116" s="9"/>
      <c r="BG116">
        <v>2029</v>
      </c>
      <c r="BL116" s="3">
        <f t="shared" si="64"/>
        <v>115.43203269585229</v>
      </c>
    </row>
    <row r="117" spans="1:64">
      <c r="A117">
        <v>2030</v>
      </c>
      <c r="U117" s="78">
        <v>43191</v>
      </c>
      <c r="V117">
        <v>68.430000000000007</v>
      </c>
      <c r="W117" s="12">
        <v>66.25</v>
      </c>
      <c r="X117" s="12">
        <v>68.790000000000006</v>
      </c>
      <c r="AN117"/>
      <c r="AO117"/>
      <c r="AP117">
        <v>2030</v>
      </c>
      <c r="AQ117" s="32"/>
      <c r="AR117" s="32"/>
      <c r="AS117" s="32"/>
      <c r="AU117" s="7">
        <f t="shared" si="63"/>
        <v>115.43203269585229</v>
      </c>
      <c r="AY117"/>
      <c r="BB117" s="9"/>
      <c r="BG117">
        <v>2030</v>
      </c>
      <c r="BL117" s="3">
        <f t="shared" si="64"/>
        <v>115.43203269585229</v>
      </c>
    </row>
    <row r="118" spans="1:64">
      <c r="A118">
        <v>2031</v>
      </c>
      <c r="U118" s="78">
        <v>43221</v>
      </c>
      <c r="V118">
        <v>74.11</v>
      </c>
      <c r="W118" s="12">
        <v>69.98</v>
      </c>
      <c r="X118" s="12">
        <v>73.430000000000007</v>
      </c>
      <c r="AN118"/>
      <c r="AO118"/>
      <c r="AP118">
        <v>2031</v>
      </c>
      <c r="AQ118" s="32"/>
      <c r="AR118" s="32"/>
      <c r="AS118" s="32"/>
      <c r="AU118" s="7">
        <f t="shared" si="63"/>
        <v>115.43203269585229</v>
      </c>
      <c r="AY118"/>
      <c r="BB118" s="9"/>
    </row>
    <row r="119" spans="1:64">
      <c r="A119">
        <v>2032</v>
      </c>
      <c r="U119" s="78">
        <v>43252</v>
      </c>
      <c r="V119">
        <v>73.22</v>
      </c>
      <c r="W119" s="12">
        <v>67.87</v>
      </c>
      <c r="X119" s="12">
        <v>73</v>
      </c>
      <c r="AN119"/>
      <c r="AO119"/>
      <c r="AP119">
        <v>2032</v>
      </c>
      <c r="AQ119" s="32"/>
      <c r="AR119" s="32"/>
      <c r="AS119" s="32"/>
      <c r="AU119" s="7">
        <f t="shared" si="63"/>
        <v>115.43203269585229</v>
      </c>
      <c r="AY119"/>
      <c r="BB119" s="9"/>
    </row>
    <row r="120" spans="1:64">
      <c r="A120">
        <v>2033</v>
      </c>
      <c r="U120" s="78">
        <v>43282</v>
      </c>
      <c r="V120">
        <v>73.27</v>
      </c>
      <c r="W120" s="12">
        <v>70.98</v>
      </c>
      <c r="X120" s="12">
        <v>77</v>
      </c>
      <c r="AN120"/>
      <c r="AO120"/>
      <c r="AP120">
        <v>2033</v>
      </c>
      <c r="AQ120" s="32"/>
      <c r="AR120" s="32"/>
      <c r="AS120" s="32"/>
      <c r="AU120" s="7">
        <f t="shared" si="63"/>
        <v>115.43203269585229</v>
      </c>
      <c r="AY120"/>
      <c r="BB120" s="9"/>
    </row>
    <row r="121" spans="1:64">
      <c r="A121">
        <v>2034</v>
      </c>
      <c r="U121" s="78">
        <v>43313</v>
      </c>
      <c r="V121">
        <v>74</v>
      </c>
      <c r="W121" s="12">
        <v>68.06</v>
      </c>
      <c r="X121" s="12">
        <v>77</v>
      </c>
      <c r="AN121"/>
      <c r="AO121"/>
      <c r="AP121">
        <v>2034</v>
      </c>
      <c r="AQ121" s="32"/>
      <c r="AR121" s="32"/>
      <c r="AS121" s="32"/>
      <c r="AU121" s="7">
        <f t="shared" si="63"/>
        <v>115.43203269585229</v>
      </c>
      <c r="AY121"/>
      <c r="BB121" s="9"/>
    </row>
    <row r="122" spans="1:64">
      <c r="A122">
        <v>2035</v>
      </c>
      <c r="U122" s="78">
        <v>43344</v>
      </c>
      <c r="V122">
        <v>75.2</v>
      </c>
      <c r="W122" s="12">
        <v>70</v>
      </c>
      <c r="X122" s="12">
        <v>83</v>
      </c>
      <c r="AN122"/>
      <c r="AO122"/>
      <c r="AP122">
        <v>2035</v>
      </c>
      <c r="AQ122" s="32"/>
      <c r="AR122" s="32"/>
      <c r="AS122" s="32"/>
      <c r="AU122" s="7">
        <f t="shared" si="63"/>
        <v>115.43203269585229</v>
      </c>
      <c r="AY122"/>
      <c r="BB122" s="9"/>
    </row>
    <row r="123" spans="1:64">
      <c r="A123">
        <v>2036</v>
      </c>
      <c r="L123" s="13" t="str">
        <f t="shared" ref="L123:M127" si="65">AW107</f>
        <v>Intercept</v>
      </c>
      <c r="M123" s="13">
        <f t="shared" si="65"/>
        <v>10.736922527178271</v>
      </c>
      <c r="U123" s="78">
        <v>43374</v>
      </c>
      <c r="V123" s="4">
        <v>79.196363636363628</v>
      </c>
      <c r="W123" s="21">
        <v>70.606499999999997</v>
      </c>
      <c r="X123" s="21">
        <v>83.795999999999978</v>
      </c>
      <c r="AN123"/>
      <c r="AO123"/>
      <c r="AP123">
        <v>2036</v>
      </c>
      <c r="AQ123" s="32"/>
      <c r="AR123" s="32"/>
      <c r="AS123" s="32"/>
      <c r="AU123" s="7">
        <f t="shared" si="63"/>
        <v>115.43203269585229</v>
      </c>
      <c r="AY123"/>
      <c r="BB123" s="9"/>
    </row>
    <row r="124" spans="1:64" ht="15.75" customHeight="1">
      <c r="A124">
        <v>2037</v>
      </c>
      <c r="L124" s="13" t="str">
        <f t="shared" si="65"/>
        <v>landed oil price</v>
      </c>
      <c r="M124" s="13">
        <f t="shared" si="65"/>
        <v>0.75030553005740686</v>
      </c>
      <c r="U124" s="78">
        <v>43405</v>
      </c>
      <c r="V124" s="4">
        <v>70.931428571428569</v>
      </c>
      <c r="W124" s="21">
        <v>62.095714285714287</v>
      </c>
      <c r="X124" s="21">
        <v>75.987142857142857</v>
      </c>
      <c r="AN124"/>
      <c r="AO124"/>
      <c r="AP124">
        <v>2037</v>
      </c>
      <c r="AQ124" s="32"/>
      <c r="AR124" s="32"/>
      <c r="AS124" s="32"/>
      <c r="AU124" s="7">
        <f t="shared" si="63"/>
        <v>115.43203269585229</v>
      </c>
      <c r="AY124"/>
      <c r="BB124" s="9"/>
    </row>
    <row r="125" spans="1:64">
      <c r="A125">
        <v>2038</v>
      </c>
      <c r="L125" s="13" t="str">
        <f t="shared" si="65"/>
        <v>dum6573</v>
      </c>
      <c r="M125" s="13">
        <f t="shared" si="65"/>
        <v>11.130720956959037</v>
      </c>
      <c r="U125" s="78">
        <v>43435</v>
      </c>
      <c r="V125">
        <v>60</v>
      </c>
      <c r="W125" s="44">
        <v>50</v>
      </c>
      <c r="X125" s="44">
        <f>X124*W125/W124</f>
        <v>61.185497043734323</v>
      </c>
      <c r="AN125"/>
      <c r="AO125"/>
      <c r="AP125">
        <v>2038</v>
      </c>
      <c r="AQ125" s="32"/>
      <c r="AR125" s="32"/>
      <c r="AS125" s="32"/>
      <c r="AU125" s="7">
        <f t="shared" si="63"/>
        <v>115.43203269585229</v>
      </c>
      <c r="AY125"/>
      <c r="BB125" s="9"/>
    </row>
    <row r="126" spans="1:64">
      <c r="A126">
        <v>2039</v>
      </c>
      <c r="L126" s="13" t="str">
        <f t="shared" si="65"/>
        <v>dum0810</v>
      </c>
      <c r="M126" s="13">
        <f t="shared" si="65"/>
        <v>-10.825355250002216</v>
      </c>
      <c r="W126" s="12"/>
      <c r="X126" s="12"/>
      <c r="AN126"/>
      <c r="AO126"/>
      <c r="AP126">
        <v>2039</v>
      </c>
      <c r="AQ126" s="32"/>
      <c r="AR126" s="32"/>
      <c r="AS126" s="32"/>
      <c r="AU126" s="7">
        <f t="shared" si="63"/>
        <v>115.43203269585229</v>
      </c>
      <c r="AY126"/>
      <c r="BB126" s="9"/>
    </row>
    <row r="127" spans="1:64">
      <c r="A127">
        <v>2040</v>
      </c>
      <c r="L127" s="13" t="str">
        <f t="shared" si="65"/>
        <v>dum8906</v>
      </c>
      <c r="M127" s="13">
        <f t="shared" si="65"/>
        <v>-7.9072636765290598</v>
      </c>
      <c r="T127">
        <v>2018</v>
      </c>
      <c r="V127" s="3">
        <f>AVERAGE(V114:V125)</f>
        <v>70.203982683982687</v>
      </c>
      <c r="W127">
        <f>AVERAGE(W114:W125)</f>
        <v>65.375184523809523</v>
      </c>
      <c r="X127">
        <f>AVERAGE(X114:X125)</f>
        <v>72.254053325073102</v>
      </c>
      <c r="AN127"/>
      <c r="AO127"/>
      <c r="AP127">
        <v>2040</v>
      </c>
      <c r="AQ127" s="32"/>
      <c r="AR127" s="32"/>
      <c r="AS127" s="32"/>
      <c r="AU127" s="7">
        <f t="shared" si="63"/>
        <v>115.43203269585229</v>
      </c>
      <c r="AY127"/>
      <c r="BB127" s="9"/>
    </row>
    <row r="128" spans="1:64">
      <c r="L128" s="13"/>
      <c r="M128" s="13"/>
      <c r="O128" s="12"/>
      <c r="P128" s="3"/>
      <c r="W128" s="3"/>
      <c r="AN128"/>
      <c r="AO128"/>
      <c r="AP128"/>
      <c r="AQ128"/>
      <c r="AR128" s="32"/>
      <c r="AS128" s="32"/>
      <c r="AT128" s="32"/>
      <c r="AY128" s="12"/>
      <c r="BC128" s="9"/>
    </row>
    <row r="129" spans="1:62">
      <c r="O129" s="12"/>
      <c r="P129" s="3"/>
      <c r="X129" s="12"/>
      <c r="Y129" s="12"/>
      <c r="AO129"/>
      <c r="AP129"/>
      <c r="AQ129"/>
      <c r="AR129"/>
      <c r="AS129"/>
      <c r="AT129"/>
      <c r="AU129"/>
      <c r="AV129"/>
      <c r="AW129" s="32"/>
      <c r="AX129" s="32"/>
      <c r="AY129" s="32"/>
      <c r="AZ129" s="12"/>
      <c r="BA129" s="12"/>
      <c r="BB129" s="12"/>
      <c r="BC129" s="12"/>
      <c r="BD129" s="12"/>
      <c r="BH129" s="9"/>
    </row>
    <row r="130" spans="1:62">
      <c r="O130" s="12"/>
      <c r="P130" s="3"/>
      <c r="X130" s="12"/>
      <c r="Y130" s="12"/>
      <c r="AN130"/>
      <c r="AO130"/>
      <c r="AP130"/>
      <c r="AQ130"/>
      <c r="AR130"/>
      <c r="AS130"/>
      <c r="AT130"/>
      <c r="AU130"/>
      <c r="AV130"/>
      <c r="AW130" s="32"/>
      <c r="AX130" s="32"/>
      <c r="AY130" s="32"/>
      <c r="AZ130" s="12"/>
      <c r="BA130" s="12"/>
      <c r="BB130" s="12"/>
      <c r="BC130" s="12"/>
      <c r="BD130" s="12"/>
      <c r="BH130" s="9"/>
    </row>
    <row r="131" spans="1:62">
      <c r="O131" s="12"/>
      <c r="P131" s="3"/>
      <c r="W131" s="12"/>
      <c r="X131" s="12"/>
      <c r="AJ131" s="8"/>
      <c r="AK131" s="8"/>
      <c r="AL131" s="8"/>
      <c r="AM131" t="s">
        <v>1895</v>
      </c>
      <c r="AN131" t="s">
        <v>1895</v>
      </c>
      <c r="AO131"/>
      <c r="AP131"/>
      <c r="AQ131" t="s">
        <v>2052</v>
      </c>
      <c r="AR131"/>
      <c r="AS131"/>
      <c r="AT131"/>
      <c r="AU131"/>
      <c r="AV131"/>
      <c r="AW131" s="32"/>
      <c r="AX131" s="32"/>
      <c r="AY131" s="32"/>
      <c r="AZ131" s="12"/>
      <c r="BA131" s="12"/>
      <c r="BB131" s="12"/>
      <c r="BC131" s="12"/>
      <c r="BD131" s="12"/>
      <c r="BH131" s="9"/>
    </row>
    <row r="132" spans="1:62">
      <c r="O132" s="12"/>
      <c r="P132" s="3"/>
      <c r="AH132" s="132" t="s">
        <v>1960</v>
      </c>
      <c r="AJ132" s="132" t="s">
        <v>1960</v>
      </c>
      <c r="AK132" s="132" t="s">
        <v>1960</v>
      </c>
      <c r="AL132" s="132" t="s">
        <v>1960</v>
      </c>
      <c r="AM132" t="s">
        <v>1960</v>
      </c>
      <c r="AN132" t="s">
        <v>1960</v>
      </c>
      <c r="AO132"/>
      <c r="AP132" t="s">
        <v>2056</v>
      </c>
      <c r="AQ132" t="s">
        <v>2050</v>
      </c>
      <c r="AR132" t="s">
        <v>2053</v>
      </c>
      <c r="AS132"/>
      <c r="AY132"/>
      <c r="AZ132" s="132" t="s">
        <v>1960</v>
      </c>
      <c r="BA132" s="132" t="s">
        <v>1960</v>
      </c>
      <c r="BB132" s="132" t="s">
        <v>1960</v>
      </c>
      <c r="BC132" s="132" t="s">
        <v>1960</v>
      </c>
      <c r="BG132" s="132" t="s">
        <v>1862</v>
      </c>
      <c r="BH132" s="132" t="s">
        <v>1862</v>
      </c>
      <c r="BI132" s="132" t="s">
        <v>1862</v>
      </c>
      <c r="BJ132" s="132" t="s">
        <v>1862</v>
      </c>
    </row>
    <row r="133" spans="1:62">
      <c r="B133" s="76" t="s">
        <v>2590</v>
      </c>
      <c r="C133" s="76"/>
      <c r="D133" s="76"/>
      <c r="E133" s="76"/>
      <c r="F133" s="26" t="s">
        <v>269</v>
      </c>
      <c r="G133" s="76" t="s">
        <v>2591</v>
      </c>
      <c r="H133" s="76"/>
      <c r="I133" s="76"/>
      <c r="J133" s="76"/>
      <c r="K133" s="26" t="s">
        <v>2553</v>
      </c>
      <c r="L133" s="26"/>
      <c r="M133" s="26"/>
      <c r="N133" s="26"/>
      <c r="O133" s="12"/>
      <c r="P133" s="77" t="s">
        <v>111</v>
      </c>
      <c r="Q133" s="26" t="s">
        <v>2622</v>
      </c>
      <c r="R133" s="26"/>
      <c r="S133" s="26"/>
      <c r="T133" s="79">
        <v>0</v>
      </c>
      <c r="U133" s="76" t="s">
        <v>2556</v>
      </c>
      <c r="V133" s="76"/>
      <c r="W133" s="76"/>
      <c r="X133" s="76"/>
      <c r="Y133" s="26" t="s">
        <v>2623</v>
      </c>
      <c r="Z133" s="26"/>
      <c r="AA133" s="26"/>
      <c r="AB133" s="79"/>
      <c r="AC133" s="26" t="s">
        <v>2632</v>
      </c>
      <c r="AD133" s="26"/>
      <c r="AE133" s="26"/>
      <c r="AF133" s="79"/>
      <c r="AH133" s="132" t="s">
        <v>2034</v>
      </c>
      <c r="AJ133" s="132" t="s">
        <v>2034</v>
      </c>
      <c r="AK133" s="132" t="s">
        <v>2034</v>
      </c>
      <c r="AL133" s="132" t="s">
        <v>2034</v>
      </c>
      <c r="AM133" t="s">
        <v>2035</v>
      </c>
      <c r="AN133" t="s">
        <v>2035</v>
      </c>
      <c r="AO133"/>
      <c r="AP133"/>
      <c r="AQ133"/>
      <c r="AR133"/>
      <c r="AS133"/>
      <c r="AY133"/>
      <c r="AZ133" s="132" t="s">
        <v>2051</v>
      </c>
      <c r="BA133" s="132" t="s">
        <v>2051</v>
      </c>
      <c r="BB133" s="132" t="s">
        <v>2051</v>
      </c>
      <c r="BC133" s="132" t="s">
        <v>2051</v>
      </c>
      <c r="BG133" s="132" t="s">
        <v>2051</v>
      </c>
      <c r="BH133" s="132" t="s">
        <v>2051</v>
      </c>
      <c r="BI133" s="132" t="s">
        <v>2051</v>
      </c>
      <c r="BJ133" s="132" t="s">
        <v>2051</v>
      </c>
    </row>
    <row r="134" spans="1:62">
      <c r="A134" s="71"/>
      <c r="B134" s="77" t="s">
        <v>262</v>
      </c>
      <c r="C134" s="77" t="s">
        <v>268</v>
      </c>
      <c r="D134" s="77" t="s">
        <v>267</v>
      </c>
      <c r="E134" s="77" t="s">
        <v>266</v>
      </c>
      <c r="F134" s="75" t="s">
        <v>270</v>
      </c>
      <c r="G134" s="77" t="s">
        <v>262</v>
      </c>
      <c r="H134" s="77" t="s">
        <v>268</v>
      </c>
      <c r="I134" s="77" t="s">
        <v>267</v>
      </c>
      <c r="J134" s="77" t="s">
        <v>266</v>
      </c>
      <c r="K134" s="75" t="s">
        <v>262</v>
      </c>
      <c r="L134" s="75" t="s">
        <v>268</v>
      </c>
      <c r="M134" s="75" t="s">
        <v>267</v>
      </c>
      <c r="N134" s="75" t="s">
        <v>266</v>
      </c>
      <c r="O134" s="83"/>
      <c r="P134" s="77" t="s">
        <v>2554</v>
      </c>
      <c r="Q134" s="75" t="s">
        <v>262</v>
      </c>
      <c r="R134" s="75" t="s">
        <v>268</v>
      </c>
      <c r="S134" s="75" t="s">
        <v>267</v>
      </c>
      <c r="T134" s="75" t="s">
        <v>266</v>
      </c>
      <c r="U134" s="77" t="s">
        <v>262</v>
      </c>
      <c r="V134" s="77" t="s">
        <v>268</v>
      </c>
      <c r="W134" s="77" t="s">
        <v>267</v>
      </c>
      <c r="X134" s="77" t="s">
        <v>266</v>
      </c>
      <c r="Y134" s="75" t="s">
        <v>2030</v>
      </c>
      <c r="Z134" s="75" t="s">
        <v>2031</v>
      </c>
      <c r="AA134" s="75" t="s">
        <v>2032</v>
      </c>
      <c r="AB134" s="75" t="s">
        <v>2033</v>
      </c>
      <c r="AC134" s="75" t="s">
        <v>2030</v>
      </c>
      <c r="AD134" s="75" t="s">
        <v>2031</v>
      </c>
      <c r="AE134" s="75" t="s">
        <v>2032</v>
      </c>
      <c r="AF134" s="75" t="s">
        <v>2033</v>
      </c>
      <c r="AH134" s="133" t="s">
        <v>134</v>
      </c>
      <c r="AJ134" s="133" t="s">
        <v>2046</v>
      </c>
      <c r="AK134" s="133" t="s">
        <v>2048</v>
      </c>
      <c r="AL134" s="133" t="s">
        <v>2047</v>
      </c>
      <c r="AM134" t="s">
        <v>1959</v>
      </c>
      <c r="AN134" t="s">
        <v>1958</v>
      </c>
      <c r="AO134"/>
      <c r="AP134"/>
      <c r="AQ134"/>
      <c r="AR134"/>
      <c r="AS134"/>
      <c r="AY134" s="71"/>
      <c r="AZ134" s="133" t="s">
        <v>2493</v>
      </c>
      <c r="BA134" s="133" t="s">
        <v>2486</v>
      </c>
      <c r="BB134" s="133" t="s">
        <v>2487</v>
      </c>
      <c r="BC134" s="133" t="s">
        <v>2488</v>
      </c>
      <c r="BG134" s="133" t="s">
        <v>2493</v>
      </c>
      <c r="BH134" s="133" t="s">
        <v>2486</v>
      </c>
      <c r="BI134" s="133" t="s">
        <v>2487</v>
      </c>
      <c r="BJ134" s="133" t="s">
        <v>2488</v>
      </c>
    </row>
    <row r="135" spans="1:62">
      <c r="A135">
        <v>2010</v>
      </c>
      <c r="B135" s="3">
        <f>USA!$BB97</f>
        <v>79.48</v>
      </c>
      <c r="C135" s="3">
        <f>USA!$BB97</f>
        <v>79.48</v>
      </c>
      <c r="D135" s="3">
        <f>USA!$BB97</f>
        <v>79.48</v>
      </c>
      <c r="E135" s="3">
        <f>USA!$BB97</f>
        <v>79.48</v>
      </c>
      <c r="F135" s="39">
        <v>1</v>
      </c>
      <c r="G135" s="3">
        <f t="shared" ref="G135:J136" si="66">B135*$F135</f>
        <v>79.48</v>
      </c>
      <c r="H135" s="3">
        <f t="shared" si="66"/>
        <v>79.48</v>
      </c>
      <c r="I135" s="3">
        <f t="shared" si="66"/>
        <v>79.48</v>
      </c>
      <c r="J135" s="3">
        <f t="shared" si="66"/>
        <v>79.48</v>
      </c>
      <c r="K135" s="6">
        <f>AZ97</f>
        <v>62.808019619757133</v>
      </c>
      <c r="L135" s="6">
        <f t="shared" ref="L135:L143" si="67">$M$123+$M$124*H135+$M$126*$BD97</f>
        <v>64.958528431139854</v>
      </c>
      <c r="M135" s="6">
        <f t="shared" ref="M135:M143" si="68">$M$123+$M$124*I135+$M$126*$BD97</f>
        <v>64.958528431139854</v>
      </c>
      <c r="N135" s="6">
        <f t="shared" ref="N135:N143" si="69">$M$123+$M$124*J135+$M$126*$BD97</f>
        <v>64.958528431139854</v>
      </c>
      <c r="O135">
        <v>2010</v>
      </c>
      <c r="P135" s="24">
        <f t="shared" ref="P135:P143" si="70">O97/AU97*100</f>
        <v>10.625313713576203</v>
      </c>
      <c r="Q135" s="3">
        <v>0</v>
      </c>
      <c r="R135" s="3">
        <f t="shared" ref="R135:R165" si="71">(L135+P135)*$Y$126</f>
        <v>0</v>
      </c>
      <c r="S135" s="3">
        <f t="shared" ref="S135:S165" si="72">(M135+P135)*$Y$126</f>
        <v>0</v>
      </c>
      <c r="T135" s="3">
        <f t="shared" ref="T135:T165" si="73">(N135+P135)*$Y$126</f>
        <v>0</v>
      </c>
      <c r="U135" s="3">
        <f t="shared" ref="U135:U143" si="74">AW97</f>
        <v>73.433333333333337</v>
      </c>
      <c r="V135" s="3">
        <f t="shared" ref="V135:V165" si="75">L135+$P135+R135</f>
        <v>75.583842144716058</v>
      </c>
      <c r="W135" s="3">
        <f t="shared" ref="W135:W165" si="76">M135+$P135+S135</f>
        <v>75.583842144716058</v>
      </c>
      <c r="X135" s="3">
        <f t="shared" ref="X135:X165" si="77">N135+$P135+T135</f>
        <v>75.583842144716058</v>
      </c>
      <c r="Y135" s="3">
        <f t="shared" ref="Y135:Y143" si="78">AW97*$AU$105/100</f>
        <v>84.765589342987539</v>
      </c>
      <c r="Z135" s="3">
        <f>V135*$AU$105/100</f>
        <v>87.247965377270006</v>
      </c>
      <c r="AA135" s="3">
        <f t="shared" ref="AA135:AB135" si="79">W135*$AU$105/100</f>
        <v>87.247965377270006</v>
      </c>
      <c r="AB135" s="3">
        <f t="shared" si="79"/>
        <v>87.247965377270006</v>
      </c>
      <c r="AC135" s="3">
        <f>U135/100*$AU$104/100</f>
        <v>0.82559112411946844</v>
      </c>
      <c r="AD135" s="3">
        <f>AC135</f>
        <v>0.82559112411946844</v>
      </c>
      <c r="AE135" s="3">
        <f t="shared" ref="AE135:AF135" si="80">AD135</f>
        <v>0.82559112411946844</v>
      </c>
      <c r="AF135" s="3">
        <f t="shared" si="80"/>
        <v>0.82559112411946844</v>
      </c>
      <c r="AH135" s="3">
        <f t="shared" ref="AH135:AH143" si="81">Z97/AU97*AU$97</f>
        <v>77.45</v>
      </c>
      <c r="AJ135" s="3">
        <f>AK135</f>
        <v>77.45</v>
      </c>
      <c r="AK135" s="3">
        <f>'World Oil Price analysis'!X50</f>
        <v>77.45</v>
      </c>
      <c r="AL135" s="3">
        <f>AK135</f>
        <v>77.45</v>
      </c>
      <c r="AM135" s="3">
        <v>85.165930854491947</v>
      </c>
      <c r="AN135" s="3">
        <v>85.165930854491947</v>
      </c>
      <c r="AO135" s="3"/>
      <c r="AP135" s="3">
        <f>AQ135/AR135*100</f>
        <v>85.258928334238377</v>
      </c>
      <c r="AQ135" s="3">
        <f t="shared" ref="AQ135:AQ143" si="82">Y97</f>
        <v>77.45</v>
      </c>
      <c r="AR135" s="3">
        <v>90.840926004106876</v>
      </c>
      <c r="AS135" s="3"/>
      <c r="AY135">
        <v>2010</v>
      </c>
      <c r="AZ135" s="3">
        <f t="shared" ref="AZ135:AZ143" si="83">AQ135/AR135*AR$143</f>
        <v>89.399844499414797</v>
      </c>
      <c r="BA135" s="3">
        <f>AZ135</f>
        <v>89.399844499414797</v>
      </c>
      <c r="BB135" s="7">
        <f t="shared" ref="BB135:BC135" si="84">BA135</f>
        <v>89.399844499414797</v>
      </c>
      <c r="BC135" s="7">
        <f t="shared" si="84"/>
        <v>89.399844499414797</v>
      </c>
      <c r="BF135">
        <v>2010</v>
      </c>
      <c r="BG135" s="3">
        <f t="shared" ref="BG135:BG143" si="85">B135*$AU$105/$AU$97</f>
        <v>91.745379586663404</v>
      </c>
      <c r="BH135" s="3">
        <f t="shared" ref="BH135:BH165" si="86">D135*$AU$105/$AU$97</f>
        <v>91.745379586663404</v>
      </c>
      <c r="BI135" s="3">
        <f t="shared" ref="BI135:BI165" si="87">C135*$AU$105/$AU$97</f>
        <v>91.745379586663404</v>
      </c>
      <c r="BJ135" s="3">
        <f t="shared" ref="BJ135:BJ165" si="88">E135*$AU$105/$AU$97</f>
        <v>91.745379586663404</v>
      </c>
    </row>
    <row r="136" spans="1:62">
      <c r="A136">
        <v>2011</v>
      </c>
      <c r="B136" s="3">
        <f>USA!$BB98</f>
        <v>91.997969509010503</v>
      </c>
      <c r="C136" s="3">
        <f>USA!$BB98</f>
        <v>91.997969509010503</v>
      </c>
      <c r="D136" s="3">
        <f>USA!$BB98</f>
        <v>91.997969509010503</v>
      </c>
      <c r="E136" s="3">
        <f>USA!$BB98</f>
        <v>91.997969509010503</v>
      </c>
      <c r="F136" s="39">
        <v>1</v>
      </c>
      <c r="G136" s="3">
        <f t="shared" si="66"/>
        <v>91.997969509010503</v>
      </c>
      <c r="H136" s="3">
        <f t="shared" si="66"/>
        <v>91.997969509010503</v>
      </c>
      <c r="I136" s="3">
        <f t="shared" si="66"/>
        <v>91.997969509010503</v>
      </c>
      <c r="J136" s="3">
        <f t="shared" si="66"/>
        <v>91.997969509010503</v>
      </c>
      <c r="K136" s="6">
        <f t="shared" ref="K136:K143" si="89">AZ98</f>
        <v>80.025620683761275</v>
      </c>
      <c r="L136" s="6">
        <f t="shared" si="67"/>
        <v>79.763507803841549</v>
      </c>
      <c r="M136" s="6">
        <f t="shared" si="68"/>
        <v>79.763507803841549</v>
      </c>
      <c r="N136" s="6">
        <f t="shared" si="69"/>
        <v>79.763507803841549</v>
      </c>
      <c r="O136">
        <v>2011</v>
      </c>
      <c r="P136" s="24">
        <f t="shared" si="70"/>
        <v>10.189855845196549</v>
      </c>
      <c r="Q136" s="3">
        <v>0</v>
      </c>
      <c r="R136" s="3">
        <f t="shared" si="71"/>
        <v>0</v>
      </c>
      <c r="S136" s="3">
        <f t="shared" si="72"/>
        <v>0</v>
      </c>
      <c r="T136" s="3">
        <f t="shared" si="73"/>
        <v>0</v>
      </c>
      <c r="U136" s="3">
        <f t="shared" si="74"/>
        <v>90.215476528957822</v>
      </c>
      <c r="V136" s="3">
        <f t="shared" si="75"/>
        <v>89.953363649038096</v>
      </c>
      <c r="W136" s="3">
        <f t="shared" si="76"/>
        <v>89.953363649038096</v>
      </c>
      <c r="X136" s="3">
        <f t="shared" si="77"/>
        <v>89.953363649038096</v>
      </c>
      <c r="Y136" s="3">
        <f t="shared" si="78"/>
        <v>104.13755836362554</v>
      </c>
      <c r="Z136" s="3">
        <f t="shared" ref="Z136:Z155" si="90">V136*$AU$105/100</f>
        <v>103.83499613837655</v>
      </c>
      <c r="AA136" s="3">
        <f t="shared" ref="AA136:AA155" si="91">W136*$AU$105/100</f>
        <v>103.83499613837655</v>
      </c>
      <c r="AB136" s="3">
        <f t="shared" ref="AB136:AB155" si="92">X136*$AU$105/100</f>
        <v>103.83499613837655</v>
      </c>
      <c r="AC136" s="3">
        <f t="shared" ref="AC136:AC143" si="93">U136/100*$AU$104/100</f>
        <v>1.0142682253361208</v>
      </c>
      <c r="AD136" s="3">
        <f t="shared" ref="AD136:AF136" si="94">AC136</f>
        <v>1.0142682253361208</v>
      </c>
      <c r="AE136" s="3">
        <f t="shared" si="94"/>
        <v>1.0142682253361208</v>
      </c>
      <c r="AF136" s="3">
        <f t="shared" si="94"/>
        <v>1.0142682253361208</v>
      </c>
      <c r="AH136" s="3">
        <f t="shared" si="81"/>
        <v>104.18614906980585</v>
      </c>
      <c r="AJ136" s="3">
        <f t="shared" ref="AJ136:AJ143" si="95">AK136</f>
        <v>104.18614906980586</v>
      </c>
      <c r="AK136" s="3">
        <f>'World Oil Price analysis'!X51</f>
        <v>104.18614906980586</v>
      </c>
      <c r="AL136" s="3">
        <f t="shared" ref="AL136:AL143" si="96">AK136</f>
        <v>104.18614906980586</v>
      </c>
      <c r="AM136" s="3">
        <v>114.63795508967236</v>
      </c>
      <c r="AN136" s="3">
        <v>114.63795508967236</v>
      </c>
      <c r="AO136" s="3"/>
      <c r="AP136" s="3">
        <f t="shared" ref="AP136:AP142" si="97">AQ136/AR136*100</f>
        <v>114.69075900063044</v>
      </c>
      <c r="AQ136" s="3">
        <f t="shared" si="82"/>
        <v>107.45</v>
      </c>
      <c r="AR136" s="3">
        <v>93.686711062230714</v>
      </c>
      <c r="AS136" s="3"/>
      <c r="AY136">
        <v>2011</v>
      </c>
      <c r="AZ136" s="3">
        <f t="shared" si="83"/>
        <v>120.26114121421196</v>
      </c>
      <c r="BA136" s="3">
        <f t="shared" ref="BA136:BC136" si="98">AZ136</f>
        <v>120.26114121421196</v>
      </c>
      <c r="BB136" s="7">
        <f t="shared" si="98"/>
        <v>120.26114121421196</v>
      </c>
      <c r="BC136" s="7">
        <f t="shared" si="98"/>
        <v>120.26114121421196</v>
      </c>
      <c r="BF136">
        <v>2011</v>
      </c>
      <c r="BG136" s="3">
        <f t="shared" si="85"/>
        <v>106.19512624316121</v>
      </c>
      <c r="BH136" s="3">
        <f t="shared" si="86"/>
        <v>106.19512624316121</v>
      </c>
      <c r="BI136" s="3">
        <f t="shared" si="87"/>
        <v>106.19512624316121</v>
      </c>
      <c r="BJ136" s="3">
        <f t="shared" si="88"/>
        <v>106.19512624316121</v>
      </c>
    </row>
    <row r="137" spans="1:62">
      <c r="A137">
        <v>2012</v>
      </c>
      <c r="B137" s="3">
        <f>USA!$BB99</f>
        <v>89.392029265076943</v>
      </c>
      <c r="C137" s="3">
        <f>USA!$BB99</f>
        <v>89.392029265076943</v>
      </c>
      <c r="D137" s="3">
        <f>USA!$BB99</f>
        <v>89.392029265076943</v>
      </c>
      <c r="E137" s="3">
        <f>USA!$BB99</f>
        <v>89.392029265076943</v>
      </c>
      <c r="F137" s="39">
        <v>1</v>
      </c>
      <c r="G137" s="3">
        <f t="shared" ref="G137:G142" si="99">B137*$F137</f>
        <v>89.392029265076943</v>
      </c>
      <c r="H137" s="3">
        <f t="shared" ref="H137:H150" si="100">C137*$F137</f>
        <v>89.392029265076943</v>
      </c>
      <c r="I137" s="3">
        <f t="shared" ref="I137:I150" si="101">D137*$F137</f>
        <v>89.392029265076943</v>
      </c>
      <c r="J137" s="3">
        <f t="shared" ref="J137:J150" si="102">E137*$F137</f>
        <v>89.392029265076943</v>
      </c>
      <c r="K137" s="6">
        <f t="shared" si="89"/>
        <v>80.988146102231653</v>
      </c>
      <c r="L137" s="6">
        <f t="shared" si="67"/>
        <v>77.808256427819046</v>
      </c>
      <c r="M137" s="6">
        <f t="shared" si="68"/>
        <v>77.808256427819046</v>
      </c>
      <c r="N137" s="6">
        <f t="shared" si="69"/>
        <v>77.808256427819046</v>
      </c>
      <c r="O137">
        <v>2012</v>
      </c>
      <c r="P137" s="24">
        <f t="shared" si="70"/>
        <v>10.051370500000695</v>
      </c>
      <c r="Q137" s="3">
        <v>0</v>
      </c>
      <c r="R137" s="3">
        <f t="shared" si="71"/>
        <v>0</v>
      </c>
      <c r="S137" s="3">
        <f t="shared" si="72"/>
        <v>0</v>
      </c>
      <c r="T137" s="3">
        <f t="shared" si="73"/>
        <v>0</v>
      </c>
      <c r="U137" s="3">
        <f t="shared" si="74"/>
        <v>91.039516602232354</v>
      </c>
      <c r="V137" s="3">
        <f t="shared" si="75"/>
        <v>87.859626927819747</v>
      </c>
      <c r="W137" s="3">
        <f t="shared" si="76"/>
        <v>87.859626927819747</v>
      </c>
      <c r="X137" s="3">
        <f t="shared" si="77"/>
        <v>87.859626927819747</v>
      </c>
      <c r="Y137" s="3">
        <f t="shared" si="78"/>
        <v>105.08876457043472</v>
      </c>
      <c r="Z137" s="3">
        <f t="shared" si="90"/>
        <v>101.41815328177472</v>
      </c>
      <c r="AA137" s="3">
        <f t="shared" si="91"/>
        <v>101.41815328177472</v>
      </c>
      <c r="AB137" s="3">
        <f t="shared" si="92"/>
        <v>101.41815328177472</v>
      </c>
      <c r="AC137" s="3">
        <f t="shared" si="93"/>
        <v>1.023532685214662</v>
      </c>
      <c r="AD137" s="3">
        <f t="shared" ref="AD137:AF137" si="103">AC137</f>
        <v>1.023532685214662</v>
      </c>
      <c r="AE137" s="3">
        <f t="shared" si="103"/>
        <v>1.023532685214662</v>
      </c>
      <c r="AF137" s="3">
        <f t="shared" si="103"/>
        <v>1.023532685214662</v>
      </c>
      <c r="AH137" s="3">
        <f t="shared" si="81"/>
        <v>104.07290773565181</v>
      </c>
      <c r="AJ137" s="3">
        <f t="shared" si="95"/>
        <v>104.07290773565181</v>
      </c>
      <c r="AK137" s="3">
        <f>'World Oil Price analysis'!X52</f>
        <v>104.07290773565181</v>
      </c>
      <c r="AL137" s="3">
        <f t="shared" si="96"/>
        <v>104.07290773565181</v>
      </c>
      <c r="AM137" s="3">
        <v>114.46197204415621</v>
      </c>
      <c r="AN137" s="3">
        <v>114.46197204415621</v>
      </c>
      <c r="AO137" s="3"/>
      <c r="AP137" s="3">
        <f t="shared" si="97"/>
        <v>114.56610006390679</v>
      </c>
      <c r="AQ137" s="3">
        <f t="shared" si="82"/>
        <v>109.49585833333333</v>
      </c>
      <c r="AR137" s="3">
        <v>95.574396154058476</v>
      </c>
      <c r="AS137" s="3"/>
      <c r="AY137">
        <v>2012</v>
      </c>
      <c r="AZ137" s="3">
        <f t="shared" si="83"/>
        <v>120.13042775374169</v>
      </c>
      <c r="BA137" s="3">
        <f t="shared" ref="BA137:BC137" si="104">AZ137</f>
        <v>120.13042775374169</v>
      </c>
      <c r="BB137" s="7">
        <f t="shared" si="104"/>
        <v>120.13042775374169</v>
      </c>
      <c r="BC137" s="7">
        <f t="shared" si="104"/>
        <v>120.13042775374169</v>
      </c>
      <c r="BF137">
        <v>2012</v>
      </c>
      <c r="BG137" s="3">
        <f t="shared" si="85"/>
        <v>103.18703644874945</v>
      </c>
      <c r="BH137" s="3">
        <f t="shared" si="86"/>
        <v>103.18703644874945</v>
      </c>
      <c r="BI137" s="3">
        <f t="shared" si="87"/>
        <v>103.18703644874945</v>
      </c>
      <c r="BJ137" s="3">
        <f t="shared" si="88"/>
        <v>103.18703644874945</v>
      </c>
    </row>
    <row r="138" spans="1:62">
      <c r="A138">
        <v>2013</v>
      </c>
      <c r="B138" s="3">
        <f>USA!$BB100</f>
        <v>91.82955471617052</v>
      </c>
      <c r="C138" s="3">
        <f>USA!$BB100</f>
        <v>91.82955471617052</v>
      </c>
      <c r="D138" s="3">
        <f>USA!$BB100</f>
        <v>91.82955471617052</v>
      </c>
      <c r="E138" s="3">
        <f>USA!$BB100</f>
        <v>91.82955471617052</v>
      </c>
      <c r="F138" s="39">
        <v>1</v>
      </c>
      <c r="G138" s="3">
        <f t="shared" si="99"/>
        <v>91.82955471617052</v>
      </c>
      <c r="H138" s="3">
        <f t="shared" si="100"/>
        <v>91.82955471617052</v>
      </c>
      <c r="I138" s="3">
        <f t="shared" si="101"/>
        <v>91.82955471617052</v>
      </c>
      <c r="J138" s="3">
        <f t="shared" si="102"/>
        <v>91.82955471617052</v>
      </c>
      <c r="K138" s="6">
        <f t="shared" si="89"/>
        <v>76.833052011824961</v>
      </c>
      <c r="L138" s="6">
        <f t="shared" si="67"/>
        <v>79.637145253430234</v>
      </c>
      <c r="M138" s="6">
        <f t="shared" si="68"/>
        <v>79.637145253430234</v>
      </c>
      <c r="N138" s="6">
        <f t="shared" si="69"/>
        <v>79.637145253430234</v>
      </c>
      <c r="O138">
        <v>2013</v>
      </c>
      <c r="P138" s="24">
        <f t="shared" si="70"/>
        <v>9.977649208682223</v>
      </c>
      <c r="Q138" s="3">
        <v>0</v>
      </c>
      <c r="R138" s="3">
        <f t="shared" si="71"/>
        <v>0</v>
      </c>
      <c r="S138" s="3">
        <f t="shared" si="72"/>
        <v>0</v>
      </c>
      <c r="T138" s="3">
        <f t="shared" si="73"/>
        <v>0</v>
      </c>
      <c r="U138" s="3">
        <f t="shared" si="74"/>
        <v>86.810701220507184</v>
      </c>
      <c r="V138" s="3">
        <f t="shared" si="75"/>
        <v>89.614794462112457</v>
      </c>
      <c r="W138" s="3">
        <f t="shared" si="76"/>
        <v>89.614794462112457</v>
      </c>
      <c r="X138" s="3">
        <f t="shared" si="77"/>
        <v>89.614794462112457</v>
      </c>
      <c r="Y138" s="3">
        <f t="shared" si="78"/>
        <v>100.20735701635449</v>
      </c>
      <c r="Z138" s="3">
        <f t="shared" si="90"/>
        <v>103.44417884382646</v>
      </c>
      <c r="AA138" s="3">
        <f t="shared" si="91"/>
        <v>103.44417884382646</v>
      </c>
      <c r="AB138" s="3">
        <f t="shared" si="92"/>
        <v>103.44417884382646</v>
      </c>
      <c r="AC138" s="3">
        <f t="shared" si="93"/>
        <v>0.97598925655339752</v>
      </c>
      <c r="AD138" s="3">
        <f t="shared" ref="AD138:AF138" si="105">AC138</f>
        <v>0.97598925655339752</v>
      </c>
      <c r="AE138" s="3">
        <f t="shared" si="105"/>
        <v>0.97598925655339752</v>
      </c>
      <c r="AF138" s="3">
        <f t="shared" si="105"/>
        <v>0.97598925655339752</v>
      </c>
      <c r="AH138" s="3">
        <f t="shared" si="81"/>
        <v>99.286371359470479</v>
      </c>
      <c r="AJ138" s="3">
        <f t="shared" si="95"/>
        <v>99.286371359470493</v>
      </c>
      <c r="AK138" s="3">
        <f>'World Oil Price analysis'!X53</f>
        <v>99.286371359470493</v>
      </c>
      <c r="AL138" s="3">
        <f t="shared" si="96"/>
        <v>99.286371359470493</v>
      </c>
      <c r="AM138" s="3">
        <v>109.14216983636113</v>
      </c>
      <c r="AN138" s="3">
        <v>109.14216983636113</v>
      </c>
      <c r="AO138" s="3"/>
      <c r="AP138" s="3">
        <f t="shared" si="97"/>
        <v>109.29695925325504</v>
      </c>
      <c r="AQ138" s="3">
        <f t="shared" si="82"/>
        <v>105.93624999999999</v>
      </c>
      <c r="AR138" s="3">
        <v>96.925157592474406</v>
      </c>
      <c r="AS138" s="3"/>
      <c r="AY138">
        <v>2013</v>
      </c>
      <c r="AZ138" s="3">
        <f t="shared" si="83"/>
        <v>114.60537157110822</v>
      </c>
      <c r="BA138" s="3">
        <f t="shared" ref="BA138:BC138" si="106">AZ138</f>
        <v>114.60537157110822</v>
      </c>
      <c r="BB138" s="7">
        <f t="shared" si="106"/>
        <v>114.60537157110822</v>
      </c>
      <c r="BC138" s="7">
        <f t="shared" si="106"/>
        <v>114.60537157110822</v>
      </c>
      <c r="BF138">
        <v>2013</v>
      </c>
      <c r="BG138" s="3">
        <f t="shared" si="85"/>
        <v>106.00072162442551</v>
      </c>
      <c r="BH138" s="3">
        <f t="shared" si="86"/>
        <v>106.00072162442551</v>
      </c>
      <c r="BI138" s="3">
        <f t="shared" si="87"/>
        <v>106.00072162442551</v>
      </c>
      <c r="BJ138" s="3">
        <f t="shared" si="88"/>
        <v>106.00072162442551</v>
      </c>
    </row>
    <row r="139" spans="1:62">
      <c r="A139">
        <v>2014</v>
      </c>
      <c r="B139" s="3">
        <f>USA!$BB101</f>
        <v>85.904133364993911</v>
      </c>
      <c r="C139" s="3">
        <f>USA!$BB101</f>
        <v>85.904133364993911</v>
      </c>
      <c r="D139" s="3">
        <f>USA!$BB101</f>
        <v>85.904133364993911</v>
      </c>
      <c r="E139" s="3">
        <f>USA!$BB101</f>
        <v>85.904133364993911</v>
      </c>
      <c r="F139" s="39">
        <v>1</v>
      </c>
      <c r="G139" s="3">
        <f t="shared" si="99"/>
        <v>85.904133364993911</v>
      </c>
      <c r="H139" s="3">
        <f t="shared" si="100"/>
        <v>85.904133364993911</v>
      </c>
      <c r="I139" s="3">
        <f t="shared" si="101"/>
        <v>85.904133364993911</v>
      </c>
      <c r="J139" s="3">
        <f t="shared" si="102"/>
        <v>85.904133364993911</v>
      </c>
      <c r="K139" s="6">
        <f t="shared" si="89"/>
        <v>71.943352325196528</v>
      </c>
      <c r="L139" s="6">
        <f t="shared" si="67"/>
        <v>75.191268845722192</v>
      </c>
      <c r="M139" s="6">
        <f t="shared" si="68"/>
        <v>75.191268845722192</v>
      </c>
      <c r="N139" s="6">
        <f t="shared" si="69"/>
        <v>75.191268845722192</v>
      </c>
      <c r="O139">
        <v>2014</v>
      </c>
      <c r="P139" s="24">
        <f t="shared" si="70"/>
        <v>9.9776764338429462</v>
      </c>
      <c r="Q139" s="3">
        <v>0</v>
      </c>
      <c r="R139" s="3">
        <f t="shared" si="71"/>
        <v>0</v>
      </c>
      <c r="S139" s="3">
        <f t="shared" si="72"/>
        <v>0</v>
      </c>
      <c r="T139" s="3">
        <f t="shared" si="73"/>
        <v>0</v>
      </c>
      <c r="U139" s="3">
        <f t="shared" si="74"/>
        <v>81.921028759039473</v>
      </c>
      <c r="V139" s="3">
        <f t="shared" si="75"/>
        <v>85.168945279565136</v>
      </c>
      <c r="W139" s="3">
        <f t="shared" si="76"/>
        <v>85.168945279565136</v>
      </c>
      <c r="X139" s="3">
        <f t="shared" si="77"/>
        <v>85.168945279565136</v>
      </c>
      <c r="Y139" s="3">
        <f t="shared" si="78"/>
        <v>94.563108701913009</v>
      </c>
      <c r="Z139" s="3">
        <f t="shared" si="90"/>
        <v>98.312244761820168</v>
      </c>
      <c r="AA139" s="3">
        <f t="shared" si="91"/>
        <v>98.312244761820168</v>
      </c>
      <c r="AB139" s="3">
        <f t="shared" si="92"/>
        <v>98.312244761820168</v>
      </c>
      <c r="AC139" s="3">
        <f t="shared" si="93"/>
        <v>0.92101599031591508</v>
      </c>
      <c r="AD139" s="3">
        <f t="shared" ref="AD139:AF139" si="107">AC139</f>
        <v>0.92101599031591508</v>
      </c>
      <c r="AE139" s="3">
        <f t="shared" si="107"/>
        <v>0.92101599031591508</v>
      </c>
      <c r="AF139" s="3">
        <f t="shared" si="107"/>
        <v>0.92101599031591508</v>
      </c>
      <c r="AH139" s="3">
        <f t="shared" si="81"/>
        <v>88.687750298592292</v>
      </c>
      <c r="AJ139" s="3">
        <f t="shared" si="95"/>
        <v>88.687750298592292</v>
      </c>
      <c r="AK139" s="3">
        <f>'World Oil Price analysis'!X54</f>
        <v>88.687750298592292</v>
      </c>
      <c r="AL139" s="3">
        <f t="shared" si="96"/>
        <v>88.687750298592292</v>
      </c>
      <c r="AM139" s="3">
        <v>97.518041490949486</v>
      </c>
      <c r="AN139" s="3">
        <v>97.518041490949486</v>
      </c>
      <c r="AO139" s="3"/>
      <c r="AP139" s="3">
        <f t="shared" si="97"/>
        <v>97.629728007211511</v>
      </c>
      <c r="AQ139" s="3">
        <f t="shared" si="82"/>
        <v>96.189058333333321</v>
      </c>
      <c r="AR139" s="3">
        <v>98.524353490187153</v>
      </c>
      <c r="AS139" s="3"/>
      <c r="AY139">
        <v>2014</v>
      </c>
      <c r="AZ139" s="3">
        <f t="shared" si="83"/>
        <v>102.37147795417266</v>
      </c>
      <c r="BA139" s="3">
        <f t="shared" ref="BA139:BC139" si="108">AZ139</f>
        <v>102.37147795417266</v>
      </c>
      <c r="BB139" s="7">
        <f t="shared" si="108"/>
        <v>102.37147795417266</v>
      </c>
      <c r="BC139" s="7">
        <f t="shared" si="108"/>
        <v>102.37147795417266</v>
      </c>
      <c r="BF139">
        <v>2014</v>
      </c>
      <c r="BG139" s="3">
        <f t="shared" si="85"/>
        <v>99.160887312968313</v>
      </c>
      <c r="BH139" s="3">
        <f t="shared" si="86"/>
        <v>99.160887312968313</v>
      </c>
      <c r="BI139" s="3">
        <f t="shared" si="87"/>
        <v>99.160887312968313</v>
      </c>
      <c r="BJ139" s="3">
        <f t="shared" si="88"/>
        <v>99.160887312968313</v>
      </c>
    </row>
    <row r="140" spans="1:62">
      <c r="A140">
        <v>2015</v>
      </c>
      <c r="B140" s="3">
        <f>USA!$BB102</f>
        <v>44.76813938738384</v>
      </c>
      <c r="C140" s="3">
        <f>USA!$BB102</f>
        <v>44.76813938738384</v>
      </c>
      <c r="D140" s="3">
        <f>USA!$BB102</f>
        <v>44.76813938738384</v>
      </c>
      <c r="E140" s="3">
        <f>USA!$BB102</f>
        <v>44.76813938738384</v>
      </c>
      <c r="F140" s="39">
        <v>1</v>
      </c>
      <c r="G140" s="3">
        <f t="shared" si="99"/>
        <v>44.76813938738384</v>
      </c>
      <c r="H140" s="3">
        <f t="shared" si="100"/>
        <v>44.76813938738384</v>
      </c>
      <c r="I140" s="3">
        <f t="shared" si="101"/>
        <v>44.76813938738384</v>
      </c>
      <c r="J140" s="3">
        <f t="shared" si="102"/>
        <v>44.76813938738384</v>
      </c>
      <c r="K140" s="6">
        <f t="shared" si="89"/>
        <v>48.307299211768893</v>
      </c>
      <c r="L140" s="6">
        <f t="shared" si="67"/>
        <v>44.326705079913175</v>
      </c>
      <c r="M140" s="6">
        <f t="shared" si="68"/>
        <v>44.326705079913175</v>
      </c>
      <c r="N140" s="6">
        <f t="shared" si="69"/>
        <v>44.326705079913175</v>
      </c>
      <c r="O140">
        <v>2015</v>
      </c>
      <c r="P140" s="24">
        <f t="shared" si="70"/>
        <v>10.558602661147454</v>
      </c>
      <c r="Q140" s="3">
        <v>0</v>
      </c>
      <c r="R140" s="3">
        <f t="shared" si="71"/>
        <v>0</v>
      </c>
      <c r="S140" s="3">
        <f t="shared" si="72"/>
        <v>0</v>
      </c>
      <c r="T140" s="3">
        <f t="shared" si="73"/>
        <v>0</v>
      </c>
      <c r="U140" s="3">
        <f t="shared" si="74"/>
        <v>58.865901872916346</v>
      </c>
      <c r="V140" s="3">
        <f t="shared" si="75"/>
        <v>54.885307741060629</v>
      </c>
      <c r="W140" s="3">
        <f t="shared" si="76"/>
        <v>54.885307741060629</v>
      </c>
      <c r="X140" s="3">
        <f t="shared" si="77"/>
        <v>54.885307741060629</v>
      </c>
      <c r="Y140" s="3">
        <f t="shared" si="78"/>
        <v>67.950107096653113</v>
      </c>
      <c r="Z140" s="3">
        <f t="shared" si="90"/>
        <v>63.355226376880253</v>
      </c>
      <c r="AA140" s="3">
        <f t="shared" si="91"/>
        <v>63.355226376880253</v>
      </c>
      <c r="AB140" s="3">
        <f t="shared" si="92"/>
        <v>63.355226376880253</v>
      </c>
      <c r="AC140" s="3">
        <f t="shared" si="93"/>
        <v>0.66181342850068992</v>
      </c>
      <c r="AD140" s="3">
        <f t="shared" ref="AD140:AF140" si="109">AC140</f>
        <v>0.66181342850068992</v>
      </c>
      <c r="AE140" s="3">
        <f t="shared" si="109"/>
        <v>0.66181342850068992</v>
      </c>
      <c r="AF140" s="3">
        <f t="shared" si="109"/>
        <v>0.66181342850068992</v>
      </c>
      <c r="AH140" s="3">
        <f t="shared" si="81"/>
        <v>45.556296925601828</v>
      </c>
      <c r="AJ140" s="3">
        <f t="shared" si="95"/>
        <v>45.556296925601814</v>
      </c>
      <c r="AK140" s="3">
        <f>'World Oil Price analysis'!X55</f>
        <v>45.556296925601814</v>
      </c>
      <c r="AL140" s="3">
        <f t="shared" si="96"/>
        <v>45.556296925601814</v>
      </c>
      <c r="AM140" s="3">
        <v>50.141334236468268</v>
      </c>
      <c r="AN140" s="3">
        <v>50.141334236468268</v>
      </c>
      <c r="AO140" s="3"/>
      <c r="AP140" s="3">
        <f t="shared" si="97"/>
        <v>50.149528687874131</v>
      </c>
      <c r="AQ140" s="3">
        <f t="shared" si="82"/>
        <v>49.516674999999999</v>
      </c>
      <c r="AR140" s="3">
        <v>98.738066529372674</v>
      </c>
      <c r="AS140" s="3"/>
      <c r="AY140">
        <v>2015</v>
      </c>
      <c r="AZ140" s="3">
        <f t="shared" si="83"/>
        <v>52.585226603352183</v>
      </c>
      <c r="BA140" s="3">
        <f t="shared" ref="BA140:BC140" si="110">AZ140</f>
        <v>52.585226603352183</v>
      </c>
      <c r="BB140" s="7">
        <f t="shared" si="110"/>
        <v>52.585226603352183</v>
      </c>
      <c r="BC140" s="7">
        <f t="shared" si="110"/>
        <v>52.585226603352183</v>
      </c>
      <c r="BF140">
        <v>2015</v>
      </c>
      <c r="BG140" s="3">
        <f t="shared" si="85"/>
        <v>51.676773294969642</v>
      </c>
      <c r="BH140" s="3">
        <f t="shared" si="86"/>
        <v>51.676773294969642</v>
      </c>
      <c r="BI140" s="3">
        <f t="shared" si="87"/>
        <v>51.676773294969642</v>
      </c>
      <c r="BJ140" s="3">
        <f t="shared" si="88"/>
        <v>51.676773294969642</v>
      </c>
    </row>
    <row r="141" spans="1:62">
      <c r="A141">
        <v>2016</v>
      </c>
      <c r="B141" s="3">
        <f>USA!$BB103</f>
        <v>39.325037453166594</v>
      </c>
      <c r="C141" s="3">
        <f>USA!$BB103</f>
        <v>39.325037453166594</v>
      </c>
      <c r="D141" s="3">
        <f>USA!$BB103</f>
        <v>39.325037453166594</v>
      </c>
      <c r="E141" s="3">
        <f>USA!$BB103</f>
        <v>39.325037453166594</v>
      </c>
      <c r="F141" s="39">
        <v>1</v>
      </c>
      <c r="G141" s="3">
        <f t="shared" si="99"/>
        <v>39.325037453166594</v>
      </c>
      <c r="H141" s="3">
        <f t="shared" si="100"/>
        <v>39.325037453166594</v>
      </c>
      <c r="I141" s="3">
        <f t="shared" si="101"/>
        <v>39.325037453166594</v>
      </c>
      <c r="J141" s="3">
        <f t="shared" si="102"/>
        <v>39.325037453166594</v>
      </c>
      <c r="K141" s="6">
        <f t="shared" si="89"/>
        <v>41.856363982945716</v>
      </c>
      <c r="L141" s="6">
        <f t="shared" si="67"/>
        <v>40.242715598003812</v>
      </c>
      <c r="M141" s="6">
        <f t="shared" si="68"/>
        <v>40.242715598003812</v>
      </c>
      <c r="N141" s="6">
        <f t="shared" si="69"/>
        <v>40.242715598003812</v>
      </c>
      <c r="O141">
        <v>2016</v>
      </c>
      <c r="P141" s="24">
        <f t="shared" si="70"/>
        <v>10.430159788714741</v>
      </c>
      <c r="Q141" s="3">
        <v>0</v>
      </c>
      <c r="R141" s="3">
        <f t="shared" si="71"/>
        <v>0</v>
      </c>
      <c r="S141" s="3">
        <f t="shared" si="72"/>
        <v>0</v>
      </c>
      <c r="T141" s="3">
        <f t="shared" si="73"/>
        <v>0</v>
      </c>
      <c r="U141" s="3">
        <f t="shared" si="74"/>
        <v>52.286523771660455</v>
      </c>
      <c r="V141" s="3">
        <f t="shared" si="75"/>
        <v>50.672875386718552</v>
      </c>
      <c r="W141" s="3">
        <f t="shared" si="76"/>
        <v>50.672875386718552</v>
      </c>
      <c r="X141" s="3">
        <f t="shared" si="77"/>
        <v>50.672875386718552</v>
      </c>
      <c r="Y141" s="3">
        <f t="shared" si="78"/>
        <v>60.355397215627676</v>
      </c>
      <c r="Z141" s="3">
        <f t="shared" si="90"/>
        <v>58.492730084325437</v>
      </c>
      <c r="AA141" s="3">
        <f t="shared" si="91"/>
        <v>58.492730084325437</v>
      </c>
      <c r="AB141" s="3">
        <f t="shared" si="92"/>
        <v>58.492730084325437</v>
      </c>
      <c r="AC141" s="3">
        <f t="shared" si="93"/>
        <v>0.58784325833333351</v>
      </c>
      <c r="AD141" s="3">
        <f t="shared" ref="AD141:AF141" si="111">AC141</f>
        <v>0.58784325833333351</v>
      </c>
      <c r="AE141" s="3">
        <f t="shared" si="111"/>
        <v>0.58784325833333351</v>
      </c>
      <c r="AF141" s="3">
        <f t="shared" si="111"/>
        <v>0.58784325833333351</v>
      </c>
      <c r="AH141" s="3">
        <f t="shared" si="81"/>
        <v>36.957692605914716</v>
      </c>
      <c r="AJ141" s="3">
        <f t="shared" si="95"/>
        <v>36.957692605914716</v>
      </c>
      <c r="AK141" s="3">
        <f>'World Oil Price analysis'!X56</f>
        <v>36.957692605914716</v>
      </c>
      <c r="AL141" s="3">
        <f t="shared" si="96"/>
        <v>36.957692605914716</v>
      </c>
      <c r="AM141" s="3">
        <v>40.68396666666667</v>
      </c>
      <c r="AN141" s="3">
        <v>40.68396666666667</v>
      </c>
      <c r="AO141" s="3"/>
      <c r="AP141" s="3">
        <f t="shared" si="97"/>
        <v>40.68396666666667</v>
      </c>
      <c r="AQ141" s="3">
        <f t="shared" si="82"/>
        <v>40.68396666666667</v>
      </c>
      <c r="AR141" s="9">
        <v>100</v>
      </c>
      <c r="AS141" s="3"/>
      <c r="AY141">
        <v>2016</v>
      </c>
      <c r="AZ141" s="3">
        <f t="shared" si="83"/>
        <v>42.659934445349677</v>
      </c>
      <c r="BA141" s="3">
        <f t="shared" ref="BA141:BC141" si="112">AZ141</f>
        <v>42.659934445349677</v>
      </c>
      <c r="BB141" s="7">
        <f t="shared" si="112"/>
        <v>42.659934445349677</v>
      </c>
      <c r="BC141" s="7">
        <f t="shared" si="112"/>
        <v>42.659934445349677</v>
      </c>
      <c r="BF141">
        <v>2016</v>
      </c>
      <c r="BG141" s="3">
        <f t="shared" si="85"/>
        <v>45.39369009059542</v>
      </c>
      <c r="BH141" s="3">
        <f t="shared" si="86"/>
        <v>45.39369009059542</v>
      </c>
      <c r="BI141" s="3">
        <f t="shared" si="87"/>
        <v>45.39369009059542</v>
      </c>
      <c r="BJ141" s="3">
        <f t="shared" si="88"/>
        <v>45.39369009059542</v>
      </c>
    </row>
    <row r="142" spans="1:62">
      <c r="A142">
        <v>2017</v>
      </c>
      <c r="B142" s="3">
        <f>USA!$BB104</f>
        <v>45.18475579920986</v>
      </c>
      <c r="C142" s="3">
        <f>USA!$BB104</f>
        <v>45.18475579920986</v>
      </c>
      <c r="D142" s="3">
        <f>USA!$BB104</f>
        <v>45.18475579920986</v>
      </c>
      <c r="E142" s="3">
        <f>USA!$BB104</f>
        <v>45.18475579920986</v>
      </c>
      <c r="F142" s="39">
        <v>1</v>
      </c>
      <c r="G142" s="3">
        <f t="shared" si="99"/>
        <v>45.18475579920986</v>
      </c>
      <c r="H142" s="3">
        <f t="shared" si="100"/>
        <v>45.18475579920986</v>
      </c>
      <c r="I142" s="3">
        <f t="shared" si="101"/>
        <v>45.18475579920986</v>
      </c>
      <c r="J142" s="3">
        <f t="shared" si="102"/>
        <v>45.18475579920986</v>
      </c>
      <c r="K142" s="6">
        <f t="shared" si="89"/>
        <v>46.403295764533674</v>
      </c>
      <c r="L142" s="6">
        <f t="shared" si="67"/>
        <v>44.639294677618913</v>
      </c>
      <c r="M142" s="6">
        <f t="shared" si="68"/>
        <v>44.639294677618913</v>
      </c>
      <c r="N142" s="6">
        <f t="shared" si="69"/>
        <v>44.639294677618913</v>
      </c>
      <c r="O142">
        <v>2017</v>
      </c>
      <c r="P142" s="24">
        <f t="shared" si="70"/>
        <v>10.403785673318085</v>
      </c>
      <c r="Q142" s="3">
        <v>0</v>
      </c>
      <c r="R142" s="3">
        <f t="shared" si="71"/>
        <v>0</v>
      </c>
      <c r="S142" s="3">
        <f t="shared" si="72"/>
        <v>0</v>
      </c>
      <c r="T142" s="3">
        <f t="shared" si="73"/>
        <v>0</v>
      </c>
      <c r="U142" s="3">
        <f t="shared" si="74"/>
        <v>56.807081437851757</v>
      </c>
      <c r="V142" s="3">
        <f t="shared" si="75"/>
        <v>55.043080350936997</v>
      </c>
      <c r="W142" s="3">
        <f t="shared" si="76"/>
        <v>55.043080350936997</v>
      </c>
      <c r="X142" s="3">
        <f t="shared" si="77"/>
        <v>55.043080350936997</v>
      </c>
      <c r="Y142" s="3">
        <f t="shared" si="78"/>
        <v>65.573568818900469</v>
      </c>
      <c r="Z142" s="3">
        <f t="shared" si="90"/>
        <v>63.537346507497844</v>
      </c>
      <c r="AA142" s="3">
        <f t="shared" si="91"/>
        <v>63.537346507497844</v>
      </c>
      <c r="AB142" s="3">
        <f t="shared" si="92"/>
        <v>63.537346507497844</v>
      </c>
      <c r="AC142" s="3">
        <f t="shared" si="93"/>
        <v>0.6386666666666666</v>
      </c>
      <c r="AD142" s="3">
        <f t="shared" ref="AD142:AF142" si="113">AC142</f>
        <v>0.6386666666666666</v>
      </c>
      <c r="AE142" s="3">
        <f t="shared" si="113"/>
        <v>0.6386666666666666</v>
      </c>
      <c r="AF142" s="3">
        <f t="shared" si="113"/>
        <v>0.6386666666666666</v>
      </c>
      <c r="AH142" s="3">
        <f t="shared" si="81"/>
        <v>46.705738720797434</v>
      </c>
      <c r="AJ142" s="3">
        <f t="shared" si="95"/>
        <v>46.705738720797434</v>
      </c>
      <c r="AK142" s="3">
        <f>'World Oil Price analysis'!X57</f>
        <v>46.705738720797434</v>
      </c>
      <c r="AL142" s="3">
        <f t="shared" si="96"/>
        <v>46.705738720797434</v>
      </c>
      <c r="AM142" s="117">
        <v>51.414684929830287</v>
      </c>
      <c r="AN142" s="117">
        <f>AM142</f>
        <v>51.414684929830287</v>
      </c>
      <c r="AO142" s="117"/>
      <c r="AP142" s="3">
        <f t="shared" si="97"/>
        <v>51.414863409380196</v>
      </c>
      <c r="AQ142" s="3">
        <f t="shared" si="82"/>
        <v>52.51</v>
      </c>
      <c r="AR142" s="3">
        <v>102.13000000000001</v>
      </c>
      <c r="AS142" s="3"/>
      <c r="AY142">
        <v>2017</v>
      </c>
      <c r="AZ142" s="3">
        <f t="shared" si="83"/>
        <v>53.912016999999999</v>
      </c>
      <c r="BA142" s="3">
        <f t="shared" ref="BA142:BC142" si="114">AZ142</f>
        <v>53.912016999999999</v>
      </c>
      <c r="BB142" s="7">
        <f t="shared" si="114"/>
        <v>53.912016999999999</v>
      </c>
      <c r="BC142" s="7">
        <f t="shared" si="114"/>
        <v>53.912016999999999</v>
      </c>
      <c r="BF142">
        <v>2017</v>
      </c>
      <c r="BG142" s="3">
        <f t="shared" si="85"/>
        <v>52.157682087684933</v>
      </c>
      <c r="BH142" s="3">
        <f t="shared" si="86"/>
        <v>52.157682087684933</v>
      </c>
      <c r="BI142" s="3">
        <f t="shared" si="87"/>
        <v>52.157682087684933</v>
      </c>
      <c r="BJ142" s="3">
        <f t="shared" si="88"/>
        <v>52.157682087684933</v>
      </c>
    </row>
    <row r="143" spans="1:62">
      <c r="A143">
        <v>2018</v>
      </c>
      <c r="B143" s="3">
        <f>USA!$BB105</f>
        <v>56.635219008976691</v>
      </c>
      <c r="C143" s="3">
        <f>USA!$BB105</f>
        <v>56.635219008976691</v>
      </c>
      <c r="D143" s="3">
        <f>USA!$BB105</f>
        <v>56.635219008976691</v>
      </c>
      <c r="E143" s="3">
        <f>USA!$BB105</f>
        <v>56.635219008976691</v>
      </c>
      <c r="F143" s="39">
        <v>1</v>
      </c>
      <c r="G143" s="3">
        <f>B143*$F143</f>
        <v>56.635219008976691</v>
      </c>
      <c r="H143" s="3">
        <f t="shared" si="100"/>
        <v>56.635219008976691</v>
      </c>
      <c r="I143" s="3">
        <f t="shared" si="101"/>
        <v>56.635219008976691</v>
      </c>
      <c r="J143" s="3">
        <f t="shared" si="102"/>
        <v>56.635219008976691</v>
      </c>
      <c r="K143" s="6">
        <f t="shared" si="89"/>
        <v>52.24139563483223</v>
      </c>
      <c r="L143" s="6">
        <f t="shared" si="67"/>
        <v>53.230640545625853</v>
      </c>
      <c r="M143" s="6">
        <f t="shared" si="68"/>
        <v>53.230640545625853</v>
      </c>
      <c r="N143" s="6">
        <f t="shared" si="69"/>
        <v>53.230640545625853</v>
      </c>
      <c r="O143">
        <v>2018</v>
      </c>
      <c r="P143" s="24">
        <f t="shared" si="70"/>
        <v>10.132971617029487</v>
      </c>
      <c r="Q143" s="3">
        <v>0</v>
      </c>
      <c r="R143" s="3">
        <f t="shared" si="71"/>
        <v>0</v>
      </c>
      <c r="S143" s="3">
        <f t="shared" si="72"/>
        <v>0</v>
      </c>
      <c r="T143" s="3">
        <f t="shared" si="73"/>
        <v>0</v>
      </c>
      <c r="U143" s="3">
        <f t="shared" si="74"/>
        <v>62.37436725186172</v>
      </c>
      <c r="V143" s="3">
        <f t="shared" si="75"/>
        <v>63.363612162655343</v>
      </c>
      <c r="W143" s="3">
        <f t="shared" si="76"/>
        <v>63.363612162655343</v>
      </c>
      <c r="X143" s="3">
        <f t="shared" si="77"/>
        <v>63.363612162655343</v>
      </c>
      <c r="Y143" s="3">
        <f t="shared" si="78"/>
        <v>72</v>
      </c>
      <c r="Z143" s="3">
        <f t="shared" si="90"/>
        <v>73.141905508869343</v>
      </c>
      <c r="AA143" s="3">
        <f>W143*$AU$105/100</f>
        <v>73.141905508869343</v>
      </c>
      <c r="AB143" s="3">
        <f t="shared" si="92"/>
        <v>73.141905508869343</v>
      </c>
      <c r="AC143" s="3">
        <f t="shared" si="93"/>
        <v>0.70125815672771308</v>
      </c>
      <c r="AD143" s="3">
        <f>V143/100*$AU$104/100</f>
        <v>0.7123799699541985</v>
      </c>
      <c r="AE143" s="3">
        <f t="shared" ref="AE143:AF155" si="115">W143/100*$AU$104/100</f>
        <v>0.7123799699541985</v>
      </c>
      <c r="AF143" s="3">
        <f t="shared" si="115"/>
        <v>0.7123799699541985</v>
      </c>
      <c r="AH143" s="3">
        <f t="shared" si="81"/>
        <v>60.818458312139953</v>
      </c>
      <c r="AJ143" s="3">
        <f t="shared" si="95"/>
        <v>60.818458312139953</v>
      </c>
      <c r="AK143" s="3">
        <f>'World Oil Price analysis'!X58</f>
        <v>60.818458312139953</v>
      </c>
      <c r="AL143" s="3">
        <f t="shared" si="96"/>
        <v>60.818458312139953</v>
      </c>
      <c r="AM143" s="136">
        <f>AP143</f>
        <v>66.952200665975127</v>
      </c>
      <c r="AN143" s="136">
        <f>AP143</f>
        <v>66.952200665975127</v>
      </c>
      <c r="AO143" s="117"/>
      <c r="AP143" s="3">
        <f>AQ143/AR143*100</f>
        <v>66.952200665975127</v>
      </c>
      <c r="AQ143" s="3">
        <f t="shared" si="82"/>
        <v>70.203982683982687</v>
      </c>
      <c r="AR143" s="3">
        <v>104.85687100000001</v>
      </c>
      <c r="AS143" s="3"/>
      <c r="AY143" s="137">
        <v>2018</v>
      </c>
      <c r="AZ143" s="130">
        <f t="shared" si="83"/>
        <v>70.203982683982687</v>
      </c>
      <c r="BA143" s="130">
        <f>AZ143</f>
        <v>70.203982683982687</v>
      </c>
      <c r="BB143" s="131">
        <f t="shared" ref="BB143:BC143" si="116">BA143</f>
        <v>70.203982683982687</v>
      </c>
      <c r="BC143" s="131">
        <f t="shared" si="116"/>
        <v>70.203982683982687</v>
      </c>
      <c r="BF143" s="137">
        <v>2018</v>
      </c>
      <c r="BG143" s="3">
        <f t="shared" si="85"/>
        <v>65.375184523809523</v>
      </c>
      <c r="BH143" s="3">
        <f t="shared" si="86"/>
        <v>65.375184523809523</v>
      </c>
      <c r="BI143" s="3">
        <f t="shared" si="87"/>
        <v>65.375184523809523</v>
      </c>
      <c r="BJ143" s="3">
        <f t="shared" si="88"/>
        <v>65.375184523809523</v>
      </c>
    </row>
    <row r="144" spans="1:62">
      <c r="A144">
        <v>2019</v>
      </c>
      <c r="B144" s="3"/>
      <c r="C144" s="7">
        <f>AJ144*'WTI from OPEC '!O32</f>
        <v>86.505926788709857</v>
      </c>
      <c r="D144" s="7">
        <f>AK144*'WTI from OPEC '!O32</f>
        <v>53.481396744557586</v>
      </c>
      <c r="E144" s="7">
        <f>AL144*'WTI from OPEC '!O32</f>
        <v>24.715979082488531</v>
      </c>
      <c r="F144" s="39">
        <v>1</v>
      </c>
      <c r="G144" s="3"/>
      <c r="H144" s="3">
        <f t="shared" si="100"/>
        <v>86.505926788709857</v>
      </c>
      <c r="I144" s="3">
        <f t="shared" si="101"/>
        <v>53.481396744557586</v>
      </c>
      <c r="J144" s="3">
        <f t="shared" si="102"/>
        <v>24.715979082488531</v>
      </c>
      <c r="K144" s="3"/>
      <c r="L144" s="6">
        <f t="shared" ref="L144:L165" si="117">M$123+M$124*H144</f>
        <v>75.642797779488447</v>
      </c>
      <c r="M144" s="6">
        <f t="shared" ref="M144:M165" si="118">M$123+M$124*I144</f>
        <v>50.864310259814026</v>
      </c>
      <c r="N144" s="6">
        <f t="shared" ref="N144:N165" si="119">M$123+M$124*J144</f>
        <v>29.281458313552605</v>
      </c>
      <c r="O144">
        <v>2019</v>
      </c>
      <c r="P144" s="3">
        <f t="shared" ref="P144:P165" si="120">P143</f>
        <v>10.132971617029487</v>
      </c>
      <c r="Q144" s="3"/>
      <c r="R144" s="3">
        <f t="shared" si="71"/>
        <v>0</v>
      </c>
      <c r="S144" s="3">
        <f t="shared" si="72"/>
        <v>0</v>
      </c>
      <c r="T144" s="3">
        <f t="shared" si="73"/>
        <v>0</v>
      </c>
      <c r="U144" s="3"/>
      <c r="V144" s="3">
        <f t="shared" si="75"/>
        <v>85.77576939651793</v>
      </c>
      <c r="W144" s="3">
        <f t="shared" si="76"/>
        <v>60.997281876843516</v>
      </c>
      <c r="X144" s="3">
        <f t="shared" si="77"/>
        <v>39.414429930582088</v>
      </c>
      <c r="Y144" s="3"/>
      <c r="Z144" s="3">
        <f t="shared" si="90"/>
        <v>99.01271417490743</v>
      </c>
      <c r="AA144" s="3">
        <f t="shared" si="91"/>
        <v>70.410402359659187</v>
      </c>
      <c r="AB144" s="3">
        <f t="shared" si="92"/>
        <v>45.496877644353305</v>
      </c>
      <c r="AC144" s="3"/>
      <c r="AD144" s="3">
        <f t="shared" ref="AD144:AD155" si="121">V144/100*$AU$104/100</f>
        <v>0.96435379770699314</v>
      </c>
      <c r="AE144" s="3">
        <f t="shared" si="115"/>
        <v>0.68577595796098922</v>
      </c>
      <c r="AF144" s="3">
        <f t="shared" si="115"/>
        <v>0.44312578546868747</v>
      </c>
      <c r="AJ144" s="3">
        <f>'World Oil Price analysis'!Z59</f>
        <v>90.611761513694489</v>
      </c>
      <c r="AK144" s="3">
        <f>'World Oil Price analysis'!Y59</f>
        <v>56.019786702864394</v>
      </c>
      <c r="AL144" s="3">
        <f>'World Oil Price analysis'!AA59</f>
        <v>25.889074718198426</v>
      </c>
      <c r="AM144" s="3">
        <v>96.402931645791938</v>
      </c>
      <c r="AN144" s="3">
        <v>66.041436649658749</v>
      </c>
      <c r="AO144" s="3"/>
      <c r="AP144"/>
      <c r="AQ144" s="3"/>
      <c r="AR144"/>
      <c r="AS144"/>
      <c r="AY144">
        <v>2019</v>
      </c>
      <c r="BA144" s="3">
        <f>AK144*$AR$143/$AR$135</f>
        <v>64.663140350244831</v>
      </c>
      <c r="BB144" s="7">
        <f t="shared" ref="BB144:BB165" si="122">AJ144*$AR$143/$AR$135</f>
        <v>104.59234847181854</v>
      </c>
      <c r="BC144" s="7">
        <f t="shared" ref="BC144:BC165" si="123">AL144*$AR$143/$AR$135</f>
        <v>29.883528134805296</v>
      </c>
      <c r="BF144">
        <v>2019</v>
      </c>
      <c r="BG144" s="9"/>
      <c r="BH144" s="3">
        <f>D144*$AU$105/$AU$97</f>
        <v>61.73466337637619</v>
      </c>
      <c r="BI144" s="3">
        <f t="shared" si="87"/>
        <v>99.855549694593606</v>
      </c>
      <c r="BJ144" s="3">
        <f t="shared" si="88"/>
        <v>28.530157055598174</v>
      </c>
    </row>
    <row r="145" spans="1:62">
      <c r="A145">
        <v>2020</v>
      </c>
      <c r="B145" s="3"/>
      <c r="C145" s="7">
        <f>AJ145*'WTI from OPEC '!O33</f>
        <v>103.78087940337265</v>
      </c>
      <c r="D145" s="7">
        <f>AK145*'WTI from OPEC '!O33</f>
        <v>55.449464892784022</v>
      </c>
      <c r="E145" s="7">
        <f>AL145*'WTI from OPEC '!O33</f>
        <v>26.370551323807803</v>
      </c>
      <c r="F145" s="39">
        <v>1</v>
      </c>
      <c r="G145" s="3"/>
      <c r="H145" s="3">
        <f t="shared" si="100"/>
        <v>103.78087940337265</v>
      </c>
      <c r="I145" s="3">
        <f t="shared" si="101"/>
        <v>55.449464892784022</v>
      </c>
      <c r="J145" s="3">
        <f t="shared" si="102"/>
        <v>26.370551323807803</v>
      </c>
      <c r="K145" s="3"/>
      <c r="L145" s="6">
        <f t="shared" si="117"/>
        <v>88.604290257749597</v>
      </c>
      <c r="M145" s="6">
        <f t="shared" si="118"/>
        <v>52.340962674958163</v>
      </c>
      <c r="N145" s="6">
        <f t="shared" si="119"/>
        <v>30.522893016093938</v>
      </c>
      <c r="O145">
        <v>2020</v>
      </c>
      <c r="P145" s="3">
        <f t="shared" si="120"/>
        <v>10.132971617029487</v>
      </c>
      <c r="Q145" s="3"/>
      <c r="R145" s="3">
        <f t="shared" si="71"/>
        <v>0</v>
      </c>
      <c r="S145" s="3">
        <f t="shared" si="72"/>
        <v>0</v>
      </c>
      <c r="T145" s="3">
        <f t="shared" si="73"/>
        <v>0</v>
      </c>
      <c r="U145" s="3"/>
      <c r="V145" s="3">
        <f t="shared" si="75"/>
        <v>98.73726187477908</v>
      </c>
      <c r="W145" s="3">
        <f t="shared" si="76"/>
        <v>62.473934291987646</v>
      </c>
      <c r="X145" s="3">
        <f t="shared" si="77"/>
        <v>40.655864633123429</v>
      </c>
      <c r="Y145" s="3"/>
      <c r="Z145" s="3">
        <f t="shared" si="90"/>
        <v>113.97442841028428</v>
      </c>
      <c r="AA145" s="3">
        <f t="shared" si="91"/>
        <v>72.11493225831245</v>
      </c>
      <c r="AB145" s="3">
        <f t="shared" si="92"/>
        <v>46.929890956088485</v>
      </c>
      <c r="AC145" s="3"/>
      <c r="AD145" s="3">
        <f t="shared" si="121"/>
        <v>1.1100763552929258</v>
      </c>
      <c r="AE145" s="3">
        <f t="shared" si="115"/>
        <v>0.70237756205566781</v>
      </c>
      <c r="AF145" s="3">
        <f t="shared" si="115"/>
        <v>0.45708290037915533</v>
      </c>
      <c r="AG145" s="3"/>
      <c r="AJ145" s="3">
        <f>'World Oil Price analysis'!Z60</f>
        <v>105.28223718734027</v>
      </c>
      <c r="AK145" s="3">
        <f>'World Oil Price analysis'!Y60</f>
        <v>56.251630823658907</v>
      </c>
      <c r="AL145" s="3">
        <f>'World Oil Price analysis'!AA60</f>
        <v>26.752043875471706</v>
      </c>
      <c r="AM145" s="3">
        <v>98.235873095283466</v>
      </c>
      <c r="AN145" s="3">
        <v>77.838401231933247</v>
      </c>
      <c r="AO145"/>
      <c r="AP145"/>
      <c r="AQ145"/>
      <c r="AR145"/>
      <c r="AS145"/>
      <c r="AY145">
        <v>2020</v>
      </c>
      <c r="BA145" s="3">
        <f t="shared" ref="BA145:BA165" si="124">AK145*$AR$143/$AR$135</f>
        <v>64.930755951886312</v>
      </c>
      <c r="BB145" s="7">
        <f t="shared" si="122"/>
        <v>121.52634774820821</v>
      </c>
      <c r="BC145" s="7">
        <f t="shared" si="123"/>
        <v>30.879645739298809</v>
      </c>
      <c r="BF145">
        <v>2020</v>
      </c>
      <c r="BH145" s="3">
        <f t="shared" si="86"/>
        <v>64.006444444713594</v>
      </c>
      <c r="BI145" s="3">
        <f t="shared" si="87"/>
        <v>119.79637864494414</v>
      </c>
      <c r="BJ145" s="3">
        <f t="shared" si="88"/>
        <v>30.44006342617433</v>
      </c>
    </row>
    <row r="146" spans="1:62">
      <c r="A146">
        <v>2021</v>
      </c>
      <c r="B146" s="3"/>
      <c r="C146" s="7">
        <f>AJ146*'WTI from OPEC '!O34</f>
        <v>121.66795213192897</v>
      </c>
      <c r="D146" s="7">
        <f>AK146*'WTI from OPEC '!O34</f>
        <v>63.5272914097498</v>
      </c>
      <c r="E146" s="7">
        <f>AL146*'WTI from OPEC '!O34</f>
        <v>28.678874431097551</v>
      </c>
      <c r="F146" s="39">
        <v>1</v>
      </c>
      <c r="G146" s="3"/>
      <c r="H146" s="3">
        <f t="shared" si="100"/>
        <v>121.66795213192897</v>
      </c>
      <c r="I146" s="3">
        <f t="shared" si="101"/>
        <v>63.5272914097498</v>
      </c>
      <c r="J146" s="3">
        <f t="shared" si="102"/>
        <v>28.678874431097551</v>
      </c>
      <c r="K146" s="3"/>
      <c r="L146" s="6">
        <f t="shared" si="117"/>
        <v>102.02505984252444</v>
      </c>
      <c r="M146" s="6">
        <f t="shared" si="118"/>
        <v>58.401800581481943</v>
      </c>
      <c r="N146" s="6">
        <f t="shared" si="119"/>
        <v>32.254840608652728</v>
      </c>
      <c r="O146">
        <v>2021</v>
      </c>
      <c r="P146" s="3">
        <f t="shared" si="120"/>
        <v>10.132971617029487</v>
      </c>
      <c r="Q146" s="3"/>
      <c r="R146" s="3">
        <f t="shared" si="71"/>
        <v>0</v>
      </c>
      <c r="S146" s="3">
        <f t="shared" si="72"/>
        <v>0</v>
      </c>
      <c r="T146" s="3">
        <f t="shared" si="73"/>
        <v>0</v>
      </c>
      <c r="U146" s="3"/>
      <c r="V146" s="3">
        <f t="shared" si="75"/>
        <v>112.15803145955392</v>
      </c>
      <c r="W146" s="3">
        <f t="shared" si="76"/>
        <v>68.534772198511433</v>
      </c>
      <c r="X146" s="3">
        <f t="shared" si="77"/>
        <v>42.387812225682211</v>
      </c>
      <c r="Y146" s="3"/>
      <c r="Z146" s="3">
        <f t="shared" si="90"/>
        <v>129.46629554541659</v>
      </c>
      <c r="AA146" s="3">
        <f t="shared" si="91"/>
        <v>79.111080652213602</v>
      </c>
      <c r="AB146" s="3">
        <f t="shared" si="92"/>
        <v>48.929113267405967</v>
      </c>
      <c r="AC146" s="3"/>
      <c r="AD146" s="3">
        <f t="shared" si="121"/>
        <v>1.2609624412853357</v>
      </c>
      <c r="AE146" s="3">
        <f t="shared" si="115"/>
        <v>0.77051792492928828</v>
      </c>
      <c r="AF146" s="3">
        <f t="shared" si="115"/>
        <v>0.47655471916975828</v>
      </c>
      <c r="AG146" s="3"/>
      <c r="AJ146" s="3">
        <f>'World Oil Price analysis'!Z61</f>
        <v>120.81568201825931</v>
      </c>
      <c r="AK146" s="3">
        <f>'World Oil Price analysis'!Y61</f>
        <v>63.082289986431647</v>
      </c>
      <c r="AL146" s="3">
        <f>'World Oil Price analysis'!AA61</f>
        <v>28.477982190018274</v>
      </c>
      <c r="AM146" s="3">
        <v>99.602443029877136</v>
      </c>
      <c r="AN146" s="3">
        <v>86.707093587509959</v>
      </c>
      <c r="AO146"/>
      <c r="AP146"/>
      <c r="AQ146"/>
      <c r="AR146"/>
      <c r="AS146"/>
      <c r="AY146">
        <v>2021</v>
      </c>
      <c r="BA146" s="3">
        <f t="shared" si="124"/>
        <v>72.815324925164376</v>
      </c>
      <c r="BB146" s="7">
        <f t="shared" si="122"/>
        <v>139.45646462909139</v>
      </c>
      <c r="BC146" s="7">
        <f t="shared" si="123"/>
        <v>32.871880948285835</v>
      </c>
      <c r="BF146">
        <v>2021</v>
      </c>
      <c r="BH146" s="3">
        <f t="shared" si="86"/>
        <v>73.330843790891748</v>
      </c>
      <c r="BI146" s="3">
        <f t="shared" si="87"/>
        <v>140.44379028530216</v>
      </c>
      <c r="BJ146" s="3">
        <f t="shared" si="88"/>
        <v>33.104607710106947</v>
      </c>
    </row>
    <row r="147" spans="1:62">
      <c r="A147">
        <v>2022</v>
      </c>
      <c r="B147" s="3"/>
      <c r="C147" s="7">
        <f>AJ147*'WTI from OPEC '!O35</f>
        <v>130.40096697668466</v>
      </c>
      <c r="D147" s="7">
        <f>AK147*'WTI from OPEC '!O35</f>
        <v>69.599409638781481</v>
      </c>
      <c r="E147" s="7">
        <f>AL147*'WTI from OPEC '!O35</f>
        <v>29.956978900049172</v>
      </c>
      <c r="F147" s="39">
        <v>1</v>
      </c>
      <c r="G147" s="3"/>
      <c r="H147" s="3">
        <f t="shared" si="100"/>
        <v>130.40096697668466</v>
      </c>
      <c r="I147" s="3">
        <f t="shared" si="101"/>
        <v>69.599409638781481</v>
      </c>
      <c r="J147" s="3">
        <f t="shared" si="102"/>
        <v>29.956978900049172</v>
      </c>
      <c r="K147" s="3"/>
      <c r="L147" s="6">
        <f t="shared" si="117"/>
        <v>108.57748917461805</v>
      </c>
      <c r="M147" s="6">
        <f t="shared" si="118"/>
        <v>62.957744467886805</v>
      </c>
      <c r="N147" s="6">
        <f t="shared" si="119"/>
        <v>33.213809459698219</v>
      </c>
      <c r="O147">
        <v>2022</v>
      </c>
      <c r="P147" s="3">
        <f t="shared" si="120"/>
        <v>10.132971617029487</v>
      </c>
      <c r="Q147" s="3"/>
      <c r="R147" s="3">
        <f t="shared" si="71"/>
        <v>0</v>
      </c>
      <c r="S147" s="3">
        <f t="shared" si="72"/>
        <v>0</v>
      </c>
      <c r="T147" s="3">
        <f t="shared" si="73"/>
        <v>0</v>
      </c>
      <c r="U147" s="3"/>
      <c r="V147" s="3">
        <f t="shared" si="75"/>
        <v>118.71046079164753</v>
      </c>
      <c r="W147" s="3">
        <f t="shared" si="76"/>
        <v>73.090716084916295</v>
      </c>
      <c r="X147" s="3">
        <f t="shared" si="77"/>
        <v>43.346781076727709</v>
      </c>
      <c r="Y147" s="3"/>
      <c r="Z147" s="3">
        <f t="shared" si="90"/>
        <v>137.02989791441149</v>
      </c>
      <c r="AA147" s="3">
        <f t="shared" si="91"/>
        <v>84.370099288773147</v>
      </c>
      <c r="AB147" s="3">
        <f t="shared" si="92"/>
        <v>50.036070505087835</v>
      </c>
      <c r="AC147" s="3"/>
      <c r="AD147" s="3">
        <f t="shared" si="121"/>
        <v>1.3346296337228736</v>
      </c>
      <c r="AE147" s="3">
        <f t="shared" si="115"/>
        <v>0.82173917097471105</v>
      </c>
      <c r="AF147" s="3">
        <f t="shared" si="115"/>
        <v>0.48733614683744159</v>
      </c>
      <c r="AG147" s="3"/>
      <c r="AJ147" s="3">
        <f>'World Oil Price analysis'!Z62</f>
        <v>127.71943527644558</v>
      </c>
      <c r="AK147" s="3">
        <f>'World Oil Price analysis'!Y62</f>
        <v>68.168185410991157</v>
      </c>
      <c r="AL147" s="3">
        <f>'World Oil Price analysis'!AA62</f>
        <v>29.340951347291547</v>
      </c>
      <c r="AM147" s="3">
        <v>100.0209282325791</v>
      </c>
      <c r="AN147" s="3">
        <v>89.567106200782163</v>
      </c>
      <c r="AO147"/>
      <c r="AP147"/>
      <c r="AQ147"/>
      <c r="AR147"/>
      <c r="AS147"/>
      <c r="AY147">
        <v>2022</v>
      </c>
      <c r="BA147" s="3">
        <f t="shared" si="124"/>
        <v>78.685928670753853</v>
      </c>
      <c r="BB147" s="7">
        <f t="shared" si="122"/>
        <v>147.42540546503949</v>
      </c>
      <c r="BC147" s="7">
        <f t="shared" si="123"/>
        <v>33.867998552779333</v>
      </c>
      <c r="BF147">
        <v>2022</v>
      </c>
      <c r="BH147" s="3">
        <f t="shared" si="86"/>
        <v>80.340013290358399</v>
      </c>
      <c r="BI147" s="3">
        <f t="shared" si="87"/>
        <v>150.52448683623416</v>
      </c>
      <c r="BJ147" s="3">
        <f t="shared" si="88"/>
        <v>34.579949678594332</v>
      </c>
    </row>
    <row r="148" spans="1:62">
      <c r="A148">
        <v>2023</v>
      </c>
      <c r="B148" s="3"/>
      <c r="C148" s="7">
        <f>AJ148*'WTI from OPEC '!O36</f>
        <v>138.42763298148688</v>
      </c>
      <c r="D148" s="7">
        <f>AK148*'WTI from OPEC '!O36</f>
        <v>73.442683644964177</v>
      </c>
      <c r="E148" s="7">
        <f>AL148*'WTI from OPEC '!O36</f>
        <v>30.561944943964633</v>
      </c>
      <c r="F148" s="39">
        <v>1</v>
      </c>
      <c r="G148" s="3"/>
      <c r="H148" s="3">
        <f t="shared" si="100"/>
        <v>138.42763298148688</v>
      </c>
      <c r="I148" s="3">
        <f t="shared" si="101"/>
        <v>73.442683644964177</v>
      </c>
      <c r="J148" s="3">
        <f t="shared" si="102"/>
        <v>30.561944943964633</v>
      </c>
      <c r="K148" s="3"/>
      <c r="L148" s="6">
        <f t="shared" si="117"/>
        <v>114.59994106594496</v>
      </c>
      <c r="M148" s="6">
        <f t="shared" si="118"/>
        <v>65.841374208251565</v>
      </c>
      <c r="N148" s="6">
        <f t="shared" si="119"/>
        <v>33.667718827944938</v>
      </c>
      <c r="O148">
        <v>2023</v>
      </c>
      <c r="P148" s="3">
        <f t="shared" si="120"/>
        <v>10.132971617029487</v>
      </c>
      <c r="Q148" s="3"/>
      <c r="R148" s="3">
        <f t="shared" si="71"/>
        <v>0</v>
      </c>
      <c r="S148" s="3">
        <f t="shared" si="72"/>
        <v>0</v>
      </c>
      <c r="T148" s="3">
        <f t="shared" si="73"/>
        <v>0</v>
      </c>
      <c r="U148" s="3"/>
      <c r="V148" s="3">
        <f t="shared" si="75"/>
        <v>124.73291268297444</v>
      </c>
      <c r="W148" s="3">
        <f t="shared" si="76"/>
        <v>75.974345825281048</v>
      </c>
      <c r="X148" s="3">
        <f t="shared" si="77"/>
        <v>43.800690444974421</v>
      </c>
      <c r="Y148" s="3"/>
      <c r="Z148" s="3">
        <f t="shared" si="90"/>
        <v>143.98173655069994</v>
      </c>
      <c r="AA148" s="3">
        <f t="shared" si="91"/>
        <v>87.698731713498304</v>
      </c>
      <c r="AB148" s="3">
        <f t="shared" si="92"/>
        <v>50.560027315451926</v>
      </c>
      <c r="AC148" s="3"/>
      <c r="AD148" s="3">
        <f t="shared" si="121"/>
        <v>1.4023384329999868</v>
      </c>
      <c r="AE148" s="3">
        <f t="shared" si="115"/>
        <v>0.85415904095508421</v>
      </c>
      <c r="AF148" s="3">
        <f t="shared" si="115"/>
        <v>0.49243932721300893</v>
      </c>
      <c r="AG148" s="3"/>
      <c r="AJ148" s="3">
        <f>'World Oil Price analysis'!Z63</f>
        <v>132.89725022008525</v>
      </c>
      <c r="AK148" s="3">
        <f>'World Oil Price analysis'!Y63</f>
        <v>70.508542947524788</v>
      </c>
      <c r="AL148" s="3">
        <f>'World Oil Price analysis'!AA63</f>
        <v>29.340951347291547</v>
      </c>
      <c r="AM148" s="3">
        <v>100.75649762842974</v>
      </c>
      <c r="AN148" s="3">
        <v>91.825473041695659</v>
      </c>
      <c r="AO148"/>
      <c r="AP148"/>
      <c r="AQ148"/>
      <c r="AR148"/>
      <c r="AS148"/>
      <c r="AY148">
        <v>2023</v>
      </c>
      <c r="BA148" s="3">
        <f t="shared" si="124"/>
        <v>81.387382509864764</v>
      </c>
      <c r="BB148" s="7">
        <f t="shared" si="122"/>
        <v>153.40211109200052</v>
      </c>
      <c r="BC148" s="7">
        <f t="shared" si="123"/>
        <v>33.867998552779333</v>
      </c>
      <c r="BF148">
        <v>2023</v>
      </c>
      <c r="BH148" s="3">
        <f t="shared" si="86"/>
        <v>84.7763825977664</v>
      </c>
      <c r="BI148" s="3">
        <f t="shared" si="87"/>
        <v>159.78983056328434</v>
      </c>
      <c r="BJ148" s="3">
        <f t="shared" si="88"/>
        <v>35.278274280205629</v>
      </c>
    </row>
    <row r="149" spans="1:62">
      <c r="A149">
        <v>2024</v>
      </c>
      <c r="B149" s="3"/>
      <c r="C149" s="7">
        <f>AJ149*'WTI from OPEC '!O37</f>
        <v>144.18070317168343</v>
      </c>
      <c r="D149" s="7">
        <f>AK149*'WTI from OPEC '!O37</f>
        <v>74.739655128391746</v>
      </c>
      <c r="E149" s="7">
        <f>AL149*'WTI from OPEC '!O37</f>
        <v>30.831093759982615</v>
      </c>
      <c r="F149" s="39">
        <v>1</v>
      </c>
      <c r="G149" s="3"/>
      <c r="H149" s="3">
        <f t="shared" si="100"/>
        <v>144.18070317168343</v>
      </c>
      <c r="I149" s="3">
        <f t="shared" si="101"/>
        <v>74.739655128391746</v>
      </c>
      <c r="J149" s="3">
        <f t="shared" si="102"/>
        <v>30.831093759982615</v>
      </c>
      <c r="K149" s="3"/>
      <c r="L149" s="6">
        <f t="shared" si="117"/>
        <v>118.91650144445785</v>
      </c>
      <c r="M149" s="6">
        <f t="shared" si="118"/>
        <v>66.814499084594019</v>
      </c>
      <c r="N149" s="6">
        <f t="shared" si="119"/>
        <v>33.869662673011632</v>
      </c>
      <c r="O149">
        <v>2024</v>
      </c>
      <c r="P149" s="3">
        <f t="shared" si="120"/>
        <v>10.132971617029487</v>
      </c>
      <c r="Q149" s="3"/>
      <c r="R149" s="3">
        <f t="shared" si="71"/>
        <v>0</v>
      </c>
      <c r="S149" s="3">
        <f t="shared" si="72"/>
        <v>0</v>
      </c>
      <c r="T149" s="3">
        <f t="shared" si="73"/>
        <v>0</v>
      </c>
      <c r="U149" s="3"/>
      <c r="V149" s="3">
        <f t="shared" si="75"/>
        <v>129.04947306148733</v>
      </c>
      <c r="W149" s="3">
        <f t="shared" si="76"/>
        <v>76.947470701623502</v>
      </c>
      <c r="X149" s="3">
        <f t="shared" si="77"/>
        <v>44.002634290041115</v>
      </c>
      <c r="Y149" s="3"/>
      <c r="Z149" s="3">
        <f t="shared" si="90"/>
        <v>148.96442993816115</v>
      </c>
      <c r="AA149" s="3">
        <f t="shared" si="91"/>
        <v>88.822029538929399</v>
      </c>
      <c r="AB149" s="3">
        <f t="shared" si="92"/>
        <v>50.79313520071657</v>
      </c>
      <c r="AC149" s="3"/>
      <c r="AD149" s="3">
        <f t="shared" si="121"/>
        <v>1.4508683549504091</v>
      </c>
      <c r="AE149" s="3">
        <f t="shared" si="115"/>
        <v>0.86509962099005722</v>
      </c>
      <c r="AF149" s="3">
        <f t="shared" si="115"/>
        <v>0.49470972729550033</v>
      </c>
      <c r="AG149" s="3"/>
      <c r="AJ149" s="3">
        <f>'World Oil Price analysis'!Z64</f>
        <v>137.21209600645167</v>
      </c>
      <c r="AK149" s="3">
        <f>'World Oil Price analysis'!Y64</f>
        <v>71.127304204880986</v>
      </c>
      <c r="AL149" s="3">
        <f>'World Oil Price analysis'!AA64</f>
        <v>29.340951347291547</v>
      </c>
      <c r="AM149" s="3">
        <v>101.43455447274016</v>
      </c>
      <c r="AN149" s="3">
        <v>93.633865827302159</v>
      </c>
      <c r="AO149"/>
      <c r="AP149"/>
      <c r="AQ149"/>
      <c r="AR149"/>
      <c r="AS149"/>
      <c r="AY149">
        <v>2024</v>
      </c>
      <c r="BA149" s="3">
        <f t="shared" si="124"/>
        <v>82.101613112704101</v>
      </c>
      <c r="BB149" s="7">
        <f t="shared" si="122"/>
        <v>158.3826991144681</v>
      </c>
      <c r="BC149" s="7">
        <f t="shared" si="123"/>
        <v>33.867998552779333</v>
      </c>
      <c r="BF149">
        <v>2024</v>
      </c>
      <c r="BH149" s="3">
        <f t="shared" si="86"/>
        <v>86.273503144572402</v>
      </c>
      <c r="BI149" s="3">
        <f t="shared" si="87"/>
        <v>166.43071642624736</v>
      </c>
      <c r="BJ149" s="3">
        <f t="shared" si="88"/>
        <v>35.588958229512002</v>
      </c>
    </row>
    <row r="150" spans="1:62">
      <c r="A150">
        <v>2025</v>
      </c>
      <c r="B150" s="3"/>
      <c r="C150" s="7">
        <f>AJ150*'WTI from OPEC '!O38</f>
        <v>150.32383613132774</v>
      </c>
      <c r="D150" s="7">
        <f>AK150*'WTI from OPEC '!O38</f>
        <v>78.9872275839991</v>
      </c>
      <c r="E150" s="7">
        <f>AL150*'WTI from OPEC '!O38</f>
        <v>32.081306491441893</v>
      </c>
      <c r="F150" s="39">
        <v>1</v>
      </c>
      <c r="G150" s="3"/>
      <c r="H150" s="3">
        <f t="shared" si="100"/>
        <v>150.32383613132774</v>
      </c>
      <c r="I150" s="3">
        <f t="shared" si="101"/>
        <v>78.9872275839991</v>
      </c>
      <c r="J150" s="3">
        <f t="shared" si="102"/>
        <v>32.081306491441893</v>
      </c>
      <c r="K150" s="3"/>
      <c r="L150" s="6">
        <f t="shared" si="117"/>
        <v>123.52572807595689</v>
      </c>
      <c r="M150" s="6">
        <f t="shared" si="118"/>
        <v>70.001476187355749</v>
      </c>
      <c r="N150" s="6">
        <f t="shared" si="119"/>
        <v>34.807704199173706</v>
      </c>
      <c r="O150">
        <v>2025</v>
      </c>
      <c r="P150" s="3">
        <f t="shared" si="120"/>
        <v>10.132971617029487</v>
      </c>
      <c r="Q150" s="3"/>
      <c r="R150" s="3">
        <f t="shared" si="71"/>
        <v>0</v>
      </c>
      <c r="S150" s="3">
        <f t="shared" si="72"/>
        <v>0</v>
      </c>
      <c r="T150" s="3">
        <f t="shared" si="73"/>
        <v>0</v>
      </c>
      <c r="U150" s="3"/>
      <c r="V150" s="3">
        <f t="shared" si="75"/>
        <v>133.65869969298637</v>
      </c>
      <c r="W150" s="3">
        <f t="shared" si="76"/>
        <v>80.134447804385232</v>
      </c>
      <c r="X150" s="3">
        <f t="shared" si="77"/>
        <v>44.940675816203196</v>
      </c>
      <c r="Y150" s="3"/>
      <c r="Z150" s="3">
        <f t="shared" si="90"/>
        <v>154.28495393045904</v>
      </c>
      <c r="AA150" s="3">
        <f t="shared" si="91"/>
        <v>92.500821990198631</v>
      </c>
      <c r="AB150" s="3">
        <f t="shared" si="92"/>
        <v>51.875935601896657</v>
      </c>
      <c r="AC150" s="3"/>
      <c r="AD150" s="3">
        <f t="shared" si="121"/>
        <v>1.5026886445013037</v>
      </c>
      <c r="AE150" s="3">
        <f t="shared" si="115"/>
        <v>0.90092994339784749</v>
      </c>
      <c r="AF150" s="3">
        <f t="shared" si="115"/>
        <v>0.50525587470432776</v>
      </c>
      <c r="AG150" s="3"/>
      <c r="AJ150" s="3">
        <f>'World Oil Price analysis'!Z65</f>
        <v>141.52694179281806</v>
      </c>
      <c r="AK150" s="3">
        <f>'World Oil Price analysis'!Y65</f>
        <v>74.364924740814473</v>
      </c>
      <c r="AL150" s="3">
        <f>'World Oil Price analysis'!AA65</f>
        <v>30.203920504564827</v>
      </c>
      <c r="AM150" s="3">
        <v>101.84965151689914</v>
      </c>
      <c r="AN150" s="3">
        <v>93.509518273245646</v>
      </c>
      <c r="AO150"/>
      <c r="AP150"/>
      <c r="AQ150"/>
      <c r="AR150"/>
      <c r="AS150"/>
      <c r="AY150">
        <v>2025</v>
      </c>
      <c r="BA150" s="3">
        <f t="shared" si="124"/>
        <v>85.838769632530642</v>
      </c>
      <c r="BB150" s="7">
        <f t="shared" si="122"/>
        <v>163.36328713693564</v>
      </c>
      <c r="BC150" s="7">
        <f t="shared" si="123"/>
        <v>34.864116157272846</v>
      </c>
      <c r="BF150">
        <v>2025</v>
      </c>
      <c r="BH150" s="3">
        <f t="shared" si="86"/>
        <v>91.176562370309099</v>
      </c>
      <c r="BI150" s="3">
        <f t="shared" si="87"/>
        <v>173.52185967277364</v>
      </c>
      <c r="BJ150" s="3">
        <f t="shared" si="88"/>
        <v>37.032104198457787</v>
      </c>
    </row>
    <row r="151" spans="1:62">
      <c r="A151">
        <v>2026</v>
      </c>
      <c r="B151" s="3"/>
      <c r="C151" s="7">
        <f>AJ151*'WTI from OPEC '!O39</f>
        <v>156.85006770921441</v>
      </c>
      <c r="D151" s="7">
        <f>AK151*'WTI from OPEC '!O39</f>
        <v>86.098081121118753</v>
      </c>
      <c r="E151" s="7">
        <f>AL151*'WTI from OPEC '!O39</f>
        <v>33.411848742791229</v>
      </c>
      <c r="F151" s="39">
        <v>1</v>
      </c>
      <c r="G151" s="3"/>
      <c r="H151" s="3">
        <f t="shared" ref="H151:J155" si="125">C151*$F151</f>
        <v>156.85006770921441</v>
      </c>
      <c r="I151" s="3">
        <f t="shared" si="125"/>
        <v>86.098081121118753</v>
      </c>
      <c r="J151" s="3">
        <f t="shared" si="125"/>
        <v>33.411848742791229</v>
      </c>
      <c r="K151" s="3"/>
      <c r="L151" s="6">
        <f t="shared" si="117"/>
        <v>128.42239571928056</v>
      </c>
      <c r="M151" s="6">
        <f t="shared" si="118"/>
        <v>75.336788919684892</v>
      </c>
      <c r="N151" s="6">
        <f t="shared" si="119"/>
        <v>35.806017408336146</v>
      </c>
      <c r="O151">
        <v>2026</v>
      </c>
      <c r="P151" s="3">
        <f t="shared" si="120"/>
        <v>10.132971617029487</v>
      </c>
      <c r="Q151" s="3"/>
      <c r="R151" s="3">
        <f t="shared" si="71"/>
        <v>0</v>
      </c>
      <c r="S151" s="3">
        <f t="shared" si="72"/>
        <v>0</v>
      </c>
      <c r="T151" s="3">
        <f t="shared" si="73"/>
        <v>0</v>
      </c>
      <c r="U151" s="3"/>
      <c r="V151" s="3">
        <f t="shared" si="75"/>
        <v>138.55536733631004</v>
      </c>
      <c r="W151" s="3">
        <f t="shared" si="76"/>
        <v>85.469760536714375</v>
      </c>
      <c r="X151" s="3">
        <f t="shared" si="77"/>
        <v>45.938989025365629</v>
      </c>
      <c r="Y151" s="3"/>
      <c r="Z151" s="3">
        <f t="shared" si="90"/>
        <v>159.93727692550766</v>
      </c>
      <c r="AA151" s="3">
        <f t="shared" si="91"/>
        <v>98.659481927806794</v>
      </c>
      <c r="AB151" s="3">
        <f t="shared" si="92"/>
        <v>53.028308831904042</v>
      </c>
      <c r="AC151" s="3"/>
      <c r="AD151" s="3">
        <f t="shared" si="121"/>
        <v>1.5577405556782125</v>
      </c>
      <c r="AE151" s="3">
        <f t="shared" si="115"/>
        <v>0.96091342278340164</v>
      </c>
      <c r="AF151" s="3">
        <f t="shared" si="115"/>
        <v>0.51647964035901306</v>
      </c>
      <c r="AG151" s="3"/>
      <c r="AJ151" s="3">
        <f>'World Oil Price analysis'!Z66</f>
        <v>145.84178757918448</v>
      </c>
      <c r="AK151" s="3">
        <f>'World Oil Price analysis'!Y66</f>
        <v>80.055420065999314</v>
      </c>
      <c r="AL151" s="3">
        <f>'World Oil Price analysis'!AA66</f>
        <v>31.066889661838108</v>
      </c>
      <c r="AM151" s="3">
        <v>103.05046039320804</v>
      </c>
      <c r="AN151" s="3">
        <v>95.971122089857616</v>
      </c>
      <c r="AO151"/>
      <c r="AP151"/>
      <c r="AQ151"/>
      <c r="AR151"/>
      <c r="AS151"/>
      <c r="AY151">
        <v>2026</v>
      </c>
      <c r="BA151" s="3">
        <f t="shared" si="124"/>
        <v>92.407257653139695</v>
      </c>
      <c r="BB151" s="7">
        <f t="shared" si="122"/>
        <v>168.34387515940318</v>
      </c>
      <c r="BC151" s="7">
        <f t="shared" si="123"/>
        <v>35.860233761766352</v>
      </c>
      <c r="BF151">
        <v>2026</v>
      </c>
      <c r="BH151" s="3">
        <f t="shared" si="86"/>
        <v>99.384765150231217</v>
      </c>
      <c r="BI151" s="3">
        <f t="shared" si="87"/>
        <v>181.05522144156683</v>
      </c>
      <c r="BJ151" s="3">
        <f t="shared" si="88"/>
        <v>38.567976165067478</v>
      </c>
    </row>
    <row r="152" spans="1:62">
      <c r="A152">
        <v>2027</v>
      </c>
      <c r="B152" s="3"/>
      <c r="C152" s="7">
        <f>AJ152*'WTI from OPEC '!O40</f>
        <v>163.23014954777463</v>
      </c>
      <c r="D152" s="7">
        <f>AK152*'WTI from OPEC '!O40</f>
        <v>90.213592530843215</v>
      </c>
      <c r="E152" s="7">
        <f>AL152*'WTI from OPEC '!O40</f>
        <v>34.709859386595753</v>
      </c>
      <c r="F152" s="39">
        <v>1</v>
      </c>
      <c r="G152" s="3"/>
      <c r="H152" s="3">
        <f t="shared" si="125"/>
        <v>163.23014954777463</v>
      </c>
      <c r="I152" s="3">
        <f t="shared" si="125"/>
        <v>90.213592530843215</v>
      </c>
      <c r="J152" s="3">
        <f t="shared" si="125"/>
        <v>34.709859386595753</v>
      </c>
      <c r="K152" s="3"/>
      <c r="L152" s="6">
        <f t="shared" si="117"/>
        <v>133.20940640497111</v>
      </c>
      <c r="M152" s="6">
        <f t="shared" si="118"/>
        <v>78.424679889415501</v>
      </c>
      <c r="N152" s="6">
        <f t="shared" si="119"/>
        <v>36.779921972456059</v>
      </c>
      <c r="O152">
        <v>2027</v>
      </c>
      <c r="P152" s="3">
        <f t="shared" si="120"/>
        <v>10.132971617029487</v>
      </c>
      <c r="Q152" s="3"/>
      <c r="R152" s="3">
        <f t="shared" si="71"/>
        <v>0</v>
      </c>
      <c r="S152" s="3">
        <f t="shared" si="72"/>
        <v>0</v>
      </c>
      <c r="T152" s="3">
        <f t="shared" si="73"/>
        <v>0</v>
      </c>
      <c r="U152" s="3"/>
      <c r="V152" s="3">
        <f t="shared" si="75"/>
        <v>143.34237802200059</v>
      </c>
      <c r="W152" s="3">
        <f t="shared" si="76"/>
        <v>88.557651506444984</v>
      </c>
      <c r="X152" s="3">
        <f t="shared" si="77"/>
        <v>46.912893589485549</v>
      </c>
      <c r="Y152" s="3"/>
      <c r="Z152" s="3">
        <f t="shared" si="90"/>
        <v>165.46302066536791</v>
      </c>
      <c r="AA152" s="3">
        <f t="shared" si="91"/>
        <v>102.22389724159849</v>
      </c>
      <c r="AB152" s="3">
        <f t="shared" si="92"/>
        <v>54.152506666785349</v>
      </c>
      <c r="AC152" s="3"/>
      <c r="AD152" s="3">
        <f t="shared" si="121"/>
        <v>1.6115596233110472</v>
      </c>
      <c r="AE152" s="3">
        <f t="shared" si="115"/>
        <v>0.99562974657175718</v>
      </c>
      <c r="AF152" s="3">
        <f t="shared" si="115"/>
        <v>0.52742898621298739</v>
      </c>
      <c r="AG152" s="3"/>
      <c r="AJ152" s="3">
        <f>'World Oil Price analysis'!Z67</f>
        <v>150.15663336555087</v>
      </c>
      <c r="AK152" s="3">
        <f>'World Oil Price analysis'!Y67</f>
        <v>82.98815737026753</v>
      </c>
      <c r="AL152" s="3">
        <f>'World Oil Price analysis'!AA67</f>
        <v>31.929858819111395</v>
      </c>
      <c r="AM152" s="3">
        <v>104.70696687413063</v>
      </c>
      <c r="AN152" s="3">
        <v>98.90686776209894</v>
      </c>
      <c r="AO152"/>
      <c r="AP152"/>
      <c r="AQ152"/>
      <c r="AR152"/>
      <c r="AS152"/>
      <c r="AY152">
        <v>2027</v>
      </c>
      <c r="BA152" s="3">
        <f t="shared" si="124"/>
        <v>95.792490176822227</v>
      </c>
      <c r="BB152" s="7">
        <f t="shared" si="122"/>
        <v>173.32446318187073</v>
      </c>
      <c r="BC152" s="7">
        <f t="shared" si="123"/>
        <v>36.856351366259872</v>
      </c>
      <c r="BF152">
        <v>2027</v>
      </c>
      <c r="BH152" s="3">
        <f t="shared" si="86"/>
        <v>104.1353836263059</v>
      </c>
      <c r="BI152" s="3">
        <f t="shared" si="87"/>
        <v>188.41987959547581</v>
      </c>
      <c r="BJ152" s="3">
        <f t="shared" si="88"/>
        <v>40.066296235819564</v>
      </c>
    </row>
    <row r="153" spans="1:62">
      <c r="A153">
        <v>2028</v>
      </c>
      <c r="B153" s="3"/>
      <c r="C153" s="7">
        <f>AJ153*'WTI from OPEC '!O41</f>
        <v>169.4626741517304</v>
      </c>
      <c r="D153" s="7">
        <f>AK153*'WTI from OPEC '!O41</f>
        <v>93.601596868782337</v>
      </c>
      <c r="E153" s="7">
        <f>AL153*'WTI from OPEC '!O41</f>
        <v>35.225387323674298</v>
      </c>
      <c r="F153" s="39">
        <v>1</v>
      </c>
      <c r="G153" s="3"/>
      <c r="H153" s="3">
        <f t="shared" si="125"/>
        <v>169.4626741517304</v>
      </c>
      <c r="I153" s="3">
        <f>D153*$F153</f>
        <v>93.601596868782337</v>
      </c>
      <c r="J153" s="3">
        <f t="shared" si="125"/>
        <v>35.225387323674298</v>
      </c>
      <c r="K153" s="3"/>
      <c r="L153" s="6">
        <f t="shared" si="117"/>
        <v>137.88570408153797</v>
      </c>
      <c r="M153" s="6">
        <f t="shared" si="118"/>
        <v>80.96671828002971</v>
      </c>
      <c r="N153" s="6">
        <f t="shared" si="119"/>
        <v>37.166725434545178</v>
      </c>
      <c r="O153">
        <v>2028</v>
      </c>
      <c r="P153" s="3">
        <f t="shared" si="120"/>
        <v>10.132971617029487</v>
      </c>
      <c r="Q153" s="3"/>
      <c r="R153" s="3">
        <f t="shared" si="71"/>
        <v>0</v>
      </c>
      <c r="S153" s="3">
        <f t="shared" si="72"/>
        <v>0</v>
      </c>
      <c r="T153" s="3">
        <f t="shared" si="73"/>
        <v>0</v>
      </c>
      <c r="U153" s="3"/>
      <c r="V153" s="3">
        <f t="shared" si="75"/>
        <v>148.01867569856745</v>
      </c>
      <c r="W153" s="3">
        <f t="shared" si="76"/>
        <v>91.099689897059193</v>
      </c>
      <c r="X153" s="3">
        <f t="shared" si="77"/>
        <v>47.299697051574668</v>
      </c>
      <c r="Y153" s="3"/>
      <c r="Z153" s="3">
        <f t="shared" si="90"/>
        <v>170.86096612833794</v>
      </c>
      <c r="AA153" s="3">
        <f t="shared" si="91"/>
        <v>105.15822382779341</v>
      </c>
      <c r="AB153" s="3">
        <f t="shared" si="92"/>
        <v>54.599001765612748</v>
      </c>
      <c r="AC153" s="3"/>
      <c r="AD153" s="3">
        <f t="shared" si="121"/>
        <v>1.6641339744982571</v>
      </c>
      <c r="AE153" s="3">
        <f t="shared" si="115"/>
        <v>1.0242091973088707</v>
      </c>
      <c r="AF153" s="3">
        <f t="shared" si="115"/>
        <v>0.53177771301842713</v>
      </c>
      <c r="AG153" s="3"/>
      <c r="AJ153" s="3">
        <f>'World Oil Price analysis'!Z68</f>
        <v>153.60850999464401</v>
      </c>
      <c r="AK153" s="3">
        <f>'World Oil Price analysis'!Y68</f>
        <v>84.844653255379882</v>
      </c>
      <c r="AL153" s="3">
        <f>'World Oil Price analysis'!AA68</f>
        <v>31.929858819111395</v>
      </c>
      <c r="AM153" s="3">
        <v>106.58862219284818</v>
      </c>
      <c r="AN153" s="3">
        <v>101.71298848861599</v>
      </c>
      <c r="AO153"/>
      <c r="AP153"/>
      <c r="AQ153"/>
      <c r="AR153"/>
      <c r="AS153"/>
      <c r="AY153">
        <v>2028</v>
      </c>
      <c r="BA153" s="3">
        <f t="shared" si="124"/>
        <v>97.935426825535558</v>
      </c>
      <c r="BB153" s="7">
        <f t="shared" si="122"/>
        <v>177.30893359984478</v>
      </c>
      <c r="BC153" s="7">
        <f t="shared" si="123"/>
        <v>36.856351366259872</v>
      </c>
      <c r="BF153">
        <v>2028</v>
      </c>
      <c r="BH153" s="3">
        <f t="shared" si="86"/>
        <v>108.04622590141267</v>
      </c>
      <c r="BI153" s="3">
        <f t="shared" si="87"/>
        <v>195.61420943409107</v>
      </c>
      <c r="BJ153" s="3">
        <f t="shared" si="88"/>
        <v>40.66138061270432</v>
      </c>
    </row>
    <row r="154" spans="1:62">
      <c r="A154">
        <v>2029</v>
      </c>
      <c r="B154" s="3"/>
      <c r="C154" s="7">
        <f>AJ154*'WTI from OPEC '!O42</f>
        <v>176.69450009701046</v>
      </c>
      <c r="D154" s="7">
        <f>AK154*'WTI from OPEC '!O42</f>
        <v>97.744946195375263</v>
      </c>
      <c r="E154" s="7">
        <f>AL154*'WTI from OPEC '!O42</f>
        <v>35.725117505952937</v>
      </c>
      <c r="F154" s="39">
        <v>1</v>
      </c>
      <c r="G154" s="3"/>
      <c r="H154" s="3">
        <f t="shared" si="125"/>
        <v>176.69450009701046</v>
      </c>
      <c r="I154" s="3">
        <f t="shared" si="125"/>
        <v>97.744946195375263</v>
      </c>
      <c r="J154" s="3">
        <f t="shared" si="125"/>
        <v>35.725117505952937</v>
      </c>
      <c r="K154" s="3"/>
      <c r="L154" s="6">
        <f t="shared" si="117"/>
        <v>143.31178308069425</v>
      </c>
      <c r="M154" s="6">
        <f t="shared" si="118"/>
        <v>84.075496192732018</v>
      </c>
      <c r="N154" s="6">
        <f t="shared" si="119"/>
        <v>37.541675753845432</v>
      </c>
      <c r="O154">
        <v>2029</v>
      </c>
      <c r="P154" s="3">
        <f t="shared" si="120"/>
        <v>10.132971617029487</v>
      </c>
      <c r="Q154" s="3"/>
      <c r="R154" s="3">
        <f t="shared" si="71"/>
        <v>0</v>
      </c>
      <c r="S154" s="3">
        <f t="shared" si="72"/>
        <v>0</v>
      </c>
      <c r="T154" s="3">
        <f t="shared" si="73"/>
        <v>0</v>
      </c>
      <c r="U154" s="3"/>
      <c r="V154" s="3">
        <f t="shared" si="75"/>
        <v>153.44475469772374</v>
      </c>
      <c r="W154" s="3">
        <f t="shared" si="76"/>
        <v>94.208467809761501</v>
      </c>
      <c r="X154" s="3">
        <f t="shared" si="77"/>
        <v>47.674647370874922</v>
      </c>
      <c r="Y154" s="3"/>
      <c r="Z154" s="3">
        <f t="shared" si="90"/>
        <v>177.12439941274678</v>
      </c>
      <c r="AA154" s="3">
        <f t="shared" si="91"/>
        <v>108.74674936442538</v>
      </c>
      <c r="AB154" s="3">
        <f t="shared" si="92"/>
        <v>55.031814540780623</v>
      </c>
      <c r="AC154" s="3"/>
      <c r="AD154" s="3">
        <f t="shared" si="121"/>
        <v>1.7251379144956396</v>
      </c>
      <c r="AE154" s="3">
        <f t="shared" si="115"/>
        <v>1.0591603473531603</v>
      </c>
      <c r="AF154" s="3">
        <f t="shared" si="115"/>
        <v>0.5359931781423497</v>
      </c>
      <c r="AG154" s="3"/>
      <c r="AJ154" s="3">
        <f>'World Oil Price analysis'!Z69</f>
        <v>157.9233557810104</v>
      </c>
      <c r="AK154" s="3">
        <f>'World Oil Price analysis'!Y69</f>
        <v>87.361009569245411</v>
      </c>
      <c r="AL154" s="3">
        <f>'World Oil Price analysis'!AA69</f>
        <v>31.929858819111395</v>
      </c>
      <c r="AM154" s="3">
        <v>107.90625941586495</v>
      </c>
      <c r="AN154" s="3">
        <v>103.35024640047888</v>
      </c>
      <c r="AO154"/>
      <c r="AP154"/>
      <c r="AQ154"/>
      <c r="AR154"/>
      <c r="AS154"/>
      <c r="AY154">
        <v>2029</v>
      </c>
      <c r="BA154" s="3">
        <f t="shared" si="124"/>
        <v>100.84003448421468</v>
      </c>
      <c r="BB154" s="7">
        <f t="shared" si="122"/>
        <v>182.28952162231232</v>
      </c>
      <c r="BC154" s="7">
        <f t="shared" si="123"/>
        <v>36.856351366259872</v>
      </c>
      <c r="BF154">
        <v>2029</v>
      </c>
      <c r="BH154" s="3">
        <f t="shared" si="86"/>
        <v>112.82897825078881</v>
      </c>
      <c r="BI154" s="3">
        <f t="shared" si="87"/>
        <v>203.96205312375386</v>
      </c>
      <c r="BJ154" s="3">
        <f t="shared" si="88"/>
        <v>41.238229320103244</v>
      </c>
    </row>
    <row r="155" spans="1:62">
      <c r="A155">
        <v>2030</v>
      </c>
      <c r="B155" s="3"/>
      <c r="C155" s="7">
        <f>AJ155*'WTI from OPEC '!O43</f>
        <v>179.77373484316988</v>
      </c>
      <c r="D155" s="7">
        <f>AK155*'WTI from OPEC '!O43</f>
        <v>99.999299351098145</v>
      </c>
      <c r="E155" s="7">
        <f>AL155*'WTI from OPEC '!O43</f>
        <v>36.727967333550843</v>
      </c>
      <c r="F155" s="39">
        <v>1</v>
      </c>
      <c r="G155" s="3"/>
      <c r="H155" s="3">
        <f t="shared" si="125"/>
        <v>179.77373484316988</v>
      </c>
      <c r="I155" s="3">
        <f t="shared" si="125"/>
        <v>99.999299351098145</v>
      </c>
      <c r="J155" s="3">
        <f t="shared" si="125"/>
        <v>36.727967333550843</v>
      </c>
      <c r="K155" s="3"/>
      <c r="L155" s="6">
        <f t="shared" si="117"/>
        <v>145.62214993908256</v>
      </c>
      <c r="M155" s="6">
        <f t="shared" si="118"/>
        <v>85.766949832173253</v>
      </c>
      <c r="N155" s="6">
        <f t="shared" si="119"/>
        <v>38.294119525309263</v>
      </c>
      <c r="O155">
        <v>2030</v>
      </c>
      <c r="P155" s="3">
        <f t="shared" si="120"/>
        <v>10.132971617029487</v>
      </c>
      <c r="Q155" s="3"/>
      <c r="R155" s="3">
        <f t="shared" si="71"/>
        <v>0</v>
      </c>
      <c r="S155" s="3">
        <f t="shared" si="72"/>
        <v>0</v>
      </c>
      <c r="T155" s="3">
        <f t="shared" si="73"/>
        <v>0</v>
      </c>
      <c r="U155" s="3"/>
      <c r="V155" s="3">
        <f t="shared" si="75"/>
        <v>155.75512155611204</v>
      </c>
      <c r="W155" s="3">
        <f t="shared" si="76"/>
        <v>95.899921449202736</v>
      </c>
      <c r="X155" s="3">
        <f t="shared" si="77"/>
        <v>48.427091142338753</v>
      </c>
      <c r="Y155" s="3"/>
      <c r="Z155" s="3">
        <f t="shared" si="90"/>
        <v>179.79130284011572</v>
      </c>
      <c r="AA155" s="3">
        <f t="shared" si="91"/>
        <v>110.69922868254037</v>
      </c>
      <c r="AB155" s="3">
        <f t="shared" si="92"/>
        <v>55.900375681074657</v>
      </c>
      <c r="AC155" s="3"/>
      <c r="AD155" s="3">
        <f t="shared" si="121"/>
        <v>1.7511127447963002</v>
      </c>
      <c r="AE155" s="3">
        <f t="shared" si="115"/>
        <v>1.0781769035708035</v>
      </c>
      <c r="AF155" s="3">
        <f t="shared" si="115"/>
        <v>0.54445270014579306</v>
      </c>
      <c r="AG155" s="3"/>
      <c r="AJ155" s="3">
        <f>'World Oil Price analysis'!Z70</f>
        <v>160.51226325283022</v>
      </c>
      <c r="AK155" s="3">
        <f>'World Oil Price analysis'!Y70</f>
        <v>89.285088706337618</v>
      </c>
      <c r="AL155" s="3">
        <f>'World Oil Price analysis'!AA70</f>
        <v>32.792827976384679</v>
      </c>
      <c r="AM155" s="3">
        <v>108.5024513221116</v>
      </c>
      <c r="AN155" s="3">
        <v>103.85705970521505</v>
      </c>
      <c r="AO155"/>
      <c r="AP155"/>
      <c r="AQ155"/>
      <c r="AR155"/>
      <c r="AS155"/>
      <c r="AY155">
        <v>2030</v>
      </c>
      <c r="BA155" s="3">
        <f t="shared" si="124"/>
        <v>103.06098187815415</v>
      </c>
      <c r="BB155" s="7">
        <f t="shared" si="122"/>
        <v>185.27787443579282</v>
      </c>
      <c r="BC155" s="7">
        <f t="shared" si="123"/>
        <v>37.852468970753385</v>
      </c>
      <c r="BF155">
        <v>2030</v>
      </c>
      <c r="BH155" s="3">
        <f t="shared" si="86"/>
        <v>115.43122392258282</v>
      </c>
      <c r="BI155" s="3">
        <f t="shared" si="87"/>
        <v>207.51647638272266</v>
      </c>
      <c r="BJ155" s="3">
        <f t="shared" si="88"/>
        <v>42.395839260986357</v>
      </c>
    </row>
    <row r="156" spans="1:62">
      <c r="A156">
        <v>2031</v>
      </c>
      <c r="B156" s="3"/>
      <c r="C156" s="7">
        <f>AJ156*'WTI from OPEC '!O44</f>
        <v>181.70678575546205</v>
      </c>
      <c r="D156" s="7">
        <f>AK156*'WTI from OPEC '!O44</f>
        <v>101.78824684579939</v>
      </c>
      <c r="E156" s="7">
        <f>AL156*'WTI from OPEC '!O44</f>
        <v>37.211230061623873</v>
      </c>
      <c r="F156" s="39">
        <v>1</v>
      </c>
      <c r="G156" s="3"/>
      <c r="H156" s="3">
        <f t="shared" ref="H156:H165" si="126">C156*$F156</f>
        <v>181.70678575546205</v>
      </c>
      <c r="I156" s="3">
        <f t="shared" ref="I156:I165" si="127">D156*$F156</f>
        <v>101.78824684579939</v>
      </c>
      <c r="J156" s="3">
        <f t="shared" ref="J156:J165" si="128">E156*$F156</f>
        <v>37.211230061623873</v>
      </c>
      <c r="K156" s="3"/>
      <c r="L156" s="6">
        <f t="shared" si="117"/>
        <v>147.07252872845791</v>
      </c>
      <c r="M156" s="6">
        <f t="shared" si="118"/>
        <v>87.109207030429957</v>
      </c>
      <c r="N156" s="6">
        <f t="shared" si="119"/>
        <v>38.656714222653086</v>
      </c>
      <c r="O156">
        <v>2031</v>
      </c>
      <c r="P156" s="3">
        <f t="shared" si="120"/>
        <v>10.132971617029487</v>
      </c>
      <c r="R156" s="3">
        <f t="shared" si="71"/>
        <v>0</v>
      </c>
      <c r="S156" s="3">
        <f t="shared" si="72"/>
        <v>0</v>
      </c>
      <c r="T156" s="3">
        <f t="shared" si="73"/>
        <v>0</v>
      </c>
      <c r="U156" s="3"/>
      <c r="V156" s="3">
        <f t="shared" si="75"/>
        <v>157.20550034548739</v>
      </c>
      <c r="W156" s="3">
        <f t="shared" si="76"/>
        <v>97.24217864745944</v>
      </c>
      <c r="X156" s="3">
        <f t="shared" si="77"/>
        <v>48.789685839682576</v>
      </c>
      <c r="Y156" s="3"/>
      <c r="Z156" s="3"/>
      <c r="AA156" s="3"/>
      <c r="AB156" s="3"/>
      <c r="AC156" s="3"/>
      <c r="AD156" s="3"/>
      <c r="AE156" s="3"/>
      <c r="AF156" s="3"/>
      <c r="AG156" s="3"/>
      <c r="AJ156" s="3">
        <f>'World Oil Price analysis'!Z71</f>
        <v>162.23820156737682</v>
      </c>
      <c r="AK156" s="3">
        <f>'World Oil Price analysis'!Y71</f>
        <v>90.882363255178021</v>
      </c>
      <c r="AL156" s="3">
        <f>'World Oil Price analysis'!AA71</f>
        <v>33.224312555021314</v>
      </c>
      <c r="AM156" s="3">
        <v>108.87594899415056</v>
      </c>
      <c r="AN156" s="3">
        <v>104.77613257577389</v>
      </c>
      <c r="AO156"/>
      <c r="AP156"/>
      <c r="AQ156"/>
      <c r="AR156"/>
      <c r="AS156"/>
      <c r="AY156">
        <v>2031</v>
      </c>
      <c r="BA156" s="3">
        <f t="shared" si="124"/>
        <v>104.90470164948024</v>
      </c>
      <c r="BB156" s="7">
        <f t="shared" si="122"/>
        <v>187.27010964477986</v>
      </c>
      <c r="BC156" s="7">
        <f t="shared" si="123"/>
        <v>38.350527773000131</v>
      </c>
      <c r="BF156">
        <v>2031</v>
      </c>
      <c r="BH156" s="3">
        <f t="shared" si="86"/>
        <v>117.49624237957798</v>
      </c>
      <c r="BI156" s="3">
        <f t="shared" si="87"/>
        <v>209.74783634382723</v>
      </c>
      <c r="BJ156" s="3">
        <f t="shared" si="88"/>
        <v>42.953679251262486</v>
      </c>
    </row>
    <row r="157" spans="1:62">
      <c r="A157">
        <v>2032</v>
      </c>
      <c r="B157" s="3"/>
      <c r="C157" s="7">
        <f>AJ157*'WTI from OPEC '!O45</f>
        <v>184.60636212390025</v>
      </c>
      <c r="D157" s="7">
        <f>AK157*'WTI from OPEC '!O45</f>
        <v>102.51320051497241</v>
      </c>
      <c r="E157" s="7">
        <f>AL157*'WTI from OPEC '!O45</f>
        <v>37.694492789696916</v>
      </c>
      <c r="F157" s="39">
        <v>1</v>
      </c>
      <c r="G157" s="3"/>
      <c r="H157" s="3">
        <f t="shared" si="126"/>
        <v>184.60636212390025</v>
      </c>
      <c r="I157" s="3">
        <f t="shared" si="127"/>
        <v>102.51320051497241</v>
      </c>
      <c r="J157" s="3">
        <f t="shared" si="128"/>
        <v>37.694492789696916</v>
      </c>
      <c r="K157" s="3"/>
      <c r="L157" s="6">
        <f t="shared" si="117"/>
        <v>149.24809691252085</v>
      </c>
      <c r="M157" s="6">
        <f t="shared" si="118"/>
        <v>87.653143777445877</v>
      </c>
      <c r="N157" s="6">
        <f t="shared" si="119"/>
        <v>39.019308919996917</v>
      </c>
      <c r="O157">
        <v>2032</v>
      </c>
      <c r="P157" s="3">
        <f t="shared" si="120"/>
        <v>10.132971617029487</v>
      </c>
      <c r="R157" s="3">
        <f t="shared" si="71"/>
        <v>0</v>
      </c>
      <c r="S157" s="3">
        <f t="shared" si="72"/>
        <v>0</v>
      </c>
      <c r="T157" s="3">
        <f t="shared" si="73"/>
        <v>0</v>
      </c>
      <c r="U157" s="3"/>
      <c r="V157" s="3">
        <f t="shared" si="75"/>
        <v>159.38106852955033</v>
      </c>
      <c r="W157" s="3">
        <f t="shared" si="76"/>
        <v>97.78611539447536</v>
      </c>
      <c r="X157" s="3">
        <f t="shared" si="77"/>
        <v>49.1522805370264</v>
      </c>
      <c r="Y157" s="3"/>
      <c r="Z157" s="3"/>
      <c r="AA157" s="3"/>
      <c r="AB157" s="3"/>
      <c r="AC157" s="3"/>
      <c r="AD157" s="3"/>
      <c r="AE157" s="3"/>
      <c r="AF157" s="3"/>
      <c r="AG157" s="3"/>
      <c r="AJ157" s="3">
        <f>'World Oil Price analysis'!Z72</f>
        <v>164.82710903919664</v>
      </c>
      <c r="AK157" s="3">
        <f>'World Oil Price analysis'!Y72</f>
        <v>91.529643316939641</v>
      </c>
      <c r="AL157" s="3">
        <f>'World Oil Price analysis'!AA72</f>
        <v>33.655797133657956</v>
      </c>
      <c r="AM157" s="3">
        <v>109.06056103387392</v>
      </c>
      <c r="AN157" s="3">
        <v>106.51723001375781</v>
      </c>
      <c r="AO157"/>
      <c r="AP157"/>
      <c r="AQ157"/>
      <c r="AR157"/>
      <c r="AS157"/>
      <c r="AY157">
        <v>2032</v>
      </c>
      <c r="BA157" s="3">
        <f t="shared" si="124"/>
        <v>105.65185125398715</v>
      </c>
      <c r="BB157" s="7">
        <f t="shared" si="122"/>
        <v>190.25846245826037</v>
      </c>
      <c r="BC157" s="7">
        <f t="shared" si="123"/>
        <v>38.848586575246891</v>
      </c>
      <c r="BF157">
        <v>2032</v>
      </c>
      <c r="BH157" s="3">
        <f t="shared" si="86"/>
        <v>118.33307113600756</v>
      </c>
      <c r="BI157" s="3">
        <f t="shared" si="87"/>
        <v>213.09487628548402</v>
      </c>
      <c r="BJ157" s="3">
        <f t="shared" si="88"/>
        <v>43.511519241538629</v>
      </c>
    </row>
    <row r="158" spans="1:62">
      <c r="A158">
        <v>2033</v>
      </c>
      <c r="B158" s="3"/>
      <c r="C158" s="7">
        <f>AJ158*'WTI from OPEC '!O46</f>
        <v>186.5394130361924</v>
      </c>
      <c r="D158" s="7">
        <f>AK158*'WTI from OPEC '!O46</f>
        <v>102.44466206664524</v>
      </c>
      <c r="E158" s="7">
        <f>AL158*'WTI from OPEC '!O46</f>
        <v>38.177755517769945</v>
      </c>
      <c r="F158" s="39">
        <v>1</v>
      </c>
      <c r="G158" s="3"/>
      <c r="H158" s="3">
        <f t="shared" si="126"/>
        <v>186.5394130361924</v>
      </c>
      <c r="I158" s="3">
        <f t="shared" si="127"/>
        <v>102.44466206664524</v>
      </c>
      <c r="J158" s="3">
        <f t="shared" si="128"/>
        <v>38.177755517769945</v>
      </c>
      <c r="K158" s="3"/>
      <c r="L158" s="6">
        <f t="shared" si="117"/>
        <v>150.69847570189617</v>
      </c>
      <c r="M158" s="6">
        <f t="shared" si="118"/>
        <v>87.601719000644437</v>
      </c>
      <c r="N158" s="6">
        <f t="shared" si="119"/>
        <v>39.38190361734074</v>
      </c>
      <c r="O158">
        <v>2033</v>
      </c>
      <c r="P158" s="3">
        <f t="shared" si="120"/>
        <v>10.132971617029487</v>
      </c>
      <c r="R158" s="3">
        <f t="shared" si="71"/>
        <v>0</v>
      </c>
      <c r="S158" s="3">
        <f t="shared" si="72"/>
        <v>0</v>
      </c>
      <c r="T158" s="3">
        <f t="shared" si="73"/>
        <v>0</v>
      </c>
      <c r="U158" s="3"/>
      <c r="V158" s="3">
        <f t="shared" si="75"/>
        <v>160.83144731892565</v>
      </c>
      <c r="W158" s="3">
        <f t="shared" si="76"/>
        <v>97.73469061767392</v>
      </c>
      <c r="X158" s="3">
        <f t="shared" si="77"/>
        <v>49.514875234370223</v>
      </c>
      <c r="Y158" s="3"/>
      <c r="Z158" s="3"/>
      <c r="AA158" s="3"/>
      <c r="AB158" s="3"/>
      <c r="AC158" s="3"/>
      <c r="AD158" s="3"/>
      <c r="AE158" s="3"/>
      <c r="AF158" s="3"/>
      <c r="AG158" s="3"/>
      <c r="AJ158" s="3">
        <f>'World Oil Price analysis'!Z73</f>
        <v>166.55304735374321</v>
      </c>
      <c r="AK158" s="3">
        <f>'World Oil Price analysis'!Y73</f>
        <v>91.468448273790386</v>
      </c>
      <c r="AL158" s="3">
        <f>'World Oil Price analysis'!AA73</f>
        <v>34.08728171229459</v>
      </c>
      <c r="AM158" s="3">
        <v>108.86010073352539</v>
      </c>
      <c r="AN158" s="3">
        <v>105.67567348951098</v>
      </c>
      <c r="AO158" s="3"/>
      <c r="AP158"/>
      <c r="AQ158"/>
      <c r="AR158"/>
      <c r="AS158"/>
      <c r="AY158">
        <v>2033</v>
      </c>
      <c r="BA158" s="3">
        <f t="shared" si="124"/>
        <v>105.58121436126051</v>
      </c>
      <c r="BB158" s="7">
        <f t="shared" si="122"/>
        <v>192.25069766724741</v>
      </c>
      <c r="BC158" s="7">
        <f t="shared" si="123"/>
        <v>39.346645377493637</v>
      </c>
      <c r="BF158">
        <v>2033</v>
      </c>
      <c r="BH158" s="3">
        <f t="shared" si="86"/>
        <v>118.25395581192532</v>
      </c>
      <c r="BI158" s="3">
        <f t="shared" si="87"/>
        <v>215.32623624658856</v>
      </c>
      <c r="BJ158" s="3">
        <f t="shared" si="88"/>
        <v>44.069359231814751</v>
      </c>
    </row>
    <row r="159" spans="1:62">
      <c r="A159">
        <v>2034</v>
      </c>
      <c r="B159" s="3"/>
      <c r="C159" s="7">
        <f>AJ159*'WTI from OPEC '!O47</f>
        <v>189.43898940463066</v>
      </c>
      <c r="D159" s="7">
        <f>AK159*'WTI from OPEC '!O47</f>
        <v>100.97159264186979</v>
      </c>
      <c r="E159" s="7">
        <f>AL159*'WTI from OPEC '!O47</f>
        <v>38.661018245842989</v>
      </c>
      <c r="F159" s="39">
        <v>1</v>
      </c>
      <c r="G159" s="3"/>
      <c r="H159" s="3">
        <f t="shared" si="126"/>
        <v>189.43898940463066</v>
      </c>
      <c r="I159" s="3">
        <f t="shared" si="127"/>
        <v>100.97159264186979</v>
      </c>
      <c r="J159" s="3">
        <f t="shared" si="128"/>
        <v>38.661018245842989</v>
      </c>
      <c r="K159" s="3"/>
      <c r="L159" s="6">
        <f t="shared" si="117"/>
        <v>152.87404388595917</v>
      </c>
      <c r="M159" s="6">
        <f t="shared" si="118"/>
        <v>86.49646686507694</v>
      </c>
      <c r="N159" s="6">
        <f t="shared" si="119"/>
        <v>39.74449831468457</v>
      </c>
      <c r="O159">
        <v>2034</v>
      </c>
      <c r="P159" s="3">
        <f t="shared" si="120"/>
        <v>10.132971617029487</v>
      </c>
      <c r="R159" s="3">
        <f t="shared" si="71"/>
        <v>0</v>
      </c>
      <c r="S159" s="3">
        <f t="shared" si="72"/>
        <v>0</v>
      </c>
      <c r="T159" s="3">
        <f t="shared" si="73"/>
        <v>0</v>
      </c>
      <c r="U159" s="3"/>
      <c r="V159" s="3">
        <f t="shared" si="75"/>
        <v>163.00701550298865</v>
      </c>
      <c r="W159" s="3">
        <f t="shared" si="76"/>
        <v>96.629438482106423</v>
      </c>
      <c r="X159" s="3">
        <f t="shared" si="77"/>
        <v>49.87746993171406</v>
      </c>
      <c r="Y159" s="3"/>
      <c r="Z159" s="3"/>
      <c r="AA159" s="3"/>
      <c r="AB159" s="3"/>
      <c r="AC159" s="3"/>
      <c r="AD159" s="3"/>
      <c r="AE159" s="3"/>
      <c r="AF159" s="3"/>
      <c r="AG159" s="3"/>
      <c r="AJ159" s="3">
        <f>'World Oil Price analysis'!Z74</f>
        <v>169.14195482556306</v>
      </c>
      <c r="AK159" s="3">
        <f>'World Oil Price analysis'!Y74</f>
        <v>90.153207715955162</v>
      </c>
      <c r="AL159" s="3">
        <f>'World Oil Price analysis'!AA74</f>
        <v>34.518766290931239</v>
      </c>
      <c r="AM159" s="3">
        <v>107.80002556835106</v>
      </c>
      <c r="AN159" s="3">
        <v>102.21900623244152</v>
      </c>
      <c r="AO159" s="3"/>
      <c r="AP159" s="3"/>
      <c r="AQ159"/>
      <c r="AR159"/>
      <c r="AS159"/>
      <c r="AY159">
        <v>2034</v>
      </c>
      <c r="BA159" s="3">
        <f t="shared" si="124"/>
        <v>104.06304391129547</v>
      </c>
      <c r="BB159" s="7">
        <f t="shared" si="122"/>
        <v>195.23905048072797</v>
      </c>
      <c r="BC159" s="7">
        <f t="shared" si="123"/>
        <v>39.844704179740404</v>
      </c>
      <c r="BF159">
        <v>2034</v>
      </c>
      <c r="BH159" s="3">
        <f t="shared" si="86"/>
        <v>116.55356183188592</v>
      </c>
      <c r="BI159" s="3">
        <f t="shared" si="87"/>
        <v>218.67327618824541</v>
      </c>
      <c r="BJ159" s="3">
        <f t="shared" si="88"/>
        <v>44.627199222090894</v>
      </c>
    </row>
    <row r="160" spans="1:62">
      <c r="A160">
        <v>2035</v>
      </c>
      <c r="B160" s="3"/>
      <c r="C160" s="7">
        <f>AJ160*'WTI from OPEC '!O48</f>
        <v>192.33856577306884</v>
      </c>
      <c r="D160" s="7">
        <f>AK160*'WTI from OPEC '!O48</f>
        <v>100.8610004338876</v>
      </c>
      <c r="E160" s="7">
        <f>AL160*'WTI from OPEC '!O48</f>
        <v>39.144280973916032</v>
      </c>
      <c r="F160" s="39">
        <v>1</v>
      </c>
      <c r="G160" s="3"/>
      <c r="H160" s="3">
        <f t="shared" si="126"/>
        <v>192.33856577306884</v>
      </c>
      <c r="I160" s="3">
        <f t="shared" si="127"/>
        <v>100.8610004338876</v>
      </c>
      <c r="J160" s="3">
        <f t="shared" si="128"/>
        <v>39.144280973916032</v>
      </c>
      <c r="K160" s="3"/>
      <c r="L160" s="6">
        <f t="shared" si="117"/>
        <v>155.04961207002211</v>
      </c>
      <c r="M160" s="6">
        <f t="shared" si="118"/>
        <v>86.413488919846642</v>
      </c>
      <c r="N160" s="6">
        <f t="shared" si="119"/>
        <v>40.107093012028407</v>
      </c>
      <c r="O160">
        <v>2035</v>
      </c>
      <c r="P160" s="3">
        <f t="shared" si="120"/>
        <v>10.132971617029487</v>
      </c>
      <c r="R160" s="3">
        <f t="shared" si="71"/>
        <v>0</v>
      </c>
      <c r="S160" s="3">
        <f t="shared" si="72"/>
        <v>0</v>
      </c>
      <c r="T160" s="3">
        <f t="shared" si="73"/>
        <v>0</v>
      </c>
      <c r="U160" s="3"/>
      <c r="V160" s="3">
        <f t="shared" si="75"/>
        <v>165.18258368705159</v>
      </c>
      <c r="W160" s="3">
        <f t="shared" si="76"/>
        <v>96.546460536876126</v>
      </c>
      <c r="X160" s="3">
        <f t="shared" si="77"/>
        <v>50.240064629057898</v>
      </c>
      <c r="Y160" s="3"/>
      <c r="Z160" s="3"/>
      <c r="AA160" s="3"/>
      <c r="AB160" s="3"/>
      <c r="AC160" s="3"/>
      <c r="AD160" s="3"/>
      <c r="AE160" s="3"/>
      <c r="AF160" s="3"/>
      <c r="AG160" s="3"/>
      <c r="AJ160" s="3">
        <f>'World Oil Price analysis'!Z75</f>
        <v>171.73086229738288</v>
      </c>
      <c r="AK160" s="3">
        <f>'World Oil Price analysis'!Y75</f>
        <v>90.054464673113912</v>
      </c>
      <c r="AL160" s="3">
        <f>'World Oil Price analysis'!AA75</f>
        <v>34.950250869567881</v>
      </c>
      <c r="AM160" s="3">
        <v>107.46037542512232</v>
      </c>
      <c r="AN160" s="3">
        <v>102.60797768751098</v>
      </c>
      <c r="AO160" s="3"/>
      <c r="AP160" s="3"/>
      <c r="AQ160"/>
      <c r="AR160"/>
      <c r="AS160"/>
      <c r="AY160">
        <v>2035</v>
      </c>
      <c r="BA160" s="3">
        <f t="shared" si="124"/>
        <v>103.94906569728117</v>
      </c>
      <c r="BB160" s="7">
        <f t="shared" si="122"/>
        <v>198.22740329420847</v>
      </c>
      <c r="BC160" s="7">
        <f t="shared" si="123"/>
        <v>40.342762981987157</v>
      </c>
      <c r="BF160">
        <v>2035</v>
      </c>
      <c r="BH160" s="3">
        <f t="shared" si="86"/>
        <v>116.42590299820884</v>
      </c>
      <c r="BI160" s="3">
        <f t="shared" si="87"/>
        <v>222.02031612990217</v>
      </c>
      <c r="BJ160" s="3">
        <f t="shared" si="88"/>
        <v>45.185039212367037</v>
      </c>
    </row>
    <row r="161" spans="1:62">
      <c r="A161">
        <v>2036</v>
      </c>
      <c r="B161" s="3"/>
      <c r="C161" s="7">
        <f>AJ161*'WTI from OPEC '!O49</f>
        <v>194.27161668536101</v>
      </c>
      <c r="D161" s="7">
        <f>AK161*'WTI from OPEC '!O49</f>
        <v>102.20006410951693</v>
      </c>
      <c r="E161" s="7">
        <f>AL161*'WTI from OPEC '!O49</f>
        <v>39.627543701989062</v>
      </c>
      <c r="F161" s="39">
        <v>1</v>
      </c>
      <c r="G161" s="3"/>
      <c r="H161" s="3">
        <f t="shared" si="126"/>
        <v>194.27161668536101</v>
      </c>
      <c r="I161" s="3">
        <f t="shared" si="127"/>
        <v>102.20006410951693</v>
      </c>
      <c r="J161" s="3">
        <f t="shared" si="128"/>
        <v>39.627543701989062</v>
      </c>
      <c r="K161" s="3"/>
      <c r="L161" s="6">
        <f t="shared" si="117"/>
        <v>156.49999085939743</v>
      </c>
      <c r="M161" s="6">
        <f t="shared" si="118"/>
        <v>87.418195800770334</v>
      </c>
      <c r="N161" s="6">
        <f t="shared" si="119"/>
        <v>40.469687709372231</v>
      </c>
      <c r="O161">
        <v>2036</v>
      </c>
      <c r="P161" s="3">
        <f t="shared" si="120"/>
        <v>10.132971617029487</v>
      </c>
      <c r="R161" s="3">
        <f t="shared" si="71"/>
        <v>0</v>
      </c>
      <c r="S161" s="3">
        <f t="shared" si="72"/>
        <v>0</v>
      </c>
      <c r="T161" s="3">
        <f t="shared" si="73"/>
        <v>0</v>
      </c>
      <c r="U161" s="3"/>
      <c r="V161" s="3">
        <f t="shared" si="75"/>
        <v>166.63296247642691</v>
      </c>
      <c r="W161" s="3">
        <f t="shared" si="76"/>
        <v>97.551167417799817</v>
      </c>
      <c r="X161" s="3">
        <f t="shared" si="77"/>
        <v>50.602659326401721</v>
      </c>
      <c r="Y161" s="3"/>
      <c r="Z161" s="3"/>
      <c r="AA161" s="3"/>
      <c r="AB161" s="3"/>
      <c r="AC161" s="3"/>
      <c r="AD161" s="3"/>
      <c r="AE161" s="3"/>
      <c r="AF161" s="3"/>
      <c r="AG161" s="3"/>
      <c r="AJ161" s="3">
        <f>'World Oil Price analysis'!Z76</f>
        <v>173.45680061192945</v>
      </c>
      <c r="AK161" s="3">
        <f>'World Oil Price analysis'!Y76</f>
        <v>91.250057240640103</v>
      </c>
      <c r="AL161" s="3">
        <f>'World Oil Price analysis'!AA76</f>
        <v>35.381735448204516</v>
      </c>
      <c r="AM161" s="3">
        <v>108.09891876958844</v>
      </c>
      <c r="AN161" s="3">
        <v>104.86355332453442</v>
      </c>
      <c r="AO161" s="3"/>
      <c r="AP161" s="3"/>
      <c r="AQ161"/>
      <c r="AR161"/>
      <c r="AS161"/>
      <c r="AY161">
        <v>2036</v>
      </c>
      <c r="BA161" s="3">
        <f t="shared" si="124"/>
        <v>105.32912753874662</v>
      </c>
      <c r="BB161" s="7">
        <f t="shared" si="122"/>
        <v>200.21963850319551</v>
      </c>
      <c r="BC161" s="7">
        <f t="shared" si="123"/>
        <v>40.84082178423391</v>
      </c>
      <c r="BF161">
        <v>2036</v>
      </c>
      <c r="BH161" s="3">
        <f t="shared" si="86"/>
        <v>117.97161141807958</v>
      </c>
      <c r="BI161" s="3">
        <f t="shared" si="87"/>
        <v>224.25167609100674</v>
      </c>
      <c r="BJ161" s="3">
        <f t="shared" si="88"/>
        <v>45.742879202643174</v>
      </c>
    </row>
    <row r="162" spans="1:62">
      <c r="A162">
        <v>2037</v>
      </c>
      <c r="B162" s="3"/>
      <c r="C162" s="7">
        <f>AJ162*'WTI from OPEC '!O50</f>
        <v>196.20466759765316</v>
      </c>
      <c r="D162" s="7">
        <f>AK162*'WTI from OPEC '!O50</f>
        <v>102.76219317129535</v>
      </c>
      <c r="E162" s="7">
        <f>AL162*'WTI from OPEC '!O50</f>
        <v>40.594069158135142</v>
      </c>
      <c r="F162" s="39">
        <v>1</v>
      </c>
      <c r="G162" s="3"/>
      <c r="H162" s="3">
        <f t="shared" si="126"/>
        <v>196.20466759765316</v>
      </c>
      <c r="I162" s="3">
        <f t="shared" si="127"/>
        <v>102.76219317129535</v>
      </c>
      <c r="J162" s="3">
        <f t="shared" si="128"/>
        <v>40.594069158135142</v>
      </c>
      <c r="K162" s="3"/>
      <c r="L162" s="6">
        <f t="shared" si="117"/>
        <v>157.95036964877275</v>
      </c>
      <c r="M162" s="6">
        <f t="shared" si="118"/>
        <v>87.839964344428665</v>
      </c>
      <c r="N162" s="6">
        <f t="shared" si="119"/>
        <v>41.194877104059891</v>
      </c>
      <c r="O162">
        <v>2037</v>
      </c>
      <c r="P162" s="3">
        <f t="shared" si="120"/>
        <v>10.132971617029487</v>
      </c>
      <c r="R162" s="3">
        <f t="shared" si="71"/>
        <v>0</v>
      </c>
      <c r="S162" s="3">
        <f t="shared" si="72"/>
        <v>0</v>
      </c>
      <c r="T162" s="3">
        <f t="shared" si="73"/>
        <v>0</v>
      </c>
      <c r="U162" s="3"/>
      <c r="V162" s="3">
        <f t="shared" si="75"/>
        <v>168.08334126580223</v>
      </c>
      <c r="W162" s="3">
        <f t="shared" si="76"/>
        <v>97.972935961458148</v>
      </c>
      <c r="X162" s="3">
        <f t="shared" si="77"/>
        <v>51.327848721089381</v>
      </c>
      <c r="Y162" s="3"/>
      <c r="Z162" s="3"/>
      <c r="AA162" s="3"/>
      <c r="AB162" s="3"/>
      <c r="AC162" s="3"/>
      <c r="AD162" s="3"/>
      <c r="AE162" s="3"/>
      <c r="AF162" s="3"/>
      <c r="AG162" s="3"/>
      <c r="AJ162" s="3">
        <f>'World Oil Price analysis'!Z77</f>
        <v>175.18273892647602</v>
      </c>
      <c r="AK162" s="3">
        <f>'World Oil Price analysis'!Y77</f>
        <v>91.751958188656559</v>
      </c>
      <c r="AL162" s="3">
        <f>'World Oil Price analysis'!AA77</f>
        <v>36.2447046054778</v>
      </c>
      <c r="AM162" s="3">
        <v>109.04721438761347</v>
      </c>
      <c r="AN162" s="3">
        <v>105.91783103979353</v>
      </c>
      <c r="AO162" s="3"/>
      <c r="AP162" s="3"/>
      <c r="AQ162"/>
      <c r="AR162"/>
      <c r="AS162"/>
      <c r="AY162">
        <v>2037</v>
      </c>
      <c r="BA162" s="3">
        <f t="shared" si="124"/>
        <v>105.90846732837578</v>
      </c>
      <c r="BB162" s="7">
        <f t="shared" si="122"/>
        <v>202.21187371218252</v>
      </c>
      <c r="BC162" s="7">
        <f t="shared" si="123"/>
        <v>41.836939388727416</v>
      </c>
      <c r="BF162">
        <v>2037</v>
      </c>
      <c r="BH162" s="3">
        <f t="shared" si="86"/>
        <v>118.62048842046454</v>
      </c>
      <c r="BI162" s="3">
        <f t="shared" si="87"/>
        <v>226.48303605211129</v>
      </c>
      <c r="BJ162" s="3">
        <f t="shared" si="88"/>
        <v>46.858559183195446</v>
      </c>
    </row>
    <row r="163" spans="1:62">
      <c r="A163">
        <v>2038</v>
      </c>
      <c r="B163" s="3"/>
      <c r="C163" s="7">
        <f>AJ163*'WTI from OPEC '!O51</f>
        <v>199.10424396609139</v>
      </c>
      <c r="D163" s="7">
        <f>AK163*'WTI from OPEC '!O51</f>
        <v>103.02938921268054</v>
      </c>
      <c r="E163" s="7">
        <f>AL163*'WTI from OPEC '!O51</f>
        <v>41.560594614281207</v>
      </c>
      <c r="F163" s="39">
        <v>1</v>
      </c>
      <c r="G163" s="3"/>
      <c r="H163" s="3">
        <f t="shared" si="126"/>
        <v>199.10424396609139</v>
      </c>
      <c r="I163" s="3">
        <f t="shared" si="127"/>
        <v>103.02938921268054</v>
      </c>
      <c r="J163" s="3">
        <f t="shared" si="128"/>
        <v>41.560594614281207</v>
      </c>
      <c r="K163" s="3"/>
      <c r="L163" s="6">
        <f t="shared" si="117"/>
        <v>160.12593783283572</v>
      </c>
      <c r="M163" s="6">
        <f t="shared" si="118"/>
        <v>88.040443011889408</v>
      </c>
      <c r="N163" s="6">
        <f t="shared" si="119"/>
        <v>41.920066498747538</v>
      </c>
      <c r="O163">
        <v>2038</v>
      </c>
      <c r="P163" s="3">
        <f t="shared" si="120"/>
        <v>10.132971617029487</v>
      </c>
      <c r="R163" s="3">
        <f t="shared" si="71"/>
        <v>0</v>
      </c>
      <c r="S163" s="3">
        <f t="shared" si="72"/>
        <v>0</v>
      </c>
      <c r="T163" s="3">
        <f t="shared" si="73"/>
        <v>0</v>
      </c>
      <c r="U163" s="3"/>
      <c r="V163" s="3">
        <f t="shared" si="75"/>
        <v>170.2589094498652</v>
      </c>
      <c r="W163" s="3">
        <f t="shared" si="76"/>
        <v>98.173414628918891</v>
      </c>
      <c r="X163" s="3">
        <f t="shared" si="77"/>
        <v>52.053038115777028</v>
      </c>
      <c r="Y163" s="3"/>
      <c r="Z163" s="3"/>
      <c r="AA163" s="3"/>
      <c r="AB163" s="3"/>
      <c r="AC163" s="3"/>
      <c r="AD163" s="3"/>
      <c r="AE163" s="3"/>
      <c r="AF163" s="3"/>
      <c r="AG163" s="3"/>
      <c r="AJ163" s="3">
        <f>'World Oil Price analysis'!Z78</f>
        <v>177.77164639829587</v>
      </c>
      <c r="AK163" s="3">
        <f>'World Oil Price analysis'!Y78</f>
        <v>91.990526082750478</v>
      </c>
      <c r="AL163" s="3">
        <f>'World Oil Price analysis'!AA78</f>
        <v>37.107673762751077</v>
      </c>
      <c r="AM163" s="3">
        <v>109.89792184114762</v>
      </c>
      <c r="AN163" s="3">
        <v>107.14777988720031</v>
      </c>
      <c r="AO163" s="3"/>
      <c r="AP163" s="3"/>
      <c r="AQ163"/>
      <c r="AR163"/>
      <c r="AS163"/>
      <c r="AY163">
        <v>2038</v>
      </c>
      <c r="BA163" s="3">
        <f t="shared" si="124"/>
        <v>106.18384412159141</v>
      </c>
      <c r="BB163" s="7">
        <f t="shared" si="122"/>
        <v>205.20022652566306</v>
      </c>
      <c r="BC163" s="7">
        <f t="shared" si="123"/>
        <v>42.833056993220929</v>
      </c>
      <c r="BF163">
        <v>2038</v>
      </c>
      <c r="BH163" s="3">
        <f t="shared" si="86"/>
        <v>118.9289182423183</v>
      </c>
      <c r="BI163" s="3">
        <f t="shared" si="87"/>
        <v>229.83007599376811</v>
      </c>
      <c r="BJ163" s="3">
        <f t="shared" si="88"/>
        <v>47.974239163747704</v>
      </c>
    </row>
    <row r="164" spans="1:62">
      <c r="A164">
        <v>2039</v>
      </c>
      <c r="B164" s="3"/>
      <c r="C164" s="7">
        <f>AJ164*'WTI from OPEC '!O52</f>
        <v>202.00382033452959</v>
      </c>
      <c r="D164" s="7">
        <f>AK164*'WTI from OPEC '!O52</f>
        <v>103.85512742438765</v>
      </c>
      <c r="E164" s="7">
        <f>AL164*'WTI from OPEC '!O52</f>
        <v>42.527120070427294</v>
      </c>
      <c r="F164" s="39">
        <v>1</v>
      </c>
      <c r="G164" s="3"/>
      <c r="H164" s="3">
        <f t="shared" si="126"/>
        <v>202.00382033452959</v>
      </c>
      <c r="I164" s="3">
        <f t="shared" si="127"/>
        <v>103.85512742438765</v>
      </c>
      <c r="J164" s="3">
        <f t="shared" si="128"/>
        <v>42.527120070427294</v>
      </c>
      <c r="K164" s="3"/>
      <c r="L164" s="6">
        <f t="shared" si="117"/>
        <v>162.30150601689868</v>
      </c>
      <c r="M164" s="6">
        <f t="shared" si="118"/>
        <v>88.659998958512972</v>
      </c>
      <c r="N164" s="6">
        <f t="shared" si="119"/>
        <v>42.645255893435206</v>
      </c>
      <c r="O164">
        <v>2039</v>
      </c>
      <c r="P164" s="3">
        <f t="shared" si="120"/>
        <v>10.132971617029487</v>
      </c>
      <c r="R164" s="3">
        <f t="shared" si="71"/>
        <v>0</v>
      </c>
      <c r="S164" s="3">
        <f t="shared" si="72"/>
        <v>0</v>
      </c>
      <c r="T164" s="3">
        <f t="shared" si="73"/>
        <v>0</v>
      </c>
      <c r="U164" s="3"/>
      <c r="V164" s="3">
        <f t="shared" si="75"/>
        <v>172.43447763392817</v>
      </c>
      <c r="W164" s="3">
        <f t="shared" si="76"/>
        <v>98.792970575542455</v>
      </c>
      <c r="X164" s="3">
        <f t="shared" si="77"/>
        <v>52.778227510464689</v>
      </c>
      <c r="Y164" s="3"/>
      <c r="Z164" s="3"/>
      <c r="AA164" s="3"/>
      <c r="AB164" s="3"/>
      <c r="AC164" s="3"/>
      <c r="AD164" s="3"/>
      <c r="AE164" s="3"/>
      <c r="AF164" s="3"/>
      <c r="AG164" s="3"/>
      <c r="AJ164" s="3">
        <f>'World Oil Price analysis'!Z79</f>
        <v>180.36055387011569</v>
      </c>
      <c r="AK164" s="3">
        <f>'World Oil Price analysis'!Y79</f>
        <v>92.727792343203248</v>
      </c>
      <c r="AL164" s="3">
        <f>'World Oil Price analysis'!AA79</f>
        <v>37.970642920024368</v>
      </c>
      <c r="AM164" s="3">
        <v>110.82002573788844</v>
      </c>
      <c r="AN164" s="3">
        <v>109.90723486748126</v>
      </c>
      <c r="AO164" s="3"/>
      <c r="AP164" s="3"/>
      <c r="AQ164"/>
      <c r="AR164"/>
      <c r="AS164"/>
      <c r="AY164">
        <v>2039</v>
      </c>
      <c r="BA164" s="3">
        <f t="shared" si="124"/>
        <v>107.03486399298123</v>
      </c>
      <c r="BB164" s="7">
        <f t="shared" si="122"/>
        <v>208.18857933914356</v>
      </c>
      <c r="BC164" s="7">
        <f t="shared" si="123"/>
        <v>43.829174597714449</v>
      </c>
      <c r="BF164">
        <v>2039</v>
      </c>
      <c r="BH164" s="3">
        <f t="shared" si="86"/>
        <v>119.8820846448382</v>
      </c>
      <c r="BI164" s="3">
        <f t="shared" si="87"/>
        <v>233.17711593542492</v>
      </c>
      <c r="BJ164" s="3">
        <f t="shared" si="88"/>
        <v>49.089919144299991</v>
      </c>
    </row>
    <row r="165" spans="1:62">
      <c r="A165">
        <v>2040</v>
      </c>
      <c r="B165" s="3"/>
      <c r="C165" s="7">
        <f>AJ165*'WTI from OPEC '!O53</f>
        <v>202.97034579067568</v>
      </c>
      <c r="D165" s="7">
        <f>AK165*'WTI from OPEC '!O53</f>
        <v>104.5719394506378</v>
      </c>
      <c r="E165" s="7">
        <f>AL165*'WTI from OPEC '!O53</f>
        <v>43.49364552657336</v>
      </c>
      <c r="F165" s="39">
        <v>1</v>
      </c>
      <c r="G165" s="3"/>
      <c r="H165" s="3">
        <f t="shared" si="126"/>
        <v>202.97034579067568</v>
      </c>
      <c r="I165" s="3">
        <f t="shared" si="127"/>
        <v>104.5719394506378</v>
      </c>
      <c r="J165" s="3">
        <f t="shared" si="128"/>
        <v>43.49364552657336</v>
      </c>
      <c r="K165" s="3"/>
      <c r="L165" s="6">
        <f t="shared" si="117"/>
        <v>163.02669541158636</v>
      </c>
      <c r="M165" s="6">
        <f t="shared" si="118"/>
        <v>89.197826985820114</v>
      </c>
      <c r="N165" s="6">
        <f t="shared" si="119"/>
        <v>43.370445288122859</v>
      </c>
      <c r="O165">
        <v>2040</v>
      </c>
      <c r="P165" s="3">
        <f t="shared" si="120"/>
        <v>10.132971617029487</v>
      </c>
      <c r="R165" s="3">
        <f t="shared" si="71"/>
        <v>0</v>
      </c>
      <c r="S165" s="3">
        <f t="shared" si="72"/>
        <v>0</v>
      </c>
      <c r="T165" s="3">
        <f t="shared" si="73"/>
        <v>0</v>
      </c>
      <c r="U165" s="3"/>
      <c r="V165" s="3">
        <f t="shared" si="75"/>
        <v>173.15966702861584</v>
      </c>
      <c r="W165" s="3">
        <f t="shared" si="76"/>
        <v>99.330798602849598</v>
      </c>
      <c r="X165" s="3">
        <f t="shared" si="77"/>
        <v>53.503416905152349</v>
      </c>
      <c r="Y165" s="3"/>
      <c r="Z165" s="3"/>
      <c r="AA165" s="3"/>
      <c r="AB165" s="3"/>
      <c r="AC165" s="3"/>
      <c r="AD165" s="3"/>
      <c r="AE165" s="3"/>
      <c r="AF165" s="3"/>
      <c r="AG165" s="3"/>
      <c r="AJ165" s="3">
        <f>'World Oil Price analysis'!Z80</f>
        <v>181.22352302738898</v>
      </c>
      <c r="AK165" s="3">
        <f>'World Oil Price analysis'!Y80</f>
        <v>93.367803080926592</v>
      </c>
      <c r="AL165" s="3">
        <f>'World Oil Price analysis'!AA80</f>
        <v>38.833612077297637</v>
      </c>
      <c r="AM165" s="3">
        <v>111.38993784675996</v>
      </c>
      <c r="AN165" s="3">
        <v>111.80226721104073</v>
      </c>
      <c r="AO165" s="3"/>
      <c r="AP165" s="3"/>
      <c r="AQ165"/>
      <c r="AR165"/>
      <c r="AS165"/>
      <c r="AY165">
        <v>2040</v>
      </c>
      <c r="BA165" s="3">
        <f t="shared" si="124"/>
        <v>107.77362268155997</v>
      </c>
      <c r="BB165" s="7">
        <f t="shared" si="122"/>
        <v>209.18469694363708</v>
      </c>
      <c r="BC165" s="7">
        <f t="shared" si="123"/>
        <v>44.82529220220794</v>
      </c>
      <c r="BF165">
        <v>2040</v>
      </c>
      <c r="BH165" s="3">
        <f t="shared" si="86"/>
        <v>120.70951533734707</v>
      </c>
      <c r="BI165" s="3">
        <f t="shared" si="87"/>
        <v>234.29279591597719</v>
      </c>
      <c r="BJ165" s="3">
        <f t="shared" si="88"/>
        <v>50.205599124852249</v>
      </c>
    </row>
    <row r="166" spans="1:62">
      <c r="D166"/>
      <c r="O166" s="12"/>
      <c r="AL166" s="3"/>
      <c r="AN166"/>
      <c r="AO166" s="3"/>
      <c r="AP166" s="3"/>
      <c r="AQ166"/>
      <c r="AR166"/>
      <c r="AS166"/>
      <c r="AT166"/>
      <c r="AU166"/>
      <c r="AV166"/>
      <c r="AY166" s="32"/>
      <c r="AZ166" s="32"/>
      <c r="BA166" s="32"/>
      <c r="BB166" s="12"/>
      <c r="BC166" s="12"/>
      <c r="BD166" s="12"/>
      <c r="BJ166" s="9"/>
    </row>
    <row r="167" spans="1:62">
      <c r="D167"/>
      <c r="O167" s="12"/>
      <c r="AN167"/>
      <c r="AO167" s="3"/>
      <c r="AP167" s="3"/>
      <c r="AQ167"/>
      <c r="AR167"/>
      <c r="AS167"/>
      <c r="AT167"/>
      <c r="AU167"/>
      <c r="AV167"/>
      <c r="AX167" s="32" t="s">
        <v>267</v>
      </c>
      <c r="AY167" s="158" t="s">
        <v>2508</v>
      </c>
      <c r="AZ167" s="32"/>
      <c r="BA167" s="7">
        <f>BA155/BA136*100</f>
        <v>85.697658310575591</v>
      </c>
      <c r="BC167" s="12"/>
      <c r="BD167" s="12"/>
      <c r="BJ167" s="9"/>
    </row>
    <row r="168" spans="1:62">
      <c r="O168" s="12"/>
      <c r="AI168" s="3"/>
      <c r="AJ168" s="3"/>
      <c r="AK168" s="3"/>
      <c r="AN168"/>
      <c r="AO168"/>
      <c r="AP168" s="3"/>
      <c r="AQ168"/>
      <c r="AR168"/>
      <c r="AS168"/>
      <c r="AT168" s="2"/>
      <c r="AU168" s="2"/>
      <c r="AV168" s="2"/>
      <c r="AY168" s="12"/>
      <c r="AZ168" s="12"/>
      <c r="BA168" s="12"/>
      <c r="BB168" s="12"/>
      <c r="BC168" s="12"/>
      <c r="BD168" s="12"/>
      <c r="BE168" s="9"/>
    </row>
    <row r="169" spans="1:62">
      <c r="O169"/>
      <c r="AH169" s="3"/>
      <c r="AI169" s="3"/>
      <c r="AN169"/>
      <c r="AO169"/>
      <c r="AP169"/>
      <c r="AQ169"/>
      <c r="AR169" s="2"/>
      <c r="AS169" s="2"/>
      <c r="AT169" s="2"/>
      <c r="AY169" s="12"/>
      <c r="AZ169" s="12"/>
      <c r="BA169" s="12"/>
      <c r="BB169" s="12"/>
      <c r="BC169" s="9"/>
    </row>
    <row r="170" spans="1:62">
      <c r="O170"/>
      <c r="AH170" s="3"/>
      <c r="AI170" s="3"/>
      <c r="AN170"/>
      <c r="AO170"/>
      <c r="AP170"/>
      <c r="AQ170" t="s">
        <v>2431</v>
      </c>
      <c r="AR170"/>
      <c r="AS170" s="2"/>
      <c r="AT170" s="2"/>
      <c r="AY170" s="12"/>
      <c r="AZ170" s="12"/>
      <c r="BA170" s="12"/>
      <c r="BB170" s="12"/>
      <c r="BC170" s="9"/>
    </row>
    <row r="171" spans="1:62">
      <c r="O171"/>
      <c r="AH171" s="3"/>
      <c r="AI171" s="3"/>
      <c r="AN171"/>
      <c r="AO171" s="84" t="s">
        <v>2181</v>
      </c>
      <c r="AP171" s="9"/>
      <c r="AQ171"/>
      <c r="AR171"/>
      <c r="AS171" s="2"/>
      <c r="AT171" s="2"/>
      <c r="AY171" s="12"/>
      <c r="AZ171" s="12"/>
      <c r="BA171" s="12"/>
      <c r="BB171" s="12"/>
      <c r="BC171" s="9"/>
    </row>
    <row r="172" spans="1:62">
      <c r="M172">
        <v>101.12466960947926</v>
      </c>
      <c r="O172"/>
      <c r="AH172" s="3"/>
      <c r="AI172" s="3"/>
      <c r="AN172"/>
      <c r="AO172"/>
      <c r="AP172"/>
      <c r="AQ172"/>
      <c r="AR172"/>
      <c r="AS172" s="2"/>
      <c r="AT172" s="2"/>
      <c r="AY172" s="12"/>
      <c r="AZ172" s="12"/>
      <c r="BA172" s="12"/>
      <c r="BB172" s="12"/>
      <c r="BC172" s="9"/>
    </row>
    <row r="173" spans="1:62">
      <c r="M173">
        <v>60.997281876843516</v>
      </c>
      <c r="O173"/>
      <c r="AH173" s="3"/>
      <c r="AI173" s="3"/>
      <c r="AN173"/>
      <c r="AO173"/>
      <c r="AP173" t="s">
        <v>72</v>
      </c>
      <c r="AQ173" t="s">
        <v>2432</v>
      </c>
      <c r="AR173"/>
      <c r="AS173" s="2"/>
      <c r="AT173" s="2"/>
      <c r="AY173" s="12"/>
      <c r="AZ173" s="12"/>
      <c r="BA173" s="12"/>
      <c r="BB173" s="12"/>
      <c r="BC173" s="9"/>
    </row>
    <row r="174" spans="1:62">
      <c r="M174">
        <f>M172/M173-1</f>
        <v>0.65785534204056639</v>
      </c>
      <c r="O174"/>
      <c r="AH174" s="3"/>
      <c r="AI174" s="3"/>
      <c r="AN174"/>
      <c r="AO174" s="78">
        <v>43101</v>
      </c>
      <c r="AP174">
        <v>68</v>
      </c>
      <c r="AQ174">
        <v>0.65</v>
      </c>
      <c r="AR174"/>
      <c r="AS174" s="2"/>
      <c r="AT174" s="2"/>
      <c r="AY174" s="12"/>
      <c r="AZ174" s="12"/>
      <c r="BA174" s="12"/>
      <c r="BB174" s="12"/>
      <c r="BC174" s="9"/>
    </row>
    <row r="175" spans="1:62">
      <c r="O175"/>
      <c r="AH175" s="3"/>
      <c r="AI175" s="3"/>
      <c r="AN175"/>
      <c r="AO175" s="78">
        <v>43132</v>
      </c>
      <c r="AP175">
        <v>67</v>
      </c>
      <c r="AQ175">
        <v>0.68</v>
      </c>
      <c r="AR175"/>
      <c r="AS175" s="2"/>
      <c r="AT175" s="2"/>
      <c r="AY175" s="12"/>
      <c r="AZ175" s="12"/>
      <c r="BA175" s="12"/>
      <c r="BB175" s="12"/>
      <c r="BC175" s="9"/>
    </row>
    <row r="176" spans="1:62">
      <c r="O176"/>
      <c r="AD176" s="3"/>
      <c r="AE176" s="3"/>
      <c r="AO176" s="78">
        <v>43160</v>
      </c>
      <c r="AP176">
        <v>70</v>
      </c>
      <c r="AQ176">
        <v>0.67</v>
      </c>
      <c r="AR176"/>
    </row>
    <row r="177" spans="1:44">
      <c r="O177"/>
      <c r="AD177" s="3"/>
      <c r="AE177" s="3"/>
      <c r="AO177" s="78">
        <v>43191</v>
      </c>
      <c r="AP177">
        <v>75</v>
      </c>
      <c r="AQ177">
        <v>0.7</v>
      </c>
      <c r="AR177"/>
    </row>
    <row r="178" spans="1:44">
      <c r="O178"/>
      <c r="AD178" s="3"/>
      <c r="AE178" s="3"/>
      <c r="AO178" s="78">
        <v>43221</v>
      </c>
      <c r="AP178">
        <v>78</v>
      </c>
      <c r="AQ178">
        <v>0.75</v>
      </c>
      <c r="AR178"/>
    </row>
    <row r="179" spans="1:44">
      <c r="O179"/>
      <c r="AD179" s="3"/>
      <c r="AE179" s="3"/>
      <c r="AO179" s="78">
        <v>43252</v>
      </c>
      <c r="AP179">
        <v>75</v>
      </c>
      <c r="AQ179">
        <v>0.78</v>
      </c>
      <c r="AR179"/>
    </row>
    <row r="180" spans="1:44">
      <c r="O180"/>
      <c r="AD180" s="3"/>
      <c r="AE180" s="3"/>
      <c r="AO180" s="78">
        <v>43282</v>
      </c>
      <c r="AP180">
        <v>75</v>
      </c>
      <c r="AQ180">
        <v>0.75</v>
      </c>
      <c r="AR180"/>
    </row>
    <row r="181" spans="1:44">
      <c r="O181"/>
      <c r="AD181" s="3"/>
      <c r="AE181" s="3"/>
      <c r="AO181" s="78">
        <v>43313</v>
      </c>
      <c r="AP181">
        <v>75</v>
      </c>
      <c r="AQ181">
        <v>0.75</v>
      </c>
      <c r="AR181"/>
    </row>
    <row r="182" spans="1:44">
      <c r="O182"/>
      <c r="AD182" s="3"/>
      <c r="AE182" s="3"/>
      <c r="AO182" s="78">
        <v>43344</v>
      </c>
      <c r="AP182">
        <v>75</v>
      </c>
      <c r="AQ182">
        <v>0.75</v>
      </c>
      <c r="AR182"/>
    </row>
    <row r="183" spans="1:44">
      <c r="O183"/>
      <c r="AD183" s="3"/>
      <c r="AE183" s="3"/>
      <c r="AO183" s="78">
        <v>43374</v>
      </c>
      <c r="AP183">
        <v>74</v>
      </c>
      <c r="AQ183">
        <v>0.75</v>
      </c>
      <c r="AR183"/>
    </row>
    <row r="184" spans="1:44">
      <c r="O184"/>
      <c r="AD184" s="3"/>
      <c r="AE184" s="3"/>
      <c r="AO184" s="78">
        <v>43405</v>
      </c>
      <c r="AP184">
        <v>67</v>
      </c>
      <c r="AQ184">
        <v>0.74</v>
      </c>
      <c r="AR184"/>
    </row>
    <row r="185" spans="1:44">
      <c r="O185"/>
      <c r="AD185" s="3"/>
      <c r="AE185" s="3"/>
      <c r="AO185" s="78">
        <v>43435</v>
      </c>
      <c r="AP185" s="8">
        <v>65</v>
      </c>
      <c r="AQ185">
        <v>0.67</v>
      </c>
      <c r="AR185"/>
    </row>
    <row r="186" spans="1:44">
      <c r="O186"/>
      <c r="AD186" s="3"/>
      <c r="AE186" s="3"/>
      <c r="AO186"/>
      <c r="AP186"/>
      <c r="AQ186"/>
      <c r="AR186"/>
    </row>
    <row r="187" spans="1:44">
      <c r="B187" s="76" t="s">
        <v>2590</v>
      </c>
      <c r="C187" s="76"/>
      <c r="D187" s="76"/>
      <c r="E187" s="76"/>
      <c r="F187" s="26" t="s">
        <v>269</v>
      </c>
      <c r="G187" s="76" t="s">
        <v>2591</v>
      </c>
      <c r="H187" s="76"/>
      <c r="I187" s="76"/>
      <c r="J187" s="76"/>
      <c r="K187" s="26" t="s">
        <v>2628</v>
      </c>
      <c r="L187" s="26"/>
      <c r="M187" s="26"/>
      <c r="N187" s="26"/>
      <c r="O187" s="12"/>
      <c r="P187" s="77" t="s">
        <v>111</v>
      </c>
      <c r="Q187" s="26" t="s">
        <v>2622</v>
      </c>
      <c r="R187" s="26"/>
      <c r="S187" s="26"/>
      <c r="T187" s="79">
        <v>0</v>
      </c>
      <c r="U187" s="76" t="s">
        <v>2630</v>
      </c>
      <c r="V187" s="76"/>
      <c r="W187" s="76"/>
      <c r="X187" s="76"/>
      <c r="Y187" s="26" t="s">
        <v>2631</v>
      </c>
      <c r="Z187" s="26"/>
      <c r="AA187" s="26"/>
      <c r="AB187" s="79"/>
      <c r="AD187" s="3"/>
      <c r="AE187" s="3"/>
      <c r="AO187">
        <v>2018</v>
      </c>
      <c r="AP187" s="9">
        <f>AVERAGE(AP174:AP185)</f>
        <v>72</v>
      </c>
      <c r="AQ187" s="3">
        <f>AVERAGE(AQ174:AQ185)</f>
        <v>0.72000000000000008</v>
      </c>
      <c r="AR187"/>
    </row>
    <row r="188" spans="1:44">
      <c r="A188" s="71"/>
      <c r="B188" s="77" t="s">
        <v>262</v>
      </c>
      <c r="C188" s="77" t="s">
        <v>268</v>
      </c>
      <c r="D188" s="77" t="s">
        <v>267</v>
      </c>
      <c r="E188" s="77" t="s">
        <v>266</v>
      </c>
      <c r="F188" s="75" t="s">
        <v>270</v>
      </c>
      <c r="G188" s="77" t="s">
        <v>262</v>
      </c>
      <c r="H188" s="77" t="s">
        <v>268</v>
      </c>
      <c r="I188" s="77" t="s">
        <v>267</v>
      </c>
      <c r="J188" s="77" t="s">
        <v>266</v>
      </c>
      <c r="K188" s="75" t="s">
        <v>262</v>
      </c>
      <c r="L188" s="75" t="s">
        <v>268</v>
      </c>
      <c r="M188" s="75" t="s">
        <v>267</v>
      </c>
      <c r="N188" s="75" t="s">
        <v>266</v>
      </c>
      <c r="O188" s="83"/>
      <c r="P188" s="77" t="s">
        <v>2629</v>
      </c>
      <c r="Q188" s="75" t="s">
        <v>262</v>
      </c>
      <c r="R188" s="75" t="s">
        <v>268</v>
      </c>
      <c r="S188" s="75" t="s">
        <v>267</v>
      </c>
      <c r="T188" s="75" t="s">
        <v>266</v>
      </c>
      <c r="U188" s="77" t="s">
        <v>262</v>
      </c>
      <c r="V188" s="77" t="s">
        <v>268</v>
      </c>
      <c r="W188" s="77" t="s">
        <v>267</v>
      </c>
      <c r="X188" s="77" t="s">
        <v>266</v>
      </c>
      <c r="Y188" s="75" t="s">
        <v>2030</v>
      </c>
      <c r="Z188" s="75" t="s">
        <v>2031</v>
      </c>
      <c r="AA188" s="75" t="s">
        <v>2032</v>
      </c>
      <c r="AB188" s="75" t="s">
        <v>2033</v>
      </c>
      <c r="AD188" s="3"/>
      <c r="AE188" s="3"/>
      <c r="AO188"/>
      <c r="AP188"/>
      <c r="AQ188"/>
      <c r="AR188"/>
    </row>
    <row r="189" spans="1:44">
      <c r="A189">
        <v>2010</v>
      </c>
      <c r="B189" s="3">
        <f>B135</f>
        <v>79.48</v>
      </c>
      <c r="C189" s="3">
        <f t="shared" ref="C189:E189" si="129">C135</f>
        <v>79.48</v>
      </c>
      <c r="D189" s="3">
        <f t="shared" si="129"/>
        <v>79.48</v>
      </c>
      <c r="E189" s="3">
        <f t="shared" si="129"/>
        <v>79.48</v>
      </c>
      <c r="F189" s="39">
        <f>F135</f>
        <v>1</v>
      </c>
      <c r="G189" s="3">
        <f t="shared" ref="G189" si="130">B189*$F189</f>
        <v>79.48</v>
      </c>
      <c r="H189" s="3">
        <f t="shared" ref="H189" si="131">C189*$F189</f>
        <v>79.48</v>
      </c>
      <c r="I189" s="3">
        <f t="shared" ref="I189" si="132">D189*$F189</f>
        <v>79.48</v>
      </c>
      <c r="J189" s="3">
        <f t="shared" ref="J189" si="133">E189*$F189</f>
        <v>79.48</v>
      </c>
      <c r="K189" s="6">
        <f>K135*3.78541</f>
        <v>237.75410554882487</v>
      </c>
      <c r="L189" s="6">
        <f>L135*3.78541</f>
        <v>245.89466310852112</v>
      </c>
      <c r="M189" s="6">
        <f t="shared" ref="M189:N189" si="134">M135*3.78541</f>
        <v>245.89466310852112</v>
      </c>
      <c r="N189" s="6">
        <f t="shared" si="134"/>
        <v>245.89466310852112</v>
      </c>
      <c r="O189">
        <v>2010</v>
      </c>
      <c r="P189" s="24">
        <f>P135*3.78541</f>
        <v>40.221168784508492</v>
      </c>
      <c r="Q189" s="3">
        <f>Q135</f>
        <v>0</v>
      </c>
      <c r="R189" s="3">
        <f t="shared" ref="R189:T189" si="135">R135</f>
        <v>0</v>
      </c>
      <c r="S189" s="3">
        <f t="shared" si="135"/>
        <v>0</v>
      </c>
      <c r="T189" s="3">
        <f t="shared" si="135"/>
        <v>0</v>
      </c>
      <c r="U189" s="3">
        <f>U135*3.78541</f>
        <v>277.97527433333335</v>
      </c>
      <c r="V189" s="3">
        <f>L189+$P189+R189</f>
        <v>286.11583189302962</v>
      </c>
      <c r="W189" s="3">
        <f>M189+$P189+S189</f>
        <v>286.11583189302962</v>
      </c>
      <c r="X189" s="3">
        <f>N189+$P189+T189</f>
        <v>286.11583189302962</v>
      </c>
      <c r="Y189" s="3">
        <f>U189*$AU$105/100</f>
        <v>320.87250955483842</v>
      </c>
      <c r="Z189" s="3">
        <f>V189*$AU$105/100</f>
        <v>330.26932061877176</v>
      </c>
      <c r="AA189" s="3">
        <f t="shared" ref="AA189" si="136">W189*$AU$105/100</f>
        <v>330.26932061877176</v>
      </c>
      <c r="AB189" s="3">
        <f t="shared" ref="AB189" si="137">X189*$AU$105/100</f>
        <v>330.26932061877176</v>
      </c>
      <c r="AC189" s="3"/>
      <c r="AD189" s="3"/>
      <c r="AE189" s="3"/>
    </row>
    <row r="190" spans="1:44">
      <c r="A190">
        <v>2011</v>
      </c>
      <c r="B190" s="3">
        <f t="shared" ref="B190:E190" si="138">B136</f>
        <v>91.997969509010503</v>
      </c>
      <c r="C190" s="3">
        <f t="shared" si="138"/>
        <v>91.997969509010503</v>
      </c>
      <c r="D190" s="3">
        <f t="shared" si="138"/>
        <v>91.997969509010503</v>
      </c>
      <c r="E190" s="3">
        <f t="shared" si="138"/>
        <v>91.997969509010503</v>
      </c>
      <c r="F190" s="39">
        <f t="shared" ref="F190:F209" si="139">F136</f>
        <v>1</v>
      </c>
      <c r="G190" s="3">
        <f t="shared" ref="G190:G197" si="140">B190*$F190</f>
        <v>91.997969509010503</v>
      </c>
      <c r="H190" s="3">
        <f t="shared" ref="H190:H209" si="141">C190*$F190</f>
        <v>91.997969509010503</v>
      </c>
      <c r="I190" s="3">
        <f t="shared" ref="I190:I209" si="142">D190*$F190</f>
        <v>91.997969509010503</v>
      </c>
      <c r="J190" s="3">
        <f t="shared" ref="J190:J209" si="143">E190*$F190</f>
        <v>91.997969509010503</v>
      </c>
      <c r="K190" s="6">
        <f t="shared" ref="K190:N190" si="144">K136*3.78541</f>
        <v>302.92978479251678</v>
      </c>
      <c r="L190" s="6">
        <f t="shared" si="144"/>
        <v>301.93758007573985</v>
      </c>
      <c r="M190" s="6">
        <f t="shared" si="144"/>
        <v>301.93758007573985</v>
      </c>
      <c r="N190" s="6">
        <f t="shared" si="144"/>
        <v>301.93758007573985</v>
      </c>
      <c r="O190">
        <v>2011</v>
      </c>
      <c r="P190" s="24">
        <f t="shared" ref="P190:P209" si="145">P136*3.78541</f>
        <v>38.572782214965471</v>
      </c>
      <c r="Q190" s="3">
        <f t="shared" ref="Q190:T190" si="146">Q136</f>
        <v>0</v>
      </c>
      <c r="R190" s="3">
        <f t="shared" si="146"/>
        <v>0</v>
      </c>
      <c r="S190" s="3">
        <f t="shared" si="146"/>
        <v>0</v>
      </c>
      <c r="T190" s="3">
        <f t="shared" si="146"/>
        <v>0</v>
      </c>
      <c r="U190" s="3">
        <f t="shared" ref="U190:U197" si="147">U136*3.78541</f>
        <v>341.50256700748224</v>
      </c>
      <c r="V190" s="3">
        <f t="shared" ref="V190:V209" si="148">L190+$P190+R190</f>
        <v>340.5103622907053</v>
      </c>
      <c r="W190" s="3">
        <f t="shared" ref="W190:W209" si="149">M190+$P190+S190</f>
        <v>340.5103622907053</v>
      </c>
      <c r="X190" s="3">
        <f t="shared" ref="X190:X209" si="150">N190+$P190+T190</f>
        <v>340.5103622907053</v>
      </c>
      <c r="Y190" s="3">
        <f t="shared" ref="Y190:Y197" si="151">U190*$AU$105/100</f>
        <v>394.20335480525171</v>
      </c>
      <c r="Z190" s="3">
        <f t="shared" ref="Z190:Z209" si="152">V190*$AU$105/100</f>
        <v>393.05803273217202</v>
      </c>
      <c r="AA190" s="3">
        <f t="shared" ref="AA190:AA209" si="153">W190*$AU$105/100</f>
        <v>393.05803273217202</v>
      </c>
      <c r="AB190" s="3">
        <f t="shared" ref="AB190:AB209" si="154">X190*$AU$105/100</f>
        <v>393.05803273217202</v>
      </c>
      <c r="AC190" s="3"/>
      <c r="AD190" s="3"/>
      <c r="AE190" s="3"/>
    </row>
    <row r="191" spans="1:44">
      <c r="A191">
        <v>2012</v>
      </c>
      <c r="B191" s="3">
        <f t="shared" ref="B191:E191" si="155">B137</f>
        <v>89.392029265076943</v>
      </c>
      <c r="C191" s="3">
        <f t="shared" si="155"/>
        <v>89.392029265076943</v>
      </c>
      <c r="D191" s="3">
        <f t="shared" si="155"/>
        <v>89.392029265076943</v>
      </c>
      <c r="E191" s="3">
        <f t="shared" si="155"/>
        <v>89.392029265076943</v>
      </c>
      <c r="F191" s="39">
        <f t="shared" si="139"/>
        <v>1</v>
      </c>
      <c r="G191" s="3">
        <f t="shared" si="140"/>
        <v>89.392029265076943</v>
      </c>
      <c r="H191" s="3">
        <f t="shared" si="141"/>
        <v>89.392029265076943</v>
      </c>
      <c r="I191" s="3">
        <f t="shared" si="142"/>
        <v>89.392029265076943</v>
      </c>
      <c r="J191" s="3">
        <f t="shared" si="143"/>
        <v>89.392029265076943</v>
      </c>
      <c r="K191" s="6">
        <f t="shared" ref="K191:N191" si="156">K137*3.78541</f>
        <v>306.57333813684875</v>
      </c>
      <c r="L191" s="6">
        <f t="shared" si="156"/>
        <v>294.53615196443053</v>
      </c>
      <c r="M191" s="6">
        <f t="shared" si="156"/>
        <v>294.53615196443053</v>
      </c>
      <c r="N191" s="6">
        <f t="shared" si="156"/>
        <v>294.53615196443053</v>
      </c>
      <c r="O191">
        <v>2012</v>
      </c>
      <c r="P191" s="24">
        <f t="shared" si="145"/>
        <v>38.048558404407636</v>
      </c>
      <c r="Q191" s="3">
        <f t="shared" ref="Q191:T191" si="157">Q137</f>
        <v>0</v>
      </c>
      <c r="R191" s="3">
        <f t="shared" si="157"/>
        <v>0</v>
      </c>
      <c r="S191" s="3">
        <f t="shared" si="157"/>
        <v>0</v>
      </c>
      <c r="T191" s="3">
        <f t="shared" si="157"/>
        <v>0</v>
      </c>
      <c r="U191" s="3">
        <f t="shared" si="147"/>
        <v>344.62189654125638</v>
      </c>
      <c r="V191" s="3">
        <f t="shared" si="148"/>
        <v>332.58471036883816</v>
      </c>
      <c r="W191" s="3">
        <f t="shared" si="149"/>
        <v>332.58471036883816</v>
      </c>
      <c r="X191" s="3">
        <f t="shared" si="150"/>
        <v>332.58471036883816</v>
      </c>
      <c r="Y191" s="3">
        <f t="shared" si="151"/>
        <v>397.80406029256926</v>
      </c>
      <c r="Z191" s="3">
        <f t="shared" si="152"/>
        <v>383.90929161436287</v>
      </c>
      <c r="AA191" s="3">
        <f t="shared" si="153"/>
        <v>383.90929161436287</v>
      </c>
      <c r="AB191" s="3">
        <f t="shared" si="154"/>
        <v>383.90929161436287</v>
      </c>
      <c r="AC191" s="3"/>
      <c r="AD191" s="3"/>
      <c r="AE191" s="3"/>
    </row>
    <row r="192" spans="1:44">
      <c r="A192">
        <v>2013</v>
      </c>
      <c r="B192" s="3">
        <f t="shared" ref="B192:E192" si="158">B138</f>
        <v>91.82955471617052</v>
      </c>
      <c r="C192" s="3">
        <f t="shared" si="158"/>
        <v>91.82955471617052</v>
      </c>
      <c r="D192" s="3">
        <f t="shared" si="158"/>
        <v>91.82955471617052</v>
      </c>
      <c r="E192" s="3">
        <f t="shared" si="158"/>
        <v>91.82955471617052</v>
      </c>
      <c r="F192" s="39">
        <f t="shared" si="139"/>
        <v>1</v>
      </c>
      <c r="G192" s="3">
        <f t="shared" si="140"/>
        <v>91.82955471617052</v>
      </c>
      <c r="H192" s="3">
        <f t="shared" si="141"/>
        <v>91.82955471617052</v>
      </c>
      <c r="I192" s="3">
        <f t="shared" si="142"/>
        <v>91.82955471617052</v>
      </c>
      <c r="J192" s="3">
        <f t="shared" si="143"/>
        <v>91.82955471617052</v>
      </c>
      <c r="K192" s="6">
        <f t="shared" ref="K192:N192" si="159">K138*3.78541</f>
        <v>290.84460341608235</v>
      </c>
      <c r="L192" s="6">
        <f t="shared" si="159"/>
        <v>301.45924601378738</v>
      </c>
      <c r="M192" s="6">
        <f t="shared" si="159"/>
        <v>301.45924601378738</v>
      </c>
      <c r="N192" s="6">
        <f t="shared" si="159"/>
        <v>301.45924601378738</v>
      </c>
      <c r="O192">
        <v>2013</v>
      </c>
      <c r="P192" s="24">
        <f t="shared" si="145"/>
        <v>37.769493091037774</v>
      </c>
      <c r="Q192" s="3">
        <f t="shared" ref="Q192:T192" si="160">Q138</f>
        <v>0</v>
      </c>
      <c r="R192" s="3">
        <f t="shared" si="160"/>
        <v>0</v>
      </c>
      <c r="S192" s="3">
        <f t="shared" si="160"/>
        <v>0</v>
      </c>
      <c r="T192" s="3">
        <f t="shared" si="160"/>
        <v>0</v>
      </c>
      <c r="U192" s="3">
        <f t="shared" si="147"/>
        <v>328.61409650712011</v>
      </c>
      <c r="V192" s="3">
        <f t="shared" si="148"/>
        <v>339.22873910482514</v>
      </c>
      <c r="W192" s="3">
        <f t="shared" si="149"/>
        <v>339.22873910482514</v>
      </c>
      <c r="X192" s="3">
        <f t="shared" si="150"/>
        <v>339.22873910482514</v>
      </c>
      <c r="Y192" s="3">
        <f t="shared" si="151"/>
        <v>379.3259313232785</v>
      </c>
      <c r="Z192" s="3">
        <f t="shared" si="152"/>
        <v>391.57862903720917</v>
      </c>
      <c r="AA192" s="3">
        <f t="shared" si="153"/>
        <v>391.57862903720917</v>
      </c>
      <c r="AB192" s="3">
        <f t="shared" si="154"/>
        <v>391.57862903720917</v>
      </c>
      <c r="AC192" s="3"/>
      <c r="AD192" s="3"/>
      <c r="AE192" s="3"/>
    </row>
    <row r="193" spans="1:31">
      <c r="A193">
        <v>2014</v>
      </c>
      <c r="B193" s="3">
        <f t="shared" ref="B193:E193" si="161">B139</f>
        <v>85.904133364993911</v>
      </c>
      <c r="C193" s="3">
        <f t="shared" si="161"/>
        <v>85.904133364993911</v>
      </c>
      <c r="D193" s="3">
        <f t="shared" si="161"/>
        <v>85.904133364993911</v>
      </c>
      <c r="E193" s="3">
        <f t="shared" si="161"/>
        <v>85.904133364993911</v>
      </c>
      <c r="F193" s="39">
        <f t="shared" si="139"/>
        <v>1</v>
      </c>
      <c r="G193" s="3">
        <f t="shared" si="140"/>
        <v>85.904133364993911</v>
      </c>
      <c r="H193" s="3">
        <f t="shared" si="141"/>
        <v>85.904133364993911</v>
      </c>
      <c r="I193" s="3">
        <f t="shared" si="142"/>
        <v>85.904133364993911</v>
      </c>
      <c r="J193" s="3">
        <f t="shared" si="143"/>
        <v>85.904133364993911</v>
      </c>
      <c r="K193" s="6">
        <f t="shared" ref="K193:N193" si="162">K139*3.78541</f>
        <v>272.33508532532221</v>
      </c>
      <c r="L193" s="6">
        <f t="shared" si="162"/>
        <v>284.62978100128527</v>
      </c>
      <c r="M193" s="6">
        <f t="shared" si="162"/>
        <v>284.62978100128527</v>
      </c>
      <c r="N193" s="6">
        <f t="shared" si="162"/>
        <v>284.62978100128527</v>
      </c>
      <c r="O193">
        <v>2014</v>
      </c>
      <c r="P193" s="24">
        <f t="shared" si="145"/>
        <v>37.769596149433426</v>
      </c>
      <c r="Q193" s="3">
        <f t="shared" ref="Q193:T193" si="163">Q139</f>
        <v>0</v>
      </c>
      <c r="R193" s="3">
        <f t="shared" si="163"/>
        <v>0</v>
      </c>
      <c r="S193" s="3">
        <f t="shared" si="163"/>
        <v>0</v>
      </c>
      <c r="T193" s="3">
        <f t="shared" si="163"/>
        <v>0</v>
      </c>
      <c r="U193" s="3">
        <f t="shared" si="147"/>
        <v>310.10468147475564</v>
      </c>
      <c r="V193" s="3">
        <f t="shared" si="148"/>
        <v>322.39937715071869</v>
      </c>
      <c r="W193" s="3">
        <f t="shared" si="149"/>
        <v>322.39937715071869</v>
      </c>
      <c r="X193" s="3">
        <f>N193+$P193+T193</f>
        <v>322.39937715071869</v>
      </c>
      <c r="Y193" s="3">
        <f t="shared" si="151"/>
        <v>357.96013731130847</v>
      </c>
      <c r="Z193" s="3">
        <f t="shared" si="152"/>
        <v>372.15215444384171</v>
      </c>
      <c r="AA193" s="3">
        <f t="shared" si="153"/>
        <v>372.15215444384171</v>
      </c>
      <c r="AB193" s="3">
        <f t="shared" si="154"/>
        <v>372.15215444384171</v>
      </c>
      <c r="AC193" s="3"/>
      <c r="AD193" s="3"/>
      <c r="AE193" s="3"/>
    </row>
    <row r="194" spans="1:31">
      <c r="A194">
        <v>2015</v>
      </c>
      <c r="B194" s="3">
        <f t="shared" ref="B194:E194" si="164">B140</f>
        <v>44.76813938738384</v>
      </c>
      <c r="C194" s="3">
        <f t="shared" si="164"/>
        <v>44.76813938738384</v>
      </c>
      <c r="D194" s="3">
        <f t="shared" si="164"/>
        <v>44.76813938738384</v>
      </c>
      <c r="E194" s="3">
        <f t="shared" si="164"/>
        <v>44.76813938738384</v>
      </c>
      <c r="F194" s="39">
        <f t="shared" si="139"/>
        <v>1</v>
      </c>
      <c r="G194" s="3">
        <f t="shared" si="140"/>
        <v>44.76813938738384</v>
      </c>
      <c r="H194" s="3">
        <f t="shared" si="141"/>
        <v>44.76813938738384</v>
      </c>
      <c r="I194" s="3">
        <f t="shared" si="142"/>
        <v>44.76813938738384</v>
      </c>
      <c r="J194" s="3">
        <f t="shared" si="143"/>
        <v>44.76813938738384</v>
      </c>
      <c r="K194" s="6">
        <f t="shared" ref="K194:N194" si="165">K140*3.78541</f>
        <v>182.8629335092221</v>
      </c>
      <c r="L194" s="6">
        <f t="shared" si="165"/>
        <v>167.79475267655414</v>
      </c>
      <c r="M194" s="6">
        <f t="shared" si="165"/>
        <v>167.79475267655414</v>
      </c>
      <c r="N194" s="6">
        <f t="shared" si="165"/>
        <v>167.79475267655414</v>
      </c>
      <c r="O194">
        <v>2015</v>
      </c>
      <c r="P194" s="24">
        <f t="shared" si="145"/>
        <v>39.968640099534184</v>
      </c>
      <c r="Q194" s="3">
        <f t="shared" ref="Q194:T194" si="166">Q140</f>
        <v>0</v>
      </c>
      <c r="R194" s="3">
        <f t="shared" si="166"/>
        <v>0</v>
      </c>
      <c r="S194" s="3">
        <f t="shared" si="166"/>
        <v>0</v>
      </c>
      <c r="T194" s="3">
        <f t="shared" si="166"/>
        <v>0</v>
      </c>
      <c r="U194" s="3">
        <f t="shared" si="147"/>
        <v>222.83157360875629</v>
      </c>
      <c r="V194" s="3">
        <f t="shared" si="148"/>
        <v>207.76339277608832</v>
      </c>
      <c r="W194" s="3">
        <f t="shared" si="149"/>
        <v>207.76339277608832</v>
      </c>
      <c r="X194" s="3">
        <f t="shared" si="150"/>
        <v>207.76339277608832</v>
      </c>
      <c r="Y194" s="3">
        <f t="shared" si="151"/>
        <v>257.2190149047417</v>
      </c>
      <c r="Z194" s="3">
        <f t="shared" si="152"/>
        <v>239.82550747930628</v>
      </c>
      <c r="AA194" s="3">
        <f t="shared" si="153"/>
        <v>239.82550747930628</v>
      </c>
      <c r="AB194" s="3">
        <f t="shared" si="154"/>
        <v>239.82550747930628</v>
      </c>
      <c r="AC194" s="3"/>
      <c r="AD194" s="3"/>
      <c r="AE194" s="3"/>
    </row>
    <row r="195" spans="1:31">
      <c r="A195">
        <v>2016</v>
      </c>
      <c r="B195" s="3">
        <f t="shared" ref="B195:E195" si="167">B141</f>
        <v>39.325037453166594</v>
      </c>
      <c r="C195" s="3">
        <f t="shared" si="167"/>
        <v>39.325037453166594</v>
      </c>
      <c r="D195" s="3">
        <f t="shared" si="167"/>
        <v>39.325037453166594</v>
      </c>
      <c r="E195" s="3">
        <f t="shared" si="167"/>
        <v>39.325037453166594</v>
      </c>
      <c r="F195" s="39">
        <f t="shared" si="139"/>
        <v>1</v>
      </c>
      <c r="G195" s="3">
        <f t="shared" si="140"/>
        <v>39.325037453166594</v>
      </c>
      <c r="H195" s="3">
        <f t="shared" si="141"/>
        <v>39.325037453166594</v>
      </c>
      <c r="I195" s="3">
        <f t="shared" si="142"/>
        <v>39.325037453166594</v>
      </c>
      <c r="J195" s="3">
        <f t="shared" si="143"/>
        <v>39.325037453166594</v>
      </c>
      <c r="K195" s="6">
        <f t="shared" ref="K195:N195" si="168">K141*3.78541</f>
        <v>158.44349878468256</v>
      </c>
      <c r="L195" s="6">
        <f t="shared" si="168"/>
        <v>152.33517805183962</v>
      </c>
      <c r="M195" s="6">
        <f t="shared" si="168"/>
        <v>152.33517805183962</v>
      </c>
      <c r="N195" s="6">
        <f t="shared" si="168"/>
        <v>152.33517805183962</v>
      </c>
      <c r="O195">
        <v>2016</v>
      </c>
      <c r="P195" s="24">
        <f t="shared" si="145"/>
        <v>39.482431165798673</v>
      </c>
      <c r="Q195" s="3">
        <f t="shared" ref="Q195:T195" si="169">Q141</f>
        <v>0</v>
      </c>
      <c r="R195" s="3">
        <f t="shared" si="169"/>
        <v>0</v>
      </c>
      <c r="S195" s="3">
        <f t="shared" si="169"/>
        <v>0</v>
      </c>
      <c r="T195" s="3">
        <f t="shared" si="169"/>
        <v>0</v>
      </c>
      <c r="U195" s="3">
        <f t="shared" si="147"/>
        <v>197.92592995048122</v>
      </c>
      <c r="V195" s="3">
        <f t="shared" si="148"/>
        <v>191.81760921763828</v>
      </c>
      <c r="W195" s="3">
        <f t="shared" si="149"/>
        <v>191.81760921763828</v>
      </c>
      <c r="X195" s="3">
        <f t="shared" si="150"/>
        <v>191.81760921763828</v>
      </c>
      <c r="Y195" s="3">
        <f t="shared" si="151"/>
        <v>228.46992417400918</v>
      </c>
      <c r="Z195" s="3">
        <f t="shared" si="152"/>
        <v>221.41896538850636</v>
      </c>
      <c r="AA195" s="3">
        <f t="shared" si="153"/>
        <v>221.41896538850636</v>
      </c>
      <c r="AB195" s="3">
        <f t="shared" si="154"/>
        <v>221.41896538850636</v>
      </c>
      <c r="AC195" s="3"/>
      <c r="AD195" s="3"/>
      <c r="AE195" s="3"/>
    </row>
    <row r="196" spans="1:31">
      <c r="A196">
        <v>2017</v>
      </c>
      <c r="B196" s="3">
        <f t="shared" ref="B196:E196" si="170">B142</f>
        <v>45.18475579920986</v>
      </c>
      <c r="C196" s="3">
        <f t="shared" si="170"/>
        <v>45.18475579920986</v>
      </c>
      <c r="D196" s="3">
        <f t="shared" si="170"/>
        <v>45.18475579920986</v>
      </c>
      <c r="E196" s="3">
        <f t="shared" si="170"/>
        <v>45.18475579920986</v>
      </c>
      <c r="F196" s="39">
        <f t="shared" si="139"/>
        <v>1</v>
      </c>
      <c r="G196" s="3">
        <f t="shared" si="140"/>
        <v>45.18475579920986</v>
      </c>
      <c r="H196" s="3">
        <f t="shared" si="141"/>
        <v>45.18475579920986</v>
      </c>
      <c r="I196" s="3">
        <f t="shared" si="142"/>
        <v>45.18475579920986</v>
      </c>
      <c r="J196" s="3">
        <f t="shared" si="143"/>
        <v>45.18475579920986</v>
      </c>
      <c r="K196" s="6">
        <f t="shared" ref="K196:N196" si="171">K142*3.78541</f>
        <v>175.65549982002341</v>
      </c>
      <c r="L196" s="6">
        <f t="shared" si="171"/>
        <v>168.97803246560542</v>
      </c>
      <c r="M196" s="6">
        <f t="shared" si="171"/>
        <v>168.97803246560542</v>
      </c>
      <c r="N196" s="6">
        <f t="shared" si="171"/>
        <v>168.97803246560542</v>
      </c>
      <c r="O196">
        <v>2017</v>
      </c>
      <c r="P196" s="24">
        <f t="shared" si="145"/>
        <v>39.382594325635012</v>
      </c>
      <c r="Q196" s="3">
        <f t="shared" ref="Q196:T196" si="172">Q142</f>
        <v>0</v>
      </c>
      <c r="R196" s="3">
        <f t="shared" si="172"/>
        <v>0</v>
      </c>
      <c r="S196" s="3">
        <f t="shared" si="172"/>
        <v>0</v>
      </c>
      <c r="T196" s="3">
        <f t="shared" si="172"/>
        <v>0</v>
      </c>
      <c r="U196" s="3">
        <f t="shared" si="147"/>
        <v>215.03809414565842</v>
      </c>
      <c r="V196" s="3">
        <f t="shared" si="148"/>
        <v>208.36062679124043</v>
      </c>
      <c r="W196" s="3">
        <f t="shared" si="149"/>
        <v>208.36062679124043</v>
      </c>
      <c r="X196" s="3">
        <f t="shared" si="150"/>
        <v>208.36062679124043</v>
      </c>
      <c r="Y196" s="3">
        <f t="shared" si="151"/>
        <v>248.22284314275407</v>
      </c>
      <c r="Z196" s="3">
        <f t="shared" si="152"/>
        <v>240.51490684294743</v>
      </c>
      <c r="AA196" s="3">
        <f t="shared" si="153"/>
        <v>240.51490684294743</v>
      </c>
      <c r="AB196" s="3">
        <f t="shared" si="154"/>
        <v>240.51490684294743</v>
      </c>
      <c r="AC196" s="3"/>
      <c r="AD196" s="3"/>
      <c r="AE196" s="3"/>
    </row>
    <row r="197" spans="1:31">
      <c r="A197">
        <v>2018</v>
      </c>
      <c r="B197" s="3">
        <f t="shared" ref="B197:E197" si="173">B143</f>
        <v>56.635219008976691</v>
      </c>
      <c r="C197" s="3">
        <f t="shared" si="173"/>
        <v>56.635219008976691</v>
      </c>
      <c r="D197" s="3">
        <f t="shared" si="173"/>
        <v>56.635219008976691</v>
      </c>
      <c r="E197" s="3">
        <f t="shared" si="173"/>
        <v>56.635219008976691</v>
      </c>
      <c r="F197" s="39">
        <f t="shared" si="139"/>
        <v>1</v>
      </c>
      <c r="G197" s="3">
        <f t="shared" si="140"/>
        <v>56.635219008976691</v>
      </c>
      <c r="H197" s="3">
        <f t="shared" si="141"/>
        <v>56.635219008976691</v>
      </c>
      <c r="I197" s="3">
        <f t="shared" si="142"/>
        <v>56.635219008976691</v>
      </c>
      <c r="J197" s="3">
        <f t="shared" si="143"/>
        <v>56.635219008976691</v>
      </c>
      <c r="K197" s="6">
        <f t="shared" ref="K197:N197" si="174">K143*3.78541</f>
        <v>197.75510145005029</v>
      </c>
      <c r="L197" s="6">
        <f t="shared" si="174"/>
        <v>201.49979902781757</v>
      </c>
      <c r="M197" s="6">
        <f t="shared" si="174"/>
        <v>201.49979902781757</v>
      </c>
      <c r="N197" s="6">
        <f t="shared" si="174"/>
        <v>201.49979902781757</v>
      </c>
      <c r="O197">
        <v>2018</v>
      </c>
      <c r="P197" s="24">
        <f t="shared" si="145"/>
        <v>38.357452088819592</v>
      </c>
      <c r="Q197" s="3">
        <f t="shared" ref="Q197:T197" si="175">Q143</f>
        <v>0</v>
      </c>
      <c r="R197" s="3">
        <f t="shared" si="175"/>
        <v>0</v>
      </c>
      <c r="S197" s="3">
        <f t="shared" si="175"/>
        <v>0</v>
      </c>
      <c r="T197" s="3">
        <f t="shared" si="175"/>
        <v>0</v>
      </c>
      <c r="U197" s="3">
        <f t="shared" si="147"/>
        <v>236.11255353886989</v>
      </c>
      <c r="V197" s="3">
        <f t="shared" si="148"/>
        <v>239.85725111663717</v>
      </c>
      <c r="W197" s="3">
        <f t="shared" si="149"/>
        <v>239.85725111663717</v>
      </c>
      <c r="X197" s="3">
        <f t="shared" si="150"/>
        <v>239.85725111663717</v>
      </c>
      <c r="Y197" s="3">
        <f t="shared" si="151"/>
        <v>272.54952000000003</v>
      </c>
      <c r="Z197" s="3">
        <f t="shared" si="152"/>
        <v>276.87210053232911</v>
      </c>
      <c r="AA197" s="3">
        <f t="shared" si="153"/>
        <v>276.87210053232911</v>
      </c>
      <c r="AB197" s="3">
        <f t="shared" si="154"/>
        <v>276.87210053232911</v>
      </c>
      <c r="AC197" s="3"/>
      <c r="AD197" s="3"/>
      <c r="AE197" s="3"/>
    </row>
    <row r="198" spans="1:31">
      <c r="A198">
        <v>2019</v>
      </c>
      <c r="B198" s="3"/>
      <c r="C198" s="3">
        <f t="shared" ref="C198:E198" si="176">C144</f>
        <v>86.505926788709857</v>
      </c>
      <c r="D198" s="3">
        <f t="shared" si="176"/>
        <v>53.481396744557586</v>
      </c>
      <c r="E198" s="3">
        <f t="shared" si="176"/>
        <v>24.715979082488531</v>
      </c>
      <c r="F198" s="39">
        <f t="shared" si="139"/>
        <v>1</v>
      </c>
      <c r="G198" s="3"/>
      <c r="H198" s="3">
        <f t="shared" si="141"/>
        <v>86.505926788709857</v>
      </c>
      <c r="I198" s="3">
        <f t="shared" si="142"/>
        <v>53.481396744557586</v>
      </c>
      <c r="J198" s="3">
        <f t="shared" si="143"/>
        <v>24.715979082488531</v>
      </c>
      <c r="K198" s="3"/>
      <c r="L198" s="6">
        <f t="shared" ref="L198:N198" si="177">L144*3.78541</f>
        <v>286.33900314245335</v>
      </c>
      <c r="M198" s="6">
        <f t="shared" si="177"/>
        <v>192.54226870060262</v>
      </c>
      <c r="N198" s="6">
        <f t="shared" si="177"/>
        <v>110.84232511470518</v>
      </c>
      <c r="O198">
        <v>2019</v>
      </c>
      <c r="P198" s="3">
        <f t="shared" si="145"/>
        <v>38.357452088819592</v>
      </c>
      <c r="Q198" s="3"/>
      <c r="R198" s="3">
        <f t="shared" ref="R198:T198" si="178">R144</f>
        <v>0</v>
      </c>
      <c r="S198" s="3">
        <f t="shared" si="178"/>
        <v>0</v>
      </c>
      <c r="T198" s="3">
        <f t="shared" si="178"/>
        <v>0</v>
      </c>
      <c r="U198" s="3"/>
      <c r="V198" s="3">
        <f t="shared" si="148"/>
        <v>324.69645523127292</v>
      </c>
      <c r="W198" s="3">
        <f t="shared" si="149"/>
        <v>230.89972078942222</v>
      </c>
      <c r="X198" s="3">
        <f t="shared" si="150"/>
        <v>149.19977720352477</v>
      </c>
      <c r="Y198" s="3"/>
      <c r="Z198" s="3">
        <f t="shared" si="152"/>
        <v>374.8037183648363</v>
      </c>
      <c r="AA198" s="3">
        <f t="shared" si="153"/>
        <v>266.53224119627748</v>
      </c>
      <c r="AB198" s="3">
        <f t="shared" si="154"/>
        <v>172.22433560371147</v>
      </c>
      <c r="AC198" s="3"/>
      <c r="AD198" s="3"/>
      <c r="AE198" s="3"/>
    </row>
    <row r="199" spans="1:31">
      <c r="A199">
        <v>2020</v>
      </c>
      <c r="B199" s="3"/>
      <c r="C199" s="3">
        <f t="shared" ref="C199:E199" si="179">C145</f>
        <v>103.78087940337265</v>
      </c>
      <c r="D199" s="3">
        <f t="shared" si="179"/>
        <v>55.449464892784022</v>
      </c>
      <c r="E199" s="3">
        <f t="shared" si="179"/>
        <v>26.370551323807803</v>
      </c>
      <c r="F199" s="39">
        <f t="shared" si="139"/>
        <v>1</v>
      </c>
      <c r="G199" s="3"/>
      <c r="H199" s="3">
        <f t="shared" si="141"/>
        <v>103.78087940337265</v>
      </c>
      <c r="I199" s="3">
        <f t="shared" si="142"/>
        <v>55.449464892784022</v>
      </c>
      <c r="J199" s="3">
        <f t="shared" si="143"/>
        <v>26.370551323807803</v>
      </c>
      <c r="K199" s="3"/>
      <c r="L199" s="6">
        <f t="shared" ref="L199:N199" si="180">L145*3.78541</f>
        <v>335.40356638458792</v>
      </c>
      <c r="M199" s="6">
        <f t="shared" si="180"/>
        <v>198.13200351941339</v>
      </c>
      <c r="N199" s="6">
        <f t="shared" si="180"/>
        <v>115.54166445205216</v>
      </c>
      <c r="O199">
        <v>2020</v>
      </c>
      <c r="P199" s="3">
        <f t="shared" si="145"/>
        <v>38.357452088819592</v>
      </c>
      <c r="Q199" s="3"/>
      <c r="R199" s="3">
        <f t="shared" ref="R199:T199" si="181">R145</f>
        <v>0</v>
      </c>
      <c r="S199" s="3">
        <f t="shared" si="181"/>
        <v>0</v>
      </c>
      <c r="T199" s="3">
        <f t="shared" si="181"/>
        <v>0</v>
      </c>
      <c r="U199" s="3"/>
      <c r="V199" s="3">
        <f t="shared" si="148"/>
        <v>373.76101847340749</v>
      </c>
      <c r="W199" s="3">
        <f t="shared" si="149"/>
        <v>236.48945560823299</v>
      </c>
      <c r="X199" s="3">
        <f t="shared" si="150"/>
        <v>153.89911654087174</v>
      </c>
      <c r="Y199" s="3"/>
      <c r="Z199" s="3">
        <f t="shared" si="152"/>
        <v>431.43994104857427</v>
      </c>
      <c r="AA199" s="3">
        <f t="shared" si="153"/>
        <v>272.98458571993859</v>
      </c>
      <c r="AB199" s="3">
        <f t="shared" si="154"/>
        <v>177.64887852408691</v>
      </c>
      <c r="AC199" s="3"/>
      <c r="AD199" s="3"/>
      <c r="AE199" s="3"/>
    </row>
    <row r="200" spans="1:31">
      <c r="A200">
        <v>2021</v>
      </c>
      <c r="B200" s="3"/>
      <c r="C200" s="3">
        <f t="shared" ref="C200:E200" si="182">C146</f>
        <v>121.66795213192897</v>
      </c>
      <c r="D200" s="3">
        <f t="shared" si="182"/>
        <v>63.5272914097498</v>
      </c>
      <c r="E200" s="3">
        <f t="shared" si="182"/>
        <v>28.678874431097551</v>
      </c>
      <c r="F200" s="39">
        <f t="shared" si="139"/>
        <v>1</v>
      </c>
      <c r="G200" s="3"/>
      <c r="H200" s="3">
        <f t="shared" si="141"/>
        <v>121.66795213192897</v>
      </c>
      <c r="I200" s="3">
        <f t="shared" si="142"/>
        <v>63.5272914097498</v>
      </c>
      <c r="J200" s="3">
        <f t="shared" si="143"/>
        <v>28.678874431097551</v>
      </c>
      <c r="K200" s="3"/>
      <c r="L200" s="6">
        <f t="shared" ref="L200:N200" si="183">L146*3.78541</f>
        <v>386.20668177849046</v>
      </c>
      <c r="M200" s="6">
        <f t="shared" si="183"/>
        <v>221.07475993914758</v>
      </c>
      <c r="N200" s="6">
        <f t="shared" si="183"/>
        <v>122.09779618840012</v>
      </c>
      <c r="O200">
        <v>2021</v>
      </c>
      <c r="P200" s="3">
        <f t="shared" si="145"/>
        <v>38.357452088819592</v>
      </c>
      <c r="Q200" s="3"/>
      <c r="R200" s="3">
        <f t="shared" ref="R200:T200" si="184">R146</f>
        <v>0</v>
      </c>
      <c r="S200" s="3">
        <f t="shared" si="184"/>
        <v>0</v>
      </c>
      <c r="T200" s="3">
        <f t="shared" si="184"/>
        <v>0</v>
      </c>
      <c r="U200" s="3"/>
      <c r="V200" s="3">
        <f t="shared" si="148"/>
        <v>424.56413386731003</v>
      </c>
      <c r="W200" s="3">
        <f t="shared" si="149"/>
        <v>259.43221202796718</v>
      </c>
      <c r="X200" s="3">
        <f t="shared" si="150"/>
        <v>160.45524827721971</v>
      </c>
      <c r="Y200" s="3"/>
      <c r="Z200" s="3">
        <f t="shared" si="152"/>
        <v>490.0830098205754</v>
      </c>
      <c r="AA200" s="3">
        <f t="shared" si="153"/>
        <v>299.46787581169593</v>
      </c>
      <c r="AB200" s="3">
        <f t="shared" si="154"/>
        <v>185.21675465357123</v>
      </c>
      <c r="AC200" s="3"/>
      <c r="AD200" s="3"/>
      <c r="AE200" s="3"/>
    </row>
    <row r="201" spans="1:31">
      <c r="A201">
        <v>2022</v>
      </c>
      <c r="B201" s="3"/>
      <c r="C201" s="3">
        <f t="shared" ref="C201:E201" si="185">C147</f>
        <v>130.40096697668466</v>
      </c>
      <c r="D201" s="3">
        <f t="shared" si="185"/>
        <v>69.599409638781481</v>
      </c>
      <c r="E201" s="3">
        <f t="shared" si="185"/>
        <v>29.956978900049172</v>
      </c>
      <c r="F201" s="39">
        <f t="shared" si="139"/>
        <v>1</v>
      </c>
      <c r="G201" s="3"/>
      <c r="H201" s="3">
        <f t="shared" si="141"/>
        <v>130.40096697668466</v>
      </c>
      <c r="I201" s="3">
        <f t="shared" si="142"/>
        <v>69.599409638781481</v>
      </c>
      <c r="J201" s="3">
        <f t="shared" si="143"/>
        <v>29.956978900049172</v>
      </c>
      <c r="K201" s="3"/>
      <c r="L201" s="6">
        <f t="shared" ref="L201:N201" si="186">L147*3.78541</f>
        <v>411.01031329649095</v>
      </c>
      <c r="M201" s="6">
        <f t="shared" si="186"/>
        <v>238.32087548618341</v>
      </c>
      <c r="N201" s="6">
        <f t="shared" si="186"/>
        <v>125.72788646683624</v>
      </c>
      <c r="O201">
        <v>2022</v>
      </c>
      <c r="P201" s="3">
        <f t="shared" si="145"/>
        <v>38.357452088819592</v>
      </c>
      <c r="Q201" s="3"/>
      <c r="R201" s="3">
        <f t="shared" ref="R201:T201" si="187">R147</f>
        <v>0</v>
      </c>
      <c r="S201" s="3">
        <f t="shared" si="187"/>
        <v>0</v>
      </c>
      <c r="T201" s="3">
        <f t="shared" si="187"/>
        <v>0</v>
      </c>
      <c r="U201" s="3"/>
      <c r="V201" s="3">
        <f t="shared" si="148"/>
        <v>449.36776538531052</v>
      </c>
      <c r="W201" s="3">
        <f t="shared" si="149"/>
        <v>276.67832757500298</v>
      </c>
      <c r="X201" s="3">
        <f t="shared" si="150"/>
        <v>164.08533855565582</v>
      </c>
      <c r="Y201" s="3"/>
      <c r="Z201" s="3">
        <f t="shared" si="152"/>
        <v>518.71434586419241</v>
      </c>
      <c r="AA201" s="3">
        <f t="shared" si="153"/>
        <v>319.37541754871472</v>
      </c>
      <c r="AB201" s="3">
        <f t="shared" si="154"/>
        <v>189.40704165066455</v>
      </c>
      <c r="AC201" s="3"/>
      <c r="AD201" s="3"/>
      <c r="AE201" s="3"/>
    </row>
    <row r="202" spans="1:31">
      <c r="A202">
        <v>2023</v>
      </c>
      <c r="B202" s="3"/>
      <c r="C202" s="3">
        <f t="shared" ref="C202:E202" si="188">C148</f>
        <v>138.42763298148688</v>
      </c>
      <c r="D202" s="3">
        <f t="shared" si="188"/>
        <v>73.442683644964177</v>
      </c>
      <c r="E202" s="3">
        <f t="shared" si="188"/>
        <v>30.561944943964633</v>
      </c>
      <c r="F202" s="39">
        <f t="shared" si="139"/>
        <v>1</v>
      </c>
      <c r="G202" s="3"/>
      <c r="H202" s="3">
        <f t="shared" si="141"/>
        <v>138.42763298148688</v>
      </c>
      <c r="I202" s="3">
        <f t="shared" si="142"/>
        <v>73.442683644964177</v>
      </c>
      <c r="J202" s="3">
        <f t="shared" si="143"/>
        <v>30.561944943964633</v>
      </c>
      <c r="K202" s="3"/>
      <c r="L202" s="6">
        <f t="shared" ref="L202:N202" si="189">L148*3.78541</f>
        <v>433.80776291043873</v>
      </c>
      <c r="M202" s="6">
        <f t="shared" si="189"/>
        <v>249.23659634165756</v>
      </c>
      <c r="N202" s="6">
        <f t="shared" si="189"/>
        <v>127.44611952849105</v>
      </c>
      <c r="O202">
        <v>2023</v>
      </c>
      <c r="P202" s="3">
        <f t="shared" si="145"/>
        <v>38.357452088819592</v>
      </c>
      <c r="Q202" s="3"/>
      <c r="R202" s="3">
        <f t="shared" ref="R202:T202" si="190">R148</f>
        <v>0</v>
      </c>
      <c r="S202" s="3">
        <f t="shared" si="190"/>
        <v>0</v>
      </c>
      <c r="T202" s="3">
        <f t="shared" si="190"/>
        <v>0</v>
      </c>
      <c r="U202" s="3"/>
      <c r="V202" s="3">
        <f t="shared" si="148"/>
        <v>472.1652149992583</v>
      </c>
      <c r="W202" s="3">
        <f t="shared" si="149"/>
        <v>287.59404843047713</v>
      </c>
      <c r="X202" s="3">
        <f t="shared" si="150"/>
        <v>165.80357161731064</v>
      </c>
      <c r="Y202" s="3"/>
      <c r="Z202" s="3">
        <f t="shared" si="152"/>
        <v>545.02990535638503</v>
      </c>
      <c r="AA202" s="3">
        <f t="shared" si="153"/>
        <v>331.97565601559364</v>
      </c>
      <c r="AB202" s="3">
        <f t="shared" si="154"/>
        <v>191.39043300018488</v>
      </c>
      <c r="AC202" s="3"/>
      <c r="AD202" s="3"/>
      <c r="AE202" s="3"/>
    </row>
    <row r="203" spans="1:31">
      <c r="A203">
        <v>2024</v>
      </c>
      <c r="B203" s="3"/>
      <c r="C203" s="3">
        <f t="shared" ref="C203:E203" si="191">C149</f>
        <v>144.18070317168343</v>
      </c>
      <c r="D203" s="3">
        <f t="shared" si="191"/>
        <v>74.739655128391746</v>
      </c>
      <c r="E203" s="3">
        <f t="shared" si="191"/>
        <v>30.831093759982615</v>
      </c>
      <c r="F203" s="39">
        <f t="shared" si="139"/>
        <v>1</v>
      </c>
      <c r="G203" s="3"/>
      <c r="H203" s="3">
        <f t="shared" si="141"/>
        <v>144.18070317168343</v>
      </c>
      <c r="I203" s="3">
        <f t="shared" si="142"/>
        <v>74.739655128391746</v>
      </c>
      <c r="J203" s="3">
        <f t="shared" si="143"/>
        <v>30.831093759982615</v>
      </c>
      <c r="K203" s="3"/>
      <c r="L203" s="6">
        <f t="shared" ref="L203:N203" si="192">L149*3.78541</f>
        <v>450.14771373286521</v>
      </c>
      <c r="M203" s="6">
        <f t="shared" si="192"/>
        <v>252.92027297981306</v>
      </c>
      <c r="N203" s="6">
        <f t="shared" si="192"/>
        <v>128.21055977904496</v>
      </c>
      <c r="O203">
        <v>2024</v>
      </c>
      <c r="P203" s="3">
        <f t="shared" si="145"/>
        <v>38.357452088819592</v>
      </c>
      <c r="Q203" s="3"/>
      <c r="R203" s="3">
        <f t="shared" ref="R203:T203" si="193">R149</f>
        <v>0</v>
      </c>
      <c r="S203" s="3">
        <f t="shared" si="193"/>
        <v>0</v>
      </c>
      <c r="T203" s="3">
        <f t="shared" si="193"/>
        <v>0</v>
      </c>
      <c r="U203" s="3"/>
      <c r="V203" s="3">
        <f t="shared" si="148"/>
        <v>488.50516582168478</v>
      </c>
      <c r="W203" s="3">
        <f t="shared" si="149"/>
        <v>291.27772506863266</v>
      </c>
      <c r="X203" s="3">
        <f t="shared" si="150"/>
        <v>166.56801186786456</v>
      </c>
      <c r="Y203" s="3"/>
      <c r="Z203" s="3">
        <f t="shared" si="152"/>
        <v>563.89144273221461</v>
      </c>
      <c r="AA203" s="3">
        <f t="shared" si="153"/>
        <v>336.22779883695875</v>
      </c>
      <c r="AB203" s="3">
        <f t="shared" si="154"/>
        <v>192.27284192014451</v>
      </c>
      <c r="AC203" s="3"/>
      <c r="AD203" s="3"/>
      <c r="AE203" s="3"/>
    </row>
    <row r="204" spans="1:31">
      <c r="A204">
        <v>2025</v>
      </c>
      <c r="B204" s="3"/>
      <c r="C204" s="3">
        <f t="shared" ref="C204:E204" si="194">C150</f>
        <v>150.32383613132774</v>
      </c>
      <c r="D204" s="3">
        <f t="shared" si="194"/>
        <v>78.9872275839991</v>
      </c>
      <c r="E204" s="3">
        <f t="shared" si="194"/>
        <v>32.081306491441893</v>
      </c>
      <c r="F204" s="39">
        <f t="shared" si="139"/>
        <v>1</v>
      </c>
      <c r="G204" s="3"/>
      <c r="H204" s="3">
        <f t="shared" si="141"/>
        <v>150.32383613132774</v>
      </c>
      <c r="I204" s="3">
        <f t="shared" si="142"/>
        <v>78.9872275839991</v>
      </c>
      <c r="J204" s="3">
        <f t="shared" si="143"/>
        <v>32.081306491441893</v>
      </c>
      <c r="K204" s="3"/>
      <c r="L204" s="6">
        <f t="shared" ref="L204:N204" si="195">L150*3.78541</f>
        <v>467.59552631600798</v>
      </c>
      <c r="M204" s="6">
        <f t="shared" si="195"/>
        <v>264.98428797437833</v>
      </c>
      <c r="N204" s="6">
        <f t="shared" si="195"/>
        <v>131.76143155259413</v>
      </c>
      <c r="O204">
        <v>2025</v>
      </c>
      <c r="P204" s="3">
        <f t="shared" si="145"/>
        <v>38.357452088819592</v>
      </c>
      <c r="Q204" s="3"/>
      <c r="R204" s="3">
        <f t="shared" ref="R204:T204" si="196">R150</f>
        <v>0</v>
      </c>
      <c r="S204" s="3">
        <f t="shared" si="196"/>
        <v>0</v>
      </c>
      <c r="T204" s="3">
        <f t="shared" si="196"/>
        <v>0</v>
      </c>
      <c r="U204" s="3"/>
      <c r="V204" s="3">
        <f t="shared" si="148"/>
        <v>505.95297840482755</v>
      </c>
      <c r="W204" s="3">
        <f t="shared" si="149"/>
        <v>303.3417400631979</v>
      </c>
      <c r="X204" s="3">
        <f t="shared" si="150"/>
        <v>170.11888364141373</v>
      </c>
      <c r="Y204" s="3"/>
      <c r="Z204" s="3">
        <f t="shared" si="152"/>
        <v>584.03180745789894</v>
      </c>
      <c r="AA204" s="3">
        <f t="shared" si="153"/>
        <v>350.15353656991783</v>
      </c>
      <c r="AB204" s="3">
        <f t="shared" si="154"/>
        <v>196.3716853867756</v>
      </c>
      <c r="AC204" s="3"/>
      <c r="AD204" s="3"/>
      <c r="AE204" s="3"/>
    </row>
    <row r="205" spans="1:31">
      <c r="A205">
        <v>2026</v>
      </c>
      <c r="B205" s="3"/>
      <c r="C205" s="3">
        <f t="shared" ref="C205:E205" si="197">C151</f>
        <v>156.85006770921441</v>
      </c>
      <c r="D205" s="3">
        <f t="shared" si="197"/>
        <v>86.098081121118753</v>
      </c>
      <c r="E205" s="3">
        <f t="shared" si="197"/>
        <v>33.411848742791229</v>
      </c>
      <c r="F205" s="39">
        <f t="shared" si="139"/>
        <v>1</v>
      </c>
      <c r="G205" s="3"/>
      <c r="H205" s="3">
        <f t="shared" si="141"/>
        <v>156.85006770921441</v>
      </c>
      <c r="I205" s="3">
        <f t="shared" si="142"/>
        <v>86.098081121118753</v>
      </c>
      <c r="J205" s="3">
        <f t="shared" si="143"/>
        <v>33.411848742791229</v>
      </c>
      <c r="K205" s="3"/>
      <c r="L205" s="6">
        <f t="shared" ref="L205:N205" si="198">L151*3.78541</f>
        <v>486.13142097972184</v>
      </c>
      <c r="M205" s="6">
        <f t="shared" si="198"/>
        <v>285.18063414446442</v>
      </c>
      <c r="N205" s="6">
        <f t="shared" si="198"/>
        <v>135.54045635768975</v>
      </c>
      <c r="O205">
        <v>2026</v>
      </c>
      <c r="P205" s="3">
        <f t="shared" si="145"/>
        <v>38.357452088819592</v>
      </c>
      <c r="Q205" s="3"/>
      <c r="R205" s="3">
        <f t="shared" ref="R205:T205" si="199">R151</f>
        <v>0</v>
      </c>
      <c r="S205" s="3">
        <f t="shared" si="199"/>
        <v>0</v>
      </c>
      <c r="T205" s="3">
        <f t="shared" si="199"/>
        <v>0</v>
      </c>
      <c r="U205" s="3"/>
      <c r="V205" s="3">
        <f t="shared" si="148"/>
        <v>524.48887306854147</v>
      </c>
      <c r="W205" s="3">
        <f t="shared" si="149"/>
        <v>323.53808623328399</v>
      </c>
      <c r="X205" s="3">
        <f t="shared" si="150"/>
        <v>173.89790844650935</v>
      </c>
      <c r="Y205" s="3"/>
      <c r="Z205" s="3">
        <f t="shared" si="152"/>
        <v>605.42816744658603</v>
      </c>
      <c r="AA205" s="3">
        <f t="shared" si="153"/>
        <v>373.46658948433912</v>
      </c>
      <c r="AB205" s="3">
        <f t="shared" si="154"/>
        <v>200.73389053537795</v>
      </c>
      <c r="AC205" s="3"/>
      <c r="AD205" s="3"/>
      <c r="AE205" s="3"/>
    </row>
    <row r="206" spans="1:31">
      <c r="A206">
        <v>2027</v>
      </c>
      <c r="B206" s="3"/>
      <c r="C206" s="3">
        <f t="shared" ref="C206:E206" si="200">C152</f>
        <v>163.23014954777463</v>
      </c>
      <c r="D206" s="3">
        <f t="shared" si="200"/>
        <v>90.213592530843215</v>
      </c>
      <c r="E206" s="3">
        <f t="shared" si="200"/>
        <v>34.709859386595753</v>
      </c>
      <c r="F206" s="39">
        <f t="shared" si="139"/>
        <v>1</v>
      </c>
      <c r="G206" s="3"/>
      <c r="H206" s="3">
        <f t="shared" si="141"/>
        <v>163.23014954777463</v>
      </c>
      <c r="I206" s="3">
        <f t="shared" si="142"/>
        <v>90.213592530843215</v>
      </c>
      <c r="J206" s="3">
        <f t="shared" si="143"/>
        <v>34.709859386595753</v>
      </c>
      <c r="K206" s="3"/>
      <c r="L206" s="6">
        <f t="shared" ref="L206:N206" si="201">L152*3.78541</f>
        <v>504.25221909944167</v>
      </c>
      <c r="M206" s="6">
        <f t="shared" si="201"/>
        <v>296.86956750019232</v>
      </c>
      <c r="N206" s="6">
        <f t="shared" si="201"/>
        <v>139.2270844337549</v>
      </c>
      <c r="O206">
        <v>2027</v>
      </c>
      <c r="P206" s="3">
        <f t="shared" si="145"/>
        <v>38.357452088819592</v>
      </c>
      <c r="Q206" s="3"/>
      <c r="R206" s="3">
        <f t="shared" ref="R206:T206" si="202">R152</f>
        <v>0</v>
      </c>
      <c r="S206" s="3">
        <f t="shared" si="202"/>
        <v>0</v>
      </c>
      <c r="T206" s="3">
        <f t="shared" si="202"/>
        <v>0</v>
      </c>
      <c r="U206" s="3"/>
      <c r="V206" s="3">
        <f t="shared" si="148"/>
        <v>542.60967118826125</v>
      </c>
      <c r="W206" s="3">
        <f t="shared" si="149"/>
        <v>335.22701958901189</v>
      </c>
      <c r="X206" s="3">
        <f t="shared" si="150"/>
        <v>177.5845365225745</v>
      </c>
      <c r="Y206" s="3"/>
      <c r="Z206" s="3">
        <f t="shared" si="152"/>
        <v>626.34537305689037</v>
      </c>
      <c r="AA206" s="3">
        <f t="shared" si="153"/>
        <v>386.95936285731938</v>
      </c>
      <c r="AB206" s="3">
        <f t="shared" si="154"/>
        <v>204.98944026151591</v>
      </c>
      <c r="AC206" s="3"/>
      <c r="AD206" s="3"/>
      <c r="AE206" s="3"/>
    </row>
    <row r="207" spans="1:31">
      <c r="A207">
        <v>2028</v>
      </c>
      <c r="B207" s="3"/>
      <c r="C207" s="3">
        <f t="shared" ref="C207:E207" si="203">C153</f>
        <v>169.4626741517304</v>
      </c>
      <c r="D207" s="3">
        <f t="shared" si="203"/>
        <v>93.601596868782337</v>
      </c>
      <c r="E207" s="3">
        <f t="shared" si="203"/>
        <v>35.225387323674298</v>
      </c>
      <c r="F207" s="39">
        <f t="shared" si="139"/>
        <v>1</v>
      </c>
      <c r="G207" s="3"/>
      <c r="H207" s="3">
        <f t="shared" si="141"/>
        <v>169.4626741517304</v>
      </c>
      <c r="I207" s="3">
        <f t="shared" si="142"/>
        <v>93.601596868782337</v>
      </c>
      <c r="J207" s="3">
        <f t="shared" si="143"/>
        <v>35.225387323674298</v>
      </c>
      <c r="K207" s="3"/>
      <c r="L207" s="6">
        <f t="shared" ref="L207:N207" si="204">L153*3.78541</f>
        <v>521.9539230872947</v>
      </c>
      <c r="M207" s="6">
        <f t="shared" si="204"/>
        <v>306.49222504440729</v>
      </c>
      <c r="N207" s="6">
        <f t="shared" si="204"/>
        <v>140.69129412718166</v>
      </c>
      <c r="O207">
        <v>2028</v>
      </c>
      <c r="P207" s="3">
        <f t="shared" si="145"/>
        <v>38.357452088819592</v>
      </c>
      <c r="Q207" s="3"/>
      <c r="R207" s="3">
        <f t="shared" ref="R207:T207" si="205">R153</f>
        <v>0</v>
      </c>
      <c r="S207" s="3">
        <f t="shared" si="205"/>
        <v>0</v>
      </c>
      <c r="T207" s="3">
        <f t="shared" si="205"/>
        <v>0</v>
      </c>
      <c r="U207" s="3"/>
      <c r="V207" s="3">
        <f t="shared" si="148"/>
        <v>560.31137517611432</v>
      </c>
      <c r="W207" s="3">
        <f t="shared" si="149"/>
        <v>344.84967713322686</v>
      </c>
      <c r="X207" s="3">
        <f t="shared" si="150"/>
        <v>179.04874621600126</v>
      </c>
      <c r="Y207" s="3"/>
      <c r="Z207" s="3">
        <f t="shared" si="152"/>
        <v>646.77880979187182</v>
      </c>
      <c r="AA207" s="3">
        <f t="shared" si="153"/>
        <v>398.06699205996745</v>
      </c>
      <c r="AB207" s="3">
        <f t="shared" si="154"/>
        <v>206.67960727356814</v>
      </c>
      <c r="AC207" s="3"/>
      <c r="AD207" s="3"/>
      <c r="AE207" s="3"/>
    </row>
    <row r="208" spans="1:31">
      <c r="A208">
        <v>2029</v>
      </c>
      <c r="B208" s="3"/>
      <c r="C208" s="3">
        <f t="shared" ref="C208:E208" si="206">C154</f>
        <v>176.69450009701046</v>
      </c>
      <c r="D208" s="3">
        <f t="shared" si="206"/>
        <v>97.744946195375263</v>
      </c>
      <c r="E208" s="3">
        <f t="shared" si="206"/>
        <v>35.725117505952937</v>
      </c>
      <c r="F208" s="39">
        <f t="shared" si="139"/>
        <v>1</v>
      </c>
      <c r="G208" s="3"/>
      <c r="H208" s="3">
        <f t="shared" si="141"/>
        <v>176.69450009701046</v>
      </c>
      <c r="I208" s="3">
        <f t="shared" si="142"/>
        <v>97.744946195375263</v>
      </c>
      <c r="J208" s="3">
        <f t="shared" si="143"/>
        <v>35.725117505952937</v>
      </c>
      <c r="K208" s="3"/>
      <c r="L208" s="6">
        <f t="shared" ref="L208:N208" si="207">L154*3.78541</f>
        <v>542.49385679149088</v>
      </c>
      <c r="M208" s="6">
        <f t="shared" si="207"/>
        <v>318.26022404292974</v>
      </c>
      <c r="N208" s="6">
        <f t="shared" si="207"/>
        <v>142.11063481536405</v>
      </c>
      <c r="O208">
        <v>2029</v>
      </c>
      <c r="P208" s="3">
        <f t="shared" si="145"/>
        <v>38.357452088819592</v>
      </c>
      <c r="Q208" s="3"/>
      <c r="R208" s="3">
        <f t="shared" ref="R208:T208" si="208">R154</f>
        <v>0</v>
      </c>
      <c r="S208" s="3">
        <f t="shared" si="208"/>
        <v>0</v>
      </c>
      <c r="T208" s="3">
        <f t="shared" si="208"/>
        <v>0</v>
      </c>
      <c r="U208" s="3"/>
      <c r="V208" s="3">
        <f t="shared" si="148"/>
        <v>580.85130888031051</v>
      </c>
      <c r="W208" s="3">
        <f t="shared" si="149"/>
        <v>356.61767613174931</v>
      </c>
      <c r="X208" s="3">
        <f t="shared" si="150"/>
        <v>180.46808690418365</v>
      </c>
      <c r="Y208" s="3"/>
      <c r="Z208" s="3">
        <f t="shared" si="152"/>
        <v>670.48847278100595</v>
      </c>
      <c r="AA208" s="3">
        <f t="shared" si="153"/>
        <v>411.65103251158945</v>
      </c>
      <c r="AB208" s="3">
        <f t="shared" si="154"/>
        <v>208.31798108081639</v>
      </c>
      <c r="AC208" s="3"/>
      <c r="AD208" s="3"/>
      <c r="AE208" s="3"/>
    </row>
    <row r="209" spans="1:31">
      <c r="A209">
        <v>2030</v>
      </c>
      <c r="B209" s="3"/>
      <c r="C209" s="3">
        <f t="shared" ref="C209:E209" si="209">C155</f>
        <v>179.77373484316988</v>
      </c>
      <c r="D209" s="3">
        <f t="shared" si="209"/>
        <v>99.999299351098145</v>
      </c>
      <c r="E209" s="3">
        <f t="shared" si="209"/>
        <v>36.727967333550843</v>
      </c>
      <c r="F209" s="39">
        <f t="shared" si="139"/>
        <v>1</v>
      </c>
      <c r="G209" s="3"/>
      <c r="H209" s="3">
        <f t="shared" si="141"/>
        <v>179.77373484316988</v>
      </c>
      <c r="I209" s="3">
        <f t="shared" si="142"/>
        <v>99.999299351098145</v>
      </c>
      <c r="J209" s="3">
        <f t="shared" si="143"/>
        <v>36.727967333550843</v>
      </c>
      <c r="K209" s="3"/>
      <c r="L209" s="6">
        <f t="shared" ref="L209:N209" si="210">L155*3.78541</f>
        <v>551.2395426009025</v>
      </c>
      <c r="M209" s="6">
        <f t="shared" si="210"/>
        <v>324.66306956420698</v>
      </c>
      <c r="N209" s="6">
        <f t="shared" si="210"/>
        <v>144.95894299230093</v>
      </c>
      <c r="O209">
        <v>2030</v>
      </c>
      <c r="P209" s="3">
        <f t="shared" si="145"/>
        <v>38.357452088819592</v>
      </c>
      <c r="Q209" s="3"/>
      <c r="R209" s="3">
        <f t="shared" ref="R209:T209" si="211">R155</f>
        <v>0</v>
      </c>
      <c r="S209" s="3">
        <f t="shared" si="211"/>
        <v>0</v>
      </c>
      <c r="T209" s="3">
        <f t="shared" si="211"/>
        <v>0</v>
      </c>
      <c r="U209" s="3"/>
      <c r="V209" s="3">
        <f t="shared" si="148"/>
        <v>589.59699468972212</v>
      </c>
      <c r="W209" s="3">
        <f t="shared" si="149"/>
        <v>363.02052165302655</v>
      </c>
      <c r="X209" s="3">
        <f t="shared" si="150"/>
        <v>183.31639508112053</v>
      </c>
      <c r="Y209" s="3"/>
      <c r="Z209" s="3">
        <f t="shared" si="152"/>
        <v>680.58379568400255</v>
      </c>
      <c r="AA209" s="3">
        <f t="shared" si="153"/>
        <v>419.04196724717514</v>
      </c>
      <c r="AB209" s="3">
        <f t="shared" si="154"/>
        <v>211.6058411068968</v>
      </c>
      <c r="AC209" s="3"/>
      <c r="AD209" s="3"/>
      <c r="AE209" s="3"/>
    </row>
    <row r="210" spans="1:31">
      <c r="A210" s="116"/>
      <c r="B210" s="119"/>
      <c r="C210" s="119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AD210" s="3"/>
      <c r="AE210" s="3"/>
    </row>
    <row r="211" spans="1:3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71"/>
      <c r="Z211" s="71"/>
      <c r="AA211" s="71"/>
      <c r="AB211" s="71"/>
      <c r="AC211" s="71"/>
      <c r="AD211" s="72"/>
      <c r="AE211" s="72"/>
    </row>
    <row r="212" spans="1:31">
      <c r="A212" s="116"/>
      <c r="B212" s="120"/>
      <c r="C212" s="120"/>
      <c r="D212" s="120"/>
      <c r="E212" s="120"/>
      <c r="F212" s="120"/>
      <c r="G212" s="120"/>
      <c r="H212" s="116"/>
      <c r="I212" s="116"/>
      <c r="J212" s="116"/>
      <c r="K212" s="117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AD212" s="3"/>
      <c r="AE212" s="3"/>
    </row>
    <row r="213" spans="1:31">
      <c r="A213" s="116"/>
      <c r="B213" s="120"/>
      <c r="C213" s="120"/>
      <c r="D213" s="120"/>
      <c r="E213" s="120"/>
      <c r="F213" s="120"/>
      <c r="G213" s="120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AD213" s="3"/>
      <c r="AE213" s="3"/>
    </row>
    <row r="214" spans="1:31">
      <c r="A214" s="116"/>
      <c r="B214" s="120"/>
      <c r="C214" s="120"/>
      <c r="D214" s="120"/>
      <c r="E214" s="120"/>
      <c r="F214" s="120"/>
      <c r="G214" s="120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AD214" s="3"/>
      <c r="AE214" s="3"/>
    </row>
    <row r="215" spans="1:31">
      <c r="A215" s="116"/>
      <c r="B215" s="120"/>
      <c r="C215" s="120"/>
      <c r="D215" s="120"/>
      <c r="E215" s="120"/>
      <c r="F215" s="120"/>
      <c r="G215" s="120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AD215" s="3"/>
      <c r="AE215" s="3"/>
    </row>
    <row r="216" spans="1:31">
      <c r="A216" s="116"/>
      <c r="B216" s="120"/>
      <c r="C216" s="120"/>
      <c r="D216" s="120"/>
      <c r="E216" s="120"/>
      <c r="F216" s="120"/>
      <c r="G216" s="120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AD216" s="3"/>
      <c r="AE216" s="3"/>
    </row>
    <row r="217" spans="1:31">
      <c r="A217" s="116"/>
      <c r="B217" s="120"/>
      <c r="C217" s="120"/>
      <c r="D217" s="120"/>
      <c r="E217" s="120"/>
      <c r="F217" s="120"/>
      <c r="G217" s="120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AD217" s="3"/>
      <c r="AE217" s="3"/>
    </row>
    <row r="218" spans="1:31">
      <c r="A218" s="116"/>
      <c r="B218" s="120"/>
      <c r="C218" s="120"/>
      <c r="D218" s="120"/>
      <c r="E218" s="120"/>
      <c r="F218" s="120"/>
      <c r="G218" s="120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AD218" s="3"/>
      <c r="AE218" s="3"/>
    </row>
    <row r="219" spans="1:31">
      <c r="A219" s="116"/>
      <c r="B219" s="120"/>
      <c r="C219" s="120"/>
      <c r="D219" s="120"/>
      <c r="E219" s="120"/>
      <c r="F219" s="120"/>
      <c r="G219" s="120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AD219" s="3"/>
      <c r="AE219" s="3"/>
    </row>
    <row r="220" spans="1:31">
      <c r="A220" s="116"/>
      <c r="B220" s="120"/>
      <c r="C220" s="120"/>
      <c r="D220" s="120"/>
      <c r="E220" s="120"/>
      <c r="F220" s="120"/>
      <c r="G220" s="120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AD220" s="3"/>
      <c r="AE220" s="3"/>
    </row>
    <row r="221" spans="1:31">
      <c r="A221" s="116"/>
      <c r="B221" s="120"/>
      <c r="C221" s="120"/>
      <c r="D221" s="120"/>
      <c r="E221" s="120"/>
      <c r="F221" s="120"/>
      <c r="G221" s="120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AD221" s="3"/>
      <c r="AE221" s="3"/>
    </row>
    <row r="222" spans="1:31">
      <c r="A222" s="116"/>
      <c r="B222" s="120"/>
      <c r="C222" s="120"/>
      <c r="D222" s="120"/>
      <c r="E222" s="120"/>
      <c r="F222" s="120"/>
      <c r="G222" s="120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AD222" s="3"/>
      <c r="AE222" s="3"/>
    </row>
    <row r="223" spans="1:31">
      <c r="A223" s="116"/>
      <c r="B223" s="120"/>
      <c r="C223" s="120"/>
      <c r="D223" s="120"/>
      <c r="E223" s="120"/>
      <c r="F223" s="120"/>
      <c r="G223" s="120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AD223" s="3"/>
      <c r="AE223" s="3"/>
    </row>
    <row r="224" spans="1:31">
      <c r="A224" s="116"/>
      <c r="B224" s="120"/>
      <c r="C224" s="120"/>
      <c r="D224" s="120"/>
      <c r="E224" s="120"/>
      <c r="F224" s="120"/>
      <c r="G224" s="120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AD224" s="3"/>
      <c r="AE224" s="3"/>
    </row>
    <row r="225" spans="1:54">
      <c r="A225" s="116"/>
      <c r="B225" s="120"/>
      <c r="C225" s="120"/>
      <c r="D225" s="120"/>
      <c r="E225" s="120"/>
      <c r="F225" s="120"/>
      <c r="G225" s="120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AD225" s="3"/>
      <c r="AE225" s="3"/>
    </row>
    <row r="226" spans="1:54">
      <c r="A226" s="116"/>
      <c r="B226" s="120"/>
      <c r="C226" s="120"/>
      <c r="D226" s="120"/>
      <c r="E226" s="120"/>
      <c r="F226" s="120"/>
      <c r="G226" s="120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AD226" s="3"/>
      <c r="AE226" s="3"/>
    </row>
    <row r="227" spans="1:54">
      <c r="A227" s="116"/>
      <c r="B227" s="120"/>
      <c r="C227" s="120"/>
      <c r="D227" s="120"/>
      <c r="E227" s="120"/>
      <c r="F227" s="120"/>
      <c r="G227" s="120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AD227" s="3"/>
      <c r="AE227" s="3"/>
    </row>
    <row r="228" spans="1:54">
      <c r="A228" s="116"/>
      <c r="B228" s="120"/>
      <c r="C228" s="120"/>
      <c r="D228" s="120"/>
      <c r="E228" s="120"/>
      <c r="F228" s="120"/>
      <c r="G228" s="120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AD228" s="3"/>
      <c r="AE228" s="3"/>
    </row>
    <row r="229" spans="1:54">
      <c r="A229" s="116"/>
      <c r="B229" s="120"/>
      <c r="C229" s="120"/>
      <c r="D229" s="120"/>
      <c r="E229" s="120"/>
      <c r="F229" s="120"/>
      <c r="G229" s="120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AD229" s="3"/>
      <c r="AE229" s="3"/>
    </row>
    <row r="230" spans="1:54">
      <c r="A230" s="116"/>
      <c r="B230" s="120"/>
      <c r="C230" s="120"/>
      <c r="D230" s="120"/>
      <c r="E230" s="120"/>
      <c r="F230" s="120"/>
      <c r="G230" s="120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AD230" s="3"/>
      <c r="AE230" s="3"/>
    </row>
    <row r="231" spans="1:54">
      <c r="A231" s="116"/>
      <c r="B231" s="120"/>
      <c r="C231" s="120"/>
      <c r="D231" s="120"/>
      <c r="E231" s="120"/>
      <c r="F231" s="120"/>
      <c r="G231" s="120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AD231" s="3"/>
      <c r="AE231" s="3"/>
    </row>
    <row r="232" spans="1:54">
      <c r="A232" s="116"/>
      <c r="B232" s="120"/>
      <c r="C232" s="120"/>
      <c r="D232" s="120"/>
      <c r="E232" s="120"/>
      <c r="F232" s="120"/>
      <c r="G232" s="120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AD232" s="3"/>
      <c r="AE232" s="3"/>
    </row>
    <row r="233" spans="1:54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23"/>
    </row>
    <row r="234" spans="1:54">
      <c r="A234" s="116"/>
      <c r="B234" s="116"/>
      <c r="C234" s="116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2"/>
      <c r="Z234" s="2"/>
      <c r="AA234" s="2"/>
      <c r="AB234" s="2"/>
      <c r="AC234" s="2"/>
      <c r="AD234" s="2"/>
      <c r="AE234" s="2"/>
    </row>
    <row r="235" spans="1:54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22"/>
      <c r="L235" s="118"/>
      <c r="M235" s="116"/>
      <c r="N235" s="116"/>
      <c r="O235" s="116"/>
      <c r="P235" s="117"/>
      <c r="Q235" s="117"/>
      <c r="R235" s="117"/>
      <c r="S235" s="117"/>
      <c r="T235" s="116"/>
      <c r="U235" s="116"/>
      <c r="V235" s="116"/>
      <c r="W235" s="116"/>
      <c r="X235" s="116"/>
      <c r="AN235"/>
      <c r="AO235"/>
      <c r="AP235"/>
      <c r="AQ235" s="32"/>
      <c r="AR235" s="32"/>
      <c r="AS235" s="32"/>
      <c r="AY235"/>
      <c r="BB235" s="9"/>
    </row>
    <row r="236" spans="1:54">
      <c r="A236" s="116"/>
      <c r="B236" s="119"/>
      <c r="C236" s="119"/>
      <c r="D236" s="116"/>
      <c r="E236" s="116"/>
      <c r="F236" s="116"/>
      <c r="G236" s="116"/>
      <c r="H236" s="116"/>
      <c r="I236" s="116"/>
      <c r="J236" s="116"/>
      <c r="K236" s="122"/>
      <c r="L236" s="118"/>
      <c r="M236" s="116"/>
      <c r="N236" s="116"/>
      <c r="O236" s="116"/>
      <c r="P236" s="117"/>
      <c r="Q236" s="117"/>
      <c r="R236" s="117"/>
      <c r="S236" s="117"/>
      <c r="T236" s="116"/>
      <c r="U236" s="116"/>
      <c r="V236" s="116"/>
      <c r="W236" s="116"/>
      <c r="X236" s="116"/>
      <c r="AN236"/>
      <c r="AO236"/>
      <c r="AP236"/>
      <c r="AQ236" s="32"/>
      <c r="AR236" s="32"/>
      <c r="AS236" s="32"/>
      <c r="AY236"/>
      <c r="BB236" s="9"/>
    </row>
    <row r="237" spans="1:54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22"/>
      <c r="L237" s="118"/>
      <c r="M237" s="116"/>
      <c r="N237" s="116"/>
      <c r="O237" s="116"/>
      <c r="P237" s="116"/>
      <c r="Q237" s="116"/>
      <c r="R237" s="117"/>
      <c r="S237" s="116"/>
      <c r="T237" s="116"/>
      <c r="U237" s="116"/>
      <c r="V237" s="116"/>
      <c r="W237" s="116"/>
      <c r="X237" s="116"/>
      <c r="AN237"/>
      <c r="AO237"/>
      <c r="AP237"/>
      <c r="AQ237" s="32"/>
      <c r="AR237" s="32"/>
      <c r="AS237" s="32"/>
      <c r="AY237"/>
      <c r="BB237" s="9"/>
    </row>
    <row r="238" spans="1:54">
      <c r="A238" s="116"/>
      <c r="B238" s="120"/>
      <c r="C238" s="120"/>
      <c r="D238" s="120"/>
      <c r="E238" s="120"/>
      <c r="F238" s="120"/>
      <c r="G238" s="120"/>
      <c r="H238" s="120"/>
      <c r="I238" s="120"/>
      <c r="J238" s="120"/>
      <c r="K238" s="122"/>
      <c r="L238" s="118"/>
      <c r="M238" s="116"/>
      <c r="N238" s="116"/>
      <c r="O238" s="116"/>
      <c r="P238" s="116"/>
      <c r="Q238" s="116"/>
      <c r="R238" s="117"/>
      <c r="S238" s="116"/>
      <c r="T238" s="116"/>
      <c r="U238" s="116"/>
      <c r="V238" s="116"/>
      <c r="W238" s="116"/>
      <c r="X238" s="116"/>
      <c r="AN238"/>
      <c r="AO238"/>
      <c r="AP238"/>
      <c r="AQ238" s="32"/>
      <c r="AR238" s="32"/>
      <c r="AS238" s="32"/>
      <c r="AY238"/>
      <c r="BB238" s="9"/>
    </row>
    <row r="239" spans="1:54">
      <c r="A239" s="116"/>
      <c r="B239" s="120"/>
      <c r="C239" s="120"/>
      <c r="D239" s="120"/>
      <c r="E239" s="120"/>
      <c r="F239" s="120"/>
      <c r="G239" s="120"/>
      <c r="H239" s="120"/>
      <c r="I239" s="120"/>
      <c r="J239" s="120"/>
      <c r="K239" s="122"/>
      <c r="L239" s="118"/>
      <c r="M239" s="116"/>
      <c r="N239" s="116"/>
      <c r="O239" s="116"/>
      <c r="P239" s="116"/>
      <c r="Q239" s="116"/>
      <c r="R239" s="117"/>
      <c r="S239" s="116"/>
      <c r="T239" s="116"/>
      <c r="U239" s="116"/>
      <c r="V239" s="116"/>
      <c r="W239" s="116"/>
      <c r="X239" s="116"/>
      <c r="AN239"/>
      <c r="AO239"/>
      <c r="AP239"/>
      <c r="AQ239" s="32"/>
      <c r="AR239" s="32"/>
      <c r="AS239" s="32"/>
      <c r="AY239"/>
      <c r="BB239" s="9"/>
    </row>
    <row r="240" spans="1:54">
      <c r="A240" s="116"/>
      <c r="B240" s="120"/>
      <c r="C240" s="120"/>
      <c r="D240" s="120"/>
      <c r="E240" s="120"/>
      <c r="F240" s="120"/>
      <c r="G240" s="120"/>
      <c r="H240" s="120"/>
      <c r="I240" s="120"/>
      <c r="J240" s="120"/>
      <c r="K240" s="122"/>
      <c r="L240" s="118"/>
      <c r="M240" s="116"/>
      <c r="N240" s="116"/>
      <c r="O240" s="116"/>
      <c r="P240" s="116"/>
      <c r="Q240" s="116"/>
      <c r="R240" s="117"/>
      <c r="S240" s="116"/>
      <c r="T240" s="116"/>
      <c r="U240" s="116"/>
      <c r="V240" s="116"/>
      <c r="W240" s="116"/>
      <c r="X240" s="116"/>
      <c r="AN240"/>
      <c r="AO240"/>
      <c r="AP240"/>
      <c r="AQ240" s="32"/>
      <c r="AR240" s="32"/>
      <c r="AS240" s="32"/>
      <c r="AY240"/>
      <c r="BB240" s="9"/>
    </row>
    <row r="241" spans="1:54">
      <c r="A241" s="116"/>
      <c r="B241" s="120"/>
      <c r="C241" s="120"/>
      <c r="D241" s="120"/>
      <c r="E241" s="120"/>
      <c r="F241" s="120"/>
      <c r="G241" s="120"/>
      <c r="H241" s="120"/>
      <c r="I241" s="120"/>
      <c r="J241" s="120"/>
      <c r="K241" s="122"/>
      <c r="L241" s="118"/>
      <c r="M241" s="116"/>
      <c r="N241" s="116"/>
      <c r="O241" s="116"/>
      <c r="P241" s="116"/>
      <c r="Q241" s="116"/>
      <c r="R241" s="117"/>
      <c r="S241" s="116"/>
      <c r="T241" s="116"/>
      <c r="U241" s="116"/>
      <c r="V241" s="116"/>
      <c r="W241" s="116"/>
      <c r="X241" s="116"/>
      <c r="AN241"/>
      <c r="AO241"/>
      <c r="AP241"/>
      <c r="AQ241" s="32"/>
      <c r="AR241" s="32"/>
      <c r="AS241" s="32"/>
      <c r="AY241"/>
      <c r="BB241" s="9"/>
    </row>
    <row r="242" spans="1:54">
      <c r="A242" s="116"/>
      <c r="B242" s="120"/>
      <c r="C242" s="120"/>
      <c r="D242" s="120"/>
      <c r="E242" s="120"/>
      <c r="F242" s="120"/>
      <c r="G242" s="120"/>
      <c r="H242" s="120"/>
      <c r="I242" s="120"/>
      <c r="J242" s="120"/>
      <c r="K242" s="122"/>
      <c r="L242" s="118"/>
      <c r="M242" s="116"/>
      <c r="N242" s="116"/>
      <c r="O242" s="116"/>
      <c r="P242" s="116"/>
      <c r="Q242" s="116"/>
      <c r="R242" s="117"/>
      <c r="S242" s="116"/>
      <c r="T242" s="116"/>
      <c r="U242" s="116"/>
      <c r="V242" s="116"/>
      <c r="W242" s="116"/>
      <c r="X242" s="116"/>
      <c r="AN242"/>
      <c r="AO242"/>
      <c r="AP242"/>
      <c r="AQ242" s="32"/>
      <c r="AR242" s="32"/>
      <c r="AS242" s="32"/>
      <c r="AY242"/>
      <c r="BB242" s="9"/>
    </row>
    <row r="243" spans="1:54">
      <c r="A243" s="116"/>
      <c r="B243" s="120"/>
      <c r="C243" s="120"/>
      <c r="D243" s="120"/>
      <c r="E243" s="120"/>
      <c r="F243" s="120"/>
      <c r="G243" s="120"/>
      <c r="H243" s="120"/>
      <c r="I243" s="120"/>
      <c r="J243" s="120"/>
      <c r="K243" s="122"/>
      <c r="L243" s="118"/>
      <c r="M243" s="116"/>
      <c r="N243" s="116"/>
      <c r="O243" s="116"/>
      <c r="P243" s="116"/>
      <c r="Q243" s="116"/>
      <c r="R243" s="117"/>
      <c r="S243" s="116"/>
      <c r="T243" s="116"/>
      <c r="U243" s="116"/>
      <c r="V243" s="116"/>
      <c r="W243" s="116"/>
      <c r="X243" s="116"/>
      <c r="AN243"/>
      <c r="AO243"/>
      <c r="AP243"/>
      <c r="AQ243" s="32"/>
      <c r="AR243" s="32"/>
      <c r="AS243" s="32"/>
      <c r="AY243"/>
      <c r="BB243" s="9"/>
    </row>
    <row r="244" spans="1:54">
      <c r="A244" s="116"/>
      <c r="B244" s="120"/>
      <c r="C244" s="120"/>
      <c r="D244" s="120"/>
      <c r="E244" s="120"/>
      <c r="F244" s="120"/>
      <c r="G244" s="120"/>
      <c r="H244" s="120"/>
      <c r="I244" s="120"/>
      <c r="J244" s="120"/>
      <c r="K244" s="122"/>
      <c r="L244" s="118"/>
      <c r="M244" s="116"/>
      <c r="N244" s="116"/>
      <c r="O244" s="116"/>
      <c r="P244" s="116"/>
      <c r="Q244" s="116"/>
      <c r="R244" s="117"/>
      <c r="S244" s="116"/>
      <c r="T244" s="116"/>
      <c r="U244" s="116"/>
      <c r="V244" s="116"/>
      <c r="W244" s="116"/>
      <c r="X244" s="116"/>
      <c r="AN244"/>
      <c r="AO244"/>
      <c r="AP244"/>
      <c r="AQ244" s="32"/>
      <c r="AR244" s="32"/>
      <c r="AS244" s="32"/>
      <c r="AY244"/>
      <c r="BB244" s="9"/>
    </row>
    <row r="245" spans="1:54">
      <c r="A245" s="116"/>
      <c r="B245" s="120"/>
      <c r="C245" s="120"/>
      <c r="D245" s="120"/>
      <c r="E245" s="120"/>
      <c r="F245" s="120"/>
      <c r="G245" s="120"/>
      <c r="H245" s="120"/>
      <c r="I245" s="120"/>
      <c r="J245" s="120"/>
      <c r="K245" s="122"/>
      <c r="L245" s="118"/>
      <c r="M245" s="116"/>
      <c r="N245" s="116"/>
      <c r="O245" s="116"/>
      <c r="P245" s="116"/>
      <c r="Q245" s="116"/>
      <c r="R245" s="117"/>
      <c r="S245" s="116"/>
      <c r="T245" s="116"/>
      <c r="U245" s="116"/>
      <c r="V245" s="116"/>
      <c r="W245" s="116"/>
      <c r="X245" s="116"/>
      <c r="AN245"/>
      <c r="AO245"/>
      <c r="AP245"/>
      <c r="AQ245" s="32"/>
      <c r="AR245" s="32"/>
      <c r="AS245" s="32"/>
      <c r="AY245"/>
      <c r="BB245" s="9"/>
    </row>
    <row r="246" spans="1:54">
      <c r="A246" s="116"/>
      <c r="B246" s="120"/>
      <c r="C246" s="120"/>
      <c r="D246" s="120"/>
      <c r="E246" s="120"/>
      <c r="F246" s="120"/>
      <c r="G246" s="120"/>
      <c r="H246" s="120"/>
      <c r="I246" s="120"/>
      <c r="J246" s="120"/>
      <c r="K246" s="122"/>
      <c r="L246" s="118"/>
      <c r="M246" s="116"/>
      <c r="N246" s="116"/>
      <c r="O246" s="116"/>
      <c r="P246" s="116"/>
      <c r="Q246" s="116"/>
      <c r="R246" s="117"/>
      <c r="S246" s="116"/>
      <c r="T246" s="116"/>
      <c r="U246" s="116"/>
      <c r="V246" s="116"/>
      <c r="W246" s="116"/>
      <c r="X246" s="116"/>
      <c r="AN246"/>
      <c r="AO246"/>
      <c r="AP246"/>
      <c r="AQ246" s="32"/>
      <c r="AR246" s="32"/>
      <c r="AS246" s="32"/>
      <c r="AY246"/>
      <c r="BB246" s="9"/>
    </row>
    <row r="247" spans="1:54">
      <c r="A247" s="116"/>
      <c r="B247" s="120"/>
      <c r="C247" s="120"/>
      <c r="D247" s="120"/>
      <c r="E247" s="120"/>
      <c r="F247" s="120"/>
      <c r="G247" s="120"/>
      <c r="H247" s="120"/>
      <c r="I247" s="120"/>
      <c r="J247" s="120"/>
      <c r="K247" s="122"/>
      <c r="L247" s="118"/>
      <c r="M247" s="116"/>
      <c r="N247" s="116"/>
      <c r="O247" s="116"/>
      <c r="P247" s="116"/>
      <c r="Q247" s="116"/>
      <c r="R247" s="117"/>
      <c r="S247" s="116"/>
      <c r="T247" s="116"/>
      <c r="U247" s="116"/>
      <c r="V247" s="116"/>
      <c r="W247" s="116"/>
      <c r="X247" s="116"/>
      <c r="AN247"/>
      <c r="AO247"/>
      <c r="AP247"/>
      <c r="AQ247" s="32"/>
      <c r="AR247" s="32"/>
      <c r="AS247" s="32"/>
      <c r="AY247"/>
      <c r="BB247" s="9"/>
    </row>
    <row r="248" spans="1:54">
      <c r="A248" s="116"/>
      <c r="B248" s="120"/>
      <c r="C248" s="120"/>
      <c r="D248" s="120"/>
      <c r="E248" s="120"/>
      <c r="F248" s="120"/>
      <c r="G248" s="120"/>
      <c r="H248" s="120"/>
      <c r="I248" s="120"/>
      <c r="J248" s="120"/>
      <c r="K248" s="122"/>
      <c r="L248" s="118"/>
      <c r="M248" s="116"/>
      <c r="N248" s="116"/>
      <c r="O248" s="116"/>
      <c r="P248" s="116"/>
      <c r="Q248" s="116"/>
      <c r="R248" s="117"/>
      <c r="S248" s="116"/>
      <c r="T248" s="116"/>
      <c r="U248" s="116"/>
      <c r="V248" s="116"/>
      <c r="W248" s="116"/>
      <c r="X248" s="116"/>
      <c r="AN248"/>
      <c r="AO248"/>
      <c r="AP248"/>
      <c r="AQ248" s="32"/>
      <c r="AR248" s="32"/>
      <c r="AS248" s="32"/>
      <c r="AY248"/>
      <c r="BB248" s="9"/>
    </row>
    <row r="249" spans="1:54">
      <c r="A249" s="116"/>
      <c r="B249" s="120"/>
      <c r="C249" s="120"/>
      <c r="D249" s="120"/>
      <c r="E249" s="120"/>
      <c r="F249" s="120"/>
      <c r="G249" s="120"/>
      <c r="H249" s="120"/>
      <c r="I249" s="120"/>
      <c r="J249" s="120"/>
      <c r="K249" s="122"/>
      <c r="L249" s="118"/>
      <c r="M249" s="116"/>
      <c r="N249" s="116"/>
      <c r="O249" s="116"/>
      <c r="P249" s="116"/>
      <c r="Q249" s="116"/>
      <c r="R249" s="117"/>
      <c r="S249" s="116"/>
      <c r="T249" s="116"/>
      <c r="U249" s="116"/>
      <c r="V249" s="116"/>
      <c r="W249" s="116"/>
      <c r="X249" s="116"/>
      <c r="AN249"/>
      <c r="AO249"/>
      <c r="AP249"/>
      <c r="AQ249" s="32"/>
      <c r="AR249" s="32"/>
      <c r="AS249" s="32"/>
      <c r="AY249"/>
      <c r="BB249" s="9"/>
    </row>
    <row r="250" spans="1:54">
      <c r="A250" s="116"/>
      <c r="B250" s="120"/>
      <c r="C250" s="120"/>
      <c r="D250" s="120"/>
      <c r="E250" s="120"/>
      <c r="F250" s="120"/>
      <c r="G250" s="120"/>
      <c r="H250" s="120"/>
      <c r="I250" s="120"/>
      <c r="J250" s="120"/>
      <c r="K250" s="122"/>
      <c r="L250" s="118"/>
      <c r="M250" s="116"/>
      <c r="N250" s="116"/>
      <c r="O250" s="116"/>
      <c r="P250" s="116"/>
      <c r="Q250" s="116"/>
      <c r="R250" s="117"/>
      <c r="S250" s="116"/>
      <c r="T250" s="116"/>
      <c r="U250" s="116"/>
      <c r="V250" s="116"/>
      <c r="W250" s="116"/>
      <c r="X250" s="116"/>
      <c r="AN250"/>
      <c r="AO250"/>
      <c r="AP250"/>
      <c r="AQ250" s="32"/>
      <c r="AR250" s="32"/>
      <c r="AS250" s="32"/>
      <c r="AY250"/>
      <c r="BB250" s="9"/>
    </row>
    <row r="251" spans="1:54">
      <c r="A251" s="116"/>
      <c r="B251" s="120"/>
      <c r="C251" s="120"/>
      <c r="D251" s="120"/>
      <c r="E251" s="120"/>
      <c r="F251" s="120"/>
      <c r="G251" s="120"/>
      <c r="H251" s="120"/>
      <c r="I251" s="120"/>
      <c r="J251" s="120"/>
      <c r="K251" s="122"/>
      <c r="L251" s="118"/>
      <c r="M251" s="116"/>
      <c r="N251" s="116"/>
      <c r="O251" s="116"/>
      <c r="P251" s="116"/>
      <c r="Q251" s="116"/>
      <c r="R251" s="117"/>
      <c r="S251" s="116"/>
      <c r="T251" s="116"/>
      <c r="U251" s="116"/>
      <c r="V251" s="116"/>
      <c r="W251" s="116"/>
      <c r="X251" s="116"/>
      <c r="AN251"/>
      <c r="AO251"/>
      <c r="AP251"/>
      <c r="AQ251" s="32"/>
      <c r="AR251" s="32"/>
      <c r="AS251" s="32"/>
      <c r="AY251"/>
      <c r="BB251" s="9"/>
    </row>
    <row r="252" spans="1:54">
      <c r="A252" s="116"/>
      <c r="B252" s="120"/>
      <c r="C252" s="120"/>
      <c r="D252" s="120"/>
      <c r="E252" s="120"/>
      <c r="F252" s="120"/>
      <c r="G252" s="120"/>
      <c r="H252" s="120"/>
      <c r="I252" s="120"/>
      <c r="J252" s="120"/>
      <c r="K252" s="122"/>
      <c r="L252" s="118"/>
      <c r="M252" s="116"/>
      <c r="N252" s="116"/>
      <c r="O252" s="116"/>
      <c r="P252" s="116"/>
      <c r="Q252" s="116"/>
      <c r="R252" s="117"/>
      <c r="S252" s="116"/>
      <c r="T252" s="116"/>
      <c r="U252" s="116"/>
      <c r="V252" s="116"/>
      <c r="W252" s="116"/>
      <c r="X252" s="116"/>
      <c r="AN252"/>
      <c r="AO252"/>
      <c r="AP252"/>
      <c r="AQ252" s="32"/>
      <c r="AR252" s="32"/>
      <c r="AS252" s="32"/>
      <c r="AY252"/>
      <c r="BB252" s="9"/>
    </row>
    <row r="253" spans="1:54">
      <c r="A253" s="116"/>
      <c r="B253" s="120"/>
      <c r="C253" s="120"/>
      <c r="D253" s="120"/>
      <c r="E253" s="120"/>
      <c r="F253" s="120"/>
      <c r="G253" s="120"/>
      <c r="H253" s="120"/>
      <c r="I253" s="120"/>
      <c r="J253" s="120"/>
      <c r="K253" s="122"/>
      <c r="L253" s="118"/>
      <c r="M253" s="116"/>
      <c r="N253" s="116"/>
      <c r="O253" s="116"/>
      <c r="P253" s="116"/>
      <c r="Q253" s="116"/>
      <c r="R253" s="117"/>
      <c r="S253" s="116"/>
      <c r="T253" s="116"/>
      <c r="U253" s="116"/>
      <c r="V253" s="116"/>
      <c r="W253" s="116"/>
      <c r="X253" s="116"/>
      <c r="AN253"/>
      <c r="AO253"/>
      <c r="AP253"/>
      <c r="AQ253" s="32"/>
      <c r="AR253" s="32"/>
      <c r="AS253" s="32"/>
      <c r="AY253"/>
      <c r="BB253" s="9"/>
    </row>
    <row r="254" spans="1:54">
      <c r="A254" s="116"/>
      <c r="B254" s="120"/>
      <c r="C254" s="120"/>
      <c r="D254" s="120"/>
      <c r="E254" s="120"/>
      <c r="F254" s="120"/>
      <c r="G254" s="120"/>
      <c r="H254" s="120"/>
      <c r="I254" s="120"/>
      <c r="J254" s="120"/>
      <c r="K254" s="122"/>
      <c r="L254" s="118"/>
      <c r="M254" s="116"/>
      <c r="N254" s="116"/>
      <c r="O254" s="116"/>
      <c r="P254" s="116"/>
      <c r="Q254" s="116"/>
      <c r="R254" s="117"/>
      <c r="S254" s="116"/>
      <c r="T254" s="116"/>
      <c r="U254" s="116"/>
      <c r="V254" s="116"/>
      <c r="W254" s="116"/>
      <c r="X254" s="116"/>
      <c r="AN254"/>
      <c r="AO254"/>
      <c r="AP254"/>
      <c r="AQ254" s="32"/>
      <c r="AR254" s="32"/>
      <c r="AS254" s="32"/>
      <c r="AY254"/>
      <c r="BB254" s="9"/>
    </row>
    <row r="255" spans="1:54">
      <c r="A255" s="116"/>
      <c r="B255" s="120"/>
      <c r="C255" s="120"/>
      <c r="D255" s="120"/>
      <c r="E255" s="120"/>
      <c r="F255" s="120"/>
      <c r="G255" s="120"/>
      <c r="H255" s="120"/>
      <c r="I255" s="120"/>
      <c r="J255" s="120"/>
      <c r="K255" s="122"/>
      <c r="L255" s="118"/>
      <c r="M255" s="116"/>
      <c r="N255" s="116"/>
      <c r="O255" s="116"/>
      <c r="P255" s="116"/>
      <c r="Q255" s="116"/>
      <c r="R255" s="117"/>
      <c r="S255" s="116"/>
      <c r="T255" s="116"/>
      <c r="U255" s="116"/>
      <c r="V255" s="116"/>
      <c r="W255" s="116"/>
      <c r="X255" s="116"/>
      <c r="AN255"/>
      <c r="AO255"/>
      <c r="AP255"/>
      <c r="AQ255" s="32"/>
      <c r="AR255" s="32"/>
      <c r="AS255" s="32"/>
      <c r="AY255"/>
      <c r="BB255" s="9"/>
    </row>
    <row r="256" spans="1:54">
      <c r="A256" s="116"/>
      <c r="B256" s="120"/>
      <c r="C256" s="120"/>
      <c r="D256" s="120"/>
      <c r="E256" s="120"/>
      <c r="F256" s="120"/>
      <c r="G256" s="120"/>
      <c r="H256" s="120"/>
      <c r="I256" s="120"/>
      <c r="J256" s="120"/>
      <c r="K256" s="122"/>
      <c r="L256" s="118"/>
      <c r="M256" s="116"/>
      <c r="N256" s="116"/>
      <c r="O256" s="116"/>
      <c r="P256" s="116"/>
      <c r="Q256" s="116"/>
      <c r="R256" s="117"/>
      <c r="S256" s="116"/>
      <c r="T256" s="116"/>
      <c r="U256" s="116"/>
      <c r="V256" s="116"/>
      <c r="W256" s="116"/>
      <c r="X256" s="116"/>
      <c r="AN256"/>
      <c r="AO256"/>
      <c r="AP256"/>
      <c r="AQ256" s="32"/>
      <c r="AR256" s="32"/>
      <c r="AS256" s="32"/>
      <c r="AY256"/>
      <c r="BB256" s="9"/>
    </row>
    <row r="257" spans="1:54">
      <c r="A257" s="116"/>
      <c r="B257" s="120"/>
      <c r="C257" s="120"/>
      <c r="D257" s="120"/>
      <c r="E257" s="120"/>
      <c r="F257" s="120"/>
      <c r="G257" s="120"/>
      <c r="H257" s="120"/>
      <c r="I257" s="120"/>
      <c r="J257" s="120"/>
      <c r="K257" s="122"/>
      <c r="L257" s="118"/>
      <c r="M257" s="116"/>
      <c r="N257" s="116"/>
      <c r="O257" s="116"/>
      <c r="P257" s="116"/>
      <c r="Q257" s="116"/>
      <c r="R257" s="117"/>
      <c r="S257" s="116"/>
      <c r="T257" s="116"/>
      <c r="U257" s="116"/>
      <c r="V257" s="116"/>
      <c r="W257" s="116"/>
      <c r="X257" s="116"/>
      <c r="AN257"/>
      <c r="AO257"/>
      <c r="AP257"/>
      <c r="AQ257" s="32"/>
      <c r="AR257" s="32"/>
      <c r="AS257" s="32"/>
      <c r="AY257"/>
      <c r="BB257" s="9"/>
    </row>
    <row r="258" spans="1:54">
      <c r="A258" s="116"/>
      <c r="B258" s="120"/>
      <c r="C258" s="120"/>
      <c r="D258" s="120"/>
      <c r="E258" s="120"/>
      <c r="F258" s="120"/>
      <c r="G258" s="120"/>
      <c r="H258" s="120"/>
      <c r="I258" s="120"/>
      <c r="J258" s="120"/>
      <c r="K258" s="122"/>
      <c r="L258" s="118"/>
      <c r="M258" s="116"/>
      <c r="N258" s="116"/>
      <c r="O258" s="116"/>
      <c r="P258" s="116"/>
      <c r="Q258" s="116"/>
      <c r="R258" s="117"/>
      <c r="S258" s="116"/>
      <c r="T258" s="116"/>
      <c r="U258" s="116"/>
      <c r="V258" s="116"/>
      <c r="W258" s="116"/>
      <c r="X258" s="116"/>
      <c r="AN258"/>
      <c r="AO258"/>
      <c r="AP258"/>
      <c r="AQ258" s="32"/>
      <c r="AR258" s="32"/>
      <c r="AS258" s="32"/>
      <c r="AY258"/>
      <c r="BB258" s="9"/>
    </row>
    <row r="259" spans="1:54">
      <c r="A259" s="116"/>
      <c r="B259" s="116"/>
      <c r="C259" s="116"/>
      <c r="D259" s="117"/>
      <c r="E259" s="116"/>
      <c r="F259" s="116"/>
      <c r="G259" s="116"/>
      <c r="H259" s="116"/>
      <c r="I259" s="116"/>
      <c r="J259" s="116"/>
      <c r="K259" s="122"/>
      <c r="L259" s="118"/>
      <c r="M259" s="116"/>
      <c r="N259" s="116"/>
      <c r="O259" s="116"/>
      <c r="P259" s="116"/>
      <c r="Q259" s="116"/>
      <c r="R259" s="117"/>
      <c r="S259" s="116"/>
      <c r="T259" s="116"/>
      <c r="U259" s="116"/>
      <c r="V259" s="116"/>
      <c r="W259" s="116"/>
      <c r="X259" s="116"/>
      <c r="AN259"/>
      <c r="AO259"/>
      <c r="AP259"/>
      <c r="AQ259" s="32"/>
      <c r="AR259" s="32"/>
      <c r="AS259" s="32"/>
      <c r="AY259"/>
      <c r="BB259" s="9"/>
    </row>
    <row r="260" spans="1:54">
      <c r="A260" s="116"/>
      <c r="B260" s="116"/>
      <c r="C260" s="116"/>
      <c r="D260" s="117"/>
      <c r="E260" s="116"/>
      <c r="F260" s="116"/>
      <c r="G260" s="116"/>
      <c r="H260" s="116"/>
      <c r="I260" s="116"/>
      <c r="J260" s="116"/>
      <c r="K260" s="122"/>
      <c r="L260" s="118"/>
      <c r="M260" s="116"/>
      <c r="N260" s="116"/>
      <c r="O260" s="116"/>
      <c r="P260" s="116"/>
      <c r="Q260" s="116"/>
      <c r="R260" s="117"/>
      <c r="S260" s="116"/>
      <c r="T260" s="116"/>
      <c r="U260" s="116"/>
      <c r="V260" s="116"/>
      <c r="W260" s="116"/>
      <c r="X260" s="116"/>
      <c r="AN260"/>
      <c r="AO260"/>
      <c r="AP260"/>
      <c r="AQ260" s="32"/>
      <c r="AR260" s="32"/>
      <c r="AS260" s="32"/>
      <c r="AY260"/>
      <c r="BB260" s="9"/>
    </row>
    <row r="261" spans="1:54">
      <c r="A261" s="116"/>
      <c r="B261" s="116"/>
      <c r="C261" s="116"/>
      <c r="D261" s="117"/>
      <c r="E261" s="116"/>
      <c r="F261" s="116"/>
      <c r="G261" s="116"/>
      <c r="H261" s="116"/>
      <c r="I261" s="116"/>
      <c r="J261" s="116"/>
      <c r="K261" s="122"/>
      <c r="L261" s="118"/>
      <c r="M261" s="116"/>
      <c r="N261" s="116"/>
      <c r="O261" s="116"/>
      <c r="P261" s="116"/>
      <c r="Q261" s="116"/>
      <c r="R261" s="117"/>
      <c r="S261" s="116"/>
      <c r="T261" s="116"/>
      <c r="U261" s="116"/>
      <c r="V261" s="116"/>
      <c r="W261" s="116"/>
      <c r="X261" s="116"/>
      <c r="AN261"/>
      <c r="AO261"/>
      <c r="AP261"/>
      <c r="AQ261" s="32"/>
      <c r="AR261" s="32"/>
      <c r="AS261" s="32"/>
      <c r="AY261"/>
      <c r="BB261" s="9"/>
    </row>
    <row r="262" spans="1:54">
      <c r="A262" s="116"/>
      <c r="B262" s="116"/>
      <c r="C262" s="116"/>
      <c r="D262" s="117"/>
      <c r="E262" s="116"/>
      <c r="F262" s="116"/>
      <c r="G262" s="116"/>
      <c r="H262" s="116"/>
      <c r="I262" s="116"/>
      <c r="J262" s="116"/>
      <c r="K262" s="122"/>
      <c r="L262" s="118"/>
      <c r="M262" s="116"/>
      <c r="N262" s="116"/>
      <c r="O262" s="116"/>
      <c r="P262" s="116"/>
      <c r="Q262" s="116"/>
      <c r="R262" s="117"/>
      <c r="S262" s="116"/>
      <c r="T262" s="116"/>
      <c r="U262" s="116"/>
      <c r="V262" s="116"/>
      <c r="W262" s="116"/>
      <c r="X262" s="116"/>
      <c r="AN262"/>
      <c r="AO262"/>
      <c r="AP262"/>
      <c r="AQ262" s="32"/>
      <c r="AR262" s="32"/>
      <c r="AS262" s="32"/>
      <c r="AY262"/>
      <c r="BB262" s="9"/>
    </row>
    <row r="263" spans="1:54">
      <c r="A263" s="116"/>
      <c r="B263" s="116"/>
      <c r="C263" s="116"/>
      <c r="D263" s="117"/>
      <c r="E263" s="116"/>
      <c r="F263" s="116"/>
      <c r="G263" s="116"/>
      <c r="H263" s="116"/>
      <c r="I263" s="116"/>
      <c r="J263" s="116"/>
      <c r="K263" s="122"/>
      <c r="L263" s="118"/>
      <c r="M263" s="116"/>
      <c r="N263" s="116"/>
      <c r="O263" s="116"/>
      <c r="P263" s="116"/>
      <c r="Q263" s="116"/>
      <c r="R263" s="117"/>
      <c r="S263" s="116"/>
      <c r="T263" s="116"/>
      <c r="U263" s="116"/>
      <c r="V263" s="116"/>
      <c r="W263" s="116"/>
      <c r="X263" s="116"/>
      <c r="AN263"/>
      <c r="AO263"/>
      <c r="AP263"/>
      <c r="AQ263" s="32"/>
      <c r="AR263" s="32"/>
      <c r="AS263" s="32"/>
      <c r="AY263"/>
      <c r="BB263" s="9"/>
    </row>
    <row r="264" spans="1:54">
      <c r="A264" s="116"/>
      <c r="B264" s="116"/>
      <c r="C264" s="116"/>
      <c r="D264" s="117"/>
      <c r="E264" s="116"/>
      <c r="F264" s="116"/>
      <c r="G264" s="116"/>
      <c r="H264" s="116"/>
      <c r="I264" s="116"/>
      <c r="J264" s="116"/>
      <c r="K264" s="122"/>
      <c r="L264" s="118"/>
      <c r="M264" s="116"/>
      <c r="N264" s="116"/>
      <c r="O264" s="116"/>
      <c r="P264" s="116"/>
      <c r="Q264" s="116"/>
      <c r="R264" s="117"/>
      <c r="S264" s="116"/>
      <c r="T264" s="116"/>
      <c r="U264" s="116"/>
      <c r="V264" s="116"/>
      <c r="W264" s="116"/>
      <c r="X264" s="116"/>
      <c r="AN264"/>
      <c r="AO264"/>
      <c r="AP264"/>
      <c r="AQ264" s="32"/>
      <c r="AR264" s="32"/>
      <c r="AS264" s="32"/>
      <c r="AY264"/>
      <c r="BB264" s="9"/>
    </row>
    <row r="265" spans="1:54">
      <c r="A265" s="116"/>
      <c r="B265" s="116"/>
      <c r="C265" s="116"/>
      <c r="D265" s="117"/>
      <c r="E265" s="116"/>
      <c r="F265" s="116"/>
      <c r="G265" s="116"/>
      <c r="H265" s="116"/>
      <c r="I265" s="116"/>
      <c r="J265" s="116"/>
      <c r="K265" s="122"/>
      <c r="L265" s="118"/>
      <c r="M265" s="116"/>
      <c r="N265" s="116"/>
      <c r="O265" s="116"/>
      <c r="P265" s="116"/>
      <c r="Q265" s="116"/>
      <c r="R265" s="117"/>
      <c r="S265" s="116"/>
      <c r="T265" s="116"/>
      <c r="U265" s="116"/>
      <c r="V265" s="116"/>
      <c r="W265" s="116"/>
      <c r="X265" s="116"/>
      <c r="AN265"/>
      <c r="AO265"/>
      <c r="AP265"/>
      <c r="AQ265" s="32"/>
      <c r="AR265" s="32"/>
      <c r="AS265" s="32"/>
      <c r="AY265"/>
      <c r="BB265" s="9"/>
    </row>
    <row r="266" spans="1:54">
      <c r="A266" s="116"/>
      <c r="B266" s="116"/>
      <c r="C266" s="116"/>
      <c r="D266" s="117"/>
      <c r="E266" s="116"/>
      <c r="F266" s="116"/>
      <c r="G266" s="116"/>
      <c r="H266" s="116"/>
      <c r="I266" s="116"/>
      <c r="J266" s="116"/>
      <c r="K266" s="122"/>
      <c r="L266" s="118"/>
      <c r="M266" s="116"/>
      <c r="N266" s="116"/>
      <c r="O266" s="116"/>
      <c r="P266" s="116"/>
      <c r="Q266" s="116"/>
      <c r="R266" s="117"/>
      <c r="S266" s="116"/>
      <c r="T266" s="116"/>
      <c r="U266" s="116"/>
      <c r="V266" s="116"/>
      <c r="W266" s="116"/>
      <c r="X266" s="116"/>
      <c r="AN266"/>
      <c r="AO266"/>
      <c r="AP266"/>
      <c r="AQ266" s="32"/>
      <c r="AR266" s="32"/>
      <c r="AS266" s="32"/>
      <c r="AY266"/>
      <c r="BB266" s="9"/>
    </row>
    <row r="267" spans="1:54">
      <c r="A267" s="116"/>
      <c r="B267" s="116"/>
      <c r="C267" s="116"/>
      <c r="D267" s="117"/>
      <c r="E267" s="116"/>
      <c r="F267" s="116"/>
      <c r="G267" s="116"/>
      <c r="H267" s="116"/>
      <c r="I267" s="116"/>
      <c r="J267" s="116"/>
      <c r="K267" s="122"/>
      <c r="L267" s="118"/>
      <c r="M267" s="116"/>
      <c r="N267" s="116"/>
      <c r="O267" s="116"/>
      <c r="P267" s="116"/>
      <c r="Q267" s="116"/>
      <c r="R267" s="117"/>
      <c r="S267" s="116"/>
      <c r="T267" s="116"/>
      <c r="U267" s="116"/>
      <c r="V267" s="116"/>
      <c r="W267" s="116"/>
      <c r="X267" s="116"/>
      <c r="AN267"/>
      <c r="AO267"/>
      <c r="AP267"/>
      <c r="AQ267" s="32"/>
      <c r="AR267" s="32"/>
      <c r="AS267" s="32"/>
      <c r="AY267"/>
      <c r="BB267" s="9"/>
    </row>
    <row r="268" spans="1:54">
      <c r="A268" s="116"/>
      <c r="B268" s="116"/>
      <c r="C268" s="116"/>
      <c r="D268" s="117"/>
      <c r="E268" s="116"/>
      <c r="F268" s="116"/>
      <c r="G268" s="116"/>
      <c r="H268" s="116"/>
      <c r="I268" s="116"/>
      <c r="J268" s="116"/>
      <c r="K268" s="122"/>
      <c r="L268" s="118"/>
      <c r="M268" s="116"/>
      <c r="N268" s="116"/>
      <c r="O268" s="116"/>
      <c r="P268" s="116"/>
      <c r="Q268" s="116"/>
      <c r="R268" s="117"/>
      <c r="S268" s="116"/>
      <c r="T268" s="116"/>
      <c r="U268" s="116"/>
      <c r="V268" s="116"/>
      <c r="W268" s="116"/>
      <c r="X268" s="116"/>
      <c r="AN268"/>
      <c r="AO268"/>
      <c r="AP268"/>
      <c r="AQ268" s="32"/>
      <c r="AR268" s="32"/>
      <c r="AS268" s="32"/>
      <c r="AY268"/>
      <c r="BB268" s="9"/>
    </row>
    <row r="269" spans="1:54">
      <c r="A269" s="116"/>
      <c r="B269" s="116"/>
      <c r="C269" s="116"/>
      <c r="D269" s="117"/>
      <c r="E269" s="116"/>
      <c r="F269" s="116"/>
      <c r="G269" s="116"/>
      <c r="H269" s="116"/>
      <c r="I269" s="116"/>
      <c r="J269" s="116"/>
      <c r="K269" s="122"/>
      <c r="L269" s="118"/>
      <c r="M269" s="116"/>
      <c r="N269" s="116"/>
      <c r="O269" s="116"/>
      <c r="P269" s="116"/>
      <c r="Q269" s="116"/>
      <c r="R269" s="117"/>
      <c r="S269" s="116"/>
      <c r="T269" s="116"/>
      <c r="U269" s="116"/>
      <c r="V269" s="116"/>
      <c r="W269" s="116"/>
      <c r="X269" s="116"/>
      <c r="AN269"/>
      <c r="AO269"/>
      <c r="AP269"/>
      <c r="AQ269" s="32"/>
      <c r="AR269" s="32"/>
      <c r="AS269" s="32"/>
      <c r="AY269"/>
      <c r="BB269" s="9"/>
    </row>
    <row r="270" spans="1:54">
      <c r="A270" s="116"/>
      <c r="B270" s="116"/>
      <c r="C270" s="116"/>
      <c r="D270" s="117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7"/>
      <c r="S270" s="116"/>
      <c r="T270" s="116"/>
      <c r="U270" s="116"/>
      <c r="V270" s="116"/>
      <c r="W270" s="116"/>
      <c r="X270" s="116"/>
      <c r="AN270"/>
      <c r="AO270"/>
      <c r="AP270"/>
      <c r="AQ270" s="32"/>
      <c r="AR270" s="32"/>
      <c r="AS270" s="32"/>
      <c r="AY270"/>
      <c r="BB270" s="9"/>
    </row>
    <row r="271" spans="1:54">
      <c r="A271" s="116"/>
      <c r="B271" s="116"/>
      <c r="C271" s="116"/>
      <c r="D271" s="117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7"/>
      <c r="P271" s="116"/>
      <c r="Q271" s="116"/>
      <c r="R271" s="116"/>
      <c r="S271" s="116"/>
      <c r="T271" s="116"/>
      <c r="U271" s="116"/>
      <c r="V271" s="116"/>
      <c r="W271" s="116"/>
      <c r="X271" s="116"/>
    </row>
  </sheetData>
  <hyperlinks>
    <hyperlink ref="AO171" r:id="rId1" display="https://www.google.com.au/url?sa=t&amp;rct=j&amp;q=&amp;esrc=s&amp;source=web&amp;cd=1&amp;cad=rja&amp;uact=8&amp;ved=2ahUKEwjclpf-6qffAhVZWX0KHVVjC9oQFjAAegQIChAB&amp;url=https%3A%2F%2Ftradingeconomics.com%2Funited-states%2Fgasoline-prices&amp;usg=AOvVaw1-g4NBldoNZD3kxvR5GifM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AZ108"/>
  <sheetViews>
    <sheetView zoomScale="75" zoomScaleNormal="75" workbookViewId="0">
      <pane xSplit="1" ySplit="5" topLeftCell="B57" activePane="bottomRight" state="frozen"/>
      <selection pane="topRight" activeCell="B1" sqref="B1"/>
      <selection pane="bottomLeft" activeCell="A3" sqref="A3"/>
      <selection pane="bottomRight" activeCell="AA102" sqref="AA102"/>
    </sheetView>
  </sheetViews>
  <sheetFormatPr defaultRowHeight="15"/>
  <cols>
    <col min="1" max="1" width="14.7109375" customWidth="1"/>
    <col min="24" max="24" width="11.5703125" customWidth="1"/>
  </cols>
  <sheetData>
    <row r="3" spans="1:52">
      <c r="B3" t="s">
        <v>2498</v>
      </c>
      <c r="AC3" t="s">
        <v>2498</v>
      </c>
    </row>
    <row r="4" spans="1:52">
      <c r="B4" s="8" t="s">
        <v>2499</v>
      </c>
      <c r="C4" s="8"/>
      <c r="J4" s="8" t="s">
        <v>2505</v>
      </c>
      <c r="K4" s="8"/>
      <c r="AC4" s="8" t="s">
        <v>181</v>
      </c>
      <c r="AK4" s="8" t="s">
        <v>2505</v>
      </c>
      <c r="AL4" s="8"/>
    </row>
    <row r="5" spans="1:52">
      <c r="A5" s="71"/>
      <c r="B5" s="4" t="s">
        <v>2506</v>
      </c>
      <c r="C5" s="4" t="s">
        <v>219</v>
      </c>
      <c r="D5" s="3" t="s">
        <v>146</v>
      </c>
      <c r="E5" s="4" t="s">
        <v>150</v>
      </c>
      <c r="F5" s="4" t="s">
        <v>29</v>
      </c>
      <c r="G5" s="4" t="s">
        <v>328</v>
      </c>
      <c r="H5" s="4" t="s">
        <v>125</v>
      </c>
      <c r="I5" s="4" t="s">
        <v>220</v>
      </c>
      <c r="J5" s="4" t="s">
        <v>168</v>
      </c>
      <c r="K5" s="4" t="s">
        <v>170</v>
      </c>
      <c r="L5" s="4" t="s">
        <v>221</v>
      </c>
      <c r="M5" s="4" t="s">
        <v>171</v>
      </c>
      <c r="N5" s="4" t="s">
        <v>329</v>
      </c>
      <c r="O5" s="4" t="s">
        <v>173</v>
      </c>
      <c r="P5" s="21" t="s">
        <v>210</v>
      </c>
      <c r="Q5" s="4" t="s">
        <v>184</v>
      </c>
      <c r="R5" s="4" t="s">
        <v>186</v>
      </c>
      <c r="S5" s="4" t="s">
        <v>223</v>
      </c>
      <c r="T5" s="4" t="s">
        <v>224</v>
      </c>
      <c r="U5" s="4" t="s">
        <v>196</v>
      </c>
      <c r="V5" s="4" t="s">
        <v>211</v>
      </c>
      <c r="W5" s="4" t="s">
        <v>200</v>
      </c>
      <c r="X5" s="4" t="s">
        <v>225</v>
      </c>
      <c r="Y5" s="4" t="s">
        <v>226</v>
      </c>
      <c r="AB5" s="71"/>
      <c r="AC5" s="4" t="s">
        <v>0</v>
      </c>
      <c r="AD5" s="4" t="s">
        <v>219</v>
      </c>
      <c r="AE5" s="3" t="s">
        <v>146</v>
      </c>
      <c r="AF5" s="4" t="s">
        <v>150</v>
      </c>
      <c r="AG5" s="4" t="s">
        <v>29</v>
      </c>
      <c r="AH5" s="4" t="s">
        <v>328</v>
      </c>
      <c r="AI5" s="4" t="s">
        <v>125</v>
      </c>
      <c r="AJ5" s="4" t="s">
        <v>220</v>
      </c>
      <c r="AK5" s="4" t="s">
        <v>168</v>
      </c>
      <c r="AL5" s="4" t="s">
        <v>170</v>
      </c>
      <c r="AM5" s="4" t="s">
        <v>221</v>
      </c>
      <c r="AN5" s="4" t="s">
        <v>171</v>
      </c>
      <c r="AO5" s="4" t="s">
        <v>329</v>
      </c>
      <c r="AP5" s="4" t="s">
        <v>173</v>
      </c>
      <c r="AQ5" s="21" t="s">
        <v>210</v>
      </c>
      <c r="AR5" s="4" t="s">
        <v>184</v>
      </c>
      <c r="AS5" s="4" t="s">
        <v>186</v>
      </c>
      <c r="AT5" s="4" t="s">
        <v>223</v>
      </c>
      <c r="AU5" s="4" t="s">
        <v>224</v>
      </c>
      <c r="AV5" s="4" t="s">
        <v>196</v>
      </c>
      <c r="AW5" s="4" t="s">
        <v>211</v>
      </c>
      <c r="AX5" s="4" t="s">
        <v>200</v>
      </c>
      <c r="AY5" s="4" t="s">
        <v>225</v>
      </c>
      <c r="AZ5" s="4" t="s">
        <v>226</v>
      </c>
    </row>
    <row r="6" spans="1:52">
      <c r="A6">
        <v>2010</v>
      </c>
      <c r="B6" s="3">
        <f>Australia!AA122/Australia!F122</f>
        <v>1.3908390131730575</v>
      </c>
      <c r="C6" s="3">
        <f>Austria!AA122/Austria!F122</f>
        <v>1.8707930826715251</v>
      </c>
      <c r="D6" s="3">
        <f>Belgium!AA122/Belgium!F122</f>
        <v>2.2153738295867189</v>
      </c>
      <c r="E6" s="3">
        <f>Britain!AA122/100/Britain!F122</f>
        <v>2.1427069775087957</v>
      </c>
      <c r="F6" s="3">
        <f>Canada!AA122/100/Canada!F122</f>
        <v>1.1432739847114597</v>
      </c>
      <c r="G6" s="3">
        <f>China!AA122/China!F122</f>
        <v>1.23327478505953</v>
      </c>
      <c r="H6" s="3">
        <f>Denmark!AA122/Denmark!F122</f>
        <v>2.1556972216159211</v>
      </c>
      <c r="I6" s="3">
        <f>Finland!AA122/100/Finland!F122</f>
        <v>2.0441088035613761</v>
      </c>
      <c r="J6" s="3">
        <f>France!AA122/100/France!F122</f>
        <v>1.9765607645483878</v>
      </c>
      <c r="K6" s="3">
        <f>Germany!AA122/100/Germany!F122</f>
        <v>2.0340818784046286</v>
      </c>
      <c r="L6" s="3">
        <f>Greece!AA122/Greece!F122</f>
        <v>1.9519919186178909</v>
      </c>
      <c r="M6" s="3">
        <f>Hungary!AA122/Hungary!F122</f>
        <v>1.9556018875804566</v>
      </c>
      <c r="N6" s="3">
        <f>India!AA122/India!F122</f>
        <v>1.834387664013289</v>
      </c>
      <c r="O6" s="3">
        <f>Ireland!AA122/Ireland!F122</f>
        <v>1.8586131721145673</v>
      </c>
      <c r="P6" s="3">
        <f>Italy!AA122/100/Italy!F122</f>
        <v>1.9798062311903135</v>
      </c>
      <c r="Q6" s="3">
        <f>Japan!AA122/Japan!F122</f>
        <v>1.6110041178917016</v>
      </c>
      <c r="R6" s="3">
        <f>Korea!AA122/Korea!F122</f>
        <v>1.6233820265195906</v>
      </c>
      <c r="S6" s="3">
        <f>Netherlands!AA122/100/Netherlands!F122</f>
        <v>2.245479259351169</v>
      </c>
      <c r="T6" s="3">
        <f>'New Zealand'!AA122/100/'New Zealand'!F122</f>
        <v>1.432275294870655</v>
      </c>
      <c r="U6" s="3">
        <f>Norway!AA122/Norway!F122</f>
        <v>2.4822925095084196</v>
      </c>
      <c r="V6" s="3">
        <f>Spain!AA122/100/Spain!F122</f>
        <v>1.6986238394949558</v>
      </c>
      <c r="W6" s="3">
        <f>Sweden!AA122/Sweden!F122</f>
        <v>1.9164749242717403</v>
      </c>
      <c r="X6" s="3">
        <f>Swiss!AA122/Swiss!F122</f>
        <v>1.5519314456824014</v>
      </c>
      <c r="Y6" s="3">
        <f>USA!AA135/100</f>
        <v>0.87247965377270009</v>
      </c>
      <c r="AB6">
        <v>2010</v>
      </c>
      <c r="AC6" s="3">
        <f>(Australia!P122+Australia!S122)/100*Australia!$BC$97/100/Australia!F122</f>
        <v>0.54027598593950321</v>
      </c>
      <c r="AD6" s="3">
        <f>(Austria!P122+Austria!S122)*Austria!$AU$97/100/Austria!F122</f>
        <v>1.0390302517663237</v>
      </c>
      <c r="AE6" s="3">
        <f>(Belgium!P122+Belgium!S122)*Belgium!AU$97/100/Belgium!F122</f>
        <v>1.3104457560182641</v>
      </c>
      <c r="AF6" s="3">
        <f>(Britain!P122+Britain!S122)/100*Britain!AX$97/100/Britain!F122</f>
        <v>1.3609954586570985</v>
      </c>
      <c r="AG6" s="3">
        <f>(Canada!P122+Canada!S122)/100*Canada!AW$97/100/Canada!F122</f>
        <v>0.47218756936730788</v>
      </c>
      <c r="AH6" s="3">
        <f>(China!P122+China!S122)*China!AU$97/100/China!F122</f>
        <v>0.36696529583965826</v>
      </c>
      <c r="AI6" s="3">
        <f>(Denmark!P122+Denmark!S122)*Denmark!AX$97/100/Denmark!F122</f>
        <v>1.2613964865236329</v>
      </c>
      <c r="AJ6" s="3">
        <f>(Finland!P122+Finland!S122)*Finland!AU$97/100/Finland!F122</f>
        <v>1.2695584069702115</v>
      </c>
      <c r="AK6" s="3">
        <f>(France!P122+France!S122)*France!AU$97/100/France!F122</f>
        <v>1.192837338185418</v>
      </c>
      <c r="AL6" s="3">
        <f>(Germany!P122+Germany!S122)*Germany!AU$97/100/Germany!F122</f>
        <v>1.2845449000634563</v>
      </c>
      <c r="AM6" s="3">
        <f>(Greece!P122+Greece!S122)*Greece!AR$97/100/Greece!F122</f>
        <v>1.1874721259425205</v>
      </c>
      <c r="AN6" s="3">
        <f>(Hungary!P122)*Hungary!AR$97/100/Hungary!F122</f>
        <v>1.0617731218444375</v>
      </c>
      <c r="AO6" s="3">
        <f>(India!P122+India!S122)*India!AN$97/100/India!F122</f>
        <v>0.82524309907940274</v>
      </c>
      <c r="AP6" s="3">
        <f>(Ireland!P122+Ireland!R122)*Ireland!AU$97/100/Ireland!F122</f>
        <v>1.0764233699854859</v>
      </c>
      <c r="AQ6" s="3">
        <f>(Italy!P122+Italy!S122)*Italy!AU$97/100/Italy!F122</f>
        <v>1.1457996124775958</v>
      </c>
      <c r="AR6" s="3">
        <f>(Japan!P122+Japan!S122)*Japan!AT$97/100/Japan!F122</f>
        <v>0.74921479709559147</v>
      </c>
      <c r="AS6" s="3">
        <f>(Korea!P122+Korea!S122)*Korea!AT$97/100/Korea!F122</f>
        <v>0.67143847740427043</v>
      </c>
      <c r="AT6" s="3">
        <f>(Netherlands!P122+Netherlands!S122)*Netherlands!AT$97/100/Netherlands!F122</f>
        <v>1.4289769102044154</v>
      </c>
      <c r="AU6" s="3">
        <f>('New Zealand'!P122+'New Zealand'!S122)*'New Zealand'!BB$97/100/'New Zealand'!F122</f>
        <v>0.6255247646116362</v>
      </c>
      <c r="AV6" s="3">
        <f>(Norway!P122+Norway!S122)*Norway!AT$97/100/Norway!F122</f>
        <v>1.529457956211431</v>
      </c>
      <c r="AW6" s="3">
        <f>(Spain!P122+Spain!S122)*Spain!AU$97/100/Spain!F122</f>
        <v>0.81179111167051476</v>
      </c>
      <c r="AX6" s="3">
        <f>(Sweden!P122+Sweden!S122)*Sweden!AW$97/100/Sweden!F122</f>
        <v>1.2120515527574132</v>
      </c>
      <c r="AY6" s="3">
        <f>(Swiss!P122+Swiss!S122)*Swiss!AT$97/100/Swiss!F122</f>
        <v>0.8223989961999002</v>
      </c>
      <c r="AZ6" s="3">
        <f>USA!P135/100*USA!AU$105/100</f>
        <v>0.1226501559989216</v>
      </c>
    </row>
    <row r="7" spans="1:52">
      <c r="A7">
        <v>2011</v>
      </c>
      <c r="B7" s="3">
        <f>Australia!AA123/Australia!F123</f>
        <v>1.6738387544215201</v>
      </c>
      <c r="C7" s="3">
        <f>Austria!AA123/Austria!F123</f>
        <v>2.2015184550151008</v>
      </c>
      <c r="D7" s="3">
        <f>Belgium!AA123/Belgium!F123</f>
        <v>2.5084899204100859</v>
      </c>
      <c r="E7" s="3">
        <f>Britain!AA123/100/Britain!F123</f>
        <v>2.4248919009848193</v>
      </c>
      <c r="F7" s="3">
        <f>Canada!AA123/100/Canada!F123</f>
        <v>1.3920006577288802</v>
      </c>
      <c r="G7" s="3">
        <f>China!AA123/China!F123</f>
        <v>1.3602991562221276</v>
      </c>
      <c r="H7" s="3">
        <f>Denmark!AA123/Denmark!F123</f>
        <v>2.4208160958803786</v>
      </c>
      <c r="I7" s="3">
        <f>Finland!AA123/100/Finland!F123</f>
        <v>2.3203989194910122</v>
      </c>
      <c r="J7" s="3">
        <f>France!AA123/100/France!F123</f>
        <v>2.2558661813150254</v>
      </c>
      <c r="K7" s="3">
        <f>Germany!AA123/100/Germany!F123</f>
        <v>2.307112573984079</v>
      </c>
      <c r="L7" s="3">
        <f>Greece!AA123/Greece!F123</f>
        <v>2.3000686584798373</v>
      </c>
      <c r="M7" s="3">
        <f>Hungary!AA123/Hungary!F123</f>
        <v>2.1694589927122108</v>
      </c>
      <c r="N7" s="3">
        <f>India!AA123/India!F123</f>
        <v>2.0193850361030927</v>
      </c>
      <c r="O7" s="3">
        <f>Ireland!AA123/Ireland!F123</f>
        <v>2.1048406193918656</v>
      </c>
      <c r="P7" s="3">
        <f>Italy!AA123/100/Italy!F123</f>
        <v>2.2954564907777675</v>
      </c>
      <c r="Q7" s="3">
        <f>Japan!AA123/Japan!F123</f>
        <v>1.9400093480719312</v>
      </c>
      <c r="R7" s="3">
        <f>Korea!AA123/Korea!F123</f>
        <v>1.851872247448346</v>
      </c>
      <c r="S7" s="3">
        <f>Netherlands!AA123/100/Netherlands!F123</f>
        <v>2.52498554062405</v>
      </c>
      <c r="T7" s="3">
        <f>'New Zealand'!AA123/100/'New Zealand'!F123</f>
        <v>1.8053745596543518</v>
      </c>
      <c r="U7" s="3">
        <f>Norway!AA123/Norway!F123</f>
        <v>2.9311038976940229</v>
      </c>
      <c r="V7" s="3">
        <f>Spain!AA123/100/Spain!F123</f>
        <v>1.9432698393386507</v>
      </c>
      <c r="W7" s="3">
        <f>Sweden!AA123/Sweden!F123</f>
        <v>2.2593219159087203</v>
      </c>
      <c r="X7" s="3">
        <f>Swiss!AA123/Swiss!F123</f>
        <v>1.9313207428188917</v>
      </c>
      <c r="Y7" s="3">
        <f>USA!AA136/100</f>
        <v>1.0383499613837655</v>
      </c>
      <c r="AB7">
        <v>2011</v>
      </c>
      <c r="AC7" s="3">
        <f>(Australia!P123+Australia!S123)/100*Australia!$BC$97/100/Australia!F123</f>
        <v>0.6057425955182405</v>
      </c>
      <c r="AD7" s="3">
        <f>(Austria!P123+Austria!S123)*Austria!$AU$97/100/Austria!F123</f>
        <v>1.1765834660025227</v>
      </c>
      <c r="AE7" s="3">
        <f>(Belgium!P123+Belgium!S123)*Belgium!AU$97/100/Belgium!F123</f>
        <v>1.3838873757457075</v>
      </c>
      <c r="AF7" s="3">
        <f>(Britain!P123+Britain!S123)/100*Britain!AX$97/100/Britain!F123</f>
        <v>1.4598382588906116</v>
      </c>
      <c r="AG7" s="3">
        <f>(Canada!P123+Canada!S123)/100*Canada!AW$97/100/Canada!F123</f>
        <v>0.52499080513119034</v>
      </c>
      <c r="AH7" s="3">
        <f>(China!P123+China!S123)*China!AU$97/100/China!F123</f>
        <v>0.39237956498651572</v>
      </c>
      <c r="AI7" s="3">
        <f>(Denmark!P123+Denmark!S123)*Denmark!AX$97/100/Denmark!F123</f>
        <v>1.3298047877721677</v>
      </c>
      <c r="AJ7" s="3">
        <f>(Finland!P123+Finland!S123)*Finland!AU$97/100/Finland!F123</f>
        <v>1.3642106641424558</v>
      </c>
      <c r="AK7" s="3">
        <f>(France!P123+France!S123)*France!AU$97/100/France!F123</f>
        <v>1.2794522744186283</v>
      </c>
      <c r="AL7" s="3">
        <f>(Germany!P123+Germany!S123)*Germany!AU$97/100/Germany!F123</f>
        <v>1.3654410001181039</v>
      </c>
      <c r="AM7" s="3">
        <f>(Greece!P123+Greece!S123)*Greece!AR$97/100/Greece!F123</f>
        <v>1.3732865534265648</v>
      </c>
      <c r="AN7" s="3">
        <f>(Hungary!P123)*Hungary!AR$97/100/Hungary!F123</f>
        <v>1.0579828815662269</v>
      </c>
      <c r="AO7" s="3">
        <f>(India!P123+India!S123)*India!AN$97/100/India!F123</f>
        <v>0.79867709910473805</v>
      </c>
      <c r="AP7" s="3">
        <f>(Ireland!P123+Ireland!R123)*Ireland!AU$97/100/Ireland!F123</f>
        <v>1.1445169358293901</v>
      </c>
      <c r="AQ7" s="3">
        <f>(Italy!P123+Italy!S123)*Italy!AU$97/100/Italy!F123</f>
        <v>1.2589587938617228</v>
      </c>
      <c r="AR7" s="3">
        <f>(Japan!P123+Japan!S123)*Japan!AT$97/100/Japan!F123</f>
        <v>0.83013619411783046</v>
      </c>
      <c r="AS7" s="3">
        <f>(Korea!P123+Korea!S123)*Korea!AT$97/100/Korea!F123</f>
        <v>0.69622848045667818</v>
      </c>
      <c r="AT7" s="3">
        <f>(Netherlands!P123+Netherlands!S123)*Netherlands!AT$97/100/Netherlands!F123</f>
        <v>1.5096542222055158</v>
      </c>
      <c r="AU7" s="3">
        <f>('New Zealand'!P123+'New Zealand'!S123)*'New Zealand'!BB$97/100/'New Zealand'!F123</f>
        <v>0.74359821096506118</v>
      </c>
      <c r="AV7" s="3">
        <f>(Norway!P123+Norway!S123)*Norway!AT$97/100/Norway!F123</f>
        <v>1.7217697297800605</v>
      </c>
      <c r="AW7" s="3">
        <f>(Spain!P123+Spain!S123)*Spain!AU$97/100/Spain!F123</f>
        <v>0.87699604410886411</v>
      </c>
      <c r="AX7" s="3">
        <f>(Sweden!P123+Sweden!S123)*Sweden!AW$97/100/Sweden!F123</f>
        <v>1.3432857555703259</v>
      </c>
      <c r="AY7" s="3">
        <f>(Swiss!P123+Swiss!S123)*Swiss!AT$97/100/Swiss!F123</f>
        <v>0.98062999475495483</v>
      </c>
      <c r="AZ7" s="3">
        <f>USA!P136/100*USA!AU$105/100</f>
        <v>0.11762357730887496</v>
      </c>
    </row>
    <row r="8" spans="1:52">
      <c r="A8">
        <v>2012</v>
      </c>
      <c r="B8" s="3">
        <f>Australia!AA124/Australia!F124</f>
        <v>1.6640110230886334</v>
      </c>
      <c r="C8" s="3">
        <f>Austria!AA124/Austria!F124</f>
        <v>2.0703064743017996</v>
      </c>
      <c r="D8" s="3">
        <f>Belgium!AA124/Belgium!F124</f>
        <v>2.3536061032996445</v>
      </c>
      <c r="E8" s="3">
        <f>Britain!AA124/100/Britain!F124</f>
        <v>2.3658485220685757</v>
      </c>
      <c r="F8" s="3">
        <f>Canada!AA124/100/Canada!F124</f>
        <v>1.3909668873084264</v>
      </c>
      <c r="G8" s="3">
        <f>China!AA124/China!F124</f>
        <v>1.366181466338348</v>
      </c>
      <c r="H8" s="3">
        <f>Denmark!AA124/Denmark!F124</f>
        <v>2.2937389861943815</v>
      </c>
      <c r="I8" s="3">
        <f>Finland!AA124/100/Finland!F124</f>
        <v>2.2082197760202957</v>
      </c>
      <c r="J8" s="3">
        <f>France!AA124/100/France!F124</f>
        <v>2.1159076220993764</v>
      </c>
      <c r="K8" s="3">
        <f>Germany!AA124/100/Germany!F124</f>
        <v>2.2311309052927264</v>
      </c>
      <c r="L8" s="3">
        <f>Greece!AA124/Greece!F124</f>
        <v>2.1664431545133014</v>
      </c>
      <c r="M8" s="3">
        <f>Hungary!AA124/Hungary!F124</f>
        <v>2.086426553048875</v>
      </c>
      <c r="N8" s="3">
        <f>India!AA124/India!F124</f>
        <v>1.7993658690722196</v>
      </c>
      <c r="O8" s="3">
        <f>Ireland!AA124/Ireland!F124</f>
        <v>2.094631264991786</v>
      </c>
      <c r="P8" s="3">
        <f>Italy!AA124/100/Italy!F124</f>
        <v>2.3751806147808829</v>
      </c>
      <c r="Q8" s="3">
        <f>Japan!AA124/Japan!F124</f>
        <v>1.9628453149173279</v>
      </c>
      <c r="R8" s="3">
        <f>Korea!AA124/Korea!F124</f>
        <v>1.8226478580057168</v>
      </c>
      <c r="S8" s="3">
        <f>Netherlands!AA124/100/Netherlands!F124</f>
        <v>2.3825904287891309</v>
      </c>
      <c r="T8" s="3">
        <f>'New Zealand'!AA124/100/'New Zealand'!F124</f>
        <v>1.8879976182643767</v>
      </c>
      <c r="U8" s="3">
        <f>Norway!AA124/Norway!F124</f>
        <v>2.887678603301286</v>
      </c>
      <c r="V8" s="3">
        <f>Spain!AA124/100/Spain!F124</f>
        <v>1.8462668661620001</v>
      </c>
      <c r="W8" s="3">
        <f>Sweden!AA124/Sweden!F124</f>
        <v>2.3090759097721847</v>
      </c>
      <c r="X8" s="3">
        <f>Swiss!AA124/Swiss!F124</f>
        <v>1.8857396267137239</v>
      </c>
      <c r="Y8" s="3">
        <f>USA!AA137/100</f>
        <v>1.0141815328177473</v>
      </c>
      <c r="AB8">
        <v>2012</v>
      </c>
      <c r="AC8" s="3">
        <f>(Australia!P124+Australia!S124)/100*Australia!$BC$97/100/Australia!F124</f>
        <v>0.59604326879126024</v>
      </c>
      <c r="AD8" s="3">
        <f>(Austria!P124+Austria!S124)*Austria!$AU$97/100/Austria!F124</f>
        <v>1.0754008572502345</v>
      </c>
      <c r="AE8" s="3">
        <f>(Belgium!P124+Belgium!S124)*Belgium!AU$97/100/Belgium!F124</f>
        <v>1.2612980161207372</v>
      </c>
      <c r="AF8" s="3">
        <f>(Britain!P124+Britain!S124)/100*Britain!AX$97/100/Britain!F124</f>
        <v>1.4091938204717607</v>
      </c>
      <c r="AG8" s="3">
        <f>(Canada!P124+Canada!S124)/100*Canada!AW$97/100/Canada!F124</f>
        <v>0.52539757267058274</v>
      </c>
      <c r="AH8" s="3">
        <f>(China!P124+China!S124)*China!AU$97/100/China!F124</f>
        <v>0.40090083249551872</v>
      </c>
      <c r="AI8" s="3">
        <f>(Denmark!P124+Denmark!S124)*Denmark!AX$97/100/Denmark!F124</f>
        <v>1.2364429420092449</v>
      </c>
      <c r="AJ8" s="3">
        <f>(Finland!P124+Finland!S124)*Finland!AU$97/100/Finland!F124</f>
        <v>1.2813102488340726</v>
      </c>
      <c r="AK8" s="3">
        <f>(France!P124+France!S124)*France!AU$97/100/France!F124</f>
        <v>1.1635616725270859</v>
      </c>
      <c r="AL8" s="3">
        <f>(Germany!P124+Germany!S124)*Germany!AU$97/100/Germany!F124</f>
        <v>1.2598436457904978</v>
      </c>
      <c r="AM8" s="3">
        <f>(Greece!P124+Greece!S124)*Greece!AR$97/100/Greece!F124</f>
        <v>1.2657671913027657</v>
      </c>
      <c r="AN8" s="3">
        <f>(Hungary!P124)*Hungary!AR$97/100/Hungary!F124</f>
        <v>1.0350685339919903</v>
      </c>
      <c r="AO8" s="3">
        <f>(India!P124+India!S124)*India!AN$97/100/India!F124</f>
        <v>0.67435778715284966</v>
      </c>
      <c r="AP8" s="3">
        <f>(Ireland!P124+Ireland!R124)*Ireland!AU$97/100/Ireland!F124</f>
        <v>1.1598083592715753</v>
      </c>
      <c r="AQ8" s="3">
        <f>(Italy!P124+Italy!S124)*Italy!AU$97/100/Italy!F124</f>
        <v>1.3712829693091046</v>
      </c>
      <c r="AR8" s="3">
        <f>(Japan!P124+Japan!S124)*Japan!AT$97/100/Japan!F124</f>
        <v>0.83904189258913098</v>
      </c>
      <c r="AS8" s="3">
        <f>(Korea!P124+Korea!S124)*Korea!AT$97/100/Korea!F124</f>
        <v>0.67496575367213352</v>
      </c>
      <c r="AT8" s="3">
        <f>(Netherlands!P124+Netherlands!S124)*Netherlands!AT$97/100/Netherlands!F124</f>
        <v>1.3957919657270572</v>
      </c>
      <c r="AU8" s="3">
        <f>('New Zealand'!P124+'New Zealand'!S124)*'New Zealand'!BB$97/100/'New Zealand'!F124</f>
        <v>0.7687493869971076</v>
      </c>
      <c r="AV8" s="3">
        <f>(Norway!P124+Norway!S124)*Norway!AT$97/100/Norway!F124</f>
        <v>1.6810162185018218</v>
      </c>
      <c r="AW8" s="3">
        <f>(Spain!P124+Spain!S124)*Spain!AU$97/100/Spain!F124</f>
        <v>0.8186787515706665</v>
      </c>
      <c r="AX8" s="3">
        <f>(Sweden!P124+Sweden!S124)*Sweden!AW$97/100/Sweden!F124</f>
        <v>1.3329334751478858</v>
      </c>
      <c r="AY8" s="3">
        <f>(Swiss!P124+Swiss!S124)*Swiss!AT$97/100/Swiss!F124</f>
        <v>0.93731477559825849</v>
      </c>
      <c r="AZ8" s="3">
        <f>USA!P137/100*USA!AU$105/100</f>
        <v>0.11602501281942054</v>
      </c>
    </row>
    <row r="9" spans="1:52">
      <c r="A9">
        <v>2013</v>
      </c>
      <c r="B9" s="3">
        <f>Australia!AA125/Australia!F125</f>
        <v>1.5414390996949636</v>
      </c>
      <c r="C9" s="3">
        <f>Austria!AA125/Austria!F125</f>
        <v>1.991547878783257</v>
      </c>
      <c r="D9" s="3">
        <f>Belgium!AA125/Belgium!F125</f>
        <v>2.3413100783772207</v>
      </c>
      <c r="E9" s="3">
        <f>Britain!AA125/100/Britain!F125</f>
        <v>2.2607692605976508</v>
      </c>
      <c r="F9" s="3">
        <f>Canada!AA125/100/Canada!F125</f>
        <v>1.3453190957089272</v>
      </c>
      <c r="G9" s="3">
        <f>China!AA125/China!F125</f>
        <v>1.3221308587000267</v>
      </c>
      <c r="H9" s="3">
        <f>Denmark!AA125/Denmark!F125</f>
        <v>2.2978514275422408</v>
      </c>
      <c r="I9" s="3">
        <f>Finland!AA125/100/Finland!F125</f>
        <v>2.2156090647278557</v>
      </c>
      <c r="J9" s="3">
        <f>France!AA125/100/France!F125</f>
        <v>2.1273545137483207</v>
      </c>
      <c r="K9" s="3">
        <f>Germany!AA125/100/Germany!F125</f>
        <v>2.2200028732663157</v>
      </c>
      <c r="L9" s="3">
        <f>Greece!AA125/Greece!F125</f>
        <v>2.2033181783343831</v>
      </c>
      <c r="M9" s="3">
        <f>Hungary!AA125/Hungary!F125</f>
        <v>1.9948430684941614</v>
      </c>
      <c r="N9" s="3">
        <f>India!AA125/India!F125</f>
        <v>1.4724062061201761</v>
      </c>
      <c r="O9" s="3">
        <f>Ireland!AA125/Ireland!F125</f>
        <v>2.1017225588713426</v>
      </c>
      <c r="P9" s="3">
        <f>Italy!AA125/100/Italy!F125</f>
        <v>2.3882913903359282</v>
      </c>
      <c r="Q9" s="3">
        <f>Japan!AA125/Japan!F125</f>
        <v>1.726142509263253</v>
      </c>
      <c r="R9" s="3">
        <f>Korea!AA125/Korea!F125</f>
        <v>1.8024550235309198</v>
      </c>
      <c r="S9" s="3">
        <f>Netherlands!AA125/100/Netherlands!F125</f>
        <v>2.4196681600451613</v>
      </c>
      <c r="T9" s="3">
        <f>'New Zealand'!AA125/100/'New Zealand'!F125</f>
        <v>1.8702414441854376</v>
      </c>
      <c r="U9" s="3">
        <f>Norway!AA125/Norway!F125</f>
        <v>2.9176071674867088</v>
      </c>
      <c r="V9" s="3">
        <f>Spain!AA125/100/Spain!F125</f>
        <v>1.9065028628303946</v>
      </c>
      <c r="W9" s="3">
        <f>Sweden!AA125/Sweden!F125</f>
        <v>2.3408675462045867</v>
      </c>
      <c r="X9" s="3">
        <f>Swiss!AA125/Swiss!F125</f>
        <v>1.9143732849501434</v>
      </c>
      <c r="Y9" s="3">
        <f>USA!AA138/100</f>
        <v>1.0344417884382646</v>
      </c>
      <c r="AB9">
        <v>2013</v>
      </c>
      <c r="AC9" s="3">
        <f>(Australia!P125+Australia!S125)/100*Australia!$BC$97/100/Australia!F125</f>
        <v>0.54114893623324756</v>
      </c>
      <c r="AD9" s="3">
        <f>(Austria!P125+Austria!S125)*Austria!$AU$97/100/Austria!F125</f>
        <v>1.0218909743167772</v>
      </c>
      <c r="AE9" s="3">
        <f>(Belgium!P125+Belgium!S125)*Belgium!AU$97/100/Belgium!F125</f>
        <v>1.2741587950484778</v>
      </c>
      <c r="AF9" s="3">
        <f>(Britain!P125+Britain!S125)/100*Britain!AX$97/100/Britain!F125</f>
        <v>1.3482480070224823</v>
      </c>
      <c r="AG9" s="3">
        <f>(Canada!P125+Canada!S125)/100*Canada!AW$97/100/Canada!F125</f>
        <v>0.51328694057256319</v>
      </c>
      <c r="AH9" s="3">
        <f>(China!P125+China!S125)*China!AU$97/100/China!F125</f>
        <v>0.40132118407700279</v>
      </c>
      <c r="AI9" s="3">
        <f>(Denmark!P125+Denmark!S125)*Denmark!AX$97/100/Denmark!F125</f>
        <v>1.2559025194415852</v>
      </c>
      <c r="AJ9" s="3">
        <f>(Finland!P125+Finland!S125)*Finland!AU$97/100/Finland!F125</f>
        <v>1.3098769784627964</v>
      </c>
      <c r="AK9" s="3">
        <f>(France!P125+France!S125)*France!AU$97/100/France!F125</f>
        <v>1.1934193014605137</v>
      </c>
      <c r="AL9" s="3">
        <f>(Germany!P125+Germany!S125)*Germany!AU$97/100/Germany!F125</f>
        <v>1.2710000235177707</v>
      </c>
      <c r="AM9" s="3">
        <f>(Greece!P125+Greece!S125)*Greece!AR$97/100/Greece!F125</f>
        <v>1.3054355328493858</v>
      </c>
      <c r="AN9" s="3">
        <f>(Hungary!P125)*Hungary!AR$97/100/Hungary!F125</f>
        <v>0.98097174464920278</v>
      </c>
      <c r="AO9" s="3">
        <f>(India!P125+India!S125)*India!AN$97/100/India!F125</f>
        <v>0.48345242720715698</v>
      </c>
      <c r="AP9" s="3">
        <f>(Ireland!P125+Ireland!R125)*Ireland!AU$97/100/Ireland!F125</f>
        <v>1.1798963636024471</v>
      </c>
      <c r="AQ9" s="3">
        <f>(Italy!P125+Italy!S125)*Italy!AU$97/100/Italy!F125</f>
        <v>1.4063710056022285</v>
      </c>
      <c r="AR9" s="3">
        <f>(Japan!P125+Japan!S125)*Japan!AT$97/100/Japan!F125</f>
        <v>0.6902078982914952</v>
      </c>
      <c r="AS9" s="3">
        <f>(Korea!P125+Korea!S125)*Korea!AT$97/100/Korea!F125</f>
        <v>0.67824624403904266</v>
      </c>
      <c r="AT9" s="3">
        <f>(Netherlands!P125+Netherlands!S125)*Netherlands!AT$97/100/Netherlands!F125</f>
        <v>1.462234222205665</v>
      </c>
      <c r="AU9" s="3">
        <f>('New Zealand'!P125+'New Zealand'!S125)*'New Zealand'!BB$97/100/'New Zealand'!F125</f>
        <v>0.78447130994183967</v>
      </c>
      <c r="AV9" s="3">
        <f>(Norway!P125+Norway!S125)*Norway!AT$97/100/Norway!F125</f>
        <v>1.675722148824252</v>
      </c>
      <c r="AW9" s="3">
        <f>(Spain!P125+Spain!S125)*Spain!AU$97/100/Spain!F125</f>
        <v>0.8932869980410495</v>
      </c>
      <c r="AX9" s="3">
        <f>(Sweden!P125+Sweden!S125)*Sweden!AW$97/100/Sweden!F125</f>
        <v>1.3708536689434427</v>
      </c>
      <c r="AY9" s="3">
        <f>(Swiss!P125+Swiss!S125)*Swiss!AT$97/100/Swiss!F125</f>
        <v>0.94769213004522956</v>
      </c>
      <c r="AZ9" s="3">
        <f>USA!P138/100*USA!AU$105/100</f>
        <v>0.11517403296843509</v>
      </c>
    </row>
    <row r="10" spans="1:52">
      <c r="A10">
        <v>2014</v>
      </c>
      <c r="B10" s="3">
        <f>Australia!AA126/Australia!F126</f>
        <v>1.3994760809034159</v>
      </c>
      <c r="C10" s="3">
        <f>Austria!AA126/Austria!F126</f>
        <v>1.8876630863879096</v>
      </c>
      <c r="D10" s="3">
        <f>Belgium!AA126/Belgium!F126</f>
        <v>2.2401918654663113</v>
      </c>
      <c r="E10" s="3">
        <f>Britain!AA126/100/Britain!F126</f>
        <v>2.238215711091105</v>
      </c>
      <c r="F10" s="3">
        <f>Canada!AA126/100/Canada!F126</f>
        <v>1.2329695098973878</v>
      </c>
      <c r="G10" s="3">
        <f>China!AA126/China!F126</f>
        <v>1.2654327970311181</v>
      </c>
      <c r="H10" s="3">
        <f>Denmark!AA126/Denmark!F126</f>
        <v>2.2483751777072056</v>
      </c>
      <c r="I10" s="3">
        <f>Finland!AA126/100/Finland!F126</f>
        <v>2.1544755485369795</v>
      </c>
      <c r="J10" s="3">
        <f>France!AA126/100/France!F126</f>
        <v>2.0454280743622251</v>
      </c>
      <c r="K10" s="3">
        <f>Germany!AA126/100/Germany!F126</f>
        <v>2.1233951673300639</v>
      </c>
      <c r="L10" s="3">
        <f>Greece!AA126/Greece!F126</f>
        <v>2.1520059991869456</v>
      </c>
      <c r="M10" s="3">
        <f>Hungary!AA126/Hungary!F126</f>
        <v>1.873337847139052</v>
      </c>
      <c r="N10" s="3">
        <f>India!AA126/India!F126</f>
        <v>1.2989241481192659</v>
      </c>
      <c r="O10" s="3">
        <f>Ireland!AA126/Ireland!F126</f>
        <v>2.0219480770200779</v>
      </c>
      <c r="P10" s="3">
        <f>Italy!AA126/100/Italy!F126</f>
        <v>2.321107899390678</v>
      </c>
      <c r="Q10" s="3">
        <f>Japan!AA126/Japan!F126</f>
        <v>1.5727940431899223</v>
      </c>
      <c r="R10" s="3">
        <f>Korea!AA126/Korea!F126</f>
        <v>1.7570452242907797</v>
      </c>
      <c r="S10" s="3">
        <f>Netherlands!AA126/100/Netherlands!F126</f>
        <v>2.3376453860376762</v>
      </c>
      <c r="T10" s="3">
        <f>'New Zealand'!AA126/100/'New Zealand'!F126</f>
        <v>1.8774659643743044</v>
      </c>
      <c r="U10" s="3">
        <f>Norway!AA126/Norway!F126</f>
        <v>2.70294768502723</v>
      </c>
      <c r="V10" s="3">
        <f>Spain!AA126/100/Spain!F126</f>
        <v>1.8362271915955801</v>
      </c>
      <c r="W10" s="3">
        <f>Sweden!AA126/Sweden!F126</f>
        <v>2.1959005872867774</v>
      </c>
      <c r="X10" s="3">
        <f>Swiss!AA126/Swiss!F126</f>
        <v>1.8616613088621699</v>
      </c>
      <c r="Y10" s="3">
        <f>USA!AA139/100</f>
        <v>0.98312244761820167</v>
      </c>
      <c r="AB10">
        <v>2014</v>
      </c>
      <c r="AC10" s="3">
        <f>(Australia!P126+Australia!S126)/100*Australia!$BC$97/100/Australia!F126</f>
        <v>0.49437505922097458</v>
      </c>
      <c r="AD10" s="3">
        <f>(Austria!P126+Austria!S126)*Austria!$AU$97/100/Austria!F126</f>
        <v>0.98854476877976483</v>
      </c>
      <c r="AE10" s="3">
        <f>(Belgium!P126+Belgium!S126)*Belgium!AU$97/100/Belgium!F126</f>
        <v>1.2468755826667082</v>
      </c>
      <c r="AF10" s="3">
        <f>(Britain!P126+Britain!S126)/100*Britain!AX$97/100/Britain!F126</f>
        <v>1.3810066978463269</v>
      </c>
      <c r="AG10" s="3">
        <f>(Canada!P126+Canada!S126)/100*Canada!AW$97/100/Canada!F126</f>
        <v>0.47823152372864058</v>
      </c>
      <c r="AH10" s="3">
        <f>(China!P126+China!S126)*China!AU$97/100/China!F126</f>
        <v>0.42823498799933163</v>
      </c>
      <c r="AI10" s="3">
        <f>(Denmark!P126+Denmark!S126)*Denmark!AX$97/100/Denmark!F126</f>
        <v>1.270168565024357</v>
      </c>
      <c r="AJ10" s="3">
        <f>(Finland!P126+Finland!S126)*Finland!AU$97/100/Finland!F126</f>
        <v>1.3126349717126826</v>
      </c>
      <c r="AK10" s="3">
        <f>(France!P126+France!S126)*France!AU$97/100/France!F126</f>
        <v>1.1750798618128335</v>
      </c>
      <c r="AL10" s="3">
        <f>(Germany!P126+Germany!S126)*Germany!AU$97/100/Germany!F126</f>
        <v>1.2404799319833448</v>
      </c>
      <c r="AM10" s="3">
        <f>(Greece!P126+Greece!S126)*Greece!AR$97/100/Greece!F126</f>
        <v>1.3000887147447311</v>
      </c>
      <c r="AN10" s="3">
        <f>(Hungary!P126)*Hungary!AR$97/100/Hungary!F126</f>
        <v>0.93769214756016728</v>
      </c>
      <c r="AO10" s="3">
        <f>(India!P126+India!S126)*India!AN$97/100/India!F126</f>
        <v>0.43823814161642793</v>
      </c>
      <c r="AP10" s="3">
        <f>(Ireland!P126+Ireland!R126)*Ireland!AU$97/100/Ireland!F126</f>
        <v>1.1575035717052291</v>
      </c>
      <c r="AQ10" s="3">
        <f>(Italy!P126+Italy!S126)*Italy!AU$97/100/Italy!F126</f>
        <v>1.4046244805012809</v>
      </c>
      <c r="AR10" s="3">
        <f>(Japan!P126+Japan!S126)*Japan!AT$97/100/Japan!F126</f>
        <v>0.64757710206873964</v>
      </c>
      <c r="AS10" s="3">
        <f>(Korea!P126+Korea!S126)*Korea!AT$97/100/Korea!F126</f>
        <v>0.68830217698506535</v>
      </c>
      <c r="AT10" s="3">
        <f>(Netherlands!P126+Netherlands!S126)*Netherlands!AT$97/100/Netherlands!F126</f>
        <v>1.4475291577312777</v>
      </c>
      <c r="AU10" s="3">
        <f>('New Zealand'!P126+'New Zealand'!S126)*'New Zealand'!BB$97/100/'New Zealand'!F126</f>
        <v>0.81032720656465707</v>
      </c>
      <c r="AV10" s="3">
        <f>(Norway!P126+Norway!S126)*Norway!AT$97/100/Norway!F126</f>
        <v>1.5795689992313846</v>
      </c>
      <c r="AW10" s="3">
        <f>(Spain!P126+Spain!S126)*Spain!AU$97/100/Spain!F126</f>
        <v>0.87766550943298693</v>
      </c>
      <c r="AX10" s="3">
        <f>(Sweden!P126+Sweden!S126)*Sweden!AW$97/100/Sweden!F126</f>
        <v>1.2986299387182476</v>
      </c>
      <c r="AY10" s="3">
        <f>(Swiss!P126+Swiss!S126)*Swiss!AT$97/100/Swiss!F126</f>
        <v>0.94886664223666028</v>
      </c>
      <c r="AZ10" s="3">
        <f>USA!P139/100*USA!AU$105/100</f>
        <v>0.11517434723399939</v>
      </c>
    </row>
    <row r="11" spans="1:52">
      <c r="A11">
        <v>2015</v>
      </c>
      <c r="B11" s="3">
        <f>Australia!AA127/Australia!F127</f>
        <v>0.96486146769278369</v>
      </c>
      <c r="C11" s="3">
        <f>Austria!AA127/Austria!F127</f>
        <v>1.3486039746997904</v>
      </c>
      <c r="D11" s="3">
        <f>Belgium!AA127/Belgium!F127</f>
        <v>1.6023948367473415</v>
      </c>
      <c r="E11" s="3">
        <f>Britain!AA127/100/Britain!F127</f>
        <v>1.7843892713878355</v>
      </c>
      <c r="F11" s="3">
        <f>Canada!AA127/100/Canada!F127</f>
        <v>0.8734022282330669</v>
      </c>
      <c r="G11" s="3">
        <f>China!AA127/China!F127</f>
        <v>0.87994703043334022</v>
      </c>
      <c r="H11" s="3">
        <f>Denmark!AA127/Denmark!F127</f>
        <v>1.6507304233395825</v>
      </c>
      <c r="I11" s="3">
        <f>Finland!AA127/100/Finland!F127</f>
        <v>1.5979121585685041</v>
      </c>
      <c r="J11" s="3">
        <f>France!AA127/100/France!F127</f>
        <v>1.5130564592228852</v>
      </c>
      <c r="K11" s="3">
        <f>Germany!AA127/100/Germany!F127</f>
        <v>1.5534787603110531</v>
      </c>
      <c r="L11" s="3">
        <f>Greece!AA127/Greece!F127</f>
        <v>1.6209661675058051</v>
      </c>
      <c r="M11" s="3">
        <f>Hungary!AA127/Hungary!F127</f>
        <v>1.3365409117939311</v>
      </c>
      <c r="N11" s="3">
        <f>India!AA127/India!F127</f>
        <v>1.043718710368694</v>
      </c>
      <c r="O11" s="3">
        <f>Ireland!AA127/Ireland!F127</f>
        <v>1.4844352527038502</v>
      </c>
      <c r="P11" s="3">
        <f>Italy!AA127/100/Italy!F127</f>
        <v>1.6981269837614541</v>
      </c>
      <c r="Q11" s="3">
        <f>Japan!AA127/Japan!F127</f>
        <v>1.1197949153490454</v>
      </c>
      <c r="R11" s="3">
        <f>Korea!AA127/Korea!F127</f>
        <v>1.3390268168369295</v>
      </c>
      <c r="S11" s="3">
        <f>Netherlands!AA127/100/Netherlands!F127</f>
        <v>1.7300722485727424</v>
      </c>
      <c r="T11" s="3">
        <f>'New Zealand'!AA127/100/'New Zealand'!F127</f>
        <v>1.4288839489067857</v>
      </c>
      <c r="U11" s="3">
        <f>Norway!AA127/Norway!F127</f>
        <v>2.0152380905024669</v>
      </c>
      <c r="V11" s="3">
        <f>Spain!AA127/100/Spain!F127</f>
        <v>1.3397385668227098</v>
      </c>
      <c r="W11" s="3">
        <f>Sweden!AA127/Sweden!F127</f>
        <v>1.6142685224273725</v>
      </c>
      <c r="X11" s="3">
        <f>Swiss!AA127/Swiss!F127</f>
        <v>1.5309885843921636</v>
      </c>
      <c r="Y11" s="3">
        <f>USA!AA140/100</f>
        <v>0.63355226376880258</v>
      </c>
      <c r="AB11">
        <v>2015</v>
      </c>
      <c r="AC11" s="3">
        <f>(Australia!P127+Australia!S127)/100*Australia!$BC$97/100/Australia!F127</f>
        <v>0.39432806365687922</v>
      </c>
      <c r="AD11" s="3">
        <f>(Austria!P127+Austria!S127)*Austria!$AU$97/100/Austria!F127</f>
        <v>0.78319503656641709</v>
      </c>
      <c r="AE11" s="3">
        <f>(Belgium!P127+Belgium!S127)*Belgium!AU$97/100/Belgium!F127</f>
        <v>0.99155079598297924</v>
      </c>
      <c r="AF11" s="3">
        <f>(Britain!P127+Britain!S127)/100*Britain!AX$97/100/Britain!F127</f>
        <v>1.2316175110341849</v>
      </c>
      <c r="AG11" s="3">
        <f>(Canada!P127+Canada!S127)/100*Canada!AW$97/100/Canada!F127</f>
        <v>0.3876758442496106</v>
      </c>
      <c r="AH11" s="3">
        <f>(China!P127+China!S127)*China!AU$97/100/China!F127</f>
        <v>0.38581232815736233</v>
      </c>
      <c r="AI11" s="3">
        <f>(Denmark!P127+Denmark!S127)*Denmark!AX$97/100/Denmark!F127</f>
        <v>1.0245935730935691</v>
      </c>
      <c r="AJ11" s="3">
        <f>(Finland!P127+Finland!S127)*Finland!AU$97/100/Finland!F127</f>
        <v>1.0690786204148688</v>
      </c>
      <c r="AK11" s="3">
        <f>(France!P127+France!S127)*France!AU$97/100/France!F127</f>
        <v>0.9697849143451418</v>
      </c>
      <c r="AL11" s="3">
        <f>(Germany!P127+Germany!S127)*Germany!AU$97/100/Germany!F127</f>
        <v>0.99991840725707415</v>
      </c>
      <c r="AM11" s="3">
        <f>(Greece!P127+Greece!S127)*Greece!AR$97/100/Greece!F127</f>
        <v>1.0642082525925494</v>
      </c>
      <c r="AN11" s="3">
        <f>(Hungary!P127)*Hungary!AR$97/100/Hungary!F127</f>
        <v>0.87860616273691472</v>
      </c>
      <c r="AO11" s="3">
        <f>(India!P127+India!S127)*India!AN$97/100/India!F127</f>
        <v>0.54475784940460148</v>
      </c>
      <c r="AP11" s="3">
        <f>(Ireland!P127+Ireland!R127)*Ireland!AU$97/100/Ireland!F127</f>
        <v>0.93112351111433544</v>
      </c>
      <c r="AQ11" s="3">
        <f>(Italy!P127+Italy!S127)*Italy!AU$97/100/Italy!F127</f>
        <v>1.12690465951539</v>
      </c>
      <c r="AR11" s="3">
        <f>(Japan!P127+Japan!S127)*Japan!AT$97/100/Japan!F127</f>
        <v>0.5571152824379918</v>
      </c>
      <c r="AS11" s="3">
        <f>(Korea!P127+Korea!S127)*Korea!AT$97/100/Korea!F127</f>
        <v>0.60925942267729383</v>
      </c>
      <c r="AT11" s="3">
        <f>(Netherlands!P127+Netherlands!S127)*Netherlands!AT$97/100/Netherlands!F127</f>
        <v>1.1738545450145399</v>
      </c>
      <c r="AU11" s="3">
        <f>('New Zealand'!P127+'New Zealand'!S127)*'New Zealand'!BB$97/100/'New Zealand'!F127</f>
        <v>0.67021430604476351</v>
      </c>
      <c r="AV11" s="3">
        <f>(Norway!P127+Norway!S127)*Norway!AT$97/100/Norway!F127</f>
        <v>1.1833047475107834</v>
      </c>
      <c r="AW11" s="3">
        <f>(Spain!P127+Spain!S127)*Spain!AU$97/100/Spain!F127</f>
        <v>0.70220014847182344</v>
      </c>
      <c r="AX11" s="3">
        <f>(Sweden!P127+Sweden!S127)*Sweden!AW$97/100/Sweden!F127</f>
        <v>1.0487085414239972</v>
      </c>
      <c r="AY11" s="3">
        <f>(Swiss!P127+Swiss!S127)*Swiss!AT$97/100/Swiss!F127</f>
        <v>0.90029000649274793</v>
      </c>
      <c r="AZ11" s="3">
        <f>USA!P140/100*USA!AU$105/100</f>
        <v>0.12188009676040858</v>
      </c>
    </row>
    <row r="12" spans="1:52">
      <c r="A12">
        <v>2016</v>
      </c>
      <c r="B12" s="3">
        <f>Australia!AA128/Australia!F128</f>
        <v>0.90309155065694291</v>
      </c>
      <c r="C12" s="3">
        <f>Austria!AA128/Austria!F128</f>
        <v>1.2768000920990565</v>
      </c>
      <c r="D12" s="3">
        <f>Belgium!AA128/Belgium!F128</f>
        <v>1.5058319793914923</v>
      </c>
      <c r="E12" s="3">
        <f>Britain!AA128/100/Britain!F128</f>
        <v>1.5381563499381654</v>
      </c>
      <c r="F12" s="3">
        <f>Canada!AA128/100/Canada!F128</f>
        <v>0.80815440987623133</v>
      </c>
      <c r="G12" s="3">
        <f>China!AA128/China!F128</f>
        <v>0.76520910830949473</v>
      </c>
      <c r="H12" s="3">
        <f>Denmark!AA128/Denmark!F128</f>
        <v>1.5859145949344846</v>
      </c>
      <c r="I12" s="3">
        <f>Finland!AA128/100/Finland!F128</f>
        <v>1.5300562666356354</v>
      </c>
      <c r="J12" s="3">
        <f>France!AA128/100/France!F128</f>
        <v>1.4698574174746835</v>
      </c>
      <c r="K12" s="3">
        <f>Germany!AA128/100/Germany!F128</f>
        <v>1.4842980401095898</v>
      </c>
      <c r="L12" s="3">
        <f>Greece!AA128/Greece!F128</f>
        <v>1.5778392160801751</v>
      </c>
      <c r="M12" s="3">
        <f>Hungary!AA128/Hungary!F128</f>
        <v>1.2442746322962344</v>
      </c>
      <c r="N12" s="3">
        <f>India!AA128/India!F128</f>
        <v>1.0132067867531689</v>
      </c>
      <c r="O12" s="3">
        <f>Ireland!AA128/Ireland!F128</f>
        <v>1.4233783482701454</v>
      </c>
      <c r="P12" s="3">
        <f>Italy!AA128/100/Italy!F128</f>
        <v>1.6306252953470313</v>
      </c>
      <c r="Q12" s="3">
        <f>Japan!AA128/Japan!F128</f>
        <v>1.1359621877055293</v>
      </c>
      <c r="R12" s="3">
        <f>Korea!AA128/Korea!F128</f>
        <v>1.2451512048444004</v>
      </c>
      <c r="S12" s="3">
        <f>Netherlands!AA128/100/Netherlands!F128</f>
        <v>1.6658221010973107</v>
      </c>
      <c r="T12" s="3">
        <f>'New Zealand'!AA128/100/'New Zealand'!F128</f>
        <v>1.3549483341264945</v>
      </c>
      <c r="U12" s="3">
        <f>Norway!AA128/Norway!F128</f>
        <v>1.847947152659577</v>
      </c>
      <c r="V12" s="3">
        <f>Spain!AA128/100/Spain!F128</f>
        <v>1.308165450552736</v>
      </c>
      <c r="W12" s="3">
        <f>Sweden!AA128/Sweden!F128</f>
        <v>1.5906203810930455</v>
      </c>
      <c r="X12" s="3">
        <f>Swiss!AA128/Swiss!F128</f>
        <v>1.4487913094198808</v>
      </c>
      <c r="Y12" s="3">
        <f>USA!AA141/100</f>
        <v>0.58492730084325439</v>
      </c>
      <c r="AB12">
        <v>2016</v>
      </c>
      <c r="AC12" s="3">
        <f>(Australia!P128+Australia!S128)/100*Australia!$BC$97/100/Australia!F128</f>
        <v>0.38744423961766389</v>
      </c>
      <c r="AD12" s="3">
        <f>(Austria!P128+Austria!S128)*Austria!$AU$97/100/Austria!F128</f>
        <v>0.76579136390754621</v>
      </c>
      <c r="AE12" s="3">
        <f>(Belgium!P128+Belgium!S128)*Belgium!AU$97/100/Belgium!F128</f>
        <v>0.96213889370171846</v>
      </c>
      <c r="AF12" s="3">
        <f>(Britain!P128+Britain!S128)/100*Britain!AX$97/100/Britain!F128</f>
        <v>1.0714093821164123</v>
      </c>
      <c r="AG12" s="3">
        <f>(Canada!P128+Canada!S128)/100*Canada!AW$97/100/Canada!F128</f>
        <v>0.37400618370405841</v>
      </c>
      <c r="AH12" s="3">
        <f>(China!P128+China!S128)*China!AU$97/100/China!F128</f>
        <v>0.34832097274032131</v>
      </c>
      <c r="AI12" s="3">
        <f>(Denmark!P128+Denmark!S128)*Denmark!AX$97/100/Denmark!F128</f>
        <v>1.0147525791115661</v>
      </c>
      <c r="AJ12" s="3">
        <f>(Finland!P128+Finland!S128)*Finland!AU$97/100/Finland!F128</f>
        <v>1.0525566386639873</v>
      </c>
      <c r="AK12" s="3">
        <f>(France!P128+France!S128)*France!AU$97/100/France!F128</f>
        <v>0.97990341560834515</v>
      </c>
      <c r="AL12" s="3">
        <f>(Germany!P128+Germany!S128)*Germany!AU$97/100/Germany!F128</f>
        <v>0.98457792679465095</v>
      </c>
      <c r="AM12" s="3">
        <f>(Greece!P128+Greece!S128)*Greece!AR$97/100/Greece!F128</f>
        <v>1.066108546212003</v>
      </c>
      <c r="AN12" s="3">
        <f>(Hungary!P128)*Hungary!AR$97/100/Hungary!F128</f>
        <v>0.85179235887246119</v>
      </c>
      <c r="AO12" s="3">
        <f>(India!P128+India!S128)*India!AN$97/100/India!F128</f>
        <v>0.59539568804953358</v>
      </c>
      <c r="AP12" s="3">
        <f>(Ireland!P128+Ireland!R128)*Ireland!AU$97/100/Ireland!F128</f>
        <v>0.91911425198246532</v>
      </c>
      <c r="AQ12" s="3">
        <f>(Italy!P128+Italy!S128)*Italy!AU$97/100/Italy!F128</f>
        <v>1.1150011838728198</v>
      </c>
      <c r="AR12" s="3">
        <f>(Japan!P128+Japan!S128)*Japan!AT$97/100/Japan!F128</f>
        <v>0.61111401734584436</v>
      </c>
      <c r="AS12" s="3">
        <f>(Korea!P128+Korea!S128)*Korea!AT$97/100/Korea!F128</f>
        <v>0.58481236367945255</v>
      </c>
      <c r="AT12" s="3">
        <f>(Netherlands!P128+Netherlands!S128)*Netherlands!AT$97/100/Netherlands!F128</f>
        <v>1.1635067656680895</v>
      </c>
      <c r="AU12" s="3">
        <f>('New Zealand'!P128+'New Zealand'!S128)*'New Zealand'!BB$97/100/'New Zealand'!F128</f>
        <v>0.6597737683088265</v>
      </c>
      <c r="AV12" s="3">
        <f>(Norway!P128+Norway!S128)*Norway!AT$97/100/Norway!F128</f>
        <v>1.1104718452784474</v>
      </c>
      <c r="AW12" s="3">
        <f>(Spain!P128+Spain!S128)*Spain!AU$97/100/Spain!F128</f>
        <v>0.71138828983042857</v>
      </c>
      <c r="AX12" s="3">
        <f>(Sweden!P128+Sweden!S128)*Sweden!AW$97/100/Sweden!F128</f>
        <v>1.0819756393522637</v>
      </c>
      <c r="AY12" s="3">
        <f>(Swiss!P128+Swiss!S128)*Swiss!AT$97/100/Swiss!F128</f>
        <v>0.87733117286290385</v>
      </c>
      <c r="AZ12" s="3">
        <f>USA!P141/100*USA!AU$105/100</f>
        <v>0.12039745457538836</v>
      </c>
    </row>
    <row r="13" spans="1:52">
      <c r="A13">
        <v>2017</v>
      </c>
      <c r="B13" s="3">
        <f>Australia!AA129/Australia!F129</f>
        <v>0.99169914140477056</v>
      </c>
      <c r="C13" s="3">
        <f>Austria!AA129/Austria!F129</f>
        <v>1.3604224075854836</v>
      </c>
      <c r="D13" s="3">
        <f>Belgium!AA129/Belgium!F129</f>
        <v>1.5968202246410124</v>
      </c>
      <c r="E13" s="3">
        <f>Britain!AA129/100/Britain!F129</f>
        <v>1.5438288769690125</v>
      </c>
      <c r="F13" s="3">
        <f>Canada!AA129/100/Canada!F129</f>
        <v>0.87960777039051019</v>
      </c>
      <c r="G13" s="3">
        <f>China!AA129/China!F129</f>
        <v>0.73559480675450084</v>
      </c>
      <c r="H13" s="3">
        <f>Denmark!AA129/Denmark!F129</f>
        <v>1.6858367043558278</v>
      </c>
      <c r="I13" s="3">
        <f>Finland!AA129/100/Finland!F129</f>
        <v>1.6609629385559455</v>
      </c>
      <c r="J13" s="3">
        <f>France!AA129/100/France!F129</f>
        <v>1.584060143700724</v>
      </c>
      <c r="K13" s="3">
        <f>Germany!AA129/100/Germany!F129</f>
        <v>1.5722603564102866</v>
      </c>
      <c r="L13" s="3">
        <f>Greece!AA129/Greece!F129</f>
        <v>1.7191426630177877</v>
      </c>
      <c r="M13" s="3">
        <f>Hungary!AA129/Hungary!F129</f>
        <v>1.3311828581232261</v>
      </c>
      <c r="N13" s="3">
        <f>India!AA129/India!F129</f>
        <v>1.0968313900575586</v>
      </c>
      <c r="O13" s="3">
        <f>Ireland!AA129/Ireland!F129</f>
        <v>1.5252773607264891</v>
      </c>
      <c r="P13" s="3">
        <f>Italy!AA129/100/Italy!F129</f>
        <v>1.7336626942903497</v>
      </c>
      <c r="Q13" s="3">
        <f>Japan!AA129/Japan!F129</f>
        <v>1.1975851895461544</v>
      </c>
      <c r="R13" s="3">
        <f>Korea!AA129/Korea!F129</f>
        <v>1.336507811737994</v>
      </c>
      <c r="S13" s="3">
        <f>Netherlands!AA129/100/Netherlands!F129</f>
        <v>1.7649650686599154</v>
      </c>
      <c r="T13" s="3">
        <f>'New Zealand'!AA129/100/'New Zealand'!F129</f>
        <v>1.4535922265782579</v>
      </c>
      <c r="U13" s="3">
        <f>Norway!AA129/Norway!F129</f>
        <v>1.9925811179910973</v>
      </c>
      <c r="V13" s="3">
        <f>Spain!AA129/100/Spain!F129</f>
        <v>1.3922741862408414</v>
      </c>
      <c r="W13" s="3">
        <f>Sweden!AA129/Sweden!F129</f>
        <v>1.6815828411221256</v>
      </c>
      <c r="X13" s="3">
        <f>Swiss!AA129/Swiss!F129</f>
        <v>1.521497601272578</v>
      </c>
      <c r="Y13" s="3">
        <f>USA!AA142/100</f>
        <v>0.63537346507497849</v>
      </c>
      <c r="AB13">
        <v>2017</v>
      </c>
      <c r="AC13" s="3">
        <f>(Australia!P129+Australia!S129)/100*Australia!$BC$97/100/Australia!F129</f>
        <v>0.40492784360099959</v>
      </c>
      <c r="AD13" s="3">
        <f>(Austria!P129+Austria!S129)*Austria!$AU$97/100/Austria!F129</f>
        <v>0.78052083343260492</v>
      </c>
      <c r="AE13" s="3">
        <f>(Belgium!P129+Belgium!S129)*Belgium!AU$97/100/Belgium!F129</f>
        <v>0.97148583603741956</v>
      </c>
      <c r="AF13" s="3">
        <f>(Britain!P129+Britain!S129)/100*Britain!AX$97/100/Britain!F129</f>
        <v>1.0217818102508494</v>
      </c>
      <c r="AG13" s="3">
        <f>(Canada!P129+Canada!S129)/100*Canada!AW$97/100/Canada!F129</f>
        <v>0.39019433392134617</v>
      </c>
      <c r="AH13" s="3">
        <f>(China!P129+China!S129)*China!AU$97/100/China!F129</f>
        <v>0.33629828398226047</v>
      </c>
      <c r="AI13" s="3">
        <f>(Denmark!P129+Denmark!S129)*Denmark!AX$97/100/Denmark!F129</f>
        <v>1.0394636876954797</v>
      </c>
      <c r="AJ13" s="3">
        <f>(Finland!P129+Finland!S129)*Finland!AU$97/100/Finland!F129</f>
        <v>1.1131001588898695</v>
      </c>
      <c r="AK13" s="3">
        <f>(France!P129+France!S129)*France!AU$97/100/France!F129</f>
        <v>1.0214102494292641</v>
      </c>
      <c r="AL13" s="3">
        <f>(Germany!P129+Germany!S129)*Germany!AU$97/100/Germany!F129</f>
        <v>1.0021955111326306</v>
      </c>
      <c r="AM13" s="3">
        <f>(Greece!P129+Greece!S129)*Greece!AR$97/100/Greece!F129</f>
        <v>1.1410860310790512</v>
      </c>
      <c r="AN13" s="3">
        <f>(Hungary!P129)*Hungary!AR$97/100/Hungary!F129</f>
        <v>0.85995428656583295</v>
      </c>
      <c r="AO13" s="3">
        <f>(India!P129+India!S129)*India!AN$97/100/India!F129</f>
        <v>0.62988809728170347</v>
      </c>
      <c r="AP13" s="3">
        <f>(Ireland!P129+Ireland!R129)*Ireland!AU$97/100/Ireland!F129</f>
        <v>0.95044332715723134</v>
      </c>
      <c r="AQ13" s="3">
        <f>(Italy!P129+Italy!S129)*Italy!AU$97/100/Italy!F129</f>
        <v>1.1416612953627245</v>
      </c>
      <c r="AR13" s="3">
        <f>(Japan!P129+Japan!S129)*Japan!AT$97/100/Japan!F129</f>
        <v>0.59829525352430146</v>
      </c>
      <c r="AS13" s="3">
        <f>(Korea!P129+Korea!S129)*Korea!AT$97/100/Korea!F129</f>
        <v>0.59614145081354053</v>
      </c>
      <c r="AT13" s="3">
        <f>(Netherlands!P129+Netherlands!S129)*Netherlands!AT$97/100/Netherlands!F129</f>
        <v>1.1905707014164955</v>
      </c>
      <c r="AU13" s="3">
        <f>('New Zealand'!P129+'New Zealand'!S129)*'New Zealand'!BB$97/100/'New Zealand'!F129</f>
        <v>0.67203651272787701</v>
      </c>
      <c r="AV13" s="3">
        <f>(Norway!P129+Norway!S129)*Norway!AT$97/100/Norway!F129</f>
        <v>1.1703732973588001</v>
      </c>
      <c r="AW13" s="3">
        <f>(Spain!P129+Spain!S129)*Spain!AU$97/100/Spain!F129</f>
        <v>0.72725059739961206</v>
      </c>
      <c r="AX13" s="3">
        <f>(Sweden!P129+Sweden!S129)*Sweden!AW$97/100/Sweden!F129</f>
        <v>1.1107344926423495</v>
      </c>
      <c r="AY13" s="3">
        <f>(Swiss!P129+Swiss!S129)*Swiss!AT$97/100/Swiss!F129</f>
        <v>0.88128220622323661</v>
      </c>
      <c r="AZ13" s="3">
        <f>USA!P142/100*USA!AU$105/100</f>
        <v>0.12009301280030928</v>
      </c>
    </row>
    <row r="14" spans="1:52">
      <c r="A14">
        <v>2018</v>
      </c>
      <c r="B14" s="3">
        <f>Australia!AA130/Australia!F130</f>
        <v>1.0680261449170629</v>
      </c>
      <c r="C14" s="3">
        <f>Austria!AA130/Austria!F130</f>
        <v>1.5082478725263737</v>
      </c>
      <c r="D14" s="3">
        <f>Belgium!AA130/Belgium!F130</f>
        <v>1.7866683533036822</v>
      </c>
      <c r="E14" s="3">
        <f>Britain!AA130/100/Britain!F130</f>
        <v>1.6747512456919096</v>
      </c>
      <c r="F14" s="3">
        <f>Canada!AA130/100/Canada!F130</f>
        <v>0.9584569538070109</v>
      </c>
      <c r="G14" s="3">
        <f>China!AA130/China!F130</f>
        <v>0.86045609790939814</v>
      </c>
      <c r="H14" s="3">
        <f>Denmark!AA130/Denmark!F130</f>
        <v>1.871198157870779</v>
      </c>
      <c r="I14" s="3">
        <f>Finland!AA130/100/Finland!F130</f>
        <v>1.8332317369986706</v>
      </c>
      <c r="J14" s="3">
        <f>France!AA130/100/France!F130</f>
        <v>1.7424053608904768</v>
      </c>
      <c r="K14" s="3">
        <f>Germany!AA130/100/Germany!F130</f>
        <v>1.7445776941790199</v>
      </c>
      <c r="L14" s="3">
        <f>Greece!AA130/Greece!F130</f>
        <v>1.9283357929067255</v>
      </c>
      <c r="M14" s="3">
        <f>Hungary!AA130/Hungary!F130</f>
        <v>1.4424101093491213</v>
      </c>
      <c r="N14" s="3">
        <f>India!AA130/India!F130</f>
        <v>1.1295988676734776</v>
      </c>
      <c r="O14" s="3">
        <f>Ireland!AA130/Ireland!F130</f>
        <v>1.6971345599851664</v>
      </c>
      <c r="P14" s="3">
        <f>Italy!AA130/100/Italy!F130</f>
        <v>1.9169732604062935</v>
      </c>
      <c r="Q14" s="3">
        <f>Japan!AA130/Japan!F130</f>
        <v>1.3368947327269944</v>
      </c>
      <c r="R14" s="3">
        <f>Korea!AA130/Korea!F130</f>
        <v>1.4691303672796336</v>
      </c>
      <c r="S14" s="3">
        <f>Netherlands!AA130/100/Netherlands!F130</f>
        <v>1.9530852123099547</v>
      </c>
      <c r="T14" s="3">
        <f>'New Zealand'!AA130/100/'New Zealand'!F130</f>
        <v>1.5369348884991769</v>
      </c>
      <c r="U14" s="3">
        <f>Norway!AA130/Norway!F130</f>
        <v>2.1463085574803884</v>
      </c>
      <c r="V14" s="3">
        <f>Spain!AA130/100/Spain!F130</f>
        <v>1.5425723394158981</v>
      </c>
      <c r="W14" s="3">
        <f>Sweden!AA130/Sweden!F130</f>
        <v>1.744766395198448</v>
      </c>
      <c r="X14" s="3">
        <f>Swiss!AA130/Swiss!F130</f>
        <v>1.6309929248830362</v>
      </c>
      <c r="Y14" s="3">
        <f>USA!AA143/100</f>
        <v>0.73141905508869343</v>
      </c>
      <c r="AA14" s="3">
        <f>AVERAGE(B14:X14)</f>
        <v>1.5879633750525519</v>
      </c>
      <c r="AB14">
        <v>2018</v>
      </c>
      <c r="AC14" s="3">
        <f>(Australia!P130+Australia!S130)/100*Australia!$BC$97/100/Australia!F130</f>
        <v>0.40083741879638324</v>
      </c>
      <c r="AD14" s="3">
        <f>(Austria!P130+Austria!S130)*Austria!$AU$97/100/Austria!F130</f>
        <v>0.82111459813973853</v>
      </c>
      <c r="AE14" s="3">
        <f>(Belgium!P130+Belgium!S130)*Belgium!AU$97/100/Belgium!F130</f>
        <v>1.0367968853407696</v>
      </c>
      <c r="AF14" s="3">
        <f>(Britain!P130+Britain!S130)/100*Britain!AX$97/100/Britain!F130</f>
        <v>1.0507630238603252</v>
      </c>
      <c r="AG14" s="3">
        <f>(Canada!P130+Canada!S130)/100*Canada!AW$97/100/Canada!F130</f>
        <v>0.39518538420919475</v>
      </c>
      <c r="AH14" s="3">
        <f>(China!P130+China!S130)*China!AU$97/100/China!F130</f>
        <v>0.34853389458537465</v>
      </c>
      <c r="AI14" s="3">
        <f>(Denmark!P130+Denmark!S130)*Denmark!AX$97/100/Denmark!F130</f>
        <v>1.1064844001220313</v>
      </c>
      <c r="AJ14" s="3">
        <f>(Finland!P130+Finland!S130)*Finland!AU$97/100/Finland!F130</f>
        <v>1.1771594714026252</v>
      </c>
      <c r="AK14" s="3">
        <f>(France!P130+France!S130)*France!AU$97/100/France!F130</f>
        <v>1.0705427374533774</v>
      </c>
      <c r="AL14" s="3">
        <f>(Germany!P130+Germany!S130)*Germany!AU$97/100/Germany!F130</f>
        <v>1.0661122122517588</v>
      </c>
      <c r="AM14" s="3">
        <f>(Greece!P130+Greece!S130)*Greece!AR$97/100/Greece!F130</f>
        <v>1.2463152060811662</v>
      </c>
      <c r="AN14" s="3">
        <f>(Hungary!P130)*Hungary!AR$97/100/Hungary!F130</f>
        <v>0.86298599045570679</v>
      </c>
      <c r="AO14" s="3">
        <f>(India!P130+India!S130)*India!AN$97/100/India!F130</f>
        <v>0.57596912483176188</v>
      </c>
      <c r="AP14" s="3">
        <f>(Ireland!P130+Ireland!R130)*Ireland!AU$97/100/Ireland!F130</f>
        <v>1.0123858258681828</v>
      </c>
      <c r="AQ14" s="3">
        <f>(Italy!P130+Italy!S130)*Italy!AU$97/100/Italy!F130</f>
        <v>1.2062037972588646</v>
      </c>
      <c r="AR14" s="3">
        <f>(Japan!P130+Japan!S130)*Japan!AT$97/100/Japan!F130</f>
        <v>0.61399134516496456</v>
      </c>
      <c r="AS14" s="3">
        <f>(Korea!P130+Korea!S130)*Korea!AT$97/100/Korea!F130</f>
        <v>0.61313882817572041</v>
      </c>
      <c r="AT14" s="3">
        <f>(Netherlands!P130+Netherlands!S130)*Netherlands!AT$97/100/Netherlands!F130</f>
        <v>1.2680432163208357</v>
      </c>
      <c r="AU14" s="3">
        <f>('New Zealand'!P130+'New Zealand'!S130)*'New Zealand'!BB$97/100/'New Zealand'!F130</f>
        <v>0.65505253140300346</v>
      </c>
      <c r="AV14" s="3">
        <f>(Norway!P130+Norway!S130)*Norway!AT$97/100/Norway!F130</f>
        <v>1.2051871834254722</v>
      </c>
      <c r="AW14" s="3">
        <f>(Spain!P130+Spain!S130)*Spain!AU$97/100/Spain!F130</f>
        <v>0.76890119944183477</v>
      </c>
      <c r="AX14" s="3">
        <f>(Sweden!P130+Sweden!S130)*Sweden!AW$97/100/Sweden!F130</f>
        <v>1.0897784443006882</v>
      </c>
      <c r="AY14" s="3">
        <f>(Swiss!P130+Swiss!S130)*Swiss!AT$97/100/Swiss!F130</f>
        <v>0.88741958690126632</v>
      </c>
      <c r="AZ14" s="3">
        <f>USA!P143/100*USA!AU$105/100</f>
        <v>0.11696695110030909</v>
      </c>
    </row>
    <row r="15" spans="1:52">
      <c r="A15">
        <v>2019</v>
      </c>
      <c r="B15" s="3">
        <f>Australia!AA131/Australia!F131</f>
        <v>1.0113868836435869</v>
      </c>
      <c r="C15" s="3">
        <f>Austria!AA131/Austria!F131</f>
        <v>1.4517205924925944</v>
      </c>
      <c r="D15" s="3">
        <f>Belgium!AA131/Belgium!F131</f>
        <v>1.7193905192256522</v>
      </c>
      <c r="E15" s="3">
        <f>Britain!AA131/100/Britain!F131</f>
        <v>1.6025754028141115</v>
      </c>
      <c r="F15" s="3">
        <f>Canada!AA131/100/Canada!F131</f>
        <v>0.92206762259893249</v>
      </c>
      <c r="G15" s="3">
        <f>China!AA131/China!F131</f>
        <v>0.80659277995880152</v>
      </c>
      <c r="H15" s="3">
        <f>Denmark!AA131/Denmark!F131</f>
        <v>1.8031865844578614</v>
      </c>
      <c r="I15" s="3">
        <f>Finland!AA131/100/Finland!F131</f>
        <v>1.7698998674568334</v>
      </c>
      <c r="J15" s="3">
        <f>France!AA131/100/France!F131</f>
        <v>1.6806537999434801</v>
      </c>
      <c r="K15" s="3">
        <f>Germany!AA131/100/Germany!F131</f>
        <v>1.6834366428595471</v>
      </c>
      <c r="L15" s="3">
        <f>Greece!AA131/Greece!F131</f>
        <v>1.8652154039897035</v>
      </c>
      <c r="M15" s="3">
        <f>Hungary!AA131/Hungary!F131</f>
        <v>1.3642009802721888</v>
      </c>
      <c r="N15" s="3">
        <f>India!AA131/India!F131</f>
        <v>1.0604338041539294</v>
      </c>
      <c r="O15" s="3">
        <f>Ireland!AA131/Ireland!F131</f>
        <v>1.637047092700513</v>
      </c>
      <c r="P15" s="3">
        <f>Italy!AA131/100/Italy!F131</f>
        <v>1.8494909550414871</v>
      </c>
      <c r="Q15" s="3">
        <f>Japan!AA131/Japan!F131</f>
        <v>1.2855198101880052</v>
      </c>
      <c r="R15" s="3">
        <f>Korea!AA131/Korea!F131</f>
        <v>1.4125124734616865</v>
      </c>
      <c r="S15" s="3">
        <f>Netherlands!AA131/100/Netherlands!F131</f>
        <v>1.8871188418378246</v>
      </c>
      <c r="T15" s="3">
        <f>'New Zealand'!AA131/100/'New Zealand'!F131</f>
        <v>1.4519510619557834</v>
      </c>
      <c r="U15" s="3">
        <f>Norway!AA131/Norway!F131</f>
        <v>2.0544488917196455</v>
      </c>
      <c r="V15" s="3">
        <f>Spain!AA131/100/Spain!F131</f>
        <v>1.4864982305239807</v>
      </c>
      <c r="W15" s="3">
        <f>Sweden!AA131/Sweden!F131</f>
        <v>1.664445528486318</v>
      </c>
      <c r="X15" s="3">
        <f>Swiss!AA131/Swiss!F131</f>
        <v>1.597804323509622</v>
      </c>
      <c r="Y15" s="3">
        <f>USA!AA144/100</f>
        <v>0.70410402359659185</v>
      </c>
      <c r="AB15">
        <v>2019</v>
      </c>
      <c r="AC15" s="3">
        <f>(Australia!P131+Australia!S131)/100*Australia!$BC$97/100/Australia!F131</f>
        <v>0.38468271718414548</v>
      </c>
      <c r="AD15" s="3">
        <f>(Austria!P131+Austria!S131)*Austria!$AU$97/100/Austria!F131</f>
        <v>0.80111816526075341</v>
      </c>
      <c r="AE15" s="3">
        <f>(Belgium!P131+Belgium!S131)*Belgium!AU$97/100/Belgium!F131</f>
        <v>1.0116316770438032</v>
      </c>
      <c r="AF15" s="3">
        <f>(Britain!P131+Britain!S131)/100*Britain!AX$97/100/Britain!F131</f>
        <v>1.0167724852038182</v>
      </c>
      <c r="AG15" s="3">
        <f>(Canada!P131+Canada!S131)/100*Canada!AW$97/100/Canada!F131</f>
        <v>0.38678888942876416</v>
      </c>
      <c r="AH15" s="3">
        <f>(China!P131+China!S131)*China!AU$97/100/China!F131</f>
        <v>0.33324921086764231</v>
      </c>
      <c r="AI15" s="3">
        <f>(Denmark!P131+Denmark!S131)*Denmark!AX$97/100/Denmark!F131</f>
        <v>1.07843063468489</v>
      </c>
      <c r="AJ15" s="3">
        <f>(Finland!P131+Finland!S131)*Finland!AU$97/100/Finland!F131</f>
        <v>1.1496378307943544</v>
      </c>
      <c r="AK15" s="3">
        <f>(France!P131+France!S131)*France!AU$97/100/France!F131</f>
        <v>1.0457702195574787</v>
      </c>
      <c r="AL15" s="3">
        <f>(Germany!P131+Germany!S131)*Germany!AU$97/100/Germany!F131</f>
        <v>1.04173179762477</v>
      </c>
      <c r="AM15" s="3">
        <f>(Greece!P131+Greece!S131)*Greece!AR$97/100/Greece!F131</f>
        <v>1.2178925297255021</v>
      </c>
      <c r="AN15" s="3">
        <f>(Hungary!P131)*Hungary!AR$97/100/Hungary!F131</f>
        <v>0.82667598634553208</v>
      </c>
      <c r="AO15" s="3">
        <f>(India!P131+India!S131)*India!AN$97/100/India!F131</f>
        <v>0.54624946636413241</v>
      </c>
      <c r="AP15" s="3">
        <f>(Ireland!P131+Ireland!R131)*Ireland!AU$97/100/Ireland!F131</f>
        <v>1.038635330158129</v>
      </c>
      <c r="AQ15" s="3">
        <f>(Italy!P131+Italy!S131)*Italy!AU$97/100/Italy!F131</f>
        <v>1.178062326189635</v>
      </c>
      <c r="AR15" s="3">
        <f>(Japan!P131+Japan!S131)*Japan!AT$97/100/Japan!F131</f>
        <v>0.60385057677511589</v>
      </c>
      <c r="AS15" s="3">
        <f>(Korea!P131+Korea!S131)*Korea!AT$97/100/Korea!F131</f>
        <v>0.59892521196323978</v>
      </c>
      <c r="AT15" s="3">
        <f>(Netherlands!P131+Netherlands!S131)*Netherlands!AT$97/100/Netherlands!F131</f>
        <v>1.2393494398472542</v>
      </c>
      <c r="AU15" s="3">
        <f>('New Zealand'!P131+'New Zealand'!S131)*'New Zealand'!BB$97/100/'New Zealand'!F131</f>
        <v>0.62490261444052586</v>
      </c>
      <c r="AV15" s="3">
        <f>(Norway!P131+Norway!S131)*Norway!AT$97/100/Norway!F131</f>
        <v>1.1645509284808502</v>
      </c>
      <c r="AW15" s="3">
        <f>(Spain!P131+Spain!S131)*Spain!AU$97/100/Spain!F131</f>
        <v>0.74986664655466917</v>
      </c>
      <c r="AX15" s="3">
        <f>(Sweden!P131+Sweden!S131)*Sweden!AW$97/100/Sweden!F131</f>
        <v>1.0488269843182569</v>
      </c>
      <c r="AY15" s="3">
        <f>(Swiss!P131+Swiss!S131)*Swiss!AT$97/100/Swiss!F131</f>
        <v>0.88583978777043582</v>
      </c>
      <c r="AZ15" s="3">
        <f>USA!P144/100*USA!AU$105/100</f>
        <v>0.11696695110030909</v>
      </c>
    </row>
    <row r="16" spans="1:52">
      <c r="A16">
        <v>2020</v>
      </c>
      <c r="B16" s="3">
        <f>Australia!AA132/Australia!F132</f>
        <v>1.0129897770125098</v>
      </c>
      <c r="C16" s="3">
        <f>Austria!AA132/Austria!F132</f>
        <v>1.4535231386524066</v>
      </c>
      <c r="D16" s="3">
        <f>Belgium!AA132/Belgium!F132</f>
        <v>1.721545757456165</v>
      </c>
      <c r="E16" s="3">
        <f>Britain!AA132/100/Britain!F132</f>
        <v>1.6044278545700328</v>
      </c>
      <c r="F16" s="3">
        <f>Canada!AA132/100/Canada!F132</f>
        <v>0.92348075436522992</v>
      </c>
      <c r="G16" s="3">
        <f>China!AA132/China!F132</f>
        <v>0.80867726765145942</v>
      </c>
      <c r="H16" s="3">
        <f>Denmark!AA132/Denmark!F132</f>
        <v>1.8051892042534314</v>
      </c>
      <c r="I16" s="3">
        <f>Finland!AA132/100/Finland!F132</f>
        <v>1.7717512114633824</v>
      </c>
      <c r="J16" s="3">
        <f>France!AA132/100/France!F132</f>
        <v>1.6825118130905639</v>
      </c>
      <c r="K16" s="3">
        <f>Germany!AA132/100/Germany!F132</f>
        <v>1.6852535388323682</v>
      </c>
      <c r="L16" s="3">
        <f>Greece!AA132/Greece!F132</f>
        <v>1.8669418638745072</v>
      </c>
      <c r="M16" s="3">
        <f>Hungary!AA132/Hungary!F132</f>
        <v>1.3660145337158529</v>
      </c>
      <c r="N16" s="3">
        <f>India!AA132/India!F132</f>
        <v>1.0625141494592221</v>
      </c>
      <c r="O16" s="3">
        <f>Ireland!AA132/Ireland!F132</f>
        <v>1.6388530611157857</v>
      </c>
      <c r="P16" s="3">
        <f>Italy!AA132/100/Italy!F132</f>
        <v>1.8515063092969606</v>
      </c>
      <c r="Q16" s="3">
        <f>Japan!AA132/Japan!F132</f>
        <v>1.2875190527004103</v>
      </c>
      <c r="R16" s="3">
        <f>Korea!AA132/Korea!F132</f>
        <v>1.414345159617542</v>
      </c>
      <c r="S16" s="3">
        <f>Netherlands!AA132/100/Netherlands!F132</f>
        <v>1.8889960782102553</v>
      </c>
      <c r="T16" s="3">
        <f>'New Zealand'!AA132/100/'New Zealand'!F132</f>
        <v>1.4540679347364214</v>
      </c>
      <c r="U16" s="3">
        <f>Norway!AA132/Norway!F132</f>
        <v>2.0567474544553086</v>
      </c>
      <c r="V16" s="3">
        <f>Spain!AA132/100/Spain!F132</f>
        <v>1.4882318964654473</v>
      </c>
      <c r="W16" s="3">
        <f>Sweden!AA132/Sweden!F132</f>
        <v>1.6662719172948952</v>
      </c>
      <c r="X16" s="3">
        <f>Swiss!AA132/Swiss!F132</f>
        <v>1.5994671929924946</v>
      </c>
      <c r="Y16" s="3">
        <f>USA!AA145/100</f>
        <v>0.72114932258312447</v>
      </c>
      <c r="AB16">
        <v>2020</v>
      </c>
      <c r="AC16" s="3">
        <f>(Australia!P132+Australia!S132)/100*Australia!$BC$97/100/Australia!F132</f>
        <v>0.38482843476313838</v>
      </c>
      <c r="AD16" s="3">
        <f>(Austria!P132+Austria!S132)*Austria!$AU$97/100/Austria!F132</f>
        <v>0.80141858962072221</v>
      </c>
      <c r="AE16" s="3">
        <f>(Belgium!P132+Belgium!S132)*Belgium!AU$97/100/Belgium!F132</f>
        <v>1.0120057266540574</v>
      </c>
      <c r="AF16" s="3">
        <f>(Britain!P132+Britain!S132)/100*Britain!AX$97/100/Britain!F132</f>
        <v>1.0170812271631382</v>
      </c>
      <c r="AG16" s="3">
        <f>(Canada!P132+Canada!S132)/100*Canada!AW$97/100/Canada!F132</f>
        <v>0.38699421626660219</v>
      </c>
      <c r="AH16" s="3">
        <f>(China!P132+China!S132)*China!AU$97/100/China!F132</f>
        <v>0.33353672641145715</v>
      </c>
      <c r="AI16" s="3">
        <f>(Denmark!P132+Denmark!S132)*Denmark!AX$97/100/Denmark!F132</f>
        <v>1.078831158644004</v>
      </c>
      <c r="AJ16" s="3">
        <f>(Finland!P132+Finland!S132)*Finland!AU$97/100/Finland!F132</f>
        <v>1.1499961554407834</v>
      </c>
      <c r="AK16" s="3">
        <f>(France!P132+France!S132)*France!AU$97/100/France!F132</f>
        <v>1.0460798884153262</v>
      </c>
      <c r="AL16" s="3">
        <f>(Germany!P132+Germany!S132)*Germany!AU$97/100/Germany!F132</f>
        <v>1.0420218902590861</v>
      </c>
      <c r="AM16" s="3">
        <f>(Greece!P132+Greece!S132)*Greece!AR$97/100/Greece!F132</f>
        <v>1.2182266832515933</v>
      </c>
      <c r="AN16" s="3">
        <f>(Hungary!P132)*Hungary!AR$97/100/Hungary!F132</f>
        <v>0.82667598634553208</v>
      </c>
      <c r="AO16" s="3">
        <f>(India!P132+India!S132)*India!AN$97/100/India!F132</f>
        <v>0.54669174449990332</v>
      </c>
      <c r="AP16" s="3">
        <f>(Ireland!P132+Ireland!R132)*Ireland!AU$97/100/Ireland!F132</f>
        <v>1.0600041719378877</v>
      </c>
      <c r="AQ16" s="3">
        <f>(Italy!P132+Italy!S132)*Italy!AU$97/100/Italy!F132</f>
        <v>1.1784257507275071</v>
      </c>
      <c r="AR16" s="3">
        <f>(Japan!P132+Japan!S132)*Japan!AT$97/100/Japan!F132</f>
        <v>0.60399866881307185</v>
      </c>
      <c r="AS16" s="3">
        <f>(Korea!P132+Korea!S132)*Korea!AT$97/100/Korea!F132</f>
        <v>0.59909181979559012</v>
      </c>
      <c r="AT16" s="3">
        <f>(Netherlands!P132+Netherlands!S132)*Netherlands!AT$97/100/Netherlands!F132</f>
        <v>1.2396752412011474</v>
      </c>
      <c r="AU16" s="3">
        <f>('New Zealand'!P132+'New Zealand'!S132)*'New Zealand'!BB$97/100/'New Zealand'!F132</f>
        <v>0.62517872828147869</v>
      </c>
      <c r="AV16" s="3">
        <f>(Norway!P132+Norway!S132)*Norway!AT$97/100/Norway!F132</f>
        <v>1.1650106410279828</v>
      </c>
      <c r="AW16" s="3">
        <f>(Spain!P132+Spain!S132)*Spain!AU$97/100/Spain!F132</f>
        <v>0.75016753072632869</v>
      </c>
      <c r="AX16" s="3">
        <f>(Sweden!P132+Sweden!S132)*Sweden!AW$97/100/Sweden!F132</f>
        <v>1.0491922620799725</v>
      </c>
      <c r="AY16" s="3">
        <f>(Swiss!P132+Swiss!S132)*Swiss!AT$97/100/Swiss!F132</f>
        <v>0.88595867444655585</v>
      </c>
      <c r="AZ16" s="3">
        <f>USA!P145/100*USA!AU$105/100</f>
        <v>0.11696695110030909</v>
      </c>
    </row>
    <row r="17" spans="1:52">
      <c r="A17">
        <v>2021</v>
      </c>
      <c r="B17" s="3">
        <f>Australia!AA133/Australia!F133</f>
        <v>1.0602146893366187</v>
      </c>
      <c r="C17" s="3">
        <f>Austria!AA133/Austria!F133</f>
        <v>1.5066302797808893</v>
      </c>
      <c r="D17" s="3">
        <f>Belgium!AA133/Belgium!F133</f>
        <v>1.7850440153234015</v>
      </c>
      <c r="E17" s="3">
        <f>Britain!AA133/100/Britain!F133</f>
        <v>1.6590053289386402</v>
      </c>
      <c r="F17" s="3">
        <f>Canada!AA133/100/Canada!F133</f>
        <v>0.96511485496085925</v>
      </c>
      <c r="G17" s="3">
        <f>China!AA133/China!F133</f>
        <v>0.87009105252013164</v>
      </c>
      <c r="H17" s="3">
        <f>Denmark!AA133/Denmark!F133</f>
        <v>1.8641909732406274</v>
      </c>
      <c r="I17" s="3">
        <f>Finland!AA133/100/Finland!F133</f>
        <v>1.8262960489966407</v>
      </c>
      <c r="J17" s="3">
        <f>France!AA133/100/France!F133</f>
        <v>1.7372531387890138</v>
      </c>
      <c r="K17" s="3">
        <f>Germany!AA133/100/Germany!F133</f>
        <v>1.7387834583404702</v>
      </c>
      <c r="L17" s="3">
        <f>Greece!AA133/Greece!F133</f>
        <v>1.9178073289588891</v>
      </c>
      <c r="M17" s="3">
        <f>Hungary!AA133/Hungary!F133</f>
        <v>1.4194459746542223</v>
      </c>
      <c r="N17" s="3">
        <f>India!AA133/India!F133</f>
        <v>1.123805890102161</v>
      </c>
      <c r="O17" s="3">
        <f>Ireland!AA133/Ireland!F133</f>
        <v>1.6920610297336054</v>
      </c>
      <c r="P17" s="3">
        <f>Italy!AA133/100/Italy!F133</f>
        <v>1.9108832646590734</v>
      </c>
      <c r="Q17" s="3">
        <f>Japan!AA133/Japan!F133</f>
        <v>1.3464213191851711</v>
      </c>
      <c r="R17" s="3">
        <f>Korea!AA133/Korea!F133</f>
        <v>1.4683402941073873</v>
      </c>
      <c r="S17" s="3">
        <f>Netherlands!AA133/100/Netherlands!F133</f>
        <v>1.9443037641851695</v>
      </c>
      <c r="T17" s="3">
        <f>'New Zealand'!AA133/100/'New Zealand'!F133</f>
        <v>1.5164358585204598</v>
      </c>
      <c r="U17" s="3">
        <f>Norway!AA133/Norway!F133</f>
        <v>2.124468380730093</v>
      </c>
      <c r="V17" s="3">
        <f>Spain!AA133/100/Spain!F133</f>
        <v>1.5393096684947074</v>
      </c>
      <c r="W17" s="3">
        <f>Sweden!AA133/Sweden!F133</f>
        <v>1.7200815175010231</v>
      </c>
      <c r="X17" s="3">
        <f>Swiss!AA133/Swiss!F133</f>
        <v>1.6484591390929801</v>
      </c>
      <c r="Y17" s="3">
        <f>USA!AA146/100</f>
        <v>0.79111080652213606</v>
      </c>
      <c r="AB17">
        <v>2021</v>
      </c>
      <c r="AC17" s="3">
        <f>(Australia!P133+Australia!S133)/100*Australia!$BC$97/100/Australia!F133</f>
        <v>0.38912160861078465</v>
      </c>
      <c r="AD17" s="3">
        <f>(Austria!P133+Austria!S133)*Austria!$AU$97/100/Austria!F133</f>
        <v>0.81026977980880266</v>
      </c>
      <c r="AE17" s="3">
        <f>(Belgium!P133+Belgium!S133)*Belgium!AU$97/100/Belgium!F133</f>
        <v>1.023026085457462</v>
      </c>
      <c r="AF17" s="3">
        <f>(Britain!P133+Britain!S133)/100*Britain!AX$97/100/Britain!F133</f>
        <v>1.0261774728912392</v>
      </c>
      <c r="AG17" s="3">
        <f>(Canada!P133+Canada!S133)/100*Canada!AW$97/100/Canada!F133</f>
        <v>0.3930436154984458</v>
      </c>
      <c r="AH17" s="3">
        <f>(China!P133+China!S133)*China!AU$97/100/China!F133</f>
        <v>0.34200759328989472</v>
      </c>
      <c r="AI17" s="3">
        <f>(Denmark!P133+Denmark!S133)*Denmark!AX$97/100/Denmark!F133</f>
        <v>1.0906315124414432</v>
      </c>
      <c r="AJ17" s="3">
        <f>(Finland!P133+Finland!S133)*Finland!AU$97/100/Finland!F133</f>
        <v>1.1605532207698011</v>
      </c>
      <c r="AK17" s="3">
        <f>(France!P133+France!S133)*France!AU$97/100/France!F133</f>
        <v>1.0552034426984009</v>
      </c>
      <c r="AL17" s="3">
        <f>(Germany!P133+Germany!S133)*Germany!AU$97/100/Germany!F133</f>
        <v>1.0505686841301276</v>
      </c>
      <c r="AM17" s="3">
        <f>(Greece!P133+Greece!S133)*Greece!AR$97/100/Greece!F133</f>
        <v>1.2280716119776025</v>
      </c>
      <c r="AN17" s="3">
        <f>(Hungary!P133)*Hungary!AR$97/100/Hungary!F133</f>
        <v>0.82667598634553208</v>
      </c>
      <c r="AO17" s="3">
        <f>(India!P133+India!S133)*India!AN$97/100/India!F133</f>
        <v>0.55972227203816594</v>
      </c>
      <c r="AP17" s="3">
        <f>(Ireland!P133+Ireland!R133)*Ireland!AU$97/100/Ireland!F133</f>
        <v>1.082630004410573</v>
      </c>
      <c r="AQ17" s="3">
        <f>(Italy!P133+Italy!S133)*Italy!AU$97/100/Italy!F133</f>
        <v>1.1891330705469043</v>
      </c>
      <c r="AR17" s="3">
        <f>(Japan!P133+Japan!S133)*Japan!AT$97/100/Japan!F133</f>
        <v>0.60836179966379489</v>
      </c>
      <c r="AS17" s="3">
        <f>(Korea!P133+Korea!S133)*Korea!AT$97/100/Korea!F133</f>
        <v>0.60400046838557608</v>
      </c>
      <c r="AT17" s="3">
        <f>(Netherlands!P133+Netherlands!S133)*Netherlands!AT$97/100/Netherlands!F133</f>
        <v>1.2492740957918345</v>
      </c>
      <c r="AU17" s="3">
        <f>('New Zealand'!P133+'New Zealand'!S133)*'New Zealand'!BB$97/100/'New Zealand'!F133</f>
        <v>0.6333136748620054</v>
      </c>
      <c r="AV17" s="3">
        <f>(Norway!P133+Norway!S133)*Norway!AT$97/100/Norway!F133</f>
        <v>1.1785548262829397</v>
      </c>
      <c r="AW17" s="3">
        <f>(Spain!P133+Spain!S133)*Spain!AU$97/100/Spain!F133</f>
        <v>0.75903226802066304</v>
      </c>
      <c r="AX17" s="3">
        <f>(Sweden!P133+Sweden!S133)*Sweden!AW$97/100/Sweden!F133</f>
        <v>1.059954182121198</v>
      </c>
      <c r="AY17" s="3">
        <f>(Swiss!P133+Swiss!S133)*Swiss!AT$97/100/Swiss!F133</f>
        <v>0.88946134840174373</v>
      </c>
      <c r="AZ17" s="3">
        <f>USA!P146/100*USA!AU$105/100</f>
        <v>0.11696695110030909</v>
      </c>
    </row>
    <row r="18" spans="1:52">
      <c r="A18">
        <v>2022</v>
      </c>
      <c r="B18" s="3">
        <f>Australia!AA134/Australia!F134</f>
        <v>1.0953768837589959</v>
      </c>
      <c r="C18" s="3">
        <f>Austria!AA134/Austria!F134</f>
        <v>1.546172198011684</v>
      </c>
      <c r="D18" s="3">
        <f>Belgium!AA134/Belgium!F134</f>
        <v>1.8323228344620492</v>
      </c>
      <c r="E18" s="3">
        <f>Britain!AA134/100/Britain!F134</f>
        <v>1.6996420113671984</v>
      </c>
      <c r="F18" s="3">
        <f>Canada!AA134/100/Canada!F134</f>
        <v>0.99611430562573622</v>
      </c>
      <c r="G18" s="3">
        <f>China!AA134/China!F134</f>
        <v>0.91581783818244999</v>
      </c>
      <c r="H18" s="3">
        <f>Denmark!AA134/Denmark!F134</f>
        <v>1.9081218472283568</v>
      </c>
      <c r="I18" s="3">
        <f>Finland!AA134/100/Finland!F134</f>
        <v>1.8669084310571649</v>
      </c>
      <c r="J18" s="3">
        <f>France!AA134/100/France!F134</f>
        <v>1.7780118197990988</v>
      </c>
      <c r="K18" s="3">
        <f>Germany!AA134/100/Germany!F134</f>
        <v>1.7786401641452403</v>
      </c>
      <c r="L18" s="3">
        <f>Greece!AA134/Greece!F134</f>
        <v>1.955680165236632</v>
      </c>
      <c r="M18" s="3">
        <f>Hungary!AA134/Hungary!F134</f>
        <v>1.4592293563924155</v>
      </c>
      <c r="N18" s="3">
        <f>India!AA134/India!F134</f>
        <v>1.1694418054466289</v>
      </c>
      <c r="O18" s="3">
        <f>Ireland!AA134/Ireland!F134</f>
        <v>1.7316780209631348</v>
      </c>
      <c r="P18" s="3">
        <f>Italy!AA134/100/Italy!F134</f>
        <v>1.955093490700839</v>
      </c>
      <c r="Q18" s="3">
        <f>Japan!AA134/Japan!F134</f>
        <v>1.3902781067180201</v>
      </c>
      <c r="R18" s="3">
        <f>Korea!AA134/Korea!F134</f>
        <v>1.5085433844543668</v>
      </c>
      <c r="S18" s="3">
        <f>Netherlands!AA134/100/Netherlands!F134</f>
        <v>1.98548413936416</v>
      </c>
      <c r="T18" s="3">
        <f>'New Zealand'!AA134/100/'New Zealand'!F134</f>
        <v>1.5628730662121049</v>
      </c>
      <c r="U18" s="3">
        <f>Norway!AA134/Norway!F134</f>
        <v>2.1748912668499223</v>
      </c>
      <c r="V18" s="3">
        <f>Spain!AA134/100/Spain!F134</f>
        <v>1.5773405818911905</v>
      </c>
      <c r="W18" s="3">
        <f>Sweden!AA134/Sweden!F134</f>
        <v>1.7601464648163905</v>
      </c>
      <c r="X18" s="3">
        <f>Swiss!AA134/Swiss!F134</f>
        <v>1.6849370116635658</v>
      </c>
      <c r="Y18" s="3">
        <f>USA!AA147/100</f>
        <v>0.84370099288773148</v>
      </c>
      <c r="AB18">
        <v>2022</v>
      </c>
      <c r="AC18" s="3">
        <f>(Australia!P134+Australia!S134)/100*Australia!$BC$97/100/Australia!F134</f>
        <v>0.3923181717400917</v>
      </c>
      <c r="AD18" s="3">
        <f>(Austria!P134+Austria!S134)*Austria!$AU$97/100/Austria!F134</f>
        <v>0.81686009951393512</v>
      </c>
      <c r="AE18" s="3">
        <f>(Belgium!P134+Belgium!S134)*Belgium!AU$97/100/Belgium!F134</f>
        <v>1.0312315003492933</v>
      </c>
      <c r="AF18" s="3">
        <f>(Britain!P134+Britain!S134)/100*Britain!AX$97/100/Britain!F134</f>
        <v>1.0329502532959991</v>
      </c>
      <c r="AG18" s="3">
        <f>(Canada!P134+Canada!S134)/100*Canada!AW$97/100/Canada!F134</f>
        <v>0.39754780918479543</v>
      </c>
      <c r="AH18" s="3">
        <f>(China!P134+China!S134)*China!AU$97/100/China!F134</f>
        <v>0.34831473613986969</v>
      </c>
      <c r="AI18" s="3">
        <f>(Denmark!P134+Denmark!S134)*Denmark!AX$97/100/Denmark!F134</f>
        <v>1.0994176872389891</v>
      </c>
      <c r="AJ18" s="3">
        <f>(Finland!P134+Finland!S134)*Finland!AU$97/100/Finland!F134</f>
        <v>1.1684136818137736</v>
      </c>
      <c r="AK18" s="3">
        <f>(France!P134+France!S134)*France!AU$97/100/France!F134</f>
        <v>1.0619965562000819</v>
      </c>
      <c r="AL18" s="3">
        <f>(Germany!P134+Germany!S134)*Germany!AU$97/100/Germany!F134</f>
        <v>1.0569323598468556</v>
      </c>
      <c r="AM18" s="3">
        <f>(Greece!P134+Greece!S134)*Greece!AR$97/100/Greece!F134</f>
        <v>1.2354018383539402</v>
      </c>
      <c r="AN18" s="3">
        <f>(Hungary!P134)*Hungary!AR$97/100/Hungary!F134</f>
        <v>0.82667598634553208</v>
      </c>
      <c r="AO18" s="3">
        <f>(India!P134+India!S134)*India!AN$97/100/India!F134</f>
        <v>0.56942439577281667</v>
      </c>
      <c r="AP18" s="3">
        <f>(Ireland!P134+Ireland!R134)*Ireland!AU$97/100/Ireland!F134</f>
        <v>1.0926859299539886</v>
      </c>
      <c r="AQ18" s="3">
        <f>(Italy!P134+Italy!S134)*Italy!AU$97/100/Italy!F134</f>
        <v>1.1971054063905016</v>
      </c>
      <c r="AR18" s="3">
        <f>(Japan!P134+Japan!S134)*Japan!AT$97/100/Japan!F134</f>
        <v>0.61161045059215413</v>
      </c>
      <c r="AS18" s="3">
        <f>(Korea!P134+Korea!S134)*Korea!AT$97/100/Korea!F134</f>
        <v>0.60765529478075608</v>
      </c>
      <c r="AT18" s="3">
        <f>(Netherlands!P134+Netherlands!S134)*Netherlands!AT$97/100/Netherlands!F134</f>
        <v>1.256421103054304</v>
      </c>
      <c r="AU18" s="3">
        <f>('New Zealand'!P134+'New Zealand'!S134)*'New Zealand'!BB$97/100/'New Zealand'!F134</f>
        <v>0.63937070195222001</v>
      </c>
      <c r="AV18" s="3">
        <f>(Norway!P134+Norway!S134)*Norway!AT$97/100/Norway!F134</f>
        <v>1.1886394035069054</v>
      </c>
      <c r="AW18" s="3">
        <f>(Spain!P134+Spain!S134)*Spain!AU$97/100/Spain!F134</f>
        <v>0.76563267447790406</v>
      </c>
      <c r="AX18" s="3">
        <f>(Sweden!P134+Sweden!S134)*Sweden!AW$97/100/Sweden!F134</f>
        <v>1.0679671715842716</v>
      </c>
      <c r="AY18" s="3">
        <f>(Swiss!P134+Swiss!S134)*Swiss!AT$97/100/Swiss!F134</f>
        <v>0.8920693300061403</v>
      </c>
      <c r="AZ18" s="3">
        <f>USA!P147/100*USA!AU$105/100</f>
        <v>0.11696695110030909</v>
      </c>
    </row>
    <row r="19" spans="1:52">
      <c r="A19">
        <v>2023</v>
      </c>
      <c r="B19" s="3">
        <f>Australia!AA135/Australia!F135</f>
        <v>1.1115573396763723</v>
      </c>
      <c r="C19" s="3">
        <f>Austria!AA135/Austria!F135</f>
        <v>1.564368055105708</v>
      </c>
      <c r="D19" s="3">
        <f>Belgium!AA135/Belgium!F135</f>
        <v>1.8540789524025052</v>
      </c>
      <c r="E19" s="3">
        <f>Britain!AA135/100/Britain!F135</f>
        <v>1.7183416420206612</v>
      </c>
      <c r="F19" s="3">
        <f>Canada!AA135/100/Canada!F135</f>
        <v>1.0103792072675606</v>
      </c>
      <c r="G19" s="3">
        <f>China!AA135/China!F135</f>
        <v>0.93685976266431936</v>
      </c>
      <c r="H19" s="3">
        <f>Denmark!AA135/Denmark!F135</f>
        <v>1.9283373537303599</v>
      </c>
      <c r="I19" s="3">
        <f>Finland!AA135/100/Finland!F135</f>
        <v>1.8855968795008642</v>
      </c>
      <c r="J19" s="3">
        <f>France!AA135/100/France!F135</f>
        <v>1.7967675900849935</v>
      </c>
      <c r="K19" s="3">
        <f>Germany!AA135/100/Germany!F135</f>
        <v>1.7969808758636052</v>
      </c>
      <c r="L19" s="3">
        <f>Greece!AA135/Greece!F135</f>
        <v>1.9731079671109091</v>
      </c>
      <c r="M19" s="3">
        <f>Hungary!AA135/Hungary!F135</f>
        <v>1.477536326848427</v>
      </c>
      <c r="N19" s="3">
        <f>India!AA135/India!F135</f>
        <v>1.1904419144731109</v>
      </c>
      <c r="O19" s="3">
        <f>Ireland!AA135/Ireland!F135</f>
        <v>1.7499084241191036</v>
      </c>
      <c r="P19" s="3">
        <f>Italy!AA135/100/Italy!F135</f>
        <v>1.975437545596082</v>
      </c>
      <c r="Q19" s="3">
        <f>Japan!AA135/Japan!F135</f>
        <v>1.4104595211322866</v>
      </c>
      <c r="R19" s="3">
        <f>Korea!AA135/Korea!F135</f>
        <v>1.5270434906561463</v>
      </c>
      <c r="S19" s="3">
        <f>Netherlands!AA135/100/Netherlands!F135</f>
        <v>2.0044339590836207</v>
      </c>
      <c r="T19" s="3">
        <f>'New Zealand'!AA135/100/'New Zealand'!F135</f>
        <v>1.5842419029506485</v>
      </c>
      <c r="U19" s="3">
        <f>Norway!AA135/Norway!F135</f>
        <v>2.1980941783715529</v>
      </c>
      <c r="V19" s="3">
        <f>Spain!AA135/100/Spain!F135</f>
        <v>1.5948411255238637</v>
      </c>
      <c r="W19" s="3">
        <f>Sweden!AA135/Sweden!F135</f>
        <v>1.7785830022543312</v>
      </c>
      <c r="X19" s="3">
        <f>Swiss!AA135/Swiss!F135</f>
        <v>1.7017228982893562</v>
      </c>
      <c r="Y19" s="3">
        <f>USA!AA148/100</f>
        <v>0.87698731713498301</v>
      </c>
      <c r="AB19">
        <v>2023</v>
      </c>
      <c r="AC19" s="3">
        <f>(Australia!P135+Australia!S135)/100*Australia!$BC$97/100/Australia!F135</f>
        <v>0.39378912227803492</v>
      </c>
      <c r="AD19" s="3">
        <f>(Austria!P135+Austria!S135)*Austria!$AU$97/100/Austria!F135</f>
        <v>0.81989274236293896</v>
      </c>
      <c r="AE19" s="3">
        <f>(Belgium!P135+Belgium!S135)*Belgium!AU$97/100/Belgium!F135</f>
        <v>1.035007355529042</v>
      </c>
      <c r="AF19" s="3">
        <f>(Britain!P135+Britain!S135)/100*Britain!AX$97/100/Britain!F135</f>
        <v>1.0360668584049098</v>
      </c>
      <c r="AG19" s="3">
        <f>(Canada!P135+Canada!S135)/100*Canada!AW$97/100/Canada!F135</f>
        <v>0.39962048720112897</v>
      </c>
      <c r="AH19" s="3">
        <f>(China!P135+China!S135)*China!AU$97/100/China!F135</f>
        <v>0.35121707055116197</v>
      </c>
      <c r="AI19" s="3">
        <f>(Denmark!P135+Denmark!S135)*Denmark!AX$97/100/Denmark!F135</f>
        <v>1.1034607885393897</v>
      </c>
      <c r="AJ19" s="3">
        <f>(Finland!P135+Finland!S135)*Finland!AU$97/100/Finland!F135</f>
        <v>1.172030800867393</v>
      </c>
      <c r="AK19" s="3">
        <f>(France!P135+France!S135)*France!AU$97/100/France!F135</f>
        <v>1.0651225179143979</v>
      </c>
      <c r="AL19" s="3">
        <f>(Germany!P135+Germany!S135)*Germany!AU$97/100/Germany!F135</f>
        <v>1.0598607087766785</v>
      </c>
      <c r="AM19" s="3">
        <f>(Greece!P135+Greece!S135)*Greece!AR$97/100/Greece!F135</f>
        <v>1.2387749612973487</v>
      </c>
      <c r="AN19" s="3">
        <f>(Hungary!P135)*Hungary!AR$97/100/Hungary!F135</f>
        <v>0.82667598634553208</v>
      </c>
      <c r="AO19" s="3">
        <f>(India!P135+India!S135)*India!AN$97/100/India!F135</f>
        <v>0.57388898588080883</v>
      </c>
      <c r="AP19" s="3">
        <f>(Ireland!P135+Ireland!R135)*Ireland!AU$97/100/Ireland!F135</f>
        <v>1.1002278741115505</v>
      </c>
      <c r="AQ19" s="3">
        <f>(Italy!P135+Italy!S135)*Italy!AU$97/100/Italy!F135</f>
        <v>1.2007740064535783</v>
      </c>
      <c r="AR19" s="3">
        <f>(Japan!P135+Japan!S135)*Japan!AT$97/100/Japan!F135</f>
        <v>0.61310537017839606</v>
      </c>
      <c r="AS19" s="3">
        <f>(Korea!P135+Korea!S135)*Korea!AT$97/100/Korea!F135</f>
        <v>0.60933712261728146</v>
      </c>
      <c r="AT19" s="3">
        <f>(Netherlands!P135+Netherlands!S135)*Netherlands!AT$97/100/Netherlands!F135</f>
        <v>1.2597099147411526</v>
      </c>
      <c r="AU19" s="3">
        <f>('New Zealand'!P135+'New Zealand'!S135)*'New Zealand'!BB$97/100/'New Zealand'!F135</f>
        <v>0.6421579415268126</v>
      </c>
      <c r="AV19" s="3">
        <f>(Norway!P135+Norway!S135)*Norway!AT$97/100/Norway!F135</f>
        <v>1.1932799858112317</v>
      </c>
      <c r="AW19" s="3">
        <f>(Spain!P135+Spain!S135)*Spain!AU$97/100/Spain!F135</f>
        <v>0.76866995891002077</v>
      </c>
      <c r="AX19" s="3">
        <f>(Sweden!P135+Sweden!S135)*Sweden!AW$97/100/Sweden!F135</f>
        <v>1.0716544790718598</v>
      </c>
      <c r="AY19" s="3">
        <f>(Swiss!P135+Swiss!S135)*Swiss!AT$97/100/Swiss!F135</f>
        <v>0.89326943517808632</v>
      </c>
      <c r="AZ19" s="3">
        <f>USA!P148/100*USA!AU$105/100</f>
        <v>0.11696695110030909</v>
      </c>
    </row>
    <row r="20" spans="1:52">
      <c r="A20">
        <v>2024</v>
      </c>
      <c r="B20" s="3">
        <f>Australia!AA136/Australia!F136</f>
        <v>1.1158352498211876</v>
      </c>
      <c r="C20" s="3">
        <f>Austria!AA136/Austria!F136</f>
        <v>1.5691788121111729</v>
      </c>
      <c r="D20" s="3">
        <f>Belgium!AA136/Belgium!F136</f>
        <v>1.8598309978408123</v>
      </c>
      <c r="E20" s="3">
        <f>Britain!AA136/100/Britain!F136</f>
        <v>1.7232855904535875</v>
      </c>
      <c r="F20" s="3">
        <f>Canada!AA136/100/Canada!F136</f>
        <v>1.0141506688234008</v>
      </c>
      <c r="G20" s="3">
        <f>China!AA136/China!F136</f>
        <v>0.94242298428595228</v>
      </c>
      <c r="H20" s="3">
        <f>Denmark!AA136/Denmark!F136</f>
        <v>1.9336820807756983</v>
      </c>
      <c r="I20" s="3">
        <f>Finland!AA136/100/Finland!F136</f>
        <v>1.890537871497407</v>
      </c>
      <c r="J20" s="3">
        <f>France!AA136/100/France!F136</f>
        <v>1.8017263811344901</v>
      </c>
      <c r="K20" s="3">
        <f>Germany!AA136/100/Germany!F136</f>
        <v>1.801829930619774</v>
      </c>
      <c r="L20" s="3">
        <f>Greece!AA136/Greece!F136</f>
        <v>1.9777156599238015</v>
      </c>
      <c r="M20" s="3">
        <f>Hungary!AA136/Hungary!F136</f>
        <v>1.4823764608368952</v>
      </c>
      <c r="N20" s="3">
        <f>India!AA136/India!F136</f>
        <v>1.1959940806114047</v>
      </c>
      <c r="O20" s="3">
        <f>Ireland!AA136/Ireland!F136</f>
        <v>1.7547283146712136</v>
      </c>
      <c r="P20" s="3">
        <f>Italy!AA136/100/Italy!F136</f>
        <v>1.9808162592285932</v>
      </c>
      <c r="Q20" s="3">
        <f>Japan!AA136/Japan!F136</f>
        <v>1.4157952346560818</v>
      </c>
      <c r="R20" s="3">
        <f>Korea!AA136/Korea!F136</f>
        <v>1.53193468731988</v>
      </c>
      <c r="S20" s="3">
        <f>Netherlands!AA136/100/Netherlands!F136</f>
        <v>2.0094440543760062</v>
      </c>
      <c r="T20" s="3">
        <f>'New Zealand'!AA136/100/'New Zealand'!F136</f>
        <v>1.5898915560836326</v>
      </c>
      <c r="U20" s="3">
        <f>Norway!AA136/Norway!F136</f>
        <v>2.2042287379349235</v>
      </c>
      <c r="V20" s="3">
        <f>Spain!AA136/100/Spain!F136</f>
        <v>1.5994680503477556</v>
      </c>
      <c r="W20" s="3">
        <f>Sweden!AA136/Sweden!F136</f>
        <v>1.7834573921320809</v>
      </c>
      <c r="X20" s="3">
        <f>Swiss!AA136/Swiss!F136</f>
        <v>1.7061608767402032</v>
      </c>
      <c r="Y20" s="3">
        <f>USA!AA149/100</f>
        <v>0.88822029538929403</v>
      </c>
      <c r="AB20">
        <v>2024</v>
      </c>
      <c r="AC20" s="3">
        <f>(Australia!P136+Australia!S136)/100*Australia!$BC$97/100/Australia!F136</f>
        <v>0.39417802320029094</v>
      </c>
      <c r="AD20" s="3">
        <f>(Austria!P136+Austria!S136)*Austria!$AU$97/100/Austria!F136</f>
        <v>0.82069453519718327</v>
      </c>
      <c r="AE20" s="3">
        <f>(Belgium!P136+Belgium!S136)*Belgium!AU$97/100/Belgium!F136</f>
        <v>1.0360056444067649</v>
      </c>
      <c r="AF20" s="3">
        <f>(Britain!P136+Britain!S136)/100*Britain!AX$97/100/Britain!F136</f>
        <v>1.0368908498103975</v>
      </c>
      <c r="AG20" s="3">
        <f>(Canada!P136+Canada!S136)/100*Canada!AW$97/100/Canada!F136</f>
        <v>0.40016847734172106</v>
      </c>
      <c r="AH20" s="3">
        <f>(China!P136+China!S136)*China!AU$97/100/China!F136</f>
        <v>0.35198441146449067</v>
      </c>
      <c r="AI20" s="3">
        <f>(Denmark!P136+Denmark!S136)*Denmark!AX$97/100/Denmark!F136</f>
        <v>1.1045297339484574</v>
      </c>
      <c r="AJ20" s="3">
        <f>(Finland!P136+Finland!S136)*Finland!AU$97/100/Finland!F136</f>
        <v>1.1729871218989816</v>
      </c>
      <c r="AK20" s="3">
        <f>(France!P136+France!S136)*France!AU$97/100/France!F136</f>
        <v>1.0659489830893139</v>
      </c>
      <c r="AL20" s="3">
        <f>(Germany!P136+Germany!S136)*Germany!AU$97/100/Germany!F136</f>
        <v>1.0606349276032936</v>
      </c>
      <c r="AM20" s="3">
        <f>(Greece!P136+Greece!S136)*Greece!AR$97/100/Greece!F136</f>
        <v>1.2396667728095212</v>
      </c>
      <c r="AN20" s="3">
        <f>(Hungary!P136)*Hungary!AR$97/100/Hungary!F136</f>
        <v>0.82667598634553208</v>
      </c>
      <c r="AO20" s="3">
        <f>(India!P136+India!S136)*India!AN$97/100/India!F136</f>
        <v>0.57506936765824146</v>
      </c>
      <c r="AP20" s="3">
        <f>(Ireland!P136+Ireland!R136)*Ireland!AU$97/100/Ireland!F136</f>
        <v>1.1065128275761855</v>
      </c>
      <c r="AQ20" s="3">
        <f>(Italy!P136+Italy!S136)*Italy!AU$97/100/Italy!F136</f>
        <v>1.2017439384200967</v>
      </c>
      <c r="AR20" s="3">
        <f>(Japan!P136+Japan!S136)*Japan!AT$97/100/Japan!F136</f>
        <v>0.61350060821719565</v>
      </c>
      <c r="AS20" s="3">
        <f>(Korea!P136+Korea!S136)*Korea!AT$97/100/Korea!F136</f>
        <v>0.60978177685943902</v>
      </c>
      <c r="AT20" s="3">
        <f>(Netherlands!P136+Netherlands!S136)*Netherlands!AT$97/100/Netherlands!F136</f>
        <v>1.2605794354117321</v>
      </c>
      <c r="AU20" s="3">
        <f>('New Zealand'!P136+'New Zealand'!S136)*'New Zealand'!BB$97/100/'New Zealand'!F136</f>
        <v>0.64289485280502801</v>
      </c>
      <c r="AV20" s="3">
        <f>(Norway!P136+Norway!S136)*Norway!AT$97/100/Norway!F136</f>
        <v>1.1945068977239057</v>
      </c>
      <c r="AW20" s="3">
        <f>(Spain!P136+Spain!S136)*Spain!AU$97/100/Spain!F136</f>
        <v>0.76947297892077893</v>
      </c>
      <c r="AX20" s="3">
        <f>(Sweden!P136+Sweden!S136)*Sweden!AW$97/100/Sweden!F136</f>
        <v>1.0726293570474095</v>
      </c>
      <c r="AY20" s="3">
        <f>(Swiss!P136+Swiss!S136)*Swiss!AT$97/100/Swiss!F136</f>
        <v>0.89358672797355077</v>
      </c>
      <c r="AZ20" s="3">
        <f>USA!P149/100*USA!AU$105/100</f>
        <v>0.11696695110030909</v>
      </c>
    </row>
    <row r="21" spans="1:52">
      <c r="A21">
        <v>2025</v>
      </c>
      <c r="B21" s="3">
        <f>Australia!AA137/Australia!F137</f>
        <v>1.1382190845734002</v>
      </c>
      <c r="C21" s="3">
        <f>Austria!AA137/Austria!F137</f>
        <v>1.5943507269476467</v>
      </c>
      <c r="D21" s="3">
        <f>Belgium!AA137/Belgium!F137</f>
        <v>1.8899281317729812</v>
      </c>
      <c r="E21" s="3">
        <f>Britain!AA137/100/Britain!F137</f>
        <v>1.749154419157297</v>
      </c>
      <c r="F21" s="3">
        <f>Canada!AA137/100/Canada!F137</f>
        <v>1.0338845504110183</v>
      </c>
      <c r="G21" s="3">
        <f>China!AA137/China!F137</f>
        <v>0.97153211216688473</v>
      </c>
      <c r="H21" s="3">
        <f>Denmark!AA137/Denmark!F137</f>
        <v>1.9616479526450545</v>
      </c>
      <c r="I21" s="3">
        <f>Finland!AA137/100/Finland!F137</f>
        <v>1.9163912308758519</v>
      </c>
      <c r="J21" s="3">
        <f>France!AA137/100/France!F137</f>
        <v>1.8276728726841553</v>
      </c>
      <c r="K21" s="3">
        <f>Germany!AA137/100/Germany!F137</f>
        <v>1.8272022354817754</v>
      </c>
      <c r="L21" s="3">
        <f>Greece!AA137/Greece!F137</f>
        <v>2.0018250570409246</v>
      </c>
      <c r="M21" s="3">
        <f>Hungary!AA137/Hungary!F137</f>
        <v>1.5077020884702261</v>
      </c>
      <c r="N21" s="3">
        <f>India!AA137/India!F137</f>
        <v>1.2250453615287997</v>
      </c>
      <c r="O21" s="3">
        <f>Ireland!AA137/Ireland!F137</f>
        <v>1.7799480200857682</v>
      </c>
      <c r="P21" s="3">
        <f>Italy!AA137/100/Italy!F137</f>
        <v>2.0089599632929525</v>
      </c>
      <c r="Q21" s="3">
        <f>Japan!AA137/Japan!F137</f>
        <v>1.4437139439694415</v>
      </c>
      <c r="R21" s="3">
        <f>Korea!AA137/Korea!F137</f>
        <v>1.5575274964615748</v>
      </c>
      <c r="S21" s="3">
        <f>Netherlands!AA137/100/Netherlands!F137</f>
        <v>2.0356589914179906</v>
      </c>
      <c r="T21" s="3">
        <f>'New Zealand'!AA137/100/'New Zealand'!F137</f>
        <v>1.6194529301787166</v>
      </c>
      <c r="U21" s="3">
        <f>Norway!AA137/Norway!F137</f>
        <v>2.2363273475119643</v>
      </c>
      <c r="V21" s="3">
        <f>Spain!AA137/100/Spain!F137</f>
        <v>1.62367807747851</v>
      </c>
      <c r="W21" s="3">
        <f>Sweden!AA137/Sweden!F137</f>
        <v>1.808962261062917</v>
      </c>
      <c r="X21" s="3">
        <f>Swiss!AA137/Swiss!F137</f>
        <v>1.7293822565529666</v>
      </c>
      <c r="Y21" s="3">
        <f>USA!AA150/100</f>
        <v>0.92500821990198634</v>
      </c>
      <c r="AB21">
        <v>2025</v>
      </c>
      <c r="AC21" s="3">
        <f>(Australia!P137+Australia!S137)/100*Australia!$BC$97/100/Australia!F137</f>
        <v>0.39621291726867391</v>
      </c>
      <c r="AD21" s="3">
        <f>(Austria!P137+Austria!S137)*Austria!$AU$97/100/Austria!F137</f>
        <v>0.82488985433659534</v>
      </c>
      <c r="AE21" s="3">
        <f>(Belgium!P137+Belgium!S137)*Belgium!AU$97/100/Belgium!F137</f>
        <v>1.0412291139321825</v>
      </c>
      <c r="AF21" s="3">
        <f>(Britain!P137+Britain!S137)/100*Britain!AX$97/100/Britain!F137</f>
        <v>1.0412023212610155</v>
      </c>
      <c r="AG21" s="3">
        <f>(Canada!P137+Canada!S137)/100*Canada!AW$97/100/Canada!F137</f>
        <v>0.40303579346983642</v>
      </c>
      <c r="AH21" s="3">
        <f>(China!P137+China!S137)*China!AU$97/100/China!F137</f>
        <v>0.35599946358599854</v>
      </c>
      <c r="AI21" s="3">
        <f>(Denmark!P137+Denmark!S137)*Denmark!AX$97/100/Denmark!F137</f>
        <v>1.1101229083223285</v>
      </c>
      <c r="AJ21" s="3">
        <f>(Finland!P137+Finland!S137)*Finland!AU$97/100/Finland!F137</f>
        <v>1.1779909979077132</v>
      </c>
      <c r="AK21" s="3">
        <f>(France!P137+France!S137)*France!AU$97/100/France!F137</f>
        <v>1.0702733983475914</v>
      </c>
      <c r="AL21" s="3">
        <f>(Germany!P137+Germany!S137)*Germany!AU$97/100/Germany!F137</f>
        <v>1.0646859678753777</v>
      </c>
      <c r="AM21" s="3">
        <f>(Greece!P137+Greece!S137)*Greece!AR$97/100/Greece!F137</f>
        <v>1.2443331077354161</v>
      </c>
      <c r="AN21" s="3">
        <f>(Hungary!P137)*Hungary!AR$97/100/Hungary!F137</f>
        <v>0.82667598634553208</v>
      </c>
      <c r="AO21" s="3">
        <f>(India!P137+India!S137)*India!AN$97/100/India!F137</f>
        <v>0.58124562423123083</v>
      </c>
      <c r="AP21" s="3">
        <f>(Ireland!P137+Ireland!R137)*Ireland!AU$97/100/Ireland!F137</f>
        <v>1.1127977810408205</v>
      </c>
      <c r="AQ21" s="3">
        <f>(Italy!P137+Italy!S137)*Italy!AU$97/100/Italy!F137</f>
        <v>1.2068190325956369</v>
      </c>
      <c r="AR21" s="3">
        <f>(Japan!P137+Japan!S137)*Japan!AT$97/100/Japan!F137</f>
        <v>0.61556866075892613</v>
      </c>
      <c r="AS21" s="3">
        <f>(Korea!P137+Korea!S137)*Korea!AT$97/100/Korea!F137</f>
        <v>0.61210839587232047</v>
      </c>
      <c r="AT21" s="3">
        <f>(Netherlands!P137+Netherlands!S137)*Netherlands!AT$97/100/Netherlands!F137</f>
        <v>1.265129135228936</v>
      </c>
      <c r="AU21" s="3">
        <f>('New Zealand'!P137+'New Zealand'!S137)*'New Zealand'!BB$97/100/'New Zealand'!F137</f>
        <v>0.64675068420873449</v>
      </c>
      <c r="AV21" s="3">
        <f>(Norway!P137+Norway!S137)*Norway!AT$97/100/Norway!F137</f>
        <v>1.200926619639314</v>
      </c>
      <c r="AW21" s="3">
        <f>(Spain!P137+Spain!S137)*Spain!AU$97/100/Spain!F137</f>
        <v>0.77367471916661235</v>
      </c>
      <c r="AX21" s="3">
        <f>(Sweden!P137+Sweden!S137)*Sweden!AW$97/100/Sweden!F137</f>
        <v>1.0777303308335768</v>
      </c>
      <c r="AY21" s="3">
        <f>(Swiss!P137+Swiss!S137)*Swiss!AT$97/100/Swiss!F137</f>
        <v>0.89524693804372979</v>
      </c>
      <c r="AZ21" s="3">
        <f>USA!P150/100*USA!AU$105/100</f>
        <v>0.11696695110030909</v>
      </c>
    </row>
    <row r="22" spans="1:52">
      <c r="A22">
        <v>2026</v>
      </c>
      <c r="B22" s="3">
        <f>Australia!AA138/Australia!F138</f>
        <v>1.1775612822162291</v>
      </c>
      <c r="C22" s="3">
        <f>Austria!AA138/Austria!F138</f>
        <v>1.6385933001933726</v>
      </c>
      <c r="D22" s="3">
        <f>Belgium!AA138/Belgium!F138</f>
        <v>1.9428273514442223</v>
      </c>
      <c r="E22" s="3">
        <f>Britain!AA138/100/Britain!F138</f>
        <v>1.7946218997260228</v>
      </c>
      <c r="F22" s="3">
        <f>Canada!AA138/100/Canada!F138</f>
        <v>1.0685691466062017</v>
      </c>
      <c r="G22" s="3">
        <f>China!AA138/China!F138</f>
        <v>1.0226947960849657</v>
      </c>
      <c r="H22" s="3">
        <f>Denmark!AA138/Denmark!F138</f>
        <v>2.0108012309156376</v>
      </c>
      <c r="I22" s="3">
        <f>Finland!AA138/100/Finland!F138</f>
        <v>1.9618315223030101</v>
      </c>
      <c r="J22" s="3">
        <f>France!AA138/100/France!F138</f>
        <v>1.8732768547535816</v>
      </c>
      <c r="K22" s="3">
        <f>Germany!AA138/100/Germany!F138</f>
        <v>1.8717970175459302</v>
      </c>
      <c r="L22" s="3">
        <f>Greece!AA138/Greece!F138</f>
        <v>2.0442001315950087</v>
      </c>
      <c r="M22" s="3">
        <f>Hungary!AA138/Hungary!F138</f>
        <v>1.5522148298663665</v>
      </c>
      <c r="N22" s="3">
        <f>India!AA138/India!F138</f>
        <v>1.2761063726683906</v>
      </c>
      <c r="O22" s="3">
        <f>Ireland!AA138/Ireland!F138</f>
        <v>1.8242745908408198</v>
      </c>
      <c r="P22" s="3">
        <f>Italy!AA138/100/Italy!F138</f>
        <v>2.0584258023664774</v>
      </c>
      <c r="Q22" s="3">
        <f>Japan!AA138/Japan!F138</f>
        <v>1.4927843285526865</v>
      </c>
      <c r="R22" s="3">
        <f>Korea!AA138/Korea!F138</f>
        <v>1.6025098404894778</v>
      </c>
      <c r="S22" s="3">
        <f>Netherlands!AA138/100/Netherlands!F138</f>
        <v>2.081734797718255</v>
      </c>
      <c r="T22" s="3">
        <f>'New Zealand'!AA138/100/'New Zealand'!F138</f>
        <v>1.6714104895119057</v>
      </c>
      <c r="U22" s="3">
        <f>Norway!AA138/Norway!F138</f>
        <v>2.2927443938321934</v>
      </c>
      <c r="V22" s="3">
        <f>Spain!AA138/100/Spain!F138</f>
        <v>1.6662300210065153</v>
      </c>
      <c r="W22" s="3">
        <f>Sweden!AA138/Sweden!F138</f>
        <v>1.8537900399238285</v>
      </c>
      <c r="X22" s="3">
        <f>Swiss!AA138/Swiss!F138</f>
        <v>1.7701965372267741</v>
      </c>
      <c r="Y22" s="3">
        <f>USA!AA151/100</f>
        <v>0.98659481927806791</v>
      </c>
      <c r="AB22">
        <v>2026</v>
      </c>
      <c r="AC22" s="3">
        <f>(Australia!P138+Australia!S138)/100*Australia!$BC$97/100/Australia!F138</f>
        <v>0.39978948069074927</v>
      </c>
      <c r="AD22" s="3">
        <f>(Austria!P138+Austria!S138)*Austria!$AU$97/100/Austria!F138</f>
        <v>0.83226361654421643</v>
      </c>
      <c r="AE22" s="3">
        <f>(Belgium!P138+Belgium!S138)*Belgium!AU$97/100/Belgium!F138</f>
        <v>1.0504099702387617</v>
      </c>
      <c r="AF22" s="3">
        <f>(Britain!P138+Britain!S138)/100*Britain!AX$97/100/Britain!F138</f>
        <v>1.0487802346891366</v>
      </c>
      <c r="AG22" s="3">
        <f>(Canada!P138+Canada!S138)/100*Canada!AW$97/100/Canada!F138</f>
        <v>0.40807543565204268</v>
      </c>
      <c r="AH22" s="3">
        <f>(China!P138+China!S138)*China!AU$97/100/China!F138</f>
        <v>0.36305638550573394</v>
      </c>
      <c r="AI22" s="3">
        <f>(Denmark!P138+Denmark!S138)*Denmark!AX$97/100/Denmark!F138</f>
        <v>1.1199535639764451</v>
      </c>
      <c r="AJ22" s="3">
        <f>(Finland!P138+Finland!S138)*Finland!AU$97/100/Finland!F138</f>
        <v>1.1867858930226469</v>
      </c>
      <c r="AK22" s="3">
        <f>(France!P138+France!S138)*France!AU$97/100/France!F138</f>
        <v>1.0778740620258291</v>
      </c>
      <c r="AL22" s="3">
        <f>(Germany!P138+Germany!S138)*Germany!AU$97/100/Germany!F138</f>
        <v>1.071806143162932</v>
      </c>
      <c r="AM22" s="3">
        <f>(Greece!P138+Greece!S138)*Greece!AR$97/100/Greece!F138</f>
        <v>1.2525347350684646</v>
      </c>
      <c r="AN22" s="3">
        <f>(Hungary!P138)*Hungary!AR$97/100/Hungary!F138</f>
        <v>0.82667598634553208</v>
      </c>
      <c r="AO22" s="3">
        <f>(India!P138+India!S138)*India!AN$97/100/India!F138</f>
        <v>0.59210111478846672</v>
      </c>
      <c r="AP22" s="3">
        <f>(Ireland!P138+Ireland!R138)*Ireland!AU$97/100/Ireland!F138</f>
        <v>1.1190827345054553</v>
      </c>
      <c r="AQ22" s="3">
        <f>(Italy!P138+Italy!S138)*Italy!AU$97/100/Italy!F138</f>
        <v>1.2157391019367643</v>
      </c>
      <c r="AR22" s="3">
        <f>(Japan!P138+Japan!S138)*Japan!AT$97/100/Japan!F138</f>
        <v>0.61920350406138858</v>
      </c>
      <c r="AS22" s="3">
        <f>(Korea!P138+Korea!S138)*Korea!AT$97/100/Korea!F138</f>
        <v>0.61619769987485706</v>
      </c>
      <c r="AT22" s="3">
        <f>(Netherlands!P138+Netherlands!S138)*Netherlands!AT$97/100/Netherlands!F138</f>
        <v>1.273125762768651</v>
      </c>
      <c r="AU22" s="3">
        <f>('New Zealand'!P138+'New Zealand'!S138)*'New Zealand'!BB$97/100/'New Zealand'!F138</f>
        <v>0.65352775716523748</v>
      </c>
      <c r="AV22" s="3">
        <f>(Norway!P138+Norway!S138)*Norway!AT$97/100/Norway!F138</f>
        <v>1.2122100289033597</v>
      </c>
      <c r="AW22" s="3">
        <f>(Spain!P138+Spain!S138)*Spain!AU$97/100/Spain!F138</f>
        <v>0.78105976721692716</v>
      </c>
      <c r="AX22" s="3">
        <f>(Sweden!P138+Sweden!S138)*Sweden!AW$97/100/Sweden!F138</f>
        <v>1.0866958866057592</v>
      </c>
      <c r="AY22" s="3">
        <f>(Swiss!P138+Swiss!S138)*Swiss!AT$97/100/Swiss!F138</f>
        <v>0.89816495068243274</v>
      </c>
      <c r="AZ22" s="3">
        <f>USA!P151/100*USA!AU$105/100</f>
        <v>0.11696695110030909</v>
      </c>
    </row>
    <row r="23" spans="1:52">
      <c r="A23">
        <v>2027</v>
      </c>
      <c r="B23" s="3">
        <f>Australia!AA139/Australia!F139</f>
        <v>1.1978372554075909</v>
      </c>
      <c r="C23" s="3">
        <f>Austria!AA139/Austria!F139</f>
        <v>1.6613948029764973</v>
      </c>
      <c r="D23" s="3">
        <f>Belgium!AA139/Belgium!F139</f>
        <v>1.9700902707563452</v>
      </c>
      <c r="E23" s="3">
        <f>Britain!AA139/100/Britain!F139</f>
        <v>1.8180546887496492</v>
      </c>
      <c r="F23" s="3">
        <f>Canada!AA139/100/Canada!F139</f>
        <v>1.086444709862515</v>
      </c>
      <c r="G23" s="3">
        <f>China!AA139/China!F139</f>
        <v>1.0490627488093915</v>
      </c>
      <c r="H23" s="3">
        <f>Denmark!AA139/Denmark!F139</f>
        <v>2.036133586813238</v>
      </c>
      <c r="I23" s="3">
        <f>Finland!AA139/100/Finland!F139</f>
        <v>1.9852502987310381</v>
      </c>
      <c r="J23" s="3">
        <f>France!AA139/100/France!F139</f>
        <v>1.896779993196779</v>
      </c>
      <c r="K23" s="3">
        <f>Germany!AA139/100/Germany!F139</f>
        <v>1.8947800398421502</v>
      </c>
      <c r="L23" s="3">
        <f>Greece!AA139/Greece!F139</f>
        <v>2.0660391728056906</v>
      </c>
      <c r="M23" s="3">
        <f>Hungary!AA139/Hungary!F139</f>
        <v>1.5751555704781632</v>
      </c>
      <c r="N23" s="3">
        <f>India!AA139/India!F139</f>
        <v>1.3024219258154033</v>
      </c>
      <c r="O23" s="3">
        <f>Ireland!AA139/Ireland!F139</f>
        <v>1.8471193838148656</v>
      </c>
      <c r="P23" s="3">
        <f>Italy!AA139/100/Italy!F139</f>
        <v>2.0839192441932028</v>
      </c>
      <c r="Q23" s="3">
        <f>Japan!AA139/Japan!F139</f>
        <v>1.5180739631412881</v>
      </c>
      <c r="R23" s="3">
        <f>Korea!AA139/Korea!F139</f>
        <v>1.6256926024153513</v>
      </c>
      <c r="S23" s="3">
        <f>Netherlands!AA139/100/Netherlands!F139</f>
        <v>2.1054811024314799</v>
      </c>
      <c r="T23" s="3">
        <f>'New Zealand'!AA139/100/'New Zealand'!F139</f>
        <v>1.6981881009125832</v>
      </c>
      <c r="U23" s="3">
        <f>Norway!AA139/Norway!F139</f>
        <v>2.3218203119878047</v>
      </c>
      <c r="V23" s="3">
        <f>Spain!AA139/100/Spain!F139</f>
        <v>1.6881602160110496</v>
      </c>
      <c r="W23" s="3">
        <f>Sweden!AA139/Sweden!F139</f>
        <v>1.8768931428735902</v>
      </c>
      <c r="X23" s="3">
        <f>Swiss!AA139/Swiss!F139</f>
        <v>1.791231184764255</v>
      </c>
      <c r="Y23" s="3">
        <f>USA!AA152/100</f>
        <v>1.0222389724159848</v>
      </c>
      <c r="AB23">
        <v>2027</v>
      </c>
      <c r="AC23" s="3">
        <f>(Australia!P139+Australia!S139)/100*Australia!$BC$97/100/Australia!F139</f>
        <v>0.40163275098087309</v>
      </c>
      <c r="AD23" s="3">
        <f>(Austria!P139+Austria!S139)*Austria!$AU$97/100/Austria!F139</f>
        <v>0.83606386700807056</v>
      </c>
      <c r="AE23" s="3">
        <f>(Belgium!P139+Belgium!S139)*Belgium!AU$97/100/Belgium!F139</f>
        <v>1.0551415512764026</v>
      </c>
      <c r="AF23" s="3">
        <f>(Britain!P139+Britain!S139)/100*Britain!AX$97/100/Britain!F139</f>
        <v>1.0526856995264078</v>
      </c>
      <c r="AG23" s="3">
        <f>(Canada!P139+Canada!S139)/100*Canada!AW$97/100/Canada!F139</f>
        <v>0.41067273971492568</v>
      </c>
      <c r="AH23" s="3">
        <f>(China!P139+China!S139)*China!AU$97/100/China!F139</f>
        <v>0.36669334450220642</v>
      </c>
      <c r="AI23" s="3">
        <f>(Denmark!P139+Denmark!S139)*Denmark!AX$97/100/Denmark!F139</f>
        <v>1.1250200351559654</v>
      </c>
      <c r="AJ23" s="3">
        <f>(Finland!P139+Finland!S139)*Finland!AU$97/100/Finland!F139</f>
        <v>1.1913185594280715</v>
      </c>
      <c r="AK23" s="3">
        <f>(France!P139+France!S139)*France!AU$97/100/France!F139</f>
        <v>1.0817912517663619</v>
      </c>
      <c r="AL23" s="3">
        <f>(Germany!P139+Germany!S139)*Germany!AU$97/100/Germany!F139</f>
        <v>1.0754757013446814</v>
      </c>
      <c r="AM23" s="3">
        <f>(Greece!P139+Greece!S139)*Greece!AR$97/100/Greece!F139</f>
        <v>1.256761646270532</v>
      </c>
      <c r="AN23" s="3">
        <f>(Hungary!P139)*Hungary!AR$97/100/Hungary!F139</f>
        <v>0.82667598634553208</v>
      </c>
      <c r="AO23" s="3">
        <f>(India!P139+India!S139)*India!AN$97/100/India!F139</f>
        <v>0.59769575994570567</v>
      </c>
      <c r="AP23" s="3">
        <f>(Ireland!P139+Ireland!R139)*Ireland!AU$97/100/Ireland!F139</f>
        <v>1.1253676879700902</v>
      </c>
      <c r="AQ23" s="3">
        <f>(Italy!P139+Italy!S139)*Italy!AU$97/100/Italy!F139</f>
        <v>1.2203362799710917</v>
      </c>
      <c r="AR23" s="3">
        <f>(Japan!P139+Japan!S139)*Japan!AT$97/100/Japan!F139</f>
        <v>0.62107681032721096</v>
      </c>
      <c r="AS23" s="3">
        <f>(Korea!P139+Korea!S139)*Korea!AT$97/100/Korea!F139</f>
        <v>0.61830522368630014</v>
      </c>
      <c r="AT23" s="3">
        <f>(Netherlands!P139+Netherlands!S139)*Netherlands!AT$97/100/Netherlands!F139</f>
        <v>1.2772470222643346</v>
      </c>
      <c r="AU23" s="3">
        <f>('New Zealand'!P139+'New Zealand'!S139)*'New Zealand'!BB$97/100/'New Zealand'!F139</f>
        <v>0.65702048908706501</v>
      </c>
      <c r="AV23" s="3">
        <f>(Norway!P139+Norway!S139)*Norway!AT$97/100/Norway!F139</f>
        <v>1.2180252125344821</v>
      </c>
      <c r="AW23" s="3">
        <f>(Spain!P139+Spain!S139)*Spain!AU$97/100/Spain!F139</f>
        <v>0.78486583411854061</v>
      </c>
      <c r="AX23" s="3">
        <f>(Sweden!P139+Sweden!S139)*Sweden!AW$97/100/Sweden!F139</f>
        <v>1.0913165071957116</v>
      </c>
      <c r="AY23" s="3">
        <f>(Swiss!P139+Swiss!S139)*Swiss!AT$97/100/Swiss!F139</f>
        <v>0.89966882056208552</v>
      </c>
      <c r="AZ23" s="3">
        <f>USA!P152/100*USA!AU$105/100</f>
        <v>0.11696695110030909</v>
      </c>
    </row>
    <row r="24" spans="1:52">
      <c r="A24">
        <v>2028</v>
      </c>
      <c r="B24" s="3">
        <f>Australia!AA140/Australia!F140</f>
        <v>1.2106724523212824</v>
      </c>
      <c r="C24" s="3">
        <f>Austria!AA140/Austria!F140</f>
        <v>1.6758287231334923</v>
      </c>
      <c r="D24" s="3">
        <f>Belgium!AA140/Belgium!F140</f>
        <v>1.9873483788881052</v>
      </c>
      <c r="E24" s="3">
        <f>Britain!AA140/100/Britain!F140</f>
        <v>1.8328882288474131</v>
      </c>
      <c r="F24" s="3">
        <f>Canada!AA140/100/Canada!F140</f>
        <v>1.0977603873973258</v>
      </c>
      <c r="G24" s="3">
        <f>China!AA140/China!F140</f>
        <v>1.0657543207618096</v>
      </c>
      <c r="H24" s="3">
        <f>Denmark!AA140/Denmark!F140</f>
        <v>2.0521696001362355</v>
      </c>
      <c r="I24" s="3">
        <f>Finland!AA140/100/Finland!F140</f>
        <v>2.0000749685061745</v>
      </c>
      <c r="J24" s="3">
        <f>France!AA140/100/France!F140</f>
        <v>1.911658066232341</v>
      </c>
      <c r="K24" s="3">
        <f>Germany!AA140/100/Germany!F140</f>
        <v>1.9093288663798287</v>
      </c>
      <c r="L24" s="3">
        <f>Greece!AA140/Greece!F140</f>
        <v>2.0798638307740083</v>
      </c>
      <c r="M24" s="3">
        <f>Hungary!AA140/Hungary!F140</f>
        <v>1.5896776316546777</v>
      </c>
      <c r="N24" s="3">
        <f>India!AA140/India!F140</f>
        <v>1.3190803275279552</v>
      </c>
      <c r="O24" s="3">
        <f>Ireland!AA140/Ireland!F140</f>
        <v>1.8615807077427995</v>
      </c>
      <c r="P24" s="3">
        <f>Italy!AA140/100/Italy!F140</f>
        <v>2.1000572289284145</v>
      </c>
      <c r="Q24" s="3">
        <f>Japan!AA140/Japan!F140</f>
        <v>1.5340829328097967</v>
      </c>
      <c r="R24" s="3">
        <f>Korea!AA140/Korea!F140</f>
        <v>1.6403678691220853</v>
      </c>
      <c r="S24" s="3">
        <f>Netherlands!AA140/100/Netherlands!F140</f>
        <v>2.1205131057829441</v>
      </c>
      <c r="T24" s="3">
        <f>'New Zealand'!AA140/100/'New Zealand'!F140</f>
        <v>1.7151389970280124</v>
      </c>
      <c r="U24" s="3">
        <f>Norway!AA140/Norway!F140</f>
        <v>2.340226093621637</v>
      </c>
      <c r="V24" s="3">
        <f>Spain!AA140/100/Spain!F140</f>
        <v>1.7020425766051537</v>
      </c>
      <c r="W24" s="3">
        <f>Sweden!AA140/Sweden!F140</f>
        <v>1.891517983460961</v>
      </c>
      <c r="X24" s="3">
        <f>Swiss!AA140/Swiss!F140</f>
        <v>1.8045466414678919</v>
      </c>
      <c r="Y24" s="3">
        <f>USA!AA153/100</f>
        <v>1.0515822382779341</v>
      </c>
      <c r="AB24">
        <v>2028</v>
      </c>
      <c r="AC24" s="3">
        <f>(Australia!P140+Australia!S140)/100*Australia!$BC$97/100/Australia!F140</f>
        <v>0.40279958706393593</v>
      </c>
      <c r="AD24" s="3">
        <f>(Austria!P140+Austria!S140)*Austria!$AU$97/100/Austria!F140</f>
        <v>0.83846952036756983</v>
      </c>
      <c r="AE24" s="3">
        <f>(Belgium!P140+Belgium!S140)*Belgium!AU$97/100/Belgium!F140</f>
        <v>1.0581367601257166</v>
      </c>
      <c r="AF24" s="3">
        <f>(Britain!P140+Britain!S140)/100*Britain!AX$97/100/Britain!F140</f>
        <v>1.0551579562093685</v>
      </c>
      <c r="AG24" s="3">
        <f>(Canada!P140+Canada!S140)/100*Canada!AW$97/100/Canada!F140</f>
        <v>0.41231689798921456</v>
      </c>
      <c r="AH24" s="3">
        <f>(China!P140+China!S140)*China!AU$97/100/China!F140</f>
        <v>0.36899563028874688</v>
      </c>
      <c r="AI24" s="3">
        <f>(Denmark!P140+Denmark!S140)*Denmark!AX$97/100/Denmark!F140</f>
        <v>1.1282272378205649</v>
      </c>
      <c r="AJ24" s="3">
        <f>(Finland!P140+Finland!S140)*Finland!AU$97/100/Finland!F140</f>
        <v>1.1941878503522916</v>
      </c>
      <c r="AK24" s="3">
        <f>(France!P140+France!S140)*France!AU$97/100/France!F140</f>
        <v>1.0842709306056224</v>
      </c>
      <c r="AL24" s="3">
        <f>(Germany!P140+Germany!S140)*Germany!AU$97/100/Germany!F140</f>
        <v>1.0777986232288488</v>
      </c>
      <c r="AM24" s="3">
        <f>(Greece!P140+Greece!S140)*Greece!AR$97/100/Greece!F140</f>
        <v>1.2594373865224644</v>
      </c>
      <c r="AN24" s="3">
        <f>(Hungary!P140)*Hungary!AR$97/100/Hungary!F140</f>
        <v>0.82667598634553208</v>
      </c>
      <c r="AO24" s="3">
        <f>(India!P140+India!S140)*India!AN$97/100/India!F140</f>
        <v>0.60123730991609059</v>
      </c>
      <c r="AP24" s="3">
        <f>(Ireland!P140+Ireland!R140)*Ireland!AU$97/100/Ireland!F140</f>
        <v>1.130395650741798</v>
      </c>
      <c r="AQ24" s="3">
        <f>(Italy!P140+Italy!S140)*Italy!AU$97/100/Italy!F140</f>
        <v>1.223246408365966</v>
      </c>
      <c r="AR24" s="3">
        <f>(Japan!P140+Japan!S140)*Japan!AT$97/100/Japan!F140</f>
        <v>0.62226265993228569</v>
      </c>
      <c r="AS24" s="3">
        <f>(Korea!P140+Korea!S140)*Korea!AT$97/100/Korea!F140</f>
        <v>0.61963933884145772</v>
      </c>
      <c r="AT24" s="3">
        <f>(Netherlands!P140+Netherlands!S140)*Netherlands!AT$97/100/Netherlands!F140</f>
        <v>1.2798558823501263</v>
      </c>
      <c r="AU24" s="3">
        <f>('New Zealand'!P140+'New Zealand'!S140)*'New Zealand'!BB$97/100/'New Zealand'!F140</f>
        <v>0.65923147553690364</v>
      </c>
      <c r="AV24" s="3">
        <f>(Norway!P140+Norway!S140)*Norway!AT$97/100/Norway!F140</f>
        <v>1.2217063688612484</v>
      </c>
      <c r="AW24" s="3">
        <f>(Spain!P140+Spain!S140)*Spain!AU$97/100/Spain!F140</f>
        <v>0.78727516942826103</v>
      </c>
      <c r="AX24" s="3">
        <f>(Sweden!P140+Sweden!S140)*Sweden!AW$97/100/Sweden!F140</f>
        <v>1.0942414753131857</v>
      </c>
      <c r="AY24" s="3">
        <f>(Swiss!P140+Swiss!S140)*Swiss!AT$97/100/Swiss!F140</f>
        <v>0.90062080771731312</v>
      </c>
      <c r="AZ24" s="3">
        <f>USA!P153/100*USA!AU$105/100</f>
        <v>0.11696695110030909</v>
      </c>
    </row>
    <row r="25" spans="1:52">
      <c r="A25">
        <v>2029</v>
      </c>
      <c r="B25" s="3">
        <f>Australia!AA141/Australia!F141</f>
        <v>1.2280697054218568</v>
      </c>
      <c r="C25" s="3">
        <f>Austria!AA141/Austria!F141</f>
        <v>1.6953929389295792</v>
      </c>
      <c r="D25" s="3">
        <f>Belgium!AA141/Belgium!F141</f>
        <v>2.0107405930648143</v>
      </c>
      <c r="E25" s="3">
        <f>Britain!AA141/100/Britain!F141</f>
        <v>1.8529941028120764</v>
      </c>
      <c r="F25" s="3">
        <f>Canada!AA141/100/Canada!F141</f>
        <v>1.1130980333564311</v>
      </c>
      <c r="G25" s="3">
        <f>China!AA141/China!F141</f>
        <v>1.088378632944579</v>
      </c>
      <c r="H25" s="3">
        <f>Denmark!AA141/Denmark!F141</f>
        <v>2.0739053463332251</v>
      </c>
      <c r="I25" s="3">
        <f>Finland!AA141/100/Finland!F141</f>
        <v>2.020168819340312</v>
      </c>
      <c r="J25" s="3">
        <f>France!AA141/100/France!F141</f>
        <v>1.9318243016231214</v>
      </c>
      <c r="K25" s="3">
        <f>Germany!AA141/100/Germany!F141</f>
        <v>1.9290488301088116</v>
      </c>
      <c r="L25" s="3">
        <f>Greece!AA141/Greece!F141</f>
        <v>2.0986022323210167</v>
      </c>
      <c r="M25" s="3">
        <f>Hungary!AA141/Hungary!F141</f>
        <v>1.6093613167222875</v>
      </c>
      <c r="N25" s="3">
        <f>India!AA141/India!F141</f>
        <v>1.3416596796635782</v>
      </c>
      <c r="O25" s="3">
        <f>Ireland!AA141/Ireland!F141</f>
        <v>1.8811820675221187</v>
      </c>
      <c r="P25" s="3">
        <f>Italy!AA141/100/Italy!F141</f>
        <v>2.1219311905715124</v>
      </c>
      <c r="Q25" s="3">
        <f>Japan!AA141/Japan!F141</f>
        <v>1.5557820231373769</v>
      </c>
      <c r="R25" s="3">
        <f>Korea!AA141/Korea!F141</f>
        <v>1.6602592140646115</v>
      </c>
      <c r="S25" s="3">
        <f>Netherlands!AA141/100/Netherlands!F141</f>
        <v>2.1408879834472807</v>
      </c>
      <c r="T25" s="3">
        <f>'New Zealand'!AA141/100/'New Zealand'!F141</f>
        <v>1.738114805812613</v>
      </c>
      <c r="U25" s="3">
        <f>Norway!AA141/Norway!F141</f>
        <v>2.3651739026619589</v>
      </c>
      <c r="V25" s="3">
        <f>Spain!AA141/100/Spain!F141</f>
        <v>1.7208591902117147</v>
      </c>
      <c r="W25" s="3">
        <f>Sweden!AA141/Sweden!F141</f>
        <v>1.9113409791629319</v>
      </c>
      <c r="X25" s="3">
        <f>Swiss!AA141/Swiss!F141</f>
        <v>1.8225948546726147</v>
      </c>
      <c r="Y25" s="3">
        <f>USA!AA154/100</f>
        <v>1.0874674936442539</v>
      </c>
      <c r="AB25">
        <v>2029</v>
      </c>
      <c r="AC25" s="3">
        <f>(Australia!P141+Australia!S141)/100*Australia!$BC$97/100/Australia!F141</f>
        <v>0.40438115552762449</v>
      </c>
      <c r="AD25" s="3">
        <f>(Austria!P141+Austria!S141)*Austria!$AU$97/100/Austria!F141</f>
        <v>0.84173022300025113</v>
      </c>
      <c r="AE25" s="3">
        <f>(Belgium!P141+Belgium!S141)*Belgium!AU$97/100/Belgium!F141</f>
        <v>1.0621965658919221</v>
      </c>
      <c r="AF25" s="3">
        <f>(Britain!P141+Britain!S141)/100*Britain!AX$97/100/Britain!F141</f>
        <v>1.0585089352034789</v>
      </c>
      <c r="AG25" s="3">
        <f>(Canada!P141+Canada!S141)/100*Canada!AW$97/100/Canada!F141</f>
        <v>0.41454544483797334</v>
      </c>
      <c r="AH25" s="3">
        <f>(China!P141+China!S141)*China!AU$97/100/China!F141</f>
        <v>0.37211622507257708</v>
      </c>
      <c r="AI25" s="3">
        <f>(Denmark!P141+Denmark!S141)*Denmark!AX$97/100/Denmark!F141</f>
        <v>1.1325743870599627</v>
      </c>
      <c r="AJ25" s="3">
        <f>(Finland!P141+Finland!S141)*Finland!AU$97/100/Finland!F141</f>
        <v>1.1980769827718019</v>
      </c>
      <c r="AK25" s="3">
        <f>(France!P141+France!S141)*France!AU$97/100/France!F141</f>
        <v>1.0876319698374191</v>
      </c>
      <c r="AL25" s="3">
        <f>(Germany!P141+Germany!S141)*Germany!AU$97/100/Germany!F141</f>
        <v>1.0809471888662492</v>
      </c>
      <c r="AM25" s="3">
        <f>(Greece!P141+Greece!S141)*Greece!AR$97/100/Greece!F141</f>
        <v>1.2630641739186599</v>
      </c>
      <c r="AN25" s="3">
        <f>(Hungary!P141)*Hungary!AR$97/100/Hungary!F141</f>
        <v>0.82667598634553208</v>
      </c>
      <c r="AO25" s="3">
        <f>(India!P141+India!S141)*India!AN$97/100/India!F141</f>
        <v>0.60603764462208931</v>
      </c>
      <c r="AP25" s="3">
        <f>(Ireland!P141+Ireland!R141)*Ireland!AU$97/100/Ireland!F141</f>
        <v>1.1366806042064328</v>
      </c>
      <c r="AQ25" s="3">
        <f>(Italy!P141+Italy!S141)*Italy!AU$97/100/Italy!F141</f>
        <v>1.2271908932524263</v>
      </c>
      <c r="AR25" s="3">
        <f>(Japan!P141+Japan!S141)*Japan!AT$97/100/Japan!F141</f>
        <v>0.62386999995655101</v>
      </c>
      <c r="AS25" s="3">
        <f>(Korea!P141+Korea!S141)*Korea!AT$97/100/Korea!F141</f>
        <v>0.62144764292714205</v>
      </c>
      <c r="AT25" s="3">
        <f>(Netherlands!P141+Netherlands!S141)*Netherlands!AT$97/100/Netherlands!F141</f>
        <v>1.2833920181431102</v>
      </c>
      <c r="AU25" s="3">
        <f>('New Zealand'!P141+'New Zealand'!S141)*'New Zealand'!BB$97/100/'New Zealand'!F141</f>
        <v>0.66222832016098188</v>
      </c>
      <c r="AV25" s="3">
        <f>(Norway!P141+Norway!S141)*Norway!AT$97/100/Norway!F141</f>
        <v>1.2266959306693128</v>
      </c>
      <c r="AW25" s="3">
        <f>(Spain!P141+Spain!S141)*Spain!AU$97/100/Spain!F141</f>
        <v>0.79054086269882129</v>
      </c>
      <c r="AX25" s="3">
        <f>(Sweden!P141+Sweden!S141)*Sweden!AW$97/100/Sweden!F141</f>
        <v>1.0982060744535798</v>
      </c>
      <c r="AY25" s="3">
        <f>(Swiss!P141+Swiss!S141)*Swiss!AT$97/100/Swiss!F141</f>
        <v>0.90191116279323114</v>
      </c>
      <c r="AZ25" s="3">
        <f>USA!P154/100*USA!AU$105/100</f>
        <v>0.11696695110030909</v>
      </c>
    </row>
    <row r="26" spans="1:52">
      <c r="A26">
        <v>2030</v>
      </c>
      <c r="B26" s="3">
        <f>Australia!AA142/Australia!F142</f>
        <v>1.2413721505283324</v>
      </c>
      <c r="C26" s="3">
        <f>Austria!AA142/Austria!F142</f>
        <v>1.7103523066627584</v>
      </c>
      <c r="D26" s="3">
        <f>Belgium!AA142/Belgium!F142</f>
        <v>2.028626959562196</v>
      </c>
      <c r="E26" s="3">
        <f>Britain!AA142/100/Britain!F142</f>
        <v>1.8683676381159806</v>
      </c>
      <c r="F26" s="3">
        <f>Canada!AA142/100/Canada!F142</f>
        <v>1.1248256430114754</v>
      </c>
      <c r="G26" s="3">
        <f>China!AA142/China!F142</f>
        <v>1.1056778392700359</v>
      </c>
      <c r="H26" s="3">
        <f>Denmark!AA142/Denmark!F142</f>
        <v>2.0905251292933391</v>
      </c>
      <c r="I26" s="3">
        <f>Finland!AA142/100/Finland!F142</f>
        <v>2.0355331614093464</v>
      </c>
      <c r="J26" s="3">
        <f>France!AA142/100/France!F142</f>
        <v>1.9472439910269186</v>
      </c>
      <c r="K26" s="3">
        <f>Germany!AA142/100/Germany!F142</f>
        <v>1.9441272872359208</v>
      </c>
      <c r="L26" s="3">
        <f>Greece!AA142/Greece!F142</f>
        <v>2.1129301584896574</v>
      </c>
      <c r="M26" s="3">
        <f>Hungary!AA142/Hungary!F142</f>
        <v>1.624412034131024</v>
      </c>
      <c r="N26" s="3">
        <f>India!AA142/India!F142</f>
        <v>1.3589245082309103</v>
      </c>
      <c r="O26" s="3">
        <f>Ireland!AA142/Ireland!F142</f>
        <v>1.8961698366238997</v>
      </c>
      <c r="P26" s="3">
        <f>Italy!AA142/100/Italy!F142</f>
        <v>2.1386566570768446</v>
      </c>
      <c r="Q26" s="3">
        <f>Japan!AA142/Japan!F142</f>
        <v>1.5723737779548974</v>
      </c>
      <c r="R26" s="3">
        <f>Korea!AA142/Korea!F142</f>
        <v>1.6754687142461764</v>
      </c>
      <c r="S26" s="3">
        <f>Netherlands!AA142/100/Netherlands!F142</f>
        <v>2.156467206794443</v>
      </c>
      <c r="T26" s="3">
        <f>'New Zealand'!AA142/100/'New Zealand'!F142</f>
        <v>1.7556827766507181</v>
      </c>
      <c r="U26" s="3">
        <f>Norway!AA142/Norway!F142</f>
        <v>2.3842497221816941</v>
      </c>
      <c r="V26" s="3">
        <f>Spain!AA142/100/Spain!F142</f>
        <v>1.735246919593129</v>
      </c>
      <c r="W26" s="3">
        <f>Sweden!AA142/Sweden!F142</f>
        <v>1.9264982175296395</v>
      </c>
      <c r="X26" s="3">
        <f>Swiss!AA142/Swiss!F142</f>
        <v>1.8363950427849471</v>
      </c>
      <c r="Y26" s="3">
        <f>USA!AA155/100</f>
        <v>1.1069922868254036</v>
      </c>
      <c r="AB26">
        <v>2030</v>
      </c>
      <c r="AC26" s="3">
        <f>(Australia!P142+Australia!S142)/100*Australia!$BC$97/100/Australia!F142</f>
        <v>0.4055904687191223</v>
      </c>
      <c r="AD26" s="3">
        <f>(Austria!P142+Austria!S142)*Austria!$AU$97/100/Austria!F142</f>
        <v>0.84422345095578077</v>
      </c>
      <c r="AE26" s="3">
        <f>(Belgium!P142+Belgium!S142)*Belgium!AU$97/100/Belgium!F142</f>
        <v>1.0653008113170876</v>
      </c>
      <c r="AF26" s="3">
        <f>(Britain!P142+Britain!S142)/100*Britain!AX$97/100/Britain!F142</f>
        <v>1.0610711910874626</v>
      </c>
      <c r="AG26" s="3">
        <f>(Canada!P142+Canada!S142)/100*Canada!AW$97/100/Canada!F142</f>
        <v>0.41624945649725326</v>
      </c>
      <c r="AH26" s="3">
        <f>(China!P142+China!S142)*China!AU$97/100/China!F142</f>
        <v>0.37450232249677806</v>
      </c>
      <c r="AI26" s="3">
        <f>(Denmark!P142+Denmark!S142)*Denmark!AX$97/100/Denmark!F142</f>
        <v>1.1358983436519856</v>
      </c>
      <c r="AJ26" s="3">
        <f>(Finland!P142+Finland!S142)*Finland!AU$97/100/Finland!F142</f>
        <v>1.2010507263980668</v>
      </c>
      <c r="AK26" s="3">
        <f>(France!P142+France!S142)*France!AU$97/100/France!F142</f>
        <v>1.0902019180713851</v>
      </c>
      <c r="AL26" s="3">
        <f>(Germany!P142+Germany!S142)*Germany!AU$97/100/Germany!F142</f>
        <v>1.0833546736176365</v>
      </c>
      <c r="AM26" s="3">
        <f>(Greece!P142+Greece!S142)*Greece!AR$97/100/Greece!F142</f>
        <v>1.2658373209190419</v>
      </c>
      <c r="AN26" s="3">
        <f>(Hungary!P142)*Hungary!AR$97/100/Hungary!F142</f>
        <v>0.82667598634553208</v>
      </c>
      <c r="AO26" s="3">
        <f>(India!P142+India!S142)*India!AN$97/100/India!F142</f>
        <v>0.60970811998679753</v>
      </c>
      <c r="AP26" s="3">
        <f>(Ireland!P142+Ireland!R142)*Ireland!AU$97/100/Ireland!F142</f>
        <v>1.1404515762852137</v>
      </c>
      <c r="AQ26" s="3">
        <f>(Italy!P142+Italy!S142)*Italy!AU$97/100/Italy!F142</f>
        <v>1.2302069609828961</v>
      </c>
      <c r="AR26" s="3">
        <f>(Japan!P142+Japan!S142)*Japan!AT$97/100/Japan!F142</f>
        <v>0.62509901883192276</v>
      </c>
      <c r="AS26" s="3">
        <f>(Korea!P142+Korea!S142)*Korea!AT$97/100/Korea!F142</f>
        <v>0.62283032476182965</v>
      </c>
      <c r="AT26" s="3">
        <f>(Netherlands!P142+Netherlands!S142)*Netherlands!AT$97/100/Netherlands!F142</f>
        <v>1.2860958502942708</v>
      </c>
      <c r="AU26" s="3">
        <f>('New Zealand'!P142+'New Zealand'!S142)*'New Zealand'!BB$97/100/'New Zealand'!F142</f>
        <v>0.66451979461812605</v>
      </c>
      <c r="AV26" s="3">
        <f>(Norway!P142+Norway!S142)*Norway!AT$97/100/Norway!F142</f>
        <v>1.2305110945732596</v>
      </c>
      <c r="AW26" s="3">
        <f>(Spain!P142+Spain!S142)*Spain!AU$97/100/Spain!F142</f>
        <v>0.79303790664105012</v>
      </c>
      <c r="AX26" s="3">
        <f>(Sweden!P142+Sweden!S142)*Sweden!AW$97/100/Sweden!F142</f>
        <v>1.1012375221269213</v>
      </c>
      <c r="AY26" s="3">
        <f>(Swiss!P142+Swiss!S142)*Swiss!AT$97/100/Swiss!F142</f>
        <v>0.90289780576876455</v>
      </c>
      <c r="AZ26" s="3">
        <f>USA!P155/100*USA!AU$105/100</f>
        <v>0.11696695110030909</v>
      </c>
    </row>
    <row r="27" spans="1:52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52">
      <c r="A28" t="s">
        <v>2502</v>
      </c>
      <c r="B28" s="9">
        <f>AC14/AVERAGE(B13:B15)*100</f>
        <v>39.155595427264686</v>
      </c>
      <c r="C28" s="9">
        <f>AD14/AVERAGE(C13:C15)*100</f>
        <v>57.016688236225335</v>
      </c>
      <c r="D28" s="9">
        <f t="shared" ref="D28:Y28" si="0">AE14/AVERAGE(D13:D15)*100</f>
        <v>60.95364198903097</v>
      </c>
      <c r="E28" s="9">
        <f t="shared" si="0"/>
        <v>65.384513213155003</v>
      </c>
      <c r="F28" s="9">
        <f t="shared" si="0"/>
        <v>42.952873401291768</v>
      </c>
      <c r="G28" s="9">
        <f t="shared" si="0"/>
        <v>43.518799331259153</v>
      </c>
      <c r="H28" s="9">
        <f t="shared" si="0"/>
        <v>61.927538505322779</v>
      </c>
      <c r="I28" s="9">
        <f t="shared" si="0"/>
        <v>67.086151005707634</v>
      </c>
      <c r="J28" s="9">
        <f t="shared" si="0"/>
        <v>64.141236048670379</v>
      </c>
      <c r="K28" s="9">
        <f t="shared" si="0"/>
        <v>63.963218679677738</v>
      </c>
      <c r="L28" s="9">
        <f t="shared" si="0"/>
        <v>67.824292682592031</v>
      </c>
      <c r="M28" s="9">
        <f t="shared" si="0"/>
        <v>62.56855716023103</v>
      </c>
      <c r="N28" s="9">
        <f t="shared" si="0"/>
        <v>52.570089360627762</v>
      </c>
      <c r="O28" s="9">
        <f t="shared" si="0"/>
        <v>62.499909336038343</v>
      </c>
      <c r="P28" s="9">
        <f t="shared" si="0"/>
        <v>65.791416292044829</v>
      </c>
      <c r="Q28" s="9">
        <f t="shared" si="0"/>
        <v>48.219218965969525</v>
      </c>
      <c r="R28" s="9">
        <f t="shared" si="0"/>
        <v>43.607178502408452</v>
      </c>
      <c r="S28" s="9">
        <f t="shared" si="0"/>
        <v>67.868240290615432</v>
      </c>
      <c r="T28" s="9">
        <f t="shared" si="0"/>
        <v>44.235616156056949</v>
      </c>
      <c r="U28" s="9">
        <f t="shared" si="0"/>
        <v>58.378231886589468</v>
      </c>
      <c r="V28" s="9">
        <f t="shared" si="0"/>
        <v>52.171991227349992</v>
      </c>
      <c r="W28" s="9">
        <f t="shared" si="0"/>
        <v>64.220529091120781</v>
      </c>
      <c r="X28" s="9">
        <f t="shared" si="0"/>
        <v>56.044073998720613</v>
      </c>
      <c r="Y28" s="9">
        <f t="shared" si="0"/>
        <v>16.944393207773356</v>
      </c>
    </row>
    <row r="29" spans="1:52">
      <c r="A29" t="s">
        <v>2501</v>
      </c>
      <c r="B29" s="9">
        <f>(B26/AVERAGE(B13:B15)-1)*100</f>
        <v>21.262794892539816</v>
      </c>
      <c r="C29" s="9">
        <f t="shared" ref="C29:Y29" si="1">(C26/AVERAGE(C13:C15)-1)*100</f>
        <v>18.763720026450549</v>
      </c>
      <c r="D29" s="9">
        <f t="shared" si="1"/>
        <v>19.263669838098572</v>
      </c>
      <c r="E29" s="9">
        <f t="shared" si="1"/>
        <v>16.260570411606157</v>
      </c>
      <c r="F29" s="9">
        <f t="shared" si="1"/>
        <v>22.257794375367943</v>
      </c>
      <c r="G29" s="9">
        <f t="shared" si="1"/>
        <v>38.057654534446669</v>
      </c>
      <c r="H29" s="9">
        <f t="shared" si="1"/>
        <v>17.002169598035199</v>
      </c>
      <c r="I29" s="9">
        <f t="shared" si="1"/>
        <v>16.004745627813421</v>
      </c>
      <c r="J29" s="9">
        <f t="shared" si="1"/>
        <v>16.66851971731953</v>
      </c>
      <c r="K29" s="9">
        <f t="shared" si="1"/>
        <v>16.641229117854238</v>
      </c>
      <c r="L29" s="9">
        <f t="shared" si="1"/>
        <v>14.985352652389272</v>
      </c>
      <c r="M29" s="9">
        <f t="shared" si="1"/>
        <v>17.773774236617477</v>
      </c>
      <c r="N29" s="9">
        <f t="shared" si="1"/>
        <v>24.032313108646306</v>
      </c>
      <c r="O29" s="9">
        <f t="shared" si="1"/>
        <v>17.060551270652557</v>
      </c>
      <c r="P29" s="9">
        <f t="shared" si="1"/>
        <v>16.65130780656856</v>
      </c>
      <c r="Q29" s="9">
        <f t="shared" si="1"/>
        <v>23.484860320279122</v>
      </c>
      <c r="R29" s="9">
        <f t="shared" si="1"/>
        <v>19.161370867210369</v>
      </c>
      <c r="S29" s="9">
        <f t="shared" si="1"/>
        <v>15.418491014999569</v>
      </c>
      <c r="T29" s="9">
        <f t="shared" si="1"/>
        <v>18.56104003350676</v>
      </c>
      <c r="U29" s="9">
        <f t="shared" si="1"/>
        <v>15.491008426963383</v>
      </c>
      <c r="V29" s="9">
        <f t="shared" si="1"/>
        <v>17.741118276337488</v>
      </c>
      <c r="W29" s="9">
        <f t="shared" si="1"/>
        <v>13.52833731469727</v>
      </c>
      <c r="X29" s="9">
        <f t="shared" si="1"/>
        <v>15.975645780031655</v>
      </c>
      <c r="Y29" s="9">
        <f t="shared" si="1"/>
        <v>60.364208945276118</v>
      </c>
    </row>
    <row r="30" spans="1:52">
      <c r="A30" t="s">
        <v>2500</v>
      </c>
      <c r="B30" s="9">
        <f>(B26/B14-1)*100</f>
        <v>16.230502074902908</v>
      </c>
      <c r="C30" s="9">
        <f t="shared" ref="C30:Y30" si="2">(C26/C14-1)*100</f>
        <v>13.399948232504499</v>
      </c>
      <c r="D30" s="9">
        <f t="shared" si="2"/>
        <v>13.542446521264818</v>
      </c>
      <c r="E30" s="9">
        <f t="shared" si="2"/>
        <v>11.560904517738102</v>
      </c>
      <c r="F30" s="9">
        <f t="shared" si="2"/>
        <v>17.357971951024464</v>
      </c>
      <c r="G30" s="9">
        <f t="shared" si="2"/>
        <v>28.499041607868115</v>
      </c>
      <c r="H30" s="9">
        <f t="shared" si="2"/>
        <v>11.721204966989184</v>
      </c>
      <c r="I30" s="9">
        <f t="shared" si="2"/>
        <v>11.035234680252671</v>
      </c>
      <c r="J30" s="9">
        <f t="shared" si="2"/>
        <v>11.756083557488406</v>
      </c>
      <c r="K30" s="9">
        <f t="shared" si="2"/>
        <v>11.438274931676617</v>
      </c>
      <c r="L30" s="9">
        <f t="shared" si="2"/>
        <v>9.5727293068951891</v>
      </c>
      <c r="M30" s="9">
        <f t="shared" si="2"/>
        <v>12.617904131580859</v>
      </c>
      <c r="N30" s="9">
        <f t="shared" si="2"/>
        <v>20.301511193062005</v>
      </c>
      <c r="O30" s="9">
        <f t="shared" si="2"/>
        <v>11.727725151061264</v>
      </c>
      <c r="P30" s="9">
        <f t="shared" si="2"/>
        <v>11.564240422611128</v>
      </c>
      <c r="Q30" s="9">
        <f t="shared" si="2"/>
        <v>17.613880843675211</v>
      </c>
      <c r="R30" s="9">
        <f t="shared" si="2"/>
        <v>14.044931039620145</v>
      </c>
      <c r="S30" s="9">
        <f t="shared" si="2"/>
        <v>10.413370251467114</v>
      </c>
      <c r="T30" s="9">
        <f t="shared" si="2"/>
        <v>14.232736193863715</v>
      </c>
      <c r="U30" s="9">
        <f t="shared" si="2"/>
        <v>11.086065135976142</v>
      </c>
      <c r="V30" s="9">
        <f t="shared" si="2"/>
        <v>12.49047291034584</v>
      </c>
      <c r="W30" s="9">
        <f t="shared" si="2"/>
        <v>10.415825455563144</v>
      </c>
      <c r="X30" s="9">
        <f t="shared" si="2"/>
        <v>12.593685402813204</v>
      </c>
      <c r="Y30" s="9">
        <f t="shared" si="2"/>
        <v>51.34857085329385</v>
      </c>
    </row>
    <row r="31" spans="1:52">
      <c r="A31" t="s">
        <v>2503</v>
      </c>
      <c r="B31" s="3">
        <f>B26-B14</f>
        <v>0.17334600561126945</v>
      </c>
      <c r="C31" s="3">
        <f t="shared" ref="C31:Y31" si="3">C26-C14</f>
        <v>0.20210443413638468</v>
      </c>
      <c r="D31" s="3">
        <f t="shared" si="3"/>
        <v>0.24195860625851373</v>
      </c>
      <c r="E31" s="3">
        <f t="shared" si="3"/>
        <v>0.19361639242407103</v>
      </c>
      <c r="F31" s="3">
        <f t="shared" si="3"/>
        <v>0.16636868920446446</v>
      </c>
      <c r="G31" s="3">
        <f t="shared" si="3"/>
        <v>0.24522174136063779</v>
      </c>
      <c r="H31" s="3">
        <f t="shared" si="3"/>
        <v>0.21932697142256008</v>
      </c>
      <c r="I31" s="3">
        <f t="shared" si="3"/>
        <v>0.20230142441067578</v>
      </c>
      <c r="J31" s="3">
        <f t="shared" si="3"/>
        <v>0.20483863013644177</v>
      </c>
      <c r="K31" s="3">
        <f t="shared" si="3"/>
        <v>0.1995495930569009</v>
      </c>
      <c r="L31" s="3">
        <f t="shared" si="3"/>
        <v>0.18459436558293185</v>
      </c>
      <c r="M31" s="3">
        <f t="shared" si="3"/>
        <v>0.18200192478190269</v>
      </c>
      <c r="N31" s="3">
        <f t="shared" si="3"/>
        <v>0.22932564055743265</v>
      </c>
      <c r="O31" s="3">
        <f t="shared" si="3"/>
        <v>0.19903527663873333</v>
      </c>
      <c r="P31" s="3">
        <f t="shared" si="3"/>
        <v>0.22168339667055115</v>
      </c>
      <c r="Q31" s="3">
        <f t="shared" si="3"/>
        <v>0.23547904522790297</v>
      </c>
      <c r="R31" s="3">
        <f t="shared" si="3"/>
        <v>0.20633834696654274</v>
      </c>
      <c r="S31" s="3">
        <f t="shared" si="3"/>
        <v>0.20338199448448835</v>
      </c>
      <c r="T31" s="3">
        <f t="shared" si="3"/>
        <v>0.21874788815154123</v>
      </c>
      <c r="U31" s="3">
        <f t="shared" si="3"/>
        <v>0.23794116470130566</v>
      </c>
      <c r="V31" s="3">
        <f t="shared" si="3"/>
        <v>0.19267458017723094</v>
      </c>
      <c r="W31" s="3">
        <f t="shared" si="3"/>
        <v>0.18173182233119145</v>
      </c>
      <c r="X31" s="3">
        <f t="shared" si="3"/>
        <v>0.20540211790191099</v>
      </c>
      <c r="Y31" s="3">
        <f t="shared" si="3"/>
        <v>0.3755732317367102</v>
      </c>
      <c r="AA31" s="3">
        <f>AVERAGE(B31:F31,H31:X31)</f>
        <v>0.20462492321977035</v>
      </c>
    </row>
    <row r="32" spans="1:52">
      <c r="A32" t="s">
        <v>2508</v>
      </c>
      <c r="B32" s="9">
        <f>B26/B7*100</f>
        <v>74.163186104348</v>
      </c>
      <c r="C32" s="9">
        <f t="shared" ref="C32:Y32" si="4">C26/C7*100</f>
        <v>77.689664729657082</v>
      </c>
      <c r="D32" s="9">
        <f t="shared" si="4"/>
        <v>80.870444926107481</v>
      </c>
      <c r="E32" s="9">
        <f t="shared" si="4"/>
        <v>77.049522799642418</v>
      </c>
      <c r="F32" s="9">
        <f t="shared" si="4"/>
        <v>80.80640168997374</v>
      </c>
      <c r="G32" s="9">
        <f t="shared" si="4"/>
        <v>81.281961707655896</v>
      </c>
      <c r="H32" s="9">
        <f t="shared" si="4"/>
        <v>86.356214040830608</v>
      </c>
      <c r="I32" s="9">
        <f t="shared" si="4"/>
        <v>87.723414465985343</v>
      </c>
      <c r="J32" s="9">
        <f t="shared" si="4"/>
        <v>86.319126868234719</v>
      </c>
      <c r="K32" s="9">
        <f t="shared" si="4"/>
        <v>84.266685083280066</v>
      </c>
      <c r="L32" s="9">
        <f t="shared" si="4"/>
        <v>91.863786356974941</v>
      </c>
      <c r="M32" s="9">
        <f t="shared" si="4"/>
        <v>74.876365010256279</v>
      </c>
      <c r="N32" s="9">
        <f t="shared" si="4"/>
        <v>67.293977321595605</v>
      </c>
      <c r="O32" s="9">
        <f t="shared" si="4"/>
        <v>90.086148051045527</v>
      </c>
      <c r="P32" s="9">
        <f t="shared" si="4"/>
        <v>93.169121944550795</v>
      </c>
      <c r="Q32" s="9">
        <f t="shared" si="4"/>
        <v>81.049804193860894</v>
      </c>
      <c r="R32" s="9">
        <f t="shared" si="4"/>
        <v>90.474314119387429</v>
      </c>
      <c r="S32" s="9">
        <f t="shared" si="4"/>
        <v>85.405130924491246</v>
      </c>
      <c r="T32" s="9">
        <f t="shared" si="4"/>
        <v>97.247563795673102</v>
      </c>
      <c r="U32" s="9">
        <f t="shared" si="4"/>
        <v>81.343064094638422</v>
      </c>
      <c r="V32" s="9">
        <f t="shared" si="4"/>
        <v>89.295211836544652</v>
      </c>
      <c r="W32" s="9">
        <f t="shared" si="4"/>
        <v>85.26886779455613</v>
      </c>
      <c r="X32" s="9">
        <f t="shared" si="4"/>
        <v>95.084933438068191</v>
      </c>
      <c r="Y32" s="9">
        <f t="shared" si="4"/>
        <v>106.61071199445719</v>
      </c>
      <c r="AA32" s="3"/>
    </row>
    <row r="33" spans="1:27">
      <c r="A33" t="s">
        <v>2504</v>
      </c>
      <c r="B33" s="4">
        <f t="shared" ref="B33:X33" si="5">B31/B14*100</f>
        <v>16.230502074902908</v>
      </c>
      <c r="C33" s="9">
        <f t="shared" si="5"/>
        <v>13.39994823250451</v>
      </c>
      <c r="D33" s="9">
        <f t="shared" si="5"/>
        <v>13.542446521264806</v>
      </c>
      <c r="E33" s="9">
        <f t="shared" si="5"/>
        <v>11.560904517738097</v>
      </c>
      <c r="F33" s="4">
        <f t="shared" si="5"/>
        <v>17.357971951024464</v>
      </c>
      <c r="G33" s="9">
        <f t="shared" si="5"/>
        <v>28.499041607868115</v>
      </c>
      <c r="H33" s="9">
        <f t="shared" si="5"/>
        <v>11.721204966989196</v>
      </c>
      <c r="I33" s="9">
        <f t="shared" si="5"/>
        <v>11.035234680252673</v>
      </c>
      <c r="J33" s="9">
        <f t="shared" si="5"/>
        <v>11.756083557488401</v>
      </c>
      <c r="K33" s="9">
        <f t="shared" si="5"/>
        <v>11.438274931676624</v>
      </c>
      <c r="L33" s="9">
        <f t="shared" si="5"/>
        <v>9.5727293068951909</v>
      </c>
      <c r="M33" s="9">
        <f t="shared" si="5"/>
        <v>12.617904131580854</v>
      </c>
      <c r="N33" s="9">
        <f t="shared" si="5"/>
        <v>20.301511193061998</v>
      </c>
      <c r="O33" s="9">
        <f t="shared" si="5"/>
        <v>11.727725151061268</v>
      </c>
      <c r="P33" s="9">
        <f t="shared" si="5"/>
        <v>11.564240422611132</v>
      </c>
      <c r="Q33" s="9">
        <f t="shared" si="5"/>
        <v>17.613880843675208</v>
      </c>
      <c r="R33" s="9">
        <f t="shared" si="5"/>
        <v>14.044931039620149</v>
      </c>
      <c r="S33" s="9">
        <f t="shared" si="5"/>
        <v>10.413370251467125</v>
      </c>
      <c r="T33" s="9">
        <f t="shared" si="5"/>
        <v>14.23273619386371</v>
      </c>
      <c r="U33" s="9">
        <f t="shared" si="5"/>
        <v>11.086065135976137</v>
      </c>
      <c r="V33" s="9">
        <f t="shared" si="5"/>
        <v>12.490472910345847</v>
      </c>
      <c r="W33" s="9">
        <f t="shared" si="5"/>
        <v>10.415825455563148</v>
      </c>
      <c r="X33" s="9">
        <f t="shared" si="5"/>
        <v>12.5936854028132</v>
      </c>
      <c r="Y33" s="9">
        <f>Y31/Y14*100</f>
        <v>51.348570853293865</v>
      </c>
      <c r="Z33" s="9"/>
      <c r="AA33" s="3">
        <f>AVERAGE(B33:F33,H33:X33)</f>
        <v>13.032620403289844</v>
      </c>
    </row>
    <row r="65" spans="1:40">
      <c r="L65" s="8" t="s">
        <v>2505</v>
      </c>
      <c r="M65" s="8"/>
      <c r="W65" s="8" t="s">
        <v>2507</v>
      </c>
      <c r="X65" s="8"/>
    </row>
    <row r="70" spans="1:40">
      <c r="AN70" s="8" t="s">
        <v>2509</v>
      </c>
    </row>
    <row r="78" spans="1:40">
      <c r="B78" t="s">
        <v>2498</v>
      </c>
    </row>
    <row r="79" spans="1:40">
      <c r="B79" s="8" t="s">
        <v>2499</v>
      </c>
      <c r="C79" s="8"/>
      <c r="J79" s="8" t="s">
        <v>2507</v>
      </c>
      <c r="K79" s="8"/>
    </row>
    <row r="80" spans="1:40">
      <c r="A80" s="71"/>
      <c r="B80" s="4" t="s">
        <v>2506</v>
      </c>
      <c r="C80" s="4" t="s">
        <v>219</v>
      </c>
      <c r="D80" s="3" t="s">
        <v>146</v>
      </c>
      <c r="E80" s="4" t="s">
        <v>150</v>
      </c>
      <c r="F80" s="4" t="s">
        <v>29</v>
      </c>
      <c r="G80" s="4" t="s">
        <v>328</v>
      </c>
      <c r="H80" s="4" t="s">
        <v>125</v>
      </c>
      <c r="I80" s="4" t="s">
        <v>220</v>
      </c>
      <c r="J80" s="4" t="s">
        <v>168</v>
      </c>
      <c r="K80" s="4" t="s">
        <v>170</v>
      </c>
      <c r="L80" s="4" t="s">
        <v>221</v>
      </c>
      <c r="M80" s="4" t="s">
        <v>171</v>
      </c>
      <c r="N80" s="4" t="s">
        <v>329</v>
      </c>
      <c r="O80" s="4" t="s">
        <v>173</v>
      </c>
      <c r="P80" s="21" t="s">
        <v>210</v>
      </c>
      <c r="Q80" s="4" t="s">
        <v>184</v>
      </c>
      <c r="R80" s="4" t="s">
        <v>186</v>
      </c>
      <c r="S80" s="4" t="s">
        <v>223</v>
      </c>
      <c r="T80" s="4" t="s">
        <v>224</v>
      </c>
      <c r="U80" s="4" t="s">
        <v>196</v>
      </c>
      <c r="V80" s="4" t="s">
        <v>211</v>
      </c>
      <c r="W80" s="4" t="s">
        <v>200</v>
      </c>
      <c r="X80" s="4" t="s">
        <v>225</v>
      </c>
      <c r="Y80" s="4" t="s">
        <v>226</v>
      </c>
    </row>
    <row r="81" spans="1:27">
      <c r="A81">
        <v>2010</v>
      </c>
      <c r="B81" s="3">
        <f>Australia!Z122/Australia!F122</f>
        <v>1.3908390131730575</v>
      </c>
      <c r="C81" s="3">
        <f>Austria!Z122/Austria!F122</f>
        <v>1.8707930826715251</v>
      </c>
      <c r="D81" s="3">
        <f>Belgium!Z122/Belgium!F122</f>
        <v>2.2153738295867189</v>
      </c>
      <c r="E81" s="3">
        <f>Britain!Z122/100/Britain!F122</f>
        <v>2.1427069775087957</v>
      </c>
      <c r="F81" s="3">
        <f>Canada!Z122/100/Canada!F122</f>
        <v>1.1432739847114597</v>
      </c>
      <c r="G81" s="3">
        <f>China!Z122/China!F122</f>
        <v>1.23327478505953</v>
      </c>
      <c r="H81" s="3">
        <f>Denmark!Z122/Denmark!F122</f>
        <v>2.1556972216159211</v>
      </c>
      <c r="I81" s="3">
        <f>Finland!Z122/100/Finland!F122</f>
        <v>2.0441088035613761</v>
      </c>
      <c r="J81" s="3">
        <f>France!Z122/100/France!F122</f>
        <v>1.9765607645483878</v>
      </c>
      <c r="K81" s="3">
        <f>Germany!Z122/100/Germany!F122</f>
        <v>2.0340818784046286</v>
      </c>
      <c r="L81" s="3">
        <f>Greece!Z122/Greece!F122</f>
        <v>1.9519919186178909</v>
      </c>
      <c r="M81" s="3">
        <f>Hungary!Z122/Hungary!F122</f>
        <v>1.9556018875804566</v>
      </c>
      <c r="N81" s="3">
        <f>India!Z122/India!F122</f>
        <v>1.834387664013289</v>
      </c>
      <c r="O81" s="3">
        <f>Ireland!Z122/Ireland!F122</f>
        <v>1.8586131721145673</v>
      </c>
      <c r="P81" s="3">
        <f>Italy!Z122/100/Italy!F122</f>
        <v>1.9798062311903135</v>
      </c>
      <c r="Q81" s="3">
        <f>Japan!Z122/Japan!F122</f>
        <v>1.6110041178917016</v>
      </c>
      <c r="R81" s="3">
        <f>Korea!Z122/Korea!F122</f>
        <v>1.6233820265195906</v>
      </c>
      <c r="S81" s="3">
        <f>Netherlands!Z122/100/Netherlands!F122</f>
        <v>2.245479259351169</v>
      </c>
      <c r="T81" s="3">
        <f>'New Zealand'!Z122/100/'New Zealand'!F122</f>
        <v>1.432275294870655</v>
      </c>
      <c r="U81" s="3">
        <f>Norway!Z122/Norway!F122</f>
        <v>2.4822925095084196</v>
      </c>
      <c r="V81" s="3">
        <f>Spain!Z122/100/Spain!F122</f>
        <v>1.6986238394949558</v>
      </c>
      <c r="W81" s="3">
        <f>Sweden!Z122/Sweden!F122</f>
        <v>1.9164749242717403</v>
      </c>
      <c r="X81" s="3">
        <f>Swiss!Z122/Swiss!F122</f>
        <v>1.5519314456824014</v>
      </c>
      <c r="Y81" s="3">
        <f>USA!Z135/100</f>
        <v>0.87247965377270009</v>
      </c>
      <c r="AA81" s="3"/>
    </row>
    <row r="82" spans="1:27">
      <c r="A82">
        <v>2011</v>
      </c>
      <c r="B82" s="3">
        <f>Australia!Z123/Australia!F123</f>
        <v>1.6738387544215201</v>
      </c>
      <c r="C82" s="3">
        <f>Austria!Z123/Austria!F123</f>
        <v>2.2015184550151008</v>
      </c>
      <c r="D82" s="3">
        <f>Belgium!Z123/Belgium!F123</f>
        <v>2.5084899204100859</v>
      </c>
      <c r="E82" s="3">
        <f>Britain!Z123/100/Britain!F123</f>
        <v>2.4248919009848193</v>
      </c>
      <c r="F82" s="3">
        <f>Canada!Z123/100/Canada!F123</f>
        <v>1.3920006577288802</v>
      </c>
      <c r="G82" s="3">
        <f>China!Z123/China!F123</f>
        <v>1.3602991562221276</v>
      </c>
      <c r="H82" s="3">
        <f>Denmark!Z123/Denmark!F123</f>
        <v>2.4208160958803786</v>
      </c>
      <c r="I82" s="3">
        <f>Finland!Z123/100/Finland!F123</f>
        <v>2.3203989194910122</v>
      </c>
      <c r="J82" s="3">
        <f>France!Z123/100/France!F123</f>
        <v>2.2558661813150254</v>
      </c>
      <c r="K82" s="3">
        <f>Germany!Z123/100/Germany!F123</f>
        <v>2.307112573984079</v>
      </c>
      <c r="L82" s="3">
        <f>Greece!Z123/Greece!F123</f>
        <v>2.3000686584798373</v>
      </c>
      <c r="M82" s="3">
        <f>Hungary!Z123/Hungary!F123</f>
        <v>2.1694589927122108</v>
      </c>
      <c r="N82" s="3">
        <f>India!Z123/India!F123</f>
        <v>2.0193850361030927</v>
      </c>
      <c r="O82" s="3">
        <f>Ireland!Z123/Ireland!F123</f>
        <v>2.1048406193918656</v>
      </c>
      <c r="P82" s="3">
        <f>Italy!Z123/100/Italy!F123</f>
        <v>2.2954564907777675</v>
      </c>
      <c r="Q82" s="3">
        <f>Japan!Z123/Japan!F123</f>
        <v>1.9400093480719312</v>
      </c>
      <c r="R82" s="3">
        <f>Korea!Z123/Korea!F123</f>
        <v>1.851872247448346</v>
      </c>
      <c r="S82" s="3">
        <f>Netherlands!Z123/100/Netherlands!F123</f>
        <v>2.52498554062405</v>
      </c>
      <c r="T82" s="3">
        <f>'New Zealand'!Z123/100/'New Zealand'!F123</f>
        <v>1.8053745596543518</v>
      </c>
      <c r="U82" s="3">
        <f>Norway!Z123/Norway!F123</f>
        <v>2.9311038976940229</v>
      </c>
      <c r="V82" s="3">
        <f>Spain!Z123/100/Spain!F123</f>
        <v>1.9432698393386507</v>
      </c>
      <c r="W82" s="3">
        <f>Sweden!Z123/Sweden!F123</f>
        <v>2.2593219159087203</v>
      </c>
      <c r="X82" s="3">
        <f>Swiss!Z123/Swiss!F123</f>
        <v>1.9313207428188917</v>
      </c>
      <c r="Y82" s="3">
        <f>USA!Z136/100</f>
        <v>1.0383499613837655</v>
      </c>
      <c r="AA82" s="3"/>
    </row>
    <row r="83" spans="1:27">
      <c r="A83">
        <v>2012</v>
      </c>
      <c r="B83" s="3">
        <f>Australia!Z124/Australia!F124</f>
        <v>1.6640110230886334</v>
      </c>
      <c r="C83" s="3">
        <f>Austria!Z124/Austria!F124</f>
        <v>2.0703064743017996</v>
      </c>
      <c r="D83" s="3">
        <f>Belgium!Z124/Belgium!F124</f>
        <v>2.3536061032996445</v>
      </c>
      <c r="E83" s="3">
        <f>Britain!Z124/100/Britain!F124</f>
        <v>2.3658485220685757</v>
      </c>
      <c r="F83" s="3">
        <f>Canada!Z124/100/Canada!F124</f>
        <v>1.3909668873084264</v>
      </c>
      <c r="G83" s="3">
        <f>China!Z124/China!F124</f>
        <v>1.366181466338348</v>
      </c>
      <c r="H83" s="3">
        <f>Denmark!Z124/Denmark!F124</f>
        <v>2.2937389861943815</v>
      </c>
      <c r="I83" s="3">
        <f>Finland!Z124/100/Finland!F124</f>
        <v>2.2082197760202957</v>
      </c>
      <c r="J83" s="3">
        <f>France!Z124/100/France!F124</f>
        <v>2.1159076220993764</v>
      </c>
      <c r="K83" s="3">
        <f>Germany!Z124/100/Germany!F124</f>
        <v>2.2311309052927264</v>
      </c>
      <c r="L83" s="3">
        <f>Greece!Z124/Greece!F124</f>
        <v>2.1664431545133014</v>
      </c>
      <c r="M83" s="3">
        <f>Hungary!Z124/Hungary!F124</f>
        <v>2.086426553048875</v>
      </c>
      <c r="N83" s="3">
        <f>India!Z124/India!F124</f>
        <v>1.7993658690722196</v>
      </c>
      <c r="O83" s="3">
        <f>Ireland!Z124/Ireland!F124</f>
        <v>2.094631264991786</v>
      </c>
      <c r="P83" s="3">
        <f>Italy!Z124/100/Italy!F124</f>
        <v>2.3751806147808829</v>
      </c>
      <c r="Q83" s="3">
        <f>Japan!Z124/Japan!F124</f>
        <v>1.9628453149173279</v>
      </c>
      <c r="R83" s="3">
        <f>Korea!Z124/Korea!F124</f>
        <v>1.8226478580057168</v>
      </c>
      <c r="S83" s="3">
        <f>Netherlands!Z124/100/Netherlands!F124</f>
        <v>2.3825904287891309</v>
      </c>
      <c r="T83" s="3">
        <f>'New Zealand'!Z124/100/'New Zealand'!F124</f>
        <v>1.8879976182643767</v>
      </c>
      <c r="U83" s="3">
        <f>Norway!Z124/Norway!F124</f>
        <v>2.887678603301286</v>
      </c>
      <c r="V83" s="3">
        <f>Spain!Z124/100/Spain!F124</f>
        <v>1.8462668661620001</v>
      </c>
      <c r="W83" s="3">
        <f>Sweden!Z124/Sweden!F124</f>
        <v>2.3090759097721847</v>
      </c>
      <c r="X83" s="3">
        <f>Swiss!Z124/Swiss!F124</f>
        <v>1.8857396267137239</v>
      </c>
      <c r="Y83" s="3">
        <f>USA!Z137/100</f>
        <v>1.0141815328177473</v>
      </c>
      <c r="AA83" s="3"/>
    </row>
    <row r="84" spans="1:27">
      <c r="A84">
        <v>2013</v>
      </c>
      <c r="B84" s="3">
        <f>Australia!Z125/Australia!F125</f>
        <v>1.5414390996949636</v>
      </c>
      <c r="C84" s="3">
        <f>Austria!Z125/Austria!F125</f>
        <v>1.991547878783257</v>
      </c>
      <c r="D84" s="3">
        <f>Belgium!Z125/Belgium!F125</f>
        <v>2.3413100783772207</v>
      </c>
      <c r="E84" s="3">
        <f>Britain!Z125/100/Britain!F125</f>
        <v>2.2607692605976508</v>
      </c>
      <c r="F84" s="3">
        <f>Canada!Z125/100/Canada!F125</f>
        <v>1.3453190957089272</v>
      </c>
      <c r="G84" s="3">
        <f>China!Z125/China!F125</f>
        <v>1.3221308587000267</v>
      </c>
      <c r="H84" s="3">
        <f>Denmark!Z125/Denmark!F125</f>
        <v>2.2978514275422408</v>
      </c>
      <c r="I84" s="3">
        <f>Finland!Z125/100/Finland!F125</f>
        <v>2.2156090647278557</v>
      </c>
      <c r="J84" s="3">
        <f>France!Z125/100/France!F125</f>
        <v>2.1273545137483207</v>
      </c>
      <c r="K84" s="3">
        <f>Germany!Z125/100/Germany!F125</f>
        <v>2.2200028732663157</v>
      </c>
      <c r="L84" s="3">
        <f>Greece!Z125/Greece!F125</f>
        <v>2.2033181783343831</v>
      </c>
      <c r="M84" s="3">
        <f>Hungary!Z125/Hungary!F125</f>
        <v>1.9948430684941614</v>
      </c>
      <c r="N84" s="3">
        <f>India!Z125/India!F125</f>
        <v>1.4724062061201761</v>
      </c>
      <c r="O84" s="3">
        <f>Ireland!Z125/Ireland!F125</f>
        <v>2.1017225588713426</v>
      </c>
      <c r="P84" s="3">
        <f>Italy!Z125/100/Italy!F125</f>
        <v>2.3882913903359282</v>
      </c>
      <c r="Q84" s="3">
        <f>Japan!Z125/Japan!F125</f>
        <v>1.726142509263253</v>
      </c>
      <c r="R84" s="3">
        <f>Korea!Z125/Korea!F125</f>
        <v>1.8024550235309198</v>
      </c>
      <c r="S84" s="3">
        <f>Netherlands!Z125/100/Netherlands!F125</f>
        <v>2.4196681600451613</v>
      </c>
      <c r="T84" s="3">
        <f>'New Zealand'!Z125/100/'New Zealand'!F125</f>
        <v>1.8702414441854376</v>
      </c>
      <c r="U84" s="3">
        <f>Norway!Z125/Norway!F125</f>
        <v>2.9176071674867088</v>
      </c>
      <c r="V84" s="3">
        <f>Spain!Z125/100/Spain!F125</f>
        <v>1.9065028628303946</v>
      </c>
      <c r="W84" s="3">
        <f>Sweden!Z125/Sweden!F125</f>
        <v>2.3408675462045867</v>
      </c>
      <c r="X84" s="3">
        <f>Swiss!Z125/Swiss!F125</f>
        <v>1.9143732849501434</v>
      </c>
      <c r="Y84" s="3">
        <f>USA!Z138/100</f>
        <v>1.0344417884382646</v>
      </c>
      <c r="AA84" s="3"/>
    </row>
    <row r="85" spans="1:27">
      <c r="A85">
        <v>2014</v>
      </c>
      <c r="B85" s="3">
        <f>Australia!Z126/Australia!F126</f>
        <v>1.3994760809034159</v>
      </c>
      <c r="C85" s="3">
        <f>Austria!Z126/Austria!F126</f>
        <v>1.8876630863879096</v>
      </c>
      <c r="D85" s="3">
        <f>Belgium!Z126/Belgium!F126</f>
        <v>2.2401918654663113</v>
      </c>
      <c r="E85" s="3">
        <f>Britain!Z126/100/Britain!F126</f>
        <v>2.238215711091105</v>
      </c>
      <c r="F85" s="3">
        <f>Canada!Z126/100/Canada!F126</f>
        <v>1.2329695098973878</v>
      </c>
      <c r="G85" s="3">
        <f>China!Z126/China!F126</f>
        <v>1.2654327970311181</v>
      </c>
      <c r="H85" s="3">
        <f>Denmark!Z126/Denmark!F126</f>
        <v>2.2483751777072056</v>
      </c>
      <c r="I85" s="3">
        <f>Finland!Z126/100/Finland!F126</f>
        <v>2.1544755485369795</v>
      </c>
      <c r="J85" s="3">
        <f>France!Z126/100/France!F126</f>
        <v>2.0454280743622251</v>
      </c>
      <c r="K85" s="3">
        <f>Germany!Z126/100/Germany!F126</f>
        <v>2.1233951673300639</v>
      </c>
      <c r="L85" s="3">
        <f>Greece!Z126/Greece!F126</f>
        <v>2.1520059991869456</v>
      </c>
      <c r="M85" s="3">
        <f>Hungary!Z126/Hungary!F126</f>
        <v>1.873337847139052</v>
      </c>
      <c r="N85" s="3">
        <f>India!Z126/India!F126</f>
        <v>1.2989241481192659</v>
      </c>
      <c r="O85" s="3">
        <f>Ireland!Z126/Ireland!F126</f>
        <v>2.0219480770200779</v>
      </c>
      <c r="P85" s="3">
        <f>Italy!Z126/100/Italy!F126</f>
        <v>2.321107899390678</v>
      </c>
      <c r="Q85" s="3">
        <f>Japan!Z126/Japan!F126</f>
        <v>1.5727940431899223</v>
      </c>
      <c r="R85" s="3">
        <f>Korea!Z126/Korea!F126</f>
        <v>1.7570452242907797</v>
      </c>
      <c r="S85" s="3">
        <f>Netherlands!Z126/100/Netherlands!F126</f>
        <v>2.3376453860376762</v>
      </c>
      <c r="T85" s="3">
        <f>'New Zealand'!Z126/100/'New Zealand'!F126</f>
        <v>1.8774659643743044</v>
      </c>
      <c r="U85" s="3">
        <f>Norway!Z126/Norway!F126</f>
        <v>2.70294768502723</v>
      </c>
      <c r="V85" s="3">
        <f>Spain!Z126/100/Spain!F126</f>
        <v>1.8362271915955801</v>
      </c>
      <c r="W85" s="3">
        <f>Sweden!Z126/Sweden!F126</f>
        <v>2.1959005872867774</v>
      </c>
      <c r="X85" s="3">
        <f>Swiss!Z126/Swiss!F126</f>
        <v>1.8616613088621699</v>
      </c>
      <c r="Y85" s="3">
        <f>USA!Z139/100</f>
        <v>0.98312244761820167</v>
      </c>
      <c r="AA85" s="3"/>
    </row>
    <row r="86" spans="1:27">
      <c r="A86">
        <v>2015</v>
      </c>
      <c r="B86" s="3">
        <f>Australia!Z127/Australia!F127</f>
        <v>0.96486146769278369</v>
      </c>
      <c r="C86" s="3">
        <f>Austria!Z127/Austria!F127</f>
        <v>1.3486039746997904</v>
      </c>
      <c r="D86" s="3">
        <f>Belgium!Z127/Belgium!F127</f>
        <v>1.6023948367473415</v>
      </c>
      <c r="E86" s="3">
        <f>Britain!Z127/100/Britain!F127</f>
        <v>1.7843892713878355</v>
      </c>
      <c r="F86" s="3">
        <f>Canada!Z127/100/Canada!F127</f>
        <v>0.8734022282330669</v>
      </c>
      <c r="G86" s="3">
        <f>China!Z127/China!F127</f>
        <v>0.87994703043334022</v>
      </c>
      <c r="H86" s="3">
        <f>Denmark!Z127/Denmark!F127</f>
        <v>1.6507304233395825</v>
      </c>
      <c r="I86" s="3">
        <f>Finland!Z127/100/Finland!F127</f>
        <v>1.5979121585685041</v>
      </c>
      <c r="J86" s="3">
        <f>France!Z127/100/France!F127</f>
        <v>1.5130564592228852</v>
      </c>
      <c r="K86" s="3">
        <f>Germany!Z127/100/Germany!F127</f>
        <v>1.5534787603110531</v>
      </c>
      <c r="L86" s="3">
        <f>Greece!Z127/Greece!F127</f>
        <v>1.6209661675058051</v>
      </c>
      <c r="M86" s="3">
        <f>Hungary!Z127/Hungary!F127</f>
        <v>1.3365409117939311</v>
      </c>
      <c r="N86" s="3">
        <f>India!Z127/India!F127</f>
        <v>1.043718710368694</v>
      </c>
      <c r="O86" s="3">
        <f>Ireland!Z127/Ireland!F127</f>
        <v>1.4844352527038502</v>
      </c>
      <c r="P86" s="3">
        <f>Italy!Z127/100/Italy!F127</f>
        <v>1.6981269837614541</v>
      </c>
      <c r="Q86" s="3">
        <f>Japan!Z127/Japan!F127</f>
        <v>1.1197949153490454</v>
      </c>
      <c r="R86" s="3">
        <f>Korea!Z127/Korea!F127</f>
        <v>1.3390268168369295</v>
      </c>
      <c r="S86" s="3">
        <f>Netherlands!Z127/100/Netherlands!F127</f>
        <v>1.7300722485727424</v>
      </c>
      <c r="T86" s="3">
        <f>'New Zealand'!Z127/100/'New Zealand'!F127</f>
        <v>1.4288839489067857</v>
      </c>
      <c r="U86" s="3">
        <f>Norway!Z127/Norway!F127</f>
        <v>2.0152380905024669</v>
      </c>
      <c r="V86" s="3">
        <f>Spain!Z127/100/Spain!F127</f>
        <v>1.3397385668227098</v>
      </c>
      <c r="W86" s="3">
        <f>Sweden!Z127/Sweden!F127</f>
        <v>1.6142685224273725</v>
      </c>
      <c r="X86" s="3">
        <f>Swiss!Z127/Swiss!F127</f>
        <v>1.5309885843921636</v>
      </c>
      <c r="Y86" s="3">
        <f>USA!Z140/100</f>
        <v>0.63355226376880258</v>
      </c>
      <c r="AA86" s="3"/>
    </row>
    <row r="87" spans="1:27">
      <c r="A87">
        <v>2016</v>
      </c>
      <c r="B87" s="3">
        <f>Australia!Z128/Australia!F128</f>
        <v>0.90309155065694291</v>
      </c>
      <c r="C87" s="3">
        <f>Austria!Z128/Austria!F128</f>
        <v>1.2768000920990565</v>
      </c>
      <c r="D87" s="3">
        <f>Belgium!Z128/Belgium!F128</f>
        <v>1.5058319793914923</v>
      </c>
      <c r="E87" s="3">
        <f>Britain!Z128/100/Britain!F128</f>
        <v>1.5381563499381654</v>
      </c>
      <c r="F87" s="3">
        <f>Canada!Z128/100/Canada!F128</f>
        <v>0.80815440987623133</v>
      </c>
      <c r="G87" s="3">
        <f>China!Z128/China!F128</f>
        <v>0.76520910830949473</v>
      </c>
      <c r="H87" s="3">
        <f>Denmark!Z128/Denmark!F128</f>
        <v>1.5859145949344846</v>
      </c>
      <c r="I87" s="3">
        <f>Finland!Z128/100/Finland!F128</f>
        <v>1.5300562666356354</v>
      </c>
      <c r="J87" s="3">
        <f>France!Z128/100/France!F128</f>
        <v>1.4698574174746835</v>
      </c>
      <c r="K87" s="3">
        <f>Germany!Z128/100/Germany!F128</f>
        <v>1.4842980401095898</v>
      </c>
      <c r="L87" s="3">
        <f>Greece!Z128/Greece!F128</f>
        <v>1.5778392160801751</v>
      </c>
      <c r="M87" s="3">
        <f>Hungary!Z128/Hungary!F128</f>
        <v>1.2442746322962344</v>
      </c>
      <c r="N87" s="3">
        <f>India!Z128/India!F128</f>
        <v>1.0132067867531689</v>
      </c>
      <c r="O87" s="3">
        <f>Ireland!Z128/Ireland!F128</f>
        <v>1.4233783482701454</v>
      </c>
      <c r="P87" s="3">
        <f>Italy!Z128/100/Italy!F128</f>
        <v>1.6306252953470313</v>
      </c>
      <c r="Q87" s="3">
        <f>Japan!Z128/Japan!F128</f>
        <v>1.1359621877055293</v>
      </c>
      <c r="R87" s="3">
        <f>Korea!Z128/Korea!F128</f>
        <v>1.2451512048444004</v>
      </c>
      <c r="S87" s="3">
        <f>Netherlands!Z128/100/Netherlands!F128</f>
        <v>1.6658221010973107</v>
      </c>
      <c r="T87" s="3">
        <f>'New Zealand'!Z128/100/'New Zealand'!F128</f>
        <v>1.3549483341264945</v>
      </c>
      <c r="U87" s="3">
        <f>Norway!Z128/Norway!F128</f>
        <v>1.847947152659577</v>
      </c>
      <c r="V87" s="3">
        <f>Spain!Z128/100/Spain!F128</f>
        <v>1.308165450552736</v>
      </c>
      <c r="W87" s="3">
        <f>Sweden!Z128/Sweden!F128</f>
        <v>1.5906203810930455</v>
      </c>
      <c r="X87" s="3">
        <f>Swiss!Z128/Swiss!F128</f>
        <v>1.4487913094198808</v>
      </c>
      <c r="Y87" s="3">
        <f>USA!Z141/100</f>
        <v>0.58492730084325439</v>
      </c>
      <c r="AA87" s="3"/>
    </row>
    <row r="88" spans="1:27">
      <c r="A88">
        <v>2017</v>
      </c>
      <c r="B88" s="3">
        <f>Australia!Z129/Australia!F129</f>
        <v>0.99169914140477056</v>
      </c>
      <c r="C88" s="3">
        <f>Austria!Z129/Austria!F129</f>
        <v>1.3604224075854836</v>
      </c>
      <c r="D88" s="3">
        <f>Belgium!Z129/Belgium!F129</f>
        <v>1.5968202246410124</v>
      </c>
      <c r="E88" s="3">
        <f>Britain!Z129/100/Britain!F129</f>
        <v>1.5438288769690125</v>
      </c>
      <c r="F88" s="3">
        <f>Canada!Z129/100/Canada!F129</f>
        <v>0.87960777039051019</v>
      </c>
      <c r="G88" s="3">
        <f>China!Z129/China!F129</f>
        <v>0.73559480675450084</v>
      </c>
      <c r="H88" s="3">
        <f>Denmark!Z129/Denmark!F129</f>
        <v>1.6858367043558278</v>
      </c>
      <c r="I88" s="3">
        <f>Finland!Z129/100/Finland!F129</f>
        <v>1.6609629385559455</v>
      </c>
      <c r="J88" s="3">
        <f>France!Z129/100/France!F129</f>
        <v>1.584060143700724</v>
      </c>
      <c r="K88" s="3">
        <f>Germany!Z129/100/Germany!F129</f>
        <v>1.5722603564102866</v>
      </c>
      <c r="L88" s="3">
        <f>Greece!Z129/Greece!F129</f>
        <v>1.7191426630177877</v>
      </c>
      <c r="M88" s="3">
        <f>Hungary!Z129/Hungary!F129</f>
        <v>1.3311828581232261</v>
      </c>
      <c r="N88" s="3">
        <f>India!Z129/India!F129</f>
        <v>1.0968313900575586</v>
      </c>
      <c r="O88" s="3">
        <f>Ireland!Z129/Ireland!F129</f>
        <v>1.5252773607264891</v>
      </c>
      <c r="P88" s="3">
        <f>Italy!Z129/100/Italy!F129</f>
        <v>1.7336626942903497</v>
      </c>
      <c r="Q88" s="3">
        <f>Japan!Z129/Japan!F129</f>
        <v>1.1975851895461544</v>
      </c>
      <c r="R88" s="3">
        <f>Korea!Z129/Korea!F129</f>
        <v>1.336507811737994</v>
      </c>
      <c r="S88" s="3">
        <f>Netherlands!Z129/100/Netherlands!F129</f>
        <v>1.7649650686599154</v>
      </c>
      <c r="T88" s="3">
        <f>'New Zealand'!Z129/100/'New Zealand'!F129</f>
        <v>1.4535922265782579</v>
      </c>
      <c r="U88" s="3">
        <f>Norway!Z129/Norway!F129</f>
        <v>1.9925811179910973</v>
      </c>
      <c r="V88" s="3">
        <f>Spain!Z129/100/Spain!F129</f>
        <v>1.3922741862408414</v>
      </c>
      <c r="W88" s="3">
        <f>Sweden!Z129/Sweden!F129</f>
        <v>1.6815828411221256</v>
      </c>
      <c r="X88" s="3">
        <f>Swiss!Z129/Swiss!F129</f>
        <v>1.521497601272578</v>
      </c>
      <c r="Y88" s="3">
        <f>USA!Z142/100</f>
        <v>0.63537346507497849</v>
      </c>
      <c r="AA88" s="3"/>
    </row>
    <row r="89" spans="1:27">
      <c r="A89">
        <v>2018</v>
      </c>
      <c r="B89" s="3">
        <f>Australia!Z130/Australia!F130</f>
        <v>1.0680261449170629</v>
      </c>
      <c r="C89" s="3">
        <f>Austria!Z130/Austria!F130</f>
        <v>1.5082478725263737</v>
      </c>
      <c r="D89" s="3">
        <f>Belgium!Z130/Belgium!F130</f>
        <v>1.7866683533036822</v>
      </c>
      <c r="E89" s="3">
        <f>Britain!Z130/100/Britain!F130</f>
        <v>1.6747512456919096</v>
      </c>
      <c r="F89" s="3">
        <f>Canada!Z130/100/Canada!F130</f>
        <v>0.9584569538070109</v>
      </c>
      <c r="G89" s="3">
        <f>China!Z130/China!F130</f>
        <v>0.86045609790939814</v>
      </c>
      <c r="H89" s="3">
        <f>Denmark!Z130/Denmark!F130</f>
        <v>1.871198157870779</v>
      </c>
      <c r="I89" s="3">
        <f>Finland!Z130/100/Finland!F130</f>
        <v>1.8332317369986706</v>
      </c>
      <c r="J89" s="3">
        <f>France!Z130/100/France!F130</f>
        <v>1.7424053608904768</v>
      </c>
      <c r="K89" s="3">
        <f>Germany!Z130/100/Germany!F130</f>
        <v>1.7445776941790199</v>
      </c>
      <c r="L89" s="3">
        <f>Greece!Z130/Greece!F130</f>
        <v>1.9283357929067255</v>
      </c>
      <c r="M89" s="3">
        <f>Hungary!Z130/Hungary!F130</f>
        <v>1.4424101093491213</v>
      </c>
      <c r="N89" s="3">
        <f>India!Z130/India!F130</f>
        <v>1.1295988676734776</v>
      </c>
      <c r="O89" s="3">
        <f>Ireland!Z130/Ireland!F130</f>
        <v>1.6971345599851664</v>
      </c>
      <c r="P89" s="3">
        <f>Italy!Z130/100/Italy!F130</f>
        <v>1.9169732604062935</v>
      </c>
      <c r="Q89" s="3">
        <f>Japan!Z130/Japan!F130</f>
        <v>1.3368947327269944</v>
      </c>
      <c r="R89" s="3">
        <f>Korea!Z130/Korea!F130</f>
        <v>1.4691303672796336</v>
      </c>
      <c r="S89" s="3">
        <f>Netherlands!Z130/100/Netherlands!F130</f>
        <v>1.9530852123099547</v>
      </c>
      <c r="T89" s="3">
        <f>'New Zealand'!Z130/100/'New Zealand'!F130</f>
        <v>1.5369348884991769</v>
      </c>
      <c r="U89" s="3">
        <f>Norway!Z130/Norway!F130</f>
        <v>2.1463085574803884</v>
      </c>
      <c r="V89" s="3">
        <f>Spain!Z130/100/Spain!F130</f>
        <v>1.5425723394158981</v>
      </c>
      <c r="W89" s="3">
        <f>Sweden!Z130/Sweden!F130</f>
        <v>1.744766395198448</v>
      </c>
      <c r="X89" s="3">
        <f>Swiss!Z130/Swiss!F130</f>
        <v>1.6309929248830362</v>
      </c>
      <c r="Y89" s="3">
        <f>USA!Z143/100</f>
        <v>0.73141905508869343</v>
      </c>
      <c r="AA89" s="3"/>
    </row>
    <row r="90" spans="1:27">
      <c r="A90">
        <v>2019</v>
      </c>
      <c r="B90" s="3">
        <f>Australia!Z131/Australia!F131</f>
        <v>1.2505443263780163</v>
      </c>
      <c r="C90" s="3">
        <f>Austria!Z131/Austria!F131</f>
        <v>1.7206669480952588</v>
      </c>
      <c r="D90" s="3">
        <f>Belgium!Z131/Belgium!F131</f>
        <v>2.0409597974361913</v>
      </c>
      <c r="E90" s="3">
        <f>Britain!Z131/100/Britain!F131</f>
        <v>1.878967852445758</v>
      </c>
      <c r="F90" s="3">
        <f>Canada!Z131/100/Canada!F131</f>
        <v>1.1329119532492944</v>
      </c>
      <c r="G90" s="3">
        <f>China!Z131/China!F131</f>
        <v>1.1176058240282538</v>
      </c>
      <c r="H90" s="3">
        <f>Denmark!Z131/Denmark!F131</f>
        <v>2.1019846444932586</v>
      </c>
      <c r="I90" s="3">
        <f>Finland!Z131/100/Finland!F131</f>
        <v>2.046127036906964</v>
      </c>
      <c r="J90" s="3">
        <f>France!Z131/100/France!F131</f>
        <v>1.9578760290941373</v>
      </c>
      <c r="K90" s="3">
        <f>Germany!Z131/100/Germany!F131</f>
        <v>1.9545240420584189</v>
      </c>
      <c r="L90" s="3">
        <f>Greece!Z131/Greece!F131</f>
        <v>2.1228094143203076</v>
      </c>
      <c r="M90" s="3">
        <f>Hungary!Z131/Hungary!F131</f>
        <v>1.6347896621258684</v>
      </c>
      <c r="N90" s="3">
        <f>India!Z131/India!F131</f>
        <v>1.3708287891632278</v>
      </c>
      <c r="O90" s="3">
        <f>Ireland!Z131/Ireland!F131</f>
        <v>1.9065040610988484</v>
      </c>
      <c r="P90" s="3">
        <f>Italy!Z131/100/Italy!F131</f>
        <v>2.1501890421930385</v>
      </c>
      <c r="Q90" s="3">
        <f>Japan!Z131/Japan!F131</f>
        <v>1.583813967455628</v>
      </c>
      <c r="R90" s="3">
        <f>Korea!Z131/Korea!F131</f>
        <v>1.6859558246333641</v>
      </c>
      <c r="S90" s="3">
        <f>Netherlands!Z131/100/Netherlands!F131</f>
        <v>2.1672092451939942</v>
      </c>
      <c r="T90" s="3">
        <f>'New Zealand'!Z131/100/'New Zealand'!F131</f>
        <v>1.7677960773679513</v>
      </c>
      <c r="U90" s="3">
        <f>Norway!Z131/Norway!F131</f>
        <v>2.3974027004282767</v>
      </c>
      <c r="V90" s="3">
        <f>Spain!Z131/100/Spain!F131</f>
        <v>1.7451674103681487</v>
      </c>
      <c r="W90" s="3">
        <f>Sweden!Z131/Sweden!F131</f>
        <v>1.9369492928456615</v>
      </c>
      <c r="X90" s="3">
        <f>Swiss!Z131/Swiss!F131</f>
        <v>1.8459104176736896</v>
      </c>
      <c r="Y90" s="3">
        <f>USA!Z144/100</f>
        <v>0.99012714174907435</v>
      </c>
      <c r="AA90" s="3"/>
    </row>
    <row r="91" spans="1:27">
      <c r="A91">
        <v>2020</v>
      </c>
      <c r="B91" s="3">
        <f>Australia!Z132/Australia!F132</f>
        <v>1.3519711302824966</v>
      </c>
      <c r="C91" s="3">
        <f>Austria!Z132/Austria!F132</f>
        <v>1.8347272464436861</v>
      </c>
      <c r="D91" s="3">
        <f>Belgium!Z132/Belgium!F132</f>
        <v>2.1773375064041853</v>
      </c>
      <c r="E91" s="3">
        <f>Britain!Z132/100/Britain!F132</f>
        <v>1.9961860433953811</v>
      </c>
      <c r="F91" s="3">
        <f>Canada!Z132/100/Canada!F132</f>
        <v>1.2223311506396624</v>
      </c>
      <c r="G91" s="3">
        <f>China!Z132/China!F132</f>
        <v>1.249506628251172</v>
      </c>
      <c r="H91" s="3">
        <f>Denmark!Z132/Denmark!F132</f>
        <v>2.2287050672229101</v>
      </c>
      <c r="I91" s="3">
        <f>Finland!Z132/100/Finland!F132</f>
        <v>2.1632751324400772</v>
      </c>
      <c r="J91" s="3">
        <f>France!Z132/100/France!F132</f>
        <v>2.0754461299972893</v>
      </c>
      <c r="K91" s="3">
        <f>Germany!Z132/100/Germany!F132</f>
        <v>2.0694923581816673</v>
      </c>
      <c r="L91" s="3">
        <f>Greece!Z132/Greece!F132</f>
        <v>2.2320551767521439</v>
      </c>
      <c r="M91" s="3">
        <f>Hungary!Z132/Hungary!F132</f>
        <v>1.7495464719468401</v>
      </c>
      <c r="N91" s="3">
        <f>India!Z132/India!F132</f>
        <v>1.5024674741964659</v>
      </c>
      <c r="O91" s="3">
        <f>Ireland!Z132/Ireland!F132</f>
        <v>2.0207809106166876</v>
      </c>
      <c r="P91" s="3">
        <f>Italy!Z132/100/Italy!F132</f>
        <v>2.2777152674748504</v>
      </c>
      <c r="Q91" s="3">
        <f>Japan!Z132/Japan!F132</f>
        <v>1.7103206847424146</v>
      </c>
      <c r="R91" s="3">
        <f>Korea!Z132/Korea!F132</f>
        <v>1.8019233012929605</v>
      </c>
      <c r="S91" s="3">
        <f>Netherlands!Z132/100/Netherlands!F132</f>
        <v>2.2859957403660438</v>
      </c>
      <c r="T91" s="3">
        <f>'New Zealand'!Z132/100/'New Zealand'!F132</f>
        <v>1.9017461233131683</v>
      </c>
      <c r="U91" s="3">
        <f>Norway!Z132/Norway!F132</f>
        <v>2.5428496006228549</v>
      </c>
      <c r="V91" s="3">
        <f>Spain!Z132/100/Spain!F132</f>
        <v>1.854869152786095</v>
      </c>
      <c r="W91" s="3">
        <f>Sweden!Z132/Sweden!F132</f>
        <v>2.0525182902178218</v>
      </c>
      <c r="X91" s="3">
        <f>Swiss!Z132/Swiss!F132</f>
        <v>1.9511323496050712</v>
      </c>
      <c r="Y91" s="3">
        <f>USA!Z145/100</f>
        <v>1.1397442841028427</v>
      </c>
      <c r="AA91" s="3"/>
    </row>
    <row r="92" spans="1:27">
      <c r="A92">
        <v>2021</v>
      </c>
      <c r="B92" s="3">
        <f>Australia!Z133/Australia!F133</f>
        <v>1.4593642167695928</v>
      </c>
      <c r="C92" s="3">
        <f>Austria!Z133/Austria!F133</f>
        <v>1.9554969741067267</v>
      </c>
      <c r="D92" s="3">
        <f>Belgium!Z133/Belgium!F133</f>
        <v>2.3217374335467658</v>
      </c>
      <c r="E92" s="3">
        <f>Britain!Z133/100/Britain!F133</f>
        <v>2.1202994220479225</v>
      </c>
      <c r="F92" s="3">
        <f>Canada!Z133/100/Canada!F133</f>
        <v>1.3170103008176988</v>
      </c>
      <c r="G92" s="3">
        <f>China!Z133/China!F133</f>
        <v>1.3891663033107322</v>
      </c>
      <c r="H92" s="3">
        <f>Denmark!Z133/Denmark!F133</f>
        <v>2.3628796324660697</v>
      </c>
      <c r="I92" s="3">
        <f>Finland!Z133/100/Finland!F133</f>
        <v>2.2873142924163141</v>
      </c>
      <c r="J92" s="3">
        <f>France!Z133/100/France!F133</f>
        <v>2.1999321191888619</v>
      </c>
      <c r="K92" s="3">
        <f>Germany!Z133/100/Germany!F133</f>
        <v>2.1912235164298122</v>
      </c>
      <c r="L92" s="3">
        <f>Greece!Z133/Greece!F133</f>
        <v>2.3477271605034988</v>
      </c>
      <c r="M92" s="3">
        <f>Hungary!Z133/Hungary!F133</f>
        <v>1.8710536823455159</v>
      </c>
      <c r="N92" s="3">
        <f>India!Z133/India!F133</f>
        <v>1.6418496112904817</v>
      </c>
      <c r="O92" s="3">
        <f>Ireland!Z133/Ireland!F133</f>
        <v>2.1417799277532237</v>
      </c>
      <c r="P92" s="3">
        <f>Italy!Z133/100/Italy!F133</f>
        <v>2.4127430354202972</v>
      </c>
      <c r="Q92" s="3">
        <f>Japan!Z133/Japan!F133</f>
        <v>1.8442689736343054</v>
      </c>
      <c r="R92" s="3">
        <f>Korea!Z133/Korea!F133</f>
        <v>1.92471239422665</v>
      </c>
      <c r="S92" s="3">
        <f>Netherlands!Z133/100/Netherlands!F133</f>
        <v>2.4117696764305667</v>
      </c>
      <c r="T92" s="3">
        <f>'New Zealand'!Z133/100/'New Zealand'!F133</f>
        <v>2.043575583725751</v>
      </c>
      <c r="U92" s="3">
        <f>Norway!Z133/Norway!F133</f>
        <v>2.6968522008288773</v>
      </c>
      <c r="V92" s="3">
        <f>Spain!Z133/100/Spain!F133</f>
        <v>1.9710239388756849</v>
      </c>
      <c r="W92" s="3">
        <f>Sweden!Z133/Sweden!F133</f>
        <v>2.1748854639059907</v>
      </c>
      <c r="X92" s="3">
        <f>Swiss!Z133/Swiss!F133</f>
        <v>2.062543806944181</v>
      </c>
      <c r="Y92" s="3">
        <f>USA!Z146/100</f>
        <v>1.2946629554541658</v>
      </c>
      <c r="AA92" s="3"/>
    </row>
    <row r="93" spans="1:27">
      <c r="A93">
        <v>2022</v>
      </c>
      <c r="B93" s="3">
        <f>Australia!Z134/Australia!F134</f>
        <v>1.507094477430525</v>
      </c>
      <c r="C93" s="3">
        <f>Austria!Z134/Austria!F134</f>
        <v>2.0091724086236344</v>
      </c>
      <c r="D93" s="3">
        <f>Belgium!Z134/Belgium!F134</f>
        <v>2.3859151789434696</v>
      </c>
      <c r="E93" s="3">
        <f>Britain!Z134/100/Britain!F134</f>
        <v>2.1754609236712752</v>
      </c>
      <c r="F93" s="3">
        <f>Canada!Z134/100/Canada!F134</f>
        <v>1.3590899231190487</v>
      </c>
      <c r="G93" s="3">
        <f>China!Z134/China!F134</f>
        <v>1.4512372700038703</v>
      </c>
      <c r="H93" s="3">
        <f>Denmark!Z134/Denmark!F134</f>
        <v>2.4225127725741418</v>
      </c>
      <c r="I93" s="3">
        <f>Finland!Z134/100/Finland!F134</f>
        <v>2.3424428079613091</v>
      </c>
      <c r="J93" s="3">
        <f>France!Z134/100/France!F134</f>
        <v>2.2552592254962276</v>
      </c>
      <c r="K93" s="3">
        <f>Germany!Z134/100/Germany!F134</f>
        <v>2.245326253428988</v>
      </c>
      <c r="L93" s="3">
        <f>Greece!Z134/Greece!F134</f>
        <v>2.3991369310596578</v>
      </c>
      <c r="M93" s="3">
        <f>Hungary!Z134/Hungary!F134</f>
        <v>1.9250568869671505</v>
      </c>
      <c r="N93" s="3">
        <f>India!Z134/India!F134</f>
        <v>1.7037972277767119</v>
      </c>
      <c r="O93" s="3">
        <f>Ireland!Z134/Ireland!F134</f>
        <v>2.1955572687027947</v>
      </c>
      <c r="P93" s="3">
        <f>Italy!Z134/100/Italy!F134</f>
        <v>2.4727553767293853</v>
      </c>
      <c r="Q93" s="3">
        <f>Japan!Z134/Japan!F134</f>
        <v>1.9038015464751468</v>
      </c>
      <c r="R93" s="3">
        <f>Korea!Z134/Korea!F134</f>
        <v>1.9792853244194011</v>
      </c>
      <c r="S93" s="3">
        <f>Netherlands!Z134/100/Netherlands!F134</f>
        <v>2.4676692035703547</v>
      </c>
      <c r="T93" s="3">
        <f>'New Zealand'!Z134/100/'New Zealand'!F134</f>
        <v>2.1066108994646773</v>
      </c>
      <c r="U93" s="3">
        <f>Norway!Z134/Norway!F134</f>
        <v>2.7652978009204441</v>
      </c>
      <c r="V93" s="3">
        <f>Spain!Z134/100/Spain!F134</f>
        <v>2.0226482882488366</v>
      </c>
      <c r="W93" s="3">
        <f>Sweden!Z134/Sweden!F134</f>
        <v>2.2292708744340661</v>
      </c>
      <c r="X93" s="3">
        <f>Swiss!Z134/Swiss!F134</f>
        <v>2.1120600102060072</v>
      </c>
      <c r="Y93" s="3">
        <f>USA!Z147/100</f>
        <v>1.3702989791441149</v>
      </c>
      <c r="AA93" s="3"/>
    </row>
    <row r="94" spans="1:27">
      <c r="A94">
        <v>2023</v>
      </c>
      <c r="B94" s="3">
        <f>Australia!Z135/Australia!F135</f>
        <v>1.5428921729262239</v>
      </c>
      <c r="C94" s="3">
        <f>Austria!Z135/Austria!F135</f>
        <v>2.0494289845113145</v>
      </c>
      <c r="D94" s="3">
        <f>Belgium!Z135/Belgium!F135</f>
        <v>2.4340484879909958</v>
      </c>
      <c r="E94" s="3">
        <f>Britain!Z135/100/Britain!F135</f>
        <v>2.2168320498887888</v>
      </c>
      <c r="F94" s="3">
        <f>Canada!Z135/100/Canada!F135</f>
        <v>1.390649639845061</v>
      </c>
      <c r="G94" s="3">
        <f>China!Z135/China!F135</f>
        <v>1.497790495023724</v>
      </c>
      <c r="H94" s="3">
        <f>Denmark!Z135/Denmark!F135</f>
        <v>2.4672376276551948</v>
      </c>
      <c r="I94" s="3">
        <f>Finland!Z135/100/Finland!F135</f>
        <v>2.3837891946200549</v>
      </c>
      <c r="J94" s="3">
        <f>France!Z135/100/France!F135</f>
        <v>2.2967545552267521</v>
      </c>
      <c r="K94" s="3">
        <f>Germany!Z135/100/Germany!F135</f>
        <v>2.2859033061783691</v>
      </c>
      <c r="L94" s="3">
        <f>Greece!Z135/Greece!F135</f>
        <v>2.4376942589767756</v>
      </c>
      <c r="M94" s="3">
        <f>Hungary!Z135/Hungary!F135</f>
        <v>1.9655592904333754</v>
      </c>
      <c r="N94" s="3">
        <f>India!Z135/India!F135</f>
        <v>1.7502579401413834</v>
      </c>
      <c r="O94" s="3">
        <f>Ireland!Z135/Ireland!F135</f>
        <v>2.2358902744149738</v>
      </c>
      <c r="P94" s="3">
        <f>Italy!Z135/100/Italy!F135</f>
        <v>2.5177646327112013</v>
      </c>
      <c r="Q94" s="3">
        <f>Japan!Z135/Japan!F135</f>
        <v>1.9484509761057776</v>
      </c>
      <c r="R94" s="3">
        <f>Korea!Z135/Korea!F135</f>
        <v>2.0202150220639643</v>
      </c>
      <c r="S94" s="3">
        <f>Netherlands!Z135/100/Netherlands!F135</f>
        <v>2.5095938489251948</v>
      </c>
      <c r="T94" s="3">
        <f>'New Zealand'!Z135/100/'New Zealand'!F135</f>
        <v>2.1538873862688708</v>
      </c>
      <c r="U94" s="3">
        <f>Norway!Z135/Norway!F135</f>
        <v>2.8166320009891179</v>
      </c>
      <c r="V94" s="3">
        <f>Spain!Z135/100/Spain!F135</f>
        <v>2.0613665502787</v>
      </c>
      <c r="W94" s="3">
        <f>Sweden!Z135/Sweden!F135</f>
        <v>2.2700599323301227</v>
      </c>
      <c r="X94" s="3">
        <f>Swiss!Z135/Swiss!F135</f>
        <v>2.1491971626523769</v>
      </c>
      <c r="Y94" s="3">
        <f>USA!Z148/100</f>
        <v>1.4398173655069995</v>
      </c>
      <c r="AA94" s="3"/>
    </row>
    <row r="95" spans="1:27">
      <c r="A95">
        <v>2024</v>
      </c>
      <c r="B95" s="3">
        <f>Australia!Z136/Australia!F136</f>
        <v>1.572723585839306</v>
      </c>
      <c r="C95" s="3">
        <f>Austria!Z136/Austria!F136</f>
        <v>2.0829761310843815</v>
      </c>
      <c r="D95" s="3">
        <f>Belgium!Z136/Belgium!F136</f>
        <v>2.4741595788639357</v>
      </c>
      <c r="E95" s="3">
        <f>Britain!Z136/100/Britain!F136</f>
        <v>2.2513079884033838</v>
      </c>
      <c r="F95" s="3">
        <f>Canada!Z136/100/Canada!F136</f>
        <v>1.4169494037834047</v>
      </c>
      <c r="G95" s="3">
        <f>China!Z136/China!F136</f>
        <v>1.5365848492069352</v>
      </c>
      <c r="H95" s="3">
        <f>Denmark!Z136/Denmark!F136</f>
        <v>2.5045083402227397</v>
      </c>
      <c r="I95" s="3">
        <f>Finland!Z136/100/Finland!F136</f>
        <v>2.4182445168356765</v>
      </c>
      <c r="J95" s="3">
        <f>France!Z136/100/France!F136</f>
        <v>2.3313339966688558</v>
      </c>
      <c r="K95" s="3">
        <f>Germany!Z136/100/Germany!F136</f>
        <v>2.3197175168028541</v>
      </c>
      <c r="L95" s="3">
        <f>Greece!Z136/Greece!F136</f>
        <v>2.4698253655743745</v>
      </c>
      <c r="M95" s="3">
        <f>Hungary!Z136/Hungary!F136</f>
        <v>1.9993112933218968</v>
      </c>
      <c r="N95" s="3">
        <f>India!Z136/India!F136</f>
        <v>1.7889752004452772</v>
      </c>
      <c r="O95" s="3">
        <f>Ireland!Z136/Ireland!F136</f>
        <v>2.2695011125084559</v>
      </c>
      <c r="P95" s="3">
        <f>Italy!Z136/100/Italy!F136</f>
        <v>2.5552723460293811</v>
      </c>
      <c r="Q95" s="3">
        <f>Japan!Z136/Japan!F136</f>
        <v>1.9856588341313026</v>
      </c>
      <c r="R95" s="3">
        <f>Korea!Z136/Korea!F136</f>
        <v>2.054323103434434</v>
      </c>
      <c r="S95" s="3">
        <f>Netherlands!Z136/100/Netherlands!F136</f>
        <v>2.5445310533875629</v>
      </c>
      <c r="T95" s="3">
        <f>'New Zealand'!Z136/100/'New Zealand'!F136</f>
        <v>2.1932844586056999</v>
      </c>
      <c r="U95" s="3">
        <f>Norway!Z136/Norway!F136</f>
        <v>2.8594105010463475</v>
      </c>
      <c r="V95" s="3">
        <f>Spain!Z136/100/Spain!F136</f>
        <v>2.0936317686369192</v>
      </c>
      <c r="W95" s="3">
        <f>Sweden!Z136/Sweden!F136</f>
        <v>2.3040508139101701</v>
      </c>
      <c r="X95" s="3">
        <f>Swiss!Z136/Swiss!F136</f>
        <v>2.1801447896910191</v>
      </c>
      <c r="Y95" s="3">
        <f>USA!Z149/100</f>
        <v>1.4896442993816115</v>
      </c>
      <c r="AA95" s="3"/>
    </row>
    <row r="96" spans="1:27">
      <c r="A96">
        <v>2025</v>
      </c>
      <c r="B96" s="3">
        <f>Australia!Z137/Australia!F137</f>
        <v>1.6025549987523884</v>
      </c>
      <c r="C96" s="3">
        <f>Austria!Z137/Austria!F137</f>
        <v>2.1165232776574485</v>
      </c>
      <c r="D96" s="3">
        <f>Belgium!Z137/Belgium!F137</f>
        <v>2.5142706697368742</v>
      </c>
      <c r="E96" s="3">
        <f>Britain!Z137/100/Britain!F137</f>
        <v>2.2857839269179787</v>
      </c>
      <c r="F96" s="3">
        <f>Canada!Z137/100/Canada!F137</f>
        <v>1.4432491677217483</v>
      </c>
      <c r="G96" s="3">
        <f>China!Z137/China!F137</f>
        <v>1.5753792033901461</v>
      </c>
      <c r="H96" s="3">
        <f>Denmark!Z137/Denmark!F137</f>
        <v>2.5417790527902842</v>
      </c>
      <c r="I96" s="3">
        <f>Finland!Z137/100/Finland!F137</f>
        <v>2.4526998390512977</v>
      </c>
      <c r="J96" s="3">
        <f>France!Z137/100/France!F137</f>
        <v>2.3659134381109586</v>
      </c>
      <c r="K96" s="3">
        <f>Germany!Z137/100/Germany!F137</f>
        <v>2.3535317274273391</v>
      </c>
      <c r="L96" s="3">
        <f>Greece!Z137/Greece!F137</f>
        <v>2.5019564721719734</v>
      </c>
      <c r="M96" s="3">
        <f>Hungary!Z137/Hungary!F137</f>
        <v>2.0330632962104178</v>
      </c>
      <c r="N96" s="3">
        <f>India!Z137/India!F137</f>
        <v>1.8276924607491705</v>
      </c>
      <c r="O96" s="3">
        <f>Ireland!Z137/Ireland!F137</f>
        <v>2.303111950601938</v>
      </c>
      <c r="P96" s="3">
        <f>Italy!Z137/100/Italy!F137</f>
        <v>2.592780059347561</v>
      </c>
      <c r="Q96" s="3">
        <f>Japan!Z137/Japan!F137</f>
        <v>2.0228666921568279</v>
      </c>
      <c r="R96" s="3">
        <f>Korea!Z137/Korea!F137</f>
        <v>2.0884311848049033</v>
      </c>
      <c r="S96" s="3">
        <f>Netherlands!Z137/100/Netherlands!F137</f>
        <v>2.5794682578499302</v>
      </c>
      <c r="T96" s="3">
        <f>'New Zealand'!Z137/100/'New Zealand'!F137</f>
        <v>2.2326815309425272</v>
      </c>
      <c r="U96" s="3">
        <f>Norway!Z137/Norway!F137</f>
        <v>2.9021890011035762</v>
      </c>
      <c r="V96" s="3">
        <f>Spain!Z137/100/Spain!F137</f>
        <v>2.1258969869951385</v>
      </c>
      <c r="W96" s="3">
        <f>Sweden!Z137/Sweden!F137</f>
        <v>2.3380416954902175</v>
      </c>
      <c r="X96" s="3">
        <f>Swiss!Z137/Swiss!F137</f>
        <v>2.2110924167296599</v>
      </c>
      <c r="Y96" s="3">
        <f>USA!Z150/100</f>
        <v>1.5428495393045905</v>
      </c>
      <c r="AA96" s="3"/>
    </row>
    <row r="97" spans="1:27">
      <c r="A97">
        <v>2026</v>
      </c>
      <c r="B97" s="3">
        <f>Australia!Z138/Australia!F138</f>
        <v>1.6323864116654714</v>
      </c>
      <c r="C97" s="3">
        <f>Austria!Z138/Austria!F138</f>
        <v>2.1500704242305151</v>
      </c>
      <c r="D97" s="3">
        <f>Belgium!Z138/Belgium!F138</f>
        <v>2.554381760609814</v>
      </c>
      <c r="E97" s="3">
        <f>Britain!Z138/100/Britain!F138</f>
        <v>2.3202598654325741</v>
      </c>
      <c r="F97" s="3">
        <f>Canada!Z138/100/Canada!F138</f>
        <v>1.4695489316600918</v>
      </c>
      <c r="G97" s="3">
        <f>China!Z138/China!F138</f>
        <v>1.614173557573358</v>
      </c>
      <c r="H97" s="3">
        <f>Denmark!Z138/Denmark!F138</f>
        <v>2.5790497653578286</v>
      </c>
      <c r="I97" s="3">
        <f>Finland!Z138/100/Finland!F138</f>
        <v>2.4871551612669194</v>
      </c>
      <c r="J97" s="3">
        <f>France!Z138/100/France!F138</f>
        <v>2.4004928795530622</v>
      </c>
      <c r="K97" s="3">
        <f>Germany!Z138/100/Germany!F138</f>
        <v>2.387345938051824</v>
      </c>
      <c r="L97" s="3">
        <f>Greece!Z138/Greece!F138</f>
        <v>2.5340875787695722</v>
      </c>
      <c r="M97" s="3">
        <f>Hungary!Z138/Hungary!F138</f>
        <v>2.066815299098939</v>
      </c>
      <c r="N97" s="3">
        <f>India!Z138/India!F138</f>
        <v>1.8664097210530641</v>
      </c>
      <c r="O97" s="3">
        <f>Ireland!Z138/Ireland!F138</f>
        <v>2.33672278869542</v>
      </c>
      <c r="P97" s="3">
        <f>Italy!Z138/100/Italy!F138</f>
        <v>2.6302877726657408</v>
      </c>
      <c r="Q97" s="3">
        <f>Japan!Z138/Japan!F138</f>
        <v>2.0600745501823536</v>
      </c>
      <c r="R97" s="3">
        <f>Korea!Z138/Korea!F138</f>
        <v>2.1225392661753726</v>
      </c>
      <c r="S97" s="3">
        <f>Netherlands!Z138/100/Netherlands!F138</f>
        <v>2.6144054623122974</v>
      </c>
      <c r="T97" s="3">
        <f>'New Zealand'!Z138/100/'New Zealand'!F138</f>
        <v>2.2720786032793572</v>
      </c>
      <c r="U97" s="3">
        <f>Norway!Z138/Norway!F138</f>
        <v>2.944967501160805</v>
      </c>
      <c r="V97" s="3">
        <f>Spain!Z138/100/Spain!F138</f>
        <v>2.1581622053533587</v>
      </c>
      <c r="W97" s="3">
        <f>Sweden!Z138/Sweden!F138</f>
        <v>2.3720325770702644</v>
      </c>
      <c r="X97" s="3">
        <f>Swiss!Z138/Swiss!F138</f>
        <v>2.2420400437683021</v>
      </c>
      <c r="Y97" s="3">
        <f>USA!Z151/100</f>
        <v>1.5993727692550765</v>
      </c>
      <c r="AA97" s="3"/>
    </row>
    <row r="98" spans="1:27">
      <c r="A98">
        <v>2027</v>
      </c>
      <c r="B98" s="3">
        <f>Australia!Z139/Australia!F139</f>
        <v>1.6622178245785535</v>
      </c>
      <c r="C98" s="3">
        <f>Austria!Z139/Austria!F139</f>
        <v>2.1836175708035821</v>
      </c>
      <c r="D98" s="3">
        <f>Belgium!Z139/Belgium!F139</f>
        <v>2.5944928514827534</v>
      </c>
      <c r="E98" s="3">
        <f>Britain!Z139/100/Britain!F139</f>
        <v>2.3547358039471686</v>
      </c>
      <c r="F98" s="3">
        <f>Canada!Z139/100/Canada!F139</f>
        <v>1.4958486955984351</v>
      </c>
      <c r="G98" s="3">
        <f>China!Z139/China!F139</f>
        <v>1.652967911756569</v>
      </c>
      <c r="H98" s="3">
        <f>Denmark!Z139/Denmark!F139</f>
        <v>2.616320477925373</v>
      </c>
      <c r="I98" s="3">
        <f>Finland!Z139/100/Finland!F139</f>
        <v>2.521610483482541</v>
      </c>
      <c r="J98" s="3">
        <f>France!Z139/100/France!F139</f>
        <v>2.4350723209951659</v>
      </c>
      <c r="K98" s="3">
        <f>Germany!Z139/100/Germany!F139</f>
        <v>2.4211601486763077</v>
      </c>
      <c r="L98" s="3">
        <f>Greece!Z139/Greece!F139</f>
        <v>2.5662186853671707</v>
      </c>
      <c r="M98" s="3">
        <f>Hungary!Z139/Hungary!F139</f>
        <v>2.1005673019874602</v>
      </c>
      <c r="N98" s="3">
        <f>India!Z139/India!F139</f>
        <v>1.9051269813569578</v>
      </c>
      <c r="O98" s="3">
        <f>Ireland!Z139/Ireland!F139</f>
        <v>2.3703336267889026</v>
      </c>
      <c r="P98" s="3">
        <f>Italy!Z139/100/Italy!F139</f>
        <v>2.6677954859839201</v>
      </c>
      <c r="Q98" s="3">
        <f>Japan!Z139/Japan!F139</f>
        <v>2.0972824082078789</v>
      </c>
      <c r="R98" s="3">
        <f>Korea!Z139/Korea!F139</f>
        <v>2.1566473475458423</v>
      </c>
      <c r="S98" s="3">
        <f>Netherlands!Z139/100/Netherlands!F139</f>
        <v>2.6493426667746656</v>
      </c>
      <c r="T98" s="3">
        <f>'New Zealand'!Z139/100/'New Zealand'!F139</f>
        <v>2.3114756756161854</v>
      </c>
      <c r="U98" s="3">
        <f>Norway!Z139/Norway!F139</f>
        <v>2.9877460012180328</v>
      </c>
      <c r="V98" s="3">
        <f>Spain!Z139/100/Spain!F139</f>
        <v>2.1904274237115779</v>
      </c>
      <c r="W98" s="3">
        <f>Sweden!Z139/Sweden!F139</f>
        <v>2.4060234586503109</v>
      </c>
      <c r="X98" s="3">
        <f>Swiss!Z139/Swiss!F139</f>
        <v>2.2729876708069443</v>
      </c>
      <c r="Y98" s="3">
        <f>USA!Z152/100</f>
        <v>1.6546302066536791</v>
      </c>
      <c r="AA98" s="3"/>
    </row>
    <row r="99" spans="1:27">
      <c r="A99">
        <v>2028</v>
      </c>
      <c r="B99" s="3">
        <f>Australia!Z140/Australia!F140</f>
        <v>1.6860829549090195</v>
      </c>
      <c r="C99" s="3">
        <f>Austria!Z140/Austria!F140</f>
        <v>2.2104552880620361</v>
      </c>
      <c r="D99" s="3">
        <f>Belgium!Z140/Belgium!F140</f>
        <v>2.6265817241811047</v>
      </c>
      <c r="E99" s="3">
        <f>Britain!Z140/100/Britain!F140</f>
        <v>2.3823165547588445</v>
      </c>
      <c r="F99" s="3">
        <f>Canada!Z140/100/Canada!F140</f>
        <v>1.51688850674911</v>
      </c>
      <c r="G99" s="3">
        <f>China!Z140/China!F140</f>
        <v>1.6840033951031383</v>
      </c>
      <c r="H99" s="3">
        <f>Denmark!Z140/Denmark!F140</f>
        <v>2.6461370479794084</v>
      </c>
      <c r="I99" s="3">
        <f>Finland!Z140/100/Finland!F140</f>
        <v>2.549174741255039</v>
      </c>
      <c r="J99" s="3">
        <f>France!Z140/100/France!F140</f>
        <v>2.4627358741488488</v>
      </c>
      <c r="K99" s="3">
        <f>Germany!Z140/100/Germany!F140</f>
        <v>2.4482115171758965</v>
      </c>
      <c r="L99" s="3">
        <f>Greece!Z140/Greece!F140</f>
        <v>2.5919235706452501</v>
      </c>
      <c r="M99" s="3">
        <f>Hungary!Z140/Hungary!F140</f>
        <v>2.1275689042982773</v>
      </c>
      <c r="N99" s="3">
        <f>India!Z140/India!F140</f>
        <v>1.9361007896000721</v>
      </c>
      <c r="O99" s="3">
        <f>Ireland!Z140/Ireland!F140</f>
        <v>2.3972222972636881</v>
      </c>
      <c r="P99" s="3">
        <f>Italy!Z140/100/Italy!F140</f>
        <v>2.6978016566384637</v>
      </c>
      <c r="Q99" s="3">
        <f>Japan!Z140/Japan!F140</f>
        <v>2.1270486946282996</v>
      </c>
      <c r="R99" s="3">
        <f>Korea!Z140/Korea!F140</f>
        <v>2.1839338126422176</v>
      </c>
      <c r="S99" s="3">
        <f>Netherlands!Z140/100/Netherlands!F140</f>
        <v>2.67729243034456</v>
      </c>
      <c r="T99" s="3">
        <f>'New Zealand'!Z140/100/'New Zealand'!F140</f>
        <v>2.3429933334856483</v>
      </c>
      <c r="U99" s="3">
        <f>Norway!Z140/Norway!F140</f>
        <v>3.021968801263816</v>
      </c>
      <c r="V99" s="3">
        <f>Spain!Z140/100/Spain!F140</f>
        <v>2.2162395983981535</v>
      </c>
      <c r="W99" s="3">
        <f>Sweden!Z140/Sweden!F140</f>
        <v>2.4332161639143495</v>
      </c>
      <c r="X99" s="3">
        <f>Swiss!Z140/Swiss!F140</f>
        <v>2.2977457724378576</v>
      </c>
      <c r="Y99" s="3">
        <f>USA!Z153/100</f>
        <v>1.7086096612833794</v>
      </c>
      <c r="AA99" s="3"/>
    </row>
    <row r="100" spans="1:27">
      <c r="A100">
        <v>2029</v>
      </c>
      <c r="B100" s="3">
        <f>Australia!Z141/Australia!F141</f>
        <v>1.7159143678221016</v>
      </c>
      <c r="C100" s="3">
        <f>Austria!Z141/Austria!F141</f>
        <v>2.2440024346351022</v>
      </c>
      <c r="D100" s="3">
        <f>Belgium!Z141/Belgium!F141</f>
        <v>2.6666928150540432</v>
      </c>
      <c r="E100" s="3">
        <f>Britain!Z141/100/Britain!F141</f>
        <v>2.4167924932734399</v>
      </c>
      <c r="F100" s="3">
        <f>Canada!Z141/100/Canada!F141</f>
        <v>1.5431882706874536</v>
      </c>
      <c r="G100" s="3">
        <f>China!Z141/China!F141</f>
        <v>1.7227977492863493</v>
      </c>
      <c r="H100" s="3">
        <f>Denmark!Z141/Denmark!F141</f>
        <v>2.6834077605469533</v>
      </c>
      <c r="I100" s="3">
        <f>Finland!Z141/100/Finland!F141</f>
        <v>2.5836300634706602</v>
      </c>
      <c r="J100" s="3">
        <f>France!Z141/100/France!F141</f>
        <v>2.497315315590952</v>
      </c>
      <c r="K100" s="3">
        <f>Germany!Z141/100/Germany!F141</f>
        <v>2.482025727800381</v>
      </c>
      <c r="L100" s="3">
        <f>Greece!Z141/Greece!F141</f>
        <v>2.6240546772428486</v>
      </c>
      <c r="M100" s="3">
        <f>Hungary!Z141/Hungary!F141</f>
        <v>2.1613209071867985</v>
      </c>
      <c r="N100" s="3">
        <f>India!Z141/India!F141</f>
        <v>1.9748180499039658</v>
      </c>
      <c r="O100" s="3">
        <f>Ireland!Z141/Ireland!F141</f>
        <v>2.4308331353571702</v>
      </c>
      <c r="P100" s="3">
        <f>Italy!Z141/100/Italy!F141</f>
        <v>2.735309369956644</v>
      </c>
      <c r="Q100" s="3">
        <f>Japan!Z141/Japan!F141</f>
        <v>2.1642565526538249</v>
      </c>
      <c r="R100" s="3">
        <f>Korea!Z141/Korea!F141</f>
        <v>2.2180418940126874</v>
      </c>
      <c r="S100" s="3">
        <f>Netherlands!Z141/100/Netherlands!F141</f>
        <v>2.7122296348069268</v>
      </c>
      <c r="T100" s="3">
        <f>'New Zealand'!Z141/100/'New Zealand'!F141</f>
        <v>2.3823904058224765</v>
      </c>
      <c r="U100" s="3">
        <f>Norway!Z141/Norway!F141</f>
        <v>3.0647473013210451</v>
      </c>
      <c r="V100" s="3">
        <f>Spain!Z141/100/Spain!F141</f>
        <v>2.2485048167563733</v>
      </c>
      <c r="W100" s="3">
        <f>Sweden!Z141/Sweden!F141</f>
        <v>2.4672070454943964</v>
      </c>
      <c r="X100" s="3">
        <f>Swiss!Z141/Swiss!F141</f>
        <v>2.3286933994764984</v>
      </c>
      <c r="Y100" s="3">
        <f>USA!Z154/100</f>
        <v>1.7712439941274678</v>
      </c>
      <c r="AA100" s="3"/>
    </row>
    <row r="101" spans="1:27">
      <c r="A101">
        <v>2030</v>
      </c>
      <c r="B101" s="3">
        <f>Australia!Z142/Australia!F142</f>
        <v>1.7338132155699508</v>
      </c>
      <c r="C101" s="3">
        <f>Austria!Z142/Austria!F142</f>
        <v>2.2641307225789427</v>
      </c>
      <c r="D101" s="3">
        <f>Belgium!Z142/Belgium!F142</f>
        <v>2.6907594695778068</v>
      </c>
      <c r="E101" s="3">
        <f>Britain!Z142/100/Britain!F142</f>
        <v>2.4374780563821972</v>
      </c>
      <c r="F101" s="3">
        <f>Canada!Z142/100/Canada!F142</f>
        <v>1.5589681290504596</v>
      </c>
      <c r="G101" s="3">
        <f>China!Z142/China!F142</f>
        <v>1.7460743617962753</v>
      </c>
      <c r="H101" s="3">
        <f>Denmark!Z142/Denmark!F142</f>
        <v>2.70577018808748</v>
      </c>
      <c r="I101" s="3">
        <f>Finland!Z142/100/Finland!F142</f>
        <v>2.6043032568000326</v>
      </c>
      <c r="J101" s="3">
        <f>France!Z142/100/France!F142</f>
        <v>2.5180629804562136</v>
      </c>
      <c r="K101" s="3">
        <f>Germany!Z142/100/Germany!F142</f>
        <v>2.5023142541750723</v>
      </c>
      <c r="L101" s="3">
        <f>Greece!Z142/Greece!F142</f>
        <v>2.6433333412014073</v>
      </c>
      <c r="M101" s="3">
        <f>Hungary!Z142/Hungary!F142</f>
        <v>2.1815721089199109</v>
      </c>
      <c r="N101" s="3">
        <f>India!Z142/India!F142</f>
        <v>1.9980484060863013</v>
      </c>
      <c r="O101" s="3">
        <f>Ireland!Z142/Ireland!F142</f>
        <v>2.4509996382132591</v>
      </c>
      <c r="P101" s="3">
        <f>Italy!Z142/100/Italy!F142</f>
        <v>2.7578139979475522</v>
      </c>
      <c r="Q101" s="3">
        <f>Japan!Z142/Japan!F142</f>
        <v>2.1865812674691396</v>
      </c>
      <c r="R101" s="3">
        <f>Korea!Z142/Korea!F142</f>
        <v>2.2385067428349683</v>
      </c>
      <c r="S101" s="3">
        <f>Netherlands!Z142/100/Netherlands!F142</f>
        <v>2.7331919574843466</v>
      </c>
      <c r="T101" s="3">
        <f>'New Zealand'!Z142/100/'New Zealand'!F142</f>
        <v>2.4060286492245728</v>
      </c>
      <c r="U101" s="3">
        <f>Norway!Z142/Norway!F142</f>
        <v>3.0904144013553823</v>
      </c>
      <c r="V101" s="3">
        <f>Spain!Z142/100/Spain!F142</f>
        <v>2.2678639477713047</v>
      </c>
      <c r="W101" s="3">
        <f>Sweden!Z142/Sweden!F142</f>
        <v>2.487601574442424</v>
      </c>
      <c r="X101" s="3">
        <f>Swiss!Z142/Swiss!F142</f>
        <v>2.3472619756996833</v>
      </c>
      <c r="Y101" s="3">
        <f>USA!Z155/100</f>
        <v>1.7979130284011573</v>
      </c>
      <c r="AA101" s="3"/>
    </row>
    <row r="102" spans="1:27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7">
      <c r="A103" t="s">
        <v>2508</v>
      </c>
      <c r="B103" s="9">
        <f>B101/B82*100</f>
        <v>103.58304890420331</v>
      </c>
      <c r="C103" s="9">
        <f t="shared" ref="C103:Y103" si="6">C101/C82*100</f>
        <v>102.84404917983811</v>
      </c>
      <c r="D103" s="9">
        <f t="shared" si="6"/>
        <v>107.26610650035713</v>
      </c>
      <c r="E103" s="9">
        <f t="shared" si="6"/>
        <v>100.51903985461233</v>
      </c>
      <c r="F103" s="9">
        <f t="shared" si="6"/>
        <v>111.99478393882336</v>
      </c>
      <c r="G103" s="9">
        <f t="shared" si="6"/>
        <v>128.35958574329612</v>
      </c>
      <c r="H103" s="9">
        <f t="shared" si="6"/>
        <v>111.7709929594413</v>
      </c>
      <c r="I103" s="9">
        <f t="shared" si="6"/>
        <v>112.2351521078667</v>
      </c>
      <c r="J103" s="9">
        <f t="shared" si="6"/>
        <v>111.62288797593234</v>
      </c>
      <c r="K103" s="9">
        <f t="shared" si="6"/>
        <v>108.46086499601992</v>
      </c>
      <c r="L103" s="9">
        <f t="shared" si="6"/>
        <v>114.92410591553562</v>
      </c>
      <c r="M103" s="9">
        <f t="shared" si="6"/>
        <v>100.55834732292203</v>
      </c>
      <c r="N103" s="9">
        <f t="shared" si="6"/>
        <v>98.943409521446895</v>
      </c>
      <c r="O103" s="9">
        <f t="shared" si="6"/>
        <v>116.44585417215134</v>
      </c>
      <c r="P103" s="9">
        <f t="shared" si="6"/>
        <v>120.14229017310298</v>
      </c>
      <c r="Q103" s="9">
        <f t="shared" si="6"/>
        <v>112.70983150891838</v>
      </c>
      <c r="R103" s="9">
        <f t="shared" si="6"/>
        <v>120.87803280811391</v>
      </c>
      <c r="S103" s="9">
        <f t="shared" si="6"/>
        <v>108.24584590725372</v>
      </c>
      <c r="T103" s="9">
        <f t="shared" si="6"/>
        <v>133.27033087722359</v>
      </c>
      <c r="U103" s="9">
        <f t="shared" si="6"/>
        <v>105.43517081692985</v>
      </c>
      <c r="V103" s="9">
        <f t="shared" si="6"/>
        <v>116.70350158592089</v>
      </c>
      <c r="W103" s="9">
        <f t="shared" si="6"/>
        <v>110.10390139299329</v>
      </c>
      <c r="X103" s="9">
        <f t="shared" si="6"/>
        <v>121.53662121775267</v>
      </c>
      <c r="Y103" s="9">
        <f t="shared" si="6"/>
        <v>173.15096983344171</v>
      </c>
    </row>
    <row r="104" spans="1:27">
      <c r="A104" t="s">
        <v>2501</v>
      </c>
      <c r="B104" s="9">
        <f>(B101/AVERAGE(B88:B90)-1)*100</f>
        <v>57.130392846387167</v>
      </c>
      <c r="C104" s="9">
        <f t="shared" ref="C104:Y104" si="7">(C101/AVERAGE(C88:C90)-1)*100</f>
        <v>48.003771132555542</v>
      </c>
      <c r="D104" s="9">
        <f t="shared" si="7"/>
        <v>48.812890272305594</v>
      </c>
      <c r="E104" s="9">
        <f t="shared" si="7"/>
        <v>43.450031365198846</v>
      </c>
      <c r="F104" s="9">
        <f t="shared" si="7"/>
        <v>57.419761072328427</v>
      </c>
      <c r="G104" s="9">
        <f t="shared" si="7"/>
        <v>93.031897881696636</v>
      </c>
      <c r="H104" s="9">
        <f t="shared" si="7"/>
        <v>43.44022943591996</v>
      </c>
      <c r="I104" s="9">
        <f t="shared" si="7"/>
        <v>41.019063077634897</v>
      </c>
      <c r="J104" s="9">
        <f t="shared" si="7"/>
        <v>42.954214696647263</v>
      </c>
      <c r="K104" s="9">
        <f t="shared" si="7"/>
        <v>42.409924239421628</v>
      </c>
      <c r="L104" s="9">
        <f t="shared" si="7"/>
        <v>37.428152666285762</v>
      </c>
      <c r="M104" s="9">
        <f t="shared" si="7"/>
        <v>48.460713977457637</v>
      </c>
      <c r="N104" s="9">
        <f t="shared" si="7"/>
        <v>66.630902587736102</v>
      </c>
      <c r="O104" s="9">
        <f t="shared" si="7"/>
        <v>43.363606280876787</v>
      </c>
      <c r="P104" s="9">
        <f t="shared" si="7"/>
        <v>42.625264480117167</v>
      </c>
      <c r="Q104" s="9">
        <f t="shared" si="7"/>
        <v>59.283042396943465</v>
      </c>
      <c r="R104" s="9">
        <f t="shared" si="7"/>
        <v>49.513073155013451</v>
      </c>
      <c r="S104" s="9">
        <f t="shared" si="7"/>
        <v>39.323947159857809</v>
      </c>
      <c r="T104" s="9">
        <f t="shared" si="7"/>
        <v>51.693898370199108</v>
      </c>
      <c r="U104" s="9">
        <f t="shared" si="7"/>
        <v>41.842541166771177</v>
      </c>
      <c r="V104" s="9">
        <f t="shared" si="7"/>
        <v>45.375461191313285</v>
      </c>
      <c r="W104" s="9">
        <f t="shared" si="7"/>
        <v>39.145801464223553</v>
      </c>
      <c r="X104" s="9">
        <f t="shared" si="7"/>
        <v>40.880773796115236</v>
      </c>
      <c r="Y104" s="9">
        <f t="shared" si="7"/>
        <v>128.84696378773509</v>
      </c>
    </row>
    <row r="105" spans="1:27">
      <c r="A105" t="s">
        <v>2500</v>
      </c>
      <c r="B105" s="9">
        <f>(B101/B89-1)*100</f>
        <v>62.338087304462888</v>
      </c>
      <c r="C105" s="9">
        <f t="shared" ref="C105:Y105" si="8">(C101/C89-1)*100</f>
        <v>50.116619676475047</v>
      </c>
      <c r="D105" s="9">
        <f t="shared" si="8"/>
        <v>50.602066947813398</v>
      </c>
      <c r="E105" s="9">
        <f t="shared" si="8"/>
        <v>45.542692543284133</v>
      </c>
      <c r="F105" s="9">
        <f t="shared" si="8"/>
        <v>62.653953613483203</v>
      </c>
      <c r="G105" s="9">
        <f t="shared" si="8"/>
        <v>102.92428237054909</v>
      </c>
      <c r="H105" s="9">
        <f t="shared" si="8"/>
        <v>44.600943342438605</v>
      </c>
      <c r="I105" s="9">
        <f t="shared" si="8"/>
        <v>42.060777382337086</v>
      </c>
      <c r="J105" s="9">
        <f t="shared" si="8"/>
        <v>44.516484910797558</v>
      </c>
      <c r="K105" s="9">
        <f t="shared" si="8"/>
        <v>43.433809942906286</v>
      </c>
      <c r="L105" s="9">
        <f t="shared" si="8"/>
        <v>37.078477250941468</v>
      </c>
      <c r="M105" s="9">
        <f t="shared" si="8"/>
        <v>51.244926444971469</v>
      </c>
      <c r="N105" s="9">
        <f t="shared" si="8"/>
        <v>76.881233087767072</v>
      </c>
      <c r="O105" s="9">
        <f t="shared" si="8"/>
        <v>44.419876655783952</v>
      </c>
      <c r="P105" s="9">
        <f t="shared" si="8"/>
        <v>43.862935123208068</v>
      </c>
      <c r="Q105" s="9">
        <f t="shared" si="8"/>
        <v>63.556726939072973</v>
      </c>
      <c r="R105" s="9">
        <f t="shared" si="8"/>
        <v>52.36951006464983</v>
      </c>
      <c r="S105" s="9">
        <f t="shared" si="8"/>
        <v>39.942279028969942</v>
      </c>
      <c r="T105" s="9">
        <f t="shared" si="8"/>
        <v>56.547207512093721</v>
      </c>
      <c r="U105" s="9">
        <f t="shared" si="8"/>
        <v>43.987423923021865</v>
      </c>
      <c r="V105" s="9">
        <f t="shared" si="8"/>
        <v>47.018320620869012</v>
      </c>
      <c r="W105" s="9">
        <f t="shared" si="8"/>
        <v>42.575050808419924</v>
      </c>
      <c r="X105" s="9">
        <f t="shared" si="8"/>
        <v>43.916134759935453</v>
      </c>
      <c r="Y105" s="9">
        <f t="shared" si="8"/>
        <v>145.81162001352817</v>
      </c>
    </row>
    <row r="106" spans="1:27">
      <c r="A106" t="s">
        <v>2503</v>
      </c>
      <c r="B106" s="3">
        <f>B101-B89</f>
        <v>0.66578707065288789</v>
      </c>
      <c r="C106" s="3">
        <f t="shared" ref="C106:Y106" si="9">C101-C89</f>
        <v>0.75588285005256894</v>
      </c>
      <c r="D106" s="3">
        <f t="shared" si="9"/>
        <v>0.90409111627412453</v>
      </c>
      <c r="E106" s="3">
        <f t="shared" si="9"/>
        <v>0.76272681069028758</v>
      </c>
      <c r="F106" s="3">
        <f t="shared" si="9"/>
        <v>0.60051117524344866</v>
      </c>
      <c r="G106" s="3">
        <f t="shared" si="9"/>
        <v>0.88561826388687714</v>
      </c>
      <c r="H106" s="3">
        <f t="shared" si="9"/>
        <v>0.83457203021670101</v>
      </c>
      <c r="I106" s="3">
        <f t="shared" si="9"/>
        <v>0.77107151980136202</v>
      </c>
      <c r="J106" s="3">
        <f t="shared" si="9"/>
        <v>0.77565761956573676</v>
      </c>
      <c r="K106" s="3">
        <f t="shared" si="9"/>
        <v>0.75773655999605238</v>
      </c>
      <c r="L106" s="3">
        <f t="shared" si="9"/>
        <v>0.71499754829468176</v>
      </c>
      <c r="M106" s="3">
        <f t="shared" si="9"/>
        <v>0.73916199957078965</v>
      </c>
      <c r="N106" s="3">
        <f t="shared" si="9"/>
        <v>0.86844953841282369</v>
      </c>
      <c r="O106" s="3">
        <f t="shared" si="9"/>
        <v>0.75386507822809268</v>
      </c>
      <c r="P106" s="3">
        <f t="shared" si="9"/>
        <v>0.84084073754125876</v>
      </c>
      <c r="Q106" s="3">
        <f t="shared" si="9"/>
        <v>0.84968653474214517</v>
      </c>
      <c r="R106" s="3">
        <f t="shared" si="9"/>
        <v>0.76937637555533467</v>
      </c>
      <c r="S106" s="3">
        <f t="shared" si="9"/>
        <v>0.78010674517439194</v>
      </c>
      <c r="T106" s="3">
        <f t="shared" si="9"/>
        <v>0.8690937607253959</v>
      </c>
      <c r="U106" s="3">
        <f t="shared" si="9"/>
        <v>0.94410584387499386</v>
      </c>
      <c r="V106" s="3">
        <f t="shared" si="9"/>
        <v>0.72529160835540663</v>
      </c>
      <c r="W106" s="3">
        <f t="shared" si="9"/>
        <v>0.74283517924397602</v>
      </c>
      <c r="X106" s="3">
        <f t="shared" si="9"/>
        <v>0.71626905081664716</v>
      </c>
      <c r="Y106" s="3">
        <f t="shared" si="9"/>
        <v>1.0664939733124639</v>
      </c>
      <c r="AA106" s="3">
        <f>AVERAGE(B106:F106,H106:X106)</f>
        <v>0.77918712513768673</v>
      </c>
    </row>
    <row r="107" spans="1:27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AA107" s="3"/>
    </row>
    <row r="108" spans="1:27">
      <c r="A108" t="s">
        <v>2504</v>
      </c>
      <c r="B108" s="4">
        <f>B106/B89*100</f>
        <v>62.338087304462874</v>
      </c>
      <c r="C108" s="9">
        <f t="shared" ref="C108:X108" si="10">C106/C89*100</f>
        <v>50.116619676475047</v>
      </c>
      <c r="D108" s="9">
        <f t="shared" si="10"/>
        <v>50.602066947813398</v>
      </c>
      <c r="E108" s="9">
        <f t="shared" si="10"/>
        <v>45.54269254328414</v>
      </c>
      <c r="F108" s="4">
        <f t="shared" si="10"/>
        <v>62.653953613483196</v>
      </c>
      <c r="G108" s="9">
        <f t="shared" si="10"/>
        <v>102.92428237054907</v>
      </c>
      <c r="H108" s="9">
        <f t="shared" si="10"/>
        <v>44.600943342438605</v>
      </c>
      <c r="I108" s="9">
        <f t="shared" si="10"/>
        <v>42.060777382337079</v>
      </c>
      <c r="J108" s="9">
        <f t="shared" si="10"/>
        <v>44.516484910797551</v>
      </c>
      <c r="K108" s="9">
        <f t="shared" si="10"/>
        <v>43.433809942906286</v>
      </c>
      <c r="L108" s="9">
        <f t="shared" si="10"/>
        <v>37.078477250941454</v>
      </c>
      <c r="M108" s="9">
        <f t="shared" si="10"/>
        <v>51.244926444971462</v>
      </c>
      <c r="N108" s="9">
        <f t="shared" si="10"/>
        <v>76.881233087767058</v>
      </c>
      <c r="O108" s="9">
        <f t="shared" si="10"/>
        <v>44.419876655783959</v>
      </c>
      <c r="P108" s="9">
        <f t="shared" si="10"/>
        <v>43.862935123208061</v>
      </c>
      <c r="Q108" s="9">
        <f t="shared" si="10"/>
        <v>63.556726939072959</v>
      </c>
      <c r="R108" s="9">
        <f t="shared" si="10"/>
        <v>52.36951006464983</v>
      </c>
      <c r="S108" s="9">
        <f t="shared" si="10"/>
        <v>39.942279028969935</v>
      </c>
      <c r="T108" s="9">
        <f t="shared" si="10"/>
        <v>56.547207512093721</v>
      </c>
      <c r="U108" s="9">
        <f t="shared" si="10"/>
        <v>43.987423923021865</v>
      </c>
      <c r="V108" s="9">
        <f t="shared" si="10"/>
        <v>47.018320620869005</v>
      </c>
      <c r="W108" s="9">
        <f t="shared" si="10"/>
        <v>42.575050808419924</v>
      </c>
      <c r="X108" s="9">
        <f t="shared" si="10"/>
        <v>43.916134759935467</v>
      </c>
      <c r="Y108" s="9">
        <f>Y106/Y89*100</f>
        <v>145.81162001352817</v>
      </c>
      <c r="Z108" s="9"/>
      <c r="AA108" s="3">
        <f>AVERAGE(B108:F108,H108:X108)</f>
        <v>49.512069903804672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showGridLines="0" workbookViewId="0">
      <selection activeCell="Q9" sqref="Q9"/>
    </sheetView>
  </sheetViews>
  <sheetFormatPr defaultRowHeight="15"/>
  <cols>
    <col min="1" max="1" width="18.28515625" customWidth="1"/>
    <col min="2" max="7" width="13.14062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0.98926926245125746</v>
      </c>
    </row>
    <row r="5" spans="1:7">
      <c r="A5" s="13" t="s">
        <v>80</v>
      </c>
      <c r="B5" s="13">
        <v>0.97865367363085498</v>
      </c>
    </row>
    <row r="6" spans="1:7">
      <c r="A6" s="13" t="s">
        <v>81</v>
      </c>
      <c r="B6" s="13">
        <v>0.97614234111683795</v>
      </c>
    </row>
    <row r="7" spans="1:7">
      <c r="A7" s="13" t="s">
        <v>82</v>
      </c>
      <c r="B7" s="13">
        <v>1.2536227050484206E-2</v>
      </c>
    </row>
    <row r="8" spans="1:7" ht="15.75" thickBot="1">
      <c r="A8" s="14" t="s">
        <v>83</v>
      </c>
      <c r="B8" s="14">
        <v>20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2</v>
      </c>
      <c r="C12" s="13">
        <v>0.12248657908236751</v>
      </c>
      <c r="D12" s="13">
        <v>6.1243289541183757E-2</v>
      </c>
      <c r="E12" s="13">
        <v>389.69497992339745</v>
      </c>
      <c r="F12" s="13">
        <v>6.2986392329111274E-15</v>
      </c>
    </row>
    <row r="13" spans="1:7">
      <c r="A13" s="13" t="s">
        <v>86</v>
      </c>
      <c r="B13" s="13">
        <v>17</v>
      </c>
      <c r="C13" s="13">
        <v>2.6716688072419628E-3</v>
      </c>
      <c r="D13" s="13">
        <v>1.5715698866129192E-4</v>
      </c>
      <c r="E13" s="13"/>
      <c r="F13" s="13"/>
    </row>
    <row r="14" spans="1:7" ht="15.75" thickBot="1">
      <c r="A14" s="14" t="s">
        <v>87</v>
      </c>
      <c r="B14" s="14">
        <v>19</v>
      </c>
      <c r="C14" s="14">
        <v>0.12515824788960947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1.0764969723884206</v>
      </c>
      <c r="C17" s="13">
        <v>3.3716099290986589E-3</v>
      </c>
      <c r="D17" s="13">
        <v>319.28277440925774</v>
      </c>
      <c r="E17" s="13">
        <v>1.470895962342081E-33</v>
      </c>
      <c r="F17" s="13">
        <v>1.0693834972376308</v>
      </c>
      <c r="G17" s="13">
        <v>1.0836104475392103</v>
      </c>
    </row>
    <row r="18" spans="1:7">
      <c r="A18" t="s">
        <v>2637</v>
      </c>
      <c r="B18" s="13">
        <v>-1.5854810043289203E-2</v>
      </c>
      <c r="C18" s="13">
        <v>6.1213664062518289E-4</v>
      </c>
      <c r="D18" s="13">
        <v>-25.90076951952506</v>
      </c>
      <c r="E18" s="13">
        <v>4.2199662986072539E-15</v>
      </c>
      <c r="F18" s="13">
        <v>-1.7146305463442767E-2</v>
      </c>
      <c r="G18" s="13">
        <v>-1.4563314623135638E-2</v>
      </c>
    </row>
    <row r="19" spans="1:7" ht="15.75" thickBot="1">
      <c r="A19" s="176" t="s">
        <v>2027</v>
      </c>
      <c r="B19" s="14">
        <v>-9.6105870801442062E-2</v>
      </c>
      <c r="C19" s="14">
        <v>1.1798098428814215E-2</v>
      </c>
      <c r="D19" s="14">
        <v>-8.1458780312194197</v>
      </c>
      <c r="E19" s="14">
        <v>2.8513700920215445E-7</v>
      </c>
      <c r="F19" s="14">
        <v>-0.12099768265536508</v>
      </c>
      <c r="G19" s="14">
        <v>-7.1214058947519046E-2</v>
      </c>
    </row>
    <row r="44" spans="18:18">
      <c r="R44" t="s">
        <v>2060</v>
      </c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="75" zoomScaleNormal="75" workbookViewId="0">
      <pane xSplit="1" ySplit="2" topLeftCell="B24" activePane="bottomRight" state="frozen"/>
      <selection activeCell="BN97" sqref="BN97"/>
      <selection pane="topRight" activeCell="BN97" sqref="BN97"/>
      <selection pane="bottomLeft" activeCell="BN97" sqref="BN97"/>
      <selection pane="bottomRight" activeCell="N63" sqref="N63:N64"/>
    </sheetView>
  </sheetViews>
  <sheetFormatPr defaultRowHeight="15"/>
  <cols>
    <col min="4" max="4" width="10.42578125" customWidth="1"/>
    <col min="7" max="7" width="11.28515625" customWidth="1"/>
    <col min="9" max="9" width="9.85546875" customWidth="1"/>
    <col min="14" max="14" width="15.42578125" customWidth="1"/>
    <col min="15" max="15" width="10.42578125" customWidth="1"/>
    <col min="16" max="16" width="7.28515625" customWidth="1"/>
    <col min="17" max="17" width="22" customWidth="1"/>
    <col min="18" max="18" width="12.28515625" customWidth="1"/>
    <col min="20" max="20" width="12.5703125" customWidth="1"/>
  </cols>
  <sheetData>
    <row r="1" spans="1:18">
      <c r="I1" t="s">
        <v>2021</v>
      </c>
    </row>
    <row r="2" spans="1:18">
      <c r="B2" t="s">
        <v>2491</v>
      </c>
      <c r="C2" t="s">
        <v>2490</v>
      </c>
      <c r="D2" t="s">
        <v>2025</v>
      </c>
      <c r="F2" t="s">
        <v>1960</v>
      </c>
      <c r="G2" t="s">
        <v>2026</v>
      </c>
      <c r="I2" t="s">
        <v>2020</v>
      </c>
      <c r="J2" t="s">
        <v>2022</v>
      </c>
      <c r="K2" t="s">
        <v>2023</v>
      </c>
      <c r="N2" t="s">
        <v>2489</v>
      </c>
      <c r="O2" t="s">
        <v>2490</v>
      </c>
      <c r="Q2" t="s">
        <v>2492</v>
      </c>
      <c r="R2" t="s">
        <v>2027</v>
      </c>
    </row>
    <row r="3" spans="1:18">
      <c r="A3">
        <v>1990</v>
      </c>
      <c r="I3" s="3">
        <v>2.6769999999999996</v>
      </c>
      <c r="M3">
        <v>1990</v>
      </c>
    </row>
    <row r="4" spans="1:18">
      <c r="A4">
        <v>1991</v>
      </c>
      <c r="I4" s="3">
        <v>2.6859999999999999</v>
      </c>
      <c r="M4">
        <v>1991</v>
      </c>
    </row>
    <row r="5" spans="1:18">
      <c r="A5">
        <v>1992</v>
      </c>
      <c r="I5" s="3">
        <v>2.6070000000000002</v>
      </c>
      <c r="M5">
        <v>1992</v>
      </c>
    </row>
    <row r="6" spans="1:18">
      <c r="A6">
        <v>1993</v>
      </c>
      <c r="I6" s="3">
        <v>2.4979999999999998</v>
      </c>
      <c r="M6">
        <v>1993</v>
      </c>
    </row>
    <row r="7" spans="1:18">
      <c r="A7">
        <v>1994</v>
      </c>
      <c r="I7" s="3">
        <v>2.419</v>
      </c>
      <c r="J7" s="3">
        <f t="shared" ref="J7:J9" si="0">AVERAGE(I5:I9)</f>
        <v>2.4592000000000001</v>
      </c>
      <c r="M7">
        <v>1994</v>
      </c>
    </row>
    <row r="8" spans="1:18">
      <c r="A8">
        <v>1995</v>
      </c>
      <c r="I8" s="3">
        <v>2.4020000000000001</v>
      </c>
      <c r="J8" s="3">
        <f t="shared" si="0"/>
        <v>2.4043999999999999</v>
      </c>
      <c r="M8">
        <v>1995</v>
      </c>
    </row>
    <row r="9" spans="1:18">
      <c r="A9">
        <v>1996</v>
      </c>
      <c r="I9" s="3">
        <v>2.3699999999999997</v>
      </c>
      <c r="J9" s="3">
        <f t="shared" si="0"/>
        <v>2.3645999999999998</v>
      </c>
      <c r="M9">
        <v>1996</v>
      </c>
    </row>
    <row r="10" spans="1:18">
      <c r="A10">
        <v>1997</v>
      </c>
      <c r="I10" s="3">
        <v>2.3329999999999997</v>
      </c>
      <c r="J10" s="3">
        <f>AVERAGE(I8:I12)</f>
        <v>2.3113999999999999</v>
      </c>
      <c r="K10" s="4">
        <f t="shared" ref="K10:K11" si="1">((J10-J9)/J9)*100</f>
        <v>-2.2498519834221398</v>
      </c>
      <c r="L10" s="4"/>
      <c r="M10">
        <v>1997</v>
      </c>
    </row>
    <row r="11" spans="1:18">
      <c r="B11" t="s">
        <v>2491</v>
      </c>
      <c r="C11" t="s">
        <v>2490</v>
      </c>
      <c r="F11" t="s">
        <v>1960</v>
      </c>
      <c r="I11" s="3">
        <v>2.2989999999999999</v>
      </c>
      <c r="J11" s="3">
        <f>AVERAGE(I9:I13)</f>
        <v>2.2677999999999998</v>
      </c>
      <c r="K11" s="4">
        <f t="shared" si="1"/>
        <v>-1.8863026737042523</v>
      </c>
      <c r="L11" s="4"/>
      <c r="N11" t="s">
        <v>2489</v>
      </c>
      <c r="O11" t="s">
        <v>2490</v>
      </c>
      <c r="Q11" t="s">
        <v>2492</v>
      </c>
      <c r="R11" t="s">
        <v>2027</v>
      </c>
    </row>
    <row r="12" spans="1:18">
      <c r="A12">
        <v>1999</v>
      </c>
      <c r="B12">
        <f>USA!W86</f>
        <v>19.34</v>
      </c>
      <c r="C12" s="3">
        <f>F12*O12</f>
        <v>19.211666546011323</v>
      </c>
      <c r="D12" s="3">
        <f>AVERAGE(B11:B13)</f>
        <v>24.86</v>
      </c>
      <c r="F12" s="3">
        <f>USA!Y86</f>
        <v>17.48</v>
      </c>
      <c r="G12" s="3">
        <f>AVERAGE(F11:F13)</f>
        <v>22.54</v>
      </c>
      <c r="I12" s="3">
        <v>2.153</v>
      </c>
      <c r="J12" s="3">
        <f>AVERAGE(I10:I14)</f>
        <v>2.2340000000000004</v>
      </c>
      <c r="K12" s="4">
        <f>((J12-J11)/J11)*100</f>
        <v>-1.4904312549607279</v>
      </c>
      <c r="L12" s="4"/>
      <c r="M12">
        <v>1999</v>
      </c>
      <c r="N12" s="2">
        <f>D12/G12</f>
        <v>1.1029281277728482</v>
      </c>
      <c r="O12" s="2">
        <f t="shared" ref="O12:O43" si="2">MIN(1.12,O$62+O$63*Q12+O$64*R12)</f>
        <v>1.099065591877078</v>
      </c>
      <c r="P12" s="3"/>
      <c r="Q12" s="4">
        <f>K13</f>
        <v>-1.4234556848702098</v>
      </c>
      <c r="R12">
        <v>0</v>
      </c>
    </row>
    <row r="13" spans="1:18">
      <c r="A13">
        <v>2000</v>
      </c>
      <c r="B13">
        <f>USA!W87</f>
        <v>30.38</v>
      </c>
      <c r="C13" s="3">
        <f t="shared" ref="C13:C31" si="3">F13*O13</f>
        <v>30.349351605715043</v>
      </c>
      <c r="D13" s="3">
        <f>AVERAGE(B12:B14)</f>
        <v>25.233333333333334</v>
      </c>
      <c r="F13" s="3">
        <f>USA!Y87</f>
        <v>27.6</v>
      </c>
      <c r="G13" s="3">
        <f>AVERAGE(F12:F14)</f>
        <v>22.733333333333334</v>
      </c>
      <c r="I13" s="3">
        <v>2.1840000000000002</v>
      </c>
      <c r="J13" s="3">
        <f t="shared" ref="J13:J61" si="4">AVERAGE(I11:I15)</f>
        <v>2.2021999999999999</v>
      </c>
      <c r="K13" s="4">
        <f>((J13-J12)/J12)*100</f>
        <v>-1.4234556848702098</v>
      </c>
      <c r="L13" s="4"/>
      <c r="M13">
        <v>2000</v>
      </c>
      <c r="N13" s="2">
        <f t="shared" ref="N13:N30" si="5">D13/G13</f>
        <v>1.1099706744868034</v>
      </c>
      <c r="O13" s="2">
        <f t="shared" si="2"/>
        <v>1.0996141886128639</v>
      </c>
      <c r="P13" s="3"/>
      <c r="Q13" s="4">
        <f t="shared" ref="Q13:Q60" si="6">K14</f>
        <v>-1.4580569657615103</v>
      </c>
      <c r="R13">
        <v>0</v>
      </c>
    </row>
    <row r="14" spans="1:18">
      <c r="A14">
        <v>2001</v>
      </c>
      <c r="B14">
        <f>USA!W88</f>
        <v>25.98</v>
      </c>
      <c r="C14" s="3">
        <f t="shared" si="3"/>
        <v>25.538750306367202</v>
      </c>
      <c r="D14" s="3">
        <f t="shared" ref="D14:D30" si="7">AVERAGE(B13:B15)</f>
        <v>27.513333333333332</v>
      </c>
      <c r="F14" s="3">
        <f>USA!Y88</f>
        <v>23.12</v>
      </c>
      <c r="G14" s="3">
        <f t="shared" ref="G14:G29" si="8">AVERAGE(F13:F15)</f>
        <v>25.026666666666667</v>
      </c>
      <c r="I14" s="3">
        <v>2.2010000000000001</v>
      </c>
      <c r="J14" s="3">
        <f t="shared" si="4"/>
        <v>2.1700906695</v>
      </c>
      <c r="K14" s="4">
        <f t="shared" ref="K14:K61" si="9">((J14-J13)/J13)*100</f>
        <v>-1.4580569657615103</v>
      </c>
      <c r="L14" s="4"/>
      <c r="M14">
        <v>2001</v>
      </c>
      <c r="N14" s="2">
        <f t="shared" si="5"/>
        <v>1.0993606819392647</v>
      </c>
      <c r="O14" s="2">
        <f t="shared" si="2"/>
        <v>1.1046172277840485</v>
      </c>
      <c r="P14" s="3"/>
      <c r="Q14" s="4">
        <f t="shared" si="6"/>
        <v>-1.7736103629655429</v>
      </c>
      <c r="R14">
        <v>0</v>
      </c>
    </row>
    <row r="15" spans="1:18">
      <c r="A15">
        <v>2002</v>
      </c>
      <c r="B15">
        <f>USA!W89</f>
        <v>26.18</v>
      </c>
      <c r="C15" s="3">
        <f t="shared" si="3"/>
        <v>27.166865785408699</v>
      </c>
      <c r="D15" s="3">
        <f t="shared" si="7"/>
        <v>27.746666666666666</v>
      </c>
      <c r="F15" s="3">
        <f>USA!Y89</f>
        <v>24.36</v>
      </c>
      <c r="G15" s="3">
        <f t="shared" si="8"/>
        <v>25.193333333333339</v>
      </c>
      <c r="I15" s="3">
        <v>2.1739999999999999</v>
      </c>
      <c r="J15" s="3">
        <f t="shared" si="4"/>
        <v>2.1316017164999996</v>
      </c>
      <c r="K15" s="4">
        <f t="shared" si="9"/>
        <v>-1.7736103629655429</v>
      </c>
      <c r="L15" s="4"/>
      <c r="M15">
        <v>2002</v>
      </c>
      <c r="N15" s="2">
        <f t="shared" si="5"/>
        <v>1.1013495633765544</v>
      </c>
      <c r="O15" s="2">
        <f t="shared" si="2"/>
        <v>1.1152243754272866</v>
      </c>
      <c r="P15" s="3"/>
      <c r="Q15" s="4">
        <f t="shared" si="6"/>
        <v>-2.4426280058308225</v>
      </c>
      <c r="R15">
        <v>0</v>
      </c>
    </row>
    <row r="16" spans="1:18">
      <c r="A16">
        <v>2003</v>
      </c>
      <c r="B16">
        <f>USA!W90</f>
        <v>31.08</v>
      </c>
      <c r="C16" s="3">
        <f t="shared" si="3"/>
        <v>31.472000000000005</v>
      </c>
      <c r="D16" s="3">
        <f t="shared" si="7"/>
        <v>32.923333333333332</v>
      </c>
      <c r="F16" s="3">
        <f>USA!Y90</f>
        <v>28.1</v>
      </c>
      <c r="G16" s="3">
        <f t="shared" si="8"/>
        <v>29.50333333333333</v>
      </c>
      <c r="I16" s="3">
        <v>2.1384533475</v>
      </c>
      <c r="J16" s="3">
        <f t="shared" si="4"/>
        <v>2.0795346160000001</v>
      </c>
      <c r="K16" s="4">
        <f t="shared" si="9"/>
        <v>-2.4426280058308225</v>
      </c>
      <c r="L16" s="4"/>
      <c r="M16">
        <v>2003</v>
      </c>
      <c r="N16" s="2">
        <f t="shared" si="5"/>
        <v>1.1159191051858548</v>
      </c>
      <c r="O16" s="2">
        <f t="shared" si="2"/>
        <v>1.1200000000000001</v>
      </c>
      <c r="P16" s="3"/>
      <c r="Q16" s="4">
        <f t="shared" si="6"/>
        <v>-2.8354892746829807</v>
      </c>
      <c r="R16">
        <v>0</v>
      </c>
    </row>
    <row r="17" spans="1:18">
      <c r="A17">
        <v>2004</v>
      </c>
      <c r="B17">
        <f>USA!W91</f>
        <v>41.51</v>
      </c>
      <c r="C17" s="3">
        <f t="shared" si="3"/>
        <v>40.334538387458657</v>
      </c>
      <c r="D17" s="3">
        <f t="shared" si="7"/>
        <v>43.076666666666675</v>
      </c>
      <c r="F17" s="3">
        <f>USA!Y91</f>
        <v>36.049999999999997</v>
      </c>
      <c r="G17" s="3">
        <f t="shared" si="8"/>
        <v>38.263333333333335</v>
      </c>
      <c r="I17" s="3">
        <v>1.9605552350000002</v>
      </c>
      <c r="J17" s="3">
        <f t="shared" si="4"/>
        <v>2.0205696350000002</v>
      </c>
      <c r="K17" s="4">
        <f t="shared" si="9"/>
        <v>-2.8354892746829807</v>
      </c>
      <c r="L17" s="4"/>
      <c r="M17">
        <v>2004</v>
      </c>
      <c r="N17" s="2">
        <f t="shared" si="5"/>
        <v>1.1257949298719403</v>
      </c>
      <c r="O17" s="2">
        <f t="shared" si="2"/>
        <v>1.1188498859211833</v>
      </c>
      <c r="P17" s="3"/>
      <c r="Q17" s="4">
        <f t="shared" si="6"/>
        <v>-2.6712974433073873</v>
      </c>
      <c r="R17">
        <v>0</v>
      </c>
    </row>
    <row r="18" spans="1:18">
      <c r="A18">
        <v>2005</v>
      </c>
      <c r="B18">
        <f>USA!W92</f>
        <v>56.64</v>
      </c>
      <c r="C18" s="3">
        <f t="shared" si="3"/>
        <v>56.584259627716641</v>
      </c>
      <c r="D18" s="3">
        <f t="shared" si="7"/>
        <v>54.733333333333327</v>
      </c>
      <c r="F18" s="3">
        <f>USA!Y92</f>
        <v>50.64</v>
      </c>
      <c r="G18" s="3">
        <f t="shared" si="8"/>
        <v>49.256666666666661</v>
      </c>
      <c r="I18" s="3">
        <v>1.9236644974999999</v>
      </c>
      <c r="J18" s="3">
        <f t="shared" si="4"/>
        <v>1.9665942099999998</v>
      </c>
      <c r="K18" s="4">
        <f t="shared" si="9"/>
        <v>-2.6712974433073873</v>
      </c>
      <c r="L18" s="4"/>
      <c r="M18">
        <v>2005</v>
      </c>
      <c r="N18" s="2">
        <f t="shared" si="5"/>
        <v>1.1111863030385059</v>
      </c>
      <c r="O18" s="2">
        <f t="shared" si="2"/>
        <v>1.1173826940702338</v>
      </c>
      <c r="P18" s="3"/>
      <c r="Q18" s="4">
        <f t="shared" si="6"/>
        <v>-2.5787582172338159</v>
      </c>
      <c r="R18">
        <v>0</v>
      </c>
    </row>
    <row r="19" spans="1:18">
      <c r="A19">
        <v>2006</v>
      </c>
      <c r="B19">
        <f>USA!W93</f>
        <v>66.05</v>
      </c>
      <c r="C19" s="3">
        <f t="shared" si="3"/>
        <v>65.394421786126657</v>
      </c>
      <c r="D19" s="3">
        <f t="shared" si="7"/>
        <v>65.010000000000005</v>
      </c>
      <c r="F19" s="3">
        <f>USA!Y93</f>
        <v>61.08</v>
      </c>
      <c r="G19" s="3">
        <f t="shared" si="8"/>
        <v>60.266666666666673</v>
      </c>
      <c r="I19" s="3">
        <v>1.9061750949999998</v>
      </c>
      <c r="J19" s="3">
        <f t="shared" si="4"/>
        <v>1.9158805002099804</v>
      </c>
      <c r="K19" s="4">
        <f t="shared" si="9"/>
        <v>-2.5787582172338159</v>
      </c>
      <c r="L19" s="4"/>
      <c r="M19">
        <v>2006</v>
      </c>
      <c r="N19" s="2">
        <f t="shared" si="5"/>
        <v>1.0787057522123893</v>
      </c>
      <c r="O19" s="2">
        <f t="shared" si="2"/>
        <v>1.0706355891638288</v>
      </c>
      <c r="P19" s="3"/>
      <c r="Q19" s="4">
        <f t="shared" si="6"/>
        <v>0.36969116681866104</v>
      </c>
      <c r="R19">
        <v>0</v>
      </c>
    </row>
    <row r="20" spans="1:18">
      <c r="A20">
        <v>2007</v>
      </c>
      <c r="B20">
        <f>USA!W94</f>
        <v>72.34</v>
      </c>
      <c r="C20" s="3">
        <f t="shared" si="3"/>
        <v>73.495924366730463</v>
      </c>
      <c r="D20" s="3">
        <f>AVERAGE(B19:B21)</f>
        <v>79.353333333333339</v>
      </c>
      <c r="F20" s="3">
        <f>USA!Y94</f>
        <v>69.08</v>
      </c>
      <c r="G20" s="3">
        <f t="shared" si="8"/>
        <v>74.87</v>
      </c>
      <c r="I20" s="3">
        <v>1.9041228749999999</v>
      </c>
      <c r="J20" s="3">
        <f t="shared" si="4"/>
        <v>1.9229633411860578</v>
      </c>
      <c r="K20" s="4">
        <f t="shared" si="9"/>
        <v>0.36969116681866104</v>
      </c>
      <c r="L20" s="4"/>
      <c r="M20">
        <v>2007</v>
      </c>
      <c r="N20" s="2">
        <f t="shared" si="5"/>
        <v>1.0598815725034505</v>
      </c>
      <c r="O20" s="2">
        <f t="shared" si="2"/>
        <v>1.0639247881692309</v>
      </c>
      <c r="P20" s="3"/>
      <c r="Q20" s="4">
        <f t="shared" si="6"/>
        <v>0.79295710165326505</v>
      </c>
      <c r="R20">
        <v>0</v>
      </c>
    </row>
    <row r="21" spans="1:18">
      <c r="A21">
        <v>2008</v>
      </c>
      <c r="B21">
        <f>USA!W95</f>
        <v>99.67</v>
      </c>
      <c r="C21" s="3">
        <f t="shared" si="3"/>
        <v>99.078548166276263</v>
      </c>
      <c r="D21" s="3">
        <f t="shared" si="7"/>
        <v>77.986666666666665</v>
      </c>
      <c r="F21" s="3">
        <f>USA!Y95</f>
        <v>94.45</v>
      </c>
      <c r="G21" s="3">
        <f t="shared" si="8"/>
        <v>74.86333333333333</v>
      </c>
      <c r="I21" s="3">
        <v>1.8848847985499024</v>
      </c>
      <c r="J21" s="3">
        <f t="shared" si="4"/>
        <v>1.9382116155621816</v>
      </c>
      <c r="K21" s="4">
        <f t="shared" si="9"/>
        <v>0.79295710165326505</v>
      </c>
      <c r="L21" s="4"/>
      <c r="M21">
        <v>2008</v>
      </c>
      <c r="N21" s="2">
        <f t="shared" si="5"/>
        <v>1.041720468409101</v>
      </c>
      <c r="O21" s="2">
        <f t="shared" si="2"/>
        <v>1.0490052743914904</v>
      </c>
      <c r="P21" s="3"/>
      <c r="Q21" s="4">
        <f t="shared" si="6"/>
        <v>1.733965775803568</v>
      </c>
      <c r="R21">
        <v>0</v>
      </c>
    </row>
    <row r="22" spans="1:18">
      <c r="A22">
        <v>2009</v>
      </c>
      <c r="B22">
        <f>USA!W96</f>
        <v>61.95</v>
      </c>
      <c r="C22" s="3">
        <f t="shared" si="3"/>
        <v>61.289635363930351</v>
      </c>
      <c r="D22" s="3">
        <f t="shared" si="7"/>
        <v>80.366666666666674</v>
      </c>
      <c r="F22" s="3">
        <f>USA!Y96</f>
        <v>61.06</v>
      </c>
      <c r="G22" s="3">
        <f t="shared" si="8"/>
        <v>77.653333333333322</v>
      </c>
      <c r="I22" s="3">
        <v>1.9959694398803871</v>
      </c>
      <c r="J22" s="3">
        <f t="shared" si="4"/>
        <v>1.9718195416386792</v>
      </c>
      <c r="K22" s="4">
        <f t="shared" si="9"/>
        <v>1.733965775803568</v>
      </c>
      <c r="L22" s="4"/>
      <c r="M22">
        <v>2009</v>
      </c>
      <c r="N22" s="2">
        <f t="shared" si="5"/>
        <v>1.0349416208791211</v>
      </c>
      <c r="O22" s="2">
        <f t="shared" si="2"/>
        <v>1.0037608150004971</v>
      </c>
      <c r="P22" s="3"/>
      <c r="Q22" s="4">
        <f t="shared" si="6"/>
        <v>4.5876397881354771</v>
      </c>
      <c r="R22">
        <v>0</v>
      </c>
    </row>
    <row r="23" spans="1:18">
      <c r="A23">
        <v>2010</v>
      </c>
      <c r="B23">
        <f>USA!W97</f>
        <v>79.48</v>
      </c>
      <c r="C23" s="3">
        <f t="shared" si="3"/>
        <v>74.199377188284956</v>
      </c>
      <c r="D23" s="3">
        <f t="shared" si="7"/>
        <v>78.77</v>
      </c>
      <c r="F23" s="3">
        <f>USA!Y97</f>
        <v>77.45</v>
      </c>
      <c r="G23" s="3">
        <f t="shared" si="8"/>
        <v>81.986666666666665</v>
      </c>
      <c r="I23" s="3">
        <v>1.99990586938062</v>
      </c>
      <c r="J23" s="3">
        <f t="shared" si="4"/>
        <v>2.0622795194811259</v>
      </c>
      <c r="K23" s="4">
        <f t="shared" si="9"/>
        <v>4.5876397881354771</v>
      </c>
      <c r="L23" s="4"/>
      <c r="M23">
        <v>2010</v>
      </c>
      <c r="N23" s="2">
        <f t="shared" si="5"/>
        <v>0.9607659782078386</v>
      </c>
      <c r="O23" s="2">
        <f t="shared" si="2"/>
        <v>0.95802940204370501</v>
      </c>
      <c r="P23" s="3"/>
      <c r="Q23" s="4">
        <f t="shared" si="6"/>
        <v>7.4720271022647031</v>
      </c>
      <c r="R23">
        <v>0</v>
      </c>
    </row>
    <row r="24" spans="1:18">
      <c r="A24">
        <v>2011</v>
      </c>
      <c r="B24">
        <f>USA!W98</f>
        <v>94.88</v>
      </c>
      <c r="C24" s="3">
        <f t="shared" si="3"/>
        <v>98.425292486792202</v>
      </c>
      <c r="D24" s="3">
        <f t="shared" si="7"/>
        <v>89.470000000000013</v>
      </c>
      <c r="F24" s="3">
        <f>USA!Y98</f>
        <v>107.45</v>
      </c>
      <c r="G24" s="3">
        <f t="shared" si="8"/>
        <v>98.131952777777769</v>
      </c>
      <c r="I24" s="3">
        <v>2.0742147253824865</v>
      </c>
      <c r="J24" s="3">
        <f t="shared" si="4"/>
        <v>2.2163736041012099</v>
      </c>
      <c r="K24" s="4">
        <f t="shared" si="9"/>
        <v>7.4720271022647031</v>
      </c>
      <c r="L24" s="4"/>
      <c r="M24">
        <v>2011</v>
      </c>
      <c r="N24" s="2">
        <f t="shared" si="5"/>
        <v>0.91173157638681701</v>
      </c>
      <c r="O24" s="2">
        <f t="shared" si="2"/>
        <v>0.91601016739685615</v>
      </c>
      <c r="P24" s="3"/>
      <c r="Q24" s="4">
        <f t="shared" si="6"/>
        <v>10.122278636790924</v>
      </c>
      <c r="R24">
        <v>0</v>
      </c>
    </row>
    <row r="25" spans="1:18">
      <c r="A25">
        <v>2012</v>
      </c>
      <c r="B25">
        <f>USA!W99</f>
        <v>94.05</v>
      </c>
      <c r="C25" s="3">
        <f>F25*O25</f>
        <v>97.332873409830285</v>
      </c>
      <c r="D25" s="3">
        <f t="shared" si="7"/>
        <v>95.63666666666667</v>
      </c>
      <c r="F25" s="3">
        <f>USA!Y99</f>
        <v>109.49585833333333</v>
      </c>
      <c r="G25" s="3">
        <f t="shared" si="8"/>
        <v>107.62736944444443</v>
      </c>
      <c r="I25" s="3">
        <v>2.3564227642122333</v>
      </c>
      <c r="J25" s="3">
        <f t="shared" si="4"/>
        <v>2.4407211159406197</v>
      </c>
      <c r="K25" s="4">
        <f t="shared" si="9"/>
        <v>10.122278636790924</v>
      </c>
      <c r="L25" s="4"/>
      <c r="M25">
        <v>2012</v>
      </c>
      <c r="N25" s="2">
        <f t="shared" si="5"/>
        <v>0.88859058026158333</v>
      </c>
      <c r="O25" s="2">
        <f t="shared" si="2"/>
        <v>0.88891831062252769</v>
      </c>
      <c r="P25" s="3"/>
      <c r="Q25" s="4">
        <f t="shared" si="6"/>
        <v>11.831025490292047</v>
      </c>
      <c r="R25">
        <v>0</v>
      </c>
    </row>
    <row r="26" spans="1:18">
      <c r="A26">
        <v>2013</v>
      </c>
      <c r="B26">
        <f>USA!W100</f>
        <v>97.98</v>
      </c>
      <c r="C26" s="3">
        <f t="shared" si="3"/>
        <v>99.236640362315399</v>
      </c>
      <c r="D26" s="3">
        <f t="shared" si="7"/>
        <v>95.066666666666663</v>
      </c>
      <c r="F26" s="3">
        <f>USA!Y100</f>
        <v>105.93624999999999</v>
      </c>
      <c r="G26" s="3">
        <f t="shared" si="8"/>
        <v>103.87372222222221</v>
      </c>
      <c r="I26" s="3">
        <v>2.6553552216503236</v>
      </c>
      <c r="J26" s="3">
        <f t="shared" si="4"/>
        <v>2.7294834533144949</v>
      </c>
      <c r="K26" s="4">
        <f t="shared" si="9"/>
        <v>11.831025490292047</v>
      </c>
      <c r="L26" s="4"/>
      <c r="M26">
        <v>2013</v>
      </c>
      <c r="N26" s="2">
        <f t="shared" si="5"/>
        <v>0.91521382533385898</v>
      </c>
      <c r="O26" s="2">
        <f t="shared" si="2"/>
        <v>0.93675810086080458</v>
      </c>
      <c r="P26" s="3"/>
      <c r="Q26" s="4">
        <f t="shared" si="6"/>
        <v>8.8136578833855292</v>
      </c>
      <c r="R26">
        <v>0</v>
      </c>
    </row>
    <row r="27" spans="1:18">
      <c r="A27">
        <v>2014</v>
      </c>
      <c r="B27">
        <f>USA!W101</f>
        <v>93.17</v>
      </c>
      <c r="C27" s="3">
        <f t="shared" si="3"/>
        <v>92.573386777056939</v>
      </c>
      <c r="D27" s="3">
        <f t="shared" si="7"/>
        <v>79.936666666666667</v>
      </c>
      <c r="F27" s="3">
        <f>USA!Y101</f>
        <v>96.189058333333321</v>
      </c>
      <c r="G27" s="3">
        <f t="shared" si="8"/>
        <v>83.880661111111095</v>
      </c>
      <c r="I27" s="3">
        <v>3.1177069990774342</v>
      </c>
      <c r="J27" s="3">
        <f t="shared" si="4"/>
        <v>2.9700507868732515</v>
      </c>
      <c r="K27" s="4">
        <f t="shared" si="9"/>
        <v>8.8136578833855292</v>
      </c>
      <c r="L27" s="4"/>
      <c r="M27">
        <v>2014</v>
      </c>
      <c r="N27" s="2">
        <f t="shared" si="5"/>
        <v>0.95298088507886125</v>
      </c>
      <c r="O27" s="2">
        <f t="shared" si="2"/>
        <v>0.96241078123723134</v>
      </c>
      <c r="P27" s="3"/>
      <c r="Q27" s="4">
        <f t="shared" si="6"/>
        <v>7.1956832557245329</v>
      </c>
      <c r="R27">
        <v>0</v>
      </c>
    </row>
    <row r="28" spans="1:18">
      <c r="A28">
        <v>2015</v>
      </c>
      <c r="B28">
        <f>USA!W102</f>
        <v>48.66</v>
      </c>
      <c r="C28" s="3">
        <f t="shared" si="3"/>
        <v>48.095964203563426</v>
      </c>
      <c r="D28" s="3">
        <f t="shared" si="7"/>
        <v>61.706666666666656</v>
      </c>
      <c r="F28" s="3">
        <f>USA!Y102</f>
        <v>49.516674999999999</v>
      </c>
      <c r="G28" s="3">
        <f t="shared" si="8"/>
        <v>62.129899999999992</v>
      </c>
      <c r="I28" s="3">
        <v>3.4437175562499993</v>
      </c>
      <c r="J28" s="3">
        <f t="shared" si="4"/>
        <v>3.1837662340308048</v>
      </c>
      <c r="K28" s="4">
        <f t="shared" si="9"/>
        <v>7.1956832557245329</v>
      </c>
      <c r="L28" s="4"/>
      <c r="M28">
        <v>2015</v>
      </c>
      <c r="N28" s="2">
        <f t="shared" si="5"/>
        <v>0.99318792830290514</v>
      </c>
      <c r="O28" s="2">
        <f t="shared" si="2"/>
        <v>0.97130843707828585</v>
      </c>
      <c r="P28" s="3"/>
      <c r="Q28" s="4">
        <f t="shared" si="6"/>
        <v>6.6344872643023214</v>
      </c>
      <c r="R28">
        <v>0</v>
      </c>
    </row>
    <row r="29" spans="1:18">
      <c r="A29">
        <v>2016</v>
      </c>
      <c r="B29">
        <f>USA!W103</f>
        <v>43.29</v>
      </c>
      <c r="C29" s="3">
        <f t="shared" si="3"/>
        <v>40.909472525714953</v>
      </c>
      <c r="D29" s="3">
        <f t="shared" si="7"/>
        <v>47.583333333333336</v>
      </c>
      <c r="F29" s="3">
        <f>USA!Y103</f>
        <v>40.68396666666667</v>
      </c>
      <c r="G29" s="3">
        <f t="shared" si="8"/>
        <v>47.570213888888894</v>
      </c>
      <c r="I29" s="3">
        <v>3.2770513931762677</v>
      </c>
      <c r="J29" s="3">
        <f t="shared" si="4"/>
        <v>3.3949927993527362</v>
      </c>
      <c r="K29" s="4">
        <f t="shared" si="9"/>
        <v>6.6344872643023214</v>
      </c>
      <c r="L29" s="4"/>
      <c r="M29">
        <v>2016</v>
      </c>
      <c r="N29" s="2">
        <f t="shared" si="5"/>
        <v>1.0002757911594655</v>
      </c>
      <c r="O29" s="2">
        <f t="shared" si="2"/>
        <v>1.0055428680515817</v>
      </c>
      <c r="P29" s="3"/>
      <c r="Q29" s="4">
        <f t="shared" si="6"/>
        <v>4.4752415287921687</v>
      </c>
      <c r="R29">
        <v>0</v>
      </c>
    </row>
    <row r="30" spans="1:18">
      <c r="A30">
        <v>2017</v>
      </c>
      <c r="B30" s="3">
        <f>USA!W104</f>
        <v>50.8</v>
      </c>
      <c r="C30" s="3">
        <f t="shared" si="3"/>
        <v>51.455539900896014</v>
      </c>
      <c r="D30" s="3">
        <f t="shared" si="7"/>
        <v>53.155061507936502</v>
      </c>
      <c r="F30" s="3">
        <f>USA!Y104</f>
        <v>52.51</v>
      </c>
      <c r="G30" s="3">
        <f>AVERAGE(F29:F31)</f>
        <v>54.465983116883116</v>
      </c>
      <c r="I30" s="3">
        <v>3.4249999999999998</v>
      </c>
      <c r="J30" s="3">
        <f t="shared" si="4"/>
        <v>3.5469269270088737</v>
      </c>
      <c r="K30" s="4">
        <f t="shared" si="9"/>
        <v>4.4752415287921687</v>
      </c>
      <c r="L30" s="4"/>
      <c r="M30">
        <v>2017</v>
      </c>
      <c r="N30" s="2">
        <f t="shared" si="5"/>
        <v>0.97593136974809769</v>
      </c>
      <c r="O30" s="2">
        <f t="shared" si="2"/>
        <v>0.97991887070836059</v>
      </c>
      <c r="P30" s="3"/>
      <c r="Q30" s="4">
        <f t="shared" si="6"/>
        <v>3.0605958789066601</v>
      </c>
      <c r="R30">
        <v>0.5</v>
      </c>
    </row>
    <row r="31" spans="1:18">
      <c r="A31">
        <v>2018</v>
      </c>
      <c r="B31" s="3">
        <f>USA!W105</f>
        <v>65.375184523809523</v>
      </c>
      <c r="C31" s="3">
        <f t="shared" si="3"/>
        <v>63.709330131272345</v>
      </c>
      <c r="D31" s="3">
        <f>AVERAGE(B30:B32)</f>
        <v>57.058394841269838</v>
      </c>
      <c r="F31" s="3">
        <f>USA!Y105</f>
        <v>70.203982683982687</v>
      </c>
      <c r="G31" s="3">
        <f>AVERAGE(F30:F32)</f>
        <v>62.45904101140917</v>
      </c>
      <c r="I31" s="3">
        <v>3.7114880482599801</v>
      </c>
      <c r="J31" s="3">
        <f t="shared" si="4"/>
        <v>3.6554840263647379</v>
      </c>
      <c r="K31" s="4">
        <f t="shared" si="9"/>
        <v>3.0605958789066601</v>
      </c>
      <c r="L31" s="4"/>
      <c r="M31">
        <v>2018</v>
      </c>
      <c r="N31" s="2">
        <f>D31/G31</f>
        <v>0.9135329956610635</v>
      </c>
      <c r="O31" s="2">
        <f t="shared" si="2"/>
        <v>0.90748883034249672</v>
      </c>
      <c r="P31" s="3"/>
      <c r="Q31" s="4">
        <f>K32</f>
        <v>4.5981169780926363</v>
      </c>
      <c r="R31">
        <v>1</v>
      </c>
    </row>
    <row r="32" spans="1:18">
      <c r="A32">
        <v>2019</v>
      </c>
      <c r="B32" s="3">
        <v>55</v>
      </c>
      <c r="C32" s="3"/>
      <c r="F32" s="3">
        <f>USA!$BA$144</f>
        <v>64.663140350244831</v>
      </c>
      <c r="I32" s="3">
        <v>3.8773776373581237</v>
      </c>
      <c r="J32" s="3">
        <f t="shared" si="4"/>
        <v>3.8235674580124792</v>
      </c>
      <c r="K32" s="4">
        <f t="shared" si="9"/>
        <v>4.5981169780926363</v>
      </c>
      <c r="L32" s="4"/>
      <c r="M32">
        <v>2019</v>
      </c>
      <c r="O32" s="3">
        <f t="shared" si="2"/>
        <v>0.95468761829153814</v>
      </c>
      <c r="Q32" s="4">
        <f t="shared" si="6"/>
        <v>4.3489089410613229</v>
      </c>
      <c r="R32">
        <v>0.55000000000000004</v>
      </c>
    </row>
    <row r="33" spans="1:18">
      <c r="A33">
        <v>2020</v>
      </c>
      <c r="I33" s="3">
        <v>3.986503053029316</v>
      </c>
      <c r="J33" s="3">
        <f t="shared" si="4"/>
        <v>3.9898509250614951</v>
      </c>
      <c r="K33" s="4">
        <f t="shared" si="9"/>
        <v>4.3489089410613229</v>
      </c>
      <c r="L33" s="4"/>
      <c r="M33">
        <v>2020</v>
      </c>
      <c r="O33" s="3">
        <f t="shared" si="2"/>
        <v>0.98573968578102977</v>
      </c>
      <c r="Q33" s="4">
        <f t="shared" si="6"/>
        <v>3.2996256747306303</v>
      </c>
      <c r="R33">
        <v>0.4</v>
      </c>
    </row>
    <row r="34" spans="1:18">
      <c r="A34">
        <v>2021</v>
      </c>
      <c r="I34" s="3">
        <v>4.1174685514149783</v>
      </c>
      <c r="J34" s="3">
        <f t="shared" si="4"/>
        <v>4.1215010705683017</v>
      </c>
      <c r="K34" s="4">
        <f t="shared" si="9"/>
        <v>3.2996256747306303</v>
      </c>
      <c r="L34" s="4"/>
      <c r="M34">
        <v>2021</v>
      </c>
      <c r="O34" s="3">
        <f t="shared" si="2"/>
        <v>1.0070543003973678</v>
      </c>
      <c r="Q34" s="4">
        <f>K35</f>
        <v>2.8645063653673546</v>
      </c>
      <c r="R34">
        <v>0.25</v>
      </c>
    </row>
    <row r="35" spans="1:18">
      <c r="A35">
        <v>2022</v>
      </c>
      <c r="I35" s="3">
        <v>4.2564173352450752</v>
      </c>
      <c r="J35" s="3">
        <f t="shared" si="4"/>
        <v>4.2395617310834144</v>
      </c>
      <c r="K35" s="4">
        <f t="shared" si="9"/>
        <v>2.8645063653673546</v>
      </c>
      <c r="L35" s="4"/>
      <c r="M35">
        <v>2022</v>
      </c>
      <c r="O35" s="3">
        <f t="shared" si="2"/>
        <v>1.0209954866652438</v>
      </c>
      <c r="Q35" s="4">
        <f t="shared" si="6"/>
        <v>2.591365332714954</v>
      </c>
      <c r="R35">
        <v>0.15</v>
      </c>
    </row>
    <row r="36" spans="1:18">
      <c r="A36">
        <v>2023</v>
      </c>
      <c r="I36" s="3">
        <v>4.3697387757940112</v>
      </c>
      <c r="J36" s="3">
        <f t="shared" si="4"/>
        <v>4.34942426404176</v>
      </c>
      <c r="K36" s="4">
        <f t="shared" si="9"/>
        <v>2.591365332714954</v>
      </c>
      <c r="L36" s="4"/>
      <c r="M36">
        <v>2023</v>
      </c>
      <c r="O36" s="3">
        <f t="shared" si="2"/>
        <v>1.0416139743466701</v>
      </c>
      <c r="Q36" s="4">
        <f t="shared" si="6"/>
        <v>2.2001523794045781</v>
      </c>
      <c r="R36">
        <v>0</v>
      </c>
    </row>
    <row r="37" spans="1:18">
      <c r="A37">
        <v>2024</v>
      </c>
      <c r="I37" s="3">
        <v>4.4676809399336879</v>
      </c>
      <c r="J37" s="3">
        <f t="shared" si="4"/>
        <v>4.4451182254774748</v>
      </c>
      <c r="K37" s="4">
        <f t="shared" si="9"/>
        <v>2.2001523794045781</v>
      </c>
      <c r="L37" s="4"/>
      <c r="M37">
        <v>2024</v>
      </c>
      <c r="O37" s="3">
        <f t="shared" si="2"/>
        <v>1.0507871198535157</v>
      </c>
      <c r="Q37" s="4">
        <f t="shared" si="6"/>
        <v>1.6215806095883749</v>
      </c>
      <c r="R37">
        <v>0</v>
      </c>
    </row>
    <row r="38" spans="1:18">
      <c r="A38">
        <v>2025</v>
      </c>
      <c r="I38" s="3">
        <v>4.5358157178210483</v>
      </c>
      <c r="J38" s="3">
        <f t="shared" si="4"/>
        <v>4.5171994006950964</v>
      </c>
      <c r="K38" s="4">
        <f t="shared" si="9"/>
        <v>1.6215806095883749</v>
      </c>
      <c r="L38" s="4"/>
      <c r="M38">
        <v>2025</v>
      </c>
      <c r="O38" s="3">
        <f t="shared" si="2"/>
        <v>1.0621570297999336</v>
      </c>
      <c r="Q38" s="4">
        <f t="shared" si="6"/>
        <v>0.90445376193936455</v>
      </c>
      <c r="R38">
        <v>0</v>
      </c>
    </row>
    <row r="39" spans="1:18">
      <c r="A39">
        <v>2026</v>
      </c>
      <c r="I39" s="3">
        <v>4.5959383585935498</v>
      </c>
      <c r="J39" s="3">
        <f t="shared" si="4"/>
        <v>4.5580553806089856</v>
      </c>
      <c r="K39" s="4">
        <f t="shared" si="9"/>
        <v>0.90445376193936455</v>
      </c>
      <c r="L39" s="4"/>
      <c r="M39">
        <v>2026</v>
      </c>
      <c r="O39" s="3">
        <f t="shared" si="2"/>
        <v>1.0754809736822035</v>
      </c>
      <c r="Q39" s="4">
        <f t="shared" si="6"/>
        <v>6.4081417780662273E-2</v>
      </c>
      <c r="R39">
        <v>0</v>
      </c>
    </row>
    <row r="40" spans="1:18">
      <c r="A40">
        <v>2027</v>
      </c>
      <c r="I40" s="3">
        <v>4.6168232113331875</v>
      </c>
      <c r="J40" s="3">
        <f t="shared" si="4"/>
        <v>4.5609762471201076</v>
      </c>
      <c r="K40" s="4">
        <f t="shared" si="9"/>
        <v>6.4081417780662273E-2</v>
      </c>
      <c r="L40" s="4"/>
      <c r="M40">
        <v>2027</v>
      </c>
      <c r="O40" s="3">
        <f t="shared" si="2"/>
        <v>1.0870658584252935</v>
      </c>
      <c r="Q40" s="4">
        <f t="shared" si="6"/>
        <v>-0.66660439374651048</v>
      </c>
      <c r="R40">
        <v>0</v>
      </c>
    </row>
    <row r="41" spans="1:18">
      <c r="A41">
        <v>2028</v>
      </c>
      <c r="I41" s="3">
        <v>4.5740186753634529</v>
      </c>
      <c r="J41" s="3">
        <f t="shared" si="4"/>
        <v>4.5305725790590703</v>
      </c>
      <c r="K41" s="4">
        <f t="shared" si="9"/>
        <v>-0.66660439374651048</v>
      </c>
      <c r="L41" s="4"/>
      <c r="M41">
        <v>2028</v>
      </c>
      <c r="O41" s="3">
        <f t="shared" si="2"/>
        <v>1.1032114962747779</v>
      </c>
      <c r="Q41" s="4">
        <f t="shared" si="6"/>
        <v>-1.6849475845763719</v>
      </c>
      <c r="R41">
        <v>0</v>
      </c>
    </row>
    <row r="42" spans="1:18">
      <c r="A42">
        <v>2029</v>
      </c>
      <c r="I42" s="3">
        <v>4.4822852724892952</v>
      </c>
      <c r="J42" s="3">
        <f t="shared" si="4"/>
        <v>4.4542348058207351</v>
      </c>
      <c r="K42" s="4">
        <f t="shared" si="9"/>
        <v>-1.6849475845763719</v>
      </c>
      <c r="L42" s="4"/>
      <c r="M42">
        <v>2029</v>
      </c>
      <c r="O42" s="3">
        <f t="shared" si="2"/>
        <v>1.1188623698069695</v>
      </c>
      <c r="Q42" s="4">
        <f t="shared" si="6"/>
        <v>-2.6720848312200833</v>
      </c>
      <c r="R42">
        <v>0</v>
      </c>
    </row>
    <row r="43" spans="1:18">
      <c r="A43">
        <v>2030</v>
      </c>
      <c r="I43" s="3">
        <v>4.3837973775158687</v>
      </c>
      <c r="J43" s="3">
        <f t="shared" si="4"/>
        <v>4.3352138732274739</v>
      </c>
      <c r="K43" s="4">
        <f t="shared" si="9"/>
        <v>-2.6720848312200833</v>
      </c>
      <c r="L43" s="4"/>
      <c r="M43">
        <v>2030</v>
      </c>
      <c r="O43" s="3">
        <f t="shared" si="2"/>
        <v>1.1200000000000001</v>
      </c>
      <c r="Q43" s="4">
        <f t="shared" si="6"/>
        <v>-3.4037930726909957</v>
      </c>
      <c r="R43">
        <v>0</v>
      </c>
    </row>
    <row r="44" spans="1:18">
      <c r="A44">
        <v>2031</v>
      </c>
      <c r="I44" s="3">
        <v>4.2142494924018745</v>
      </c>
      <c r="J44" s="3">
        <f t="shared" si="4"/>
        <v>4.1876521637242181</v>
      </c>
      <c r="K44" s="4">
        <f t="shared" si="9"/>
        <v>-3.4037930726909957</v>
      </c>
      <c r="L44" s="4"/>
      <c r="M44">
        <v>2031</v>
      </c>
      <c r="O44" s="3">
        <f t="shared" ref="O44:O60" si="10">MIN(1.12,O$62+O$63*Q44+O$64*R44)</f>
        <v>1.1200000000000001</v>
      </c>
      <c r="Q44" s="4">
        <f t="shared" si="6"/>
        <v>-3.8861040107267151</v>
      </c>
      <c r="R44">
        <v>0</v>
      </c>
    </row>
    <row r="45" spans="1:18">
      <c r="A45">
        <v>2032</v>
      </c>
      <c r="I45" s="3">
        <v>4.0217185483668763</v>
      </c>
      <c r="J45" s="3">
        <f t="shared" si="4"/>
        <v>4.0249156450344472</v>
      </c>
      <c r="K45" s="4">
        <f t="shared" si="9"/>
        <v>-3.8861040107267151</v>
      </c>
      <c r="L45" s="4"/>
      <c r="M45">
        <v>2032</v>
      </c>
      <c r="O45" s="3">
        <f t="shared" si="10"/>
        <v>1.1200000000000001</v>
      </c>
      <c r="Q45" s="4">
        <f t="shared" si="6"/>
        <v>-4.3057523106470024</v>
      </c>
      <c r="R45">
        <v>0</v>
      </c>
    </row>
    <row r="46" spans="1:18">
      <c r="A46">
        <v>2033</v>
      </c>
      <c r="I46" s="3">
        <v>3.8362101278471785</v>
      </c>
      <c r="J46" s="3">
        <f t="shared" si="4"/>
        <v>3.8516127466467838</v>
      </c>
      <c r="K46" s="4">
        <f t="shared" si="9"/>
        <v>-4.3057523106470024</v>
      </c>
      <c r="L46" s="4"/>
      <c r="M46">
        <v>2033</v>
      </c>
      <c r="O46" s="3">
        <f t="shared" si="10"/>
        <v>1.1200000000000001</v>
      </c>
      <c r="Q46" s="4">
        <f t="shared" si="6"/>
        <v>-4.5237516882400772</v>
      </c>
      <c r="R46">
        <v>0</v>
      </c>
    </row>
    <row r="47" spans="1:18">
      <c r="A47">
        <v>2034</v>
      </c>
      <c r="I47" s="3">
        <v>3.6686026790404407</v>
      </c>
      <c r="J47" s="3">
        <f t="shared" si="4"/>
        <v>3.6773753499958799</v>
      </c>
      <c r="K47" s="4">
        <f t="shared" si="9"/>
        <v>-4.5237516882400772</v>
      </c>
      <c r="L47" s="4"/>
      <c r="M47">
        <v>2034</v>
      </c>
      <c r="O47" s="3">
        <f t="shared" si="10"/>
        <v>1.1200000000000001</v>
      </c>
      <c r="Q47" s="4">
        <f t="shared" si="6"/>
        <v>-4.7096596265068777</v>
      </c>
      <c r="R47">
        <v>0</v>
      </c>
    </row>
    <row r="48" spans="1:18">
      <c r="A48">
        <v>2035</v>
      </c>
      <c r="I48" s="3">
        <v>3.5172828855775524</v>
      </c>
      <c r="J48" s="3">
        <f t="shared" si="4"/>
        <v>3.5041834878220079</v>
      </c>
      <c r="K48" s="4">
        <f t="shared" si="9"/>
        <v>-4.7096596265068777</v>
      </c>
      <c r="L48" s="4"/>
      <c r="M48">
        <v>2035</v>
      </c>
      <c r="O48" s="3">
        <f t="shared" si="10"/>
        <v>1.1200000000000001</v>
      </c>
      <c r="Q48" s="4">
        <f t="shared" si="6"/>
        <v>-5.0790341410246675</v>
      </c>
      <c r="R48">
        <v>0</v>
      </c>
    </row>
    <row r="49" spans="1:18">
      <c r="A49">
        <v>2036</v>
      </c>
      <c r="I49" s="3">
        <v>3.3430625091473547</v>
      </c>
      <c r="J49" s="3">
        <f t="shared" si="4"/>
        <v>3.3262048121113792</v>
      </c>
      <c r="K49" s="4">
        <f t="shared" si="9"/>
        <v>-5.0790341410246675</v>
      </c>
      <c r="L49" s="4"/>
      <c r="M49">
        <v>2036</v>
      </c>
      <c r="O49" s="3">
        <f t="shared" si="10"/>
        <v>1.1200000000000001</v>
      </c>
      <c r="Q49" s="4">
        <f t="shared" si="6"/>
        <v>-5.8291008265196567</v>
      </c>
      <c r="R49">
        <v>0</v>
      </c>
    </row>
    <row r="50" spans="1:18">
      <c r="A50">
        <v>2037</v>
      </c>
      <c r="I50" s="3">
        <v>3.1557592374975121</v>
      </c>
      <c r="J50" s="3">
        <f t="shared" si="4"/>
        <v>3.1323169799168582</v>
      </c>
      <c r="K50" s="4">
        <f t="shared" si="9"/>
        <v>-5.8291008265196567</v>
      </c>
      <c r="L50" s="4"/>
      <c r="M50">
        <v>2037</v>
      </c>
      <c r="O50" s="3">
        <f t="shared" si="10"/>
        <v>1.1200000000000001</v>
      </c>
      <c r="Q50" s="4">
        <f t="shared" si="6"/>
        <v>-6.7620850946745028</v>
      </c>
      <c r="R50">
        <v>0</v>
      </c>
    </row>
    <row r="51" spans="1:18">
      <c r="A51">
        <v>2038</v>
      </c>
      <c r="I51" s="3">
        <v>2.946316749294037</v>
      </c>
      <c r="J51" s="3">
        <f t="shared" si="4"/>
        <v>2.9205070402999418</v>
      </c>
      <c r="K51" s="4">
        <f t="shared" si="9"/>
        <v>-6.7620850946745028</v>
      </c>
      <c r="L51" s="4"/>
      <c r="M51">
        <v>2038</v>
      </c>
      <c r="O51" s="3">
        <f t="shared" si="10"/>
        <v>1.1200000000000001</v>
      </c>
      <c r="Q51" s="4">
        <f t="shared" si="6"/>
        <v>-7.5733737007052992</v>
      </c>
      <c r="R51">
        <v>0</v>
      </c>
    </row>
    <row r="52" spans="1:18">
      <c r="A52">
        <v>2039</v>
      </c>
      <c r="I52" s="3">
        <v>2.6991635180678353</v>
      </c>
      <c r="J52" s="3">
        <f t="shared" si="4"/>
        <v>2.6993261281826193</v>
      </c>
      <c r="K52" s="4">
        <f t="shared" si="9"/>
        <v>-7.5733737007052992</v>
      </c>
      <c r="L52" s="4"/>
      <c r="M52">
        <v>2039</v>
      </c>
      <c r="O52" s="3">
        <f t="shared" si="10"/>
        <v>1.1200000000000001</v>
      </c>
      <c r="Q52" s="4">
        <f t="shared" si="6"/>
        <v>-8.4580458602517403</v>
      </c>
      <c r="R52">
        <v>0</v>
      </c>
    </row>
    <row r="53" spans="1:18">
      <c r="A53">
        <v>2040</v>
      </c>
      <c r="I53" s="3">
        <v>2.4582331874929717</v>
      </c>
      <c r="J53" s="3">
        <f t="shared" si="4"/>
        <v>2.4710158863431757</v>
      </c>
      <c r="K53" s="4">
        <f t="shared" si="9"/>
        <v>-8.4580458602517403</v>
      </c>
      <c r="L53" s="4"/>
      <c r="M53">
        <v>2040</v>
      </c>
      <c r="O53" s="3">
        <f t="shared" si="10"/>
        <v>1.1200000000000001</v>
      </c>
      <c r="Q53" s="4">
        <f t="shared" si="6"/>
        <v>-9.295425028394817</v>
      </c>
      <c r="R53">
        <v>0</v>
      </c>
    </row>
    <row r="54" spans="1:18">
      <c r="A54">
        <v>2041</v>
      </c>
      <c r="I54" s="3">
        <v>2.2371579485607391</v>
      </c>
      <c r="J54" s="3">
        <f t="shared" si="4"/>
        <v>2.2413244571884201</v>
      </c>
      <c r="K54" s="4">
        <f t="shared" si="9"/>
        <v>-9.295425028394817</v>
      </c>
      <c r="L54" s="4"/>
      <c r="M54">
        <v>2041</v>
      </c>
      <c r="O54" s="3">
        <f t="shared" si="10"/>
        <v>1.1200000000000001</v>
      </c>
      <c r="Q54" s="4">
        <f t="shared" si="6"/>
        <v>-9.6164457441191349</v>
      </c>
      <c r="R54">
        <v>0</v>
      </c>
    </row>
    <row r="55" spans="1:18">
      <c r="A55">
        <v>2042</v>
      </c>
      <c r="I55" s="3">
        <v>2.0142080283002946</v>
      </c>
      <c r="J55" s="3">
        <f t="shared" si="4"/>
        <v>2.025788706813223</v>
      </c>
      <c r="K55" s="4">
        <f t="shared" si="9"/>
        <v>-9.6164457441191349</v>
      </c>
      <c r="L55" s="4"/>
      <c r="M55">
        <v>2042</v>
      </c>
      <c r="O55" s="3">
        <f t="shared" si="10"/>
        <v>1.1200000000000001</v>
      </c>
      <c r="Q55" s="4">
        <f t="shared" si="6"/>
        <v>-9.6803130806459734</v>
      </c>
      <c r="R55">
        <v>0</v>
      </c>
    </row>
    <row r="56" spans="1:18">
      <c r="A56">
        <v>2043</v>
      </c>
      <c r="I56" s="3">
        <v>1.797859603520261</v>
      </c>
      <c r="J56" s="3">
        <f t="shared" si="4"/>
        <v>1.8296860176413337</v>
      </c>
      <c r="K56" s="4">
        <f t="shared" si="9"/>
        <v>-9.6803130806459734</v>
      </c>
      <c r="L56" s="4"/>
      <c r="M56">
        <v>2043</v>
      </c>
      <c r="O56" s="3">
        <f t="shared" si="10"/>
        <v>1.1200000000000001</v>
      </c>
      <c r="Q56" s="4">
        <f t="shared" si="6"/>
        <v>-9.6252972608037997</v>
      </c>
      <c r="R56">
        <v>0</v>
      </c>
    </row>
    <row r="57" spans="1:18">
      <c r="A57">
        <v>2044</v>
      </c>
      <c r="I57" s="3">
        <v>1.6214847661918479</v>
      </c>
      <c r="J57" s="3">
        <f t="shared" si="4"/>
        <v>1.6535732995039922</v>
      </c>
      <c r="K57" s="4">
        <f t="shared" si="9"/>
        <v>-9.6252972608037997</v>
      </c>
      <c r="L57" s="4"/>
      <c r="M57">
        <v>2044</v>
      </c>
      <c r="O57" s="3">
        <f t="shared" si="10"/>
        <v>1.1200000000000001</v>
      </c>
      <c r="Q57" s="4">
        <f t="shared" si="6"/>
        <v>-9.3248865404888033</v>
      </c>
      <c r="R57">
        <v>0</v>
      </c>
    </row>
    <row r="58" spans="1:18">
      <c r="A58">
        <v>2045</v>
      </c>
      <c r="I58" s="3">
        <v>1.4777197416335248</v>
      </c>
      <c r="J58" s="3">
        <f t="shared" si="4"/>
        <v>1.4993794654614279</v>
      </c>
      <c r="K58" s="4">
        <f t="shared" si="9"/>
        <v>-9.3248865404888033</v>
      </c>
      <c r="L58" s="4"/>
      <c r="M58">
        <v>2045</v>
      </c>
      <c r="O58" s="3">
        <f t="shared" si="10"/>
        <v>1.1200000000000001</v>
      </c>
      <c r="Q58" s="4">
        <f t="shared" si="6"/>
        <v>-8.836308184304178</v>
      </c>
      <c r="R58">
        <v>0</v>
      </c>
    </row>
    <row r="59" spans="1:18">
      <c r="A59">
        <v>2046</v>
      </c>
      <c r="I59" s="3">
        <v>1.3565943578740325</v>
      </c>
      <c r="J59" s="3">
        <f t="shared" si="4"/>
        <v>1.3668896750410835</v>
      </c>
      <c r="K59" s="4">
        <f t="shared" si="9"/>
        <v>-8.836308184304178</v>
      </c>
      <c r="L59" s="4"/>
      <c r="M59">
        <v>2046</v>
      </c>
      <c r="O59" s="3">
        <f t="shared" si="10"/>
        <v>1.1200000000000001</v>
      </c>
      <c r="Q59" s="4">
        <f t="shared" si="6"/>
        <v>-8.5974056890147317</v>
      </c>
      <c r="R59">
        <v>0</v>
      </c>
    </row>
    <row r="60" spans="1:18">
      <c r="A60">
        <v>2047</v>
      </c>
      <c r="I60" s="3">
        <v>1.243238858087474</v>
      </c>
      <c r="J60" s="3">
        <f t="shared" si="4"/>
        <v>1.2493726243565464</v>
      </c>
      <c r="K60" s="4">
        <f t="shared" si="9"/>
        <v>-8.5974056890147317</v>
      </c>
      <c r="L60" s="4"/>
      <c r="M60">
        <v>2047</v>
      </c>
      <c r="O60" s="3">
        <f t="shared" si="10"/>
        <v>1.1200000000000001</v>
      </c>
      <c r="Q60" s="4">
        <f t="shared" si="6"/>
        <v>-8.6128390466492863</v>
      </c>
      <c r="R60">
        <v>0</v>
      </c>
    </row>
    <row r="61" spans="1:18">
      <c r="A61">
        <v>2048</v>
      </c>
      <c r="I61" s="3">
        <v>1.1354106514185376</v>
      </c>
      <c r="J61" s="3">
        <f t="shared" si="4"/>
        <v>1.1417661711278189</v>
      </c>
      <c r="K61" s="4">
        <f t="shared" si="9"/>
        <v>-8.6128390466492863</v>
      </c>
      <c r="L61" s="4"/>
      <c r="M61">
        <v>2048</v>
      </c>
      <c r="Q61" s="4"/>
    </row>
    <row r="62" spans="1:18">
      <c r="A62">
        <v>2049</v>
      </c>
      <c r="I62" s="3">
        <v>1.033899512769163</v>
      </c>
      <c r="M62">
        <v>2049</v>
      </c>
      <c r="N62" s="13" t="s">
        <v>88</v>
      </c>
      <c r="O62" s="13">
        <v>1.0764969723884206</v>
      </c>
    </row>
    <row r="63" spans="1:18">
      <c r="A63">
        <v>2050</v>
      </c>
      <c r="I63" s="3">
        <v>0.93968747548988707</v>
      </c>
      <c r="M63">
        <v>2050</v>
      </c>
      <c r="N63" t="s">
        <v>2024</v>
      </c>
      <c r="O63" s="13">
        <v>-1.5854810043289203E-2</v>
      </c>
    </row>
    <row r="64" spans="1:18" ht="15.75" thickBot="1">
      <c r="N64" t="s">
        <v>2027</v>
      </c>
      <c r="O64" s="14">
        <v>-9.6105870801442062E-2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BN97" sqref="BN97"/>
    </sheetView>
  </sheetViews>
  <sheetFormatPr defaultRowHeight="15"/>
  <sheetData>
    <row r="1" spans="1:9">
      <c r="A1" t="s">
        <v>77</v>
      </c>
    </row>
    <row r="2" spans="1:9" ht="15.75" thickBot="1"/>
    <row r="3" spans="1:9">
      <c r="A3" s="16" t="s">
        <v>78</v>
      </c>
      <c r="B3" s="16"/>
    </row>
    <row r="4" spans="1:9">
      <c r="A4" s="13" t="s">
        <v>79</v>
      </c>
      <c r="B4" s="13">
        <v>0.99506507111065634</v>
      </c>
    </row>
    <row r="5" spans="1:9">
      <c r="A5" s="13" t="s">
        <v>80</v>
      </c>
      <c r="B5" s="13">
        <v>0.99015449574445547</v>
      </c>
    </row>
    <row r="6" spans="1:9">
      <c r="A6" s="13" t="s">
        <v>81</v>
      </c>
      <c r="B6" s="13">
        <v>0.98769311968056939</v>
      </c>
    </row>
    <row r="7" spans="1:9">
      <c r="A7" s="13" t="s">
        <v>82</v>
      </c>
      <c r="B7" s="13">
        <v>1.2077689126988055E-2</v>
      </c>
    </row>
    <row r="8" spans="1:9" ht="15.75" thickBot="1">
      <c r="A8" s="14" t="s">
        <v>83</v>
      </c>
      <c r="B8" s="14">
        <v>21</v>
      </c>
    </row>
    <row r="10" spans="1:9" ht="15.75" thickBot="1">
      <c r="A10" t="s">
        <v>84</v>
      </c>
    </row>
    <row r="11" spans="1:9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9">
      <c r="A12" s="13" t="s">
        <v>85</v>
      </c>
      <c r="B12" s="13">
        <v>4</v>
      </c>
      <c r="C12" s="13">
        <v>0.23472139410776435</v>
      </c>
      <c r="D12" s="13">
        <v>5.8680348526941088E-2</v>
      </c>
      <c r="E12" s="13">
        <v>402.27680372464391</v>
      </c>
      <c r="F12" s="13">
        <v>7.8764177175188711E-16</v>
      </c>
    </row>
    <row r="13" spans="1:9">
      <c r="A13" s="13" t="s">
        <v>86</v>
      </c>
      <c r="B13" s="13">
        <v>16</v>
      </c>
      <c r="C13" s="13">
        <v>2.3339291943706478E-3</v>
      </c>
      <c r="D13" s="13">
        <v>1.4587057464816549E-4</v>
      </c>
      <c r="E13" s="13"/>
      <c r="F13" s="13"/>
    </row>
    <row r="14" spans="1:9" ht="15.75" thickBot="1">
      <c r="A14" s="14" t="s">
        <v>87</v>
      </c>
      <c r="B14" s="14">
        <v>20</v>
      </c>
      <c r="C14" s="14">
        <v>0.237055323302135</v>
      </c>
      <c r="D14" s="14"/>
      <c r="E14" s="14"/>
      <c r="F14" s="14"/>
    </row>
    <row r="15" spans="1:9" ht="15.75" thickBot="1"/>
    <row r="16" spans="1:9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  <c r="H16" s="15" t="s">
        <v>1916</v>
      </c>
      <c r="I16" s="15" t="s">
        <v>1917</v>
      </c>
    </row>
    <row r="17" spans="1:9">
      <c r="A17" s="13" t="s">
        <v>88</v>
      </c>
      <c r="B17" s="13">
        <v>1.0619250634342081</v>
      </c>
      <c r="C17" s="13">
        <v>3.6607388813300408E-3</v>
      </c>
      <c r="D17" s="13">
        <v>290.08489757356944</v>
      </c>
      <c r="E17" s="13">
        <v>3.3499067879625862E-31</v>
      </c>
      <c r="F17" s="13">
        <v>1.0541646436806114</v>
      </c>
      <c r="G17" s="13">
        <v>1.0696854831878049</v>
      </c>
      <c r="H17" s="13">
        <v>1.0541646436806114</v>
      </c>
      <c r="I17" s="13">
        <v>1.0696854831878049</v>
      </c>
    </row>
    <row r="18" spans="1:9">
      <c r="A18" s="13" t="s">
        <v>99</v>
      </c>
      <c r="B18" s="13">
        <v>7.3888085354719357E-2</v>
      </c>
      <c r="C18" s="13">
        <v>1.2620284616657703E-2</v>
      </c>
      <c r="D18" s="13">
        <v>5.8547083206977257</v>
      </c>
      <c r="E18" s="13">
        <v>2.4409896186551167E-5</v>
      </c>
      <c r="F18" s="13">
        <v>4.7134277118186206E-2</v>
      </c>
      <c r="G18" s="13">
        <v>0.1006418935912525</v>
      </c>
      <c r="H18" s="13">
        <v>4.7134277118186206E-2</v>
      </c>
      <c r="I18" s="13">
        <v>0.1006418935912525</v>
      </c>
    </row>
    <row r="19" spans="1:9">
      <c r="A19" s="13" t="s">
        <v>127</v>
      </c>
      <c r="B19" s="13">
        <v>7.4813039422382543E-2</v>
      </c>
      <c r="C19" s="13">
        <v>6.9551066946539801E-3</v>
      </c>
      <c r="D19" s="13">
        <v>10.756562437767826</v>
      </c>
      <c r="E19" s="13">
        <v>9.8655215106217751E-9</v>
      </c>
      <c r="F19" s="13">
        <v>6.0068871883736344E-2</v>
      </c>
      <c r="G19" s="13">
        <v>8.9557206961028743E-2</v>
      </c>
      <c r="H19" s="13">
        <v>6.0068871883736344E-2</v>
      </c>
      <c r="I19" s="13">
        <v>8.9557206961028743E-2</v>
      </c>
    </row>
    <row r="20" spans="1:9">
      <c r="A20" s="13" t="s">
        <v>136</v>
      </c>
      <c r="B20" s="13">
        <v>0.35431250096276373</v>
      </c>
      <c r="C20" s="13">
        <v>9.2099850690375486E-3</v>
      </c>
      <c r="D20" s="13">
        <v>38.470475066664761</v>
      </c>
      <c r="E20" s="13">
        <v>3.3785672893552579E-17</v>
      </c>
      <c r="F20" s="13">
        <v>0.33478820480916238</v>
      </c>
      <c r="G20" s="13">
        <v>0.37383679711636508</v>
      </c>
      <c r="H20" s="13">
        <v>0.33478820480916238</v>
      </c>
      <c r="I20" s="13">
        <v>0.37383679711636508</v>
      </c>
    </row>
    <row r="21" spans="1:9" ht="15.75" thickBot="1">
      <c r="A21" s="14" t="s">
        <v>141</v>
      </c>
      <c r="B21" s="14">
        <v>-7.1650463891874086E-2</v>
      </c>
      <c r="C21" s="14">
        <v>1.2620284616657698E-2</v>
      </c>
      <c r="D21" s="14">
        <v>-5.6774047549848117</v>
      </c>
      <c r="E21" s="14">
        <v>3.431724837567018E-5</v>
      </c>
      <c r="F21" s="14">
        <v>-9.8404272128407216E-2</v>
      </c>
      <c r="G21" s="14">
        <v>-4.4896655655340949E-2</v>
      </c>
      <c r="H21" s="14">
        <v>-9.8404272128407216E-2</v>
      </c>
      <c r="I21" s="14">
        <v>-4.4896655655340949E-2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63"/>
  <sheetViews>
    <sheetView zoomScale="75" zoomScaleNormal="75" workbookViewId="0">
      <pane xSplit="1" ySplit="2" topLeftCell="B3" activePane="bottomRight" state="frozen"/>
      <selection activeCell="BN97" sqref="BN97"/>
      <selection pane="topRight" activeCell="BN97" sqref="BN97"/>
      <selection pane="bottomLeft" activeCell="BN97" sqref="BN97"/>
      <selection pane="bottomRight" activeCell="X54" sqref="X54"/>
    </sheetView>
  </sheetViews>
  <sheetFormatPr defaultRowHeight="15"/>
  <cols>
    <col min="4" max="4" width="15.42578125" customWidth="1"/>
  </cols>
  <sheetData>
    <row r="2" spans="1:10">
      <c r="B2" t="s">
        <v>2059</v>
      </c>
      <c r="C2" t="s">
        <v>1960</v>
      </c>
      <c r="D2" t="s">
        <v>2062</v>
      </c>
      <c r="E2" t="s">
        <v>103</v>
      </c>
      <c r="G2" t="s">
        <v>2063</v>
      </c>
      <c r="H2" t="s">
        <v>2064</v>
      </c>
      <c r="I2" t="s">
        <v>2061</v>
      </c>
      <c r="J2" t="s">
        <v>2065</v>
      </c>
    </row>
    <row r="3" spans="1:10">
      <c r="A3">
        <v>1990</v>
      </c>
    </row>
    <row r="4" spans="1:10">
      <c r="A4">
        <v>1991</v>
      </c>
      <c r="D4" s="13" t="s">
        <v>88</v>
      </c>
      <c r="E4" s="13">
        <v>1.0619250634342081</v>
      </c>
    </row>
    <row r="5" spans="1:10">
      <c r="A5">
        <v>1992</v>
      </c>
      <c r="D5" t="s">
        <v>2063</v>
      </c>
      <c r="E5" s="13">
        <v>7.3888085354719357E-2</v>
      </c>
    </row>
    <row r="6" spans="1:10">
      <c r="A6">
        <v>1993</v>
      </c>
      <c r="D6" t="s">
        <v>2064</v>
      </c>
      <c r="E6" s="13">
        <v>7.4813039422382543E-2</v>
      </c>
    </row>
    <row r="7" spans="1:10">
      <c r="A7">
        <v>1994</v>
      </c>
      <c r="D7" t="s">
        <v>1982</v>
      </c>
      <c r="E7" s="13">
        <v>0.35431250096276373</v>
      </c>
    </row>
    <row r="8" spans="1:10" ht="15.75" thickBot="1">
      <c r="A8">
        <v>1995</v>
      </c>
      <c r="D8" t="s">
        <v>2065</v>
      </c>
      <c r="E8" s="14">
        <v>-7.1650463891874086E-2</v>
      </c>
    </row>
    <row r="9" spans="1:10">
      <c r="A9">
        <v>1996</v>
      </c>
    </row>
    <row r="10" spans="1:10">
      <c r="A10">
        <v>1997</v>
      </c>
    </row>
    <row r="11" spans="1:10">
      <c r="B11" t="s">
        <v>2059</v>
      </c>
      <c r="C11" t="s">
        <v>1960</v>
      </c>
      <c r="D11" t="s">
        <v>2062</v>
      </c>
      <c r="E11" t="s">
        <v>103</v>
      </c>
    </row>
    <row r="12" spans="1:10">
      <c r="A12">
        <v>1999</v>
      </c>
      <c r="B12" s="3">
        <f>USA!AB86</f>
        <v>17.309999999999999</v>
      </c>
      <c r="C12" s="3">
        <f>USA!Y86</f>
        <v>17.48</v>
      </c>
      <c r="D12" s="3">
        <f t="shared" ref="D12:D32" si="0">B12/C12</f>
        <v>0.99027459954233399</v>
      </c>
      <c r="E12" s="3">
        <f t="shared" ref="E12:E43" si="1">E$4+E$5*G12+E$6*H12+E$7*I12+E$8*J12</f>
        <v>0.99027459954233399</v>
      </c>
      <c r="G12">
        <v>0</v>
      </c>
      <c r="H12">
        <v>0</v>
      </c>
      <c r="I12">
        <v>0</v>
      </c>
      <c r="J12">
        <v>1</v>
      </c>
    </row>
    <row r="13" spans="1:10">
      <c r="A13">
        <v>2000</v>
      </c>
      <c r="B13" s="3">
        <f>USA!AB87</f>
        <v>29.53</v>
      </c>
      <c r="C13" s="3">
        <f>USA!Y87</f>
        <v>27.6</v>
      </c>
      <c r="D13" s="3">
        <f t="shared" si="0"/>
        <v>1.0699275362318841</v>
      </c>
      <c r="E13" s="3">
        <f t="shared" si="1"/>
        <v>1.0619250634342081</v>
      </c>
      <c r="G13">
        <v>0</v>
      </c>
      <c r="H13">
        <v>0</v>
      </c>
      <c r="I13">
        <v>0</v>
      </c>
      <c r="J13">
        <v>0</v>
      </c>
    </row>
    <row r="14" spans="1:10">
      <c r="A14">
        <v>2001</v>
      </c>
      <c r="B14" s="3">
        <f>USA!AB88</f>
        <v>26.26</v>
      </c>
      <c r="C14" s="3">
        <f>USA!Y88</f>
        <v>23.12</v>
      </c>
      <c r="D14" s="3">
        <f t="shared" si="0"/>
        <v>1.1358131487889274</v>
      </c>
      <c r="E14" s="3">
        <f t="shared" si="1"/>
        <v>1.1358131487889276</v>
      </c>
      <c r="G14">
        <v>1</v>
      </c>
      <c r="H14">
        <v>0</v>
      </c>
      <c r="I14">
        <v>0</v>
      </c>
      <c r="J14">
        <v>0</v>
      </c>
    </row>
    <row r="15" spans="1:10">
      <c r="A15">
        <v>2002</v>
      </c>
      <c r="B15" s="3">
        <f>USA!AB89</f>
        <v>25.59</v>
      </c>
      <c r="C15" s="3">
        <f>USA!Y89</f>
        <v>24.36</v>
      </c>
      <c r="D15" s="3">
        <f t="shared" si="0"/>
        <v>1.0504926108374384</v>
      </c>
      <c r="E15" s="3">
        <f t="shared" si="1"/>
        <v>1.0619250634342081</v>
      </c>
      <c r="G15">
        <v>0</v>
      </c>
      <c r="H15">
        <v>0</v>
      </c>
      <c r="I15">
        <v>0</v>
      </c>
      <c r="J15">
        <v>0</v>
      </c>
    </row>
    <row r="16" spans="1:10">
      <c r="A16">
        <v>2003</v>
      </c>
      <c r="B16" s="3">
        <f>USA!AB90</f>
        <v>30.17</v>
      </c>
      <c r="C16" s="3">
        <f>USA!Y90</f>
        <v>28.1</v>
      </c>
      <c r="D16" s="3">
        <f t="shared" si="0"/>
        <v>1.0736654804270462</v>
      </c>
      <c r="E16" s="3">
        <f t="shared" si="1"/>
        <v>1.0619250634342081</v>
      </c>
      <c r="G16">
        <v>0</v>
      </c>
      <c r="H16">
        <v>0</v>
      </c>
      <c r="I16">
        <v>0</v>
      </c>
      <c r="J16">
        <v>0</v>
      </c>
    </row>
    <row r="17" spans="1:10">
      <c r="A17">
        <v>2004</v>
      </c>
      <c r="B17" s="3">
        <f>USA!AB91</f>
        <v>41.14</v>
      </c>
      <c r="C17" s="3">
        <f>USA!Y91</f>
        <v>36.049999999999997</v>
      </c>
      <c r="D17" s="3">
        <f t="shared" si="0"/>
        <v>1.1411927877947297</v>
      </c>
      <c r="E17" s="3">
        <f t="shared" si="1"/>
        <v>1.1367381028565906</v>
      </c>
      <c r="G17">
        <v>0</v>
      </c>
      <c r="H17">
        <v>1</v>
      </c>
      <c r="I17">
        <v>0</v>
      </c>
      <c r="J17">
        <v>0</v>
      </c>
    </row>
    <row r="18" spans="1:10">
      <c r="A18">
        <v>2005</v>
      </c>
      <c r="B18" s="3">
        <f>USA!AB92</f>
        <v>57.63</v>
      </c>
      <c r="C18" s="3">
        <f>USA!Y92</f>
        <v>50.64</v>
      </c>
      <c r="D18" s="3">
        <f t="shared" si="0"/>
        <v>1.1380331753554502</v>
      </c>
      <c r="E18" s="3">
        <f t="shared" si="1"/>
        <v>1.1367381028565906</v>
      </c>
      <c r="G18">
        <v>0</v>
      </c>
      <c r="H18">
        <v>1</v>
      </c>
      <c r="I18">
        <v>0</v>
      </c>
      <c r="J18">
        <v>0</v>
      </c>
    </row>
    <row r="19" spans="1:10">
      <c r="A19">
        <v>2006</v>
      </c>
      <c r="B19" s="3">
        <f>USA!AB93</f>
        <v>70.02</v>
      </c>
      <c r="C19" s="3">
        <f>USA!Y93</f>
        <v>61.08</v>
      </c>
      <c r="D19" s="3">
        <f t="shared" si="0"/>
        <v>1.1463654223968565</v>
      </c>
      <c r="E19" s="3">
        <f t="shared" si="1"/>
        <v>1.1367381028565906</v>
      </c>
      <c r="G19">
        <v>0</v>
      </c>
      <c r="H19">
        <v>1</v>
      </c>
      <c r="I19">
        <v>0</v>
      </c>
      <c r="J19">
        <v>0</v>
      </c>
    </row>
    <row r="20" spans="1:10">
      <c r="A20">
        <v>2007</v>
      </c>
      <c r="B20" s="3">
        <f>USA!AB94</f>
        <v>77.52</v>
      </c>
      <c r="C20" s="3">
        <f>USA!Y94</f>
        <v>69.08</v>
      </c>
      <c r="D20" s="3">
        <f t="shared" si="0"/>
        <v>1.1221771858714533</v>
      </c>
      <c r="E20" s="3">
        <f t="shared" si="1"/>
        <v>1.1367381028565906</v>
      </c>
      <c r="G20">
        <v>0</v>
      </c>
      <c r="H20">
        <v>1</v>
      </c>
      <c r="I20">
        <v>0</v>
      </c>
      <c r="J20">
        <v>0</v>
      </c>
    </row>
    <row r="21" spans="1:10">
      <c r="A21">
        <v>2008</v>
      </c>
      <c r="B21" s="3">
        <f>USA!AB95</f>
        <v>104.41</v>
      </c>
      <c r="C21" s="3">
        <f>USA!Y95</f>
        <v>94.45</v>
      </c>
      <c r="D21" s="3">
        <f t="shared" si="0"/>
        <v>1.105452620434092</v>
      </c>
      <c r="E21" s="3">
        <f t="shared" si="1"/>
        <v>1.1068128870876377</v>
      </c>
      <c r="G21">
        <v>0</v>
      </c>
      <c r="H21">
        <v>0.6</v>
      </c>
      <c r="I21">
        <v>0</v>
      </c>
      <c r="J21">
        <v>0</v>
      </c>
    </row>
    <row r="22" spans="1:10">
      <c r="A22">
        <v>2009</v>
      </c>
      <c r="B22" s="3">
        <f>USA!AB96</f>
        <v>64.760000000000005</v>
      </c>
      <c r="C22" s="3">
        <f>USA!Y96</f>
        <v>61.06</v>
      </c>
      <c r="D22" s="3">
        <f t="shared" si="0"/>
        <v>1.0605961349492303</v>
      </c>
      <c r="E22" s="3">
        <f t="shared" si="1"/>
        <v>1.0619250634342081</v>
      </c>
      <c r="G22">
        <v>0</v>
      </c>
      <c r="H22">
        <v>0</v>
      </c>
      <c r="I22">
        <v>0</v>
      </c>
      <c r="J22">
        <v>0</v>
      </c>
    </row>
    <row r="23" spans="1:10">
      <c r="A23">
        <v>2010</v>
      </c>
      <c r="B23" s="3">
        <f>USA!AB97</f>
        <v>82.411666666666676</v>
      </c>
      <c r="C23" s="3">
        <f>USA!Y97</f>
        <v>77.45</v>
      </c>
      <c r="D23" s="3">
        <f t="shared" si="0"/>
        <v>1.0640628362384335</v>
      </c>
      <c r="E23" s="3">
        <f t="shared" si="1"/>
        <v>1.0619250634342081</v>
      </c>
      <c r="G23">
        <v>0</v>
      </c>
      <c r="H23">
        <v>0</v>
      </c>
      <c r="I23">
        <v>0</v>
      </c>
      <c r="J23">
        <v>0</v>
      </c>
    </row>
    <row r="24" spans="1:10">
      <c r="A24">
        <v>2011</v>
      </c>
      <c r="B24" s="3">
        <f>USA!AB98</f>
        <v>116.04166666666667</v>
      </c>
      <c r="C24" s="3">
        <f>USA!Y98</f>
        <v>107.45</v>
      </c>
      <c r="D24" s="3">
        <f t="shared" si="0"/>
        <v>1.0799596711648829</v>
      </c>
      <c r="E24" s="3">
        <f t="shared" si="1"/>
        <v>1.0619250634342081</v>
      </c>
      <c r="G24">
        <v>0</v>
      </c>
      <c r="H24">
        <v>0</v>
      </c>
      <c r="I24">
        <v>0</v>
      </c>
      <c r="J24">
        <v>0</v>
      </c>
    </row>
    <row r="25" spans="1:10">
      <c r="A25">
        <v>2012</v>
      </c>
      <c r="B25" s="3">
        <f>USA!AB99</f>
        <v>114.375</v>
      </c>
      <c r="C25" s="3">
        <f>USA!Y99</f>
        <v>109.49585833333333</v>
      </c>
      <c r="D25" s="3">
        <f t="shared" si="0"/>
        <v>1.0445600567997131</v>
      </c>
      <c r="E25" s="3">
        <f t="shared" si="1"/>
        <v>1.0619250634342081</v>
      </c>
      <c r="G25">
        <v>0</v>
      </c>
      <c r="H25">
        <v>0</v>
      </c>
      <c r="I25">
        <v>0</v>
      </c>
      <c r="J25">
        <v>0</v>
      </c>
    </row>
    <row r="26" spans="1:10">
      <c r="A26">
        <v>2013</v>
      </c>
      <c r="B26" s="3">
        <f>USA!AB100</f>
        <v>113.73995308663781</v>
      </c>
      <c r="C26" s="3">
        <f>USA!Y100</f>
        <v>105.93624999999999</v>
      </c>
      <c r="D26" s="3">
        <f t="shared" si="0"/>
        <v>1.0736641431675922</v>
      </c>
      <c r="E26" s="3">
        <f t="shared" si="1"/>
        <v>1.0619250634342081</v>
      </c>
      <c r="G26">
        <v>0</v>
      </c>
      <c r="H26">
        <v>0</v>
      </c>
      <c r="I26">
        <v>0</v>
      </c>
      <c r="J26">
        <v>0</v>
      </c>
    </row>
    <row r="27" spans="1:10">
      <c r="A27">
        <v>2014</v>
      </c>
      <c r="B27" s="3">
        <f>USA!AB101</f>
        <v>106.4385730593545</v>
      </c>
      <c r="C27" s="3">
        <f>USA!Y101</f>
        <v>96.189058333333321</v>
      </c>
      <c r="D27" s="3">
        <f t="shared" si="0"/>
        <v>1.1065559316580742</v>
      </c>
      <c r="E27" s="3">
        <f t="shared" si="1"/>
        <v>1.1150719385786227</v>
      </c>
      <c r="G27">
        <v>0</v>
      </c>
      <c r="H27">
        <v>0</v>
      </c>
      <c r="I27">
        <v>0.15</v>
      </c>
      <c r="J27">
        <v>0</v>
      </c>
    </row>
    <row r="28" spans="1:10">
      <c r="A28">
        <v>2015</v>
      </c>
      <c r="B28" s="3">
        <f>USA!AB102</f>
        <v>67.676211458872089</v>
      </c>
      <c r="C28" s="3">
        <f>USA!Y102</f>
        <v>49.516674999999999</v>
      </c>
      <c r="D28" s="3">
        <f t="shared" si="0"/>
        <v>1.3667357806006177</v>
      </c>
      <c r="E28" s="3">
        <f t="shared" si="1"/>
        <v>1.3630906892525574</v>
      </c>
      <c r="G28">
        <v>0</v>
      </c>
      <c r="H28">
        <v>0</v>
      </c>
      <c r="I28">
        <v>0.85</v>
      </c>
      <c r="J28">
        <v>0</v>
      </c>
    </row>
    <row r="29" spans="1:10">
      <c r="A29">
        <v>2016</v>
      </c>
      <c r="B29" s="3">
        <f>USA!AB103</f>
        <v>57.427116730602677</v>
      </c>
      <c r="C29" s="3">
        <f>USA!Y103</f>
        <v>40.68396666666667</v>
      </c>
      <c r="D29" s="3">
        <f t="shared" si="0"/>
        <v>1.4115417309505875</v>
      </c>
      <c r="E29" s="3">
        <f t="shared" si="1"/>
        <v>1.4162375643969718</v>
      </c>
      <c r="G29">
        <v>0</v>
      </c>
      <c r="H29">
        <v>0</v>
      </c>
      <c r="I29">
        <v>1</v>
      </c>
      <c r="J29">
        <v>0</v>
      </c>
    </row>
    <row r="30" spans="1:10">
      <c r="A30">
        <v>2017</v>
      </c>
      <c r="B30" s="3">
        <f>USA!AB104</f>
        <v>69.000808761812394</v>
      </c>
      <c r="C30" s="3">
        <f>USA!Y104</f>
        <v>52.51</v>
      </c>
      <c r="D30" s="3">
        <f t="shared" si="0"/>
        <v>1.3140508238775928</v>
      </c>
      <c r="E30" s="3">
        <f t="shared" si="1"/>
        <v>1.3099438141081428</v>
      </c>
      <c r="G30">
        <v>0</v>
      </c>
      <c r="H30">
        <v>0</v>
      </c>
      <c r="I30">
        <v>0.7</v>
      </c>
      <c r="J30">
        <v>0</v>
      </c>
    </row>
    <row r="31" spans="1:10">
      <c r="A31">
        <v>2018</v>
      </c>
      <c r="B31" s="3">
        <f>USA!AB105</f>
        <v>72.254053325073102</v>
      </c>
      <c r="C31" s="3">
        <f>USA!Y105</f>
        <v>70.203982683982687</v>
      </c>
      <c r="D31" s="3">
        <f t="shared" si="0"/>
        <v>1.0292016287782224</v>
      </c>
      <c r="E31" s="3">
        <f t="shared" si="1"/>
        <v>1.0619250634342081</v>
      </c>
      <c r="G31">
        <v>0</v>
      </c>
      <c r="H31">
        <v>0</v>
      </c>
      <c r="I31">
        <v>0</v>
      </c>
      <c r="J31">
        <v>0</v>
      </c>
    </row>
    <row r="32" spans="1:10">
      <c r="A32">
        <v>2019</v>
      </c>
      <c r="B32" s="3">
        <f>USA!AB106</f>
        <v>61.185497043734323</v>
      </c>
      <c r="C32" s="3">
        <f>USA!Y106</f>
        <v>60</v>
      </c>
      <c r="D32" s="3">
        <f t="shared" si="0"/>
        <v>1.0197582840622388</v>
      </c>
      <c r="E32" s="3">
        <f t="shared" si="1"/>
        <v>1.0619250634342081</v>
      </c>
      <c r="G32">
        <v>0</v>
      </c>
      <c r="H32">
        <v>0</v>
      </c>
      <c r="I32">
        <v>0</v>
      </c>
      <c r="J32">
        <v>0</v>
      </c>
    </row>
    <row r="33" spans="1:10">
      <c r="A33">
        <v>2020</v>
      </c>
      <c r="E33" s="3">
        <f t="shared" si="1"/>
        <v>1.0619250634342081</v>
      </c>
      <c r="G33">
        <v>0</v>
      </c>
      <c r="H33">
        <v>0</v>
      </c>
      <c r="I33">
        <v>0</v>
      </c>
      <c r="J33">
        <v>0</v>
      </c>
    </row>
    <row r="34" spans="1:10">
      <c r="A34">
        <v>2021</v>
      </c>
      <c r="E34" s="3">
        <f t="shared" si="1"/>
        <v>1.0619250634342081</v>
      </c>
      <c r="G34">
        <v>0</v>
      </c>
      <c r="H34">
        <v>0</v>
      </c>
      <c r="I34">
        <v>0</v>
      </c>
      <c r="J34">
        <v>0</v>
      </c>
    </row>
    <row r="35" spans="1:10">
      <c r="A35">
        <v>2022</v>
      </c>
      <c r="E35" s="3">
        <f t="shared" si="1"/>
        <v>1.0619250634342081</v>
      </c>
      <c r="G35">
        <v>0</v>
      </c>
      <c r="H35">
        <v>0</v>
      </c>
      <c r="I35">
        <v>0</v>
      </c>
      <c r="J35">
        <v>0</v>
      </c>
    </row>
    <row r="36" spans="1:10">
      <c r="A36">
        <v>2023</v>
      </c>
      <c r="E36" s="3">
        <f t="shared" si="1"/>
        <v>1.0619250634342081</v>
      </c>
      <c r="G36">
        <v>0</v>
      </c>
      <c r="H36">
        <v>0</v>
      </c>
      <c r="I36">
        <v>0</v>
      </c>
      <c r="J36">
        <v>0</v>
      </c>
    </row>
    <row r="37" spans="1:10">
      <c r="A37">
        <v>2024</v>
      </c>
      <c r="E37" s="3">
        <f t="shared" si="1"/>
        <v>1.0619250634342081</v>
      </c>
      <c r="G37">
        <v>0</v>
      </c>
      <c r="H37">
        <v>0</v>
      </c>
      <c r="I37">
        <v>0</v>
      </c>
      <c r="J37">
        <v>0</v>
      </c>
    </row>
    <row r="38" spans="1:10">
      <c r="A38">
        <v>2025</v>
      </c>
      <c r="E38" s="3">
        <f t="shared" si="1"/>
        <v>1.0619250634342081</v>
      </c>
      <c r="G38">
        <v>0</v>
      </c>
      <c r="H38">
        <v>0</v>
      </c>
      <c r="I38">
        <v>0</v>
      </c>
      <c r="J38">
        <v>0</v>
      </c>
    </row>
    <row r="39" spans="1:10">
      <c r="A39">
        <v>2026</v>
      </c>
      <c r="E39" s="3">
        <f t="shared" si="1"/>
        <v>1.0619250634342081</v>
      </c>
      <c r="G39">
        <v>0</v>
      </c>
      <c r="H39">
        <v>0</v>
      </c>
      <c r="I39">
        <v>0</v>
      </c>
      <c r="J39">
        <v>0</v>
      </c>
    </row>
    <row r="40" spans="1:10">
      <c r="A40">
        <v>2027</v>
      </c>
      <c r="E40" s="3">
        <f t="shared" si="1"/>
        <v>1.0619250634342081</v>
      </c>
      <c r="G40">
        <v>0</v>
      </c>
      <c r="H40">
        <v>0</v>
      </c>
      <c r="I40">
        <v>0</v>
      </c>
      <c r="J40">
        <v>0</v>
      </c>
    </row>
    <row r="41" spans="1:10">
      <c r="A41">
        <v>2028</v>
      </c>
      <c r="E41" s="3">
        <f t="shared" si="1"/>
        <v>1.0619250634342081</v>
      </c>
      <c r="G41">
        <v>0</v>
      </c>
      <c r="H41">
        <v>0</v>
      </c>
      <c r="I41">
        <v>0</v>
      </c>
      <c r="J41">
        <v>0</v>
      </c>
    </row>
    <row r="42" spans="1:10">
      <c r="A42">
        <v>2029</v>
      </c>
      <c r="E42" s="3">
        <f t="shared" si="1"/>
        <v>1.0619250634342081</v>
      </c>
      <c r="G42">
        <v>0</v>
      </c>
      <c r="H42">
        <v>0</v>
      </c>
      <c r="I42">
        <v>0</v>
      </c>
      <c r="J42">
        <v>0</v>
      </c>
    </row>
    <row r="43" spans="1:10">
      <c r="A43">
        <v>2030</v>
      </c>
      <c r="E43" s="3">
        <f t="shared" si="1"/>
        <v>1.0619250634342081</v>
      </c>
      <c r="G43">
        <v>0</v>
      </c>
      <c r="H43">
        <v>0</v>
      </c>
      <c r="I43">
        <v>0</v>
      </c>
      <c r="J43">
        <v>0</v>
      </c>
    </row>
    <row r="44" spans="1:10">
      <c r="A44">
        <v>2031</v>
      </c>
      <c r="E44" s="3">
        <f t="shared" ref="E44:E63" si="2">E$4+E$5*G44+E$6*H44+E$7*I44+E$8*J44</f>
        <v>1.0619250634342081</v>
      </c>
      <c r="G44">
        <v>0</v>
      </c>
      <c r="H44">
        <v>0</v>
      </c>
      <c r="I44">
        <v>0</v>
      </c>
      <c r="J44">
        <v>0</v>
      </c>
    </row>
    <row r="45" spans="1:10">
      <c r="A45">
        <v>2032</v>
      </c>
      <c r="E45" s="3">
        <f t="shared" si="2"/>
        <v>1.0619250634342081</v>
      </c>
      <c r="G45">
        <v>0</v>
      </c>
      <c r="H45">
        <v>0</v>
      </c>
      <c r="I45">
        <v>0</v>
      </c>
      <c r="J45">
        <v>0</v>
      </c>
    </row>
    <row r="46" spans="1:10">
      <c r="A46">
        <v>2033</v>
      </c>
      <c r="E46" s="3">
        <f t="shared" si="2"/>
        <v>1.0619250634342081</v>
      </c>
      <c r="G46">
        <v>0</v>
      </c>
      <c r="H46">
        <v>0</v>
      </c>
      <c r="I46">
        <v>0</v>
      </c>
      <c r="J46">
        <v>0</v>
      </c>
    </row>
    <row r="47" spans="1:10">
      <c r="A47">
        <v>2034</v>
      </c>
      <c r="E47" s="3">
        <f t="shared" si="2"/>
        <v>1.0619250634342081</v>
      </c>
      <c r="G47">
        <v>0</v>
      </c>
      <c r="H47">
        <v>0</v>
      </c>
      <c r="I47">
        <v>0</v>
      </c>
      <c r="J47">
        <v>0</v>
      </c>
    </row>
    <row r="48" spans="1:10">
      <c r="A48">
        <v>2035</v>
      </c>
      <c r="E48" s="3">
        <f t="shared" si="2"/>
        <v>1.0619250634342081</v>
      </c>
      <c r="G48">
        <v>0</v>
      </c>
      <c r="H48">
        <v>0</v>
      </c>
      <c r="I48">
        <v>0</v>
      </c>
      <c r="J48">
        <v>0</v>
      </c>
    </row>
    <row r="49" spans="1:10">
      <c r="A49">
        <v>2036</v>
      </c>
      <c r="E49" s="3">
        <f t="shared" si="2"/>
        <v>1.0619250634342081</v>
      </c>
      <c r="G49">
        <v>0</v>
      </c>
      <c r="H49">
        <v>0</v>
      </c>
      <c r="I49">
        <v>0</v>
      </c>
      <c r="J49">
        <v>0</v>
      </c>
    </row>
    <row r="50" spans="1:10">
      <c r="A50">
        <v>2037</v>
      </c>
      <c r="E50" s="3">
        <f t="shared" si="2"/>
        <v>1.0619250634342081</v>
      </c>
      <c r="G50">
        <v>0</v>
      </c>
      <c r="H50">
        <v>0</v>
      </c>
      <c r="I50">
        <v>0</v>
      </c>
      <c r="J50">
        <v>0</v>
      </c>
    </row>
    <row r="51" spans="1:10">
      <c r="A51">
        <v>2038</v>
      </c>
      <c r="E51" s="3">
        <f t="shared" si="2"/>
        <v>1.0619250634342081</v>
      </c>
      <c r="G51">
        <v>0</v>
      </c>
      <c r="H51">
        <v>0</v>
      </c>
      <c r="I51">
        <v>0</v>
      </c>
      <c r="J51">
        <v>0</v>
      </c>
    </row>
    <row r="52" spans="1:10">
      <c r="A52">
        <v>2039</v>
      </c>
      <c r="E52" s="3">
        <f t="shared" si="2"/>
        <v>1.0619250634342081</v>
      </c>
      <c r="G52">
        <v>0</v>
      </c>
      <c r="H52">
        <v>0</v>
      </c>
      <c r="I52">
        <v>0</v>
      </c>
      <c r="J52">
        <v>0</v>
      </c>
    </row>
    <row r="53" spans="1:10">
      <c r="A53">
        <v>2040</v>
      </c>
      <c r="E53" s="3">
        <f t="shared" si="2"/>
        <v>1.0619250634342081</v>
      </c>
      <c r="G53">
        <v>0</v>
      </c>
      <c r="H53">
        <v>0</v>
      </c>
      <c r="I53">
        <v>0</v>
      </c>
      <c r="J53">
        <v>0</v>
      </c>
    </row>
    <row r="54" spans="1:10">
      <c r="A54">
        <v>2041</v>
      </c>
      <c r="E54" s="3">
        <f t="shared" si="2"/>
        <v>1.0619250634342081</v>
      </c>
      <c r="G54">
        <v>0</v>
      </c>
      <c r="H54">
        <v>0</v>
      </c>
      <c r="I54">
        <v>0</v>
      </c>
      <c r="J54">
        <v>0</v>
      </c>
    </row>
    <row r="55" spans="1:10">
      <c r="A55">
        <v>2042</v>
      </c>
      <c r="E55" s="3">
        <f t="shared" si="2"/>
        <v>1.0619250634342081</v>
      </c>
      <c r="G55">
        <v>0</v>
      </c>
      <c r="H55">
        <v>0</v>
      </c>
      <c r="I55">
        <v>0</v>
      </c>
      <c r="J55">
        <v>0</v>
      </c>
    </row>
    <row r="56" spans="1:10">
      <c r="A56">
        <v>2043</v>
      </c>
      <c r="E56" s="3">
        <f t="shared" si="2"/>
        <v>1.0619250634342081</v>
      </c>
      <c r="G56">
        <v>0</v>
      </c>
      <c r="H56">
        <v>0</v>
      </c>
      <c r="I56">
        <v>0</v>
      </c>
      <c r="J56">
        <v>0</v>
      </c>
    </row>
    <row r="57" spans="1:10">
      <c r="A57">
        <v>2044</v>
      </c>
      <c r="E57" s="3">
        <f t="shared" si="2"/>
        <v>1.0619250634342081</v>
      </c>
      <c r="G57">
        <v>0</v>
      </c>
      <c r="H57">
        <v>0</v>
      </c>
      <c r="I57">
        <v>0</v>
      </c>
      <c r="J57">
        <v>0</v>
      </c>
    </row>
    <row r="58" spans="1:10">
      <c r="A58">
        <v>2045</v>
      </c>
      <c r="E58" s="3">
        <f t="shared" si="2"/>
        <v>1.0619250634342081</v>
      </c>
      <c r="G58">
        <v>0</v>
      </c>
      <c r="H58">
        <v>0</v>
      </c>
      <c r="I58">
        <v>0</v>
      </c>
      <c r="J58">
        <v>0</v>
      </c>
    </row>
    <row r="59" spans="1:10">
      <c r="A59">
        <v>2046</v>
      </c>
      <c r="E59" s="3">
        <f t="shared" si="2"/>
        <v>1.0619250634342081</v>
      </c>
      <c r="G59">
        <v>0</v>
      </c>
      <c r="H59">
        <v>0</v>
      </c>
      <c r="I59">
        <v>0</v>
      </c>
      <c r="J59">
        <v>0</v>
      </c>
    </row>
    <row r="60" spans="1:10">
      <c r="A60">
        <v>2047</v>
      </c>
      <c r="E60" s="3">
        <f t="shared" si="2"/>
        <v>1.0619250634342081</v>
      </c>
      <c r="G60">
        <v>0</v>
      </c>
      <c r="H60">
        <v>0</v>
      </c>
      <c r="I60">
        <v>0</v>
      </c>
      <c r="J60">
        <v>0</v>
      </c>
    </row>
    <row r="61" spans="1:10">
      <c r="A61">
        <v>2048</v>
      </c>
      <c r="E61" s="3">
        <f t="shared" si="2"/>
        <v>1.0619250634342081</v>
      </c>
      <c r="G61">
        <v>0</v>
      </c>
      <c r="H61">
        <v>0</v>
      </c>
      <c r="I61">
        <v>0</v>
      </c>
      <c r="J61">
        <v>0</v>
      </c>
    </row>
    <row r="62" spans="1:10">
      <c r="A62">
        <v>2049</v>
      </c>
      <c r="E62" s="3">
        <f t="shared" si="2"/>
        <v>1.0619250634342081</v>
      </c>
      <c r="G62">
        <v>0</v>
      </c>
      <c r="H62">
        <v>0</v>
      </c>
      <c r="I62">
        <v>0</v>
      </c>
      <c r="J62">
        <v>0</v>
      </c>
    </row>
    <row r="63" spans="1:10">
      <c r="A63">
        <v>2050</v>
      </c>
      <c r="E63" s="3">
        <f t="shared" si="2"/>
        <v>1.0619250634342081</v>
      </c>
      <c r="G63">
        <v>0</v>
      </c>
      <c r="H63">
        <v>0</v>
      </c>
      <c r="I63">
        <v>0</v>
      </c>
      <c r="J63">
        <v>0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24"/>
  <sheetViews>
    <sheetView zoomScale="75" zoomScaleNormal="75" workbookViewId="0">
      <pane xSplit="1" ySplit="3" topLeftCell="B4" activePane="bottomRight" state="frozen"/>
      <selection activeCell="BN97" sqref="BN97"/>
      <selection pane="topRight" activeCell="BN97" sqref="BN97"/>
      <selection pane="bottomLeft" activeCell="BN97" sqref="BN97"/>
      <selection pane="bottomRight" activeCell="Z15" sqref="Z15"/>
    </sheetView>
  </sheetViews>
  <sheetFormatPr defaultRowHeight="15"/>
  <sheetData>
    <row r="1" spans="1:26">
      <c r="B1" t="s">
        <v>2044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24" t="s">
        <v>1708</v>
      </c>
      <c r="T1" s="3"/>
      <c r="U1" s="3"/>
      <c r="V1" s="3"/>
      <c r="W1" s="3"/>
      <c r="X1" s="3"/>
      <c r="Y1" s="3" t="s">
        <v>1845</v>
      </c>
      <c r="Z1" s="3"/>
    </row>
    <row r="2" spans="1:26">
      <c r="B2" s="96" t="s">
        <v>2045</v>
      </c>
      <c r="C2" s="96"/>
      <c r="D2" s="96"/>
      <c r="E2" s="96"/>
      <c r="F2" s="95" t="s">
        <v>1846</v>
      </c>
      <c r="G2" s="95" t="s">
        <v>1846</v>
      </c>
      <c r="H2" s="104" t="s">
        <v>1847</v>
      </c>
      <c r="I2" s="106" t="s">
        <v>1848</v>
      </c>
      <c r="J2" s="3" t="s">
        <v>1953</v>
      </c>
      <c r="K2" s="3" t="s">
        <v>1851</v>
      </c>
      <c r="L2" s="95" t="s">
        <v>1697</v>
      </c>
      <c r="M2" s="95" t="s">
        <v>1697</v>
      </c>
      <c r="N2" s="95" t="s">
        <v>1697</v>
      </c>
      <c r="O2" s="3" t="s">
        <v>1920</v>
      </c>
      <c r="P2" s="95" t="s">
        <v>1697</v>
      </c>
      <c r="Q2" s="95" t="s">
        <v>1697</v>
      </c>
      <c r="R2" s="107" t="s">
        <v>1853</v>
      </c>
      <c r="S2" s="109" t="s">
        <v>1854</v>
      </c>
      <c r="T2" s="95" t="s">
        <v>1697</v>
      </c>
      <c r="U2" s="30" t="s">
        <v>1855</v>
      </c>
      <c r="V2" s="108" t="s">
        <v>1850</v>
      </c>
      <c r="W2" s="95" t="s">
        <v>1697</v>
      </c>
      <c r="X2" s="105" t="s">
        <v>1701</v>
      </c>
      <c r="Y2" s="110" t="s">
        <v>1856</v>
      </c>
      <c r="Z2" s="6" t="s">
        <v>1702</v>
      </c>
    </row>
    <row r="3" spans="1:26">
      <c r="B3" s="103" t="s">
        <v>0</v>
      </c>
      <c r="C3" s="7" t="str">
        <f>Australia!Z121</f>
        <v xml:space="preserve">  high</v>
      </c>
      <c r="D3" s="7" t="str">
        <f>Australia!AA121</f>
        <v xml:space="preserve">  medium</v>
      </c>
      <c r="E3" s="7" t="str">
        <f>Australia!AB121</f>
        <v xml:space="preserve">  low</v>
      </c>
      <c r="F3" s="103" t="s">
        <v>219</v>
      </c>
      <c r="G3" s="103" t="s">
        <v>146</v>
      </c>
      <c r="H3" s="103" t="s">
        <v>150</v>
      </c>
      <c r="I3" s="103" t="s">
        <v>29</v>
      </c>
      <c r="J3" s="103" t="s">
        <v>328</v>
      </c>
      <c r="K3" s="103" t="s">
        <v>125</v>
      </c>
      <c r="L3" s="103" t="s">
        <v>220</v>
      </c>
      <c r="M3" s="103" t="s">
        <v>168</v>
      </c>
      <c r="N3" s="103" t="s">
        <v>170</v>
      </c>
      <c r="O3" s="103" t="s">
        <v>329</v>
      </c>
      <c r="P3" s="103" t="s">
        <v>173</v>
      </c>
      <c r="Q3" s="103" t="s">
        <v>210</v>
      </c>
      <c r="R3" s="103" t="s">
        <v>184</v>
      </c>
      <c r="S3" s="103" t="s">
        <v>186</v>
      </c>
      <c r="T3" s="103" t="s">
        <v>223</v>
      </c>
      <c r="U3" s="103" t="s">
        <v>224</v>
      </c>
      <c r="V3" s="103" t="s">
        <v>196</v>
      </c>
      <c r="W3" s="103" t="s">
        <v>211</v>
      </c>
      <c r="X3" s="103" t="s">
        <v>200</v>
      </c>
      <c r="Y3" s="103" t="s">
        <v>225</v>
      </c>
      <c r="Z3" s="103" t="s">
        <v>226</v>
      </c>
    </row>
    <row r="4" spans="1:26">
      <c r="A4">
        <v>2010</v>
      </c>
      <c r="B4" s="3">
        <f>'2017 Country petrol prices'!B49/100</f>
        <v>1.4576299374953985</v>
      </c>
      <c r="C4" s="7"/>
      <c r="D4" s="7"/>
      <c r="E4" s="7"/>
      <c r="F4" s="3">
        <f>'2017 Country petrol prices'!C49</f>
        <v>135.29027636308592</v>
      </c>
      <c r="G4" s="3">
        <f>'2017 Country petrol prices'!D49</f>
        <v>163.64050827689979</v>
      </c>
      <c r="H4" s="3">
        <f>'2017 Country petrol prices'!E49</f>
        <v>134.95019221326905</v>
      </c>
      <c r="I4" s="3">
        <f>'2017 Country petrol prices'!F49</f>
        <v>116.02811756301115</v>
      </c>
      <c r="J4" s="3">
        <f>'2017 Country petrol prices'!G49</f>
        <v>8.0981200000000015</v>
      </c>
      <c r="K4" s="3">
        <f>'2017 Country petrol prices'!H49</f>
        <v>11.613213624328614</v>
      </c>
      <c r="L4" s="3">
        <f>'2017 Country petrol prices'!I49</f>
        <v>156.85764149553555</v>
      </c>
      <c r="M4" s="3">
        <f>'2017 Country petrol prices'!J49</f>
        <v>143.63313893598632</v>
      </c>
      <c r="N4" s="3">
        <f>'2017 Country petrol prices'!K49</f>
        <v>152.02287868685357</v>
      </c>
      <c r="O4" s="3">
        <f>'2017 Country petrol prices'!L49</f>
        <v>78.384170657432904</v>
      </c>
      <c r="P4" s="3">
        <f>'2017 Country petrol prices'!M49</f>
        <v>136.6718938246749</v>
      </c>
      <c r="Q4" s="3">
        <f>'2017 Country petrol prices'!N49</f>
        <v>148.09777324569683</v>
      </c>
      <c r="R4" s="3">
        <f>'2017 Country petrol prices'!O49</f>
        <v>138.17026270713043</v>
      </c>
      <c r="S4" s="3">
        <f>'2017 Country petrol prices'!P49</f>
        <v>1932.1432972875596</v>
      </c>
      <c r="T4" s="3">
        <f>'2017 Country petrol prices'!Q49</f>
        <v>166.91028648069533</v>
      </c>
      <c r="U4" s="3">
        <f>'2017 Country petrol prices'!R49</f>
        <v>1.9512981647094725</v>
      </c>
      <c r="V4" s="3">
        <f>'2017 Country petrol prices'!S49</f>
        <v>14.53971195348651</v>
      </c>
      <c r="W4" s="3">
        <f>'2017 Country petrol prices'!T49</f>
        <v>122.57989769808961</v>
      </c>
      <c r="X4" s="3">
        <f>'2017 Country petrol prices'!U49</f>
        <v>13.539159508345152</v>
      </c>
      <c r="Y4" s="3">
        <f>'2017 Country petrol prices'!V49</f>
        <v>1.6085679069165575</v>
      </c>
      <c r="Z4" s="3">
        <f>'2017 Country petrol prices'!W49</f>
        <v>82.5591136421735</v>
      </c>
    </row>
    <row r="5" spans="1:26">
      <c r="A5">
        <v>2011</v>
      </c>
      <c r="B5" s="3">
        <f>'2017 Country petrol prices'!B50/100</f>
        <v>1.580935509025881</v>
      </c>
      <c r="C5" s="7"/>
      <c r="D5" s="7"/>
      <c r="E5" s="7"/>
      <c r="F5" s="3">
        <f>'2017 Country petrol prices'!C50</f>
        <v>149.8183441805711</v>
      </c>
      <c r="G5" s="3">
        <f>'2017 Country petrol prices'!D50</f>
        <v>174.30534416589745</v>
      </c>
      <c r="H5" s="3">
        <f>'2017 Country petrol prices'!E50</f>
        <v>147.93256776388264</v>
      </c>
      <c r="I5" s="3">
        <f>'2017 Country petrol prices'!F50</f>
        <v>134.15652610964366</v>
      </c>
      <c r="J5" s="3">
        <f>'2017 Country petrol prices'!G50</f>
        <v>8.5749313121743249</v>
      </c>
      <c r="K5" s="3">
        <f>'2017 Country petrol prices'!H50</f>
        <v>12.759047004852793</v>
      </c>
      <c r="L5" s="3">
        <f>'2017 Country petrol prices'!I50</f>
        <v>165.90545254423623</v>
      </c>
      <c r="M5" s="3">
        <f>'2017 Country petrol prices'!J50</f>
        <v>156.78409109609851</v>
      </c>
      <c r="N5" s="3">
        <f>'2017 Country petrol prices'!K50</f>
        <v>163.48105321240772</v>
      </c>
      <c r="O5" s="3">
        <f>'2017 Country petrol prices'!L50</f>
        <v>90.346681306786266</v>
      </c>
      <c r="P5" s="3">
        <f>'2017 Country petrol prices'!M50</f>
        <v>151.77904275942274</v>
      </c>
      <c r="Q5" s="3">
        <f>'2017 Country petrol prices'!N50</f>
        <v>164.03960827513146</v>
      </c>
      <c r="R5" s="3">
        <f>'2017 Country petrol prices'!O50</f>
        <v>151.76099193379673</v>
      </c>
      <c r="S5" s="3">
        <f>'2017 Country petrol prices'!P50</f>
        <v>1992.1336369452501</v>
      </c>
      <c r="T5" s="3">
        <f>'2017 Country petrol prices'!Q50</f>
        <v>177.84456594170709</v>
      </c>
      <c r="U5" s="3">
        <f>'2017 Country petrol prices'!R50</f>
        <v>2.2086072022303731</v>
      </c>
      <c r="V5" s="3">
        <f>'2017 Country petrol prices'!S50</f>
        <v>15.503228615081168</v>
      </c>
      <c r="W5" s="3">
        <f>'2017 Country petrol prices'!T50</f>
        <v>134.33016243420698</v>
      </c>
      <c r="X5" s="3">
        <f>'2017 Country petrol prices'!U50</f>
        <v>14.495277817304576</v>
      </c>
      <c r="Y5" s="3">
        <f>'2017 Country petrol prices'!V50</f>
        <v>1.6862255682827834</v>
      </c>
      <c r="Z5" s="3">
        <f>'2017 Country petrol prices'!W50</f>
        <v>101.42682253361208</v>
      </c>
    </row>
    <row r="6" spans="1:26">
      <c r="A6">
        <v>2012</v>
      </c>
      <c r="B6" s="3">
        <f>'2017 Country petrol prices'!B51/100</f>
        <v>1.5781501817765069</v>
      </c>
      <c r="C6" s="7"/>
      <c r="D6" s="7"/>
      <c r="E6" s="7"/>
      <c r="F6" s="3">
        <f>'2017 Country petrol prices'!C51</f>
        <v>156.13208759503374</v>
      </c>
      <c r="G6" s="3">
        <f>'2017 Country petrol prices'!D51</f>
        <v>180.66388333578999</v>
      </c>
      <c r="H6" s="3">
        <f>'2017 Country petrol prices'!E51</f>
        <v>146.26861107519275</v>
      </c>
      <c r="I6" s="3">
        <f>'2017 Country petrol prices'!F51</f>
        <v>136.13921582492722</v>
      </c>
      <c r="J6" s="3">
        <f>'2017 Country petrol prices'!G51</f>
        <v>8.6854782127031029</v>
      </c>
      <c r="K6" s="3">
        <f>'2017 Country petrol prices'!H51</f>
        <v>13.149977153707399</v>
      </c>
      <c r="L6" s="3">
        <f>'2017 Country petrol prices'!I51</f>
        <v>172.85067675237192</v>
      </c>
      <c r="M6" s="3">
        <f>'2017 Country petrol prices'!J51</f>
        <v>160.7869861636166</v>
      </c>
      <c r="N6" s="3">
        <f>'2017 Country petrol prices'!K51</f>
        <v>173.31105698095135</v>
      </c>
      <c r="O6" s="3">
        <f>'2017 Country petrol prices'!L51</f>
        <v>89.725587936057025</v>
      </c>
      <c r="P6" s="3">
        <f>'2017 Country petrol prices'!M51</f>
        <v>162.7963442262859</v>
      </c>
      <c r="Q6" s="3">
        <f>'2017 Country petrol prices'!N51</f>
        <v>183.51542911677078</v>
      </c>
      <c r="R6" s="3">
        <f>'2017 Country petrol prices'!O51</f>
        <v>153.34350185294886</v>
      </c>
      <c r="S6" s="3">
        <f>'2017 Country petrol prices'!P51</f>
        <v>2081.3745342223169</v>
      </c>
      <c r="T6" s="3">
        <f>'2017 Country petrol prices'!Q51</f>
        <v>186.44555523189837</v>
      </c>
      <c r="U6" s="3">
        <f>'2017 Country petrol prices'!R51</f>
        <v>2.2535516039261765</v>
      </c>
      <c r="V6" s="3">
        <f>'2017 Country petrol prices'!S51</f>
        <v>16.536193560785069</v>
      </c>
      <c r="W6" s="3">
        <f>'2017 Country petrol prices'!T51</f>
        <v>141.88810867343381</v>
      </c>
      <c r="X6" s="3">
        <f>'2017 Country petrol prices'!U51</f>
        <v>15.339999577432197</v>
      </c>
      <c r="Y6" s="3">
        <f>'2017 Country petrol prices'!V51</f>
        <v>1.7374725991117952</v>
      </c>
      <c r="Z6" s="3">
        <f>'2017 Country petrol prices'!W51</f>
        <v>102.35326852146619</v>
      </c>
    </row>
    <row r="7" spans="1:26">
      <c r="A7">
        <v>2013</v>
      </c>
      <c r="B7" s="3">
        <f>'2017 Country petrol prices'!B52/100</f>
        <v>1.5694677056232293</v>
      </c>
      <c r="C7" s="7"/>
      <c r="D7" s="7"/>
      <c r="E7" s="7"/>
      <c r="F7" s="3">
        <f>'2017 Country petrol prices'!C52</f>
        <v>147.07380012698297</v>
      </c>
      <c r="G7" s="3">
        <f>'2017 Country petrol prices'!D52</f>
        <v>171.61789532594682</v>
      </c>
      <c r="H7" s="3">
        <f>'2017 Country petrol prices'!E52</f>
        <v>141.12479553346003</v>
      </c>
      <c r="I7" s="3">
        <f>'2017 Country petrol prices'!F52</f>
        <v>135.28991350427663</v>
      </c>
      <c r="J7" s="3">
        <f>'2017 Country petrol prices'!G52</f>
        <v>8.1421734436847792</v>
      </c>
      <c r="K7" s="3">
        <f>'2017 Country petrol prices'!H52</f>
        <v>12.831084146528525</v>
      </c>
      <c r="L7" s="3">
        <f>'2017 Country petrol prices'!I52</f>
        <v>167.45724255585895</v>
      </c>
      <c r="M7" s="3">
        <f>'2017 Country petrol prices'!J52</f>
        <v>156.43603891747364</v>
      </c>
      <c r="N7" s="3">
        <f>'2017 Country petrol prices'!K52</f>
        <v>165.55498009695265</v>
      </c>
      <c r="O7" s="3">
        <f>'2017 Country petrol prices'!L52</f>
        <v>83.172498083644754</v>
      </c>
      <c r="P7" s="3">
        <f>'2017 Country petrol prices'!M52</f>
        <v>159.19064529629796</v>
      </c>
      <c r="Q7" s="3">
        <f>'2017 Country petrol prices'!N52</f>
        <v>177.3026828288958</v>
      </c>
      <c r="R7" s="3">
        <f>'2017 Country petrol prices'!O52</f>
        <v>161.91738184916966</v>
      </c>
      <c r="S7" s="3">
        <f>'2017 Country petrol prices'!P52</f>
        <v>1929.6990120506521</v>
      </c>
      <c r="T7" s="3">
        <f>'2017 Country petrol prices'!Q52</f>
        <v>179.5348365830919</v>
      </c>
      <c r="U7" s="3">
        <f>'2017 Country petrol prices'!R52</f>
        <v>2.2393695119417556</v>
      </c>
      <c r="V7" s="3">
        <f>'2017 Country petrol prices'!S52</f>
        <v>16.847820522899895</v>
      </c>
      <c r="W7" s="3">
        <f>'2017 Country petrol prices'!T52</f>
        <v>140.52359255635483</v>
      </c>
      <c r="X7" s="3">
        <f>'2017 Country petrol prices'!U52</f>
        <v>14.838571664279321</v>
      </c>
      <c r="Y7" s="3">
        <f>'2017 Country petrol prices'!V52</f>
        <v>1.7313632286834566</v>
      </c>
      <c r="Z7" s="3">
        <f>'2017 Country petrol prices'!W52</f>
        <v>97.598925655339755</v>
      </c>
    </row>
    <row r="8" spans="1:26">
      <c r="A8">
        <v>2014</v>
      </c>
      <c r="B8" s="3">
        <f>'2017 Country petrol prices'!B53/100</f>
        <v>1.5412200332171693</v>
      </c>
      <c r="C8" s="7"/>
      <c r="D8" s="7"/>
      <c r="E8" s="7"/>
      <c r="F8" s="3">
        <f>'2017 Country petrol prices'!C53</f>
        <v>140.25142943740295</v>
      </c>
      <c r="G8" s="3">
        <f>'2017 Country petrol prices'!D53</f>
        <v>165.81842890283943</v>
      </c>
      <c r="H8" s="3">
        <f>'2017 Country petrol prices'!E53</f>
        <v>131.4660380257323</v>
      </c>
      <c r="I8" s="3">
        <f>'2017 Country petrol prices'!F53</f>
        <v>133.36608814662068</v>
      </c>
      <c r="J8" s="3">
        <f>'2017 Country petrol prices'!G53</f>
        <v>7.5550258702445028</v>
      </c>
      <c r="K8" s="3">
        <f>'2017 Country petrol prices'!H53</f>
        <v>12.441868304883535</v>
      </c>
      <c r="L8" s="3">
        <f>'2017 Country petrol prices'!I53</f>
        <v>162.17954267324259</v>
      </c>
      <c r="M8" s="3">
        <f>'2017 Country petrol prices'!J53</f>
        <v>151.06128097420387</v>
      </c>
      <c r="N8" s="3">
        <f>'2017 Country petrol prices'!K53</f>
        <v>158.13013269276655</v>
      </c>
      <c r="O8" s="3">
        <f>'2017 Country petrol prices'!L53</f>
        <v>78.801980190812202</v>
      </c>
      <c r="P8" s="3">
        <f>'2017 Country petrol prices'!M53</f>
        <v>153.05339532869954</v>
      </c>
      <c r="Q8" s="3">
        <f>'2017 Country petrol prices'!N53</f>
        <v>173.58400367483142</v>
      </c>
      <c r="R8" s="3">
        <f>'2017 Country petrol prices'!O53</f>
        <v>164.81591939226672</v>
      </c>
      <c r="S8" s="3">
        <f>'2017 Country petrol prices'!P53</f>
        <v>1782.0461001582726</v>
      </c>
      <c r="T8" s="3">
        <f>'2017 Country petrol prices'!Q53</f>
        <v>174.14148139752933</v>
      </c>
      <c r="U8" s="3">
        <f>'2017 Country petrol prices'!R53</f>
        <v>2.2238951998211856</v>
      </c>
      <c r="V8" s="3">
        <f>'2017 Country petrol prices'!S53</f>
        <v>16.882651324733366</v>
      </c>
      <c r="W8" s="3">
        <f>'2017 Country petrol prices'!T53</f>
        <v>136.87992078925211</v>
      </c>
      <c r="X8" s="3">
        <f>'2017 Country petrol prices'!U53</f>
        <v>14.621504155350955</v>
      </c>
      <c r="Y8" s="3">
        <f>'2017 Country petrol prices'!V53</f>
        <v>1.6821183417762309</v>
      </c>
      <c r="Z8" s="3">
        <f>'2017 Country petrol prices'!W53</f>
        <v>92.101599031591505</v>
      </c>
    </row>
    <row r="9" spans="1:26">
      <c r="A9">
        <v>2015</v>
      </c>
      <c r="B9" s="3">
        <f>'2017 Country petrol prices'!B54/100</f>
        <v>1.3224989495340207</v>
      </c>
      <c r="C9" s="7"/>
      <c r="D9" s="7"/>
      <c r="E9" s="7"/>
      <c r="F9" s="3">
        <f>'2017 Country petrol prices'!C54</f>
        <v>123.80255115601979</v>
      </c>
      <c r="G9" s="3">
        <f>'2017 Country petrol prices'!D54</f>
        <v>146.8050177933026</v>
      </c>
      <c r="H9" s="3">
        <f>'2017 Country petrol prices'!E54</f>
        <v>114.66999679202272</v>
      </c>
      <c r="I9" s="3">
        <f>'2017 Country petrol prices'!F54</f>
        <v>109.8965714864927</v>
      </c>
      <c r="J9" s="3">
        <f>'2017 Country petrol prices'!G54</f>
        <v>5.1635235363731296</v>
      </c>
      <c r="K9" s="3">
        <f>'2017 Country petrol prices'!H54</f>
        <v>11.310853815717714</v>
      </c>
      <c r="L9" s="3">
        <f>'2017 Country petrol prices'!I54</f>
        <v>148.43721940240317</v>
      </c>
      <c r="M9" s="3">
        <f>'2017 Country petrol prices'!J54</f>
        <v>137.28534858125619</v>
      </c>
      <c r="N9" s="3">
        <f>'2017 Country petrol prices'!K54</f>
        <v>142.82196815409196</v>
      </c>
      <c r="O9" s="3">
        <f>'2017 Country petrol prices'!L54</f>
        <v>66.549340236524998</v>
      </c>
      <c r="P9" s="3">
        <f>'2017 Country petrol prices'!M54</f>
        <v>137.36546000000004</v>
      </c>
      <c r="Q9" s="3">
        <f>'2017 Country petrol prices'!N54</f>
        <v>155.46782187675763</v>
      </c>
      <c r="R9" s="3">
        <f>'2017 Country petrol prices'!O54</f>
        <v>137.97086528034484</v>
      </c>
      <c r="S9" s="3">
        <f>'2017 Country petrol prices'!P54</f>
        <v>1570.8739640381657</v>
      </c>
      <c r="T9" s="3">
        <f>'2017 Country petrol prices'!Q54</f>
        <v>159.0097124998926</v>
      </c>
      <c r="U9" s="3">
        <f>'2017 Country petrol prices'!R54</f>
        <v>2.0151148403262478</v>
      </c>
      <c r="V9" s="3">
        <f>'2017 Country petrol prices'!S54</f>
        <v>15.87153427985062</v>
      </c>
      <c r="W9" s="3">
        <f>'2017 Country petrol prices'!T54</f>
        <v>121.67627598218583</v>
      </c>
      <c r="X9" s="3">
        <f>'2017 Country petrol prices'!U54</f>
        <v>13.491579375504973</v>
      </c>
      <c r="Y9" s="3">
        <f>'2017 Country petrol prices'!V54</f>
        <v>1.4513495013546844</v>
      </c>
      <c r="Z9" s="3">
        <f>'2017 Country petrol prices'!W54</f>
        <v>66.181342850068987</v>
      </c>
    </row>
    <row r="10" spans="1:26">
      <c r="A10">
        <v>2016</v>
      </c>
      <c r="B10" s="3">
        <f>'2017 Country petrol prices'!B55/100</f>
        <v>1.1895981614201958</v>
      </c>
      <c r="C10" s="7"/>
      <c r="D10" s="7"/>
      <c r="E10" s="7"/>
      <c r="F10" s="3">
        <f>'2017 Country petrol prices'!C55</f>
        <v>113.4537536</v>
      </c>
      <c r="G10" s="3">
        <f>'2017 Country petrol prices'!D55</f>
        <v>133.39100157594532</v>
      </c>
      <c r="H10" s="3">
        <f>'2017 Country petrol prices'!E55</f>
        <v>112.36885526401343</v>
      </c>
      <c r="I10" s="3">
        <f>'2017 Country petrol prices'!F55</f>
        <v>102.66154999999999</v>
      </c>
      <c r="J10" s="3">
        <f>'2017 Country petrol prices'!G55</f>
        <v>5.0027959529090609</v>
      </c>
      <c r="K10" s="3">
        <f>'2017 Country petrol prices'!H55</f>
        <v>10.615667266425097</v>
      </c>
      <c r="L10" s="3">
        <f>'2017 Country petrol prices'!I55</f>
        <v>139.11962999999997</v>
      </c>
      <c r="M10" s="3">
        <f>'2017 Country petrol prices'!J55</f>
        <v>131.45694242199997</v>
      </c>
      <c r="N10" s="3">
        <f>'2017 Country petrol prices'!K55</f>
        <v>132.81343080000002</v>
      </c>
      <c r="O10" s="3">
        <f>'2017 Country petrol prices'!L55</f>
        <v>64.503789666666663</v>
      </c>
      <c r="P10" s="3">
        <f>'2017 Country petrol prices'!M55</f>
        <v>128.73802612</v>
      </c>
      <c r="Q10" s="3">
        <f>'2017 Country petrol prices'!N55</f>
        <v>146.09882077199998</v>
      </c>
      <c r="R10" s="3">
        <f>'2017 Country petrol prices'!O55</f>
        <v>122.389205</v>
      </c>
      <c r="S10" s="3">
        <f>'2017 Country petrol prices'!P55</f>
        <v>1420.1635000000001</v>
      </c>
      <c r="T10" s="3">
        <f>'2017 Country petrol prices'!Q55</f>
        <v>149.75302999999994</v>
      </c>
      <c r="U10" s="3">
        <f>'2017 Country petrol prices'!R55</f>
        <v>1.91262</v>
      </c>
      <c r="V10" s="3">
        <f>'2017 Country petrol prices'!S55</f>
        <v>15.042574083320719</v>
      </c>
      <c r="W10" s="3">
        <f>'2017 Country petrol prices'!T55</f>
        <v>117.19924748000005</v>
      </c>
      <c r="X10" s="3">
        <f>'2017 Country petrol prices'!U55</f>
        <v>13.307405577625012</v>
      </c>
      <c r="Y10" s="3">
        <f>'2017 Country petrol prices'!V55</f>
        <v>1.4074200000000001</v>
      </c>
      <c r="Z10" s="3">
        <f>'2017 Country petrol prices'!W55</f>
        <v>58.784325833333348</v>
      </c>
    </row>
    <row r="11" spans="1:26">
      <c r="A11">
        <v>2017</v>
      </c>
      <c r="B11" s="3">
        <f>'2017 Country petrol prices'!B56/100</f>
        <v>1.2802082212403147</v>
      </c>
      <c r="C11" s="7">
        <f t="shared" ref="C11:E11" si="0">B11</f>
        <v>1.2802082212403147</v>
      </c>
      <c r="D11" s="7">
        <f t="shared" si="0"/>
        <v>1.2802082212403147</v>
      </c>
      <c r="E11" s="7">
        <f t="shared" si="0"/>
        <v>1.2802082212403147</v>
      </c>
      <c r="F11" s="3">
        <f>'2017 Country petrol prices'!C56</f>
        <v>117.74400000000001</v>
      </c>
      <c r="G11" s="3">
        <f>'2017 Country petrol prices'!D56</f>
        <v>140.37086541124975</v>
      </c>
      <c r="H11" s="3">
        <f>'2017 Country petrol prices'!E56</f>
        <v>117.32043923337093</v>
      </c>
      <c r="I11" s="3">
        <f>'2017 Country petrol prices'!F56</f>
        <v>111.48662536798223</v>
      </c>
      <c r="J11" s="3">
        <f>'2017 Country petrol prices'!G56</f>
        <v>4.8657599999999999</v>
      </c>
      <c r="K11" s="3">
        <f>'2017 Country petrol prices'!H56</f>
        <v>11.12596470507328</v>
      </c>
      <c r="L11" s="3">
        <f>'2017 Country petrol prices'!I56</f>
        <v>146.43200000000002</v>
      </c>
      <c r="M11" s="3">
        <f>'2017 Country petrol prices'!J56</f>
        <v>137.5376</v>
      </c>
      <c r="N11" s="3">
        <f>'2017 Country petrol prices'!K56</f>
        <v>137.38800000000003</v>
      </c>
      <c r="O11" s="3">
        <f>'2017 Country petrol prices'!L56</f>
        <v>68.420833333333334</v>
      </c>
      <c r="P11" s="3">
        <f>'2017 Country petrol prices'!M56</f>
        <v>136.38000000000005</v>
      </c>
      <c r="Q11" s="3">
        <f>'2017 Country petrol prices'!N56</f>
        <v>152.76388</v>
      </c>
      <c r="R11" s="3">
        <f>'2017 Country petrol prices'!O56</f>
        <v>133.5</v>
      </c>
      <c r="S11" s="3">
        <f>'2017 Country petrol prices'!P56</f>
        <v>1489</v>
      </c>
      <c r="T11" s="3">
        <f>'2017 Country petrol prices'!Q56</f>
        <v>155.21100000000001</v>
      </c>
      <c r="U11" s="3">
        <f>'2017 Country petrol prices'!R56</f>
        <v>2.020833333333333</v>
      </c>
      <c r="V11" s="3">
        <f>'2017 Country petrol prices'!S56</f>
        <v>16.235867241988913</v>
      </c>
      <c r="W11" s="3">
        <f>'2017 Country petrol prices'!T56</f>
        <v>121.68797999999995</v>
      </c>
      <c r="X11" s="3">
        <f>'2017 Country petrol prices'!U56</f>
        <v>14.025177969334843</v>
      </c>
      <c r="Y11" s="3">
        <f>'2017 Country petrol prices'!V56</f>
        <v>1.5</v>
      </c>
      <c r="Z11" s="3">
        <f>'2017 Country petrol prices'!W56</f>
        <v>63.86666666666666</v>
      </c>
    </row>
    <row r="12" spans="1:26">
      <c r="A12">
        <v>2018</v>
      </c>
      <c r="C12" s="7">
        <f>Australia!Z130</f>
        <v>1.4390004647225316</v>
      </c>
      <c r="D12" s="7">
        <f>Australia!AA130</f>
        <v>1.4390004647225316</v>
      </c>
      <c r="E12" s="7">
        <f>Australia!AB130</f>
        <v>1.4390004647225316</v>
      </c>
    </row>
    <row r="13" spans="1:26">
      <c r="A13">
        <v>2019</v>
      </c>
      <c r="C13" s="7">
        <f>Australia!Z131</f>
        <v>1.7482609682764667</v>
      </c>
      <c r="D13" s="7">
        <f>Australia!AA131</f>
        <v>1.4139188633337343</v>
      </c>
      <c r="E13" s="7">
        <f>Australia!AB131</f>
        <v>1.1226962394891289</v>
      </c>
    </row>
    <row r="14" spans="1:26">
      <c r="A14">
        <v>2020</v>
      </c>
      <c r="C14" s="7">
        <f>Australia!Z132</f>
        <v>1.8900556401349302</v>
      </c>
      <c r="D14" s="7">
        <f>Australia!AA132</f>
        <v>1.4161597082634885</v>
      </c>
      <c r="E14" s="7">
        <f>Australia!AB132</f>
        <v>1.1310371025396266</v>
      </c>
    </row>
    <row r="15" spans="1:26">
      <c r="A15">
        <v>2021</v>
      </c>
      <c r="C15" s="7">
        <f>Australia!Z133</f>
        <v>2.0401911750438906</v>
      </c>
      <c r="D15" s="7">
        <f>Australia!AA133</f>
        <v>1.4821801356925928</v>
      </c>
      <c r="E15" s="7">
        <f>Australia!AB133</f>
        <v>1.1477188286406226</v>
      </c>
    </row>
    <row r="16" spans="1:26">
      <c r="A16">
        <v>2022</v>
      </c>
      <c r="C16" s="7">
        <f>Australia!Z134</f>
        <v>2.1069180794478739</v>
      </c>
      <c r="D16" s="7">
        <f>Australia!AA134</f>
        <v>1.531336883495076</v>
      </c>
      <c r="E16" s="7">
        <f>Australia!AB134</f>
        <v>1.1560596916911201</v>
      </c>
    </row>
    <row r="17" spans="1:5">
      <c r="A17">
        <v>2023</v>
      </c>
      <c r="C17" s="7">
        <f>Australia!Z135</f>
        <v>2.1569632577508608</v>
      </c>
      <c r="D17" s="7">
        <f>Australia!AA135</f>
        <v>1.5539571608675684</v>
      </c>
      <c r="E17" s="7">
        <f>Australia!AB135</f>
        <v>1.1560596916911201</v>
      </c>
    </row>
    <row r="18" spans="1:5">
      <c r="A18">
        <v>2024</v>
      </c>
      <c r="C18" s="7">
        <f>Australia!Z136</f>
        <v>2.1986675730033496</v>
      </c>
      <c r="D18" s="7">
        <f>Australia!AA136</f>
        <v>1.5599376792500201</v>
      </c>
      <c r="E18" s="7">
        <f>Australia!AB136</f>
        <v>1.1560596916911201</v>
      </c>
    </row>
    <row r="19" spans="1:5">
      <c r="A19">
        <v>2025</v>
      </c>
      <c r="C19" s="7">
        <f>Australia!Z137</f>
        <v>2.2403718882558388</v>
      </c>
      <c r="D19" s="7">
        <f>Australia!AA137</f>
        <v>1.5912302802336133</v>
      </c>
      <c r="E19" s="7">
        <f>Australia!AB137</f>
        <v>1.1644005547416183</v>
      </c>
    </row>
    <row r="20" spans="1:5">
      <c r="A20">
        <v>2026</v>
      </c>
      <c r="C20" s="7">
        <f>Australia!Z138</f>
        <v>2.2820762035083288</v>
      </c>
      <c r="D20" s="7">
        <f>Australia!AA138</f>
        <v>1.6462306725382883</v>
      </c>
      <c r="E20" s="7">
        <f>Australia!AB138</f>
        <v>1.172741417792116</v>
      </c>
    </row>
    <row r="21" spans="1:5">
      <c r="A21">
        <v>2027</v>
      </c>
      <c r="C21" s="7">
        <f>Australia!Z139</f>
        <v>2.3237805187608176</v>
      </c>
      <c r="D21" s="7">
        <f>Australia!AA139</f>
        <v>1.674576483059812</v>
      </c>
      <c r="E21" s="7">
        <f>Australia!AB139</f>
        <v>1.1810822808426138</v>
      </c>
    </row>
    <row r="22" spans="1:5">
      <c r="A22">
        <v>2028</v>
      </c>
      <c r="C22" s="7">
        <f>Australia!Z140</f>
        <v>2.357143970962809</v>
      </c>
      <c r="D22" s="7">
        <f>Australia!AA140</f>
        <v>1.6925200883451526</v>
      </c>
      <c r="E22" s="7">
        <f>Australia!AB140</f>
        <v>1.1810822808426138</v>
      </c>
    </row>
    <row r="23" spans="1:5">
      <c r="A23">
        <v>2029</v>
      </c>
      <c r="C23" s="7">
        <f>Australia!Z141</f>
        <v>2.3988482862152978</v>
      </c>
      <c r="D23" s="7">
        <f>Australia!AA141</f>
        <v>1.7168414481797558</v>
      </c>
      <c r="E23" s="7">
        <f>Australia!AB141</f>
        <v>1.1810822808426138</v>
      </c>
    </row>
    <row r="24" spans="1:5">
      <c r="A24">
        <v>2030</v>
      </c>
      <c r="C24" s="7">
        <f>Australia!Z142</f>
        <v>2.423870875366791</v>
      </c>
      <c r="D24" s="7">
        <f>Australia!AA142</f>
        <v>1.7354382664386085</v>
      </c>
      <c r="E24" s="7">
        <f>Australia!AB142</f>
        <v>1.1894231438931115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60"/>
  <sheetViews>
    <sheetView zoomScale="75" zoomScaleNormal="75" workbookViewId="0">
      <pane xSplit="1" ySplit="3" topLeftCell="B10" activePane="bottomRight" state="frozen"/>
      <selection activeCell="BN97" sqref="BN97"/>
      <selection pane="topRight" activeCell="BN97" sqref="BN97"/>
      <selection pane="bottomLeft" activeCell="BN97" sqref="BN97"/>
      <selection pane="bottomRight" activeCell="U62" sqref="U62"/>
    </sheetView>
  </sheetViews>
  <sheetFormatPr defaultRowHeight="15"/>
  <cols>
    <col min="4" max="4" width="9.85546875" customWidth="1"/>
  </cols>
  <sheetData>
    <row r="1" spans="1:23">
      <c r="B1" t="s">
        <v>2044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24" t="s">
        <v>1708</v>
      </c>
      <c r="Q1" s="3"/>
      <c r="R1" s="3"/>
      <c r="S1" s="3"/>
      <c r="T1" s="3"/>
      <c r="U1" s="3"/>
      <c r="V1" s="3" t="s">
        <v>1845</v>
      </c>
      <c r="W1" s="3"/>
    </row>
    <row r="2" spans="1:23">
      <c r="B2" s="96" t="s">
        <v>1696</v>
      </c>
      <c r="C2" s="95" t="s">
        <v>1846</v>
      </c>
      <c r="D2" s="95" t="s">
        <v>1846</v>
      </c>
      <c r="E2" s="104" t="s">
        <v>1847</v>
      </c>
      <c r="F2" s="106" t="s">
        <v>1848</v>
      </c>
      <c r="G2" s="3" t="s">
        <v>1953</v>
      </c>
      <c r="H2" s="3" t="s">
        <v>1851</v>
      </c>
      <c r="I2" s="95" t="s">
        <v>1697</v>
      </c>
      <c r="J2" s="95" t="s">
        <v>1697</v>
      </c>
      <c r="K2" s="95" t="s">
        <v>1697</v>
      </c>
      <c r="L2" s="3" t="s">
        <v>1920</v>
      </c>
      <c r="M2" s="95" t="s">
        <v>1697</v>
      </c>
      <c r="N2" s="95" t="s">
        <v>1697</v>
      </c>
      <c r="O2" s="107" t="s">
        <v>1853</v>
      </c>
      <c r="P2" s="109" t="s">
        <v>1854</v>
      </c>
      <c r="Q2" s="95" t="s">
        <v>1697</v>
      </c>
      <c r="R2" s="30" t="s">
        <v>1855</v>
      </c>
      <c r="S2" s="108" t="s">
        <v>1850</v>
      </c>
      <c r="T2" s="95" t="s">
        <v>1697</v>
      </c>
      <c r="U2" s="105" t="s">
        <v>1701</v>
      </c>
      <c r="V2" s="110" t="s">
        <v>1856</v>
      </c>
      <c r="W2" s="6" t="s">
        <v>1702</v>
      </c>
    </row>
    <row r="3" spans="1:23">
      <c r="B3" s="103" t="s">
        <v>0</v>
      </c>
      <c r="C3" s="103" t="s">
        <v>219</v>
      </c>
      <c r="D3" s="103" t="s">
        <v>146</v>
      </c>
      <c r="E3" s="103" t="s">
        <v>150</v>
      </c>
      <c r="F3" s="103" t="s">
        <v>29</v>
      </c>
      <c r="G3" s="103" t="s">
        <v>328</v>
      </c>
      <c r="H3" s="103" t="s">
        <v>125</v>
      </c>
      <c r="I3" s="103" t="s">
        <v>220</v>
      </c>
      <c r="J3" s="103" t="s">
        <v>168</v>
      </c>
      <c r="K3" s="103" t="s">
        <v>170</v>
      </c>
      <c r="L3" s="103" t="s">
        <v>329</v>
      </c>
      <c r="M3" s="103" t="s">
        <v>173</v>
      </c>
      <c r="N3" s="103" t="s">
        <v>210</v>
      </c>
      <c r="O3" s="103" t="s">
        <v>184</v>
      </c>
      <c r="P3" s="103" t="s">
        <v>186</v>
      </c>
      <c r="Q3" s="103" t="s">
        <v>223</v>
      </c>
      <c r="R3" s="103" t="s">
        <v>224</v>
      </c>
      <c r="S3" s="103" t="s">
        <v>196</v>
      </c>
      <c r="T3" s="103" t="s">
        <v>211</v>
      </c>
      <c r="U3" s="103" t="s">
        <v>200</v>
      </c>
      <c r="V3" s="103" t="s">
        <v>225</v>
      </c>
      <c r="W3" s="103" t="s">
        <v>226</v>
      </c>
    </row>
    <row r="4" spans="1:23">
      <c r="A4">
        <v>1965</v>
      </c>
      <c r="B4" s="3">
        <f>'Country petrol prices nominal'!B5/CPIs!B4*CPIs!B$56</f>
        <v>102.09100789391891</v>
      </c>
      <c r="C4" s="3">
        <f>'Country petrol prices nominal'!C5/CPIs!C4*CPIs!C$56</f>
        <v>119.70501798159323</v>
      </c>
      <c r="D4" s="3">
        <f>'Country petrol prices nominal'!D5/CPIs!D4*CPIs!D$56</f>
        <v>107.30478007417707</v>
      </c>
      <c r="E4" s="3">
        <f>'Country petrol prices nominal'!E5/CPIs!E4*CPIs!E$56</f>
        <v>76.795797579861727</v>
      </c>
      <c r="F4" s="3">
        <f>'Country petrol prices nominal'!F5/CPIs!F4*CPIs!F$56</f>
        <v>72.16759829335048</v>
      </c>
      <c r="G4" s="3"/>
      <c r="H4" s="3">
        <f>'Country petrol prices nominal'!H5/CPIs!I4*CPIs!I$56</f>
        <v>10.025379079808976</v>
      </c>
      <c r="I4" s="3">
        <f>'Country petrol prices nominal'!I5/CPIs!J4*CPIs!J$56</f>
        <v>98.137446705045477</v>
      </c>
      <c r="J4" s="3">
        <f>'Country petrol prices nominal'!J5/CPIs!K4*CPIs!K$56</f>
        <v>121.94395976130126</v>
      </c>
      <c r="K4" s="3">
        <f>'Country petrol prices nominal'!K5/CPIs!L4*CPIs!L$56</f>
        <v>107.4396887456259</v>
      </c>
      <c r="L4" s="3"/>
      <c r="M4" s="3">
        <f>'Country petrol prices nominal'!M5/CPIs!P4*CPIs!P$56</f>
        <v>105.8954392173615</v>
      </c>
      <c r="N4" s="3">
        <f>'Country petrol prices nominal'!N5/CPIs!R4*CPIs!R$56</f>
        <v>117.8157533343757</v>
      </c>
      <c r="O4" s="3">
        <f>'Country petrol prices nominal'!O5/CPIs!S4*CPIs!S$56</f>
        <v>204.99338606725763</v>
      </c>
      <c r="P4" s="9">
        <f>'Country petrol prices nominal'!P5/CPIs!T4*CPIs!T$56</f>
        <v>1104.2437394569445</v>
      </c>
      <c r="Q4" s="3">
        <f>'Country petrol prices nominal'!Q5/CPIs!U4*CPIs!U$56</f>
        <v>128.00317776488362</v>
      </c>
      <c r="R4" s="3">
        <f>'Country petrol prices nominal'!R5/CPIs!V4*CPIs!V$56</f>
        <v>1.367191683919267</v>
      </c>
      <c r="S4" s="3">
        <f>'Country petrol prices nominal'!S5/CPIs!W4*CPIs!W$56</f>
        <v>11.210363596592668</v>
      </c>
      <c r="T4" s="3">
        <f>'Country petrol prices nominal'!T5/CPIs!X4*CPIs!X$56</f>
        <v>130.87926248808756</v>
      </c>
      <c r="U4" s="3">
        <f>'Country petrol prices nominal'!U5/CPIs!Y4*CPIs!Y$56</f>
        <v>7.0735567144886984</v>
      </c>
      <c r="V4" s="3">
        <f>'Country petrol prices nominal'!V5/CPIs!Z4*CPIs!Z$56</f>
        <v>2.2561726867341574</v>
      </c>
      <c r="W4" s="3">
        <f>'Country petrol prices nominal'!W5/CPIs!AB4*CPIs!AB$56</f>
        <v>64.052175166541303</v>
      </c>
    </row>
    <row r="5" spans="1:23">
      <c r="A5">
        <v>1966</v>
      </c>
      <c r="B5" s="3">
        <f>'Country petrol prices nominal'!B6/CPIs!B5*CPIs!B$56</f>
        <v>103.94418333594771</v>
      </c>
      <c r="C5" s="3">
        <f>'Country petrol prices nominal'!C6/CPIs!C5*CPIs!C$56</f>
        <v>121.07849000034662</v>
      </c>
      <c r="D5" s="3">
        <f>'Country petrol prices nominal'!D6/CPIs!D5*CPIs!D$56</f>
        <v>116.73905570939004</v>
      </c>
      <c r="E5" s="3">
        <f>'Country petrol prices nominal'!E6/CPIs!E5*CPIs!E$56</f>
        <v>81.917538329238951</v>
      </c>
      <c r="F5" s="3">
        <f>'Country petrol prices nominal'!F6/CPIs!F5*CPIs!F$56</f>
        <v>72.235019760235204</v>
      </c>
      <c r="G5" s="3"/>
      <c r="H5" s="3">
        <f>'Country petrol prices nominal'!H6/CPIs!I5*CPIs!I$56</f>
        <v>9.5072330345237166</v>
      </c>
      <c r="I5" s="3">
        <f>'Country petrol prices nominal'!I6/CPIs!J5*CPIs!J$56</f>
        <v>103.70834980464464</v>
      </c>
      <c r="J5" s="3">
        <f>'Country petrol prices nominal'!J6/CPIs!K5*CPIs!K$56</f>
        <v>120.06371600511392</v>
      </c>
      <c r="K5" s="3">
        <f>'Country petrol prices nominal'!K6/CPIs!L5*CPIs!L$56</f>
        <v>103.02216215463575</v>
      </c>
      <c r="L5" s="3"/>
      <c r="M5" s="3">
        <f>'Country petrol prices nominal'!M6/CPIs!P5*CPIs!P$56</f>
        <v>105.27694541893173</v>
      </c>
      <c r="N5" s="3">
        <f>'Country petrol prices nominal'!N6/CPIs!R5*CPIs!R$56</f>
        <v>125.53916624484651</v>
      </c>
      <c r="O5" s="3">
        <f>'Country petrol prices nominal'!O6/CPIs!S5*CPIs!S$56</f>
        <v>191.72875737819172</v>
      </c>
      <c r="P5" s="9">
        <f>'Country petrol prices nominal'!P6/CPIs!T5*CPIs!T$56</f>
        <v>1080.3225304167504</v>
      </c>
      <c r="Q5" s="3">
        <f>'Country petrol prices nominal'!Q6/CPIs!U5*CPIs!U$56</f>
        <v>127.99518805396302</v>
      </c>
      <c r="R5" s="3">
        <f>'Country petrol prices nominal'!R6/CPIs!V5*CPIs!V$56</f>
        <v>1.3305290448950349</v>
      </c>
      <c r="S5" s="3">
        <f>'Country petrol prices nominal'!S6/CPIs!W5*CPIs!W$56</f>
        <v>12.305097614775224</v>
      </c>
      <c r="T5" s="3">
        <f>'Country petrol prices nominal'!T6/CPIs!X5*CPIs!X$56</f>
        <v>123.19167718263066</v>
      </c>
      <c r="U5" s="3">
        <f>'Country petrol prices nominal'!U6/CPIs!Y5*CPIs!Y$56</f>
        <v>7.0909660011386899</v>
      </c>
      <c r="V5" s="3">
        <f>'Country petrol prices nominal'!V6/CPIs!Z5*CPIs!Z$56</f>
        <v>2.3016733789220556</v>
      </c>
      <c r="W5" s="3">
        <f>'Country petrol prices nominal'!W6/CPIs!AB5*CPIs!AB$56</f>
        <v>64.132140428921488</v>
      </c>
    </row>
    <row r="6" spans="1:23">
      <c r="A6">
        <v>1967</v>
      </c>
      <c r="B6" s="3">
        <f>'Country petrol prices nominal'!B7/CPIs!B6*CPIs!B$56</f>
        <v>104.96024620891721</v>
      </c>
      <c r="C6" s="3">
        <f>'Country petrol prices nominal'!C7/CPIs!C6*CPIs!C$56</f>
        <v>120.08910389140816</v>
      </c>
      <c r="D6" s="3">
        <f>'Country petrol prices nominal'!D7/CPIs!D6*CPIs!D$56</f>
        <v>113.63641589841305</v>
      </c>
      <c r="E6" s="3">
        <f>'Country petrol prices nominal'!E7/CPIs!E6*CPIs!E$56</f>
        <v>79.366483539078089</v>
      </c>
      <c r="F6" s="3">
        <f>'Country petrol prices nominal'!F7/CPIs!F6*CPIs!F$56</f>
        <v>71.47536612127216</v>
      </c>
      <c r="G6" s="3"/>
      <c r="H6" s="3">
        <f>'Country petrol prices nominal'!H7/CPIs!I6*CPIs!I$56</f>
        <v>10.18765429004619</v>
      </c>
      <c r="I6" s="3">
        <f>'Country petrol prices nominal'!I7/CPIs!J6*CPIs!J$56</f>
        <v>88.327544424979379</v>
      </c>
      <c r="J6" s="3">
        <f>'Country petrol prices nominal'!J7/CPIs!K6*CPIs!K$56</f>
        <v>118.22625341048474</v>
      </c>
      <c r="K6" s="3">
        <f>'Country petrol prices nominal'!K7/CPIs!L6*CPIs!L$56</f>
        <v>101.76419016031721</v>
      </c>
      <c r="L6" s="3"/>
      <c r="M6" s="3">
        <f>'Country petrol prices nominal'!M7/CPIs!P6*CPIs!P$56</f>
        <v>88.690420034567509</v>
      </c>
      <c r="N6" s="3">
        <f>'Country petrol prices nominal'!N7/CPIs!R6*CPIs!R$56</f>
        <v>120.90473584271179</v>
      </c>
      <c r="O6" s="3">
        <f>'Country petrol prices nominal'!O7/CPIs!S6*CPIs!S$56</f>
        <v>184.06735002318902</v>
      </c>
      <c r="P6" s="9">
        <f>'Country petrol prices nominal'!P7/CPIs!T6*CPIs!T$56</f>
        <v>1061.4157052157107</v>
      </c>
      <c r="Q6" s="3">
        <f>'Country petrol prices nominal'!Q7/CPIs!U6*CPIs!U$56</f>
        <v>127.08678032682161</v>
      </c>
      <c r="R6" s="3">
        <f>'Country petrol prices nominal'!R7/CPIs!V6*CPIs!V$56</f>
        <v>1.3973142699834427</v>
      </c>
      <c r="S6" s="3">
        <f>'Country petrol prices nominal'!S7/CPIs!W6*CPIs!W$56</f>
        <v>11.766283917884873</v>
      </c>
      <c r="T6" s="3">
        <f>'Country petrol prices nominal'!T7/CPIs!X6*CPIs!X$56</f>
        <v>119.00724194966241</v>
      </c>
      <c r="U6" s="3">
        <f>'Country petrol prices nominal'!U7/CPIs!Y6*CPIs!Y$56</f>
        <v>7.2033602141104334</v>
      </c>
      <c r="V6" s="3">
        <f>'Country petrol prices nominal'!V7/CPIs!Z6*CPIs!Z$56</f>
        <v>2.3502650174534727</v>
      </c>
      <c r="W6" s="3">
        <f>'Country petrol prices nominal'!W7/CPIs!AB6*CPIs!AB$56</f>
        <v>64.306435970875938</v>
      </c>
    </row>
    <row r="7" spans="1:23">
      <c r="A7">
        <v>1968</v>
      </c>
      <c r="B7" s="3">
        <f>'Country petrol prices nominal'!B8/CPIs!B7*CPIs!B$56</f>
        <v>103.01853108036809</v>
      </c>
      <c r="C7" s="3">
        <f>'Country petrol prices nominal'!C8/CPIs!C7*CPIs!C$56</f>
        <v>116.85807198212946</v>
      </c>
      <c r="D7" s="3">
        <f>'Country petrol prices nominal'!D8/CPIs!D7*CPIs!D$56</f>
        <v>110.6473241854595</v>
      </c>
      <c r="E7" s="3">
        <f>'Country petrol prices nominal'!E8/CPIs!E7*CPIs!E$56</f>
        <v>87.666372302612615</v>
      </c>
      <c r="F7" s="3">
        <f>'Country petrol prices nominal'!F8/CPIs!F7*CPIs!F$56</f>
        <v>70.677756080068292</v>
      </c>
      <c r="G7" s="3"/>
      <c r="H7" s="3">
        <f>'Country petrol prices nominal'!H8/CPIs!I7*CPIs!I$56</f>
        <v>10.29278528110615</v>
      </c>
      <c r="I7" s="3">
        <f>'Country petrol prices nominal'!I8/CPIs!J7*CPIs!J$56</f>
        <v>98.477116975590263</v>
      </c>
      <c r="J7" s="3">
        <f>'Country petrol prices nominal'!J8/CPIs!K7*CPIs!K$56</f>
        <v>119.86256820948105</v>
      </c>
      <c r="K7" s="3">
        <f>'Country petrol prices nominal'!K8/CPIs!L7*CPIs!L$56</f>
        <v>100.31484841000159</v>
      </c>
      <c r="L7" s="3"/>
      <c r="M7" s="3">
        <f>'Country petrol prices nominal'!M8/CPIs!P7*CPIs!P$56</f>
        <v>113.363632314624</v>
      </c>
      <c r="N7" s="3">
        <f>'Country petrol prices nominal'!N8/CPIs!R7*CPIs!R$56</f>
        <v>119.30333023030805</v>
      </c>
      <c r="O7" s="3">
        <f>'Country petrol prices nominal'!O8/CPIs!S7*CPIs!S$56</f>
        <v>171.42058888316143</v>
      </c>
      <c r="P7" s="9">
        <f>'Country petrol prices nominal'!P8/CPIs!T7*CPIs!T$56</f>
        <v>1048.4746828996977</v>
      </c>
      <c r="Q7" s="3">
        <f>'Country petrol prices nominal'!Q8/CPIs!U7*CPIs!U$56</f>
        <v>126.58487921527404</v>
      </c>
      <c r="R7" s="3">
        <f>'Country petrol prices nominal'!R8/CPIs!V7*CPIs!V$56</f>
        <v>1.3559866824572764</v>
      </c>
      <c r="S7" s="3">
        <f>'Country petrol prices nominal'!S8/CPIs!W7*CPIs!W$56</f>
        <v>11.374074034280989</v>
      </c>
      <c r="T7" s="3">
        <f>'Country petrol prices nominal'!T8/CPIs!X7*CPIs!X$56</f>
        <v>128.71243645566241</v>
      </c>
      <c r="U7" s="3">
        <f>'Country petrol prices nominal'!U8/CPIs!Y7*CPIs!Y$56</f>
        <v>7.0865786757250069</v>
      </c>
      <c r="V7" s="3">
        <f>'Country petrol prices nominal'!V8/CPIs!Z7*CPIs!Z$56</f>
        <v>1.8801752445691442</v>
      </c>
      <c r="W7" s="3">
        <f>'Country petrol prices nominal'!W8/CPIs!AB7*CPIs!AB$56</f>
        <v>62.743088672920585</v>
      </c>
    </row>
    <row r="8" spans="1:23">
      <c r="A8">
        <v>1969</v>
      </c>
      <c r="B8" s="3">
        <f>'Country petrol prices nominal'!B9/CPIs!B8*CPIs!B$56</f>
        <v>101.87235355988022</v>
      </c>
      <c r="C8" s="3">
        <f>'Country petrol prices nominal'!C9/CPIs!C8*CPIs!C$56</f>
        <v>113.36591212447718</v>
      </c>
      <c r="D8" s="3">
        <f>'Country petrol prices nominal'!D9/CPIs!D8*CPIs!D$56</f>
        <v>106.64387102089384</v>
      </c>
      <c r="E8" s="3">
        <f>'Country petrol prices nominal'!E9/CPIs!E8*CPIs!E$56</f>
        <v>85.718507970006939</v>
      </c>
      <c r="F8" s="3">
        <f>'Country petrol prices nominal'!F9/CPIs!F8*CPIs!F$56</f>
        <v>69.983833691535466</v>
      </c>
      <c r="G8" s="3"/>
      <c r="H8" s="3">
        <f>'Country petrol prices nominal'!H9/CPIs!I8*CPIs!I$56</f>
        <v>10.196365794914652</v>
      </c>
      <c r="I8" s="3">
        <f>'Country petrol prices nominal'!I9/CPIs!J8*CPIs!J$56</f>
        <v>96.351898448094502</v>
      </c>
      <c r="J8" s="3">
        <f>'Country petrol prices nominal'!J9/CPIs!K8*CPIs!K$56</f>
        <v>118.87241516353693</v>
      </c>
      <c r="K8" s="3">
        <f>'Country petrol prices nominal'!K9/CPIs!L8*CPIs!L$56</f>
        <v>90.803677485744601</v>
      </c>
      <c r="L8" s="3"/>
      <c r="M8" s="3">
        <f>'Country petrol prices nominal'!M9/CPIs!P8*CPIs!P$56</f>
        <v>112.4572785321469</v>
      </c>
      <c r="N8" s="3">
        <f>'Country petrol prices nominal'!N9/CPIs!R8*CPIs!R$56</f>
        <v>126.30364351356742</v>
      </c>
      <c r="O8" s="3">
        <f>'Country petrol prices nominal'!O9/CPIs!S8*CPIs!S$56</f>
        <v>162.91569347208488</v>
      </c>
      <c r="P8" s="9">
        <f>'Country petrol prices nominal'!P9/CPIs!T8*CPIs!T$56</f>
        <v>1037.082453737574</v>
      </c>
      <c r="Q8" s="3">
        <f>'Country petrol prices nominal'!Q9/CPIs!U8*CPIs!U$56</f>
        <v>118.59441391527405</v>
      </c>
      <c r="R8" s="3">
        <f>'Country petrol prices nominal'!R9/CPIs!V8*CPIs!V$56</f>
        <v>1.2923358089684609</v>
      </c>
      <c r="S8" s="3">
        <f>'Country petrol prices nominal'!S9/CPIs!W8*CPIs!W$56</f>
        <v>11.046757477758021</v>
      </c>
      <c r="T8" s="3">
        <f>'Country petrol prices nominal'!T9/CPIs!X8*CPIs!X$56</f>
        <v>125.99060999140934</v>
      </c>
      <c r="U8" s="3">
        <f>'Country petrol prices nominal'!U9/CPIs!Y8*CPIs!Y$56</f>
        <v>6.4823437901858512</v>
      </c>
      <c r="V8" s="3">
        <f>'Country petrol prices nominal'!V9/CPIs!Z8*CPIs!Z$56</f>
        <v>1.7098115861614216</v>
      </c>
      <c r="W8" s="3">
        <f>'Country petrol prices nominal'!W9/CPIs!AB8*CPIs!AB$56</f>
        <v>61.489146879406938</v>
      </c>
    </row>
    <row r="9" spans="1:23">
      <c r="A9">
        <v>1970</v>
      </c>
      <c r="B9" s="3">
        <f>'Country petrol prices nominal'!B10/CPIs!B9*CPIs!B$56</f>
        <v>104.76427675697676</v>
      </c>
      <c r="C9" s="3">
        <f>'Country petrol prices nominal'!C10/CPIs!C9*CPIs!C$56</f>
        <v>106.97073513676419</v>
      </c>
      <c r="D9" s="3">
        <f>'Country petrol prices nominal'!D10/CPIs!D9*CPIs!D$56</f>
        <v>106.2549660704895</v>
      </c>
      <c r="E9" s="3">
        <f>'Country petrol prices nominal'!E10/CPIs!E9*CPIs!E$56</f>
        <v>85.302907604814692</v>
      </c>
      <c r="F9" s="3">
        <f>'Country petrol prices nominal'!F10/CPIs!F9*CPIs!F$56</f>
        <v>69.599009039706516</v>
      </c>
      <c r="G9" s="3"/>
      <c r="H9" s="3">
        <f>'Country petrol prices nominal'!H10/CPIs!I9*CPIs!I$56</f>
        <v>10.232160227174274</v>
      </c>
      <c r="I9" s="3">
        <f>'Country petrol prices nominal'!I10/CPIs!J9*CPIs!J$56</f>
        <v>94.961445311890316</v>
      </c>
      <c r="J9" s="3">
        <f>'Country petrol prices nominal'!J10/CPIs!K9*CPIs!K$56</f>
        <v>113.31235839038654</v>
      </c>
      <c r="K9" s="3">
        <f>'Country petrol prices nominal'!K10/CPIs!L9*CPIs!L$56</f>
        <v>86.776107326672772</v>
      </c>
      <c r="L9" s="3"/>
      <c r="M9" s="3">
        <f>'Country petrol prices nominal'!M10/CPIs!P9*CPIs!P$56</f>
        <v>110.47243791285149</v>
      </c>
      <c r="N9" s="3">
        <f>'Country petrol prices nominal'!N10/CPIs!R9*CPIs!R$56</f>
        <v>140.58692837391891</v>
      </c>
      <c r="O9" s="3">
        <f>'Country petrol prices nominal'!O10/CPIs!S9*CPIs!S$56</f>
        <v>159.31148800371912</v>
      </c>
      <c r="P9" s="9">
        <f>'Country petrol prices nominal'!P10/CPIs!T9*CPIs!T$56</f>
        <v>1028.9442420729515</v>
      </c>
      <c r="Q9" s="3">
        <f>'Country petrol prices nominal'!Q10/CPIs!U9*CPIs!U$56</f>
        <v>127.51295654331146</v>
      </c>
      <c r="R9" s="3">
        <f>'Country petrol prices nominal'!R10/CPIs!V9*CPIs!V$56</f>
        <v>1.2132636527623233</v>
      </c>
      <c r="S9" s="3">
        <f>'Country petrol prices nominal'!S10/CPIs!W9*CPIs!W$56</f>
        <v>11.74667098346581</v>
      </c>
      <c r="T9" s="3">
        <f>'Country petrol prices nominal'!T10/CPIs!X9*CPIs!X$56</f>
        <v>119.16136941539706</v>
      </c>
      <c r="U9" s="3">
        <f>'Country petrol prices nominal'!U10/CPIs!Y9*CPIs!Y$56</f>
        <v>7.1930853060998841</v>
      </c>
      <c r="V9" s="3">
        <f>'Country petrol prices nominal'!V10/CPIs!Z9*CPIs!Z$56</f>
        <v>1.7762536182820414</v>
      </c>
      <c r="W9" s="3">
        <f>'Country petrol prices nominal'!W10/CPIs!AB9*CPIs!AB$56</f>
        <v>59.580097258324834</v>
      </c>
    </row>
    <row r="10" spans="1:23">
      <c r="A10">
        <v>1971</v>
      </c>
      <c r="B10" s="3">
        <f>'Country petrol prices nominal'!B11/CPIs!B10*CPIs!B$56</f>
        <v>107.50728486333333</v>
      </c>
      <c r="C10" s="3">
        <f>'Country petrol prices nominal'!C11/CPIs!C10*CPIs!C$56</f>
        <v>98.079296644229416</v>
      </c>
      <c r="D10" s="3">
        <f>'Country petrol prices nominal'!D11/CPIs!D10*CPIs!D$56</f>
        <v>116.49497713242228</v>
      </c>
      <c r="E10" s="3">
        <f>'Country petrol prices nominal'!E11/CPIs!E10*CPIs!E$56</f>
        <v>84.016740100536168</v>
      </c>
      <c r="F10" s="3">
        <f>'Country petrol prices nominal'!F11/CPIs!F10*CPIs!F$56</f>
        <v>70.159420170526616</v>
      </c>
      <c r="G10" s="3"/>
      <c r="H10" s="3">
        <f>'Country petrol prices nominal'!H11/CPIs!I10*CPIs!I$56</f>
        <v>10.132280103258996</v>
      </c>
      <c r="I10" s="3">
        <f>'Country petrol prices nominal'!I11/CPIs!J10*CPIs!J$56</f>
        <v>101.54716082758831</v>
      </c>
      <c r="J10" s="3">
        <f>'Country petrol prices nominal'!J11/CPIs!K10*CPIs!K$56</f>
        <v>120.62614618923709</v>
      </c>
      <c r="K10" s="3">
        <f>'Country petrol prices nominal'!K11/CPIs!L10*CPIs!L$56</f>
        <v>101.11195145156545</v>
      </c>
      <c r="L10" s="3"/>
      <c r="M10" s="3">
        <f>'Country petrol prices nominal'!M11/CPIs!P10*CPIs!P$56</f>
        <v>110.04667238307142</v>
      </c>
      <c r="N10" s="3">
        <f>'Country petrol prices nominal'!N11/CPIs!R10*CPIs!R$56</f>
        <v>140.4076295562131</v>
      </c>
      <c r="O10" s="3">
        <f>'Country petrol prices nominal'!O11/CPIs!S10*CPIs!S$56</f>
        <v>177.90197469589415</v>
      </c>
      <c r="P10" s="9">
        <f>'Country petrol prices nominal'!P11/CPIs!T10*CPIs!T$56</f>
        <v>1035.270048345857</v>
      </c>
      <c r="Q10" s="3">
        <f>'Country petrol prices nominal'!Q11/CPIs!U10*CPIs!U$56</f>
        <v>142.33722764903035</v>
      </c>
      <c r="R10" s="3">
        <f>'Country petrol prices nominal'!R11/CPIs!V10*CPIs!V$56</f>
        <v>1.157107013555229</v>
      </c>
      <c r="S10" s="3">
        <f>'Country petrol prices nominal'!S11/CPIs!W10*CPIs!W$56</f>
        <v>11.992083370371878</v>
      </c>
      <c r="T10" s="3">
        <f>'Country petrol prices nominal'!T11/CPIs!X10*CPIs!X$56</f>
        <v>126.67150985337403</v>
      </c>
      <c r="U10" s="3">
        <f>'Country petrol prices nominal'!U11/CPIs!Y10*CPIs!Y$56</f>
        <v>6.9734029557260406</v>
      </c>
      <c r="V10" s="3">
        <f>'Country petrol prices nominal'!V11/CPIs!Z10*CPIs!Z$56</f>
        <v>1.9147670933050551</v>
      </c>
      <c r="W10" s="3">
        <f>'Country petrol prices nominal'!W11/CPIs!AB10*CPIs!AB$56</f>
        <v>58.262690170214711</v>
      </c>
    </row>
    <row r="11" spans="1:23">
      <c r="A11">
        <v>1972</v>
      </c>
      <c r="B11" s="3">
        <f>'Country petrol prices nominal'!B12/CPIs!B11*CPIs!B$56</f>
        <v>103.08335061450778</v>
      </c>
      <c r="C11" s="3">
        <f>'Country petrol prices nominal'!C12/CPIs!C11*CPIs!C$56</f>
        <v>99.329150546632235</v>
      </c>
      <c r="D11" s="3">
        <f>'Country petrol prices nominal'!D12/CPIs!D11*CPIs!D$56</f>
        <v>93.897311861023809</v>
      </c>
      <c r="E11" s="3">
        <f>'Country petrol prices nominal'!E12/CPIs!E11*CPIs!E$56</f>
        <v>72.032670604186677</v>
      </c>
      <c r="F11" s="3">
        <f>'Country petrol prices nominal'!F12/CPIs!F11*CPIs!F$56</f>
        <v>67.607609526883721</v>
      </c>
      <c r="G11" s="3"/>
      <c r="H11" s="3">
        <f>'Country petrol prices nominal'!H12/CPIs!I11*CPIs!I$56</f>
        <v>9.423182893946235</v>
      </c>
      <c r="I11" s="3">
        <f>'Country petrol prices nominal'!I12/CPIs!J11*CPIs!J$56</f>
        <v>88.597343299534074</v>
      </c>
      <c r="J11" s="3">
        <f>'Country petrol prices nominal'!J12/CPIs!K11*CPIs!K$56</f>
        <v>104.05922441752975</v>
      </c>
      <c r="K11" s="3">
        <f>'Country petrol prices nominal'!K12/CPIs!L11*CPIs!L$56</f>
        <v>94.562147834763962</v>
      </c>
      <c r="L11" s="3"/>
      <c r="M11" s="3">
        <f>'Country petrol prices nominal'!M12/CPIs!P11*CPIs!P$56</f>
        <v>92.742864024848146</v>
      </c>
      <c r="N11" s="3">
        <f>'Country petrol prices nominal'!N12/CPIs!R11*CPIs!R$56</f>
        <v>136.29074115397918</v>
      </c>
      <c r="O11" s="3">
        <f>'Country petrol prices nominal'!O12/CPIs!S11*CPIs!S$56</f>
        <v>149.51370533109747</v>
      </c>
      <c r="P11" s="9">
        <f>'Country petrol prices nominal'!P12/CPIs!T11*CPIs!T$56</f>
        <v>1037.1655914506709</v>
      </c>
      <c r="Q11" s="3">
        <f>'Country petrol prices nominal'!Q12/CPIs!U11*CPIs!U$56</f>
        <v>129.46696969486246</v>
      </c>
      <c r="R11" s="3">
        <f>'Country petrol prices nominal'!R12/CPIs!V11*CPIs!V$56</f>
        <v>1.4027754556027368</v>
      </c>
      <c r="S11" s="3">
        <f>'Country petrol prices nominal'!S12/CPIs!W11*CPIs!W$56</f>
        <v>10.270296900472978</v>
      </c>
      <c r="T11" s="3">
        <f>'Country petrol prices nominal'!T12/CPIs!X11*CPIs!X$56</f>
        <v>101.99568883389995</v>
      </c>
      <c r="U11" s="3">
        <f>'Country petrol prices nominal'!U12/CPIs!Y11*CPIs!Y$56</f>
        <v>5.9511804177242862</v>
      </c>
      <c r="V11" s="3">
        <f>'Country petrol prices nominal'!V12/CPIs!Z11*CPIs!Z$56</f>
        <v>1.8091905211359571</v>
      </c>
      <c r="W11" s="3">
        <f>'Country petrol prices nominal'!W12/CPIs!AB11*CPIs!AB$56</f>
        <v>55.985822802280069</v>
      </c>
    </row>
    <row r="12" spans="1:23">
      <c r="A12">
        <v>1973</v>
      </c>
      <c r="B12" s="3">
        <f>'Country petrol prices nominal'!B13/CPIs!B12*CPIs!B$56</f>
        <v>105.67615715392158</v>
      </c>
      <c r="C12" s="3">
        <f>'Country petrol prices nominal'!C13/CPIs!C12*CPIs!C$56</f>
        <v>124.19817200980259</v>
      </c>
      <c r="D12" s="3">
        <f>'Country petrol prices nominal'!D13/CPIs!D12*CPIs!D$56</f>
        <v>105.57586607026016</v>
      </c>
      <c r="E12" s="3">
        <f>'Country petrol prices nominal'!E13/CPIs!E12*CPIs!E$56</f>
        <v>72.89796915050664</v>
      </c>
      <c r="F12" s="3">
        <f>'Country petrol prices nominal'!F13/CPIs!F12*CPIs!F$56</f>
        <v>67.118017454368385</v>
      </c>
      <c r="G12" s="3"/>
      <c r="H12" s="3">
        <f>'Country petrol prices nominal'!H13/CPIs!I12*CPIs!I$56</f>
        <v>10.094249570767866</v>
      </c>
      <c r="I12" s="3">
        <f>'Country petrol prices nominal'!I13/CPIs!J12*CPIs!J$56</f>
        <v>102.39043422183475</v>
      </c>
      <c r="J12" s="3">
        <f>'Country petrol prices nominal'!J13/CPIs!K12*CPIs!K$56</f>
        <v>103.6341782374019</v>
      </c>
      <c r="K12" s="3">
        <f>'Country petrol prices nominal'!K13/CPIs!L12*CPIs!L$56</f>
        <v>100.56334253044569</v>
      </c>
      <c r="L12" s="3"/>
      <c r="M12" s="3">
        <f>'Country petrol prices nominal'!M13/CPIs!P12*CPIs!P$56</f>
        <v>94.346954365217655</v>
      </c>
      <c r="N12" s="3">
        <f>'Country petrol prices nominal'!N13/CPIs!R12*CPIs!R$56</f>
        <v>141.33404753761167</v>
      </c>
      <c r="O12" s="3">
        <f>'Country petrol prices nominal'!O13/CPIs!S12*CPIs!S$56</f>
        <v>125.04770029184257</v>
      </c>
      <c r="P12" s="9">
        <f>'Country petrol prices nominal'!P13/CPIs!T12*CPIs!T$56</f>
        <v>1046.9351294111284</v>
      </c>
      <c r="Q12" s="3">
        <f>'Country petrol prices nominal'!Q13/CPIs!U12*CPIs!U$56</f>
        <v>151.06135373909311</v>
      </c>
      <c r="R12" s="3">
        <f>'Country petrol prices nominal'!R13/CPIs!V12*CPIs!V$56</f>
        <v>1.4802051558131215</v>
      </c>
      <c r="S12" s="3">
        <f>'Country petrol prices nominal'!S13/CPIs!W12*CPIs!W$56</f>
        <v>11.156561788716955</v>
      </c>
      <c r="T12" s="3">
        <f>'Country petrol prices nominal'!T13/CPIs!X12*CPIs!X$56</f>
        <v>105.37420367796265</v>
      </c>
      <c r="U12" s="3">
        <f>'Country petrol prices nominal'!U13/CPIs!Y12*CPIs!Y$56</f>
        <v>5.6820295609180356</v>
      </c>
      <c r="V12" s="3">
        <f>'Country petrol prices nominal'!V13/CPIs!Z12*CPIs!Z$56</f>
        <v>1.7030980305296541</v>
      </c>
      <c r="W12" s="3">
        <f>'Country petrol prices nominal'!W13/CPIs!AB12*CPIs!AB$56</f>
        <v>56.485732366728193</v>
      </c>
    </row>
    <row r="13" spans="1:23">
      <c r="A13">
        <v>1974</v>
      </c>
      <c r="B13" s="3">
        <f>'Country petrol prices nominal'!B14/CPIs!B13*CPIs!B$56</f>
        <v>109.93890486147187</v>
      </c>
      <c r="C13" s="3">
        <f>'Country petrol prices nominal'!C14/CPIs!C13*CPIs!C$56</f>
        <v>148.58788289261366</v>
      </c>
      <c r="D13" s="3">
        <f>'Country petrol prices nominal'!D14/CPIs!D13*CPIs!D$56</f>
        <v>108.17903842344172</v>
      </c>
      <c r="E13" s="3">
        <f>'Country petrol prices nominal'!E14/CPIs!E13*CPIs!E$56</f>
        <v>125.49496456908253</v>
      </c>
      <c r="F13" s="3">
        <f>'Country petrol prices nominal'!F14/CPIs!F13*CPIs!F$56</f>
        <v>70.293853588302653</v>
      </c>
      <c r="G13" s="3"/>
      <c r="H13" s="3">
        <f>'Country petrol prices nominal'!H14/CPIs!I13*CPIs!I$56</f>
        <v>12.089186525259617</v>
      </c>
      <c r="I13" s="3">
        <f>'Country petrol prices nominal'!I14/CPIs!J13*CPIs!J$56</f>
        <v>118.68627383011949</v>
      </c>
      <c r="J13" s="3">
        <f>'Country petrol prices nominal'!J14/CPIs!K13*CPIs!K$56</f>
        <v>136.52365749322442</v>
      </c>
      <c r="K13" s="3">
        <f>'Country petrol prices nominal'!K14/CPIs!L13*CPIs!L$56</f>
        <v>117.76451831703636</v>
      </c>
      <c r="L13" s="3"/>
      <c r="M13" s="3">
        <f>'Country petrol prices nominal'!M14/CPIs!P13*CPIs!P$56</f>
        <v>169.16489229885062</v>
      </c>
      <c r="N13" s="3">
        <f>'Country petrol prices nominal'!N14/CPIs!R13*CPIs!R$56</f>
        <v>184.33709602873299</v>
      </c>
      <c r="O13" s="3">
        <f>'Country petrol prices nominal'!O14/CPIs!S13*CPIs!S$56</f>
        <v>221.89129580830291</v>
      </c>
      <c r="P13" s="9">
        <f>'Country petrol prices nominal'!P14/CPIs!T13*CPIs!T$56</f>
        <v>1292.2038970081649</v>
      </c>
      <c r="Q13" s="3">
        <f>'Country petrol prices nominal'!Q14/CPIs!U13*CPIs!U$56</f>
        <v>173.27002170877009</v>
      </c>
      <c r="R13" s="3">
        <f>'Country petrol prices nominal'!R14/CPIs!V13*CPIs!V$56</f>
        <v>1.5029173350858385</v>
      </c>
      <c r="S13" s="3">
        <f>'Country petrol prices nominal'!S14/CPIs!W13*CPIs!W$56</f>
        <v>12.865309280955874</v>
      </c>
      <c r="T13" s="3">
        <f>'Country petrol prices nominal'!T14/CPIs!X13*CPIs!X$56</f>
        <v>143.27679132605041</v>
      </c>
      <c r="U13" s="3">
        <f>'Country petrol prices nominal'!U14/CPIs!Y13*CPIs!Y$56</f>
        <v>7.717169728745489</v>
      </c>
      <c r="V13" s="3">
        <f>'Country petrol prices nominal'!V14/CPIs!Z13*CPIs!Z$56</f>
        <v>2.3869773728035772</v>
      </c>
      <c r="W13" s="3">
        <f>'Country petrol prices nominal'!W14/CPIs!AB13*CPIs!AB$56</f>
        <v>68.857876573844749</v>
      </c>
    </row>
    <row r="14" spans="1:23">
      <c r="A14">
        <v>1975</v>
      </c>
      <c r="B14" s="3">
        <f>'Country petrol prices nominal'!B15/CPIs!B14*CPIs!B$56</f>
        <v>111.8766382620818</v>
      </c>
      <c r="C14" s="3">
        <f>'Country petrol prices nominal'!C15/CPIs!C14*CPIs!C$56</f>
        <v>117.89830938888608</v>
      </c>
      <c r="D14" s="3">
        <f>'Country petrol prices nominal'!D15/CPIs!D14*CPIs!D$56</f>
        <v>107.71567417037765</v>
      </c>
      <c r="E14" s="3">
        <f>'Country petrol prices nominal'!E15/CPIs!E14*CPIs!E$56</f>
        <v>95.570457373510706</v>
      </c>
      <c r="F14" s="3">
        <f>'Country petrol prices nominal'!F15/CPIs!F14*CPIs!F$56</f>
        <v>71.809639247670063</v>
      </c>
      <c r="G14" s="3"/>
      <c r="H14" s="3">
        <f>'Country petrol prices nominal'!H15/CPIs!I14*CPIs!I$56</f>
        <v>9.650826501839056</v>
      </c>
      <c r="I14" s="3">
        <f>'Country petrol prices nominal'!I15/CPIs!J14*CPIs!J$56</f>
        <v>94.179229904102826</v>
      </c>
      <c r="J14" s="3">
        <f>'Country petrol prices nominal'!J15/CPIs!K14*CPIs!K$56</f>
        <v>114.81112403208938</v>
      </c>
      <c r="K14" s="3">
        <f>'Country petrol prices nominal'!K15/CPIs!L14*CPIs!L$56</f>
        <v>97.762130153059161</v>
      </c>
      <c r="L14" s="3"/>
      <c r="M14" s="3">
        <f>'Country petrol prices nominal'!M15/CPIs!P14*CPIs!P$56</f>
        <v>136.79242654021547</v>
      </c>
      <c r="N14" s="3">
        <f>'Country petrol prices nominal'!N15/CPIs!R14*CPIs!R$56</f>
        <v>159.94514469952773</v>
      </c>
      <c r="O14" s="3">
        <f>'Country petrol prices nominal'!O15/CPIs!S14*CPIs!S$56</f>
        <v>180.60975088857984</v>
      </c>
      <c r="P14" s="9">
        <f>'Country petrol prices nominal'!P15/CPIs!T14*CPIs!T$56</f>
        <v>1286.5093629490593</v>
      </c>
      <c r="Q14" s="3">
        <f>'Country petrol prices nominal'!Q15/CPIs!U14*CPIs!U$56</f>
        <v>130.00639545104386</v>
      </c>
      <c r="R14" s="3">
        <f>'Country petrol prices nominal'!R15/CPIs!V14*CPIs!V$56</f>
        <v>1.5535317797398316</v>
      </c>
      <c r="S14" s="3">
        <f>'Country petrol prices nominal'!S15/CPIs!W14*CPIs!W$56</f>
        <v>10.759287957401288</v>
      </c>
      <c r="T14" s="3">
        <f>'Country petrol prices nominal'!T15/CPIs!X14*CPIs!X$56</f>
        <v>140.30102827690615</v>
      </c>
      <c r="U14" s="3">
        <f>'Country petrol prices nominal'!U15/CPIs!Y14*CPIs!Y$56</f>
        <v>6.3053768937383881</v>
      </c>
      <c r="V14" s="3">
        <f>'Country petrol prices nominal'!V15/CPIs!Z14*CPIs!Z$56</f>
        <v>1.9088894005699908</v>
      </c>
      <c r="W14" s="3">
        <f>'Country petrol prices nominal'!W15/CPIs!AB14*CPIs!AB$56</f>
        <v>68.857333466791431</v>
      </c>
    </row>
    <row r="15" spans="1:23">
      <c r="A15">
        <v>1976</v>
      </c>
      <c r="B15" s="3">
        <f>'Country petrol prices nominal'!B16/CPIs!B15*CPIs!B$56</f>
        <v>107.81664093815789</v>
      </c>
      <c r="C15" s="3">
        <f>'Country petrol prices nominal'!C16/CPIs!C15*CPIs!C$56</f>
        <v>129.44921021642895</v>
      </c>
      <c r="D15" s="3">
        <f>'Country petrol prices nominal'!D16/CPIs!D15*CPIs!D$56</f>
        <v>116.0393980990636</v>
      </c>
      <c r="E15" s="3">
        <f>'Country petrol prices nominal'!E16/CPIs!E15*CPIs!E$56</f>
        <v>89.356295051587935</v>
      </c>
      <c r="F15" s="3">
        <f>'Country petrol prices nominal'!F16/CPIs!F15*CPIs!F$56</f>
        <v>74.690380533175372</v>
      </c>
      <c r="G15" s="3"/>
      <c r="H15" s="3">
        <f>'Country petrol prices nominal'!H16/CPIs!I15*CPIs!I$56</f>
        <v>12.004092413967815</v>
      </c>
      <c r="I15" s="3">
        <f>'Country petrol prices nominal'!I16/CPIs!J15*CPIs!J$56</f>
        <v>117.55728638725205</v>
      </c>
      <c r="J15" s="3">
        <f>'Country petrol prices nominal'!J16/CPIs!K15*CPIs!K$56</f>
        <v>126.2993517394986</v>
      </c>
      <c r="K15" s="3">
        <f>'Country petrol prices nominal'!K16/CPIs!L15*CPIs!L$56</f>
        <v>109.25677249749312</v>
      </c>
      <c r="L15" s="3"/>
      <c r="M15" s="3">
        <f>'Country petrol prices nominal'!M16/CPIs!P15*CPIs!P$56</f>
        <v>145.29367864594761</v>
      </c>
      <c r="N15" s="3">
        <f>'Country petrol prices nominal'!N16/CPIs!R15*CPIs!R$56</f>
        <v>217.82508801615424</v>
      </c>
      <c r="O15" s="3">
        <f>'Country petrol prices nominal'!O16/CPIs!S15*CPIs!S$56</f>
        <v>204.40592926347247</v>
      </c>
      <c r="P15" s="9">
        <f>'Country petrol prices nominal'!P16/CPIs!T15*CPIs!T$56</f>
        <v>1251.7055397833478</v>
      </c>
      <c r="Q15" s="3">
        <f>'Country petrol prices nominal'!Q16/CPIs!U15*CPIs!U$56</f>
        <v>142.58096943255268</v>
      </c>
      <c r="R15" s="3">
        <f>'Country petrol prices nominal'!R16/CPIs!V15*CPIs!V$56</f>
        <v>2.0585399954676138</v>
      </c>
      <c r="S15" s="3">
        <f>'Country petrol prices nominal'!S16/CPIs!W15*CPIs!W$56</f>
        <v>11.79522246470068</v>
      </c>
      <c r="T15" s="3">
        <f>'Country petrol prices nominal'!T16/CPIs!X15*CPIs!X$56</f>
        <v>151.60226409915978</v>
      </c>
      <c r="U15" s="3">
        <f>'Country petrol prices nominal'!U16/CPIs!Y15*CPIs!Y$56</f>
        <v>7.3212328917463898</v>
      </c>
      <c r="V15" s="3">
        <f>'Country petrol prices nominal'!V16/CPIs!Z15*CPIs!Z$56</f>
        <v>1.9058843493310726</v>
      </c>
      <c r="W15" s="3">
        <f>'Country petrol prices nominal'!W16/CPIs!AB15*CPIs!AB$56</f>
        <v>67.657775138254692</v>
      </c>
    </row>
    <row r="16" spans="1:23">
      <c r="A16">
        <v>1977</v>
      </c>
      <c r="B16" s="3">
        <f>'Country petrol prices nominal'!B17/CPIs!B16*CPIs!B$56</f>
        <v>100.28663216300578</v>
      </c>
      <c r="C16" s="3">
        <f>'Country petrol prices nominal'!C17/CPIs!C16*CPIs!C$56</f>
        <v>141.49952916351774</v>
      </c>
      <c r="D16" s="3">
        <f>'Country petrol prices nominal'!D17/CPIs!D16*CPIs!D$56</f>
        <v>113.92782792538412</v>
      </c>
      <c r="E16" s="3">
        <f>'Country petrol prices nominal'!E17/CPIs!E16*CPIs!E$56</f>
        <v>82.885887800726294</v>
      </c>
      <c r="F16" s="3">
        <f>'Country petrol prices nominal'!F17/CPIs!F16*CPIs!F$56</f>
        <v>75.630812582834096</v>
      </c>
      <c r="G16" s="3"/>
      <c r="H16" s="3">
        <f>'Country petrol prices nominal'!H17/CPIs!I16*CPIs!I$56</f>
        <v>11.210416306651339</v>
      </c>
      <c r="I16" s="3">
        <f>'Country petrol prices nominal'!I17/CPIs!J16*CPIs!J$56</f>
        <v>111.28124794850004</v>
      </c>
      <c r="J16" s="3">
        <f>'Country petrol prices nominal'!J17/CPIs!K16*CPIs!K$56</f>
        <v>130.5801800170504</v>
      </c>
      <c r="K16" s="3">
        <f>'Country petrol prices nominal'!K17/CPIs!L16*CPIs!L$56</f>
        <v>130.73546727333397</v>
      </c>
      <c r="L16" s="3"/>
      <c r="M16" s="3">
        <f>'Country petrol prices nominal'!M17/CPIs!P16*CPIs!P$56</f>
        <v>146.75712231735562</v>
      </c>
      <c r="N16" s="3">
        <f>'Country petrol prices nominal'!N17/CPIs!R16*CPIs!R$56</f>
        <v>197.25521722913214</v>
      </c>
      <c r="O16" s="3">
        <f>'Country petrol prices nominal'!O17/CPIs!S16*CPIs!S$56</f>
        <v>193.82386563806921</v>
      </c>
      <c r="P16" s="9">
        <f>'Country petrol prices nominal'!P17/CPIs!T16*CPIs!T$56</f>
        <v>1244.2457918734062</v>
      </c>
      <c r="Q16" s="3">
        <f>'Country petrol prices nominal'!Q17/CPIs!U16*CPIs!U$56</f>
        <v>129.75271461018011</v>
      </c>
      <c r="R16" s="3">
        <f>'Country petrol prices nominal'!R17/CPIs!V16*CPIs!V$56</f>
        <v>2.187205099019589</v>
      </c>
      <c r="S16" s="3">
        <f>'Country petrol prices nominal'!S17/CPIs!W16*CPIs!W$56</f>
        <v>12.786193032422519</v>
      </c>
      <c r="T16" s="3">
        <f>'Country petrol prices nominal'!T17/CPIs!X16*CPIs!X$56</f>
        <v>126.74029264500351</v>
      </c>
      <c r="U16" s="3">
        <f>'Country petrol prices nominal'!U17/CPIs!Y16*CPIs!Y$56</f>
        <v>6.8302281542062451</v>
      </c>
      <c r="V16" s="3">
        <f>'Country petrol prices nominal'!V17/CPIs!Z16*CPIs!Z$56</f>
        <v>2.1433505474722425</v>
      </c>
      <c r="W16" s="3">
        <f>'Country petrol prices nominal'!W17/CPIs!AB16*CPIs!AB$56</f>
        <v>66.250021612324105</v>
      </c>
    </row>
    <row r="17" spans="1:23">
      <c r="A17">
        <v>1978</v>
      </c>
      <c r="B17" s="3">
        <f>'Country petrol prices nominal'!B18/CPIs!B17*CPIs!B$56</f>
        <v>102.32567435039579</v>
      </c>
      <c r="C17" s="3">
        <f>'Country petrol prices nominal'!C18/CPIs!C17*CPIs!C$56</f>
        <v>132.82774479658596</v>
      </c>
      <c r="D17" s="3">
        <f>'Country petrol prices nominal'!D18/CPIs!D17*CPIs!D$56</f>
        <v>105.02629234605406</v>
      </c>
      <c r="E17" s="3">
        <f>'Country petrol prices nominal'!E18/CPIs!E17*CPIs!E$56</f>
        <v>73.675449567639589</v>
      </c>
      <c r="F17" s="3">
        <f>'Country petrol prices nominal'!F18/CPIs!F17*CPIs!F$56</f>
        <v>72.466797668963096</v>
      </c>
      <c r="G17" s="3"/>
      <c r="H17" s="3">
        <f>'Country petrol prices nominal'!H18/CPIs!I17*CPIs!I$56</f>
        <v>9.9001191255810621</v>
      </c>
      <c r="I17" s="3">
        <f>'Country petrol prices nominal'!I18/CPIs!J17*CPIs!J$56</f>
        <v>117.20244061928048</v>
      </c>
      <c r="J17" s="3">
        <f>'Country petrol prices nominal'!J18/CPIs!K17*CPIs!K$56</f>
        <v>145.88180387318005</v>
      </c>
      <c r="K17" s="3">
        <f>'Country petrol prices nominal'!K18/CPIs!L17*CPIs!L$56</f>
        <v>105.08541124484121</v>
      </c>
      <c r="L17" s="3"/>
      <c r="M17" s="3">
        <f>'Country petrol prices nominal'!M18/CPIs!P17*CPIs!P$56</f>
        <v>122.92200536886672</v>
      </c>
      <c r="N17" s="3">
        <f>'Country petrol prices nominal'!N18/CPIs!R17*CPIs!R$56</f>
        <v>175.28935789288508</v>
      </c>
      <c r="O17" s="3">
        <f>'Country petrol prices nominal'!O18/CPIs!S17*CPIs!S$56</f>
        <v>165.85243760301364</v>
      </c>
      <c r="P17" s="9">
        <f>'Country petrol prices nominal'!P18/CPIs!T17*CPIs!T$56</f>
        <v>1199.4291245302891</v>
      </c>
      <c r="Q17" s="3">
        <f>'Country petrol prices nominal'!Q18/CPIs!U17*CPIs!U$56</f>
        <v>118.99605716014298</v>
      </c>
      <c r="R17" s="3">
        <f>'Country petrol prices nominal'!R18/CPIs!V17*CPIs!V$56</f>
        <v>1.9163392663388932</v>
      </c>
      <c r="S17" s="3">
        <f>'Country petrol prices nominal'!S18/CPIs!W17*CPIs!W$56</f>
        <v>11.164416248884477</v>
      </c>
      <c r="T17" s="3">
        <f>'Country petrol prices nominal'!T18/CPIs!X17*CPIs!X$56</f>
        <v>134.48145054129927</v>
      </c>
      <c r="U17" s="3">
        <f>'Country petrol prices nominal'!U18/CPIs!Y17*CPIs!Y$56</f>
        <v>6.8764898035867219</v>
      </c>
      <c r="V17" s="3">
        <f>'Country petrol prices nominal'!V18/CPIs!Z17*CPIs!Z$56</f>
        <v>1.7656703782846626</v>
      </c>
      <c r="W17" s="3">
        <f>'Country petrol prices nominal'!W18/CPIs!AB17*CPIs!AB$56</f>
        <v>62.546338065065882</v>
      </c>
    </row>
    <row r="18" spans="1:23">
      <c r="A18">
        <v>1979</v>
      </c>
      <c r="B18" s="3">
        <f>'Country petrol prices nominal'!B19/CPIs!B18*CPIs!B$56</f>
        <v>128.89437408804878</v>
      </c>
      <c r="C18" s="3">
        <f>'Country petrol prices nominal'!C19/CPIs!C18*CPIs!C$56</f>
        <v>137.71071921436481</v>
      </c>
      <c r="D18" s="3">
        <f>'Country petrol prices nominal'!D19/CPIs!D18*CPIs!D$56</f>
        <v>113.2788467167028</v>
      </c>
      <c r="E18" s="3">
        <f>'Country petrol prices nominal'!E19/CPIs!E18*CPIs!E$56</f>
        <v>86.014070082627029</v>
      </c>
      <c r="F18" s="3">
        <f>'Country petrol prices nominal'!F19/CPIs!F18*CPIs!F$56</f>
        <v>77.38119645917466</v>
      </c>
      <c r="G18" s="3"/>
      <c r="H18" s="3">
        <f>'Country petrol prices nominal'!H19/CPIs!I18*CPIs!I$56</f>
        <v>11.080923475611044</v>
      </c>
      <c r="I18" s="3">
        <f>'Country petrol prices nominal'!I19/CPIs!J18*CPIs!J$56</f>
        <v>117.46042437223818</v>
      </c>
      <c r="J18" s="3">
        <f>'Country petrol prices nominal'!J19/CPIs!K18*CPIs!K$56</f>
        <v>144.99356824312505</v>
      </c>
      <c r="K18" s="3">
        <f>'Country petrol prices nominal'!K19/CPIs!L18*CPIs!L$56</f>
        <v>108.3212649192222</v>
      </c>
      <c r="L18" s="3"/>
      <c r="M18" s="3">
        <f>'Country petrol prices nominal'!M19/CPIs!P18*CPIs!P$56</f>
        <v>123.0905111285971</v>
      </c>
      <c r="N18" s="3">
        <f>'Country petrol prices nominal'!N19/CPIs!R18*CPIs!R$56</f>
        <v>165.22367057584464</v>
      </c>
      <c r="O18" s="3">
        <f>'Country petrol prices nominal'!O19/CPIs!S18*CPIs!S$56</f>
        <v>175.74241819941571</v>
      </c>
      <c r="P18" s="9">
        <f>'Country petrol prices nominal'!P19/CPIs!T18*CPIs!T$56</f>
        <v>1280.0493717831846</v>
      </c>
      <c r="Q18" s="3">
        <f>'Country petrol prices nominal'!Q19/CPIs!U18*CPIs!U$56</f>
        <v>126.07882085528647</v>
      </c>
      <c r="R18" s="3">
        <f>'Country petrol prices nominal'!R19/CPIs!V18*CPIs!V$56</f>
        <v>1.9042266977018845</v>
      </c>
      <c r="S18" s="3">
        <f>'Country petrol prices nominal'!S19/CPIs!W18*CPIs!W$56</f>
        <v>11.536491843137291</v>
      </c>
      <c r="T18" s="3">
        <f>'Country petrol prices nominal'!T19/CPIs!X18*CPIs!X$56</f>
        <v>139.84745722718372</v>
      </c>
      <c r="U18" s="3">
        <f>'Country petrol prices nominal'!U19/CPIs!Y18*CPIs!Y$56</f>
        <v>7.5625692049929789</v>
      </c>
      <c r="V18" s="3">
        <f>'Country petrol prices nominal'!V19/CPIs!Z18*CPIs!Z$56</f>
        <v>1.99466897349723</v>
      </c>
      <c r="W18" s="3">
        <f>'Country petrol prices nominal'!W19/CPIs!AB18*CPIs!AB$56</f>
        <v>76.744617828769137</v>
      </c>
    </row>
    <row r="19" spans="1:23">
      <c r="A19">
        <v>1980</v>
      </c>
      <c r="B19" s="3">
        <f>'Country petrol prices nominal'!B20/CPIs!B19*CPIs!B$56</f>
        <v>139.76656072013273</v>
      </c>
      <c r="C19" s="3">
        <f>'Country petrol prices nominal'!C20/CPIs!C19*CPIs!C$56</f>
        <v>149.4011593850461</v>
      </c>
      <c r="D19" s="3">
        <f>'Country petrol prices nominal'!D20/CPIs!D19*CPIs!D$56</f>
        <v>137.37337997221374</v>
      </c>
      <c r="E19" s="3">
        <f>'Country petrol prices nominal'!E20/CPIs!E19*CPIs!E$56</f>
        <v>93.423490837072791</v>
      </c>
      <c r="F19" s="3">
        <f>'Country petrol prices nominal'!F20/CPIs!F19*CPIs!F$56</f>
        <v>84.474116451584777</v>
      </c>
      <c r="G19" s="3"/>
      <c r="H19" s="3">
        <f>'Country petrol prices nominal'!H20/CPIs!I19*CPIs!I$56</f>
        <v>13.233073257857333</v>
      </c>
      <c r="I19" s="3">
        <f>'Country petrol prices nominal'!I20/CPIs!J19*CPIs!J$56</f>
        <v>141.58456743133721</v>
      </c>
      <c r="J19" s="3">
        <f>'Country petrol prices nominal'!J20/CPIs!K19*CPIs!K$56</f>
        <v>136.63462145996508</v>
      </c>
      <c r="K19" s="3">
        <f>'Country petrol prices nominal'!K20/CPIs!L19*CPIs!L$56</f>
        <v>120.26790675856627</v>
      </c>
      <c r="L19" s="3"/>
      <c r="M19" s="3">
        <f>'Country petrol prices nominal'!M20/CPIs!P19*CPIs!P$56</f>
        <v>146.83350288297854</v>
      </c>
      <c r="N19" s="3">
        <f>'Country petrol prices nominal'!N20/CPIs!R19*CPIs!R$56</f>
        <v>176.5531297692213</v>
      </c>
      <c r="O19" s="3">
        <f>'Country petrol prices nominal'!O20/CPIs!S19*CPIs!S$56</f>
        <v>207.47409394218261</v>
      </c>
      <c r="P19" s="9">
        <f>'Country petrol prices nominal'!P20/CPIs!T19*CPIs!T$56</f>
        <v>1488.1937763469357</v>
      </c>
      <c r="Q19" s="3">
        <f>'Country petrol prices nominal'!Q20/CPIs!U19*CPIs!U$56</f>
        <v>142.83610653181219</v>
      </c>
      <c r="R19" s="3">
        <f>'Country petrol prices nominal'!R20/CPIs!V19*CPIs!V$56</f>
        <v>2.3142690443344658</v>
      </c>
      <c r="S19" s="3">
        <f>'Country petrol prices nominal'!S20/CPIs!W19*CPIs!W$56</f>
        <v>13.629759956925286</v>
      </c>
      <c r="T19" s="3">
        <f>'Country petrol prices nominal'!T20/CPIs!X19*CPIs!X$56</f>
        <v>138.97564426275514</v>
      </c>
      <c r="U19" s="3">
        <f>'Country petrol prices nominal'!U20/CPIs!Y19*CPIs!Y$56</f>
        <v>8.9328078091205967</v>
      </c>
      <c r="V19" s="3">
        <f>'Country petrol prices nominal'!V20/CPIs!Z19*CPIs!Z$56</f>
        <v>2.1157900404593826</v>
      </c>
      <c r="W19" s="3">
        <f>'Country petrol prices nominal'!W20/CPIs!AB19*CPIs!AB$56</f>
        <v>97.943119060993368</v>
      </c>
    </row>
    <row r="20" spans="1:23">
      <c r="A20">
        <v>1981</v>
      </c>
      <c r="B20" s="3">
        <f>'Country petrol prices nominal'!B21/CPIs!B20*CPIs!B$56</f>
        <v>141.55931912105262</v>
      </c>
      <c r="C20" s="3">
        <f>'Country petrol prices nominal'!C21/CPIs!C20*CPIs!C$56</f>
        <v>169.12006068391466</v>
      </c>
      <c r="D20" s="3">
        <f>'Country petrol prices nominal'!D21/CPIs!D20*CPIs!D$56</f>
        <v>151.00278876427436</v>
      </c>
      <c r="E20" s="3">
        <f>'Country petrol prices nominal'!E21/CPIs!E20*CPIs!E$56</f>
        <v>99.363663505389923</v>
      </c>
      <c r="F20" s="3">
        <f>'Country petrol prices nominal'!F21/CPIs!F20*CPIs!F$56</f>
        <v>102.08080273169494</v>
      </c>
      <c r="G20" s="3"/>
      <c r="H20" s="3">
        <f>'Country petrol prices nominal'!H21/CPIs!I20*CPIs!I$56</f>
        <v>13.849376633305907</v>
      </c>
      <c r="I20" s="3">
        <f>'Country petrol prices nominal'!I21/CPIs!J20*CPIs!J$56</f>
        <v>146.58786670296917</v>
      </c>
      <c r="J20" s="3">
        <f>'Country petrol prices nominal'!J21/CPIs!K20*CPIs!K$56</f>
        <v>135.85624200756325</v>
      </c>
      <c r="K20" s="3">
        <f>'Country petrol prices nominal'!K21/CPIs!L20*CPIs!L$56</f>
        <v>137.7623989260226</v>
      </c>
      <c r="L20" s="3"/>
      <c r="M20" s="3">
        <f>'Country petrol prices nominal'!M21/CPIs!P20*CPIs!P$56</f>
        <v>161.17585913567524</v>
      </c>
      <c r="N20" s="3">
        <f>'Country petrol prices nominal'!N21/CPIs!R20*CPIs!R$56</f>
        <v>189.64805765780736</v>
      </c>
      <c r="O20" s="3">
        <f>'Country petrol prices nominal'!O21/CPIs!S20*CPIs!S$56</f>
        <v>196.60288183916549</v>
      </c>
      <c r="P20" s="9">
        <f>'Country petrol prices nominal'!P21/CPIs!T20*CPIs!T$56</f>
        <v>1485.5360920875264</v>
      </c>
      <c r="Q20" s="3">
        <f>'Country petrol prices nominal'!Q21/CPIs!U20*CPIs!U$56</f>
        <v>157.48153378633378</v>
      </c>
      <c r="R20" s="3">
        <f>'Country petrol prices nominal'!R21/CPIs!V20*CPIs!V$56</f>
        <v>2.4263293584503995</v>
      </c>
      <c r="S20" s="3">
        <f>'Country petrol prices nominal'!S21/CPIs!W20*CPIs!W$56</f>
        <v>14.064933354358967</v>
      </c>
      <c r="T20" s="3">
        <f>'Country petrol prices nominal'!T21/CPIs!X20*CPIs!X$56</f>
        <v>158.22481082866921</v>
      </c>
      <c r="U20" s="3">
        <f>'Country petrol prices nominal'!U21/CPIs!Y20*CPIs!Y$56</f>
        <v>9.5392834849782009</v>
      </c>
      <c r="V20" s="3">
        <f>'Country petrol prices nominal'!V21/CPIs!Z20*CPIs!Z$56</f>
        <v>2.1378255465729992</v>
      </c>
      <c r="W20" s="3">
        <f>'Country petrol prices nominal'!W21/CPIs!AB20*CPIs!AB$56</f>
        <v>98.17950891710413</v>
      </c>
    </row>
    <row r="21" spans="1:23">
      <c r="A21">
        <v>1982</v>
      </c>
      <c r="B21" s="3">
        <f>'Country petrol prices nominal'!B22/CPIs!B21*CPIs!B$56</f>
        <v>140.5698506761905</v>
      </c>
      <c r="C21" s="3">
        <f>'Country petrol prices nominal'!C22/CPIs!C21*CPIs!C$56</f>
        <v>172.58864266554119</v>
      </c>
      <c r="D21" s="3">
        <f>'Country petrol prices nominal'!D22/CPIs!D21*CPIs!D$56</f>
        <v>151.42655517661831</v>
      </c>
      <c r="E21" s="3">
        <f>'Country petrol prices nominal'!E22/CPIs!E21*CPIs!E$56</f>
        <v>99.187193255912817</v>
      </c>
      <c r="F21" s="3">
        <f>'Country petrol prices nominal'!F22/CPIs!F21*CPIs!F$56</f>
        <v>111.19254030813241</v>
      </c>
      <c r="G21" s="3"/>
      <c r="H21" s="3">
        <f>'Country petrol prices nominal'!H22/CPIs!I21*CPIs!I$56</f>
        <v>14.059369441242655</v>
      </c>
      <c r="I21" s="3">
        <f>'Country petrol prices nominal'!I22/CPIs!J21*CPIs!J$56</f>
        <v>139.92945866889136</v>
      </c>
      <c r="J21" s="3">
        <f>'Country petrol prices nominal'!J22/CPIs!K21*CPIs!K$56</f>
        <v>143.92667110931174</v>
      </c>
      <c r="K21" s="3">
        <f>'Country petrol prices nominal'!K22/CPIs!L21*CPIs!L$56</f>
        <v>128.24120740945258</v>
      </c>
      <c r="L21" s="3"/>
      <c r="M21" s="3">
        <f>'Country petrol prices nominal'!M22/CPIs!P21*CPIs!P$56</f>
        <v>167.03389477076917</v>
      </c>
      <c r="N21" s="3">
        <f>'Country petrol prices nominal'!N22/CPIs!R21*CPIs!R$56</f>
        <v>188.99772384715959</v>
      </c>
      <c r="O21" s="3">
        <f>'Country petrol prices nominal'!O22/CPIs!S21*CPIs!S$56</f>
        <v>204.91525403756881</v>
      </c>
      <c r="P21" s="9">
        <f>'Country petrol prices nominal'!P22/CPIs!T21*CPIs!T$56</f>
        <v>1434.0844850628198</v>
      </c>
      <c r="Q21" s="3">
        <f>'Country petrol prices nominal'!Q22/CPIs!U21*CPIs!U$56</f>
        <v>153.24495188110527</v>
      </c>
      <c r="R21" s="3">
        <f>'Country petrol prices nominal'!R22/CPIs!V21*CPIs!V$56</f>
        <v>2.4051692392722002</v>
      </c>
      <c r="S21" s="3">
        <f>'Country petrol prices nominal'!S22/CPIs!W21*CPIs!W$56</f>
        <v>13.382635005260569</v>
      </c>
      <c r="T21" s="3">
        <f>'Country petrol prices nominal'!T22/CPIs!X21*CPIs!X$56</f>
        <v>156.04738441006623</v>
      </c>
      <c r="U21" s="3">
        <f>'Country petrol prices nominal'!U22/CPIs!Y21*CPIs!Y$56</f>
        <v>9.8677938041761806</v>
      </c>
      <c r="V21" s="3">
        <f>'Country petrol prices nominal'!V22/CPIs!Z21*CPIs!Z$56</f>
        <v>2.0408271737452606</v>
      </c>
      <c r="W21" s="3">
        <f>'Country petrol prices nominal'!W22/CPIs!AB21*CPIs!AB$56</f>
        <v>84.382422960209738</v>
      </c>
    </row>
    <row r="22" spans="1:23">
      <c r="A22">
        <v>1983</v>
      </c>
      <c r="B22" s="3">
        <f>'Country petrol prices nominal'!B23/CPIs!B22*CPIs!B$56</f>
        <v>141.45652809113301</v>
      </c>
      <c r="C22" s="3">
        <f>'Country petrol prices nominal'!C23/CPIs!C22*CPIs!C$56</f>
        <v>163.64130072978742</v>
      </c>
      <c r="D22" s="3">
        <f>'Country petrol prices nominal'!D23/CPIs!D22*CPIs!D$56</f>
        <v>148.48188754877467</v>
      </c>
      <c r="E22" s="3">
        <f>'Country petrol prices nominal'!E23/CPIs!E22*CPIs!E$56</f>
        <v>101.73662589590553</v>
      </c>
      <c r="F22" s="3">
        <f>'Country petrol prices nominal'!F23/CPIs!F22*CPIs!F$56</f>
        <v>110.83921509166677</v>
      </c>
      <c r="G22" s="3"/>
      <c r="H22" s="3">
        <f>'Country petrol prices nominal'!H23/CPIs!I22*CPIs!I$56</f>
        <v>13.440099659147625</v>
      </c>
      <c r="I22" s="3">
        <f>'Country petrol prices nominal'!I23/CPIs!J22*CPIs!J$56</f>
        <v>136.8085696641719</v>
      </c>
      <c r="J22" s="3">
        <f>'Country petrol prices nominal'!J23/CPIs!K22*CPIs!K$56</f>
        <v>128.56792327700987</v>
      </c>
      <c r="K22" s="3">
        <f>'Country petrol prices nominal'!K23/CPIs!L22*CPIs!L$56</f>
        <v>122.65408476082686</v>
      </c>
      <c r="L22" s="3"/>
      <c r="M22" s="3">
        <f>'Country petrol prices nominal'!M23/CPIs!P22*CPIs!P$56</f>
        <v>173.8648590164818</v>
      </c>
      <c r="N22" s="3">
        <f>'Country petrol prices nominal'!N23/CPIs!R22*CPIs!R$56</f>
        <v>187.80161443179784</v>
      </c>
      <c r="O22" s="3">
        <f>'Country petrol prices nominal'!O23/CPIs!S22*CPIs!S$56</f>
        <v>185.35809031767033</v>
      </c>
      <c r="P22" s="9">
        <f>'Country petrol prices nominal'!P23/CPIs!T22*CPIs!T$56</f>
        <v>1377.0769276553383</v>
      </c>
      <c r="Q22" s="3">
        <f>'Country petrol prices nominal'!Q23/CPIs!U22*CPIs!U$56</f>
        <v>148.67193276763976</v>
      </c>
      <c r="R22" s="3">
        <f>'Country petrol prices nominal'!R23/CPIs!V22*CPIs!V$56</f>
        <v>2.3257473197494263</v>
      </c>
      <c r="S22" s="3">
        <f>'Country petrol prices nominal'!S23/CPIs!W22*CPIs!W$56</f>
        <v>13.19266243201441</v>
      </c>
      <c r="T22" s="3">
        <f>'Country petrol prices nominal'!T23/CPIs!X22*CPIs!X$56</f>
        <v>161.19999303831932</v>
      </c>
      <c r="U22" s="3">
        <f>'Country petrol prices nominal'!U23/CPIs!Y22*CPIs!Y$56</f>
        <v>9.5709392413045631</v>
      </c>
      <c r="V22" s="3">
        <f>'Country petrol prices nominal'!V23/CPIs!Z22*CPIs!Z$56</f>
        <v>1.9216150010647202</v>
      </c>
      <c r="W22" s="3">
        <f>'Country petrol prices nominal'!W23/CPIs!AB22*CPIs!AB$56</f>
        <v>78.40214572917948</v>
      </c>
    </row>
    <row r="23" spans="1:23">
      <c r="A23">
        <v>1984</v>
      </c>
      <c r="B23" s="3">
        <f>'Country petrol prices nominal'!B24/CPIs!B23*CPIs!B$56</f>
        <v>144.01257793600001</v>
      </c>
      <c r="C23" s="3">
        <f>'Country petrol prices nominal'!C24/CPIs!C23*CPIs!C$56</f>
        <v>159.62649974396862</v>
      </c>
      <c r="D23" s="3">
        <f>'Country petrol prices nominal'!D24/CPIs!D23*CPIs!D$56</f>
        <v>141.14234141636146</v>
      </c>
      <c r="E23" s="3">
        <f>'Country petrol prices nominal'!E24/CPIs!E23*CPIs!E$56</f>
        <v>100.41568437087631</v>
      </c>
      <c r="F23" s="3">
        <f>'Country petrol prices nominal'!F24/CPIs!F23*CPIs!F$56</f>
        <v>111.00655145789277</v>
      </c>
      <c r="G23" s="3"/>
      <c r="H23" s="3">
        <f>'Country petrol prices nominal'!H24/CPIs!I23*CPIs!I$56</f>
        <v>12.484016551996248</v>
      </c>
      <c r="I23" s="3">
        <f>'Country petrol prices nominal'!I24/CPIs!J23*CPIs!J$56</f>
        <v>131.62144614283227</v>
      </c>
      <c r="J23" s="3">
        <f>'Country petrol prices nominal'!J24/CPIs!K23*CPIs!K$56</f>
        <v>135.02341432825355</v>
      </c>
      <c r="K23" s="3">
        <f>'Country petrol prices nominal'!K24/CPIs!L23*CPIs!L$56</f>
        <v>122.08737446355612</v>
      </c>
      <c r="L23" s="3"/>
      <c r="M23" s="3">
        <f>'Country petrol prices nominal'!M24/CPIs!P23*CPIs!P$56</f>
        <v>168.77848925502607</v>
      </c>
      <c r="N23" s="3">
        <f>'Country petrol prices nominal'!N24/CPIs!R23*CPIs!R$56</f>
        <v>186.42711455686893</v>
      </c>
      <c r="O23" s="3">
        <f>'Country petrol prices nominal'!O24/CPIs!S23*CPIs!S$56</f>
        <v>173.87421596215492</v>
      </c>
      <c r="P23" s="9">
        <f>'Country petrol prices nominal'!P24/CPIs!T23*CPIs!T$56</f>
        <v>1377.4543272679527</v>
      </c>
      <c r="Q23" s="3">
        <f>'Country petrol prices nominal'!Q24/CPIs!U23*CPIs!U$56</f>
        <v>149.82365733220249</v>
      </c>
      <c r="R23" s="3">
        <f>'Country petrol prices nominal'!R24/CPIs!V23*CPIs!V$56</f>
        <v>2.4566394609955222</v>
      </c>
      <c r="S23" s="3">
        <f>'Country petrol prices nominal'!S24/CPIs!W23*CPIs!W$56</f>
        <v>13.120105936786942</v>
      </c>
      <c r="T23" s="3">
        <f>'Country petrol prices nominal'!T24/CPIs!X23*CPIs!X$56</f>
        <v>145.82059317333466</v>
      </c>
      <c r="U23" s="3">
        <f>'Country petrol prices nominal'!U24/CPIs!Y23*CPIs!Y$56</f>
        <v>8.926870074041906</v>
      </c>
      <c r="V23" s="3">
        <f>'Country petrol prices nominal'!V24/CPIs!Z23*CPIs!Z$56</f>
        <v>1.8665560768524128</v>
      </c>
      <c r="W23" s="3">
        <f>'Country petrol prices nominal'!W24/CPIs!AB23*CPIs!AB$56</f>
        <v>73.279939149805543</v>
      </c>
    </row>
    <row r="24" spans="1:23">
      <c r="A24">
        <v>1985</v>
      </c>
      <c r="B24" s="3">
        <f>'Country petrol prices nominal'!B25/CPIs!B24*CPIs!B$56</f>
        <v>152.93464991194691</v>
      </c>
      <c r="C24" s="3">
        <f>'Country petrol prices nominal'!C25/CPIs!C24*CPIs!C$56</f>
        <v>161.35582942704769</v>
      </c>
      <c r="D24" s="3">
        <f>'Country petrol prices nominal'!D25/CPIs!D24*CPIs!D$56</f>
        <v>142.82050477334175</v>
      </c>
      <c r="E24" s="3">
        <f>'Country petrol prices nominal'!E25/CPIs!E24*CPIs!E$56</f>
        <v>100.48537847591663</v>
      </c>
      <c r="F24" s="3">
        <f>'Country petrol prices nominal'!F25/CPIs!F24*CPIs!F$56</f>
        <v>112.82608765203086</v>
      </c>
      <c r="G24" s="3"/>
      <c r="H24" s="3">
        <f>'Country petrol prices nominal'!H25/CPIs!I24*CPIs!I$56</f>
        <v>12.223276295556671</v>
      </c>
      <c r="I24" s="3">
        <f>'Country petrol prices nominal'!I25/CPIs!J24*CPIs!J$56</f>
        <v>127.19503975610058</v>
      </c>
      <c r="J24" s="3">
        <f>'Country petrol prices nominal'!J25/CPIs!K24*CPIs!K$56</f>
        <v>161.32709489895231</v>
      </c>
      <c r="K24" s="3">
        <f>'Country petrol prices nominal'!K25/CPIs!L24*CPIs!L$56</f>
        <v>123.23312196561135</v>
      </c>
      <c r="L24" s="3"/>
      <c r="M24" s="3">
        <f>'Country petrol prices nominal'!M25/CPIs!P24*CPIs!P$56</f>
        <v>170.58603564464747</v>
      </c>
      <c r="N24" s="3">
        <f>'Country petrol prices nominal'!N25/CPIs!R24*CPIs!R$56</f>
        <v>174.91071652361873</v>
      </c>
      <c r="O24" s="3">
        <f>'Country petrol prices nominal'!O25/CPIs!S24*CPIs!S$56</f>
        <v>164.66634711626816</v>
      </c>
      <c r="P24" s="9">
        <f>'Country petrol prices nominal'!P25/CPIs!T24*CPIs!T$56</f>
        <v>1370.2865133126293</v>
      </c>
      <c r="Q24" s="3">
        <f>'Country petrol prices nominal'!Q25/CPIs!U24*CPIs!U$56</f>
        <v>149.23679576669338</v>
      </c>
      <c r="R24" s="3">
        <f>'Country petrol prices nominal'!R25/CPIs!V24*CPIs!V$56</f>
        <v>2.4846642418891824</v>
      </c>
      <c r="S24" s="3">
        <f>'Country petrol prices nominal'!S25/CPIs!W24*CPIs!W$56</f>
        <v>12.240820744371767</v>
      </c>
      <c r="T24" s="3">
        <f>'Country petrol prices nominal'!T25/CPIs!X24*CPIs!X$56</f>
        <v>140.38543618533745</v>
      </c>
      <c r="U24" s="3">
        <f>'Country petrol prices nominal'!U25/CPIs!Y24*CPIs!Y$56</f>
        <v>9.1903349166396975</v>
      </c>
      <c r="V24" s="3">
        <f>'Country petrol prices nominal'!V25/CPIs!Z24*CPIs!Z$56</f>
        <v>1.8150921292467757</v>
      </c>
      <c r="W24" s="3">
        <f>'Country petrol prices nominal'!W25/CPIs!AB24*CPIs!AB$56</f>
        <v>70.220463817565317</v>
      </c>
    </row>
    <row r="25" spans="1:23">
      <c r="A25">
        <v>1986</v>
      </c>
      <c r="B25" s="3">
        <f>'Country petrol prices nominal'!B26/CPIs!B25*CPIs!B$56</f>
        <v>139.57330646027214</v>
      </c>
      <c r="C25" s="3">
        <f>'Country petrol prices nominal'!C26/CPIs!C25*CPIs!C$56</f>
        <v>127.04683726080786</v>
      </c>
      <c r="D25" s="3">
        <f>'Country petrol prices nominal'!D26/CPIs!D25*CPIs!D$56</f>
        <v>106.6344870800324</v>
      </c>
      <c r="E25" s="3">
        <f>'Country petrol prices nominal'!E26/CPIs!E25*CPIs!E$56</f>
        <v>84.286309312891291</v>
      </c>
      <c r="F25" s="3">
        <f>'Country petrol prices nominal'!F26/CPIs!F25*CPIs!F$56</f>
        <v>96.633535193590092</v>
      </c>
      <c r="G25" s="3"/>
      <c r="H25" s="3">
        <f>'Country petrol prices nominal'!H26/CPIs!I25*CPIs!I$56</f>
        <v>12.344799983443723</v>
      </c>
      <c r="I25" s="3">
        <f>'Country petrol prices nominal'!I26/CPIs!J25*CPIs!J$56</f>
        <v>100.74857800182772</v>
      </c>
      <c r="J25" s="3">
        <f>'Country petrol prices nominal'!J26/CPIs!K25*CPIs!K$56</f>
        <v>124.95428007873038</v>
      </c>
      <c r="K25" s="3">
        <f>'Country petrol prices nominal'!K26/CPIs!L25*CPIs!L$56</f>
        <v>92.129323944738701</v>
      </c>
      <c r="L25" s="3"/>
      <c r="M25" s="3">
        <f>'Country petrol prices nominal'!M26/CPIs!P25*CPIs!P$56</f>
        <v>146.32045162374004</v>
      </c>
      <c r="N25" s="3">
        <f>'Country petrol prices nominal'!N26/CPIs!R25*CPIs!R$56</f>
        <v>160.0045895375566</v>
      </c>
      <c r="O25" s="3">
        <f>'Country petrol prices nominal'!O26/CPIs!S25*CPIs!S$56</f>
        <v>143.78580535839029</v>
      </c>
      <c r="P25" s="9">
        <f>'Country petrol prices nominal'!P26/CPIs!T25*CPIs!T$56</f>
        <v>1158.5186806600288</v>
      </c>
      <c r="Q25" s="3">
        <f>'Country petrol prices nominal'!Q26/CPIs!U25*CPIs!U$56</f>
        <v>120.7135997355669</v>
      </c>
      <c r="R25" s="3">
        <f>'Country petrol prices nominal'!R26/CPIs!V25*CPIs!V$56</f>
        <v>1.9488198522307201</v>
      </c>
      <c r="S25" s="3">
        <f>'Country petrol prices nominal'!S26/CPIs!W25*CPIs!W$56</f>
        <v>10.595373502607753</v>
      </c>
      <c r="T25" s="3">
        <f>'Country petrol prices nominal'!T26/CPIs!X25*CPIs!X$56</f>
        <v>117.86833880458843</v>
      </c>
      <c r="U25" s="3">
        <f>'Country petrol prices nominal'!U26/CPIs!Y25*CPIs!Y$56</f>
        <v>7.838617152597406</v>
      </c>
      <c r="V25" s="3">
        <f>'Country petrol prices nominal'!V26/CPIs!Z25*CPIs!Z$56</f>
        <v>1.4419681288585982</v>
      </c>
      <c r="W25" s="3">
        <f>'Country petrol prices nominal'!W26/CPIs!AB25*CPIs!AB$56</f>
        <v>52.248372500299723</v>
      </c>
    </row>
    <row r="26" spans="1:23">
      <c r="A26">
        <v>1987</v>
      </c>
      <c r="B26" s="3">
        <f>'Country petrol prices nominal'!B27/CPIs!B26*CPIs!B$56</f>
        <v>134.54706422164179</v>
      </c>
      <c r="C26" s="3">
        <f>'Country petrol prices nominal'!C27/CPIs!C26*CPIs!C$56</f>
        <v>122.04082248536454</v>
      </c>
      <c r="D26" s="3">
        <f>'Country petrol prices nominal'!D27/CPIs!D26*CPIs!D$56</f>
        <v>102.17689683589869</v>
      </c>
      <c r="E26" s="3">
        <f>'Country petrol prices nominal'!E27/CPIs!E26*CPIs!E$56</f>
        <v>81.997764236554971</v>
      </c>
      <c r="F26" s="3">
        <f>'Country petrol prices nominal'!F27/CPIs!F26*CPIs!F$56</f>
        <v>96.749892118351895</v>
      </c>
      <c r="G26" s="3"/>
      <c r="H26" s="3">
        <f>'Country petrol prices nominal'!H27/CPIs!I26*CPIs!I$56</f>
        <v>12.257295451537431</v>
      </c>
      <c r="I26" s="3">
        <f>'Country petrol prices nominal'!I27/CPIs!J26*CPIs!J$56</f>
        <v>99.711832373798757</v>
      </c>
      <c r="J26" s="3">
        <f>'Country petrol prices nominal'!J27/CPIs!K26*CPIs!K$56</f>
        <v>128.62903028111307</v>
      </c>
      <c r="K26" s="3">
        <f>'Country petrol prices nominal'!K27/CPIs!L26*CPIs!L$56</f>
        <v>89.256913703114478</v>
      </c>
      <c r="L26" s="3"/>
      <c r="M26" s="3">
        <f>'Country petrol prices nominal'!M27/CPIs!P26*CPIs!P$56</f>
        <v>141.51866528334344</v>
      </c>
      <c r="N26" s="3">
        <f>'Country petrol prices nominal'!N27/CPIs!R26*CPIs!R$56</f>
        <v>154.71120690441992</v>
      </c>
      <c r="O26" s="3">
        <f>'Country petrol prices nominal'!O27/CPIs!S26*CPIs!S$56</f>
        <v>141.32765917371702</v>
      </c>
      <c r="P26" s="9">
        <f>'Country petrol prices nominal'!P27/CPIs!T26*CPIs!T$56</f>
        <v>1199.7707641943657</v>
      </c>
      <c r="Q26" s="3">
        <f>'Country petrol prices nominal'!Q27/CPIs!U26*CPIs!U$56</f>
        <v>129.9256957508909</v>
      </c>
      <c r="R26" s="3">
        <f>'Country petrol prices nominal'!R27/CPIs!V26*CPIs!V$56</f>
        <v>1.8296577322551717</v>
      </c>
      <c r="S26" s="3">
        <f>'Country petrol prices nominal'!S27/CPIs!W26*CPIs!W$56</f>
        <v>10.437165900083537</v>
      </c>
      <c r="T26" s="3">
        <f>'Country petrol prices nominal'!T27/CPIs!X26*CPIs!X$56</f>
        <v>117.481458232446</v>
      </c>
      <c r="U26" s="3">
        <f>'Country petrol prices nominal'!U27/CPIs!Y26*CPIs!Y$56</f>
        <v>7.6053413977347795</v>
      </c>
      <c r="V26" s="3">
        <f>'Country petrol prices nominal'!V27/CPIs!Z26*CPIs!Z$56</f>
        <v>1.4024541660786507</v>
      </c>
      <c r="W26" s="3">
        <f>'Country petrol prices nominal'!W27/CPIs!AB26*CPIs!AB$56</f>
        <v>52.017994201578944</v>
      </c>
    </row>
    <row r="27" spans="1:23">
      <c r="A27">
        <v>1988</v>
      </c>
      <c r="B27" s="3">
        <f>'Country petrol prices nominal'!B28/CPIs!B27*CPIs!B$56</f>
        <v>121.51549554913095</v>
      </c>
      <c r="C27" s="3">
        <f>'Country petrol prices nominal'!C28/CPIs!C27*CPIs!C$56</f>
        <v>115.52051177583431</v>
      </c>
      <c r="D27" s="3">
        <f>'Country petrol prices nominal'!D28/CPIs!D27*CPIs!D$56</f>
        <v>100.51913749585978</v>
      </c>
      <c r="E27" s="3">
        <f>'Country petrol prices nominal'!E28/CPIs!E27*CPIs!E$56</f>
        <v>77.821390401924418</v>
      </c>
      <c r="F27" s="3">
        <f>'Country petrol prices nominal'!F28/CPIs!F27*CPIs!F$56</f>
        <v>91.69273687227772</v>
      </c>
      <c r="G27" s="3"/>
      <c r="H27" s="3">
        <f>'Country petrol prices nominal'!H28/CPIs!I27*CPIs!I$56</f>
        <v>11.53902386977038</v>
      </c>
      <c r="I27" s="3">
        <f>'Country petrol prices nominal'!I28/CPIs!J27*CPIs!J$56</f>
        <v>97.879269871267141</v>
      </c>
      <c r="J27" s="3">
        <f>'Country petrol prices nominal'!J28/CPIs!K27*CPIs!K$56</f>
        <v>113.22776298349685</v>
      </c>
      <c r="K27" s="3">
        <f>'Country petrol prices nominal'!K28/CPIs!L27*CPIs!L$56</f>
        <v>85.967699388897188</v>
      </c>
      <c r="L27" s="3"/>
      <c r="M27" s="3">
        <f>'Country petrol prices nominal'!M28/CPIs!P27*CPIs!P$56</f>
        <v>136.40933893849893</v>
      </c>
      <c r="N27" s="3">
        <f>'Country petrol prices nominal'!N28/CPIs!R27*CPIs!R$56</f>
        <v>154.48822960064876</v>
      </c>
      <c r="O27" s="3">
        <f>'Country petrol prices nominal'!O28/CPIs!S27*CPIs!S$56</f>
        <v>134.515955031103</v>
      </c>
      <c r="P27" s="9">
        <f>'Country petrol prices nominal'!P28/CPIs!T27*CPIs!T$56</f>
        <v>1104.7342738927675</v>
      </c>
      <c r="Q27" s="3">
        <f>'Country petrol prices nominal'!Q28/CPIs!U27*CPIs!U$56</f>
        <v>127.76683243568104</v>
      </c>
      <c r="R27" s="3">
        <f>'Country petrol prices nominal'!R28/CPIs!V27*CPIs!V$56</f>
        <v>1.7159442249018462</v>
      </c>
      <c r="S27" s="3">
        <f>'Country petrol prices nominal'!S28/CPIs!W27*CPIs!W$56</f>
        <v>10.27592421049877</v>
      </c>
      <c r="T27" s="3">
        <f>'Country petrol prices nominal'!T28/CPIs!X27*CPIs!X$56</f>
        <v>102.06001144784615</v>
      </c>
      <c r="U27" s="3">
        <f>'Country petrol prices nominal'!U28/CPIs!Y27*CPIs!Y$56</f>
        <v>7.6594287378149595</v>
      </c>
      <c r="V27" s="3">
        <f>'Country petrol prices nominal'!V28/CPIs!Z27*CPIs!Z$56</f>
        <v>1.3649032115531723</v>
      </c>
      <c r="W27" s="3">
        <f>'Country petrol prices nominal'!W28/CPIs!AB27*CPIs!AB$56</f>
        <v>49.792955964836139</v>
      </c>
    </row>
    <row r="28" spans="1:23">
      <c r="A28">
        <v>1989</v>
      </c>
      <c r="B28" s="3">
        <f>'Country petrol prices nominal'!B29/CPIs!B28*CPIs!B$56</f>
        <v>118.19289318110152</v>
      </c>
      <c r="C28" s="3">
        <f>'Country petrol prices nominal'!C29/CPIs!C28*CPIs!C$56</f>
        <v>121.34780636316347</v>
      </c>
      <c r="D28" s="3">
        <f>'Country petrol prices nominal'!D29/CPIs!D28*CPIs!D$56</f>
        <v>115.91998567843245</v>
      </c>
      <c r="E28" s="3">
        <f>'Country petrol prices nominal'!E29/CPIs!E28*CPIs!E$56</f>
        <v>79.910650280690433</v>
      </c>
      <c r="F28" s="3">
        <f>'Country petrol prices nominal'!F29/CPIs!F28*CPIs!F$56</f>
        <v>91.340610807309631</v>
      </c>
      <c r="G28" s="3"/>
      <c r="H28" s="3">
        <f>'Country petrol prices nominal'!H29/CPIs!I28*CPIs!I$56</f>
        <v>11.553296928802975</v>
      </c>
      <c r="I28" s="3">
        <f>'Country petrol prices nominal'!I29/CPIs!J28*CPIs!J$56</f>
        <v>96.795877816582134</v>
      </c>
      <c r="J28" s="3">
        <f>'Country petrol prices nominal'!J29/CPIs!K28*CPIs!K$56</f>
        <v>130.34954972873354</v>
      </c>
      <c r="K28" s="3">
        <f>'Country petrol prices nominal'!K29/CPIs!L28*CPIs!L$56</f>
        <v>101.09692324284767</v>
      </c>
      <c r="L28" s="3"/>
      <c r="M28" s="3">
        <f>'Country petrol prices nominal'!M29/CPIs!P28*CPIs!P$56</f>
        <v>139.40985977213222</v>
      </c>
      <c r="N28" s="3">
        <f>'Country petrol prices nominal'!N29/CPIs!R28*CPIs!R$56</f>
        <v>147.07314448590148</v>
      </c>
      <c r="O28" s="3">
        <f>'Country petrol prices nominal'!O29/CPIs!S28*CPIs!S$56</f>
        <v>135.00545752621042</v>
      </c>
      <c r="P28" s="9">
        <f>'Country petrol prices nominal'!P29/CPIs!T28*CPIs!T$56</f>
        <v>1119.147030382381</v>
      </c>
      <c r="Q28" s="3">
        <f>'Country petrol prices nominal'!Q29/CPIs!U28*CPIs!U$56</f>
        <v>140.25750427040936</v>
      </c>
      <c r="R28" s="3">
        <f>'Country petrol prices nominal'!R29/CPIs!V28*CPIs!V$56</f>
        <v>1.6357787758454971</v>
      </c>
      <c r="S28" s="3">
        <f>'Country petrol prices nominal'!S29/CPIs!W28*CPIs!W$56</f>
        <v>10.604142157276769</v>
      </c>
      <c r="T28" s="3">
        <f>'Country petrol prices nominal'!T29/CPIs!X28*CPIs!X$56</f>
        <v>110.87691325122195</v>
      </c>
      <c r="U28" s="3">
        <f>'Country petrol prices nominal'!U29/CPIs!Y28*CPIs!Y$56</f>
        <v>7.7478310703533344</v>
      </c>
      <c r="V28" s="3">
        <f>'Country petrol prices nominal'!V29/CPIs!Z28*CPIs!Z$56</f>
        <v>1.4470190099195079</v>
      </c>
      <c r="W28" s="3">
        <f>'Country petrol prices nominal'!W29/CPIs!AB28*CPIs!AB$56</f>
        <v>51.573742523945235</v>
      </c>
    </row>
    <row r="29" spans="1:23">
      <c r="A29">
        <v>1990</v>
      </c>
      <c r="B29" s="3">
        <f>'Country petrol prices nominal'!B30/CPIs!B29*CPIs!B$56</f>
        <v>134.07018743430001</v>
      </c>
      <c r="C29" s="3">
        <f>'Country petrol prices nominal'!C30/CPIs!C29*CPIs!C$56</f>
        <v>115.39307852018202</v>
      </c>
      <c r="D29" s="3">
        <f>'Country petrol prices nominal'!D30/CPIs!D29*CPIs!D$56</f>
        <v>113.22012614248879</v>
      </c>
      <c r="E29" s="3">
        <f>'Country petrol prices nominal'!E30/CPIs!E29*CPIs!E$56</f>
        <v>77.578497869277072</v>
      </c>
      <c r="F29" s="3">
        <f>'Country petrol prices nominal'!F30/CPIs!F29*CPIs!F$56</f>
        <v>95.520034873985338</v>
      </c>
      <c r="G29" s="3"/>
      <c r="H29" s="3">
        <f>'Country petrol prices nominal'!H30/CPIs!I29*CPIs!I$56</f>
        <v>9.0407640445705049</v>
      </c>
      <c r="I29" s="3">
        <f>'Country petrol prices nominal'!I30/CPIs!J29*CPIs!J$56</f>
        <v>96.173765165696352</v>
      </c>
      <c r="J29" s="3">
        <f>'Country petrol prices nominal'!J30/CPIs!K29*CPIs!K$56</f>
        <v>111.71842018034876</v>
      </c>
      <c r="K29" s="3">
        <f>'Country petrol prices nominal'!K30/CPIs!L29*CPIs!L$56</f>
        <v>90.277186882310559</v>
      </c>
      <c r="L29" s="3"/>
      <c r="M29" s="3">
        <f>'Country petrol prices nominal'!M30/CPIs!P29*CPIs!P$56</f>
        <v>115.77604299829822</v>
      </c>
      <c r="N29" s="3">
        <f>'Country petrol prices nominal'!N30/CPIs!R29*CPIs!R$56</f>
        <v>126.43620664669682</v>
      </c>
      <c r="O29" s="3">
        <f>'Country petrol prices nominal'!O30/CPIs!S29*CPIs!S$56</f>
        <v>133.17634803268186</v>
      </c>
      <c r="P29" s="9">
        <f>'Country petrol prices nominal'!P30/CPIs!T29*CPIs!T$56</f>
        <v>1103.6562400730422</v>
      </c>
      <c r="Q29" s="3">
        <f>'Country petrol prices nominal'!Q30/CPIs!U29*CPIs!U$56</f>
        <v>124.7243694960639</v>
      </c>
      <c r="R29" s="3">
        <f>'Country petrol prices nominal'!R30/CPIs!V29*CPIs!V$56</f>
        <v>1.6170400020750426</v>
      </c>
      <c r="S29" s="3">
        <f>'Country petrol prices nominal'!S30/CPIs!W29*CPIs!W$56</f>
        <v>12.726618631497118</v>
      </c>
      <c r="T29" s="3">
        <f>'Country petrol prices nominal'!T30/CPIs!X29*CPIs!X$56</f>
        <v>100.17209341795561</v>
      </c>
      <c r="U29" s="3">
        <f>'Country petrol prices nominal'!U30/CPIs!Y29*CPIs!Y$56</f>
        <v>8.534926548540513</v>
      </c>
      <c r="V29" s="3">
        <f>'Country petrol prices nominal'!V30/CPIs!Z29*CPIs!Z$56</f>
        <v>1.3336654699595185</v>
      </c>
      <c r="W29" s="3">
        <f>'Country petrol prices nominal'!W30/CPIs!AB29*CPIs!AB$56</f>
        <v>55.852033876271747</v>
      </c>
    </row>
    <row r="30" spans="1:23">
      <c r="A30">
        <v>1991</v>
      </c>
      <c r="B30" s="3">
        <f>'Country petrol prices nominal'!B31/CPIs!B30*CPIs!B$56</f>
        <v>124.36213668271607</v>
      </c>
      <c r="C30" s="3">
        <f>'Country petrol prices nominal'!C31/CPIs!C30*CPIs!C$56</f>
        <v>107.65178580064794</v>
      </c>
      <c r="D30" s="3">
        <f>'Country petrol prices nominal'!D31/CPIs!D30*CPIs!D$56</f>
        <v>116.90410042008089</v>
      </c>
      <c r="E30" s="3">
        <f>'Country petrol prices nominal'!E31/CPIs!E30*CPIs!E$56</f>
        <v>77.045645773279759</v>
      </c>
      <c r="F30" s="3">
        <f>'Country petrol prices nominal'!F31/CPIs!F30*CPIs!F$56</f>
        <v>90.099549276729832</v>
      </c>
      <c r="G30" s="3"/>
      <c r="H30" s="3">
        <f>'Country petrol prices nominal'!H31/CPIs!I30*CPIs!I$56</f>
        <v>8.4073033889648094</v>
      </c>
      <c r="I30" s="3">
        <f>'Country petrol prices nominal'!I31/CPIs!J30*CPIs!J$56</f>
        <v>94.590483582874327</v>
      </c>
      <c r="J30" s="3">
        <f>'Country petrol prices nominal'!J31/CPIs!K30*CPIs!K$56</f>
        <v>109.47738811640178</v>
      </c>
      <c r="K30" s="3">
        <f>'Country petrol prices nominal'!K31/CPIs!L30*CPIs!L$56</f>
        <v>97.687728290193988</v>
      </c>
      <c r="L30" s="3"/>
      <c r="M30" s="3">
        <f>'Country petrol prices nominal'!M31/CPIs!P30*CPIs!P$56</f>
        <v>111.5908644933789</v>
      </c>
      <c r="N30" s="3">
        <f>'Country petrol prices nominal'!N31/CPIs!R30*CPIs!R$56</f>
        <v>128.6917633121891</v>
      </c>
      <c r="O30" s="3">
        <f>'Country petrol prices nominal'!O31/CPIs!S30*CPIs!S$56</f>
        <v>131.17518536668575</v>
      </c>
      <c r="P30" s="9">
        <f>'Country petrol prices nominal'!P31/CPIs!T30*CPIs!T$56</f>
        <v>1140.2877809043898</v>
      </c>
      <c r="Q30" s="3">
        <f>'Country petrol prices nominal'!Q31/CPIs!U30*CPIs!U$56</f>
        <v>139.87680394924098</v>
      </c>
      <c r="R30" s="3">
        <f>'Country petrol prices nominal'!R31/CPIs!V30*CPIs!V$56</f>
        <v>1.5808697934283629</v>
      </c>
      <c r="S30" s="3">
        <f>'Country petrol prices nominal'!S31/CPIs!W30*CPIs!W$56</f>
        <v>12.162997520557878</v>
      </c>
      <c r="T30" s="3">
        <f>'Country petrol prices nominal'!T31/CPIs!X30*CPIs!X$56</f>
        <v>100.84138192497262</v>
      </c>
      <c r="U30" s="3">
        <f>'Country petrol prices nominal'!U31/CPIs!Y30*CPIs!Y$56</f>
        <v>9.9190100730605888</v>
      </c>
      <c r="V30" s="3">
        <f>'Country petrol prices nominal'!V31/CPIs!Z30*CPIs!Z$56</f>
        <v>1.2667102346247892</v>
      </c>
      <c r="W30" s="3">
        <f>'Country petrol prices nominal'!W31/CPIs!AB30*CPIs!AB$56</f>
        <v>52.426530464246994</v>
      </c>
    </row>
    <row r="31" spans="1:23">
      <c r="A31">
        <v>1992</v>
      </c>
      <c r="B31" s="3">
        <f>'Country petrol prices nominal'!B32/CPIs!B31*CPIs!B$56</f>
        <v>124.32829412646787</v>
      </c>
      <c r="C31" s="3">
        <f>'Country petrol prices nominal'!C32/CPIs!C31*CPIs!C$56</f>
        <v>108.73973777382733</v>
      </c>
      <c r="D31" s="3">
        <f>'Country petrol prices nominal'!D32/CPIs!D31*CPIs!D$56</f>
        <v>111.87581092492586</v>
      </c>
      <c r="E31" s="3">
        <f>'Country petrol prices nominal'!E32/CPIs!E31*CPIs!E$56</f>
        <v>75.365625301869841</v>
      </c>
      <c r="F31" s="3">
        <f>'Country petrol prices nominal'!F32/CPIs!F31*CPIs!F$56</f>
        <v>85.606064021152022</v>
      </c>
      <c r="G31" s="3"/>
      <c r="H31" s="3">
        <f>'Country petrol prices nominal'!H32/CPIs!I31*CPIs!I$56</f>
        <v>7.9226312245948076</v>
      </c>
      <c r="I31" s="3">
        <f>'Country petrol prices nominal'!I32/CPIs!J31*CPIs!J$56</f>
        <v>77.404597264554795</v>
      </c>
      <c r="J31" s="3">
        <f>'Country petrol prices nominal'!J32/CPIs!K31*CPIs!K$56</f>
        <v>103.62832450537249</v>
      </c>
      <c r="K31" s="3">
        <f>'Country petrol prices nominal'!K32/CPIs!L31*CPIs!L$56</f>
        <v>98.490274324452798</v>
      </c>
      <c r="L31" s="3"/>
      <c r="M31" s="3">
        <f>'Country petrol prices nominal'!M32/CPIs!P31*CPIs!P$56</f>
        <v>102.65663758435332</v>
      </c>
      <c r="N31" s="3">
        <f>'Country petrol prices nominal'!N32/CPIs!R31*CPIs!R$56</f>
        <v>126.83929624324117</v>
      </c>
      <c r="O31" s="3">
        <f>'Country petrol prices nominal'!O32/CPIs!S31*CPIs!S$56</f>
        <v>125.6302409168535</v>
      </c>
      <c r="P31" s="9">
        <f>'Country petrol prices nominal'!P32/CPIs!T31*CPIs!T$56</f>
        <v>1158.0722262107777</v>
      </c>
      <c r="Q31" s="3">
        <f>'Country petrol prices nominal'!Q32/CPIs!U31*CPIs!U$56</f>
        <v>128.39035521678798</v>
      </c>
      <c r="R31" s="3">
        <f>'Country petrol prices nominal'!R32/CPIs!V31*CPIs!V$56</f>
        <v>1.5949218200788693</v>
      </c>
      <c r="S31" s="3">
        <f>'Country petrol prices nominal'!S32/CPIs!W31*CPIs!W$56</f>
        <v>11.279024984885771</v>
      </c>
      <c r="T31" s="3">
        <f>'Country petrol prices nominal'!T32/CPIs!X31*CPIs!X$56</f>
        <v>93.734899099260574</v>
      </c>
      <c r="U31" s="3">
        <f>'Country petrol prices nominal'!U32/CPIs!Y31*CPIs!Y$56</f>
        <v>8.1478094779980044</v>
      </c>
      <c r="V31" s="3">
        <f>'Country petrol prices nominal'!V32/CPIs!Z31*CPIs!Z$56</f>
        <v>1.0796365029011139</v>
      </c>
      <c r="W31" s="3">
        <f>'Country petrol prices nominal'!W32/CPIs!AB31*CPIs!AB$56</f>
        <v>50.176546605024804</v>
      </c>
    </row>
    <row r="32" spans="1:23">
      <c r="A32">
        <v>1993</v>
      </c>
      <c r="B32" s="3">
        <f>'Country petrol prices nominal'!B33/CPIs!B32*CPIs!B$56</f>
        <v>122.59592031033212</v>
      </c>
      <c r="C32" s="3">
        <f>'Country petrol prices nominal'!C33/CPIs!C32*CPIs!C$56</f>
        <v>104.32451385185833</v>
      </c>
      <c r="D32" s="3">
        <f>'Country petrol prices nominal'!D33/CPIs!D32*CPIs!D$56</f>
        <v>111.46349967434516</v>
      </c>
      <c r="E32" s="3">
        <f>'Country petrol prices nominal'!E33/CPIs!E32*CPIs!E$56</f>
        <v>79.255547027468083</v>
      </c>
      <c r="F32" s="3">
        <f>'Country petrol prices nominal'!F33/CPIs!F32*CPIs!F$56</f>
        <v>83.072714520530127</v>
      </c>
      <c r="G32" s="3">
        <f>'Country petrol prices nominal'!G33/CPIs!G32*CPIs!G$56</f>
        <v>0</v>
      </c>
      <c r="H32" s="3">
        <f>'Country petrol prices nominal'!H33/CPIs!I32*CPIs!I$56</f>
        <v>8.0926497585723816</v>
      </c>
      <c r="I32" s="3">
        <f>'Country petrol prices nominal'!I33/CPIs!J32*CPIs!J$56</f>
        <v>101.42446556351027</v>
      </c>
      <c r="J32" s="3">
        <f>'Country petrol prices nominal'!J33/CPIs!K32*CPIs!K$56</f>
        <v>104.61184356811621</v>
      </c>
      <c r="K32" s="3">
        <f>'Country petrol prices nominal'!K33/CPIs!L32*CPIs!L$56</f>
        <v>93.878538737966451</v>
      </c>
      <c r="L32" s="3"/>
      <c r="M32" s="3">
        <f>'Country petrol prices nominal'!M33/CPIs!P32*CPIs!P$56</f>
        <v>101.60393616041587</v>
      </c>
      <c r="N32" s="3">
        <f>'Country petrol prices nominal'!N33/CPIs!R32*CPIs!R$56</f>
        <v>160.72370274821623</v>
      </c>
      <c r="O32" s="3">
        <f>'Country petrol prices nominal'!O33/CPIs!S32*CPIs!S$56</f>
        <v>122.02724619439809</v>
      </c>
      <c r="P32" s="9">
        <f>'Country petrol prices nominal'!P33/CPIs!T32*CPIs!T$56</f>
        <v>1175.5503373093209</v>
      </c>
      <c r="Q32" s="3">
        <f>'Country petrol prices nominal'!Q33/CPIs!U32*CPIs!U$56</f>
        <v>125.76437498395197</v>
      </c>
      <c r="R32" s="3">
        <f>'Country petrol prices nominal'!R33/CPIs!V32*CPIs!V$56</f>
        <v>1.5500478581150769</v>
      </c>
      <c r="S32" s="3">
        <f>'Country petrol prices nominal'!S33/CPIs!W32*CPIs!W$56</f>
        <v>11.389333030729016</v>
      </c>
      <c r="T32" s="3">
        <f>'Country petrol prices nominal'!T33/CPIs!X32*CPIs!X$56</f>
        <v>95.936671502941422</v>
      </c>
      <c r="U32" s="3">
        <f>'Country petrol prices nominal'!U33/CPIs!Y32*CPIs!Y$56</f>
        <v>8.8873354159116502</v>
      </c>
      <c r="V32" s="3">
        <f>'Country petrol prices nominal'!V33/CPIs!Z32*CPIs!Z$56</f>
        <v>1.2929365153060142</v>
      </c>
      <c r="W32" s="3">
        <f>'Country petrol prices nominal'!W33/CPIs!AB32*CPIs!AB$56</f>
        <v>47.844725274820817</v>
      </c>
    </row>
    <row r="33" spans="1:23">
      <c r="A33">
        <v>1994</v>
      </c>
      <c r="B33" s="3">
        <f>'Country petrol prices nominal'!B34/CPIs!B33*CPIs!B$56</f>
        <v>119.11148145</v>
      </c>
      <c r="C33" s="3">
        <f>'Country petrol prices nominal'!C34/CPIs!C33*CPIs!C$56</f>
        <v>105.56594153312162</v>
      </c>
      <c r="D33" s="3">
        <f>'Country petrol prices nominal'!D34/CPIs!D33*CPIs!D$56</f>
        <v>108.92864348006169</v>
      </c>
      <c r="E33" s="3">
        <f>'Country petrol prices nominal'!E34/CPIs!E33*CPIs!E$56</f>
        <v>81.090835042379567</v>
      </c>
      <c r="F33" s="3">
        <f>'Country petrol prices nominal'!F34/CPIs!F33*CPIs!F$56</f>
        <v>81.971039094295122</v>
      </c>
      <c r="G33" s="3">
        <f>'Country petrol prices nominal'!G34/CPIs!G33*CPIs!G$56</f>
        <v>0</v>
      </c>
      <c r="H33" s="3">
        <f>'Country petrol prices nominal'!H34/CPIs!I33*CPIs!I$56</f>
        <v>8.1901984373593653</v>
      </c>
      <c r="I33" s="3">
        <f>'Country petrol prices nominal'!I34/CPIs!J33*CPIs!J$56</f>
        <v>110.21848165071286</v>
      </c>
      <c r="J33" s="3">
        <f>'Country petrol prices nominal'!J34/CPIs!K33*CPIs!K$56</f>
        <v>105.35285330356916</v>
      </c>
      <c r="K33" s="3">
        <f>'Country petrol prices nominal'!K34/CPIs!L33*CPIs!L$56</f>
        <v>102.58945263946227</v>
      </c>
      <c r="L33" s="3"/>
      <c r="M33" s="3">
        <f>'Country petrol prices nominal'!M34/CPIs!P33*CPIs!P$56</f>
        <v>99.45889250013721</v>
      </c>
      <c r="N33" s="3">
        <f>'Country petrol prices nominal'!N34/CPIs!R33*CPIs!R$56</f>
        <v>170.81535756663342</v>
      </c>
      <c r="O33" s="3">
        <f>'Country petrol prices nominal'!O34/CPIs!S33*CPIs!S$56</f>
        <v>121.68033603495529</v>
      </c>
      <c r="P33" s="9">
        <f>'Country petrol prices nominal'!P34/CPIs!T33*CPIs!T$56</f>
        <v>1128.3603494579143</v>
      </c>
      <c r="Q33" s="3">
        <f>'Country petrol prices nominal'!Q34/CPIs!U33*CPIs!U$56</f>
        <v>135.16019179501427</v>
      </c>
      <c r="R33" s="3">
        <f>'Country petrol prices nominal'!R34/CPIs!V33*CPIs!V$56</f>
        <v>1.4369793812620337</v>
      </c>
      <c r="S33" s="3">
        <f>'Country petrol prices nominal'!S34/CPIs!W33*CPIs!W$56</f>
        <v>13.231844774891609</v>
      </c>
      <c r="T33" s="3">
        <f>'Country petrol prices nominal'!T34/CPIs!X33*CPIs!X$56</f>
        <v>108.59116063373716</v>
      </c>
      <c r="U33" s="3">
        <f>'Country petrol prices nominal'!U34/CPIs!Y33*CPIs!Y$56</f>
        <v>9.4650734901430482</v>
      </c>
      <c r="V33" s="3">
        <f>'Country petrol prices nominal'!V34/CPIs!Z33*CPIs!Z$56</f>
        <v>1.2732584139562384</v>
      </c>
      <c r="W33" s="3">
        <f>'Country petrol prices nominal'!W34/CPIs!AB33*CPIs!AB$56</f>
        <v>47.02000086254602</v>
      </c>
    </row>
    <row r="34" spans="1:23">
      <c r="A34">
        <v>1995</v>
      </c>
      <c r="B34" s="3">
        <f>'Country petrol prices nominal'!B35/CPIs!B34*CPIs!B$56</f>
        <v>119.83801975065848</v>
      </c>
      <c r="C34" s="3">
        <f>'Country petrol prices nominal'!C35/CPIs!C34*CPIs!C$56</f>
        <v>113.65533894120901</v>
      </c>
      <c r="D34" s="3">
        <f>'Country petrol prices nominal'!D35/CPIs!D34*CPIs!D$56</f>
        <v>103.14751596245399</v>
      </c>
      <c r="E34" s="3">
        <f>'Country petrol prices nominal'!E35/CPIs!E34*CPIs!E$56</f>
        <v>82.825694084891154</v>
      </c>
      <c r="F34" s="3">
        <f>'Country petrol prices nominal'!F35/CPIs!F34*CPIs!F$56</f>
        <v>83.393660037588873</v>
      </c>
      <c r="G34" s="3">
        <f>'Country petrol prices nominal'!G35/CPIs!G34*CPIs!G$56</f>
        <v>3.6247375715442769</v>
      </c>
      <c r="H34" s="3">
        <f>'Country petrol prices nominal'!H35/CPIs!I34*CPIs!I$56</f>
        <v>8.7038782572932831</v>
      </c>
      <c r="I34" s="3">
        <f>'Country petrol prices nominal'!I35/CPIs!J34*CPIs!J$56</f>
        <v>111.35067697221315</v>
      </c>
      <c r="J34" s="3">
        <f>'Country petrol prices nominal'!J35/CPIs!K34*CPIs!K$56</f>
        <v>106.8328649203777</v>
      </c>
      <c r="K34" s="3">
        <f>'Country petrol prices nominal'!K35/CPIs!L34*CPIs!L$56</f>
        <v>100.3489181232253</v>
      </c>
      <c r="L34" s="3"/>
      <c r="M34" s="3">
        <f>'Country petrol prices nominal'!M35/CPIs!P34*CPIs!P$56</f>
        <v>97.788496963539117</v>
      </c>
      <c r="N34" s="3">
        <f>'Country petrol prices nominal'!N35/CPIs!R34*CPIs!R$56</f>
        <v>137.01207638219307</v>
      </c>
      <c r="O34" s="3">
        <f>'Country petrol prices nominal'!O35/CPIs!S34*CPIs!S$56</f>
        <v>113.18308249065622</v>
      </c>
      <c r="P34" s="9">
        <f>'Country petrol prices nominal'!P35/CPIs!T34*CPIs!T$56</f>
        <v>1107.1951741105447</v>
      </c>
      <c r="Q34" s="3">
        <f>'Country petrol prices nominal'!Q35/CPIs!U34*CPIs!U$56</f>
        <v>127.57655297036631</v>
      </c>
      <c r="R34" s="3">
        <f>'Country petrol prices nominal'!R35/CPIs!V34*CPIs!V$56</f>
        <v>1.3852422185669706</v>
      </c>
      <c r="S34" s="3">
        <f>'Country petrol prices nominal'!S35/CPIs!W34*CPIs!W$56</f>
        <v>12.867079592364506</v>
      </c>
      <c r="T34" s="3">
        <f>'Country petrol prices nominal'!T35/CPIs!X34*CPIs!X$56</f>
        <v>109.11787628166799</v>
      </c>
      <c r="U34" s="3">
        <f>'Country petrol prices nominal'!U35/CPIs!Y34*CPIs!Y$56</f>
        <v>9.600348208944677</v>
      </c>
      <c r="V34" s="3">
        <f>'Country petrol prices nominal'!V35/CPIs!Z34*CPIs!Z$56</f>
        <v>1.2436778265793795</v>
      </c>
      <c r="W34" s="3">
        <f>'Country petrol prices nominal'!W35/CPIs!AB34*CPIs!AB$56</f>
        <v>47.211597439373776</v>
      </c>
    </row>
    <row r="35" spans="1:23">
      <c r="A35">
        <v>1996</v>
      </c>
      <c r="B35" s="3">
        <f>'Country petrol prices nominal'!B36/CPIs!B35*CPIs!B$56</f>
        <v>117.92157433150801</v>
      </c>
      <c r="C35" s="3">
        <f>'Country petrol prices nominal'!C36/CPIs!C35*CPIs!C$56</f>
        <v>114.25332690061512</v>
      </c>
      <c r="D35" s="3">
        <f>'Country petrol prices nominal'!D36/CPIs!D35*CPIs!D$56</f>
        <v>110.46054258436648</v>
      </c>
      <c r="E35" s="3">
        <f>'Country petrol prices nominal'!E36/CPIs!E35*CPIs!E$56</f>
        <v>85.095257947219238</v>
      </c>
      <c r="F35" s="3">
        <f>'Country petrol prices nominal'!F36/CPIs!F35*CPIs!F$56</f>
        <v>86.028665233324475</v>
      </c>
      <c r="G35" s="3">
        <f>'Country petrol prices nominal'!G36/CPIs!G35*CPIs!G$56</f>
        <v>3.4551179192422734</v>
      </c>
      <c r="H35" s="3">
        <f>'Country petrol prices nominal'!H36/CPIs!I35*CPIs!I$56</f>
        <v>9.3123398053292998</v>
      </c>
      <c r="I35" s="3">
        <f>'Country petrol prices nominal'!I36/CPIs!J35*CPIs!J$56</f>
        <v>119.8157639812141</v>
      </c>
      <c r="J35" s="3">
        <f>'Country petrol prices nominal'!J36/CPIs!K35*CPIs!K$56</f>
        <v>112.84724200935464</v>
      </c>
      <c r="K35" s="3">
        <f>'Country petrol prices nominal'!K36/CPIs!L35*CPIs!L$56</f>
        <v>103.33818019089769</v>
      </c>
      <c r="L35" s="3"/>
      <c r="M35" s="3">
        <f>'Country petrol prices nominal'!M36/CPIs!P35*CPIs!P$56</f>
        <v>103.25352024121574</v>
      </c>
      <c r="N35" s="3">
        <f>'Country petrol prices nominal'!N36/CPIs!R35*CPIs!R$56</f>
        <v>135.97142126851938</v>
      </c>
      <c r="O35" s="3">
        <f>'Country petrol prices nominal'!O36/CPIs!S35*CPIs!S$56</f>
        <v>107.59425745962477</v>
      </c>
      <c r="P35" s="9">
        <f>'Country petrol prices nominal'!P36/CPIs!T35*CPIs!T$56</f>
        <v>1213.8013025171599</v>
      </c>
      <c r="Q35" s="3">
        <f>'Country petrol prices nominal'!Q36/CPIs!U35*CPIs!U$56</f>
        <v>133.76382601322697</v>
      </c>
      <c r="R35" s="3">
        <f>'Country petrol prices nominal'!R36/CPIs!V35*CPIs!V$56</f>
        <v>1.3630646754949804</v>
      </c>
      <c r="S35" s="3">
        <f>'Country petrol prices nominal'!S36/CPIs!W35*CPIs!W$56</f>
        <v>13.222908346348746</v>
      </c>
      <c r="T35" s="3">
        <f>'Country petrol prices nominal'!T36/CPIs!X35*CPIs!X$56</f>
        <v>99.079785361631565</v>
      </c>
      <c r="U35" s="3">
        <f>'Country petrol prices nominal'!U36/CPIs!Y35*CPIs!Y$56</f>
        <v>9.1327393886549206</v>
      </c>
      <c r="V35" s="3">
        <f>'Country petrol prices nominal'!V36/CPIs!Z35*CPIs!Z$56</f>
        <v>1.1634462760560678</v>
      </c>
      <c r="W35" s="3">
        <f>'Country petrol prices nominal'!W36/CPIs!AB35*CPIs!AB$56</f>
        <v>49.587156604628461</v>
      </c>
    </row>
    <row r="36" spans="1:23">
      <c r="A36">
        <v>1997</v>
      </c>
      <c r="B36" s="3">
        <f>'Country petrol prices nominal'!B37/CPIs!B36*CPIs!B$56</f>
        <v>118.46916711213633</v>
      </c>
      <c r="C36" s="3">
        <f>'Country petrol prices nominal'!C37/CPIs!C36*CPIs!C$56</f>
        <v>114.83365621555824</v>
      </c>
      <c r="D36" s="3">
        <f>'Country petrol prices nominal'!D37/CPIs!D36*CPIs!D$56</f>
        <v>120.54458467919119</v>
      </c>
      <c r="E36" s="3">
        <f>'Country petrol prices nominal'!E37/CPIs!E36*CPIs!E$56</f>
        <v>91.352720304529115</v>
      </c>
      <c r="F36" s="3">
        <f>'Country petrol prices nominal'!F37/CPIs!F36*CPIs!F$56</f>
        <v>86.587139142311926</v>
      </c>
      <c r="G36" s="3">
        <f>'Country petrol prices nominal'!G37/CPIs!G36*CPIs!G$56</f>
        <v>3.3518253784406458</v>
      </c>
      <c r="H36" s="3">
        <f>'Country petrol prices nominal'!H37/CPIs!I36*CPIs!I$56</f>
        <v>9.4079036841827968</v>
      </c>
      <c r="I36" s="3">
        <f>'Country petrol prices nominal'!I37/CPIs!J36*CPIs!J$56</f>
        <v>116.19715171344836</v>
      </c>
      <c r="J36" s="3">
        <f>'Country petrol prices nominal'!J37/CPIs!K36*CPIs!K$56</f>
        <v>116.08547206979439</v>
      </c>
      <c r="K36" s="3">
        <f>'Country petrol prices nominal'!K37/CPIs!L36*CPIs!L$56</f>
        <v>104.11339802898684</v>
      </c>
      <c r="L36" s="3"/>
      <c r="M36" s="3">
        <f>'Country petrol prices nominal'!M37/CPIs!P36*CPIs!P$56</f>
        <v>107.21402494434236</v>
      </c>
      <c r="N36" s="3">
        <f>'Country petrol prices nominal'!N37/CPIs!R36*CPIs!R$56</f>
        <v>135.21117027407027</v>
      </c>
      <c r="O36" s="3">
        <f>'Country petrol prices nominal'!O37/CPIs!S36*CPIs!S$56</f>
        <v>105.38251033528681</v>
      </c>
      <c r="P36" s="9">
        <f>'Country petrol prices nominal'!P37/CPIs!T36*CPIs!T$56</f>
        <v>1429.9825059755833</v>
      </c>
      <c r="Q36" s="3">
        <f>'Country petrol prices nominal'!Q37/CPIs!U36*CPIs!U$56</f>
        <v>138.81348201376076</v>
      </c>
      <c r="R36" s="3">
        <f>'Country petrol prices nominal'!R37/CPIs!V36*CPIs!V$56</f>
        <v>1.3463453964997396</v>
      </c>
      <c r="S36" s="3">
        <f>'Country petrol prices nominal'!S37/CPIs!W36*CPIs!W$56</f>
        <v>12.851829456170057</v>
      </c>
      <c r="T36" s="3">
        <f>'Country petrol prices nominal'!T37/CPIs!X36*CPIs!X$56</f>
        <v>100.28933736327822</v>
      </c>
      <c r="U36" s="3">
        <f>'Country petrol prices nominal'!U37/CPIs!Y36*CPIs!Y$56</f>
        <v>9.3817688875283238</v>
      </c>
      <c r="V36" s="3">
        <f>'Country petrol prices nominal'!V37/CPIs!Z36*CPIs!Z$56</f>
        <v>1.22328638465497</v>
      </c>
      <c r="W36" s="3">
        <f>'Country petrol prices nominal'!W37/CPIs!AB36*CPIs!AB$56</f>
        <v>48.377138835557297</v>
      </c>
    </row>
    <row r="37" spans="1:23">
      <c r="A37">
        <v>1998</v>
      </c>
      <c r="B37" s="3">
        <f>'Country petrol prices nominal'!B38/CPIs!B37*CPIs!B$56</f>
        <v>112.03612609002496</v>
      </c>
      <c r="C37" s="3">
        <f>'Country petrol prices nominal'!C38/CPIs!C37*CPIs!C$56</f>
        <v>107.51782941387029</v>
      </c>
      <c r="D37" s="3">
        <f>'Country petrol prices nominal'!D38/CPIs!D37*CPIs!D$56</f>
        <v>109.70766384758902</v>
      </c>
      <c r="E37" s="3">
        <f>'Country petrol prices nominal'!E38/CPIs!E37*CPIs!E$56</f>
        <v>93.799927991199795</v>
      </c>
      <c r="F37" s="3">
        <f>'Country petrol prices nominal'!F38/CPIs!F37*CPIs!F$56</f>
        <v>78.286966747234743</v>
      </c>
      <c r="G37" s="3">
        <f>'Country petrol prices nominal'!G38/CPIs!G37*CPIs!G$56</f>
        <v>3.3732679046920824</v>
      </c>
      <c r="H37" s="3">
        <f>'Country petrol prices nominal'!H38/CPIs!I37*CPIs!I$56</f>
        <v>8.9303905536395138</v>
      </c>
      <c r="I37" s="3">
        <f>'Country petrol prices nominal'!I38/CPIs!J37*CPIs!J$56</f>
        <v>113.0790629750225</v>
      </c>
      <c r="J37" s="3">
        <f>'Country petrol prices nominal'!J38/CPIs!K37*CPIs!K$56</f>
        <v>110.59463352832263</v>
      </c>
      <c r="K37" s="3">
        <f>'Country petrol prices nominal'!K38/CPIs!L37*CPIs!L$56</f>
        <v>96.570422129435954</v>
      </c>
      <c r="L37" s="3"/>
      <c r="M37" s="3">
        <f>'Country petrol prices nominal'!M38/CPIs!P37*CPIs!P$56</f>
        <v>101.79484847840463</v>
      </c>
      <c r="N37" s="3">
        <f>'Country petrol prices nominal'!N38/CPIs!R37*CPIs!R$56</f>
        <v>128.94424098714887</v>
      </c>
      <c r="O37" s="3">
        <f>'Country petrol prices nominal'!O38/CPIs!S37*CPIs!S$56</f>
        <v>99.35185273983744</v>
      </c>
      <c r="P37" s="9">
        <f>'Country petrol prices nominal'!P38/CPIs!T37*CPIs!T$56</f>
        <v>1771.6985857389566</v>
      </c>
      <c r="Q37" s="3">
        <f>'Country petrol prices nominal'!Q38/CPIs!U37*CPIs!U$56</f>
        <v>133.8040819309831</v>
      </c>
      <c r="R37" s="3">
        <f>'Country petrol prices nominal'!R38/CPIs!V37*CPIs!V$56</f>
        <v>1.2488965700411689</v>
      </c>
      <c r="S37" s="3">
        <f>'Country petrol prices nominal'!S38/CPIs!W37*CPIs!W$56</f>
        <v>12.529382884699592</v>
      </c>
      <c r="T37" s="3">
        <f>'Country petrol prices nominal'!T38/CPIs!X37*CPIs!X$56</f>
        <v>94.829912910682879</v>
      </c>
      <c r="U37" s="3">
        <f>'Country petrol prices nominal'!U38/CPIs!Y37*CPIs!Y$56</f>
        <v>8.7758021132182442</v>
      </c>
      <c r="V37" s="3">
        <f>'Country petrol prices nominal'!V38/CPIs!Z37*CPIs!Z$56</f>
        <v>1.107560954570515</v>
      </c>
      <c r="W37" s="3">
        <f>'Country petrol prices nominal'!W38/CPIs!AB37*CPIs!AB$56</f>
        <v>40.906979816762622</v>
      </c>
    </row>
    <row r="38" spans="1:23">
      <c r="A38">
        <v>1999</v>
      </c>
      <c r="B38" s="3">
        <f>'Country petrol prices nominal'!B39/CPIs!B38*CPIs!B$56</f>
        <v>114.30075686650248</v>
      </c>
      <c r="C38" s="3">
        <f>'Country petrol prices nominal'!C39/CPIs!C38*CPIs!C$56</f>
        <v>109.51042092321136</v>
      </c>
      <c r="D38" s="3">
        <f>'Country petrol prices nominal'!D39/CPIs!D38*CPIs!D$56</f>
        <v>114.39839850541124</v>
      </c>
      <c r="E38" s="3">
        <f>'Country petrol prices nominal'!E39/CPIs!E38*CPIs!E$56</f>
        <v>100.34122541048703</v>
      </c>
      <c r="F38" s="3">
        <f>'Country petrol prices nominal'!F39/CPIs!F38*CPIs!F$56</f>
        <v>83.28221011600408</v>
      </c>
      <c r="G38" s="3">
        <f>'Country petrol prices nominal'!G39/CPIs!G38*CPIs!G$56</f>
        <v>3.6653714723014006</v>
      </c>
      <c r="H38" s="3">
        <f>'Country petrol prices nominal'!H39/CPIs!I38*CPIs!I$56</f>
        <v>9.9416697760262149</v>
      </c>
      <c r="I38" s="3">
        <f>'Country petrol prices nominal'!I39/CPIs!J38*CPIs!J$56</f>
        <v>118.49894753870765</v>
      </c>
      <c r="J38" s="3">
        <f>'Country petrol prices nominal'!J39/CPIs!K38*CPIs!K$56</f>
        <v>115.16869887245525</v>
      </c>
      <c r="K38" s="3">
        <f>'Country petrol prices nominal'!K39/CPIs!L38*CPIs!L$56</f>
        <v>104.88812390300198</v>
      </c>
      <c r="L38" s="3">
        <f>'Country petrol prices nominal'!L39/CPIs!O38*CPIs!O$56</f>
        <v>72.620535180843348</v>
      </c>
      <c r="M38" s="3">
        <f>'Country petrol prices nominal'!M39/CPIs!P38*CPIs!P$56</f>
        <v>102.70701387061054</v>
      </c>
      <c r="N38" s="3">
        <f>'Country petrol prices nominal'!N39/CPIs!R38*CPIs!R$56</f>
        <v>132.16936530801388</v>
      </c>
      <c r="O38" s="3">
        <f>'Country petrol prices nominal'!O39/CPIs!S38*CPIs!S$56</f>
        <v>98.83574202814502</v>
      </c>
      <c r="P38" s="9">
        <f>'Country petrol prices nominal'!P39/CPIs!T38*CPIs!T$56</f>
        <v>1777.7798189037599</v>
      </c>
      <c r="Q38" s="3">
        <f>'Country petrol prices nominal'!Q39/CPIs!U38*CPIs!U$56</f>
        <v>137.86632179053831</v>
      </c>
      <c r="R38" s="3">
        <f>'Country petrol prices nominal'!R39/CPIs!V38*CPIs!V$56</f>
        <v>1.2629230061882715</v>
      </c>
      <c r="S38" s="3">
        <f>'Country petrol prices nominal'!S39/CPIs!W38*CPIs!W$56</f>
        <v>13.100780272780026</v>
      </c>
      <c r="T38" s="3">
        <f>'Country petrol prices nominal'!T39/CPIs!X38*CPIs!X$56</f>
        <v>98.258367424590901</v>
      </c>
      <c r="U38" s="3">
        <f>'Country petrol prices nominal'!U39/CPIs!Y38*CPIs!Y$56</f>
        <v>9.0673042627125877</v>
      </c>
      <c r="V38" s="3">
        <f>'Country petrol prices nominal'!V39/CPIs!Z38*CPIs!Z$56</f>
        <v>1.1522434125465972</v>
      </c>
      <c r="W38" s="3">
        <f>'Country petrol prices nominal'!W39/CPIs!AB38*CPIs!AB$56</f>
        <v>44.299465577326686</v>
      </c>
    </row>
    <row r="39" spans="1:23">
      <c r="A39">
        <v>2000</v>
      </c>
      <c r="B39" s="3">
        <f>'Country petrol prices nominal'!B40/CPIs!B39*CPIs!B$56</f>
        <v>137.80661223368082</v>
      </c>
      <c r="C39" s="3">
        <f>'Country petrol prices nominal'!C40/CPIs!C39*CPIs!C$56</f>
        <v>127.91029921730711</v>
      </c>
      <c r="D39" s="3">
        <f>'Country petrol prices nominal'!D40/CPIs!D39*CPIs!D$56</f>
        <v>144.24716514685679</v>
      </c>
      <c r="E39" s="3">
        <f>'Country petrol prices nominal'!E40/CPIs!E39*CPIs!E$56</f>
        <v>113.47496309760824</v>
      </c>
      <c r="F39" s="3">
        <f>'Country petrol prices nominal'!F40/CPIs!F39*CPIs!F$56</f>
        <v>100.04676602936865</v>
      </c>
      <c r="G39" s="3">
        <f>'Country petrol prices nominal'!G40/CPIs!G39*CPIs!G$56</f>
        <v>4.8703206422131657</v>
      </c>
      <c r="H39" s="3">
        <f>'Country petrol prices nominal'!H40/CPIs!I39*CPIs!I$56</f>
        <v>11.039577954391451</v>
      </c>
      <c r="I39" s="3">
        <f>'Country petrol prices nominal'!I40/CPIs!J39*CPIs!J$56</f>
        <v>145.00539697028429</v>
      </c>
      <c r="J39" s="3">
        <f>'Country petrol prices nominal'!J40/CPIs!K39*CPIs!K$56</f>
        <v>138.02444711359388</v>
      </c>
      <c r="K39" s="3">
        <f>'Country petrol prices nominal'!K40/CPIs!L39*CPIs!L$56</f>
        <v>126.15652455820438</v>
      </c>
      <c r="L39" s="3">
        <f>'Country petrol prices nominal'!L40/CPIs!O39*CPIs!O$56</f>
        <v>78.212147429867727</v>
      </c>
      <c r="M39" s="3">
        <f>'Country petrol prices nominal'!M40/CPIs!P39*CPIs!P$56</f>
        <v>119.8994243871755</v>
      </c>
      <c r="N39" s="3">
        <f>'Country petrol prices nominal'!N40/CPIs!R39*CPIs!R$56</f>
        <v>145.51412940956044</v>
      </c>
      <c r="O39" s="3">
        <f>'Country petrol prices nominal'!O40/CPIs!S39*CPIs!S$56</f>
        <v>105.2642652206536</v>
      </c>
      <c r="P39" s="9">
        <f>'Country petrol prices nominal'!P40/CPIs!T39*CPIs!T$56</f>
        <v>1930.1447037828539</v>
      </c>
      <c r="Q39" s="3">
        <f>'Country petrol prices nominal'!Q40/CPIs!U39*CPIs!U$56</f>
        <v>157.2809904389924</v>
      </c>
      <c r="R39" s="3">
        <f>'Country petrol prices nominal'!R40/CPIs!V39*CPIs!V$56</f>
        <v>1.534584017678968</v>
      </c>
      <c r="S39" s="3">
        <f>'Country petrol prices nominal'!S40/CPIs!W39*CPIs!W$56</f>
        <v>14.775214369503276</v>
      </c>
      <c r="T39" s="3">
        <f>'Country petrol prices nominal'!T40/CPIs!X39*CPIs!X$56</f>
        <v>113.49889445339475</v>
      </c>
      <c r="U39" s="3">
        <f>'Country petrol prices nominal'!U40/CPIs!Y39*CPIs!Y$56</f>
        <v>11.747062328129894</v>
      </c>
      <c r="V39" s="3">
        <f>'Country petrol prices nominal'!V40/CPIs!Z39*CPIs!Z$56</f>
        <v>1.4993918889085867</v>
      </c>
      <c r="W39" s="3">
        <f>'Country petrol prices nominal'!W40/CPIs!AB39*CPIs!AB$56</f>
        <v>55.956176850668605</v>
      </c>
    </row>
    <row r="40" spans="1:23">
      <c r="A40">
        <v>2001</v>
      </c>
      <c r="B40" s="3">
        <f>'Country petrol prices nominal'!B41/CPIs!B40*CPIs!B$56</f>
        <v>129.75157605453859</v>
      </c>
      <c r="C40" s="3">
        <f>'Country petrol prices nominal'!C41/CPIs!C40*CPIs!C$56</f>
        <v>120.03787148762251</v>
      </c>
      <c r="D40" s="3">
        <f>'Country petrol prices nominal'!D41/CPIs!D40*CPIs!D$56</f>
        <v>135.7844750160491</v>
      </c>
      <c r="E40" s="3">
        <f>'Country petrol prices nominal'!E41/CPIs!E40*CPIs!E$56</f>
        <v>106.33786825394023</v>
      </c>
      <c r="F40" s="3">
        <f>'Country petrol prices nominal'!F41/CPIs!F40*CPIs!F$56</f>
        <v>94.36567447610247</v>
      </c>
      <c r="G40" s="3">
        <f>'Country petrol prices nominal'!G41/CPIs!G40*CPIs!G$56</f>
        <v>4.8348641569589219</v>
      </c>
      <c r="H40" s="3">
        <f>'Country petrol prices nominal'!H41/CPIs!I40*CPIs!I$56</f>
        <v>10.591174899299039</v>
      </c>
      <c r="I40" s="3">
        <f>'Country petrol prices nominal'!I41/CPIs!J40*CPIs!J$56</f>
        <v>138.12228578923643</v>
      </c>
      <c r="J40" s="3">
        <f>'Country petrol prices nominal'!J41/CPIs!K40*CPIs!K$56</f>
        <v>129.08216638048881</v>
      </c>
      <c r="K40" s="3">
        <f>'Country petrol prices nominal'!K41/CPIs!L40*CPIs!L$56</f>
        <v>125.50536223187076</v>
      </c>
      <c r="L40" s="3">
        <f>'Country petrol prices nominal'!L41/CPIs!O40*CPIs!O$56</f>
        <v>81.164046307547608</v>
      </c>
      <c r="M40" s="3">
        <f>'Country petrol prices nominal'!M41/CPIs!P40*CPIs!P$56</f>
        <v>113.68554123413978</v>
      </c>
      <c r="N40" s="3">
        <f>'Country petrol prices nominal'!N41/CPIs!R40*CPIs!R$56</f>
        <v>137.90417070052234</v>
      </c>
      <c r="O40" s="3">
        <f>'Country petrol prices nominal'!O41/CPIs!S40*CPIs!S$56</f>
        <v>107.08920671618131</v>
      </c>
      <c r="P40" s="9">
        <f>'Country petrol prices nominal'!P41/CPIs!T40*CPIs!T$56</f>
        <v>1902.3060718569648</v>
      </c>
      <c r="Q40" s="3">
        <f>'Country petrol prices nominal'!Q41/CPIs!U40*CPIs!U$56</f>
        <v>149.43399907618544</v>
      </c>
      <c r="R40" s="3">
        <f>'Country petrol prices nominal'!R41/CPIs!V40*CPIs!V$56</f>
        <v>1.4631772176051323</v>
      </c>
      <c r="S40" s="3">
        <f>'Country petrol prices nominal'!S41/CPIs!W40*CPIs!W$56</f>
        <v>13.010824221256717</v>
      </c>
      <c r="T40" s="3">
        <f>'Country petrol prices nominal'!T41/CPIs!X40*CPIs!X$56</f>
        <v>107.9603120789626</v>
      </c>
      <c r="U40" s="3">
        <f>'Country petrol prices nominal'!U41/CPIs!Y40*CPIs!Y$56</f>
        <v>11.396303726445661</v>
      </c>
      <c r="V40" s="3">
        <f>'Country petrol prices nominal'!V41/CPIs!Z40*CPIs!Z$56</f>
        <v>1.4327430701787915</v>
      </c>
      <c r="W40" s="3">
        <f>'Country petrol prices nominal'!W41/CPIs!AB40*CPIs!AB$56</f>
        <v>52.142823745285554</v>
      </c>
    </row>
    <row r="41" spans="1:23">
      <c r="A41">
        <v>2002</v>
      </c>
      <c r="B41" s="3">
        <f>'Country petrol prices nominal'!B42/CPIs!B41*CPIs!B$56</f>
        <v>124.35443241764709</v>
      </c>
      <c r="C41" s="3">
        <f>'Country petrol prices nominal'!C42/CPIs!C41*CPIs!C$56</f>
        <v>113.28232295340058</v>
      </c>
      <c r="D41" s="3">
        <f>'Country petrol prices nominal'!D42/CPIs!D41*CPIs!D$56</f>
        <v>129.74648254569556</v>
      </c>
      <c r="E41" s="3">
        <f>'Country petrol prices nominal'!E42/CPIs!E41*CPIs!E$56</f>
        <v>101.55495737535945</v>
      </c>
      <c r="F41" s="3">
        <f>'Country petrol prices nominal'!F42/CPIs!F41*CPIs!F$56</f>
        <v>92.15051071979282</v>
      </c>
      <c r="G41" s="3">
        <f>'Country petrol prices nominal'!G42/CPIs!G41*CPIs!G$56</f>
        <v>5.1136033917984207</v>
      </c>
      <c r="H41" s="3">
        <f>'Country petrol prices nominal'!H42/CPIs!I41*CPIs!I$56</f>
        <v>10.302224559601035</v>
      </c>
      <c r="I41" s="3">
        <f>'Country petrol prices nominal'!I42/CPIs!J41*CPIs!J$56</f>
        <v>131.8165685214403</v>
      </c>
      <c r="J41" s="3">
        <f>'Country petrol prices nominal'!J42/CPIs!K41*CPIs!K$56</f>
        <v>123.96475031879534</v>
      </c>
      <c r="K41" s="3">
        <f>'Country petrol prices nominal'!K42/CPIs!L41*CPIs!L$56</f>
        <v>126.75574919895378</v>
      </c>
      <c r="L41" s="3">
        <f>'Country petrol prices nominal'!L42/CPIs!O41*CPIs!O$56</f>
        <v>76.861941228045097</v>
      </c>
      <c r="M41" s="3">
        <f>'Country petrol prices nominal'!M42/CPIs!P41*CPIs!P$56</f>
        <v>104.49002980791933</v>
      </c>
      <c r="N41" s="3">
        <f>'Country petrol prices nominal'!N42/CPIs!R41*CPIs!R$56</f>
        <v>133.94712969731006</v>
      </c>
      <c r="O41" s="3">
        <f>'Country petrol prices nominal'!O42/CPIs!S41*CPIs!S$56</f>
        <v>107.33554878755432</v>
      </c>
      <c r="P41" s="9">
        <f>'Country petrol prices nominal'!P42/CPIs!T41*CPIs!T$56</f>
        <v>1874.3038611022384</v>
      </c>
      <c r="Q41" s="3">
        <f>'Country petrol prices nominal'!Q42/CPIs!U41*CPIs!U$56</f>
        <v>144.17475174023511</v>
      </c>
      <c r="R41" s="3">
        <f>'Country petrol prices nominal'!R42/CPIs!V41*CPIs!V$56</f>
        <v>1.4005288759300201</v>
      </c>
      <c r="S41" s="3">
        <f>'Country petrol prices nominal'!S42/CPIs!W41*CPIs!W$56</f>
        <v>12.007762242930212</v>
      </c>
      <c r="T41" s="3">
        <f>'Country petrol prices nominal'!T42/CPIs!X41*CPIs!X$56</f>
        <v>105.65696479529772</v>
      </c>
      <c r="U41" s="3">
        <f>'Country petrol prices nominal'!U42/CPIs!Y41*CPIs!Y$56</f>
        <v>10.986705658925233</v>
      </c>
      <c r="V41" s="3">
        <f>'Country petrol prices nominal'!V42/CPIs!Z41*CPIs!Z$56</f>
        <v>1.3635309004110874</v>
      </c>
      <c r="W41" s="3">
        <f>'Country petrol prices nominal'!W42/CPIs!AB41*CPIs!AB$56</f>
        <v>48.399731474984165</v>
      </c>
    </row>
    <row r="42" spans="1:23">
      <c r="A42">
        <v>2003</v>
      </c>
      <c r="B42" s="3">
        <f>'Country petrol prices nominal'!B43/CPIs!B42*CPIs!B$56</f>
        <v>126.08160257061343</v>
      </c>
      <c r="C42" s="3">
        <f>'Country petrol prices nominal'!C43/CPIs!C42*CPIs!C$56</f>
        <v>112.2883168998633</v>
      </c>
      <c r="D42" s="3">
        <f>'Country petrol prices nominal'!D43/CPIs!D42*CPIs!D$56</f>
        <v>132.80312387874014</v>
      </c>
      <c r="E42" s="3">
        <f>'Country petrol prices nominal'!E43/CPIs!E42*CPIs!E$56</f>
        <v>103.87992426875317</v>
      </c>
      <c r="F42" s="3">
        <f>'Country petrol prices nominal'!F43/CPIs!F42*CPIs!F$56</f>
        <v>94.013860603597706</v>
      </c>
      <c r="G42" s="3">
        <f>'Country petrol prices nominal'!G43/CPIs!G42*CPIs!G$56</f>
        <v>5.0567647563209972</v>
      </c>
      <c r="H42" s="3">
        <f>'Country petrol prices nominal'!H43/CPIs!I42*CPIs!I$56</f>
        <v>10.153393037429229</v>
      </c>
      <c r="I42" s="3">
        <f>'Country petrol prices nominal'!I43/CPIs!J42*CPIs!J$56</f>
        <v>133.22264309873279</v>
      </c>
      <c r="J42" s="3">
        <f>'Country petrol prices nominal'!J43/CPIs!K42*CPIs!K$56</f>
        <v>121.7634291102504</v>
      </c>
      <c r="K42" s="3">
        <f>'Country petrol prices nominal'!K43/CPIs!L42*CPIs!L$56</f>
        <v>130.81699441609805</v>
      </c>
      <c r="L42" s="3">
        <f>'Country petrol prices nominal'!L43/CPIs!O42*CPIs!O$56</f>
        <v>81.925245503061703</v>
      </c>
      <c r="M42" s="3">
        <f>'Country petrol prices nominal'!M43/CPIs!P42*CPIs!P$56</f>
        <v>102.86011783416625</v>
      </c>
      <c r="N42" s="3">
        <f>'Country petrol prices nominal'!N43/CPIs!R42*CPIs!R$56</f>
        <v>131.9543184437459</v>
      </c>
      <c r="O42" s="3">
        <f>'Country petrol prices nominal'!O43/CPIs!S42*CPIs!S$56</f>
        <v>109.77166927514048</v>
      </c>
      <c r="P42" s="9">
        <f>'Country petrol prices nominal'!P43/CPIs!T42*CPIs!T$56</f>
        <v>1807.8690851018532</v>
      </c>
      <c r="Q42" s="3">
        <f>'Country petrol prices nominal'!Q43/CPIs!U42*CPIs!U$56</f>
        <v>143.04330925863312</v>
      </c>
      <c r="R42" s="3">
        <f>'Country petrol prices nominal'!R43/CPIs!V42*CPIs!V$56</f>
        <v>1.4058200333679087</v>
      </c>
      <c r="S42" s="3">
        <f>'Country petrol prices nominal'!S43/CPIs!W42*CPIs!W$56</f>
        <v>12.25650765888639</v>
      </c>
      <c r="T42" s="3">
        <f>'Country petrol prices nominal'!T43/CPIs!X42*CPIs!X$56</f>
        <v>102.9185328339767</v>
      </c>
      <c r="U42" s="3">
        <f>'Country petrol prices nominal'!U43/CPIs!Y42*CPIs!Y$56</f>
        <v>10.891479669913261</v>
      </c>
      <c r="V42" s="3">
        <f>'Country petrol prices nominal'!V43/CPIs!Z42*CPIs!Z$56</f>
        <v>1.373729401106127</v>
      </c>
      <c r="W42" s="3">
        <f>'Country petrol prices nominal'!W43/CPIs!AB42*CPIs!AB$56</f>
        <v>54.853360223755928</v>
      </c>
    </row>
    <row r="43" spans="1:23">
      <c r="A43">
        <v>2004</v>
      </c>
      <c r="B43" s="3">
        <f>'Country petrol prices nominal'!B44/CPIs!B43*CPIs!B$56</f>
        <v>133.47938122229968</v>
      </c>
      <c r="C43" s="3">
        <f>'Country petrol prices nominal'!C44/CPIs!C43*CPIs!C$56</f>
        <v>118.82731589349524</v>
      </c>
      <c r="D43" s="3">
        <f>'Country petrol prices nominal'!D44/CPIs!D43*CPIs!D$56</f>
        <v>145.81466173922314</v>
      </c>
      <c r="E43" s="3">
        <f>'Country petrol prices nominal'!E44/CPIs!E43*CPIs!E$56</f>
        <v>108.1662577506457</v>
      </c>
      <c r="F43" s="3">
        <f>'Country petrol prices nominal'!F44/CPIs!F43*CPIs!F$56</f>
        <v>101.81762435239612</v>
      </c>
      <c r="G43" s="3">
        <f>'Country petrol prices nominal'!G44/CPIs!G43*CPIs!G$56</f>
        <v>5.5662161618823518</v>
      </c>
      <c r="H43" s="3">
        <f>'Country petrol prices nominal'!H44/CPIs!I43*CPIs!I$56</f>
        <v>10.245795021776763</v>
      </c>
      <c r="I43" s="3">
        <f>'Country petrol prices nominal'!I44/CPIs!J43*CPIs!J$56</f>
        <v>138.43350940066551</v>
      </c>
      <c r="J43" s="3">
        <f>'Country petrol prices nominal'!J44/CPIs!K43*CPIs!K$56</f>
        <v>124.37618727984835</v>
      </c>
      <c r="K43" s="3">
        <f>'Country petrol prices nominal'!K44/CPIs!L43*CPIs!L$56</f>
        <v>133.85413579690589</v>
      </c>
      <c r="L43" s="3">
        <f>'Country petrol prices nominal'!L44/CPIs!O43*CPIs!O$56</f>
        <v>88.782383313977391</v>
      </c>
      <c r="M43" s="3">
        <f>'Country petrol prices nominal'!M44/CPIs!P43*CPIs!P$56</f>
        <v>110.11873041834336</v>
      </c>
      <c r="N43" s="3">
        <f>'Country petrol prices nominal'!N44/CPIs!R43*CPIs!R$56</f>
        <v>137.14393740639585</v>
      </c>
      <c r="O43" s="3">
        <f>'Country petrol prices nominal'!O44/CPIs!S43*CPIs!S$56</f>
        <v>115.97726013111109</v>
      </c>
      <c r="P43" s="9">
        <f>'Country petrol prices nominal'!P44/CPIs!T43*CPIs!T$56</f>
        <v>1841.0264967513806</v>
      </c>
      <c r="Q43" s="3">
        <f>'Country petrol prices nominal'!Q44/CPIs!U43*CPIs!U$56</f>
        <v>152.6312227388124</v>
      </c>
      <c r="R43" s="3">
        <f>'Country petrol prices nominal'!R44/CPIs!V43*CPIs!V$56</f>
        <v>1.5221090086460503</v>
      </c>
      <c r="S43" s="3">
        <f>'Country petrol prices nominal'!S44/CPIs!W43*CPIs!W$56</f>
        <v>12.996384564277538</v>
      </c>
      <c r="T43" s="3">
        <f>'Country petrol prices nominal'!T44/CPIs!X43*CPIs!X$56</f>
        <v>106.24022042544316</v>
      </c>
      <c r="U43" s="3">
        <f>'Country petrol prices nominal'!U44/CPIs!Y43*CPIs!Y$56</f>
        <v>11.497097754743699</v>
      </c>
      <c r="V43" s="3">
        <f>'Country petrol prices nominal'!V44/CPIs!Z43*CPIs!Z$56</f>
        <v>1.45627198213179</v>
      </c>
      <c r="W43" s="3">
        <f>'Country petrol prices nominal'!W44/CPIs!AB43*CPIs!AB$56</f>
        <v>63.47384288120751</v>
      </c>
    </row>
    <row r="44" spans="1:23">
      <c r="A44">
        <v>2005</v>
      </c>
      <c r="B44" s="3">
        <f>'Country petrol prices nominal'!B45/CPIs!B44*CPIs!B$56</f>
        <v>147.9392879360544</v>
      </c>
      <c r="C44" s="3">
        <f>'Country petrol prices nominal'!C45/CPIs!C44*CPIs!C$56</f>
        <v>126.76178321693328</v>
      </c>
      <c r="D44" s="3">
        <f>'Country petrol prices nominal'!D45/CPIs!D44*CPIs!D$56</f>
        <v>159.12483604588027</v>
      </c>
      <c r="E44" s="3">
        <f>'Country petrol prices nominal'!E45/CPIs!E44*CPIs!E$56</f>
        <v>114.58425294728036</v>
      </c>
      <c r="F44" s="3">
        <f>'Country petrol prices nominal'!F45/CPIs!F44*CPIs!F$56</f>
        <v>113.21289726652044</v>
      </c>
      <c r="G44" s="3">
        <f>'Country petrol prices nominal'!G45/CPIs!G44*CPIs!G$56</f>
        <v>5.6383629233614601</v>
      </c>
      <c r="H44" s="3">
        <f>'Country petrol prices nominal'!H45/CPIs!I44*CPIs!I$56</f>
        <v>10.823973383320281</v>
      </c>
      <c r="I44" s="3">
        <f>'Country petrol prices nominal'!I45/CPIs!J44*CPIs!J$56</f>
        <v>146.73470152698835</v>
      </c>
      <c r="J44" s="3">
        <f>'Country petrol prices nominal'!J45/CPIs!K44*CPIs!K$56</f>
        <v>133.77691608547053</v>
      </c>
      <c r="K44" s="3">
        <f>'Country petrol prices nominal'!K45/CPIs!L44*CPIs!L$56</f>
        <v>144.46131483014682</v>
      </c>
      <c r="L44" s="3">
        <f>'Country petrol prices nominal'!L45/CPIs!O44*CPIs!O$56</f>
        <v>96.930987051620463</v>
      </c>
      <c r="M44" s="3">
        <f>'Country petrol prices nominal'!M45/CPIs!P44*CPIs!P$56</f>
        <v>118.33103159640862</v>
      </c>
      <c r="N44" s="3">
        <f>'Country petrol prices nominal'!N45/CPIs!R44*CPIs!R$56</f>
        <v>145.69866139993053</v>
      </c>
      <c r="O44" s="3">
        <f>'Country petrol prices nominal'!O45/CPIs!S44*CPIs!S$56</f>
        <v>128.93027596861995</v>
      </c>
      <c r="P44" s="9">
        <f>'Country petrol prices nominal'!P45/CPIs!T44*CPIs!T$56</f>
        <v>1874.3802301812623</v>
      </c>
      <c r="Q44" s="3">
        <f>'Country petrol prices nominal'!Q45/CPIs!U44*CPIs!U$56</f>
        <v>162.10838922689348</v>
      </c>
      <c r="R44" s="3">
        <f>'Country petrol prices nominal'!R45/CPIs!V44*CPIs!V$56</f>
        <v>1.6752260330736084</v>
      </c>
      <c r="S44" s="3">
        <f>'Country petrol prices nominal'!S45/CPIs!W44*CPIs!W$56</f>
        <v>13.860639177972621</v>
      </c>
      <c r="T44" s="3">
        <f>'Country petrol prices nominal'!T45/CPIs!X44*CPIs!X$56</f>
        <v>112.94879243256959</v>
      </c>
      <c r="U44" s="3">
        <f>'Country petrol prices nominal'!U45/CPIs!Y44*CPIs!Y$56</f>
        <v>12.629958722019621</v>
      </c>
      <c r="V44" s="3">
        <f>'Country petrol prices nominal'!V45/CPIs!Z44*CPIs!Z$56</f>
        <v>1.5677373550926772</v>
      </c>
      <c r="W44" s="3">
        <f>'Country petrol prices nominal'!W45/CPIs!AB44*CPIs!AB$56</f>
        <v>75.32519450859634</v>
      </c>
    </row>
    <row r="45" spans="1:23">
      <c r="A45">
        <v>2006</v>
      </c>
      <c r="B45" s="3">
        <f>'Country petrol prices nominal'!B46/CPIs!B45*CPIs!B$56</f>
        <v>161.35645020962426</v>
      </c>
      <c r="C45" s="3">
        <f>'Country petrol prices nominal'!C46/CPIs!C45*CPIs!C$56</f>
        <v>131.97099477661399</v>
      </c>
      <c r="D45" s="3">
        <f>'Country petrol prices nominal'!D46/CPIs!D45*CPIs!D$56</f>
        <v>165.24056335388619</v>
      </c>
      <c r="E45" s="3">
        <f>'Country petrol prices nominal'!E46/CPIs!E45*CPIs!E$56</f>
        <v>117.91218053199864</v>
      </c>
      <c r="F45" s="3">
        <f>'Country petrol prices nominal'!F46/CPIs!F45*CPIs!F$56</f>
        <v>117.35719034780777</v>
      </c>
      <c r="G45" s="3">
        <f>'Country petrol prices nominal'!G46/CPIs!G45*CPIs!G$56</f>
        <v>7.4489373070275189</v>
      </c>
      <c r="H45" s="3">
        <f>'Country petrol prices nominal'!H46/CPIs!I45*CPIs!I$56</f>
        <v>11.274553391547029</v>
      </c>
      <c r="I45" s="3">
        <f>'Country petrol prices nominal'!I46/CPIs!J45*CPIs!J$56</f>
        <v>152.83346173510182</v>
      </c>
      <c r="J45" s="3">
        <f>'Country petrol prices nominal'!J46/CPIs!K45*CPIs!K$56</f>
        <v>140.1739166447195</v>
      </c>
      <c r="K45" s="3">
        <f>'Country petrol prices nominal'!K46/CPIs!L45*CPIs!L$56</f>
        <v>149.36279162711122</v>
      </c>
      <c r="L45" s="3">
        <f>'Country petrol prices nominal'!L46/CPIs!O45*CPIs!O$56</f>
        <v>103.67942643820155</v>
      </c>
      <c r="M45" s="3">
        <f>'Country petrol prices nominal'!M46/CPIs!P45*CPIs!P$56</f>
        <v>121.44301186969805</v>
      </c>
      <c r="N45" s="3">
        <f>'Country petrol prices nominal'!N46/CPIs!R45*CPIs!R$56</f>
        <v>150.52632767727957</v>
      </c>
      <c r="O45" s="3">
        <f>'Country petrol prices nominal'!O46/CPIs!S45*CPIs!S$56</f>
        <v>142.04964562081858</v>
      </c>
      <c r="P45" s="9">
        <f>'Country petrol prices nominal'!P46/CPIs!T45*CPIs!T$56</f>
        <v>1912.3760207781054</v>
      </c>
      <c r="Q45" s="3">
        <f>'Country petrol prices nominal'!Q46/CPIs!U45*CPIs!U$56</f>
        <v>167.70405504649943</v>
      </c>
      <c r="R45" s="3">
        <f>'Country petrol prices nominal'!R46/CPIs!V45*CPIs!V$56</f>
        <v>1.9079864678464751</v>
      </c>
      <c r="S45" s="3">
        <f>'Country petrol prices nominal'!S46/CPIs!W45*CPIs!W$56</f>
        <v>14.356688690189118</v>
      </c>
      <c r="T45" s="3">
        <f>'Country petrol prices nominal'!T46/CPIs!X45*CPIs!X$56</f>
        <v>116.53941338760571</v>
      </c>
      <c r="U45" s="3">
        <f>'Country petrol prices nominal'!U46/CPIs!Y45*CPIs!Y$56</f>
        <v>12.943486383740456</v>
      </c>
      <c r="V45" s="3">
        <f>'Country petrol prices nominal'!V46/CPIs!Z45*CPIs!Z$56</f>
        <v>1.6691473076402352</v>
      </c>
      <c r="W45" s="3">
        <f>'Country petrol prices nominal'!W46/CPIs!AB45*CPIs!AB$56</f>
        <v>82.777368057811174</v>
      </c>
    </row>
    <row r="46" spans="1:23">
      <c r="A46">
        <v>2007</v>
      </c>
      <c r="B46" s="3">
        <f>'Country petrol prices nominal'!B47/CPIs!B46*CPIs!B$56</f>
        <v>156.87139333952595</v>
      </c>
      <c r="C46" s="3">
        <f>'Country petrol prices nominal'!C47/CPIs!C46*CPIs!C$56</f>
        <v>132.90171537515508</v>
      </c>
      <c r="D46" s="3">
        <f>'Country petrol prices nominal'!D47/CPIs!D46*CPIs!D$56</f>
        <v>166.00013318946526</v>
      </c>
      <c r="E46" s="3">
        <f>'Country petrol prices nominal'!E47/CPIs!E46*CPIs!E$56</f>
        <v>119.15025024911398</v>
      </c>
      <c r="F46" s="3">
        <f>'Country petrol prices nominal'!F47/CPIs!F46*CPIs!F$56</f>
        <v>119.83959743608489</v>
      </c>
      <c r="G46" s="3">
        <f>'Country petrol prices nominal'!G47/CPIs!G46*CPIs!G$56</f>
        <v>6.7791759618096998</v>
      </c>
      <c r="H46" s="3">
        <f>'Country petrol prices nominal'!H47/CPIs!I46*CPIs!I$56</f>
        <v>11.270855722788076</v>
      </c>
      <c r="I46" s="3">
        <f>'Country petrol prices nominal'!I47/CPIs!J46*CPIs!J$56</f>
        <v>150.36101076533342</v>
      </c>
      <c r="J46" s="3">
        <f>'Country petrol prices nominal'!J47/CPIs!K46*CPIs!K$56</f>
        <v>142.13822952959188</v>
      </c>
      <c r="K46" s="3">
        <f>'Country petrol prices nominal'!K47/CPIs!L46*CPIs!L$56</f>
        <v>151.98623030556362</v>
      </c>
      <c r="L46" s="3">
        <f>'Country petrol prices nominal'!L47/CPIs!O46*CPIs!O$56</f>
        <v>92.928220816123371</v>
      </c>
      <c r="M46" s="3">
        <f>'Country petrol prices nominal'!M47/CPIs!P46*CPIs!P$56</f>
        <v>115.94029750398781</v>
      </c>
      <c r="N46" s="3">
        <f>'Country petrol prices nominal'!N47/CPIs!R46*CPIs!R$56</f>
        <v>149.28586060842233</v>
      </c>
      <c r="O46" s="3">
        <f>'Country petrol prices nominal'!O47/CPIs!S46*CPIs!S$56</f>
        <v>144.34176637070044</v>
      </c>
      <c r="P46" s="9">
        <f>'Country petrol prices nominal'!P47/CPIs!T46*CPIs!T$56</f>
        <v>1910.0205939149835</v>
      </c>
      <c r="Q46" s="3">
        <f>'Country petrol prices nominal'!Q47/CPIs!U46*CPIs!U$56</f>
        <v>170.17199842232773</v>
      </c>
      <c r="R46" s="3">
        <f>'Country petrol prices nominal'!R47/CPIs!V46*CPIs!V$56</f>
        <v>1.8637022375872032</v>
      </c>
      <c r="S46" s="3">
        <f>'Country petrol prices nominal'!S47/CPIs!W46*CPIs!W$56</f>
        <v>14.532667327899393</v>
      </c>
      <c r="T46" s="3">
        <f>'Country petrol prices nominal'!T47/CPIs!X46*CPIs!X$56</f>
        <v>115.04763419961036</v>
      </c>
      <c r="U46" s="3">
        <f>'Country petrol prices nominal'!U47/CPIs!Y46*CPIs!Y$56</f>
        <v>12.760681097929533</v>
      </c>
      <c r="V46" s="3">
        <f>'Country petrol prices nominal'!V47/CPIs!Z46*CPIs!Z$56</f>
        <v>1.6983618522206658</v>
      </c>
      <c r="W46" s="3">
        <f>'Country petrol prices nominal'!W47/CPIs!AB46*CPIs!AB$56</f>
        <v>87.655129557916538</v>
      </c>
    </row>
    <row r="47" spans="1:23">
      <c r="A47">
        <v>2008</v>
      </c>
      <c r="B47" s="3">
        <f>'Country petrol prices nominal'!B48/CPIs!B47*CPIs!B$56</f>
        <v>172.11790501858735</v>
      </c>
      <c r="C47" s="3">
        <f>'Country petrol prices nominal'!C48/CPIs!C47*CPIs!C$56</f>
        <v>140.65721121799206</v>
      </c>
      <c r="D47" s="3">
        <f>'Country petrol prices nominal'!D48/CPIs!D47*CPIs!D$56</f>
        <v>167.13308974383278</v>
      </c>
      <c r="E47" s="3">
        <f>'Country petrol prices nominal'!E48/CPIs!E47*CPIs!E$56</f>
        <v>130.46562388473498</v>
      </c>
      <c r="F47" s="3">
        <f>'Country petrol prices nominal'!F48/CPIs!F47*CPIs!F$56</f>
        <v>132.344160548383</v>
      </c>
      <c r="G47" s="3">
        <f>'Country petrol prices nominal'!G48/CPIs!G47*CPIs!G$56</f>
        <v>7.318856908737069</v>
      </c>
      <c r="H47" s="3">
        <f>'Country petrol prices nominal'!H48/CPIs!I47*CPIs!I$56</f>
        <v>11.49711675083719</v>
      </c>
      <c r="I47" s="3">
        <f>'Country petrol prices nominal'!I48/CPIs!J47*CPIs!J$56</f>
        <v>160.87211600858021</v>
      </c>
      <c r="J47" s="3">
        <f>'Country petrol prices nominal'!J48/CPIs!K47*CPIs!K$56</f>
        <v>147.26186310225205</v>
      </c>
      <c r="K47" s="3">
        <f>'Country petrol prices nominal'!K48/CPIs!L47*CPIs!L$56</f>
        <v>154.55989195550461</v>
      </c>
      <c r="L47" s="3">
        <f>'Country petrol prices nominal'!L48/CPIs!O47*CPIs!O$56</f>
        <v>94.305800222567768</v>
      </c>
      <c r="M47" s="3">
        <f>'Country petrol prices nominal'!M48/CPIs!P47*CPIs!P$56</f>
        <v>122.97236486097589</v>
      </c>
      <c r="N47" s="3">
        <f>'Country petrol prices nominal'!N48/CPIs!R47*CPIs!R$56</f>
        <v>154.23479682667065</v>
      </c>
      <c r="O47" s="3">
        <f>'Country petrol prices nominal'!O48/CPIs!S47*CPIs!S$56</f>
        <v>159.79380053984099</v>
      </c>
      <c r="P47" s="9">
        <f>'Country petrol prices nominal'!P48/CPIs!T47*CPIs!T$56</f>
        <v>2028.1149477902845</v>
      </c>
      <c r="Q47" s="3">
        <f>'Country petrol prices nominal'!Q48/CPIs!U47*CPIs!U$56</f>
        <v>174.92013381369577</v>
      </c>
      <c r="R47" s="3">
        <f>'Country petrol prices nominal'!R48/CPIs!V47*CPIs!V$56</f>
        <v>2.0903636570181874</v>
      </c>
      <c r="S47" s="3">
        <f>'Country petrol prices nominal'!S48/CPIs!W47*CPIs!W$56</f>
        <v>15.018167733132175</v>
      </c>
      <c r="T47" s="3">
        <f>'Country petrol prices nominal'!T48/CPIs!X47*CPIs!X$56</f>
        <v>118.33918445474954</v>
      </c>
      <c r="U47" s="3">
        <f>'Country petrol prices nominal'!U48/CPIs!Y47*CPIs!Y$56</f>
        <v>13.564478097550193</v>
      </c>
      <c r="V47" s="3">
        <f>'Country petrol prices nominal'!V48/CPIs!Z47*CPIs!Z$56</f>
        <v>1.7575833193701933</v>
      </c>
      <c r="W47" s="3">
        <f>'Country petrol prices nominal'!W48/CPIs!AB47*CPIs!AB$56</f>
        <v>97.993259369302436</v>
      </c>
    </row>
    <row r="48" spans="1:23">
      <c r="A48">
        <v>2009</v>
      </c>
      <c r="B48" s="3">
        <f>'Country petrol prices nominal'!B49/CPIs!B48*CPIs!B$56</f>
        <v>141.62001546093751</v>
      </c>
      <c r="C48" s="3">
        <f>'Country petrol prices nominal'!C49/CPIs!C48*CPIs!C$56</f>
        <v>121.03352367058564</v>
      </c>
      <c r="D48" s="3">
        <f>'Country petrol prices nominal'!D49/CPIs!D48*CPIs!D$56</f>
        <v>151.14293533960733</v>
      </c>
      <c r="E48" s="3">
        <f>'Country petrol prices nominal'!E49/CPIs!E48*CPIs!E$56</f>
        <v>118.3991271897728</v>
      </c>
      <c r="F48" s="3">
        <f>'Country petrol prices nominal'!F49/CPIs!F48*CPIs!F$56</f>
        <v>108.69758435753008</v>
      </c>
      <c r="G48" s="3">
        <f>'Country petrol prices nominal'!G49/CPIs!G48*CPIs!G$56</f>
        <v>7.3724721419727608</v>
      </c>
      <c r="H48" s="3">
        <f>'Country petrol prices nominal'!H49/CPIs!I48*CPIs!I$56</f>
        <v>10.524238596911822</v>
      </c>
      <c r="I48" s="3">
        <f>'Country petrol prices nominal'!I49/CPIs!J48*CPIs!J$56</f>
        <v>142.13454792774024</v>
      </c>
      <c r="J48" s="3">
        <f>'Country petrol prices nominal'!J49/CPIs!K48*CPIs!K$56</f>
        <v>130.96507469301562</v>
      </c>
      <c r="K48" s="3">
        <f>'Country petrol prices nominal'!K49/CPIs!L48*CPIs!L$56</f>
        <v>139.4683336481778</v>
      </c>
      <c r="L48" s="3">
        <f>'Country petrol prices nominal'!L49/CPIs!O48*CPIs!O$56</f>
        <v>76.579248968844084</v>
      </c>
      <c r="M48" s="3">
        <f>'Country petrol prices nominal'!M49/CPIs!P48*CPIs!P$56</f>
        <v>115.10354962970158</v>
      </c>
      <c r="N48" s="3">
        <f>'Country petrol prices nominal'!N49/CPIs!R48*CPIs!R$56</f>
        <v>136.12872999375526</v>
      </c>
      <c r="O48" s="3">
        <f>'Country petrol prices nominal'!O49/CPIs!S48*CPIs!S$56</f>
        <v>124.0947006986481</v>
      </c>
      <c r="P48" s="9">
        <f>'Country petrol prices nominal'!P49/CPIs!T48*CPIs!T$56</f>
        <v>1840.8858926610064</v>
      </c>
      <c r="Q48" s="3">
        <f>'Country petrol prices nominal'!Q49/CPIs!U48*CPIs!U$56</f>
        <v>151.04444505269524</v>
      </c>
      <c r="R48" s="3">
        <f>'Country petrol prices nominal'!R49/CPIs!V48*CPIs!V$56</f>
        <v>1.8109432608631397</v>
      </c>
      <c r="S48" s="3">
        <f>'Country petrol prices nominal'!S49/CPIs!W48*CPIs!W$56</f>
        <v>13.939322169580347</v>
      </c>
      <c r="T48" s="3">
        <f>'Country petrol prices nominal'!T49/CPIs!X48*CPIs!X$56</f>
        <v>107.32702125914325</v>
      </c>
      <c r="U48" s="3">
        <f>'Country petrol prices nominal'!U49/CPIs!Y48*CPIs!Y$56</f>
        <v>12.87939323185835</v>
      </c>
      <c r="V48" s="3">
        <f>'Country petrol prices nominal'!V49/CPIs!Z48*CPIs!Z$56</f>
        <v>1.4910172451502792</v>
      </c>
      <c r="W48" s="3">
        <f>'Country petrol prices nominal'!W49/CPIs!AB48*CPIs!AB$56</f>
        <v>70.926388484442285</v>
      </c>
    </row>
    <row r="49" spans="1:28">
      <c r="A49">
        <v>2010</v>
      </c>
      <c r="B49" s="3">
        <f>'Country petrol prices nominal'!B50/CPIs!B49*CPIs!B$56</f>
        <v>145.76299374953985</v>
      </c>
      <c r="C49" s="3">
        <f>'Country petrol prices nominal'!C50/CPIs!C49*CPIs!C$56</f>
        <v>135.29027636308592</v>
      </c>
      <c r="D49" s="3">
        <f>'Country petrol prices nominal'!D50/CPIs!D49*CPIs!D$56</f>
        <v>163.64050827689979</v>
      </c>
      <c r="E49" s="3">
        <f>'Country petrol prices nominal'!E50/CPIs!E49*CPIs!E$56</f>
        <v>134.95019221326905</v>
      </c>
      <c r="F49" s="3">
        <f>'Country petrol prices nominal'!F50/CPIs!F49*CPIs!F$56</f>
        <v>116.02811756301115</v>
      </c>
      <c r="G49" s="3">
        <f>'Country petrol prices nominal'!G50/CPIs!G49*CPIs!G$56</f>
        <v>8.0981200000000015</v>
      </c>
      <c r="H49" s="3">
        <f>'Country petrol prices nominal'!H50/CPIs!I49*CPIs!I$56</f>
        <v>11.613213624328614</v>
      </c>
      <c r="I49" s="3">
        <f>'Country petrol prices nominal'!I50/CPIs!J49*CPIs!J$56</f>
        <v>156.85764149553555</v>
      </c>
      <c r="J49" s="3">
        <f>'Country petrol prices nominal'!J50/CPIs!K49*CPIs!K$56</f>
        <v>143.63313893598632</v>
      </c>
      <c r="K49" s="3">
        <f>'Country petrol prices nominal'!K50/CPIs!L49*CPIs!L$56</f>
        <v>152.02287868685357</v>
      </c>
      <c r="L49" s="3">
        <f>'Country petrol prices nominal'!L50/CPIs!O49*CPIs!O$56</f>
        <v>78.384170657432904</v>
      </c>
      <c r="M49" s="3">
        <f>'Country petrol prices nominal'!M50/CPIs!P49*CPIs!P$56</f>
        <v>136.6718938246749</v>
      </c>
      <c r="N49" s="3">
        <f>'Country petrol prices nominal'!N50/CPIs!R49*CPIs!R$56</f>
        <v>148.09777324569683</v>
      </c>
      <c r="O49" s="3">
        <f>'Country petrol prices nominal'!O50/CPIs!S49*CPIs!S$56</f>
        <v>138.17026270713043</v>
      </c>
      <c r="P49" s="9">
        <f>'Country petrol prices nominal'!P50/CPIs!T49*CPIs!T$56</f>
        <v>1932.1432972875596</v>
      </c>
      <c r="Q49" s="3">
        <f>'Country petrol prices nominal'!Q50/CPIs!U49*CPIs!U$56</f>
        <v>166.91028648069533</v>
      </c>
      <c r="R49" s="3">
        <f>'Country petrol prices nominal'!R50/CPIs!V49*CPIs!V$56</f>
        <v>1.9512981647094725</v>
      </c>
      <c r="S49" s="3">
        <f>'Country petrol prices nominal'!S50/CPIs!W49*CPIs!W$56</f>
        <v>14.53971195348651</v>
      </c>
      <c r="T49" s="3">
        <f>'Country petrol prices nominal'!T50/CPIs!X49*CPIs!X$56</f>
        <v>122.57989769808961</v>
      </c>
      <c r="U49" s="3">
        <f>'Country petrol prices nominal'!U50/CPIs!Y49*CPIs!Y$56</f>
        <v>13.539159508345152</v>
      </c>
      <c r="V49" s="3">
        <f>'Country petrol prices nominal'!V50/CPIs!Z49*CPIs!Z$56</f>
        <v>1.6085679069165575</v>
      </c>
      <c r="W49" s="3">
        <f>'Country petrol prices nominal'!W50/CPIs!AB49*CPIs!AB$56</f>
        <v>82.5591136421735</v>
      </c>
    </row>
    <row r="50" spans="1:28">
      <c r="A50">
        <v>2011</v>
      </c>
      <c r="B50" s="3">
        <f>'Country petrol prices nominal'!B51/CPIs!B50*CPIs!B$56</f>
        <v>158.09355090258811</v>
      </c>
      <c r="C50" s="3">
        <f>'Country petrol prices nominal'!C51/CPIs!C50*CPIs!C$56</f>
        <v>149.8183441805711</v>
      </c>
      <c r="D50" s="3">
        <f>'Country petrol prices nominal'!D51/CPIs!D50*CPIs!D$56</f>
        <v>174.30534416589745</v>
      </c>
      <c r="E50" s="3">
        <f>'Country petrol prices nominal'!E51/CPIs!E50*CPIs!E$56</f>
        <v>147.93256776388264</v>
      </c>
      <c r="F50" s="3">
        <f>'Country petrol prices nominal'!F51/CPIs!F50*CPIs!F$56</f>
        <v>134.15652610964366</v>
      </c>
      <c r="G50" s="3">
        <f>'Country petrol prices nominal'!G51/CPIs!G50*CPIs!G$56</f>
        <v>8.5749313121743249</v>
      </c>
      <c r="H50" s="3">
        <f>'Country petrol prices nominal'!H51/CPIs!I50*CPIs!I$56</f>
        <v>12.759047004852793</v>
      </c>
      <c r="I50" s="3">
        <f>'Country petrol prices nominal'!I51/CPIs!J50*CPIs!J$56</f>
        <v>165.90545254423623</v>
      </c>
      <c r="J50" s="3">
        <f>'Country petrol prices nominal'!J51/CPIs!K50*CPIs!K$56</f>
        <v>156.78409109609851</v>
      </c>
      <c r="K50" s="3">
        <f>'Country petrol prices nominal'!K51/CPIs!L50*CPIs!L$56</f>
        <v>163.48105321240772</v>
      </c>
      <c r="L50" s="3">
        <f>'Country petrol prices nominal'!L51/CPIs!O50*CPIs!O$56</f>
        <v>90.346681306786266</v>
      </c>
      <c r="M50" s="3">
        <f>'Country petrol prices nominal'!M51/CPIs!P50*CPIs!P$56</f>
        <v>151.77904275942274</v>
      </c>
      <c r="N50" s="3">
        <f>'Country petrol prices nominal'!N51/CPIs!R50*CPIs!R$56</f>
        <v>164.03960827513146</v>
      </c>
      <c r="O50" s="3">
        <f>'Country petrol prices nominal'!O51/CPIs!S50*CPIs!S$56</f>
        <v>151.76099193379673</v>
      </c>
      <c r="P50" s="9">
        <f>'Country petrol prices nominal'!P51/CPIs!T50*CPIs!T$56</f>
        <v>1992.1336369452501</v>
      </c>
      <c r="Q50" s="3">
        <f>'Country petrol prices nominal'!Q51/CPIs!U50*CPIs!U$56</f>
        <v>177.84456594170709</v>
      </c>
      <c r="R50" s="3">
        <f>'Country petrol prices nominal'!R51/CPIs!V50*CPIs!V$56</f>
        <v>2.2086072022303731</v>
      </c>
      <c r="S50" s="3">
        <f>'Country petrol prices nominal'!S51/CPIs!W50*CPIs!W$56</f>
        <v>15.503228615081168</v>
      </c>
      <c r="T50" s="3">
        <f>'Country petrol prices nominal'!T51/CPIs!X50*CPIs!X$56</f>
        <v>134.33016243420698</v>
      </c>
      <c r="U50" s="3">
        <f>'Country petrol prices nominal'!U51/CPIs!Y50*CPIs!Y$56</f>
        <v>14.495277817304576</v>
      </c>
      <c r="V50" s="3">
        <f>'Country petrol prices nominal'!V51/CPIs!Z50*CPIs!Z$56</f>
        <v>1.6862255682827834</v>
      </c>
      <c r="W50" s="3">
        <f>'Country petrol prices nominal'!W51/CPIs!AB50*CPIs!AB$56</f>
        <v>101.42682253361208</v>
      </c>
    </row>
    <row r="51" spans="1:28">
      <c r="A51">
        <v>2012</v>
      </c>
      <c r="B51" s="3">
        <f>'Country petrol prices nominal'!B52/CPIs!B51*CPIs!B$56</f>
        <v>157.8150181776507</v>
      </c>
      <c r="C51" s="3">
        <f>'Country petrol prices nominal'!C52/CPIs!C51*CPIs!C$56</f>
        <v>156.13208759503374</v>
      </c>
      <c r="D51" s="3">
        <f>'Country petrol prices nominal'!D52/CPIs!D51*CPIs!D$56</f>
        <v>180.66388333578999</v>
      </c>
      <c r="E51" s="3">
        <f>'Country petrol prices nominal'!E52/CPIs!E51*CPIs!E$56</f>
        <v>146.26861107519275</v>
      </c>
      <c r="F51" s="3">
        <f>'Country petrol prices nominal'!F52/CPIs!F51*CPIs!F$56</f>
        <v>136.13921582492722</v>
      </c>
      <c r="G51" s="3">
        <f>'Country petrol prices nominal'!G52/CPIs!G51*CPIs!G$56</f>
        <v>8.6854782127031029</v>
      </c>
      <c r="H51" s="3">
        <f>'Country petrol prices nominal'!H52/CPIs!I51*CPIs!I$56</f>
        <v>13.149977153707399</v>
      </c>
      <c r="I51" s="3">
        <f>'Country petrol prices nominal'!I52/CPIs!J51*CPIs!J$56</f>
        <v>172.85067675237192</v>
      </c>
      <c r="J51" s="3">
        <f>'Country petrol prices nominal'!J52/CPIs!K51*CPIs!K$56</f>
        <v>160.7869861636166</v>
      </c>
      <c r="K51" s="3">
        <f>'Country petrol prices nominal'!K52/CPIs!L51*CPIs!L$56</f>
        <v>173.31105698095135</v>
      </c>
      <c r="L51" s="3">
        <f>'Country petrol prices nominal'!L52/CPIs!O51*CPIs!O$56</f>
        <v>89.725587936057025</v>
      </c>
      <c r="M51" s="3">
        <f>'Country petrol prices nominal'!M52/CPIs!P51*CPIs!P$56</f>
        <v>162.7963442262859</v>
      </c>
      <c r="N51" s="3">
        <f>'Country petrol prices nominal'!N52/CPIs!R51*CPIs!R$56</f>
        <v>183.51542911677078</v>
      </c>
      <c r="O51" s="3">
        <f>'Country petrol prices nominal'!O52/CPIs!S51*CPIs!S$56</f>
        <v>153.34350185294886</v>
      </c>
      <c r="P51" s="9">
        <f>'Country petrol prices nominal'!P52/CPIs!T51*CPIs!T$56</f>
        <v>2081.3745342223169</v>
      </c>
      <c r="Q51" s="3">
        <f>'Country petrol prices nominal'!Q52/CPIs!U51*CPIs!U$56</f>
        <v>186.44555523189837</v>
      </c>
      <c r="R51" s="3">
        <f>'Country petrol prices nominal'!R52/CPIs!V51*CPIs!V$56</f>
        <v>2.2535516039261765</v>
      </c>
      <c r="S51" s="3">
        <f>'Country petrol prices nominal'!S52/CPIs!W51*CPIs!W$56</f>
        <v>16.536193560785069</v>
      </c>
      <c r="T51" s="3">
        <f>'Country petrol prices nominal'!T52/CPIs!X51*CPIs!X$56</f>
        <v>141.88810867343381</v>
      </c>
      <c r="U51" s="3">
        <f>'Country petrol prices nominal'!U52/CPIs!Y51*CPIs!Y$56</f>
        <v>15.339999577432197</v>
      </c>
      <c r="V51" s="3">
        <f>'Country petrol prices nominal'!V52/CPIs!Z51*CPIs!Z$56</f>
        <v>1.7374725991117952</v>
      </c>
      <c r="W51" s="3">
        <f>'Country petrol prices nominal'!W52/CPIs!AB51*CPIs!AB$56</f>
        <v>102.35326852146619</v>
      </c>
    </row>
    <row r="52" spans="1:28">
      <c r="A52">
        <v>2013</v>
      </c>
      <c r="B52" s="3">
        <f>'Country petrol prices nominal'!B53/CPIs!B52*CPIs!B$56</f>
        <v>156.94677056232294</v>
      </c>
      <c r="C52" s="3">
        <f>'Country petrol prices nominal'!C53/CPIs!C52*CPIs!C$56</f>
        <v>147.07380012698297</v>
      </c>
      <c r="D52" s="3">
        <f>'Country petrol prices nominal'!D53/CPIs!D52*CPIs!D$56</f>
        <v>171.61789532594682</v>
      </c>
      <c r="E52" s="3">
        <f>'Country petrol prices nominal'!E53/CPIs!E52*CPIs!E$56</f>
        <v>141.12479553346003</v>
      </c>
      <c r="F52" s="3">
        <f>'Country petrol prices nominal'!F53/CPIs!F52*CPIs!F$56</f>
        <v>135.28991350427663</v>
      </c>
      <c r="G52" s="3">
        <f>'Country petrol prices nominal'!G53/CPIs!G52*CPIs!G$56</f>
        <v>8.1421734436847792</v>
      </c>
      <c r="H52" s="3">
        <f>'Country petrol prices nominal'!H53/CPIs!I52*CPIs!I$56</f>
        <v>12.831084146528525</v>
      </c>
      <c r="I52" s="3">
        <f>'Country petrol prices nominal'!I53/CPIs!J52*CPIs!J$56</f>
        <v>167.45724255585895</v>
      </c>
      <c r="J52" s="3">
        <f>'Country petrol prices nominal'!J53/CPIs!K52*CPIs!K$56</f>
        <v>156.43603891747364</v>
      </c>
      <c r="K52" s="3">
        <f>'Country petrol prices nominal'!K53/CPIs!L52*CPIs!L$56</f>
        <v>165.55498009695265</v>
      </c>
      <c r="L52" s="3">
        <f>'Country petrol prices nominal'!L53/CPIs!O52*CPIs!O$56</f>
        <v>83.172498083644754</v>
      </c>
      <c r="M52" s="3">
        <f>'Country petrol prices nominal'!M53/CPIs!P52*CPIs!P$56</f>
        <v>159.19064529629796</v>
      </c>
      <c r="N52" s="3">
        <f>'Country petrol prices nominal'!N53/CPIs!R52*CPIs!R$56</f>
        <v>177.3026828288958</v>
      </c>
      <c r="O52" s="3">
        <f>'Country petrol prices nominal'!O53/CPIs!S52*CPIs!S$56</f>
        <v>161.91738184916966</v>
      </c>
      <c r="P52" s="9">
        <f>'Country petrol prices nominal'!P53/CPIs!T52*CPIs!T$56</f>
        <v>1929.6990120506521</v>
      </c>
      <c r="Q52" s="3">
        <f>'Country petrol prices nominal'!Q53/CPIs!U52*CPIs!U$56</f>
        <v>179.5348365830919</v>
      </c>
      <c r="R52" s="3">
        <f>'Country petrol prices nominal'!R53/CPIs!V52*CPIs!V$56</f>
        <v>2.2393695119417556</v>
      </c>
      <c r="S52" s="3">
        <f>'Country petrol prices nominal'!S53/CPIs!W52*CPIs!W$56</f>
        <v>16.847820522899895</v>
      </c>
      <c r="T52" s="3">
        <f>'Country petrol prices nominal'!T53/CPIs!X52*CPIs!X$56</f>
        <v>140.52359255635483</v>
      </c>
      <c r="U52" s="3">
        <f>'Country petrol prices nominal'!U53/CPIs!Y52*CPIs!Y$56</f>
        <v>14.838571664279321</v>
      </c>
      <c r="V52" s="3">
        <f>'Country petrol prices nominal'!V53/CPIs!Z52*CPIs!Z$56</f>
        <v>1.7313632286834566</v>
      </c>
      <c r="W52" s="3">
        <f>'Country petrol prices nominal'!W53/CPIs!AB52*CPIs!AB$56</f>
        <v>97.598925655339755</v>
      </c>
    </row>
    <row r="53" spans="1:28">
      <c r="A53">
        <v>2014</v>
      </c>
      <c r="B53" s="3">
        <f>'Country petrol prices nominal'!B54/CPIs!B53*CPIs!B$56</f>
        <v>154.12200332171693</v>
      </c>
      <c r="C53" s="3">
        <f>'Country petrol prices nominal'!C54/CPIs!C53*CPIs!C$56</f>
        <v>140.25142943740295</v>
      </c>
      <c r="D53" s="3">
        <f>'Country petrol prices nominal'!D54/CPIs!D53*CPIs!D$56</f>
        <v>165.81842890283943</v>
      </c>
      <c r="E53" s="3">
        <f>'Country petrol prices nominal'!E54/CPIs!E53*CPIs!E$56</f>
        <v>131.4660380257323</v>
      </c>
      <c r="F53" s="3">
        <f>'Country petrol prices nominal'!F54/CPIs!F53*CPIs!F$56</f>
        <v>133.36608814662068</v>
      </c>
      <c r="G53" s="3">
        <f>'Country petrol prices nominal'!G54/CPIs!G53*CPIs!G$56</f>
        <v>7.5550258702445028</v>
      </c>
      <c r="H53" s="3">
        <f>'Country petrol prices nominal'!H54/CPIs!I53*CPIs!I$56</f>
        <v>12.441868304883535</v>
      </c>
      <c r="I53" s="3">
        <f>'Country petrol prices nominal'!I54/CPIs!J53*CPIs!J$56</f>
        <v>162.17954267324259</v>
      </c>
      <c r="J53" s="3">
        <f>'Country petrol prices nominal'!J54/CPIs!K53*CPIs!K$56</f>
        <v>151.06128097420387</v>
      </c>
      <c r="K53" s="3">
        <f>'Country petrol prices nominal'!K54/CPIs!L53*CPIs!L$56</f>
        <v>158.13013269276655</v>
      </c>
      <c r="L53" s="3">
        <f>'Country petrol prices nominal'!L54/CPIs!O53*CPIs!O$56</f>
        <v>78.801980190812202</v>
      </c>
      <c r="M53" s="3">
        <f>'Country petrol prices nominal'!M54/CPIs!P53*CPIs!P$56</f>
        <v>153.05339532869954</v>
      </c>
      <c r="N53" s="3">
        <f>'Country petrol prices nominal'!N54/CPIs!R53*CPIs!R$56</f>
        <v>173.58400367483142</v>
      </c>
      <c r="O53" s="3">
        <f>'Country petrol prices nominal'!O54/CPIs!S53*CPIs!S$56</f>
        <v>164.81591939226672</v>
      </c>
      <c r="P53" s="9">
        <f>'Country petrol prices nominal'!P54/CPIs!T53*CPIs!T$56</f>
        <v>1782.0461001582726</v>
      </c>
      <c r="Q53" s="3">
        <f>'Country petrol prices nominal'!Q54/CPIs!U53*CPIs!U$56</f>
        <v>174.14148139752933</v>
      </c>
      <c r="R53" s="3">
        <f>'Country petrol prices nominal'!R54/CPIs!V53*CPIs!V$56</f>
        <v>2.2238951998211856</v>
      </c>
      <c r="S53" s="3">
        <f>'Country petrol prices nominal'!S54/CPIs!W53*CPIs!W$56</f>
        <v>16.882651324733366</v>
      </c>
      <c r="T53" s="3">
        <f>'Country petrol prices nominal'!T54/CPIs!X53*CPIs!X$56</f>
        <v>136.87992078925211</v>
      </c>
      <c r="U53" s="3">
        <f>'Country petrol prices nominal'!U54/CPIs!Y53*CPIs!Y$56</f>
        <v>14.621504155350955</v>
      </c>
      <c r="V53" s="3">
        <f>'Country petrol prices nominal'!V54/CPIs!Z53*CPIs!Z$56</f>
        <v>1.6821183417762309</v>
      </c>
      <c r="W53" s="3">
        <f>'Country petrol prices nominal'!W54/CPIs!AB53*CPIs!AB$56</f>
        <v>92.101599031591505</v>
      </c>
    </row>
    <row r="54" spans="1:28">
      <c r="A54">
        <v>2015</v>
      </c>
      <c r="B54" s="3">
        <f>'Country petrol prices nominal'!B55/CPIs!B54*CPIs!B$56</f>
        <v>132.24989495340208</v>
      </c>
      <c r="C54" s="3">
        <f>'Country petrol prices nominal'!C55/CPIs!C54*CPIs!C$56</f>
        <v>123.80255115601979</v>
      </c>
      <c r="D54" s="3">
        <f>'Country petrol prices nominal'!D55/CPIs!D54*CPIs!D$56</f>
        <v>146.8050177933026</v>
      </c>
      <c r="E54" s="3">
        <f>'Country petrol prices nominal'!E55/CPIs!E54*CPIs!E$56</f>
        <v>114.66999679202272</v>
      </c>
      <c r="F54" s="3">
        <f>'Country petrol prices nominal'!F55/CPIs!F54*CPIs!F$56</f>
        <v>109.8965714864927</v>
      </c>
      <c r="G54" s="3">
        <f>'Country petrol prices nominal'!G55/CPIs!G54*CPIs!G$56</f>
        <v>5.1635235363731296</v>
      </c>
      <c r="H54" s="3">
        <f>'Country petrol prices nominal'!H55/CPIs!I54*CPIs!I$56</f>
        <v>11.310853815717714</v>
      </c>
      <c r="I54" s="3">
        <f>'Country petrol prices nominal'!I55/CPIs!J54*CPIs!J$56</f>
        <v>148.43721940240317</v>
      </c>
      <c r="J54" s="3">
        <f>'Country petrol prices nominal'!J55/CPIs!K54*CPIs!K$56</f>
        <v>137.28534858125619</v>
      </c>
      <c r="K54" s="3">
        <f>'Country petrol prices nominal'!K55/CPIs!L54*CPIs!L$56</f>
        <v>142.82196815409196</v>
      </c>
      <c r="L54" s="3">
        <f>'Country petrol prices nominal'!L55/CPIs!O54*CPIs!O$56</f>
        <v>66.549340236524998</v>
      </c>
      <c r="M54" s="3">
        <f>'Country petrol prices nominal'!M55/CPIs!P54*CPIs!P$56</f>
        <v>137.36546000000004</v>
      </c>
      <c r="N54" s="3">
        <f>'Country petrol prices nominal'!N55/CPIs!R54*CPIs!R$56</f>
        <v>155.46782187675763</v>
      </c>
      <c r="O54" s="3">
        <f>'Country petrol prices nominal'!O55/CPIs!S54*CPIs!S$56</f>
        <v>137.97086528034484</v>
      </c>
      <c r="P54" s="9">
        <f>'Country petrol prices nominal'!P55/CPIs!T54*CPIs!T$56</f>
        <v>1570.8739640381657</v>
      </c>
      <c r="Q54" s="3">
        <f>'Country petrol prices nominal'!Q55/CPIs!U54*CPIs!U$56</f>
        <v>159.0097124998926</v>
      </c>
      <c r="R54" s="3">
        <f>'Country petrol prices nominal'!R55/CPIs!V54*CPIs!V$56</f>
        <v>2.0151148403262478</v>
      </c>
      <c r="S54" s="3">
        <f>'Country petrol prices nominal'!S55/CPIs!W54*CPIs!W$56</f>
        <v>15.87153427985062</v>
      </c>
      <c r="T54" s="3">
        <f>'Country petrol prices nominal'!T55/CPIs!X54*CPIs!X$56</f>
        <v>121.67627598218583</v>
      </c>
      <c r="U54" s="3">
        <f>'Country petrol prices nominal'!U55/CPIs!Y54*CPIs!Y$56</f>
        <v>13.491579375504973</v>
      </c>
      <c r="V54" s="3">
        <f>'Country petrol prices nominal'!V55/CPIs!Z54*CPIs!Z$56</f>
        <v>1.4513495013546844</v>
      </c>
      <c r="W54" s="3">
        <f>'Country petrol prices nominal'!W55/CPIs!AB54*CPIs!AB$56</f>
        <v>66.181342850068987</v>
      </c>
    </row>
    <row r="55" spans="1:28">
      <c r="A55">
        <v>2016</v>
      </c>
      <c r="B55" s="3">
        <f>'Country petrol prices nominal'!B56/CPIs!B55*CPIs!B$56</f>
        <v>118.95981614201958</v>
      </c>
      <c r="C55" s="3">
        <f>'Country petrol prices nominal'!C56/CPIs!C55*CPIs!C$56</f>
        <v>113.4537536</v>
      </c>
      <c r="D55" s="3">
        <f>'Country petrol prices nominal'!D56/CPIs!D55*CPIs!D$56</f>
        <v>133.39100157594532</v>
      </c>
      <c r="E55" s="3">
        <f>'Country petrol prices nominal'!E56/CPIs!E55*CPIs!E$56</f>
        <v>112.36885526401343</v>
      </c>
      <c r="F55" s="3">
        <f>'Country petrol prices nominal'!F56/CPIs!F55*CPIs!F$56</f>
        <v>102.66154999999999</v>
      </c>
      <c r="G55" s="3">
        <f>'Country petrol prices nominal'!G56/CPIs!G55*CPIs!G$56</f>
        <v>5.0027959529090609</v>
      </c>
      <c r="H55" s="3">
        <f>'Country petrol prices nominal'!H56/CPIs!I55*CPIs!I$56</f>
        <v>10.615667266425097</v>
      </c>
      <c r="I55" s="3">
        <f>'Country petrol prices nominal'!I56/CPIs!J55*CPIs!J$56</f>
        <v>139.11962999999997</v>
      </c>
      <c r="J55" s="3">
        <f>'Country petrol prices nominal'!J56/CPIs!K55*CPIs!K$56</f>
        <v>131.45694242199997</v>
      </c>
      <c r="K55" s="3">
        <f>'Country petrol prices nominal'!K56/CPIs!L55*CPIs!L$56</f>
        <v>132.81343080000002</v>
      </c>
      <c r="L55" s="3">
        <f>'Country petrol prices nominal'!L56/CPIs!O55*CPIs!O$56</f>
        <v>64.503789666666663</v>
      </c>
      <c r="M55" s="3">
        <f>'Country petrol prices nominal'!M56/CPIs!P55*CPIs!P$56</f>
        <v>128.73802612</v>
      </c>
      <c r="N55" s="3">
        <f>'Country petrol prices nominal'!N56/CPIs!R55*CPIs!R$56</f>
        <v>146.09882077199998</v>
      </c>
      <c r="O55" s="3">
        <f>'Country petrol prices nominal'!O56/CPIs!S55*CPIs!S$56</f>
        <v>122.389205</v>
      </c>
      <c r="P55" s="9">
        <f>'Country petrol prices nominal'!P56/CPIs!T55*CPIs!T$56</f>
        <v>1420.1635000000001</v>
      </c>
      <c r="Q55" s="3">
        <f>'Country petrol prices nominal'!Q56/CPIs!U55*CPIs!U$56</f>
        <v>149.75302999999994</v>
      </c>
      <c r="R55" s="3">
        <f>'Country petrol prices nominal'!R56/CPIs!V55*CPIs!V$56</f>
        <v>1.91262</v>
      </c>
      <c r="S55" s="3">
        <f>'Country petrol prices nominal'!S56/CPIs!W55*CPIs!W$56</f>
        <v>15.042574083320719</v>
      </c>
      <c r="T55" s="3">
        <f>'Country petrol prices nominal'!T56/CPIs!X55*CPIs!X$56</f>
        <v>117.19924748000005</v>
      </c>
      <c r="U55" s="3">
        <f>'Country petrol prices nominal'!U56/CPIs!Y55*CPIs!Y$56</f>
        <v>13.307405577625012</v>
      </c>
      <c r="V55" s="3">
        <f>'Country petrol prices nominal'!V56/CPIs!Z55*CPIs!Z$56</f>
        <v>1.4074200000000001</v>
      </c>
      <c r="W55" s="3">
        <f>'Country petrol prices nominal'!W56/CPIs!AB55*CPIs!AB$56</f>
        <v>58.784325833333348</v>
      </c>
    </row>
    <row r="56" spans="1:28">
      <c r="A56">
        <v>2017</v>
      </c>
      <c r="B56" s="3">
        <f>'Country petrol prices nominal'!B57/CPIs!B56*CPIs!B$56</f>
        <v>128.02082212403147</v>
      </c>
      <c r="C56" s="3">
        <f>'Country petrol prices nominal'!C57/CPIs!C56*CPIs!C$56</f>
        <v>117.74400000000001</v>
      </c>
      <c r="D56" s="3">
        <f>'Country petrol prices nominal'!D57/CPIs!D56*CPIs!D$56</f>
        <v>140.37086541124975</v>
      </c>
      <c r="E56" s="3">
        <f>'Country petrol prices nominal'!E57/CPIs!E56*CPIs!E$56</f>
        <v>117.32043923337093</v>
      </c>
      <c r="F56" s="3">
        <f>'Country petrol prices nominal'!F57/CPIs!F56*CPIs!F$56</f>
        <v>111.48662536798223</v>
      </c>
      <c r="G56" s="3">
        <f>'Country petrol prices nominal'!G57/CPIs!G56*CPIs!G$56</f>
        <v>4.8657599999999999</v>
      </c>
      <c r="H56" s="3">
        <f>'Country petrol prices nominal'!H57/CPIs!I56*CPIs!I$56</f>
        <v>11.12596470507328</v>
      </c>
      <c r="I56" s="3">
        <f>'Country petrol prices nominal'!I57/CPIs!J56*CPIs!J$56</f>
        <v>146.43200000000002</v>
      </c>
      <c r="J56" s="3">
        <f>'Country petrol prices nominal'!J57/CPIs!K56*CPIs!K$56</f>
        <v>137.5376</v>
      </c>
      <c r="K56" s="3">
        <f>'Country petrol prices nominal'!K57/CPIs!L56*CPIs!L$56</f>
        <v>137.38800000000003</v>
      </c>
      <c r="L56" s="3">
        <f>'Country petrol prices nominal'!L57/CPIs!O56*CPIs!O$56</f>
        <v>68.420833333333334</v>
      </c>
      <c r="M56" s="3">
        <f>'Country petrol prices nominal'!M57/CPIs!P56*CPIs!P$56</f>
        <v>136.38000000000005</v>
      </c>
      <c r="N56" s="3">
        <f>'Country petrol prices nominal'!N57/CPIs!R56*CPIs!R$56</f>
        <v>152.76388</v>
      </c>
      <c r="O56" s="3">
        <f>'Country petrol prices nominal'!O57/CPIs!S56*CPIs!S$56</f>
        <v>133.5</v>
      </c>
      <c r="P56" s="9">
        <f>'Country petrol prices nominal'!P57/CPIs!T56*CPIs!T$56</f>
        <v>1489</v>
      </c>
      <c r="Q56" s="3">
        <f>'Country petrol prices nominal'!Q57/CPIs!U56*CPIs!U$56</f>
        <v>155.21100000000001</v>
      </c>
      <c r="R56" s="3">
        <f>'Country petrol prices nominal'!R57/CPIs!V56*CPIs!V$56</f>
        <v>2.020833333333333</v>
      </c>
      <c r="S56" s="3">
        <f>'Country petrol prices nominal'!S57/CPIs!W56*CPIs!W$56</f>
        <v>16.235867241988913</v>
      </c>
      <c r="T56" s="3">
        <f>'Country petrol prices nominal'!T57/CPIs!X56*CPIs!X$56</f>
        <v>121.68797999999995</v>
      </c>
      <c r="U56" s="3">
        <f>'Country petrol prices nominal'!U57/CPIs!Y56*CPIs!Y$56</f>
        <v>14.025177969334843</v>
      </c>
      <c r="V56" s="3">
        <f>'Country petrol prices nominal'!V57/CPIs!Z56*CPIs!Z$56</f>
        <v>1.5</v>
      </c>
      <c r="W56" s="3">
        <f>'Country petrol prices nominal'!W57/CPIs!AB56*CPIs!AB$56</f>
        <v>63.86666666666666</v>
      </c>
    </row>
    <row r="57" spans="1:28">
      <c r="A57">
        <v>2018</v>
      </c>
      <c r="T57" s="12"/>
    </row>
    <row r="58" spans="1:28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7"/>
      <c r="U58" s="3"/>
      <c r="V58" s="3"/>
      <c r="W58" s="3"/>
      <c r="X58" s="3"/>
      <c r="Y58" s="3"/>
      <c r="Z58" s="3"/>
      <c r="AA58" s="3"/>
      <c r="AB58" s="3"/>
    </row>
    <row r="59" spans="1:28">
      <c r="T59" s="12"/>
    </row>
    <row r="60" spans="1:28">
      <c r="T60" s="1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N92"/>
  <sheetViews>
    <sheetView zoomScale="75" zoomScaleNormal="75" workbookViewId="0">
      <pane xSplit="1" ySplit="4" topLeftCell="B26" activePane="bottomRight" state="frozen"/>
      <selection activeCell="BN97" sqref="BN97"/>
      <selection pane="topRight" activeCell="BN97" sqref="BN97"/>
      <selection pane="bottomLeft" activeCell="BN97" sqref="BN97"/>
      <selection pane="bottomRight" activeCell="D57" sqref="D57"/>
    </sheetView>
  </sheetViews>
  <sheetFormatPr defaultRowHeight="15"/>
  <cols>
    <col min="1" max="1" width="6.7109375" customWidth="1"/>
    <col min="2" max="2" width="9.28515625" style="3" customWidth="1"/>
    <col min="3" max="4" width="11.42578125" style="3" customWidth="1"/>
    <col min="5" max="5" width="8.42578125" style="3" customWidth="1"/>
    <col min="6" max="6" width="7.85546875" style="3" customWidth="1"/>
    <col min="7" max="7" width="7" style="3" customWidth="1"/>
    <col min="8" max="8" width="9.140625" style="3"/>
    <col min="9" max="11" width="11.5703125" style="3" customWidth="1"/>
    <col min="12" max="12" width="8.5703125" style="3" customWidth="1"/>
    <col min="13" max="14" width="12" style="3" customWidth="1"/>
    <col min="15" max="15" width="8" style="3" customWidth="1"/>
    <col min="16" max="16" width="7.28515625" style="3" customWidth="1"/>
    <col min="17" max="17" width="11.85546875" style="3" customWidth="1"/>
    <col min="18" max="18" width="12.5703125" style="3" customWidth="1"/>
    <col min="19" max="19" width="7.5703125" style="3" customWidth="1"/>
    <col min="20" max="20" width="11.7109375" style="3" customWidth="1"/>
    <col min="21" max="21" width="9.140625" style="3"/>
    <col min="22" max="22" width="11" style="3" customWidth="1"/>
    <col min="23" max="23" width="8.140625" style="3" customWidth="1"/>
    <col min="24" max="26" width="9.140625" style="3"/>
    <col min="27" max="27" width="11" style="3" customWidth="1"/>
    <col min="28" max="28" width="10.140625" style="3" customWidth="1"/>
    <col min="29" max="39" width="9.140625" style="3"/>
    <col min="40" max="40" width="11.42578125" style="3" customWidth="1"/>
    <col min="41" max="51" width="9.140625" style="3"/>
    <col min="52" max="52" width="10.7109375" style="3" customWidth="1"/>
    <col min="53" max="54" width="9.140625" style="3"/>
    <col min="55" max="57" width="9.140625" style="3" customWidth="1"/>
    <col min="58" max="61" width="9.140625" style="3"/>
    <col min="63" max="63" width="6.7109375" customWidth="1"/>
  </cols>
  <sheetData>
    <row r="1" spans="1:80">
      <c r="P1" s="24" t="s">
        <v>1708</v>
      </c>
      <c r="V1" s="3" t="s">
        <v>1845</v>
      </c>
    </row>
    <row r="2" spans="1:80">
      <c r="B2" t="s">
        <v>248</v>
      </c>
      <c r="X2"/>
      <c r="Y2"/>
      <c r="Z2" t="s">
        <v>327</v>
      </c>
      <c r="AA2"/>
      <c r="AH2" s="3" t="s">
        <v>326</v>
      </c>
      <c r="BB2" s="3" t="s">
        <v>330</v>
      </c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</row>
    <row r="3" spans="1:80">
      <c r="B3" s="96" t="s">
        <v>1696</v>
      </c>
      <c r="C3" s="95" t="s">
        <v>1846</v>
      </c>
      <c r="D3" s="95" t="s">
        <v>1846</v>
      </c>
      <c r="E3" s="104" t="s">
        <v>1847</v>
      </c>
      <c r="F3" s="106" t="s">
        <v>1871</v>
      </c>
      <c r="G3" s="3" t="s">
        <v>1953</v>
      </c>
      <c r="H3" s="3" t="s">
        <v>1851</v>
      </c>
      <c r="I3" s="95" t="s">
        <v>1846</v>
      </c>
      <c r="J3" s="95" t="s">
        <v>1846</v>
      </c>
      <c r="K3" s="95" t="s">
        <v>1846</v>
      </c>
      <c r="L3" s="3" t="s">
        <v>1920</v>
      </c>
      <c r="M3" s="95" t="s">
        <v>1846</v>
      </c>
      <c r="N3" s="95" t="s">
        <v>1846</v>
      </c>
      <c r="O3" s="107" t="s">
        <v>1853</v>
      </c>
      <c r="P3" s="109" t="s">
        <v>1854</v>
      </c>
      <c r="Q3" s="95" t="s">
        <v>1846</v>
      </c>
      <c r="R3" s="30" t="s">
        <v>1855</v>
      </c>
      <c r="S3" s="108" t="s">
        <v>1850</v>
      </c>
      <c r="T3" s="95" t="s">
        <v>1846</v>
      </c>
      <c r="U3" s="105" t="s">
        <v>1701</v>
      </c>
      <c r="V3" s="110" t="s">
        <v>1856</v>
      </c>
      <c r="W3" s="6" t="s">
        <v>1702</v>
      </c>
      <c r="X3"/>
      <c r="Y3"/>
      <c r="AH3" s="6" t="s">
        <v>331</v>
      </c>
      <c r="AI3" s="6"/>
      <c r="AJ3" s="6"/>
      <c r="AK3" s="6"/>
      <c r="AL3" s="6"/>
      <c r="AM3" s="6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</row>
    <row r="4" spans="1:80">
      <c r="B4" s="103" t="s">
        <v>0</v>
      </c>
      <c r="C4" s="103" t="s">
        <v>219</v>
      </c>
      <c r="D4" s="103" t="s">
        <v>146</v>
      </c>
      <c r="E4" s="103" t="s">
        <v>150</v>
      </c>
      <c r="F4" s="103" t="s">
        <v>29</v>
      </c>
      <c r="G4" s="103" t="s">
        <v>328</v>
      </c>
      <c r="H4" s="103" t="s">
        <v>125</v>
      </c>
      <c r="I4" s="103" t="s">
        <v>220</v>
      </c>
      <c r="J4" s="103" t="s">
        <v>168</v>
      </c>
      <c r="K4" s="103" t="s">
        <v>170</v>
      </c>
      <c r="L4" s="103" t="s">
        <v>329</v>
      </c>
      <c r="M4" s="103" t="s">
        <v>173</v>
      </c>
      <c r="N4" s="103" t="s">
        <v>210</v>
      </c>
      <c r="O4" s="103" t="s">
        <v>184</v>
      </c>
      <c r="P4" s="103" t="s">
        <v>186</v>
      </c>
      <c r="Q4" s="103" t="s">
        <v>223</v>
      </c>
      <c r="R4" s="103" t="s">
        <v>224</v>
      </c>
      <c r="S4" s="103" t="s">
        <v>196</v>
      </c>
      <c r="T4" s="103" t="s">
        <v>211</v>
      </c>
      <c r="U4" s="103" t="s">
        <v>200</v>
      </c>
      <c r="V4" s="103" t="s">
        <v>225</v>
      </c>
      <c r="W4" s="103" t="s">
        <v>226</v>
      </c>
      <c r="X4"/>
      <c r="Y4"/>
      <c r="Z4" s="3" t="s">
        <v>0</v>
      </c>
      <c r="AA4" s="3" t="s">
        <v>0</v>
      </c>
      <c r="AB4" s="3" t="s">
        <v>219</v>
      </c>
      <c r="AC4" s="3" t="s">
        <v>219</v>
      </c>
      <c r="AD4" s="3" t="s">
        <v>146</v>
      </c>
      <c r="AE4" s="3" t="s">
        <v>146</v>
      </c>
      <c r="AF4" s="3" t="s">
        <v>150</v>
      </c>
      <c r="AG4" s="3" t="s">
        <v>150</v>
      </c>
      <c r="AH4" s="3" t="s">
        <v>29</v>
      </c>
      <c r="AI4" s="3" t="s">
        <v>29</v>
      </c>
      <c r="AJ4" s="3" t="s">
        <v>124</v>
      </c>
      <c r="AK4" s="3" t="s">
        <v>124</v>
      </c>
      <c r="AL4" s="3" t="s">
        <v>125</v>
      </c>
      <c r="AM4" s="3" t="s">
        <v>125</v>
      </c>
      <c r="AN4" s="3" t="s">
        <v>220</v>
      </c>
      <c r="AO4" s="3" t="s">
        <v>220</v>
      </c>
      <c r="AP4" s="3" t="s">
        <v>168</v>
      </c>
      <c r="AQ4" s="3" t="s">
        <v>168</v>
      </c>
      <c r="AR4" s="3" t="s">
        <v>170</v>
      </c>
      <c r="AS4" s="3" t="s">
        <v>170</v>
      </c>
      <c r="AT4" s="3" t="s">
        <v>221</v>
      </c>
      <c r="AU4" s="3" t="s">
        <v>221</v>
      </c>
      <c r="AV4" s="3" t="s">
        <v>171</v>
      </c>
      <c r="AW4" s="3" t="s">
        <v>171</v>
      </c>
      <c r="AX4" s="3" t="s">
        <v>173</v>
      </c>
      <c r="AY4" s="3" t="s">
        <v>173</v>
      </c>
      <c r="AZ4" s="3" t="s">
        <v>222</v>
      </c>
      <c r="BA4" s="3" t="s">
        <v>222</v>
      </c>
      <c r="BB4" s="7" t="s">
        <v>210</v>
      </c>
      <c r="BC4" s="7" t="s">
        <v>210</v>
      </c>
      <c r="BD4" s="3" t="s">
        <v>184</v>
      </c>
      <c r="BE4" s="3" t="s">
        <v>184</v>
      </c>
      <c r="BF4" s="3" t="s">
        <v>186</v>
      </c>
      <c r="BG4" s="3" t="s">
        <v>186</v>
      </c>
      <c r="BH4" s="3" t="s">
        <v>223</v>
      </c>
      <c r="BI4" s="3" t="s">
        <v>223</v>
      </c>
      <c r="BJ4" s="3" t="s">
        <v>224</v>
      </c>
      <c r="BK4" s="3" t="s">
        <v>224</v>
      </c>
      <c r="BL4" s="3" t="s">
        <v>196</v>
      </c>
      <c r="BM4" s="3" t="s">
        <v>196</v>
      </c>
      <c r="BN4" s="3" t="s">
        <v>211</v>
      </c>
      <c r="BO4" s="3" t="s">
        <v>211</v>
      </c>
      <c r="BP4" s="3" t="s">
        <v>200</v>
      </c>
      <c r="BQ4" s="3" t="s">
        <v>200</v>
      </c>
      <c r="BR4" s="3" t="s">
        <v>225</v>
      </c>
      <c r="BS4" s="3" t="s">
        <v>225</v>
      </c>
      <c r="BT4" s="3" t="s">
        <v>212</v>
      </c>
      <c r="BU4" s="3"/>
      <c r="BV4" s="3" t="s">
        <v>226</v>
      </c>
      <c r="BW4" s="3" t="s">
        <v>226</v>
      </c>
      <c r="BY4" s="3" t="s">
        <v>328</v>
      </c>
      <c r="BZ4" s="3" t="s">
        <v>328</v>
      </c>
      <c r="CA4" s="3" t="s">
        <v>329</v>
      </c>
      <c r="CB4" s="3" t="s">
        <v>329</v>
      </c>
    </row>
    <row r="5" spans="1:80">
      <c r="A5">
        <v>1965</v>
      </c>
      <c r="B5" s="3">
        <f>Australia!I44</f>
        <v>7.6689999999999996</v>
      </c>
      <c r="C5" s="3">
        <f>Austria!I44</f>
        <v>22.648694596053598</v>
      </c>
      <c r="D5" s="3">
        <f>Belgium!I44</f>
        <v>16.886522609048441</v>
      </c>
      <c r="E5" s="3">
        <f>Britain!I44</f>
        <v>5.1595685677871828</v>
      </c>
      <c r="F5" s="3">
        <f>Canada!I44</f>
        <v>9.259253265546155</v>
      </c>
      <c r="H5" s="7">
        <f>Denmark!I44</f>
        <v>0.99462299018406641</v>
      </c>
      <c r="I5" s="3">
        <f>Finland!I44*100</f>
        <v>9.3647009495284834</v>
      </c>
      <c r="J5" s="3">
        <f>France!I44*100</f>
        <v>14.284176466884613</v>
      </c>
      <c r="K5" s="3">
        <f>Germany!I44*100</f>
        <v>27.718555298264612</v>
      </c>
      <c r="M5" s="3">
        <f>Ireland!I44*100</f>
        <v>7.2555924225677639</v>
      </c>
      <c r="N5" s="3">
        <f>Italy!I44*100</f>
        <v>5.7162108836557701</v>
      </c>
      <c r="O5" s="3">
        <f>Japan!I44</f>
        <v>49.761201450491498</v>
      </c>
      <c r="P5" s="4">
        <f>Korea!I44</f>
        <v>29.516304740593878</v>
      </c>
      <c r="Q5" s="3">
        <f>Netherlands!I44*100</f>
        <v>22.833296719312433</v>
      </c>
      <c r="R5" s="3">
        <f>'New Zealand'!I44</f>
        <v>7.0480624616480594E-2</v>
      </c>
      <c r="S5" s="3">
        <f>Norway!I44</f>
        <v>1.0714285272212392</v>
      </c>
      <c r="T5" s="3">
        <f>Spain!I44*100</f>
        <v>4.9907586038029823</v>
      </c>
      <c r="U5" s="3">
        <f>Sweden!I44</f>
        <v>0.73138117368159794</v>
      </c>
      <c r="V5" s="3">
        <f>Swiss!I44</f>
        <v>0.6466617338846864</v>
      </c>
      <c r="W5" s="3">
        <f>USA!M52</f>
        <v>8.2292070000000006</v>
      </c>
      <c r="X5"/>
      <c r="Y5">
        <v>1965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80">
      <c r="A6">
        <v>1966</v>
      </c>
      <c r="B6" s="3">
        <f>Australia!I45</f>
        <v>8.0719999999999992</v>
      </c>
      <c r="C6" s="3">
        <f>Austria!I45</f>
        <v>23.379291226857806</v>
      </c>
      <c r="D6" s="3">
        <f>Belgium!I45</f>
        <v>19.138069904301407</v>
      </c>
      <c r="E6" s="3">
        <f>Britain!I45</f>
        <v>5.7188482728575023</v>
      </c>
      <c r="F6" s="3">
        <f>Canada!I45</f>
        <v>9.6215351773320954</v>
      </c>
      <c r="H6" s="7">
        <f>Denmark!I45</f>
        <v>0.99462280714315354</v>
      </c>
      <c r="I6" s="3">
        <f>Finland!I45*100</f>
        <v>10.279649636024509</v>
      </c>
      <c r="J6" s="3">
        <f>France!I45*100</f>
        <v>14.429870443595389</v>
      </c>
      <c r="K6" s="3">
        <f>Germany!I45*100</f>
        <v>27.517916686814768</v>
      </c>
      <c r="M6" s="3">
        <f>Ireland!I45*100</f>
        <v>7.5730194390603787</v>
      </c>
      <c r="N6" s="3">
        <f>Italy!I45*100</f>
        <v>6.2338665292793038</v>
      </c>
      <c r="O6" s="3">
        <f>Japan!I45</f>
        <v>48.887338489897957</v>
      </c>
      <c r="P6" s="4">
        <f>Korea!I45</f>
        <v>32.128833261729881</v>
      </c>
      <c r="Q6" s="3">
        <f>Netherlands!I45*100</f>
        <v>24.147476138360314</v>
      </c>
      <c r="R6" s="3">
        <f>'New Zealand'!I45</f>
        <v>7.048061479061915E-2</v>
      </c>
      <c r="S6" s="3">
        <f>Norway!I45</f>
        <v>1.214286358781492</v>
      </c>
      <c r="T6" s="3">
        <f>Spain!I45*100</f>
        <v>4.9907595101541125</v>
      </c>
      <c r="U6" s="3">
        <f>Sweden!I45</f>
        <v>0.7801401203496785</v>
      </c>
      <c r="V6" s="3">
        <f>Swiss!I45</f>
        <v>0.69121038657436873</v>
      </c>
      <c r="W6" s="3">
        <f>USA!M53</f>
        <v>8.4748944000000002</v>
      </c>
      <c r="X6"/>
      <c r="Y6">
        <v>1966</v>
      </c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80">
      <c r="A7">
        <v>1967</v>
      </c>
      <c r="B7" s="3">
        <f>Australia!I46</f>
        <v>8.3640000000000008</v>
      </c>
      <c r="C7" s="3">
        <f>Austria!I46</f>
        <v>24.109904787218269</v>
      </c>
      <c r="D7" s="3">
        <f>Belgium!I46</f>
        <v>19.138065660896523</v>
      </c>
      <c r="E7" s="3">
        <f>Britain!I46</f>
        <v>5.678281360712587</v>
      </c>
      <c r="F7" s="3">
        <f>Canada!I46</f>
        <v>9.8611750940999308</v>
      </c>
      <c r="H7" s="7">
        <f>Denmark!I46</f>
        <v>1.1478220370727508</v>
      </c>
      <c r="I7" s="3">
        <f>Finland!I46*100</f>
        <v>9.2259221715750481</v>
      </c>
      <c r="J7" s="3">
        <f>France!I46*100</f>
        <v>14.605720509134434</v>
      </c>
      <c r="K7" s="3">
        <f>Germany!I46*100</f>
        <v>27.670104166491811</v>
      </c>
      <c r="M7" s="3">
        <f>Ireland!I46*100</f>
        <v>6.5747405533232968</v>
      </c>
      <c r="N7" s="3">
        <f>Italy!I46*100</f>
        <v>6.2278752441932168</v>
      </c>
      <c r="O7" s="3">
        <f>Japan!I46</f>
        <v>48.806406838590064</v>
      </c>
      <c r="P7" s="4">
        <f>Korea!I46</f>
        <v>35.001753721971902</v>
      </c>
      <c r="Q7" s="3">
        <f>Netherlands!I46*100</f>
        <v>24.80455011721007</v>
      </c>
      <c r="R7" s="3">
        <f>'New Zealand'!I46</f>
        <v>7.8501586391769046E-2</v>
      </c>
      <c r="S7" s="3">
        <f>Norway!I46</f>
        <v>1.2142860895428127</v>
      </c>
      <c r="T7" s="3">
        <f>Spain!I46*100</f>
        <v>5.1293950996396562</v>
      </c>
      <c r="U7" s="3">
        <f>Sweden!I46</f>
        <v>0.82649866731929844</v>
      </c>
      <c r="V7" s="3">
        <f>Swiss!I46</f>
        <v>0.73407164796897195</v>
      </c>
      <c r="W7" s="3">
        <f>USA!M54</f>
        <v>8.7602087999999991</v>
      </c>
      <c r="X7"/>
      <c r="Y7">
        <v>1967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80">
      <c r="A8">
        <v>1968</v>
      </c>
      <c r="B8" s="3">
        <f>Australia!I47</f>
        <v>8.5229999999999997</v>
      </c>
      <c r="C8" s="3">
        <f>Austria!I47</f>
        <v>24.1098921772988</v>
      </c>
      <c r="D8" s="3">
        <f>Belgium!I47</f>
        <v>19.138064980268041</v>
      </c>
      <c r="E8" s="3">
        <f>Britain!I47</f>
        <v>6.5667245768253695</v>
      </c>
      <c r="F8" s="3">
        <f>Canada!I47</f>
        <v>10.146569629307706</v>
      </c>
      <c r="H8" s="7">
        <f>Denmark!I47</f>
        <v>1.2525004356952498</v>
      </c>
      <c r="I8" s="3">
        <f>Finland!I47*100</f>
        <v>11.231517851966945</v>
      </c>
      <c r="J8" s="3">
        <f>France!I47*100</f>
        <v>15.480621554101759</v>
      </c>
      <c r="K8" s="3">
        <f>Germany!I47*100</f>
        <v>27.677061504279234</v>
      </c>
      <c r="M8" s="3">
        <f>Ireland!I47*100</f>
        <v>8.671318484191886</v>
      </c>
      <c r="N8" s="3">
        <f>Italy!I47*100</f>
        <v>6.2238817577024745</v>
      </c>
      <c r="O8" s="3">
        <f>Japan!I47</f>
        <v>47.879989591247998</v>
      </c>
      <c r="P8" s="4">
        <f>Korea!I47</f>
        <v>38.299361593578645</v>
      </c>
      <c r="Q8" s="3">
        <f>Netherlands!I47*100</f>
        <v>25.625871356041767</v>
      </c>
      <c r="R8" s="3">
        <f>'New Zealand'!I47</f>
        <v>7.946460547610236E-2</v>
      </c>
      <c r="S8" s="3">
        <f>Norway!I47</f>
        <v>1.2142860463577956</v>
      </c>
      <c r="T8" s="3">
        <f>Spain!I47*100</f>
        <v>5.8225575159179215</v>
      </c>
      <c r="U8" s="3">
        <f>Sweden!I47</f>
        <v>0.82889892438617774</v>
      </c>
      <c r="V8" s="3">
        <f>Swiss!I47</f>
        <v>0.60131519299336078</v>
      </c>
      <c r="W8" s="3">
        <f>USA!M55</f>
        <v>8.9055078000000005</v>
      </c>
      <c r="X8"/>
      <c r="Y8">
        <v>1968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80">
      <c r="A9">
        <v>1969</v>
      </c>
      <c r="B9" s="3">
        <f>Australia!I48</f>
        <v>8.6349999999999998</v>
      </c>
      <c r="C9" s="3">
        <f>Austria!I48</f>
        <v>24.109885155635567</v>
      </c>
      <c r="D9" s="3">
        <f>Belgium!I48</f>
        <v>19.138056197482442</v>
      </c>
      <c r="E9" s="3">
        <f>Britain!I48</f>
        <v>6.7705387158672909</v>
      </c>
      <c r="F9" s="3">
        <f>Canada!I48</f>
        <v>10.505246960605827</v>
      </c>
      <c r="H9" s="7">
        <f>Denmark!I48</f>
        <v>1.2840445277384998</v>
      </c>
      <c r="I9" s="3">
        <f>Finland!I48*100</f>
        <v>11.231508827223015</v>
      </c>
      <c r="J9" s="3">
        <f>France!I48*100</f>
        <v>16.28096290682458</v>
      </c>
      <c r="K9" s="3">
        <f>Germany!I48*100</f>
        <v>25.532091488459237</v>
      </c>
      <c r="M9" s="3">
        <f>Ireland!I48*100</f>
        <v>9.0046367696591272</v>
      </c>
      <c r="N9" s="3">
        <f>Italy!I48*100</f>
        <v>6.7641664892253761</v>
      </c>
      <c r="O9" s="3">
        <f>Japan!I48</f>
        <v>47.893364105854452</v>
      </c>
      <c r="P9" s="4">
        <f>Korea!I48</f>
        <v>42.576783008377404</v>
      </c>
      <c r="Q9" s="3">
        <f>Netherlands!I48*100</f>
        <v>25.790124354643041</v>
      </c>
      <c r="R9" s="3">
        <f>'New Zealand'!I48</f>
        <v>7.9464593319277743E-2</v>
      </c>
      <c r="S9" s="3">
        <f>Norway!I48</f>
        <v>1.2142854891011441</v>
      </c>
      <c r="T9" s="3">
        <f>Spain!I48*100</f>
        <v>5.8225577022606521</v>
      </c>
      <c r="U9" s="3">
        <f>Sweden!I48</f>
        <v>0.778634433539797</v>
      </c>
      <c r="V9" s="3">
        <f>Swiss!I48</f>
        <v>0.56044045469125559</v>
      </c>
      <c r="W9" s="3">
        <f>USA!M56</f>
        <v>9.2040312000000029</v>
      </c>
      <c r="X9"/>
      <c r="Y9">
        <v>1969</v>
      </c>
      <c r="Z9"/>
      <c r="AA9"/>
      <c r="AB9"/>
      <c r="AC9"/>
      <c r="AD9"/>
      <c r="AE9"/>
      <c r="AF9"/>
      <c r="AG9"/>
      <c r="AH9"/>
      <c r="AI9"/>
      <c r="AJ9" t="s">
        <v>174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</row>
    <row r="10" spans="1:80">
      <c r="A10">
        <v>1970</v>
      </c>
      <c r="B10" s="3">
        <f>Australia!I49</f>
        <v>9.1460000000000008</v>
      </c>
      <c r="C10" s="3">
        <f>Austria!I49</f>
        <v>23.744612037350642</v>
      </c>
      <c r="D10" s="3">
        <f>Belgium!I49</f>
        <v>19.813541624571403</v>
      </c>
      <c r="E10" s="3">
        <f>Britain!I49</f>
        <v>7.1666732487006799</v>
      </c>
      <c r="F10" s="3">
        <f>Canada!I49</f>
        <v>10.797057972641642</v>
      </c>
      <c r="H10" s="7">
        <f>Denmark!I49</f>
        <v>1.372499251422</v>
      </c>
      <c r="I10" s="3">
        <f>Finland!I49*100</f>
        <v>11.372778280875652</v>
      </c>
      <c r="J10" s="3">
        <f>France!I49*100</f>
        <v>16.341924142419444</v>
      </c>
      <c r="K10" s="3">
        <f>Germany!I49*100</f>
        <v>25.241467975675448</v>
      </c>
      <c r="M10" s="3">
        <f>Ireland!I49*100</f>
        <v>9.5019437805459344</v>
      </c>
      <c r="N10" s="3">
        <f>Italy!I49*100</f>
        <v>7.9031749949113532</v>
      </c>
      <c r="O10" s="3">
        <f>Japan!I49</f>
        <v>50.040045392688008</v>
      </c>
      <c r="P10" s="4">
        <f>Korea!I49</f>
        <v>48.980523812918449</v>
      </c>
      <c r="Q10" s="3">
        <f>Netherlands!I49*100</f>
        <v>28.746970845887716</v>
      </c>
      <c r="R10" s="3">
        <f>'New Zealand'!I49</f>
        <v>7.9464499145583539E-2</v>
      </c>
      <c r="S10" s="3">
        <f>Norway!I49</f>
        <v>1.4285714495969224</v>
      </c>
      <c r="T10" s="3">
        <f>Spain!I49*100</f>
        <v>5.8225611158282611</v>
      </c>
      <c r="U10" s="3">
        <f>Sweden!I49</f>
        <v>0.92462781891894885</v>
      </c>
      <c r="V10" s="3">
        <f>Swiss!I49</f>
        <v>0.60327176364344881</v>
      </c>
      <c r="W10" s="3">
        <f>USA!M57</f>
        <v>9.4285842000000013</v>
      </c>
      <c r="X10"/>
      <c r="Y10">
        <v>1970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</row>
    <row r="11" spans="1:80">
      <c r="A11">
        <v>1971</v>
      </c>
      <c r="B11" s="3">
        <f>Australia!I50</f>
        <v>9.8219999999999992</v>
      </c>
      <c r="C11" s="3">
        <f>Austria!I50</f>
        <v>22.79511567562886</v>
      </c>
      <c r="D11" s="3">
        <f>Belgium!I50</f>
        <v>22.666580554692665</v>
      </c>
      <c r="E11" s="3">
        <f>Britain!I50</f>
        <v>7.7252916963526568</v>
      </c>
      <c r="F11" s="3">
        <f>Canada!I50</f>
        <v>11.178399032873296</v>
      </c>
      <c r="H11" s="7">
        <f>Denmark!I50</f>
        <v>1.4388793495697145</v>
      </c>
      <c r="I11" s="3">
        <f>Finland!I50*100</f>
        <v>12.949046624029037</v>
      </c>
      <c r="J11" s="3">
        <f>France!I50*100</f>
        <v>18.335710017664713</v>
      </c>
      <c r="K11" s="3">
        <f>Germany!I50*100</f>
        <v>30.952932430208875</v>
      </c>
      <c r="M11" s="3">
        <f>Ireland!I50*100</f>
        <v>10.24215992844081</v>
      </c>
      <c r="N11" s="3">
        <f>Italy!I50*100</f>
        <v>8.2713064663696425</v>
      </c>
      <c r="O11" s="3">
        <f>Japan!I50</f>
        <v>59.386126152939767</v>
      </c>
      <c r="P11" s="4">
        <f>Korea!I50</f>
        <v>55.940442802116522</v>
      </c>
      <c r="Q11" s="3">
        <f>Netherlands!I50*100</f>
        <v>34.488522322824792</v>
      </c>
      <c r="R11" s="3">
        <f>'New Zealand'!I50</f>
        <v>8.3658806107943351E-2</v>
      </c>
      <c r="S11" s="3">
        <f>Norway!I50</f>
        <v>1.5491873320330001</v>
      </c>
      <c r="T11" s="3">
        <f>Spain!I50*100</f>
        <v>6.6993518309263411</v>
      </c>
      <c r="U11" s="3">
        <f>Sweden!I50</f>
        <v>0.96268179824497846</v>
      </c>
      <c r="V11" s="3">
        <f>Swiss!I50</f>
        <v>0.69306197188287111</v>
      </c>
      <c r="W11" s="3">
        <f>USA!M58</f>
        <v>9.6240774000000009</v>
      </c>
      <c r="X11"/>
      <c r="Y11">
        <v>1971</v>
      </c>
      <c r="Z11"/>
      <c r="AA11"/>
      <c r="AB11"/>
      <c r="AC11"/>
      <c r="AD11"/>
      <c r="AE11"/>
      <c r="AF11"/>
      <c r="AG11" t="s">
        <v>174</v>
      </c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80">
      <c r="A12">
        <v>1972</v>
      </c>
      <c r="B12" s="3">
        <f>Australia!I51</f>
        <v>10.098000000000001</v>
      </c>
      <c r="C12" s="3">
        <f>Austria!I51</f>
        <v>24.552723147063009</v>
      </c>
      <c r="D12" s="3">
        <f>Belgium!I51</f>
        <v>19.265136615878699</v>
      </c>
      <c r="E12" s="3">
        <f>Britain!I51</f>
        <v>7.0917073349519066</v>
      </c>
      <c r="F12" s="3">
        <f>Canada!I51</f>
        <v>11.309124372105186</v>
      </c>
      <c r="H12" s="7">
        <f>Denmark!I51</f>
        <v>1.4259969418502956</v>
      </c>
      <c r="I12" s="3">
        <f>Finland!I51*100</f>
        <v>12.050426388241728</v>
      </c>
      <c r="J12" s="3">
        <f>France!I51*100</f>
        <v>16.776477815963812</v>
      </c>
      <c r="K12" s="3">
        <f>Germany!I51*100</f>
        <v>30.535644248288335</v>
      </c>
      <c r="M12" s="3">
        <f>Ireland!I51*100</f>
        <v>9.4052253503570249</v>
      </c>
      <c r="N12" s="3">
        <f>Italy!I51*100</f>
        <v>8.4903988678039681</v>
      </c>
      <c r="O12" s="3">
        <f>Japan!I51</f>
        <v>52.387775480396947</v>
      </c>
      <c r="P12" s="4">
        <f>Korea!I51</f>
        <v>62.593707395755224</v>
      </c>
      <c r="Q12" s="3">
        <f>Netherlands!I51*100</f>
        <v>33.817780471627223</v>
      </c>
      <c r="R12" s="3">
        <f>'New Zealand'!I51</f>
        <v>0.10845192833899019</v>
      </c>
      <c r="S12" s="3">
        <f>Norway!I51</f>
        <v>1.4230615338622068</v>
      </c>
      <c r="T12" s="3">
        <f>Spain!I51*100</f>
        <v>5.840539653854524</v>
      </c>
      <c r="U12" s="3">
        <f>Sweden!I51</f>
        <v>0.87091798204185333</v>
      </c>
      <c r="V12" s="3">
        <f>Swiss!I51</f>
        <v>0.69846074984267159</v>
      </c>
      <c r="W12" s="3">
        <f>USA!M59</f>
        <v>9.5448234000000003</v>
      </c>
      <c r="X12"/>
      <c r="Y12">
        <v>1972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80">
      <c r="A13">
        <v>1973</v>
      </c>
      <c r="B13" s="3">
        <f>Australia!I52</f>
        <v>10.942</v>
      </c>
      <c r="C13" s="3">
        <f>Austria!I52</f>
        <v>33.012024664330674</v>
      </c>
      <c r="D13" s="3">
        <f>Belgium!I52</f>
        <v>23.167853990256233</v>
      </c>
      <c r="E13" s="3">
        <f>Britain!I52</f>
        <v>7.8368876812441028</v>
      </c>
      <c r="F13" s="3">
        <f>Canada!I52</f>
        <v>12.067882569460584</v>
      </c>
      <c r="H13" s="7">
        <f>Denmark!I52</f>
        <v>1.6696622934225283</v>
      </c>
      <c r="I13" s="3">
        <f>Finland!I52*100</f>
        <v>15.42419126735615</v>
      </c>
      <c r="J13" s="3">
        <f>France!I52*100</f>
        <v>17.941098247546744</v>
      </c>
      <c r="K13" s="3">
        <f>Germany!I52*100</f>
        <v>34.757073110851202</v>
      </c>
      <c r="M13" s="3">
        <f>Ireland!I52*100</f>
        <v>10.391295050424354</v>
      </c>
      <c r="N13" s="3">
        <f>Italy!I52*100</f>
        <v>9.7553507259370544</v>
      </c>
      <c r="O13" s="3">
        <f>Japan!I52</f>
        <v>48.905998263673972</v>
      </c>
      <c r="P13" s="4">
        <f>Korea!I52</f>
        <v>65.218456928289015</v>
      </c>
      <c r="Q13" s="3">
        <f>Netherlands!I52*100</f>
        <v>42.623836374895404</v>
      </c>
      <c r="R13" s="3">
        <f>'New Zealand'!I52</f>
        <v>0.12378398968949302</v>
      </c>
      <c r="S13" s="3">
        <f>Norway!I52</f>
        <v>1.6605583087197813</v>
      </c>
      <c r="T13" s="3">
        <f>Spain!I52*100</f>
        <v>6.7228867791048117</v>
      </c>
      <c r="U13" s="3">
        <f>Sweden!I52</f>
        <v>0.88739155434007211</v>
      </c>
      <c r="V13" s="3">
        <f>Swiss!I52</f>
        <v>0.71506460891025214</v>
      </c>
      <c r="W13" s="3">
        <f>USA!M60</f>
        <v>10.229049600000002</v>
      </c>
      <c r="X13"/>
      <c r="Y13">
        <v>1973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80">
      <c r="A14">
        <v>1974</v>
      </c>
      <c r="B14" s="3">
        <f>Australia!I53</f>
        <v>12.89</v>
      </c>
      <c r="C14" s="3">
        <f>Austria!I53</f>
        <v>43.255455442033195</v>
      </c>
      <c r="D14" s="3">
        <f>Belgium!I53</f>
        <v>26.748718316644467</v>
      </c>
      <c r="E14" s="3">
        <f>Britain!I53</f>
        <v>15.655867826181419</v>
      </c>
      <c r="F14" s="3">
        <f>Canada!I53</f>
        <v>14.028822305672538</v>
      </c>
      <c r="H14" s="7">
        <f>Denmark!I53</f>
        <v>2.3050882884209729</v>
      </c>
      <c r="I14" s="3">
        <f>Finland!I53*100</f>
        <v>20.907071043183805</v>
      </c>
      <c r="J14" s="3">
        <f>France!I53*100</f>
        <v>26.860913144747308</v>
      </c>
      <c r="K14" s="3">
        <f>Germany!I53*100</f>
        <v>43.545837266496456</v>
      </c>
      <c r="M14" s="3">
        <f>Ireland!I53*100</f>
        <v>20.758458932107164</v>
      </c>
      <c r="N14" s="3">
        <f>Italy!I53*100</f>
        <v>15.161371489606024</v>
      </c>
      <c r="O14" s="4">
        <f>Japan!I53</f>
        <v>106.90126788802652</v>
      </c>
      <c r="P14" s="4">
        <f>Korea!I53</f>
        <v>100.06163521504473</v>
      </c>
      <c r="Q14" s="3">
        <f>Netherlands!I53*100</f>
        <v>53.579559133518714</v>
      </c>
      <c r="R14" s="3">
        <f>'New Zealand'!I53</f>
        <v>0.13964598699070294</v>
      </c>
      <c r="S14" s="3">
        <f>Norway!I53</f>
        <v>2.0951156938175437</v>
      </c>
      <c r="T14" s="3">
        <f>Spain!I53*100</f>
        <v>10.57443191285533</v>
      </c>
      <c r="U14" s="3">
        <f>Sweden!I53</f>
        <v>1.3246888299472388</v>
      </c>
      <c r="V14" s="3">
        <f>Swiss!I53</f>
        <v>1.1000878700133725</v>
      </c>
      <c r="W14" s="3">
        <f>USA!M61</f>
        <v>13.845673800000002</v>
      </c>
      <c r="X14"/>
      <c r="Y14">
        <v>1974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80">
      <c r="A15">
        <v>1975</v>
      </c>
      <c r="B15" s="3">
        <f>Australia!I54</f>
        <v>15.275</v>
      </c>
      <c r="C15" s="3">
        <f>Austria!I54</f>
        <v>37.219936351340699</v>
      </c>
      <c r="D15" s="3">
        <f>Belgium!I54</f>
        <v>30.034846228588886</v>
      </c>
      <c r="E15" s="3">
        <f>Britain!I54</f>
        <v>14.808858948912615</v>
      </c>
      <c r="F15" s="3">
        <f>Canada!I54</f>
        <v>15.860800799132996</v>
      </c>
      <c r="H15" s="7">
        <f>Denmark!I54</f>
        <v>2.0169159164342236</v>
      </c>
      <c r="I15" s="3">
        <f>Finland!I54*100</f>
        <v>19.544974792436651</v>
      </c>
      <c r="J15" s="3">
        <f>France!I54*100</f>
        <v>25.228724350989847</v>
      </c>
      <c r="K15" s="3">
        <f>Germany!I54*100</f>
        <v>38.286105077095641</v>
      </c>
      <c r="M15" s="3">
        <f>Ireland!I54*100</f>
        <v>19.635599499957802</v>
      </c>
      <c r="N15" s="3">
        <f>Italy!I54*100</f>
        <v>15.38504927957581</v>
      </c>
      <c r="O15" s="4">
        <f>Japan!I54</f>
        <v>97.228376351874616</v>
      </c>
      <c r="P15" s="4">
        <f>Korea!I54</f>
        <v>124.77416417503714</v>
      </c>
      <c r="Q15" s="3">
        <f>Netherlands!I54*100</f>
        <v>44.308893049570116</v>
      </c>
      <c r="R15" s="3">
        <f>'New Zealand'!I54</f>
        <v>0.16554647492591887</v>
      </c>
      <c r="S15" s="3">
        <f>Norway!I54</f>
        <v>1.9569626143141807</v>
      </c>
      <c r="T15" s="3">
        <f>Spain!I54*100</f>
        <v>12.110288676367309</v>
      </c>
      <c r="U15" s="3">
        <f>Sweden!I54</f>
        <v>1.1882001884921674</v>
      </c>
      <c r="V15" s="3">
        <f>Swiss!I54</f>
        <v>0.93866450647515665</v>
      </c>
      <c r="W15" s="3">
        <f>USA!M62</f>
        <v>15.116379600000002</v>
      </c>
      <c r="X15"/>
      <c r="Y15">
        <v>1975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80">
      <c r="A16">
        <v>1976</v>
      </c>
      <c r="B16" s="3">
        <f>Australia!I55</f>
        <v>16.635999999999999</v>
      </c>
      <c r="C16" s="3">
        <f>Austria!I55</f>
        <v>43.857392990009032</v>
      </c>
      <c r="D16" s="3">
        <f>Belgium!I55</f>
        <v>35.290006533265959</v>
      </c>
      <c r="E16" s="3">
        <f>Britain!I55</f>
        <v>16.138784998861667</v>
      </c>
      <c r="F16" s="3">
        <f>Canada!I55</f>
        <v>17.741244976138638</v>
      </c>
      <c r="H16" s="7">
        <f>Denmark!I55</f>
        <v>2.7347659129714947</v>
      </c>
      <c r="I16" s="3">
        <f>Finland!I55*100</f>
        <v>27.895745703128082</v>
      </c>
      <c r="J16" s="3">
        <f>France!I55*100</f>
        <v>30.424538813974351</v>
      </c>
      <c r="K16" s="3">
        <f>Germany!I55*100</f>
        <v>44.604731209799468</v>
      </c>
      <c r="M16" s="3">
        <f>Ireland!I55*100</f>
        <v>24.59045165880287</v>
      </c>
      <c r="N16" s="3">
        <f>Italy!I55*100</f>
        <v>24.433577182453739</v>
      </c>
      <c r="O16" s="4">
        <f>Japan!I55</f>
        <v>120.399506369145</v>
      </c>
      <c r="P16" s="4">
        <f>Korea!I55</f>
        <v>140.00580875706456</v>
      </c>
      <c r="Q16" s="3">
        <f>Netherlands!I55*100</f>
        <v>52.88578528357715</v>
      </c>
      <c r="R16" s="3">
        <f>'New Zealand'!I55</f>
        <v>0.25644793861083448</v>
      </c>
      <c r="S16" s="3">
        <f>Norway!I55</f>
        <v>2.3419336637118739</v>
      </c>
      <c r="T16" s="3">
        <f>Spain!I55*100</f>
        <v>15.392122898067761</v>
      </c>
      <c r="U16" s="3">
        <f>Sweden!I55</f>
        <v>1.5210318695682734</v>
      </c>
      <c r="V16" s="3">
        <f>Swiss!I55</f>
        <v>0.95326401895229396</v>
      </c>
      <c r="W16" s="3">
        <f>USA!M63</f>
        <v>15.710784600000002</v>
      </c>
      <c r="X16"/>
      <c r="Y16">
        <v>1976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80">
      <c r="A17">
        <v>1977</v>
      </c>
      <c r="B17" s="3">
        <f>Australia!I56</f>
        <v>17.611999999999998</v>
      </c>
      <c r="C17" s="3">
        <f>Austria!I56</f>
        <v>50.574159394627664</v>
      </c>
      <c r="D17" s="3">
        <f>Belgium!I56</f>
        <v>37.106443159787517</v>
      </c>
      <c r="E17" s="3">
        <f>Britain!I56</f>
        <v>17.341467135349056</v>
      </c>
      <c r="F17" s="3">
        <f>Canada!I56</f>
        <v>19.397564826057128</v>
      </c>
      <c r="H17" s="7">
        <f>Denmark!I56</f>
        <v>2.8328997095320312</v>
      </c>
      <c r="I17" s="3">
        <f>Finland!I56*100</f>
        <v>29.520681595291425</v>
      </c>
      <c r="J17" s="3">
        <f>France!I56*100</f>
        <v>34.442341790334417</v>
      </c>
      <c r="K17" s="3">
        <f>Germany!I56*100</f>
        <v>55.366594958154749</v>
      </c>
      <c r="M17" s="3">
        <f>Ireland!I56*100</f>
        <v>28.184382543467244</v>
      </c>
      <c r="N17" s="3">
        <f>Italy!I56*100</f>
        <v>25.916475909864641</v>
      </c>
      <c r="O17" s="4">
        <f>Japan!I56</f>
        <v>123.4606924958715</v>
      </c>
      <c r="P17" s="4">
        <f>Korea!I56</f>
        <v>153.22309988275137</v>
      </c>
      <c r="Q17" s="3">
        <f>Netherlands!I56*100</f>
        <v>51.207385347426069</v>
      </c>
      <c r="R17" s="3">
        <f>'New Zealand'!I56</f>
        <v>0.31166857973564882</v>
      </c>
      <c r="S17" s="3">
        <f>Norway!I56</f>
        <v>2.769808539214079</v>
      </c>
      <c r="T17" s="3">
        <f>Spain!I56*100</f>
        <v>16.025426694759439</v>
      </c>
      <c r="U17" s="3">
        <f>Sweden!I56</f>
        <v>1.5813842921851429</v>
      </c>
      <c r="V17" s="3">
        <f>Swiss!I56</f>
        <v>1.0859308424346377</v>
      </c>
      <c r="W17" s="3">
        <f>USA!M64</f>
        <v>16.379160000000002</v>
      </c>
      <c r="X17"/>
      <c r="Y17">
        <v>1977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80">
      <c r="A18">
        <v>1978</v>
      </c>
      <c r="B18" s="3">
        <f>Australia!I57</f>
        <v>19.684000000000001</v>
      </c>
      <c r="C18" s="3">
        <f>Austria!I57</f>
        <v>49.171626755836321</v>
      </c>
      <c r="D18" s="3">
        <f>Belgium!I57</f>
        <v>35.736466764947835</v>
      </c>
      <c r="E18" s="3">
        <f>Britain!I57</f>
        <v>16.688167614400633</v>
      </c>
      <c r="F18" s="3">
        <f>Canada!I57</f>
        <v>20.253929970172081</v>
      </c>
      <c r="H18" s="7">
        <f>Denmark!I57</f>
        <v>2.757307898605696</v>
      </c>
      <c r="I18" s="3">
        <f>Finland!I57*100</f>
        <v>33.516386577448948</v>
      </c>
      <c r="J18" s="3">
        <f>France!I57*100</f>
        <v>42.037821506787466</v>
      </c>
      <c r="K18" s="3">
        <f>Germany!I57*100</f>
        <v>45.713691828415641</v>
      </c>
      <c r="M18" s="3">
        <f>Ireland!I57*100</f>
        <v>25.427261454813099</v>
      </c>
      <c r="N18" s="3">
        <f>Italy!I57*100</f>
        <v>25.815791344844722</v>
      </c>
      <c r="O18" s="4">
        <f>Japan!I57</f>
        <v>110.06046050791343</v>
      </c>
      <c r="P18" s="4">
        <f>Korea!I57</f>
        <v>169.06256661597013</v>
      </c>
      <c r="Q18" s="3">
        <f>Netherlands!I57*100</f>
        <v>48.893325901625154</v>
      </c>
      <c r="R18" s="3">
        <f>'New Zealand'!I57</f>
        <v>0.30572123949188174</v>
      </c>
      <c r="S18" s="3">
        <f>Norway!I57</f>
        <v>2.6158804576269814</v>
      </c>
      <c r="T18" s="3">
        <f>Spain!I57*100</f>
        <v>20.366608290524407</v>
      </c>
      <c r="U18" s="3">
        <f>Sweden!I57</f>
        <v>1.7512292380994843</v>
      </c>
      <c r="V18" s="3">
        <f>Swiss!I57</f>
        <v>0.90378210972648165</v>
      </c>
      <c r="W18" s="3">
        <f>USA!M65</f>
        <v>16.643340000000002</v>
      </c>
      <c r="X18"/>
      <c r="Y18">
        <v>1978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</row>
    <row r="19" spans="1:80">
      <c r="A19">
        <v>1979</v>
      </c>
      <c r="B19" s="3">
        <f>Australia!I58</f>
        <v>26.823</v>
      </c>
      <c r="C19" s="3">
        <f>Austria!I58</f>
        <v>52.869267740243622</v>
      </c>
      <c r="D19" s="3">
        <f>Belgium!I58</f>
        <v>40.267084247472759</v>
      </c>
      <c r="E19" s="3">
        <f>Britain!I58</f>
        <v>22.097845835028725</v>
      </c>
      <c r="F19" s="3">
        <f>Canada!I58</f>
        <v>23.605229887711065</v>
      </c>
      <c r="H19" s="7">
        <f>Denmark!I58</f>
        <v>3.3827909342049987</v>
      </c>
      <c r="I19" s="3">
        <f>Finland!I58*100</f>
        <v>36.098324497493188</v>
      </c>
      <c r="J19" s="3">
        <f>France!I58*100</f>
        <v>46.230270821127604</v>
      </c>
      <c r="K19" s="3">
        <f>Germany!I58*100</f>
        <v>49.026744224197671</v>
      </c>
      <c r="M19" s="3">
        <f>Ireland!I58*100</f>
        <v>28.84742120057852</v>
      </c>
      <c r="N19" s="3">
        <f>Italy!I58*100</f>
        <v>27.934356691106132</v>
      </c>
      <c r="O19" s="4">
        <f>Japan!I58</f>
        <v>120.964359042236</v>
      </c>
      <c r="P19" s="4">
        <f>Korea!I58</f>
        <v>213.48656988830294</v>
      </c>
      <c r="Q19" s="3">
        <f>Netherlands!I58*100</f>
        <v>53.978887822381253</v>
      </c>
      <c r="R19" s="3">
        <f>'New Zealand'!I58</f>
        <v>0.34540673361650998</v>
      </c>
      <c r="S19" s="3">
        <f>Norway!I58</f>
        <v>2.8307838320217718</v>
      </c>
      <c r="T19" s="3">
        <f>Spain!I58*100</f>
        <v>24.495987498647722</v>
      </c>
      <c r="U19" s="3">
        <f>Sweden!I58</f>
        <v>2.0648094879953169</v>
      </c>
      <c r="V19" s="3">
        <f>Swiss!I58</f>
        <v>1.0582404944952415</v>
      </c>
      <c r="W19" s="3">
        <f>USA!M66</f>
        <v>22.719480000000004</v>
      </c>
      <c r="X19"/>
      <c r="Y19">
        <v>1979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</row>
    <row r="20" spans="1:80">
      <c r="A20">
        <v>1980</v>
      </c>
      <c r="B20" s="3">
        <f>Australia!I59</f>
        <v>32.064999999999998</v>
      </c>
      <c r="C20" s="3">
        <f>Austria!I59</f>
        <v>60.987167084298413</v>
      </c>
      <c r="D20" s="3">
        <f>Belgium!I59</f>
        <v>52.078620720459746</v>
      </c>
      <c r="E20" s="3">
        <f>Britain!I59</f>
        <v>28.313471928050816</v>
      </c>
      <c r="F20" s="3">
        <f>Canada!I59</f>
        <v>28.37912593117137</v>
      </c>
      <c r="H20" s="7">
        <f>Denmark!I59</f>
        <v>4.5369108840671286</v>
      </c>
      <c r="I20" s="3">
        <f>Finland!I59*100</f>
        <v>48.557313971446384</v>
      </c>
      <c r="J20" s="3">
        <f>France!I59*100</f>
        <v>49.473622198155354</v>
      </c>
      <c r="K20" s="3">
        <f>Germany!I59*100</f>
        <v>57.39562977243007</v>
      </c>
      <c r="M20" s="3">
        <f>Ireland!I59*100</f>
        <v>40.659094254807727</v>
      </c>
      <c r="N20" s="3">
        <f>Italy!I59*100</f>
        <v>36.137446175278484</v>
      </c>
      <c r="O20" s="4">
        <f>Japan!I59</f>
        <v>153.95610000218113</v>
      </c>
      <c r="P20" s="4">
        <f>Korea!I59</f>
        <v>319.42857988257578</v>
      </c>
      <c r="Q20" s="3">
        <f>Netherlands!I59*100</f>
        <v>65.136475770871769</v>
      </c>
      <c r="R20" s="3">
        <f>'New Zealand'!I59</f>
        <v>0.49177943675130814</v>
      </c>
      <c r="S20" s="3">
        <f>Norway!I59</f>
        <v>3.7093526236799472</v>
      </c>
      <c r="T20" s="3">
        <f>Spain!I59*100</f>
        <v>28.131557968682657</v>
      </c>
      <c r="U20" s="3">
        <f>Sweden!I59</f>
        <v>2.7732129506801741</v>
      </c>
      <c r="V20" s="3">
        <f>Swiss!I59</f>
        <v>1.1676519129105933</v>
      </c>
      <c r="W20" s="3">
        <f>USA!M67</f>
        <v>32.90992107373242</v>
      </c>
      <c r="X20"/>
      <c r="Y20">
        <v>1980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</row>
    <row r="21" spans="1:80">
      <c r="A21">
        <v>1981</v>
      </c>
      <c r="B21" s="3">
        <f>Australia!I60</f>
        <v>35.494</v>
      </c>
      <c r="C21" s="3">
        <f>Austria!I60</f>
        <v>73.733227602430418</v>
      </c>
      <c r="D21" s="3">
        <f>Belgium!I60</f>
        <v>61.611964684052381</v>
      </c>
      <c r="E21" s="3">
        <f>Britain!I60</f>
        <v>33.690229490308106</v>
      </c>
      <c r="F21" s="3">
        <f>Canada!I60</f>
        <v>38.571128520331058</v>
      </c>
      <c r="H21" s="7">
        <f>Denmark!I60</f>
        <v>5.3069484302033185</v>
      </c>
      <c r="I21" s="3">
        <f>Finland!I60*100</f>
        <v>55.956992123572661</v>
      </c>
      <c r="J21" s="3">
        <f>France!I60*100</f>
        <v>55.741371609441046</v>
      </c>
      <c r="K21" s="3">
        <f>Germany!I60*100</f>
        <v>69.915545440906456</v>
      </c>
      <c r="M21" s="3">
        <f>Ireland!I60*100</f>
        <v>53.723396098257581</v>
      </c>
      <c r="N21" s="3">
        <f>Italy!I60*100</f>
        <v>45.793036120962654</v>
      </c>
      <c r="O21" s="4">
        <f>Japan!I60</f>
        <v>153.05465936296665</v>
      </c>
      <c r="P21" s="4">
        <f>Korea!I60</f>
        <v>386.93960163380672</v>
      </c>
      <c r="Q21" s="3">
        <f>Netherlands!I60*100</f>
        <v>76.654690508676723</v>
      </c>
      <c r="R21" s="3">
        <f>'New Zealand'!I60</f>
        <v>0.59483940345510045</v>
      </c>
      <c r="S21" s="3">
        <f>Norway!I60</f>
        <v>4.3505507514288171</v>
      </c>
      <c r="T21" s="3">
        <f>Spain!I60*100</f>
        <v>36.68785348293671</v>
      </c>
      <c r="U21" s="3">
        <f>Sweden!I60</f>
        <v>3.3199524320856106</v>
      </c>
      <c r="V21" s="3">
        <f>Swiss!I60</f>
        <v>1.2563862664043213</v>
      </c>
      <c r="W21" s="3">
        <f>USA!M68</f>
        <v>36.413088539044267</v>
      </c>
      <c r="X21"/>
      <c r="Y21">
        <v>1981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80">
      <c r="A22">
        <v>1982</v>
      </c>
      <c r="B22" s="3">
        <f>Australia!I61</f>
        <v>38.956000000000003</v>
      </c>
      <c r="C22" s="3">
        <f>Austria!I61</f>
        <v>79.335828441864578</v>
      </c>
      <c r="D22" s="3">
        <f>Belgium!I61</f>
        <v>67.176556208690954</v>
      </c>
      <c r="E22" s="3">
        <f>Britain!I61</f>
        <v>36.522229503477504</v>
      </c>
      <c r="F22" s="3">
        <f>Canada!I61</f>
        <v>46.538463301421324</v>
      </c>
      <c r="H22" s="7">
        <f>Denmark!I61</f>
        <v>5.9326663040129128</v>
      </c>
      <c r="I22" s="3">
        <f>Finland!I61*100</f>
        <v>58.535094745636599</v>
      </c>
      <c r="J22" s="3">
        <f>France!I61*100</f>
        <v>66.126251208794912</v>
      </c>
      <c r="K22" s="3">
        <f>Germany!I61*100</f>
        <v>68.494517010690942</v>
      </c>
      <c r="M22" s="3">
        <f>Ireland!I61*100</f>
        <v>65.217097293397501</v>
      </c>
      <c r="N22" s="3">
        <f>Italy!I61*100</f>
        <v>53.15700504004419</v>
      </c>
      <c r="O22" s="4">
        <f>Japan!I61</f>
        <v>163.89480144618364</v>
      </c>
      <c r="P22" s="4">
        <f>Korea!I61</f>
        <v>400.39846916007428</v>
      </c>
      <c r="Q22" s="3">
        <f>Netherlands!I61*100</f>
        <v>79.001753300800601</v>
      </c>
      <c r="R22" s="3">
        <f>'New Zealand'!I61</f>
        <v>0.68496127078772706</v>
      </c>
      <c r="S22" s="3">
        <f>Norway!I61</f>
        <v>4.608182828941831</v>
      </c>
      <c r="T22" s="3">
        <f>Spain!I61*100</f>
        <v>41.398741450529457</v>
      </c>
      <c r="U22" s="3">
        <f>Sweden!I61</f>
        <v>3.729260709713424</v>
      </c>
      <c r="V22" s="3">
        <f>Swiss!I61</f>
        <v>1.2672071532152285</v>
      </c>
      <c r="W22" s="3">
        <f>USA!M69</f>
        <v>33.223305887007399</v>
      </c>
      <c r="X22"/>
      <c r="Y22">
        <v>1982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W22" s="3"/>
    </row>
    <row r="23" spans="1:80">
      <c r="A23">
        <v>1983</v>
      </c>
      <c r="B23" s="3">
        <f>Australia!I62</f>
        <v>43.725000000000001</v>
      </c>
      <c r="C23" s="3">
        <f>Austria!I62</f>
        <v>77.734717967851537</v>
      </c>
      <c r="D23" s="3">
        <f>Belgium!I62</f>
        <v>70.916949043041839</v>
      </c>
      <c r="E23" s="3">
        <f>Britain!I62</f>
        <v>39.187658489939253</v>
      </c>
      <c r="F23" s="3">
        <f>Canada!I62</f>
        <v>49.110735408061466</v>
      </c>
      <c r="H23" s="7">
        <f>Denmark!I62</f>
        <v>6.063141479488559</v>
      </c>
      <c r="I23" s="3">
        <f>Finland!I62*100</f>
        <v>62.01756110466016</v>
      </c>
      <c r="J23" s="3">
        <f>France!I62*100</f>
        <v>64.657498932313658</v>
      </c>
      <c r="K23" s="3">
        <f>Germany!I62*100</f>
        <v>67.66792401234791</v>
      </c>
      <c r="M23" s="3">
        <f>Ireland!I62*100</f>
        <v>74.995484925656768</v>
      </c>
      <c r="N23" s="3">
        <f>Italy!I62*100</f>
        <v>60.557005754028957</v>
      </c>
      <c r="O23" s="4">
        <f>Japan!I62</f>
        <v>151.05633176956141</v>
      </c>
      <c r="P23" s="4">
        <f>Korea!I62</f>
        <v>397.63349423406493</v>
      </c>
      <c r="Q23" s="3">
        <f>Netherlands!I62*100</f>
        <v>78.744940002307246</v>
      </c>
      <c r="R23" s="3">
        <f>'New Zealand'!I62</f>
        <v>0.71096601399191062</v>
      </c>
      <c r="S23" s="3">
        <f>Norway!I62</f>
        <v>4.9250576027619903</v>
      </c>
      <c r="T23" s="3">
        <f>Spain!I62*100</f>
        <v>47.972039200959927</v>
      </c>
      <c r="U23" s="3">
        <f>Sweden!I62</f>
        <v>3.9380163301129363</v>
      </c>
      <c r="V23" s="3">
        <f>Swiss!I62</f>
        <v>1.2283824771344403</v>
      </c>
      <c r="W23" s="3">
        <f>USA!M70</f>
        <v>31.844039821949938</v>
      </c>
      <c r="X23"/>
      <c r="Y23">
        <v>1983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W23" s="3"/>
    </row>
    <row r="24" spans="1:80">
      <c r="A24">
        <v>1984</v>
      </c>
      <c r="B24" s="3">
        <f>Australia!I63</f>
        <v>47.512</v>
      </c>
      <c r="C24" s="3">
        <f>Austria!I63</f>
        <v>80.121820543668406</v>
      </c>
      <c r="D24" s="3">
        <f>Belgium!I63</f>
        <v>71.686568219610947</v>
      </c>
      <c r="E24" s="3">
        <f>Britain!I63</f>
        <v>40.597594843281044</v>
      </c>
      <c r="F24" s="3">
        <f>Canada!I63</f>
        <v>51.302178798491276</v>
      </c>
      <c r="H24" s="7">
        <f>Denmark!I63</f>
        <v>5.9861163158592943</v>
      </c>
      <c r="I24" s="3">
        <f>Finland!I63*100</f>
        <v>63.883152867082806</v>
      </c>
      <c r="J24" s="3">
        <f>France!I63*100</f>
        <v>73.114819235720375</v>
      </c>
      <c r="K24" s="3">
        <f>Germany!I63*100</f>
        <v>68.975702587876114</v>
      </c>
      <c r="M24" s="3">
        <f>Ireland!I63*100</f>
        <v>79.069980066928721</v>
      </c>
      <c r="N24" s="3">
        <f>Italy!I63*100</f>
        <v>66.602773169851829</v>
      </c>
      <c r="O24" s="4">
        <f>Japan!I63</f>
        <v>144.88718513497707</v>
      </c>
      <c r="P24" s="4">
        <f>Korea!I63</f>
        <v>406.78696178324981</v>
      </c>
      <c r="Q24" s="3">
        <f>Netherlands!I63*100</f>
        <v>81.974970940956311</v>
      </c>
      <c r="R24" s="3">
        <f>'New Zealand'!I63</f>
        <v>0.79732368606737136</v>
      </c>
      <c r="S24" s="3">
        <f>Norway!I63</f>
        <v>5.2070122594218784</v>
      </c>
      <c r="T24" s="3">
        <f>Spain!I63*100</f>
        <v>48.290332135584762</v>
      </c>
      <c r="U24" s="3">
        <f>Sweden!I63</f>
        <v>3.9684763674805072</v>
      </c>
      <c r="V24" s="3">
        <f>Swiss!I63</f>
        <v>1.2281637304867445</v>
      </c>
      <c r="W24" s="3">
        <f>USA!M71</f>
        <v>31.063723118985514</v>
      </c>
      <c r="X24"/>
      <c r="Y24">
        <v>1984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W24" s="3"/>
    </row>
    <row r="25" spans="1:80">
      <c r="A25">
        <v>1985</v>
      </c>
      <c r="B25" s="3">
        <f>Australia!I64</f>
        <v>52.628999999999998</v>
      </c>
      <c r="C25" s="3">
        <f>Austria!I64</f>
        <v>83.573007799541287</v>
      </c>
      <c r="D25" s="3">
        <f>Belgium!I64</f>
        <v>76.070635585344661</v>
      </c>
      <c r="E25" s="3">
        <f>Britain!I64</f>
        <v>43.092322520605904</v>
      </c>
      <c r="F25" s="3">
        <f>Canada!I64</f>
        <v>54.20901088165818</v>
      </c>
      <c r="H25" s="7">
        <f>Denmark!I64</f>
        <v>6.1353162764105971</v>
      </c>
      <c r="I25" s="3">
        <f>Finland!I64*100</f>
        <v>64.942279617366012</v>
      </c>
      <c r="J25" s="3">
        <f>France!I64*100</f>
        <v>92.452134879418622</v>
      </c>
      <c r="K25" s="3">
        <f>Germany!I64*100</f>
        <v>71.061589264032804</v>
      </c>
      <c r="M25" s="3">
        <f>Ireland!I64*100</f>
        <v>84.287548701403281</v>
      </c>
      <c r="N25" s="3">
        <f>Italy!I64*100</f>
        <v>68.241116815204833</v>
      </c>
      <c r="O25" s="4">
        <f>Japan!I64</f>
        <v>140.02306001919717</v>
      </c>
      <c r="P25" s="4">
        <f>Korea!I64</f>
        <v>414.6214626064006</v>
      </c>
      <c r="Q25" s="3">
        <f>Netherlands!I64*100</f>
        <v>83.49809749836453</v>
      </c>
      <c r="R25" s="3">
        <f>'New Zealand'!I64</f>
        <v>0.93075036923871357</v>
      </c>
      <c r="S25" s="3">
        <f>Norway!I64</f>
        <v>5.132549077637476</v>
      </c>
      <c r="T25" s="3">
        <f>Spain!I64*100</f>
        <v>50.588287127041539</v>
      </c>
      <c r="U25" s="3">
        <f>Sweden!I64</f>
        <v>4.3868147122049237</v>
      </c>
      <c r="V25" s="3">
        <f>Swiss!I64</f>
        <v>1.2353303588528624</v>
      </c>
      <c r="W25" s="3">
        <f>USA!M72</f>
        <v>30.81694018708772</v>
      </c>
      <c r="X25"/>
      <c r="Y25">
        <v>1985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W25" s="3"/>
    </row>
    <row r="26" spans="1:80">
      <c r="A26">
        <v>1986</v>
      </c>
      <c r="B26" s="3">
        <f>Australia!I65</f>
        <v>52.069000000000003</v>
      </c>
      <c r="C26" s="3">
        <f>Austria!I65</f>
        <v>66.925163263755081</v>
      </c>
      <c r="D26" s="3">
        <f>Belgium!I65</f>
        <v>57.532000756087371</v>
      </c>
      <c r="E26" s="3">
        <f>Britain!I65</f>
        <v>37.384413936063673</v>
      </c>
      <c r="F26" s="3">
        <f>Canada!I65</f>
        <v>48.376652022353674</v>
      </c>
      <c r="H26" s="7">
        <f>Denmark!I65</f>
        <v>6.4242255267353521</v>
      </c>
      <c r="I26" s="3">
        <f>Finland!I65*100</f>
        <v>52.948461823212554</v>
      </c>
      <c r="J26" s="3">
        <f>France!I65*100</f>
        <v>73.425657126350075</v>
      </c>
      <c r="K26" s="3">
        <f>Germany!I65*100</f>
        <v>53.057031511805121</v>
      </c>
      <c r="M26" s="3">
        <f>Ireland!I65*100</f>
        <v>75.01496867957789</v>
      </c>
      <c r="N26" s="3">
        <f>Italy!I65*100</f>
        <v>66.060894315251673</v>
      </c>
      <c r="O26" s="4">
        <f>Japan!I65</f>
        <v>123.01936616973697</v>
      </c>
      <c r="P26" s="4">
        <f>Korea!I65</f>
        <v>360.18463546720699</v>
      </c>
      <c r="Q26" s="3">
        <f>Netherlands!I65*100</f>
        <v>67.595640413123959</v>
      </c>
      <c r="R26" s="3">
        <f>'New Zealand'!I65</f>
        <v>0.82648511356795606</v>
      </c>
      <c r="S26" s="3">
        <f>Norway!I65</f>
        <v>4.7622121782154885</v>
      </c>
      <c r="T26" s="3">
        <f>Spain!I65*100</f>
        <v>46.209766597034978</v>
      </c>
      <c r="U26" s="3">
        <f>Sweden!I65</f>
        <v>3.9000912536455288</v>
      </c>
      <c r="V26" s="3">
        <f>Swiss!I65</f>
        <v>0.98874997271454446</v>
      </c>
      <c r="W26" s="3">
        <f>USA!M73</f>
        <v>23.375448517083505</v>
      </c>
      <c r="X26"/>
      <c r="Y26">
        <v>1986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W26" s="3"/>
    </row>
    <row r="27" spans="1:80">
      <c r="A27">
        <v>1987</v>
      </c>
      <c r="B27" s="3">
        <f>Australia!I66</f>
        <v>54.905999999999999</v>
      </c>
      <c r="C27" s="3">
        <f>Austria!I66</f>
        <v>65.189407721091357</v>
      </c>
      <c r="D27" s="3">
        <f>Belgium!I66</f>
        <v>55.983350237306603</v>
      </c>
      <c r="E27" s="3">
        <f>Britain!I66</f>
        <v>37.878285453197499</v>
      </c>
      <c r="F27" s="3">
        <f>Canada!I66</f>
        <v>50.544779742817738</v>
      </c>
      <c r="H27" s="7">
        <f>Denmark!I66</f>
        <v>6.6351108566521475</v>
      </c>
      <c r="I27" s="3">
        <f>Finland!I66*100</f>
        <v>54.558973882049614</v>
      </c>
      <c r="J27" s="3">
        <f>France!I66*100</f>
        <v>78.070928549433887</v>
      </c>
      <c r="K27" s="3">
        <f>Germany!I66*100</f>
        <v>51.531277574371529</v>
      </c>
      <c r="M27" s="3">
        <f>Ireland!I66*100</f>
        <v>74.848564265677098</v>
      </c>
      <c r="N27" s="3">
        <f>Italy!I66*100</f>
        <v>66.907769754329053</v>
      </c>
      <c r="O27" s="4">
        <f>Japan!I66</f>
        <v>121.06406010553086</v>
      </c>
      <c r="P27" s="4">
        <f>Korea!I66</f>
        <v>384.38548541773179</v>
      </c>
      <c r="Q27" s="3">
        <f>Netherlands!I66*100</f>
        <v>72.25123009508836</v>
      </c>
      <c r="R27" s="3">
        <f>'New Zealand'!I66</f>
        <v>0.8981166982972536</v>
      </c>
      <c r="S27" s="3">
        <f>Norway!I66</f>
        <v>5.1002564139281779</v>
      </c>
      <c r="T27" s="3">
        <f>Spain!I66*100</f>
        <v>48.475231470758182</v>
      </c>
      <c r="U27" s="3">
        <f>Sweden!I66</f>
        <v>3.9425218655936192</v>
      </c>
      <c r="V27" s="3">
        <f>Swiss!I66</f>
        <v>0.9755061121807852</v>
      </c>
      <c r="W27" s="3">
        <f>USA!M74</f>
        <v>24.105114343483383</v>
      </c>
      <c r="X27"/>
      <c r="Y27">
        <v>1987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W27" s="3"/>
    </row>
    <row r="28" spans="1:80">
      <c r="A28">
        <v>1988</v>
      </c>
      <c r="B28" s="3">
        <f>Australia!I67</f>
        <v>53.226999999999997</v>
      </c>
      <c r="C28" s="3">
        <f>Austria!I67</f>
        <v>62.888638205699309</v>
      </c>
      <c r="D28" s="3">
        <f>Belgium!I67</f>
        <v>55.714439823900086</v>
      </c>
      <c r="E28" s="3">
        <f>Britain!I67</f>
        <v>37.384283369429873</v>
      </c>
      <c r="F28" s="3">
        <f>Canada!I67</f>
        <v>49.832420286405721</v>
      </c>
      <c r="H28" s="7">
        <f>Denmark!I67</f>
        <v>6.5295745534054017</v>
      </c>
      <c r="I28" s="3">
        <f>Finland!I67*100</f>
        <v>56.280091896533811</v>
      </c>
      <c r="J28" s="3">
        <f>France!I67*100</f>
        <v>70.57927205875724</v>
      </c>
      <c r="K28" s="3">
        <f>Germany!I67*100</f>
        <v>50.264669448795395</v>
      </c>
      <c r="M28" s="3">
        <f>Ireland!I67*100</f>
        <v>73.685385397046559</v>
      </c>
      <c r="N28" s="3">
        <f>Italy!I67*100</f>
        <v>70.190822915943642</v>
      </c>
      <c r="O28" s="4">
        <f>Japan!I67</f>
        <v>115.9757845915295</v>
      </c>
      <c r="P28" s="4">
        <f>Korea!I67</f>
        <v>379.23019128574452</v>
      </c>
      <c r="Q28" s="3">
        <f>Netherlands!I67*100</f>
        <v>71.575009067996518</v>
      </c>
      <c r="R28" s="3">
        <f>'New Zealand'!I67</f>
        <v>0.89599730939539768</v>
      </c>
      <c r="S28" s="3">
        <f>Norway!I67</f>
        <v>5.3569630697155706</v>
      </c>
      <c r="T28" s="3">
        <f>Spain!I67*100</f>
        <v>44.149101199166743</v>
      </c>
      <c r="U28" s="3">
        <f>Sweden!I67</f>
        <v>4.2018412400583225</v>
      </c>
      <c r="V28" s="3">
        <f>Swiss!I67</f>
        <v>0.96716404283878976</v>
      </c>
      <c r="W28" s="3">
        <f>USA!M75</f>
        <v>24.020078151743121</v>
      </c>
      <c r="X28"/>
      <c r="Y28">
        <v>1988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W28" s="3"/>
    </row>
    <row r="29" spans="1:80">
      <c r="A29">
        <v>1989</v>
      </c>
      <c r="B29" s="3">
        <f>Australia!I68</f>
        <v>55.551000000000002</v>
      </c>
      <c r="C29" s="3">
        <f>Austria!I68</f>
        <v>67.757655849838457</v>
      </c>
      <c r="D29" s="3">
        <f>Belgium!I68</f>
        <v>66.24692246249009</v>
      </c>
      <c r="E29" s="3">
        <f>Britain!I68</f>
        <v>40.398538454875016</v>
      </c>
      <c r="F29" s="3">
        <f>Canada!I68</f>
        <v>52.114971959695403</v>
      </c>
      <c r="H29" s="7">
        <f>Denmark!I68</f>
        <v>6.8496754789652732</v>
      </c>
      <c r="I29" s="3">
        <f>Finland!I68*100</f>
        <v>59.326573027945351</v>
      </c>
      <c r="J29" s="3">
        <f>France!I68*100</f>
        <v>84.094386731696758</v>
      </c>
      <c r="K29" s="3">
        <f>Germany!I68*100</f>
        <v>60.75422107343941</v>
      </c>
      <c r="M29" s="3">
        <f>Ireland!I68*100</f>
        <v>78.386612832350039</v>
      </c>
      <c r="N29" s="3">
        <f>Italy!I68*100</f>
        <v>71.004759556038422</v>
      </c>
      <c r="O29" s="4">
        <f>Japan!I68</f>
        <v>119.0590240656532</v>
      </c>
      <c r="P29" s="4">
        <f>Korea!I68</f>
        <v>406.07651051530274</v>
      </c>
      <c r="Q29" s="3">
        <f>Netherlands!I68*100</f>
        <v>79.422564956778828</v>
      </c>
      <c r="R29" s="3">
        <f>'New Zealand'!I68</f>
        <v>0.90296058277432878</v>
      </c>
      <c r="S29" s="3">
        <f>Norway!I68</f>
        <v>5.7790433278765931</v>
      </c>
      <c r="T29" s="3">
        <f>Spain!I68*100</f>
        <v>51.220499235864537</v>
      </c>
      <c r="U29" s="3">
        <f>Sweden!I68</f>
        <v>4.5241983258995937</v>
      </c>
      <c r="V29" s="3">
        <f>Swiss!I68</f>
        <v>1.0577034424223941</v>
      </c>
      <c r="W29" s="3">
        <f>USA!M76</f>
        <v>26.071110481172461</v>
      </c>
      <c r="X29"/>
      <c r="Y29">
        <v>1989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W29" s="3"/>
    </row>
    <row r="30" spans="1:80">
      <c r="A30">
        <v>1990</v>
      </c>
      <c r="B30" s="3">
        <f>Australia!I69</f>
        <v>68.049000000000007</v>
      </c>
      <c r="C30" s="3">
        <f>Austria!I69</f>
        <v>66.534392617629621</v>
      </c>
      <c r="D30" s="3">
        <f>Belgium!I69</f>
        <v>66.93517812145366</v>
      </c>
      <c r="E30" s="3">
        <f>Britain!I69</f>
        <v>41.954180602006694</v>
      </c>
      <c r="F30" s="3">
        <f>Canada!I69</f>
        <v>57.104908565928774</v>
      </c>
      <c r="H30" s="7">
        <f>Denmark!I69</f>
        <v>5.5016455747727351</v>
      </c>
      <c r="I30" s="3">
        <f>Finland!I69*100</f>
        <v>62.570153556609974</v>
      </c>
      <c r="J30" s="3">
        <f>France!I69*100</f>
        <v>74.403605015673989</v>
      </c>
      <c r="K30" s="3">
        <f>Germany!I69*100</f>
        <v>55.714989368832988</v>
      </c>
      <c r="M30" s="3">
        <f>Ireland!I69*100</f>
        <v>67.275107913669061</v>
      </c>
      <c r="N30" s="3">
        <f>Italy!I69*100</f>
        <v>64.982761786209295</v>
      </c>
      <c r="O30" s="4">
        <f>Japan!I69</f>
        <v>121.04616841957834</v>
      </c>
      <c r="P30" s="4">
        <f>Korea!I69</f>
        <v>434.78709677419357</v>
      </c>
      <c r="Q30" s="3">
        <f>Netherlands!I69*100</f>
        <v>72.359976124051784</v>
      </c>
      <c r="R30" s="3">
        <f>'New Zealand'!I69</f>
        <v>0.94705233943237643</v>
      </c>
      <c r="S30" s="3">
        <f>Norway!I69</f>
        <v>7.2218641938982726</v>
      </c>
      <c r="T30" s="3">
        <f>Spain!I69*100</f>
        <v>49.385864110747249</v>
      </c>
      <c r="U30" s="3">
        <f>Sweden!I69</f>
        <v>5.5004566535707209</v>
      </c>
      <c r="V30" s="3">
        <f>Swiss!I69</f>
        <v>1.0275278510322379</v>
      </c>
      <c r="W30" s="3">
        <f>USA!M77</f>
        <v>29.763887696571501</v>
      </c>
      <c r="X30"/>
      <c r="Y30">
        <v>1990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W30" s="3"/>
    </row>
    <row r="31" spans="1:80">
      <c r="A31">
        <v>1991</v>
      </c>
      <c r="B31" s="3">
        <f>Australia!I70</f>
        <v>66.466999999999999</v>
      </c>
      <c r="C31" s="3">
        <f>Austria!I70</f>
        <v>64.142416130355883</v>
      </c>
      <c r="D31" s="3">
        <f>Belgium!I70</f>
        <v>71.335327404171352</v>
      </c>
      <c r="E31" s="3">
        <f>Britain!I70</f>
        <v>44.804570791527311</v>
      </c>
      <c r="F31" s="3">
        <f>Canada!I70</f>
        <v>56.894706448508174</v>
      </c>
      <c r="H31" s="7">
        <f>Denmark!I70</f>
        <v>5.2387007784171393</v>
      </c>
      <c r="I31" s="3">
        <f>Finland!I70*100</f>
        <v>64.192588463900421</v>
      </c>
      <c r="J31" s="3">
        <f>France!I70*100</f>
        <v>75.257836990595621</v>
      </c>
      <c r="K31" s="3">
        <f>Germany!I70*100</f>
        <v>62.703043621565548</v>
      </c>
      <c r="M31" s="3">
        <f>Ireland!I70*100</f>
        <v>66.889208633093517</v>
      </c>
      <c r="N31" s="3">
        <f>Italy!I70*100</f>
        <v>70.275897009783066</v>
      </c>
      <c r="O31" s="4">
        <f>Japan!I70</f>
        <v>123.12166382046915</v>
      </c>
      <c r="P31" s="4">
        <f>Korea!I70</f>
        <v>491.14838709677417</v>
      </c>
      <c r="Q31" s="3">
        <f>Netherlands!I70*100</f>
        <v>83.713705593861675</v>
      </c>
      <c r="R31" s="3">
        <f>'New Zealand'!I70</f>
        <v>0.94996331482041962</v>
      </c>
      <c r="S31" s="3">
        <f>Norway!I70</f>
        <v>7.1383736555854105</v>
      </c>
      <c r="T31" s="3">
        <f>Spain!I70*100</f>
        <v>52.666073927825572</v>
      </c>
      <c r="U31" s="3">
        <f>Sweden!I70</f>
        <v>6.9961923195983209</v>
      </c>
      <c r="V31" s="3">
        <f>Swiss!I70</f>
        <v>1.0331279148652484</v>
      </c>
      <c r="W31" s="3">
        <f>USA!M78</f>
        <v>29.116252301317552</v>
      </c>
      <c r="X31"/>
      <c r="Y31">
        <v>1991</v>
      </c>
      <c r="AA31" s="3">
        <f>B31/'Exchange Rates'!B30/100</f>
        <v>0.51775421987696391</v>
      </c>
      <c r="AC31" s="3">
        <f>C31/'Exchange Rates'!C30/100</f>
        <v>0.75593220966138464</v>
      </c>
      <c r="AE31" s="3">
        <f>D31/'Exchange Rates'!D30/100</f>
        <v>0.84269494351154572</v>
      </c>
      <c r="AG31" s="3">
        <f>E31/'Exchange Rates'!E30/100</f>
        <v>0.79018316608074401</v>
      </c>
      <c r="AI31" s="3">
        <f>F31/'Exchange Rates'!F30/100</f>
        <v>0.49658618141635957</v>
      </c>
      <c r="AQ31" s="3">
        <f>J31/'Exchange Rates'!K30</f>
        <v>87.495312008323339</v>
      </c>
      <c r="AS31" s="3">
        <f>K31/'Exchange Rates'!L30</f>
        <v>73.897883634239932</v>
      </c>
      <c r="BC31" s="3">
        <f>N31/'Exchange Rates'!R30</f>
        <v>109.7499511524</v>
      </c>
      <c r="BE31" s="3">
        <f>O25/'Exchange Rates'!S30</f>
        <v>1.0394638735863555</v>
      </c>
      <c r="BF31" s="3">
        <v>0.54</v>
      </c>
      <c r="BG31" s="3">
        <f>P31/'Exchange Rates'!T30</f>
        <v>0.66972983964990151</v>
      </c>
      <c r="BI31" s="3">
        <f>Q31/'Exchange Rates'!U30</f>
        <v>98.670209263800004</v>
      </c>
      <c r="BJ31" s="3"/>
      <c r="BK31" s="3"/>
      <c r="BL31" s="3"/>
      <c r="BM31" s="3"/>
      <c r="BN31" s="3"/>
      <c r="BO31" s="3">
        <f>T31/'Exchange Rates'!X30</f>
        <v>84.370040340659983</v>
      </c>
      <c r="BP31" s="3"/>
      <c r="BQ31" s="3"/>
      <c r="BR31" s="3"/>
      <c r="BS31" s="3">
        <f>V31/'Exchange Rates'!Z30</f>
        <v>0.71500040246279994</v>
      </c>
      <c r="BT31" s="3"/>
      <c r="BU31" s="3"/>
      <c r="BV31" s="3"/>
      <c r="BW31" s="3">
        <f t="shared" ref="BW31:BW51" si="0">W31/100</f>
        <v>0.29116252301317552</v>
      </c>
      <c r="BX31" s="3"/>
      <c r="BY31" s="3"/>
      <c r="BZ31" s="3"/>
      <c r="CA31" s="3">
        <v>0.56000000000000005</v>
      </c>
      <c r="CB31" s="3"/>
    </row>
    <row r="32" spans="1:80">
      <c r="A32">
        <v>1992</v>
      </c>
      <c r="B32" s="3">
        <f>Australia!I71</f>
        <v>67.710999999999999</v>
      </c>
      <c r="C32" s="3">
        <f>Austria!I71</f>
        <v>67.39578613907878</v>
      </c>
      <c r="D32" s="3">
        <f>Belgium!I71</f>
        <v>69.924539839121081</v>
      </c>
      <c r="E32" s="3">
        <f>Britain!I71</f>
        <v>45.695317725752503</v>
      </c>
      <c r="F32" s="3">
        <f>Canada!I71</f>
        <v>54.862752646775739</v>
      </c>
      <c r="H32" s="7">
        <f>Denmark!I71</f>
        <v>5.040170414294364</v>
      </c>
      <c r="I32" s="3">
        <f>Finland!I71*100</f>
        <v>54.063121653329929</v>
      </c>
      <c r="J32" s="3">
        <f>France!I71*100</f>
        <v>72.951410658307225</v>
      </c>
      <c r="K32" s="3">
        <f>Germany!I71*100</f>
        <v>66.466540471408578</v>
      </c>
      <c r="M32" s="3">
        <f>Ireland!I71*100</f>
        <v>63.416115107913662</v>
      </c>
      <c r="N32" s="3">
        <f>Italy!I71*100</f>
        <v>72.914939303338741</v>
      </c>
      <c r="O32" s="4">
        <f>Japan!I71</f>
        <v>119.93870491382782</v>
      </c>
      <c r="P32" s="4">
        <f>Korea!I71</f>
        <v>529.79612903225802</v>
      </c>
      <c r="Q32" s="3">
        <f>Netherlands!I71*100</f>
        <v>79.285516982653476</v>
      </c>
      <c r="R32" s="3">
        <f>'New Zealand'!I71</f>
        <v>0.96813093225523172</v>
      </c>
      <c r="S32" s="3">
        <f>Norway!I71</f>
        <v>6.7750316187246673</v>
      </c>
      <c r="T32" s="3">
        <f>Spain!I71*100</f>
        <v>51.854926356281197</v>
      </c>
      <c r="U32" s="3">
        <f>Sweden!I71</f>
        <v>5.8833610741694358</v>
      </c>
      <c r="V32" s="3">
        <f>Swiss!I71</f>
        <v>0.91609884308605405</v>
      </c>
      <c r="W32" s="3">
        <f>USA!M79</f>
        <v>28.714270280327504</v>
      </c>
      <c r="X32"/>
      <c r="Y32">
        <v>1992</v>
      </c>
      <c r="AA32" s="3">
        <f>B32/'Exchange Rates'!B31/100</f>
        <v>0.49727230109585441</v>
      </c>
      <c r="AC32" s="3">
        <f>C32/'Exchange Rates'!C31/100</f>
        <v>0.84389928021763505</v>
      </c>
      <c r="AE32" s="3">
        <f>D32/'Exchange Rates'!D31/100</f>
        <v>0.87738501210163788</v>
      </c>
      <c r="AG32" s="3">
        <f>E32/'Exchange Rates'!E31/100</f>
        <v>0.80199022289104993</v>
      </c>
      <c r="AH32" s="3">
        <v>0.47</v>
      </c>
      <c r="AI32" s="3">
        <f>F32/'Exchange Rates'!F31/100</f>
        <v>0.45388945084097487</v>
      </c>
      <c r="AQ32" s="3">
        <f>J32/'Exchange Rates'!K31</f>
        <v>90.394060397201315</v>
      </c>
      <c r="AS32" s="3">
        <f>K32/'Exchange Rates'!L31</f>
        <v>83.243526942781699</v>
      </c>
      <c r="BC32" s="3">
        <f>N32/'Exchange Rates'!R31</f>
        <v>114.4700343018</v>
      </c>
      <c r="BE32" s="3">
        <f>O26/'Exchange Rates'!S31</f>
        <v>0.97132566004008636</v>
      </c>
      <c r="BG32" s="3">
        <f>P32/'Exchange Rates'!T31</f>
        <v>0.67865938688640381</v>
      </c>
      <c r="BI32" s="3">
        <f>Q32/'Exchange Rates'!U31</f>
        <v>99.360402298500006</v>
      </c>
      <c r="BJ32" s="3"/>
      <c r="BK32" s="3"/>
      <c r="BL32" s="3"/>
      <c r="BM32" s="3"/>
      <c r="BN32" s="3"/>
      <c r="BO32" s="3">
        <f>T32/'Exchange Rates'!X31</f>
        <v>84.179959721670016</v>
      </c>
      <c r="BP32" s="3"/>
      <c r="BQ32" s="3"/>
      <c r="BR32" s="3"/>
      <c r="BS32" s="3">
        <f>V32/'Exchange Rates'!Z31</f>
        <v>0.64859999156490011</v>
      </c>
      <c r="BT32" s="3"/>
      <c r="BU32" s="3"/>
      <c r="BV32" s="3">
        <v>0.32</v>
      </c>
      <c r="BW32" s="3">
        <f t="shared" si="0"/>
        <v>0.28714270280327503</v>
      </c>
      <c r="BX32" s="3"/>
      <c r="BY32" s="3"/>
      <c r="BZ32" s="3"/>
      <c r="CA32" s="3"/>
      <c r="CB32" s="3"/>
    </row>
    <row r="33" spans="1:81">
      <c r="A33">
        <v>1993</v>
      </c>
      <c r="B33" s="3">
        <f>Australia!I72</f>
        <v>67.451999999999998</v>
      </c>
      <c r="C33" s="3">
        <f>Austria!I72</f>
        <v>67.007561654185551</v>
      </c>
      <c r="D33" s="3">
        <f>Belgium!I72</f>
        <v>71.585758835758838</v>
      </c>
      <c r="E33" s="3">
        <f>Britain!I72</f>
        <v>49.25830546265329</v>
      </c>
      <c r="F33" s="3">
        <f>Canada!I72</f>
        <v>54.232146294513953</v>
      </c>
      <c r="H33" s="7">
        <f>Denmark!I72</f>
        <v>5.2130906599032611</v>
      </c>
      <c r="I33" s="3">
        <f>Finland!I72*100</f>
        <v>72.391615716218396</v>
      </c>
      <c r="J33" s="3">
        <f>France!I72*100</f>
        <v>75.172413793103459</v>
      </c>
      <c r="K33" s="3">
        <f>Germany!I72*100</f>
        <v>66.132990087534367</v>
      </c>
      <c r="M33" s="3">
        <f>Ireland!I72*100</f>
        <v>63.673381294964024</v>
      </c>
      <c r="N33" s="3">
        <f>Italy!I72*100</f>
        <v>96.66856782282224</v>
      </c>
      <c r="O33" s="4">
        <f>Japan!I72</f>
        <v>117.98143889644494</v>
      </c>
      <c r="P33" s="4">
        <f>Korea!I72</f>
        <v>563.61290322580646</v>
      </c>
      <c r="Q33" s="3">
        <f>Netherlands!I72*100</f>
        <v>79.670858787101935</v>
      </c>
      <c r="R33" s="3">
        <f>'New Zealand'!I72</f>
        <v>0.95301272629467693</v>
      </c>
      <c r="S33" s="3">
        <f>Norway!I72</f>
        <v>6.9976228489799555</v>
      </c>
      <c r="T33" s="3">
        <f>Spain!I72*100</f>
        <v>55.497907167212603</v>
      </c>
      <c r="U33" s="3">
        <f>Sweden!I72</f>
        <v>6.7207808760481047</v>
      </c>
      <c r="V33" s="3">
        <f>Swiss!I72</f>
        <v>1.1332123934280522</v>
      </c>
      <c r="W33" s="3">
        <f>USA!M80</f>
        <v>28.192936860690445</v>
      </c>
      <c r="X33"/>
      <c r="Y33">
        <v>1993</v>
      </c>
      <c r="AA33" s="3">
        <f>B33/'Exchange Rates'!B32/100</f>
        <v>0.45868240670220861</v>
      </c>
      <c r="AC33" s="3">
        <f>C33/'Exchange Rates'!C32/100</f>
        <v>0.7926653175066537</v>
      </c>
      <c r="AE33" s="3">
        <f>D33/'Exchange Rates'!D32/100</f>
        <v>0.83469783153169486</v>
      </c>
      <c r="AG33" s="3">
        <f>E33/'Exchange Rates'!E32/100</f>
        <v>0.73877447799803064</v>
      </c>
      <c r="AI33" s="3">
        <f>F33/'Exchange Rates'!F32/100</f>
        <v>0.42038006570304792</v>
      </c>
      <c r="AQ33" s="3">
        <f>J33/'Exchange Rates'!K32</f>
        <v>87.070225003192093</v>
      </c>
      <c r="AS33" s="3">
        <f>K33/'Exchange Rates'!L32</f>
        <v>78.233424868085038</v>
      </c>
      <c r="BC33" s="3">
        <f>N33/'Exchange Rates'!R32</f>
        <v>119.19021189700001</v>
      </c>
      <c r="BE33" s="3">
        <f>O27/'Exchange Rates'!S32</f>
        <v>1.0887251578763184</v>
      </c>
      <c r="BG33" s="3">
        <f>P33/'Exchange Rates'!T32</f>
        <v>0.70217175309162339</v>
      </c>
      <c r="BI33" s="3">
        <f>Q33/'Exchange Rates'!U32</f>
        <v>94.529975188700007</v>
      </c>
      <c r="BJ33" s="3"/>
      <c r="BK33" s="3"/>
      <c r="BL33" s="3"/>
      <c r="BM33" s="3"/>
      <c r="BN33" s="3"/>
      <c r="BO33" s="3">
        <f>T33/'Exchange Rates'!X32</f>
        <v>72.61000704620001</v>
      </c>
      <c r="BP33" s="3"/>
      <c r="BQ33" s="3"/>
      <c r="BR33" s="3"/>
      <c r="BS33" s="3">
        <f>V33/'Exchange Rates'!Z32</f>
        <v>0.76720030697700003</v>
      </c>
      <c r="BT33" s="3"/>
      <c r="BU33" s="3"/>
      <c r="BV33" s="3"/>
      <c r="BW33" s="3">
        <f t="shared" si="0"/>
        <v>0.28192936860690443</v>
      </c>
      <c r="BX33" s="3"/>
      <c r="BY33" s="3"/>
      <c r="BZ33" s="3"/>
      <c r="CA33" s="3"/>
      <c r="CB33" s="3"/>
    </row>
    <row r="34" spans="1:81">
      <c r="A34">
        <v>1994</v>
      </c>
      <c r="B34" s="3">
        <f>Australia!I73</f>
        <v>66.744</v>
      </c>
      <c r="C34" s="3">
        <f>Austria!I73</f>
        <v>69.80748532054227</v>
      </c>
      <c r="D34" s="3">
        <f>Belgium!I73</f>
        <v>71.621063342038823</v>
      </c>
      <c r="E34" s="3">
        <f>Britain!I73</f>
        <v>51.396098104793758</v>
      </c>
      <c r="F34" s="3">
        <f>Canada!I73</f>
        <v>53.60153994225216</v>
      </c>
      <c r="H34" s="7">
        <f>Denmark!I73</f>
        <v>5.3810264243391588</v>
      </c>
      <c r="I34" s="3">
        <f>Finland!I73*100</f>
        <v>79.524686793033027</v>
      </c>
      <c r="J34" s="3">
        <f>France!I73*100</f>
        <v>76.966300940438884</v>
      </c>
      <c r="K34" s="3">
        <f>Germany!I73*100</f>
        <v>74.264850665993649</v>
      </c>
      <c r="M34" s="3">
        <f>Ireland!I73*100</f>
        <v>63.802014388489212</v>
      </c>
      <c r="N34" s="3">
        <f>Italy!I73*100</f>
        <v>106.90106658892677</v>
      </c>
      <c r="O34" s="4">
        <f>Japan!I73</f>
        <v>118.4585977767525</v>
      </c>
      <c r="P34" s="4">
        <f>Korea!I73</f>
        <v>574.88516129032269</v>
      </c>
      <c r="Q34" s="3">
        <f>Netherlands!I73*100</f>
        <v>88.021796215690372</v>
      </c>
      <c r="R34" s="3">
        <f>'New Zealand'!I73</f>
        <v>0.89891537884991868</v>
      </c>
      <c r="S34" s="3">
        <f>Norway!I73</f>
        <v>8.243272268056657</v>
      </c>
      <c r="T34" s="3">
        <f>Spain!I73*100</f>
        <v>65.782365480072272</v>
      </c>
      <c r="U34" s="3">
        <f>Sweden!I73</f>
        <v>7.3121505364032506</v>
      </c>
      <c r="V34" s="3">
        <f>Swiss!I73</f>
        <v>1.1254746479543238</v>
      </c>
      <c r="W34" s="3">
        <f>USA!M81</f>
        <v>28.426123736842733</v>
      </c>
      <c r="X34"/>
      <c r="Y34">
        <v>1994</v>
      </c>
      <c r="AA34" s="3">
        <f>B34/'Exchange Rates'!B33/100</f>
        <v>0.48798361787387079</v>
      </c>
      <c r="AC34" s="3">
        <f>C34/'Exchange Rates'!C33/100</f>
        <v>0.84099873947736592</v>
      </c>
      <c r="AE34" s="3">
        <f>D34/'Exchange Rates'!D33/100</f>
        <v>0.86356508693722078</v>
      </c>
      <c r="AG34" s="3">
        <f>E34/'Exchange Rates'!E33/100</f>
        <v>0.78656220365540075</v>
      </c>
      <c r="AI34" s="3">
        <f>F34/'Exchange Rates'!F33/100</f>
        <v>0.39250172343521128</v>
      </c>
      <c r="AQ34" s="3">
        <f>J34/'Exchange Rates'!K33</f>
        <v>90.933393610254015</v>
      </c>
      <c r="AS34" s="3">
        <f>K34/'Exchange Rates'!L33</f>
        <v>89.505988376851192</v>
      </c>
      <c r="BC34" s="3">
        <f>N34/'Exchange Rates'!R33</f>
        <v>128.47961255760001</v>
      </c>
      <c r="BE34" s="3">
        <f>O28/'Exchange Rates'!S33</f>
        <v>1.1347035906340943</v>
      </c>
      <c r="BG34" s="3">
        <f>P34/'Exchange Rates'!T33</f>
        <v>0.71552433055902032</v>
      </c>
      <c r="BI34" s="3">
        <f>Q34/'Exchange Rates'!U33</f>
        <v>106.579988098</v>
      </c>
      <c r="BJ34" s="3"/>
      <c r="BK34" s="3"/>
      <c r="BL34" s="3"/>
      <c r="BM34" s="3"/>
      <c r="BN34" s="3"/>
      <c r="BO34" s="3">
        <f>T34/'Exchange Rates'!X33</f>
        <v>81.759992202180015</v>
      </c>
      <c r="BP34" s="3"/>
      <c r="BQ34" s="3"/>
      <c r="BR34" s="3"/>
      <c r="BS34" s="3">
        <f>V34/'Exchange Rates'!Z33</f>
        <v>0.83220032013580014</v>
      </c>
      <c r="BT34" s="3"/>
      <c r="BU34" s="3"/>
      <c r="BV34" s="3"/>
      <c r="BW34" s="3">
        <f t="shared" si="0"/>
        <v>0.28426123736842734</v>
      </c>
      <c r="BX34" s="3"/>
      <c r="BY34" s="3"/>
      <c r="BZ34" s="3"/>
      <c r="CA34" s="3"/>
      <c r="CB34" s="3"/>
    </row>
    <row r="35" spans="1:81">
      <c r="A35">
        <v>1995</v>
      </c>
      <c r="B35" s="3">
        <f>Australia!I74</f>
        <v>69.28</v>
      </c>
      <c r="C35" s="3">
        <f>Austria!I74</f>
        <v>76.842792653905818</v>
      </c>
      <c r="D35" s="3">
        <f>Belgium!I74</f>
        <v>68.815516875884086</v>
      </c>
      <c r="E35" s="3">
        <f>Britain!I74</f>
        <v>53.890189520624311</v>
      </c>
      <c r="F35" s="3">
        <f>Canada!I74</f>
        <v>55.703561116458125</v>
      </c>
      <c r="G35" s="3">
        <f>China!AO74</f>
        <v>2.2547700000000002</v>
      </c>
      <c r="H35" s="7">
        <f>Denmark!I74</f>
        <v>5.8376695399999994</v>
      </c>
      <c r="I35" s="3">
        <f>Finland!I74*100</f>
        <v>80.97727851752434</v>
      </c>
      <c r="J35" s="3">
        <f>France!I74*100</f>
        <v>79.443573667711604</v>
      </c>
      <c r="K35" s="3">
        <f>Germany!I74*100</f>
        <v>73.915868943404035</v>
      </c>
      <c r="M35" s="3">
        <f>Ireland!I74*100</f>
        <v>64.316546762589937</v>
      </c>
      <c r="N35" s="3">
        <f>Italy!I74*100</f>
        <v>90.23518706585341</v>
      </c>
      <c r="O35" s="4">
        <f>Japan!I74</f>
        <v>110.04973200000001</v>
      </c>
      <c r="P35" s="4">
        <f>Korea!I74</f>
        <v>589.37806451612903</v>
      </c>
      <c r="Q35" s="3">
        <f>Netherlands!I74*100</f>
        <v>84.680892494929012</v>
      </c>
      <c r="R35" s="3">
        <f>'New Zealand'!I74</f>
        <v>0.89908919999999992</v>
      </c>
      <c r="S35" s="3">
        <f>Norway!I74</f>
        <v>8.2122679079999994</v>
      </c>
      <c r="T35" s="3">
        <f>Spain!I74*100</f>
        <v>69.190891060545965</v>
      </c>
      <c r="U35" s="3">
        <f>Sweden!I74</f>
        <v>7.5987456541085576</v>
      </c>
      <c r="V35" s="3">
        <f>Swiss!I74</f>
        <v>1.1191131733333333</v>
      </c>
      <c r="W35" s="3">
        <f>USA!M82</f>
        <v>29.342675792188448</v>
      </c>
      <c r="X35"/>
      <c r="Y35">
        <v>1995</v>
      </c>
      <c r="AA35" s="3">
        <f>B35/'Exchange Rates'!B34/100</f>
        <v>0.51355323166788047</v>
      </c>
      <c r="AB35" s="3">
        <v>1.1499999999999999</v>
      </c>
      <c r="AC35" s="3">
        <f>C35/'Exchange Rates'!C34/100</f>
        <v>1.0488318997723953</v>
      </c>
      <c r="AD35" s="3">
        <v>1.18</v>
      </c>
      <c r="AE35" s="3">
        <f>D35/'Exchange Rates'!D34/100</f>
        <v>0.94165911438991745</v>
      </c>
      <c r="AF35" s="3">
        <v>0.92</v>
      </c>
      <c r="AG35" s="3">
        <f>E35/'Exchange Rates'!E34/100</f>
        <v>0.85044833446890677</v>
      </c>
      <c r="AH35" s="3">
        <v>0.45</v>
      </c>
      <c r="AI35" s="3">
        <f>F35/'Exchange Rates'!F34/100</f>
        <v>0.40587222241972731</v>
      </c>
      <c r="AJ35" s="3">
        <v>0.85</v>
      </c>
      <c r="AL35" s="3">
        <v>1.08</v>
      </c>
      <c r="AN35" s="3">
        <v>1.2</v>
      </c>
      <c r="AP35" s="3">
        <v>1.17</v>
      </c>
      <c r="AQ35" s="3">
        <f>J35/'Exchange Rates'!K34</f>
        <v>104.40103586982437</v>
      </c>
      <c r="AR35" s="3">
        <v>1.1200000000000001</v>
      </c>
      <c r="AS35" s="3">
        <f>K35/'Exchange Rates'!L34</f>
        <v>100.87491989950522</v>
      </c>
      <c r="AT35" s="3">
        <v>0.88</v>
      </c>
      <c r="AV35" s="3">
        <v>0.74</v>
      </c>
      <c r="AX35" s="3">
        <v>0.96</v>
      </c>
      <c r="AZ35" s="3">
        <v>0.73</v>
      </c>
      <c r="BB35" s="3">
        <v>1.18</v>
      </c>
      <c r="BC35" s="3">
        <f>N35/'Exchange Rates'!R34</f>
        <v>107.28</v>
      </c>
      <c r="BD35" s="3">
        <v>1.25</v>
      </c>
      <c r="BE35" s="3">
        <f>O29/'Exchange Rates'!S34</f>
        <v>1.2657828022408473</v>
      </c>
      <c r="BF35" s="3">
        <v>0.79</v>
      </c>
      <c r="BG35" s="3">
        <f>P35/'Exchange Rates'!T34</f>
        <v>0.76416270829671074</v>
      </c>
      <c r="BH35" s="3">
        <v>1.21</v>
      </c>
      <c r="BI35" s="3">
        <f>Q35/'Exchange Rates'!U34</f>
        <v>116.22</v>
      </c>
      <c r="BJ35" s="3">
        <v>0.61</v>
      </c>
      <c r="BK35" s="3"/>
      <c r="BL35" s="3">
        <v>1.33</v>
      </c>
      <c r="BM35" s="3"/>
      <c r="BN35" s="3">
        <v>0.89</v>
      </c>
      <c r="BO35" s="3">
        <f>T35/'Exchange Rates'!X34</f>
        <v>92.38</v>
      </c>
      <c r="BP35" s="3">
        <v>1.17</v>
      </c>
      <c r="BQ35" s="3"/>
      <c r="BR35" s="3">
        <v>1.02</v>
      </c>
      <c r="BS35" s="3">
        <f>V35/'Exchange Rates'!Z34</f>
        <v>0.9536</v>
      </c>
      <c r="BT35" s="3">
        <v>0.56000000000000005</v>
      </c>
      <c r="BU35" s="3"/>
      <c r="BV35" s="3">
        <v>0.34</v>
      </c>
      <c r="BW35" s="3">
        <f t="shared" si="0"/>
        <v>0.2934267579218845</v>
      </c>
      <c r="BX35" s="3"/>
      <c r="BY35" s="3">
        <v>0.27</v>
      </c>
      <c r="BZ35" s="3"/>
      <c r="CA35" s="3">
        <v>0.48</v>
      </c>
      <c r="CB35" s="3"/>
    </row>
    <row r="36" spans="1:81">
      <c r="A36">
        <v>1996</v>
      </c>
      <c r="B36" s="3">
        <f>Australia!I75</f>
        <v>71.045000000000002</v>
      </c>
      <c r="C36" s="3">
        <f>Austria!I75</f>
        <v>78.684642857142862</v>
      </c>
      <c r="D36" s="3">
        <f>Belgium!I75</f>
        <v>75.222601930512212</v>
      </c>
      <c r="E36" s="3">
        <f>Britain!I75</f>
        <v>56.740579710144935</v>
      </c>
      <c r="F36" s="3">
        <f>Canada!I75</f>
        <v>58.366121270452354</v>
      </c>
      <c r="G36" s="3">
        <f>China!AO75</f>
        <v>2.327976</v>
      </c>
      <c r="H36" s="7">
        <f>Denmark!I75</f>
        <v>6.3785668524809473</v>
      </c>
      <c r="I36" s="3">
        <f>Finland!I75*100</f>
        <v>87.681564102604042</v>
      </c>
      <c r="J36" s="3">
        <f>France!I75*100</f>
        <v>85.59404388714735</v>
      </c>
      <c r="K36" s="3">
        <f>Germany!I75*100</f>
        <v>77.16641975308643</v>
      </c>
      <c r="M36" s="3">
        <f>Ireland!I75*100</f>
        <v>69.075971223021597</v>
      </c>
      <c r="N36" s="3">
        <f>Italy!I75*100</f>
        <v>93.138062283737014</v>
      </c>
      <c r="O36" s="4">
        <f>Japan!I75</f>
        <v>104.75413389218764</v>
      </c>
      <c r="P36" s="4">
        <f>Korea!I75</f>
        <v>677.94580645161295</v>
      </c>
      <c r="Q36" s="3">
        <f>Netherlands!I75*100</f>
        <v>90.545090180360731</v>
      </c>
      <c r="R36" s="3">
        <f>'New Zealand'!I75</f>
        <v>0.90491649711243849</v>
      </c>
      <c r="S36" s="3">
        <f>Norway!I75</f>
        <v>8.5446863318147894</v>
      </c>
      <c r="T36" s="3">
        <f>Spain!I75*100</f>
        <v>65.061678832116769</v>
      </c>
      <c r="U36" s="3">
        <f>Sweden!I75</f>
        <v>7.2671680000000007</v>
      </c>
      <c r="V36" s="3">
        <f>Swiss!I75</f>
        <v>1.0554149085794655</v>
      </c>
      <c r="W36" s="3">
        <f>USA!M83</f>
        <v>31.724176141726275</v>
      </c>
      <c r="X36"/>
      <c r="Y36">
        <v>1996</v>
      </c>
      <c r="AA36" s="3">
        <f>B36/'Exchange Rates'!B35/100</f>
        <v>0.55596712220138444</v>
      </c>
      <c r="AC36" s="3">
        <f>C36/'Exchange Rates'!C35/100</f>
        <v>1.0227308967063484</v>
      </c>
      <c r="AE36" s="3">
        <f>D36/'Exchange Rates'!D35/100</f>
        <v>0.980079207924897</v>
      </c>
      <c r="AG36" s="3">
        <f>E36/'Exchange Rates'!E35/100</f>
        <v>0.88524645468415941</v>
      </c>
      <c r="AI36" s="3">
        <f>F36/'Exchange Rates'!F35/100</f>
        <v>0.4280709705062396</v>
      </c>
      <c r="AQ36" s="3">
        <f>J36/'Exchange Rates'!K35</f>
        <v>109.75621685787858</v>
      </c>
      <c r="AS36" s="3">
        <f>K36/'Exchange Rates'!L35</f>
        <v>100.29732035173417</v>
      </c>
      <c r="BC36" s="3">
        <f>N36/'Exchange Rates'!R35</f>
        <v>116.90817447661087</v>
      </c>
      <c r="BE36" s="3">
        <f>O30/'Exchange Rates'!S35</f>
        <v>1.1127714762920999</v>
      </c>
      <c r="BG36" s="3">
        <f>P36/'Exchange Rates'!T35</f>
        <v>0.84274134903047537</v>
      </c>
      <c r="BI36" s="3">
        <f>Q36/'Exchange Rates'!U35</f>
        <v>118.35525279160257</v>
      </c>
      <c r="BJ36" s="3"/>
      <c r="BK36" s="3"/>
      <c r="BL36" s="3"/>
      <c r="BM36" s="3"/>
      <c r="BN36" s="3"/>
      <c r="BO36" s="3">
        <f>T36/'Exchange Rates'!X35</f>
        <v>85.490699934733669</v>
      </c>
      <c r="BP36" s="3"/>
      <c r="BQ36" s="3"/>
      <c r="BR36" s="3"/>
      <c r="BS36" s="3">
        <f>V36/'Exchange Rates'!Z35</f>
        <v>0.84181210263634765</v>
      </c>
      <c r="BT36" s="3"/>
      <c r="BU36" s="3"/>
      <c r="BV36" s="3"/>
      <c r="BW36" s="3">
        <f t="shared" si="0"/>
        <v>0.31724176141726274</v>
      </c>
      <c r="BX36" s="3"/>
      <c r="BY36" s="3"/>
      <c r="BZ36" s="3"/>
      <c r="CA36" s="3"/>
      <c r="CB36" s="3"/>
    </row>
    <row r="37" spans="1:81">
      <c r="A37">
        <v>1997</v>
      </c>
      <c r="B37" s="3">
        <f>Australia!I76</f>
        <v>72.337000000000003</v>
      </c>
      <c r="C37" s="3">
        <f>Austria!I76</f>
        <v>80.117135021130878</v>
      </c>
      <c r="D37" s="3">
        <f>Belgium!I76</f>
        <v>83.42619542619542</v>
      </c>
      <c r="E37" s="3">
        <f>Britain!I76</f>
        <v>61.995986622073573</v>
      </c>
      <c r="F37" s="3">
        <f>Canada!I76</f>
        <v>59.697401347449471</v>
      </c>
      <c r="G37" s="3">
        <f>China!AO76</f>
        <v>2.3211440000000003</v>
      </c>
      <c r="H37" s="7">
        <f>Denmark!I76</f>
        <v>6.5846435176737961</v>
      </c>
      <c r="I37" s="3">
        <f>Finland!I76*100</f>
        <v>86.047524309531752</v>
      </c>
      <c r="J37" s="3">
        <f>France!I76*100</f>
        <v>89.096394984326039</v>
      </c>
      <c r="K37" s="3">
        <f>Germany!I76*100</f>
        <v>79.242098765432118</v>
      </c>
      <c r="M37" s="3">
        <f>Ireland!I76*100</f>
        <v>72.74201438848921</v>
      </c>
      <c r="N37" s="3">
        <f>Italy!I76*100</f>
        <v>94.509573241061119</v>
      </c>
      <c r="O37" s="4">
        <f>Japan!I76</f>
        <v>104.41521167267445</v>
      </c>
      <c r="P37" s="4">
        <f>Korea!I76</f>
        <v>834.14709677419353</v>
      </c>
      <c r="Q37" s="3">
        <f>Netherlands!I76*100</f>
        <v>96.00801603206412</v>
      </c>
      <c r="R37" s="3">
        <f>'New Zealand'!I76</f>
        <v>0.90442779491391601</v>
      </c>
      <c r="S37" s="3">
        <f>Norway!I76</f>
        <v>8.5190498392282965</v>
      </c>
      <c r="T37" s="3">
        <f>Spain!I76*100</f>
        <v>67.154014598540144</v>
      </c>
      <c r="U37" s="3">
        <f>Sweden!I76</f>
        <v>7.5144800000000007</v>
      </c>
      <c r="V37" s="3">
        <f>Swiss!I76</f>
        <v>1.1154711673699014</v>
      </c>
      <c r="W37" s="3">
        <f>USA!M84</f>
        <v>31.673525648717348</v>
      </c>
      <c r="X37"/>
      <c r="Y37">
        <v>1997</v>
      </c>
      <c r="AA37" s="3">
        <f>B37/'Exchange Rates'!B36/100</f>
        <v>0.53687155813504728</v>
      </c>
      <c r="AC37" s="3">
        <f>C37/'Exchange Rates'!C36/100</f>
        <v>0.90332493160655136</v>
      </c>
      <c r="AE37" s="3">
        <f>D37/'Exchange Rates'!D36/100</f>
        <v>0.94074293853149382</v>
      </c>
      <c r="AG37" s="3">
        <f>E37/'Exchange Rates'!E36/100</f>
        <v>1.014936687131629</v>
      </c>
      <c r="AI37" s="3">
        <f>F37/'Exchange Rates'!F36/100</f>
        <v>0.43114749940981978</v>
      </c>
      <c r="AQ37" s="3">
        <f>J37/'Exchange Rates'!K36</f>
        <v>100.13107422997204</v>
      </c>
      <c r="AS37" s="3">
        <f>K37/'Exchange Rates'!L36</f>
        <v>89.376419517430264</v>
      </c>
      <c r="BC37" s="3">
        <f>N37/'Exchange Rates'!R36</f>
        <v>107.48588356128155</v>
      </c>
      <c r="BE37" s="3">
        <f>O31/'Exchange Rates'!S36</f>
        <v>1.0176101017469825</v>
      </c>
      <c r="BG37" s="3">
        <f>P37/'Exchange Rates'!T36</f>
        <v>0.87685981523405987</v>
      </c>
      <c r="BI37" s="3">
        <f>Q37/'Exchange Rates'!U36</f>
        <v>108.42877972295993</v>
      </c>
      <c r="BJ37" s="3"/>
      <c r="BK37" s="3"/>
      <c r="BL37" s="3"/>
      <c r="BM37" s="3"/>
      <c r="BN37" s="3"/>
      <c r="BO37" s="3">
        <f>T37/'Exchange Rates'!X36</f>
        <v>76.330979984408629</v>
      </c>
      <c r="BP37" s="3"/>
      <c r="BQ37" s="3"/>
      <c r="BR37" s="3"/>
      <c r="BS37" s="3">
        <f>V37/'Exchange Rates'!Z36</f>
        <v>0.76498194127550689</v>
      </c>
      <c r="BT37" s="3"/>
      <c r="BU37" s="3"/>
      <c r="BV37" s="3"/>
      <c r="BW37" s="3">
        <f t="shared" si="0"/>
        <v>0.31673525648717349</v>
      </c>
      <c r="BX37" s="3"/>
      <c r="BY37" s="3"/>
      <c r="BZ37" s="3"/>
      <c r="CA37" s="3"/>
      <c r="CB37" s="3"/>
    </row>
    <row r="38" spans="1:81">
      <c r="A38">
        <v>1998</v>
      </c>
      <c r="B38" s="3">
        <f>Australia!I77</f>
        <v>68.409000000000006</v>
      </c>
      <c r="C38" s="3">
        <f>Austria!I77</f>
        <v>75.704999999999998</v>
      </c>
      <c r="D38" s="3">
        <f>Belgium!I77</f>
        <v>76.645974125276183</v>
      </c>
      <c r="E38" s="3">
        <f>Britain!I77</f>
        <v>64.668227424749162</v>
      </c>
      <c r="F38" s="3">
        <f>Canada!I77</f>
        <v>54.512415784408077</v>
      </c>
      <c r="G38" s="3">
        <f>China!AO77</f>
        <v>2.3181480000000003</v>
      </c>
      <c r="H38" s="7">
        <f>Denmark!I77</f>
        <v>6.3657905656983678</v>
      </c>
      <c r="I38" s="3">
        <f>Finland!I77*100</f>
        <v>84.910380590391128</v>
      </c>
      <c r="J38" s="3">
        <f>France!I77*100</f>
        <v>85.423197492163027</v>
      </c>
      <c r="K38" s="3">
        <f>Germany!I77*100</f>
        <v>74.236049382716047</v>
      </c>
      <c r="M38" s="3">
        <f>Ireland!I77*100</f>
        <v>70.748201438848923</v>
      </c>
      <c r="N38" s="3">
        <f>Italy!I77*100</f>
        <v>91.891234140715113</v>
      </c>
      <c r="O38" s="4">
        <f>Japan!I77</f>
        <v>99.095375722543352</v>
      </c>
      <c r="P38" s="9">
        <f>Korea!I77</f>
        <v>1111.1225806451612</v>
      </c>
      <c r="Q38" s="3">
        <f>Netherlands!I77*100</f>
        <v>94.38076152304609</v>
      </c>
      <c r="R38" s="3">
        <f>'New Zealand'!I77</f>
        <v>0.84958000000000011</v>
      </c>
      <c r="S38" s="3">
        <f>Norway!I77</f>
        <v>8.4935691318327979</v>
      </c>
      <c r="T38" s="3">
        <f>Spain!I77*100</f>
        <v>64.66313868613139</v>
      </c>
      <c r="U38" s="3">
        <f>Sweden!I77</f>
        <v>7.0103439999999999</v>
      </c>
      <c r="V38" s="3">
        <f>Swiss!I77</f>
        <v>1.0101265822784811</v>
      </c>
      <c r="W38" s="3">
        <f>USA!M85</f>
        <v>27.196985762425896</v>
      </c>
      <c r="X38"/>
      <c r="Y38">
        <v>1998</v>
      </c>
      <c r="Z38" s="3">
        <v>0.46</v>
      </c>
      <c r="AA38" s="3">
        <f>B38/'Exchange Rates'!B37/100</f>
        <v>0.42975111428472801</v>
      </c>
      <c r="AB38" s="3">
        <v>1.04</v>
      </c>
      <c r="AC38" s="3">
        <f>C38/'Exchange Rates'!C37/100</f>
        <v>0.84151797101566372</v>
      </c>
      <c r="AD38" s="3">
        <v>1.1200000000000001</v>
      </c>
      <c r="AE38" s="3">
        <f>D38/'Exchange Rates'!D37/100</f>
        <v>0.85179343875968461</v>
      </c>
      <c r="AF38" s="3">
        <v>1.1100000000000001</v>
      </c>
      <c r="AG38" s="3">
        <f>E38/'Exchange Rates'!E37/100</f>
        <v>1.0709780900518888</v>
      </c>
      <c r="AH38" s="3">
        <v>0.41</v>
      </c>
      <c r="AI38" s="3">
        <f>F38/'Exchange Rates'!F37/100</f>
        <v>0.36746728918874816</v>
      </c>
      <c r="AJ38" s="3">
        <v>0.72</v>
      </c>
      <c r="AL38" s="3">
        <v>1.05</v>
      </c>
      <c r="AN38" s="3">
        <v>1.17</v>
      </c>
      <c r="AP38" s="3">
        <v>1.1100000000000001</v>
      </c>
      <c r="AQ38" s="3">
        <f>J38/'Exchange Rates'!K37</f>
        <v>94.980514274664344</v>
      </c>
      <c r="AR38" s="3">
        <v>0.96</v>
      </c>
      <c r="AS38" s="3">
        <f>K38/'Exchange Rates'!L37</f>
        <v>82.511546178657085</v>
      </c>
      <c r="AT38" s="3">
        <v>0.65</v>
      </c>
      <c r="AV38" s="3">
        <v>0.72</v>
      </c>
      <c r="AX38" s="3">
        <v>1.02</v>
      </c>
      <c r="AZ38" s="3">
        <v>0.86</v>
      </c>
      <c r="BB38" s="3">
        <v>1.19</v>
      </c>
      <c r="BC38" s="3">
        <f>N38/'Exchange Rates'!R37</f>
        <v>102.46713569401597</v>
      </c>
      <c r="BD38" s="3">
        <v>1.02</v>
      </c>
      <c r="BE38" s="3">
        <f>O32/'Exchange Rates'!S37</f>
        <v>0.91622707240997536</v>
      </c>
      <c r="BF38" s="3">
        <v>0.93</v>
      </c>
      <c r="BG38" s="3">
        <f>P38/'Exchange Rates'!T37</f>
        <v>0.79284349001395793</v>
      </c>
      <c r="BH38" s="3">
        <v>1.1399999999999999</v>
      </c>
      <c r="BI38" s="3">
        <f>Q38/'Exchange Rates'!U37</f>
        <v>104.84684305623846</v>
      </c>
      <c r="BJ38" s="3">
        <v>0.64</v>
      </c>
      <c r="BK38" s="3"/>
      <c r="BL38" s="3">
        <v>1.21</v>
      </c>
      <c r="BM38" s="3"/>
      <c r="BN38" s="3">
        <v>0.84</v>
      </c>
      <c r="BO38" s="3">
        <f>T38/'Exchange Rates'!X37</f>
        <v>72.031754329943908</v>
      </c>
      <c r="BP38" s="3">
        <v>1.0900000000000001</v>
      </c>
      <c r="BQ38" s="3"/>
      <c r="BR38" s="3">
        <v>0.86</v>
      </c>
      <c r="BS38" s="3">
        <f>V38/'Exchange Rates'!Z37</f>
        <v>0.70043101083693182</v>
      </c>
      <c r="BT38" s="3">
        <v>0.78</v>
      </c>
      <c r="BU38" s="3"/>
      <c r="BV38" s="3">
        <v>0.32</v>
      </c>
      <c r="BW38" s="3">
        <f t="shared" si="0"/>
        <v>0.27196985762425896</v>
      </c>
      <c r="BX38" s="3"/>
      <c r="BY38" s="3">
        <v>0.28000000000000003</v>
      </c>
      <c r="BZ38" s="3"/>
      <c r="CA38" s="3">
        <v>0.56000000000000005</v>
      </c>
      <c r="CB38" s="3"/>
    </row>
    <row r="39" spans="1:81">
      <c r="A39">
        <v>1999</v>
      </c>
      <c r="B39" s="3">
        <f>Australia!I78</f>
        <v>70.662000000000006</v>
      </c>
      <c r="C39" s="3">
        <f>Austria!I78</f>
        <v>77.546749315304226</v>
      </c>
      <c r="D39" s="3">
        <f>Belgium!I78</f>
        <v>80.819126819126822</v>
      </c>
      <c r="E39" s="3">
        <f>Britain!I78</f>
        <v>70.101783723522857</v>
      </c>
      <c r="F39" s="3">
        <f>Canada!I78</f>
        <v>58.996727622714147</v>
      </c>
      <c r="G39" s="3">
        <f>China!AO78</f>
        <v>2.4834899999999998</v>
      </c>
      <c r="H39" s="7">
        <f>Denmark!I78</f>
        <v>7.2636640581760368</v>
      </c>
      <c r="I39" s="3">
        <f>Finland!I78*100</f>
        <v>90.014299040542781</v>
      </c>
      <c r="J39" s="3">
        <f>France!I78*100</f>
        <v>89.438087774294686</v>
      </c>
      <c r="K39" s="3">
        <f>Germany!I78*100</f>
        <v>81.073580246913579</v>
      </c>
      <c r="L39" s="3">
        <f>India!AG78</f>
        <v>23.811666666666671</v>
      </c>
      <c r="M39" s="3">
        <f>Ireland!I78*100</f>
        <v>72.549064748201431</v>
      </c>
      <c r="N39" s="3">
        <f>Italy!I78*100</f>
        <v>95.756401384083034</v>
      </c>
      <c r="O39" s="4">
        <f>Japan!I78</f>
        <v>98.254566473988447</v>
      </c>
      <c r="P39" s="9">
        <f>Korea!I78</f>
        <v>1124.0051612903226</v>
      </c>
      <c r="Q39" s="3">
        <f>Netherlands!I78*100</f>
        <v>99.37875751503006</v>
      </c>
      <c r="R39" s="3">
        <f>'New Zealand'!I78</f>
        <v>0.85814000000000012</v>
      </c>
      <c r="S39" s="3">
        <f>Norway!I78</f>
        <v>9.0881189710610943</v>
      </c>
      <c r="T39" s="3">
        <f>Spain!I78*100</f>
        <v>68.548905109489041</v>
      </c>
      <c r="U39" s="3">
        <f>Sweden!I78</f>
        <v>7.2766799999999998</v>
      </c>
      <c r="V39" s="3">
        <f>Swiss!I78</f>
        <v>1.059353023909986</v>
      </c>
      <c r="W39" s="3">
        <f>USA!M86</f>
        <v>30.098412189295377</v>
      </c>
      <c r="X39"/>
      <c r="Y39">
        <v>1999</v>
      </c>
      <c r="Z39" s="7"/>
      <c r="AA39" s="7">
        <f>B39/'Exchange Rates'!B38/100</f>
        <v>0.45589857737346373</v>
      </c>
      <c r="AB39" s="7"/>
      <c r="AC39" s="7">
        <f>C39/'Exchange Rates'!C38/100</f>
        <v>0.82617215694098112</v>
      </c>
      <c r="AD39" s="7"/>
      <c r="AE39" s="7">
        <f>D39/'Exchange Rates'!D38/100</f>
        <v>0.86103560646696531</v>
      </c>
      <c r="AF39" s="7"/>
      <c r="AG39" s="7">
        <f>E39/'Exchange Rates'!E38/100</f>
        <v>1.1342284566556622</v>
      </c>
      <c r="AH39" s="7"/>
      <c r="AI39" s="7">
        <f>F39/'Exchange Rates'!F38/100</f>
        <v>0.39708871357017594</v>
      </c>
      <c r="AJ39" s="7"/>
      <c r="AK39" s="7"/>
      <c r="AL39" s="7"/>
      <c r="AM39" s="7"/>
      <c r="AN39" s="7"/>
      <c r="AO39" s="7"/>
      <c r="AP39" s="7"/>
      <c r="AQ39" s="3">
        <f>J39/'Exchange Rates'!K38</f>
        <v>95.286080385813207</v>
      </c>
      <c r="AR39" s="7"/>
      <c r="AS39" s="3">
        <f>K39/'Exchange Rates'!L38</f>
        <v>86.374651748685665</v>
      </c>
      <c r="AT39" s="7"/>
      <c r="AU39" s="7"/>
      <c r="AV39" s="7"/>
      <c r="AW39" s="7"/>
      <c r="AX39" s="7"/>
      <c r="AY39" s="7"/>
      <c r="AZ39" s="7"/>
      <c r="BA39" s="7"/>
      <c r="BB39" s="7"/>
      <c r="BC39" s="3">
        <f>N39/'Exchange Rates'!R38</f>
        <v>102.01021493198371</v>
      </c>
      <c r="BD39" s="7"/>
      <c r="BE39" s="3">
        <f>O33/'Exchange Rates'!S38</f>
        <v>1.0357698727597509</v>
      </c>
      <c r="BF39" s="7"/>
      <c r="BG39" s="3">
        <f>P39/'Exchange Rates'!T38</f>
        <v>0.94547968682418082</v>
      </c>
      <c r="BH39" s="7"/>
      <c r="BI39" s="3">
        <f>Q39/'Exchange Rates'!U38</f>
        <v>105.87673006959108</v>
      </c>
      <c r="BJ39" s="7"/>
      <c r="BK39" s="7"/>
      <c r="BL39" s="7"/>
      <c r="BM39" s="7"/>
      <c r="BN39" s="7"/>
      <c r="BO39" s="3">
        <f>T39/'Exchange Rates'!X38</f>
        <v>73.025767146029906</v>
      </c>
      <c r="BP39" s="7"/>
      <c r="BQ39" s="7"/>
      <c r="BR39" s="7"/>
      <c r="BS39" s="3">
        <f>V39/'Exchange Rates'!Z38</f>
        <v>0.69731743408848124</v>
      </c>
      <c r="BT39" s="7"/>
      <c r="BU39" s="3"/>
      <c r="BV39" s="7"/>
      <c r="BW39" s="3">
        <f t="shared" si="0"/>
        <v>0.30098412189295376</v>
      </c>
      <c r="BX39" s="7"/>
      <c r="BY39" s="7"/>
      <c r="BZ39" s="7"/>
      <c r="CA39" s="7"/>
      <c r="CB39" s="7"/>
      <c r="CC39" s="12"/>
    </row>
    <row r="40" spans="1:81">
      <c r="A40">
        <v>2000</v>
      </c>
      <c r="B40" s="3">
        <f>Australia!I79</f>
        <v>87.221999999999994</v>
      </c>
      <c r="C40" s="3">
        <f>Austria!I79</f>
        <v>92.7</v>
      </c>
      <c r="D40" s="3">
        <f>Belgium!I79</f>
        <v>104.5</v>
      </c>
      <c r="E40" s="3">
        <f>Britain!I79</f>
        <v>79.900000000000006</v>
      </c>
      <c r="F40" s="3">
        <f>Canada!I79</f>
        <v>72.8</v>
      </c>
      <c r="G40" s="3">
        <f>China!AO79</f>
        <v>3.3113600000000001</v>
      </c>
      <c r="H40" s="7">
        <f>Denmark!I79</f>
        <v>8.3000000000000007</v>
      </c>
      <c r="I40" s="3">
        <f>Finland!I79*100</f>
        <v>113.5</v>
      </c>
      <c r="J40" s="3">
        <f>France!I79*100</f>
        <v>109.00000000000001</v>
      </c>
      <c r="K40" s="3">
        <f>Germany!I79*100</f>
        <v>98.9</v>
      </c>
      <c r="L40" s="3">
        <f>India!AG79</f>
        <v>26.673333333333332</v>
      </c>
      <c r="M40" s="3">
        <f>Ireland!I79*100</f>
        <v>89.4</v>
      </c>
      <c r="N40" s="3">
        <f>Italy!I79*100</f>
        <v>108.1</v>
      </c>
      <c r="O40" s="4">
        <f>Japan!I79</f>
        <v>103.9</v>
      </c>
      <c r="P40" s="9">
        <f>Korea!I79</f>
        <v>1248</v>
      </c>
      <c r="Q40" s="3">
        <f>Netherlands!I79*100</f>
        <v>115.99999999999999</v>
      </c>
      <c r="R40" s="3">
        <f>'New Zealand'!I79</f>
        <v>1.07</v>
      </c>
      <c r="S40" s="3">
        <f>Norway!I79</f>
        <v>10.566000000000001</v>
      </c>
      <c r="T40" s="3">
        <f>Spain!I79*100</f>
        <v>81.899999999999991</v>
      </c>
      <c r="U40" s="3">
        <f>Sweden!I79</f>
        <v>9.5120000000000005</v>
      </c>
      <c r="V40" s="3">
        <f>Swiss!I79</f>
        <v>1.4</v>
      </c>
      <c r="W40" s="3">
        <f>USA!M87</f>
        <v>39.298295515406849</v>
      </c>
      <c r="X40"/>
      <c r="Y40">
        <v>2000</v>
      </c>
      <c r="Z40" s="7">
        <v>0.56999999999999995</v>
      </c>
      <c r="AA40" s="7">
        <f>B40/'Exchange Rates'!B39/100</f>
        <v>0.50568559546079894</v>
      </c>
      <c r="AB40" s="7">
        <v>0.82</v>
      </c>
      <c r="AC40" s="7">
        <f>C40/'Exchange Rates'!C39/100</f>
        <v>0.85406301824212283</v>
      </c>
      <c r="AD40" s="7">
        <v>0.96</v>
      </c>
      <c r="AE40" s="7">
        <f>D40/'Exchange Rates'!D39/100</f>
        <v>0.96277869909710712</v>
      </c>
      <c r="AF40" s="7">
        <v>1.17</v>
      </c>
      <c r="AG40" s="7">
        <f>E40/'Exchange Rates'!E39/100</f>
        <v>1.208900777842165</v>
      </c>
      <c r="AH40" s="7">
        <v>0.57999999999999996</v>
      </c>
      <c r="AI40" s="7">
        <f>F40/'Exchange Rates'!F39/100</f>
        <v>0.4901993791705665</v>
      </c>
      <c r="AJ40" s="7">
        <v>0.77</v>
      </c>
      <c r="AK40" s="7"/>
      <c r="AL40" s="7">
        <v>1.01</v>
      </c>
      <c r="AM40" s="7"/>
      <c r="AN40" s="7">
        <v>1.06</v>
      </c>
      <c r="AO40" s="7"/>
      <c r="AP40" s="7">
        <v>0.99</v>
      </c>
      <c r="AQ40" s="3">
        <f>J40/'Exchange Rates'!K39</f>
        <v>100.4238068914686</v>
      </c>
      <c r="AR40" s="7">
        <v>0.91</v>
      </c>
      <c r="AS40" s="3">
        <f>K40/'Exchange Rates'!L39</f>
        <v>91.118481665745364</v>
      </c>
      <c r="AT40" s="7">
        <v>0.72</v>
      </c>
      <c r="AU40" s="7"/>
      <c r="AV40" s="7">
        <v>0.81</v>
      </c>
      <c r="AW40" s="7"/>
      <c r="AX40" s="7">
        <v>0.72</v>
      </c>
      <c r="AY40" s="7"/>
      <c r="AZ40" s="7">
        <v>1.1399999999999999</v>
      </c>
      <c r="BA40" s="7"/>
      <c r="BB40" s="7">
        <v>0.97</v>
      </c>
      <c r="BC40" s="3">
        <f>N40/'Exchange Rates'!R39</f>
        <v>99.611672668070355</v>
      </c>
      <c r="BD40" s="7">
        <v>1.06</v>
      </c>
      <c r="BE40" s="3">
        <f>O34/'Exchange Rates'!S39</f>
        <v>1.0992307129100589</v>
      </c>
      <c r="BF40" s="7">
        <v>0.92</v>
      </c>
      <c r="BG40" s="3">
        <f>P40/'Exchange Rates'!T39</f>
        <v>1.1034873028223811</v>
      </c>
      <c r="BH40" s="7">
        <v>1.03</v>
      </c>
      <c r="BI40" s="3">
        <f>Q40/'Exchange Rates'!U39</f>
        <v>106.87304219642527</v>
      </c>
      <c r="BJ40" s="7">
        <v>0.48</v>
      </c>
      <c r="BK40" s="7"/>
      <c r="BL40" s="7">
        <v>1.19</v>
      </c>
      <c r="BM40" s="7"/>
      <c r="BN40" s="7">
        <v>0.73</v>
      </c>
      <c r="BO40" s="3">
        <f>T40/'Exchange Rates'!X39</f>
        <v>75.468985814388475</v>
      </c>
      <c r="BP40" s="7">
        <v>0.94</v>
      </c>
      <c r="BQ40" s="7"/>
      <c r="BR40" s="7">
        <v>0.78</v>
      </c>
      <c r="BS40" s="3">
        <f>V40/'Exchange Rates'!Z39</f>
        <v>0.82723982568875087</v>
      </c>
      <c r="BT40" s="7">
        <v>0.88</v>
      </c>
      <c r="BU40" s="3"/>
      <c r="BV40" s="7">
        <v>0.47</v>
      </c>
      <c r="BW40" s="3">
        <f t="shared" si="0"/>
        <v>0.3929829551540685</v>
      </c>
      <c r="BX40" s="7"/>
      <c r="BY40" s="7">
        <v>0.4</v>
      </c>
      <c r="BZ40" s="7"/>
      <c r="CA40" s="7">
        <v>0.6</v>
      </c>
      <c r="CB40" s="7"/>
      <c r="CC40" s="12"/>
    </row>
    <row r="41" spans="1:81">
      <c r="A41">
        <v>2001</v>
      </c>
      <c r="B41" s="3">
        <f>Australia!I80</f>
        <v>87.063000000000002</v>
      </c>
      <c r="C41" s="3">
        <f>Austria!I80</f>
        <v>89.3</v>
      </c>
      <c r="D41" s="3">
        <f>Belgium!I80</f>
        <v>100.8</v>
      </c>
      <c r="E41" s="3">
        <f>Britain!I80</f>
        <v>75.8</v>
      </c>
      <c r="F41" s="3">
        <f>Canada!I80</f>
        <v>70.400000000000006</v>
      </c>
      <c r="G41" s="3">
        <f>China!AO80</f>
        <v>3.3108000000000004</v>
      </c>
      <c r="H41" s="7">
        <f>Denmark!I80</f>
        <v>8.15</v>
      </c>
      <c r="I41" s="3">
        <f>Finland!I80*100</f>
        <v>110.9</v>
      </c>
      <c r="J41" s="3">
        <f>France!I80*100</f>
        <v>103.60000000000001</v>
      </c>
      <c r="K41" s="3">
        <f>Germany!I80*100</f>
        <v>100.29999999999998</v>
      </c>
      <c r="L41" s="3">
        <f>India!AG80</f>
        <v>28.699999999999992</v>
      </c>
      <c r="M41" s="3">
        <f>Ireland!I80*100</f>
        <v>88.9</v>
      </c>
      <c r="N41" s="3">
        <f>Italy!I80*100</f>
        <v>105.3</v>
      </c>
      <c r="O41" s="4">
        <f>Japan!I80</f>
        <v>104.9</v>
      </c>
      <c r="P41" s="9">
        <f>Korea!I80</f>
        <v>1280</v>
      </c>
      <c r="Q41" s="3">
        <f>Netherlands!I80*100</f>
        <v>114.8</v>
      </c>
      <c r="R41" s="3">
        <f>'New Zealand'!I80</f>
        <v>1.0469999999999999</v>
      </c>
      <c r="S41" s="3">
        <f>Norway!I80</f>
        <v>9.5850000000000009</v>
      </c>
      <c r="T41" s="3">
        <f>Spain!I80*100</f>
        <v>80.7</v>
      </c>
      <c r="U41" s="3">
        <f>Sweden!I80</f>
        <v>9.4499999999999993</v>
      </c>
      <c r="V41" s="3">
        <f>Swiss!I80</f>
        <v>1.351</v>
      </c>
      <c r="W41" s="3">
        <f>USA!M88</f>
        <v>37.651612988799691</v>
      </c>
      <c r="X41"/>
      <c r="Y41">
        <v>2001</v>
      </c>
      <c r="Z41" s="7"/>
      <c r="AA41" s="7">
        <f>B41/'Exchange Rates'!B40/100</f>
        <v>0.4503004356219541</v>
      </c>
      <c r="AB41" s="7"/>
      <c r="AC41" s="7">
        <f>C41/'Exchange Rates'!C40/100</f>
        <v>0.79909799464881748</v>
      </c>
      <c r="AD41" s="7"/>
      <c r="AE41" s="7">
        <f>D41/'Exchange Rates'!D40/100</f>
        <v>0.90200535118253966</v>
      </c>
      <c r="AF41" s="7"/>
      <c r="AG41" s="7">
        <f>E41/'Exchange Rates'!E40/100</f>
        <v>1.0911891514492806</v>
      </c>
      <c r="AH41" s="7"/>
      <c r="AI41" s="7">
        <f>F41/'Exchange Rates'!F40/100</f>
        <v>0.45455694956129006</v>
      </c>
      <c r="AJ41" s="7"/>
      <c r="AK41" s="7"/>
      <c r="AL41" s="7"/>
      <c r="AM41" s="7"/>
      <c r="AN41" s="7"/>
      <c r="AO41" s="7"/>
      <c r="AP41" s="7"/>
      <c r="AQ41" s="3">
        <f>J41/'Exchange Rates'!K40</f>
        <v>92.706105538205478</v>
      </c>
      <c r="AR41" s="7"/>
      <c r="AS41" s="3">
        <f>K41/'Exchange Rates'!L40</f>
        <v>89.753111828976913</v>
      </c>
      <c r="AT41" s="7"/>
      <c r="AU41" s="7"/>
      <c r="AV41" s="7"/>
      <c r="AW41" s="7"/>
      <c r="AX41" s="7"/>
      <c r="AY41" s="7"/>
      <c r="AZ41" s="7"/>
      <c r="BA41" s="7"/>
      <c r="BB41" s="7"/>
      <c r="BC41" s="3">
        <f>N41/'Exchange Rates'!R40</f>
        <v>94.211068352107574</v>
      </c>
      <c r="BD41" s="7"/>
      <c r="BE41" s="3">
        <f>O35/'Exchange Rates'!S40</f>
        <v>0.90554297328209732</v>
      </c>
      <c r="BF41" s="7"/>
      <c r="BG41" s="3">
        <f>P41/'Exchange Rates'!T40</f>
        <v>0.99148715326997106</v>
      </c>
      <c r="BH41" s="7"/>
      <c r="BI41" s="3">
        <f>Q41/'Exchange Rates'!U40</f>
        <v>102.72838721801146</v>
      </c>
      <c r="BJ41" s="7"/>
      <c r="BK41" s="7"/>
      <c r="BL41" s="7"/>
      <c r="BM41" s="7"/>
      <c r="BN41" s="7"/>
      <c r="BO41" s="3">
        <f>T41/'Exchange Rates'!X40</f>
        <v>72.201635566995094</v>
      </c>
      <c r="BP41" s="7"/>
      <c r="BQ41" s="7"/>
      <c r="BR41" s="7"/>
      <c r="BS41" s="3">
        <f>V41/'Exchange Rates'!Z40</f>
        <v>0.79909305993690871</v>
      </c>
      <c r="BT41" s="7"/>
      <c r="BU41" s="3"/>
      <c r="BV41" s="7"/>
      <c r="BW41" s="3">
        <f t="shared" si="0"/>
        <v>0.37651612988799693</v>
      </c>
      <c r="BX41" s="7"/>
      <c r="BY41" s="7"/>
      <c r="BZ41" s="7"/>
      <c r="CA41" s="7"/>
      <c r="CB41" s="7"/>
      <c r="CC41" s="12"/>
    </row>
    <row r="42" spans="1:81">
      <c r="A42">
        <v>2002</v>
      </c>
      <c r="B42" s="3">
        <f>Australia!I81</f>
        <v>85.84</v>
      </c>
      <c r="C42" s="3">
        <f>Austria!I81</f>
        <v>85.8</v>
      </c>
      <c r="D42" s="3">
        <f>Belgium!I81</f>
        <v>97.9</v>
      </c>
      <c r="E42" s="3">
        <f>Britain!I81</f>
        <v>73.3</v>
      </c>
      <c r="F42" s="3">
        <f>Canada!I81</f>
        <v>70.3</v>
      </c>
      <c r="G42" s="3">
        <f>China!AO81</f>
        <v>3.4763400000000004</v>
      </c>
      <c r="H42" s="7">
        <f>Denmark!I81</f>
        <v>8.1199999999999992</v>
      </c>
      <c r="I42" s="3">
        <f>Finland!I81*100</f>
        <v>107.5</v>
      </c>
      <c r="J42" s="3">
        <f>France!I81*100</f>
        <v>101.4</v>
      </c>
      <c r="K42" s="3">
        <f>Germany!I81*100</f>
        <v>102.8</v>
      </c>
      <c r="L42" s="3">
        <f>India!AG81</f>
        <v>28.372500000000002</v>
      </c>
      <c r="M42" s="3">
        <f>Ireland!I81*100</f>
        <v>85.5</v>
      </c>
      <c r="N42" s="3">
        <f>Italy!I81*100</f>
        <v>104.80000000000001</v>
      </c>
      <c r="O42" s="4">
        <f>Japan!I81</f>
        <v>104.2</v>
      </c>
      <c r="P42" s="9">
        <f>Korea!I81</f>
        <v>1296</v>
      </c>
      <c r="Q42" s="3">
        <f>Netherlands!I81*100</f>
        <v>114.39999999999999</v>
      </c>
      <c r="R42" s="3">
        <f>'New Zealand'!I81</f>
        <v>1.0289999999999999</v>
      </c>
      <c r="S42" s="3">
        <f>Norway!I81</f>
        <v>8.9600000000000009</v>
      </c>
      <c r="T42" s="3">
        <f>Spain!I81*100</f>
        <v>81.399999999999991</v>
      </c>
      <c r="U42" s="3">
        <f>Sweden!I81</f>
        <v>9.3070000000000004</v>
      </c>
      <c r="V42" s="3">
        <f>Swiss!I81</f>
        <v>1.294</v>
      </c>
      <c r="W42" s="3">
        <f>USA!M89</f>
        <v>35.506444759971075</v>
      </c>
      <c r="X42"/>
      <c r="Y42">
        <v>2002</v>
      </c>
      <c r="Z42" s="7">
        <v>0.5</v>
      </c>
      <c r="AA42" s="7">
        <f>B42/'Exchange Rates'!B41/100</f>
        <v>0.46637916397840334</v>
      </c>
      <c r="AB42" s="7">
        <v>0.84</v>
      </c>
      <c r="AC42" s="7">
        <f>C42/'Exchange Rates'!C41/100</f>
        <v>0.80749141216883902</v>
      </c>
      <c r="AD42" s="7">
        <v>1.04</v>
      </c>
      <c r="AE42" s="7">
        <f>D42/'Exchange Rates'!D41/100</f>
        <v>0.9213684061926497</v>
      </c>
      <c r="AF42" s="7">
        <v>1.18</v>
      </c>
      <c r="AG42" s="7">
        <f>E42/'Exchange Rates'!E41/100</f>
        <v>1.0985832322926516</v>
      </c>
      <c r="AH42" s="7">
        <v>0.51</v>
      </c>
      <c r="AI42" s="7">
        <f>F42/'Exchange Rates'!F41/100</f>
        <v>0.4479651993275221</v>
      </c>
      <c r="AJ42" s="7">
        <v>0.81</v>
      </c>
      <c r="AK42" s="7"/>
      <c r="AL42" s="7">
        <v>1.0900000000000001</v>
      </c>
      <c r="AM42" s="7"/>
      <c r="AN42" s="7">
        <v>1.1200000000000001</v>
      </c>
      <c r="AO42" s="7"/>
      <c r="AP42" s="7">
        <v>1.05</v>
      </c>
      <c r="AQ42" s="3">
        <f>J42/'Exchange Rates'!K41</f>
        <v>95.430803256317347</v>
      </c>
      <c r="AR42" s="7">
        <v>1.03</v>
      </c>
      <c r="AS42" s="3">
        <f>K42/'Exchange Rates'!L41</f>
        <v>96.748388311138285</v>
      </c>
      <c r="AT42" s="7">
        <v>0.78</v>
      </c>
      <c r="AU42" s="7"/>
      <c r="AV42" s="7">
        <v>0.94</v>
      </c>
      <c r="AW42" s="7"/>
      <c r="AX42" s="7">
        <v>0.9</v>
      </c>
      <c r="AY42" s="7"/>
      <c r="AZ42" s="7">
        <v>0.9</v>
      </c>
      <c r="BA42" s="7"/>
      <c r="BB42" s="7">
        <v>1.05</v>
      </c>
      <c r="BC42" s="3">
        <f>N42/'Exchange Rates'!R41</f>
        <v>98.744870680903418</v>
      </c>
      <c r="BD42" s="7">
        <v>0.91</v>
      </c>
      <c r="BE42" s="3">
        <f>O36/'Exchange Rates'!S41</f>
        <v>0.83543986579407625</v>
      </c>
      <c r="BF42" s="7">
        <v>1.0900000000000001</v>
      </c>
      <c r="BG42" s="3">
        <f>P42/'Exchange Rates'!T41</f>
        <v>1.035896698079275</v>
      </c>
      <c r="BH42" s="7">
        <v>1.1200000000000001</v>
      </c>
      <c r="BI42" s="3">
        <f>Q42/'Exchange Rates'!U41</f>
        <v>107.66552162251186</v>
      </c>
      <c r="BJ42" s="7">
        <v>0.55000000000000004</v>
      </c>
      <c r="BK42" s="7"/>
      <c r="BL42" s="7">
        <v>1.23</v>
      </c>
      <c r="BM42" s="7"/>
      <c r="BN42" s="7">
        <v>0.83</v>
      </c>
      <c r="BO42" s="3">
        <f>T42/'Exchange Rates'!X41</f>
        <v>76.696815818644865</v>
      </c>
      <c r="BP42" s="7">
        <v>1.06</v>
      </c>
      <c r="BQ42" s="7"/>
      <c r="BR42" s="7">
        <v>0.89</v>
      </c>
      <c r="BS42" s="3">
        <f>V42/'Exchange Rates'!Z41</f>
        <v>0.843308061607977</v>
      </c>
      <c r="BT42" s="7">
        <v>1.02</v>
      </c>
      <c r="BU42" s="3"/>
      <c r="BV42" s="7">
        <v>0.4</v>
      </c>
      <c r="BW42" s="3">
        <f t="shared" si="0"/>
        <v>0.35506444759971073</v>
      </c>
      <c r="BX42" s="7"/>
      <c r="BY42" s="7">
        <v>0.42</v>
      </c>
      <c r="BZ42" s="7"/>
      <c r="CA42" s="7">
        <v>0.66</v>
      </c>
      <c r="CB42" s="7"/>
      <c r="CC42" s="12"/>
    </row>
    <row r="43" spans="1:81">
      <c r="A43">
        <v>2003</v>
      </c>
      <c r="B43" s="3">
        <f>Australia!I82</f>
        <v>89.72</v>
      </c>
      <c r="C43" s="3">
        <f>Austria!I82</f>
        <v>86.2</v>
      </c>
      <c r="D43" s="3">
        <f>Belgium!I82</f>
        <v>101.8</v>
      </c>
      <c r="E43" s="3">
        <f>Britain!I82</f>
        <v>76</v>
      </c>
      <c r="F43" s="3">
        <f>Canada!I82</f>
        <v>73.7</v>
      </c>
      <c r="G43" s="3">
        <f>China!AO82</f>
        <v>3.4763400000000004</v>
      </c>
      <c r="H43" s="7">
        <f>Denmark!I82</f>
        <v>8.17</v>
      </c>
      <c r="I43" s="3">
        <f>Finland!I82*100</f>
        <v>109.60000000000001</v>
      </c>
      <c r="J43" s="3">
        <f>France!I82*100</f>
        <v>101.69999999999999</v>
      </c>
      <c r="K43" s="3">
        <f>Germany!I82*100</f>
        <v>107.2</v>
      </c>
      <c r="L43" s="3">
        <f>India!AG82</f>
        <v>31.392500000000002</v>
      </c>
      <c r="M43" s="3">
        <f>Ireland!I82*100</f>
        <v>87.1</v>
      </c>
      <c r="N43" s="3">
        <f>Italy!I82*100</f>
        <v>106</v>
      </c>
      <c r="O43" s="4">
        <f>Japan!I82</f>
        <v>106.3</v>
      </c>
      <c r="P43" s="9">
        <f>Korea!I82</f>
        <v>1294</v>
      </c>
      <c r="Q43" s="3">
        <f>Netherlands!I82*100</f>
        <v>115.9</v>
      </c>
      <c r="R43" s="3">
        <f>'New Zealand'!I82</f>
        <v>1.0509999999999999</v>
      </c>
      <c r="S43" s="3">
        <f>Norway!I82</f>
        <v>9.3719999999999999</v>
      </c>
      <c r="T43" s="3">
        <f>Spain!I82*100</f>
        <v>81.699999999999989</v>
      </c>
      <c r="U43" s="3">
        <f>Sweden!I82</f>
        <v>9.4039999999999999</v>
      </c>
      <c r="V43" s="3">
        <f>Swiss!I82</f>
        <v>1.3120000000000001</v>
      </c>
      <c r="W43" s="3">
        <f>USA!M90</f>
        <v>41.165615213992972</v>
      </c>
      <c r="X43"/>
      <c r="Y43">
        <v>2003</v>
      </c>
      <c r="Z43" s="7"/>
      <c r="AA43" s="7">
        <f>B43/'Exchange Rates'!B42/100</f>
        <v>0.58187415317648883</v>
      </c>
      <c r="AB43" s="7"/>
      <c r="AC43" s="7">
        <f>C43/'Exchange Rates'!C42/100</f>
        <v>0.97287463009320196</v>
      </c>
      <c r="AD43" s="7"/>
      <c r="AE43" s="7">
        <f>D43/'Exchange Rates'!D42/100</f>
        <v>1.1489401083931317</v>
      </c>
      <c r="AF43" s="7"/>
      <c r="AG43" s="7">
        <f>E43/'Exchange Rates'!E42/100</f>
        <v>1.2408730521558535</v>
      </c>
      <c r="AH43" s="7"/>
      <c r="AI43" s="7">
        <f>F43/'Exchange Rates'!F42/100</f>
        <v>0.52603342013320831</v>
      </c>
      <c r="AJ43" s="7"/>
      <c r="AK43" s="7"/>
      <c r="AL43" s="7"/>
      <c r="AM43" s="7"/>
      <c r="AN43" s="7"/>
      <c r="AO43" s="7"/>
      <c r="AP43" s="7"/>
      <c r="AQ43" s="3">
        <f>J43/'Exchange Rates'!K42</f>
        <v>114.78114835322346</v>
      </c>
      <c r="AR43" s="7"/>
      <c r="AS43" s="3">
        <f>K43/'Exchange Rates'!L42</f>
        <v>120.9885850881569</v>
      </c>
      <c r="AT43" s="7"/>
      <c r="AU43" s="7"/>
      <c r="AV43" s="7"/>
      <c r="AW43" s="7"/>
      <c r="AX43" s="7"/>
      <c r="AY43" s="7"/>
      <c r="AZ43" s="7"/>
      <c r="BA43" s="7"/>
      <c r="BB43" s="7"/>
      <c r="BC43" s="3">
        <f>N43/'Exchange Rates'!R42</f>
        <v>119.72819092378188</v>
      </c>
      <c r="BD43" s="7"/>
      <c r="BE43" s="3">
        <f>O37/'Exchange Rates'!S42</f>
        <v>0.90065133889983384</v>
      </c>
      <c r="BF43" s="7"/>
      <c r="BG43" s="3">
        <f>P43/'Exchange Rates'!T42</f>
        <v>1.0859257643020788</v>
      </c>
      <c r="BH43" s="7"/>
      <c r="BI43" s="3">
        <f>Q43/'Exchange Rates'!U42</f>
        <v>130.80762137796069</v>
      </c>
      <c r="BJ43" s="7"/>
      <c r="BK43" s="7"/>
      <c r="BL43" s="7"/>
      <c r="BM43" s="7"/>
      <c r="BN43" s="7"/>
      <c r="BO43" s="3">
        <f>T43/'Exchange Rates'!X42</f>
        <v>92.281149565479083</v>
      </c>
      <c r="BP43" s="7"/>
      <c r="BQ43" s="7"/>
      <c r="BR43" s="7"/>
      <c r="BS43" s="3">
        <f>V43/'Exchange Rates'!Z42</f>
        <v>0.98245263709657282</v>
      </c>
      <c r="BT43" s="7"/>
      <c r="BU43" s="3"/>
      <c r="BV43" s="7"/>
      <c r="BW43" s="3">
        <f t="shared" si="0"/>
        <v>0.41165615213992973</v>
      </c>
      <c r="BX43" s="7"/>
      <c r="BY43" s="7"/>
      <c r="BZ43" s="7"/>
      <c r="CA43" s="7"/>
      <c r="CB43" s="7"/>
      <c r="CC43" s="12"/>
    </row>
    <row r="44" spans="1:81">
      <c r="A44">
        <v>2004</v>
      </c>
      <c r="B44" s="3">
        <f>Australia!I83</f>
        <v>97.22</v>
      </c>
      <c r="C44" s="3">
        <f>Austria!I83</f>
        <v>93.1</v>
      </c>
      <c r="D44" s="3">
        <f>Belgium!I83</f>
        <v>114.1</v>
      </c>
      <c r="E44" s="3">
        <f>Britain!I83</f>
        <v>80.2</v>
      </c>
      <c r="F44" s="3">
        <f>Canada!I83</f>
        <v>81.3</v>
      </c>
      <c r="G44" s="3">
        <f>China!AO83</f>
        <v>3.9728639999999995</v>
      </c>
      <c r="H44" s="7">
        <f>Denmark!I83</f>
        <v>8.34</v>
      </c>
      <c r="I44" s="3">
        <f>Finland!I83*100</f>
        <v>114.1</v>
      </c>
      <c r="J44" s="3">
        <f>France!I83*100</f>
        <v>106.1</v>
      </c>
      <c r="K44" s="3">
        <f>Germany!I83*100</f>
        <v>111.5</v>
      </c>
      <c r="L44" s="3">
        <f>India!AG83</f>
        <v>35.301666666666669</v>
      </c>
      <c r="M44" s="3">
        <f>Ireland!I83*100</f>
        <v>95.3</v>
      </c>
      <c r="N44" s="3">
        <f>Italy!I83*100</f>
        <v>112.6</v>
      </c>
      <c r="O44" s="4">
        <f>Japan!I83</f>
        <v>112.3</v>
      </c>
      <c r="P44" s="9">
        <f>Korea!I83</f>
        <v>1365</v>
      </c>
      <c r="Q44" s="3">
        <f>Netherlands!I83*100</f>
        <v>125.2</v>
      </c>
      <c r="R44" s="3">
        <f>'New Zealand'!I83</f>
        <v>1.1639999999999999</v>
      </c>
      <c r="S44" s="3">
        <f>Norway!I83</f>
        <v>9.984</v>
      </c>
      <c r="T44" s="3">
        <f>Spain!I83*100</f>
        <v>86.9</v>
      </c>
      <c r="U44" s="3">
        <f>Sweden!I83</f>
        <v>9.9640000000000004</v>
      </c>
      <c r="V44" s="3">
        <f>Swiss!I83</f>
        <v>1.4019999999999999</v>
      </c>
      <c r="W44" s="3">
        <f>USA!M91</f>
        <v>48.905697730273864</v>
      </c>
      <c r="X44"/>
      <c r="Y44">
        <v>2004</v>
      </c>
      <c r="Z44" s="7">
        <v>0.85</v>
      </c>
      <c r="AA44" s="7">
        <f>B44/'Exchange Rates'!B43/100</f>
        <v>0.71498305757849323</v>
      </c>
      <c r="AB44" s="7">
        <v>1.32</v>
      </c>
      <c r="AC44" s="7">
        <f>C44/'Exchange Rates'!C43/100</f>
        <v>1.1559975911543212</v>
      </c>
      <c r="AD44" s="7">
        <v>1.5</v>
      </c>
      <c r="AE44" s="7">
        <f>D44/'Exchange Rates'!D43/100</f>
        <v>1.4167489275049201</v>
      </c>
      <c r="AF44" s="7">
        <v>1.56</v>
      </c>
      <c r="AG44" s="7">
        <f>E44/'Exchange Rates'!E43/100</f>
        <v>1.4683803874180674</v>
      </c>
      <c r="AH44" s="7">
        <v>0.68</v>
      </c>
      <c r="AI44" s="7">
        <f>F44/'Exchange Rates'!F43/100</f>
        <v>0.62489471395181695</v>
      </c>
      <c r="AJ44" s="7">
        <v>1.08</v>
      </c>
      <c r="AK44" s="7"/>
      <c r="AL44" s="7">
        <v>1.51</v>
      </c>
      <c r="AM44" s="7"/>
      <c r="AN44" s="7">
        <v>1.54</v>
      </c>
      <c r="AO44" s="7"/>
      <c r="AP44" s="7">
        <v>1.42</v>
      </c>
      <c r="AQ44" s="3">
        <f>J44/'Exchange Rates'!K43</f>
        <v>131.74150850856444</v>
      </c>
      <c r="AR44" s="7">
        <v>1.46</v>
      </c>
      <c r="AS44" s="3">
        <f>K44/'Exchange Rates'!L43</f>
        <v>138.44654287186555</v>
      </c>
      <c r="AT44" s="7">
        <v>1.1399999999999999</v>
      </c>
      <c r="AU44" s="7"/>
      <c r="AV44" s="7">
        <v>1.3</v>
      </c>
      <c r="AW44" s="7"/>
      <c r="AX44" s="7">
        <v>1.29</v>
      </c>
      <c r="AY44" s="7"/>
      <c r="AZ44" s="7">
        <v>1.05</v>
      </c>
      <c r="BA44" s="7"/>
      <c r="BB44" s="7">
        <v>1.53</v>
      </c>
      <c r="BC44" s="3">
        <f>N44/'Exchange Rates'!R43</f>
        <v>139.90329575557345</v>
      </c>
      <c r="BD44" s="7">
        <v>1.26</v>
      </c>
      <c r="BE44" s="3">
        <f>O38/'Exchange Rates'!S43</f>
        <v>0.9159130047465488</v>
      </c>
      <c r="BF44" s="7">
        <v>1.35</v>
      </c>
      <c r="BG44" s="3">
        <f>P44/'Exchange Rates'!T43</f>
        <v>1.1918066566549088</v>
      </c>
      <c r="BH44" s="7">
        <v>1.62</v>
      </c>
      <c r="BI44" s="3">
        <f>Q44/'Exchange Rates'!U43</f>
        <v>155.45746338616652</v>
      </c>
      <c r="BJ44" s="7">
        <v>0.77</v>
      </c>
      <c r="BK44" s="7"/>
      <c r="BL44" s="7">
        <v>1.61</v>
      </c>
      <c r="BM44" s="7"/>
      <c r="BN44" s="7">
        <v>1.21</v>
      </c>
      <c r="BO44" s="3">
        <f>T44/'Exchange Rates'!X43</f>
        <v>107.97138773160754</v>
      </c>
      <c r="BP44" s="7">
        <v>1.51</v>
      </c>
      <c r="BQ44" s="7"/>
      <c r="BR44" s="7">
        <v>1.29</v>
      </c>
      <c r="BS44" s="3">
        <f>V44/'Exchange Rates'!Z43</f>
        <v>1.1330742653942254</v>
      </c>
      <c r="BT44" s="7">
        <v>1.44</v>
      </c>
      <c r="BU44" s="3"/>
      <c r="BV44" s="7">
        <v>0.54</v>
      </c>
      <c r="BW44" s="3">
        <f t="shared" si="0"/>
        <v>0.48905697730273867</v>
      </c>
      <c r="BX44" s="7"/>
      <c r="BY44" s="7">
        <v>0.48</v>
      </c>
      <c r="BZ44" s="7"/>
      <c r="CA44" s="7">
        <v>0.87</v>
      </c>
      <c r="CB44" s="7"/>
      <c r="CC44" s="12"/>
    </row>
    <row r="45" spans="1:81">
      <c r="A45">
        <v>2005</v>
      </c>
      <c r="B45" s="3">
        <f>Australia!I84</f>
        <v>110.38</v>
      </c>
      <c r="C45" s="3">
        <f>Austria!I84</f>
        <v>101.6</v>
      </c>
      <c r="D45" s="3">
        <f>Belgium!I84</f>
        <v>128</v>
      </c>
      <c r="E45" s="3">
        <f>Britain!I84</f>
        <v>86.7</v>
      </c>
      <c r="F45" s="3">
        <f>Canada!I84</f>
        <v>92.4</v>
      </c>
      <c r="G45" s="3">
        <f>China!AO84</f>
        <v>4.0958499999999995</v>
      </c>
      <c r="H45" s="3">
        <f>Denmark!I84</f>
        <v>8.9700000000000006</v>
      </c>
      <c r="I45" s="3">
        <f>Finland!I84*100</f>
        <v>121.69655102040812</v>
      </c>
      <c r="J45" s="3">
        <f>France!I84*100</f>
        <v>116.10000000000001</v>
      </c>
      <c r="K45" s="3">
        <f>Germany!I84*100</f>
        <v>122.16826530612246</v>
      </c>
      <c r="L45" s="3">
        <f>India!AG84</f>
        <v>40.178333333333335</v>
      </c>
      <c r="M45" s="3">
        <f>Ireland!I84*100</f>
        <v>104.87346938775512</v>
      </c>
      <c r="N45" s="3">
        <f>Italy!I84*100</f>
        <v>121.99861224489794</v>
      </c>
      <c r="O45" s="4">
        <f>Japan!I84</f>
        <v>124.5</v>
      </c>
      <c r="P45" s="9">
        <f>Korea!I84</f>
        <v>1428</v>
      </c>
      <c r="Q45" s="3">
        <f>Netherlands!I84*100</f>
        <v>135.20000000000002</v>
      </c>
      <c r="R45" s="3">
        <f>'New Zealand'!I84</f>
        <v>1.32</v>
      </c>
      <c r="S45" s="3">
        <f>Norway!I84</f>
        <v>10.81</v>
      </c>
      <c r="T45" s="3">
        <f>Spain!I84*100</f>
        <v>95.5</v>
      </c>
      <c r="U45" s="3">
        <f>Sweden!I84</f>
        <v>10.995401092369832</v>
      </c>
      <c r="V45" s="3">
        <f>Swiss!I84</f>
        <v>1.5269999999999999</v>
      </c>
      <c r="W45" s="3">
        <f>USA!M92</f>
        <v>59.990423083094392</v>
      </c>
      <c r="X45"/>
      <c r="Y45">
        <v>2005</v>
      </c>
      <c r="Z45" s="7"/>
      <c r="AA45" s="7">
        <f>B45/'Exchange Rates'!B44/100</f>
        <v>0.8429343094679308</v>
      </c>
      <c r="AB45" s="7"/>
      <c r="AC45" s="7">
        <f>C45/'Exchange Rates'!C44/100</f>
        <v>1.263493010993384</v>
      </c>
      <c r="AD45" s="7"/>
      <c r="AE45" s="7">
        <f>D45/'Exchange Rates'!D44/100</f>
        <v>1.5918022185743421</v>
      </c>
      <c r="AF45" s="7"/>
      <c r="AG45" s="7">
        <f>E45/'Exchange Rates'!E44/100</f>
        <v>1.5763693686158859</v>
      </c>
      <c r="AH45" s="7"/>
      <c r="AI45" s="7">
        <f>F45/'Exchange Rates'!F44/100</f>
        <v>0.7625251355462721</v>
      </c>
      <c r="AJ45" s="7"/>
      <c r="AK45" s="7"/>
      <c r="AL45" s="7"/>
      <c r="AM45" s="7"/>
      <c r="AN45" s="7"/>
      <c r="AO45" s="7"/>
      <c r="AP45" s="7"/>
      <c r="AQ45" s="3">
        <f>J45/'Exchange Rates'!K44</f>
        <v>144.3814356066259</v>
      </c>
      <c r="AR45" s="7"/>
      <c r="AS45" s="3">
        <f>K45/'Exchange Rates'!L44</f>
        <v>151.92790293255047</v>
      </c>
      <c r="AT45" s="7"/>
      <c r="AU45" s="7"/>
      <c r="AV45" s="7"/>
      <c r="AW45" s="7"/>
      <c r="AX45" s="7"/>
      <c r="AY45" s="7"/>
      <c r="AZ45" s="7"/>
      <c r="BA45" s="7"/>
      <c r="BB45" s="7"/>
      <c r="BC45" s="3">
        <f>N45/'Exchange Rates'!R44</f>
        <v>151.59724206796199</v>
      </c>
      <c r="BD45" s="7"/>
      <c r="BE45" s="3">
        <f>O39/'Exchange Rates'!S44</f>
        <v>0.89145662663075398</v>
      </c>
      <c r="BF45" s="7"/>
      <c r="BG45" s="3">
        <f>P45/'Exchange Rates'!T44</f>
        <v>1.3943678475178691</v>
      </c>
      <c r="BH45" s="7"/>
      <c r="BI45" s="3">
        <f>Q45/'Exchange Rates'!U44</f>
        <v>168.13410933691492</v>
      </c>
      <c r="BJ45" s="7"/>
      <c r="BK45" s="7"/>
      <c r="BL45" s="7"/>
      <c r="BM45" s="7"/>
      <c r="BN45" s="7"/>
      <c r="BO45" s="3">
        <f>T45/'Exchange Rates'!X44</f>
        <v>118.67184477855743</v>
      </c>
      <c r="BP45" s="7"/>
      <c r="BQ45" s="7"/>
      <c r="BR45" s="7"/>
      <c r="BS45" s="3">
        <f>V45/'Exchange Rates'!Z44</f>
        <v>1.2258660137277724</v>
      </c>
      <c r="BT45" s="7"/>
      <c r="BU45" s="3"/>
      <c r="BV45" s="7"/>
      <c r="BW45" s="3">
        <f t="shared" si="0"/>
        <v>0.59990423083094391</v>
      </c>
      <c r="BX45" s="7"/>
      <c r="BY45" s="7"/>
      <c r="BZ45" s="7"/>
      <c r="CA45" s="7"/>
      <c r="CB45" s="7"/>
      <c r="CC45" s="12"/>
    </row>
    <row r="46" spans="1:81">
      <c r="A46">
        <v>2006</v>
      </c>
      <c r="B46" s="3">
        <f>Australia!I85</f>
        <v>124.24</v>
      </c>
      <c r="C46" s="3">
        <f>Austria!I85</f>
        <v>107.3</v>
      </c>
      <c r="D46" s="3">
        <f>Belgium!I85</f>
        <v>135.30000000000001</v>
      </c>
      <c r="E46" s="3">
        <f>Britain!I85</f>
        <v>91.3</v>
      </c>
      <c r="F46" s="3">
        <f>Canada!I85</f>
        <v>97.7</v>
      </c>
      <c r="G46" s="3">
        <f>China!AO85</f>
        <v>5.5005419999999994</v>
      </c>
      <c r="H46" s="3">
        <f>Denmark!I85</f>
        <v>9.52</v>
      </c>
      <c r="I46" s="3">
        <f>Finland!I85*100</f>
        <v>128.74046938775504</v>
      </c>
      <c r="J46" s="3">
        <f>France!I85*100</f>
        <v>123.70000000000002</v>
      </c>
      <c r="K46" s="3">
        <f>Germany!I85*100</f>
        <v>128.33436734693876</v>
      </c>
      <c r="L46" s="3">
        <f>India!AG85</f>
        <v>45.616666666666667</v>
      </c>
      <c r="M46" s="3">
        <f>Ireland!I85*100</f>
        <v>111.87551020408166</v>
      </c>
      <c r="N46" s="3">
        <f>Italy!I85*100</f>
        <v>128.67630612244898</v>
      </c>
      <c r="O46" s="4">
        <f>Japan!I85</f>
        <v>137.5</v>
      </c>
      <c r="P46" s="9">
        <f>Korea!I85</f>
        <v>1489</v>
      </c>
      <c r="Q46" s="3">
        <f>Netherlands!I85*100</f>
        <v>141.5</v>
      </c>
      <c r="R46" s="3">
        <f>'New Zealand'!I85</f>
        <v>1.554</v>
      </c>
      <c r="S46" s="3">
        <f>Norway!I85</f>
        <v>11.458</v>
      </c>
      <c r="T46" s="3">
        <f>Spain!I85*100</f>
        <v>102</v>
      </c>
      <c r="U46" s="3">
        <f>Sweden!I85</f>
        <v>11.421626110908589</v>
      </c>
      <c r="V46" s="3">
        <f>Swiss!I85</f>
        <v>1.643</v>
      </c>
      <c r="W46" s="3">
        <f>USA!M93</f>
        <v>68.049654200855471</v>
      </c>
      <c r="X46"/>
      <c r="Y46">
        <v>2006</v>
      </c>
      <c r="Z46" s="7">
        <v>0.93</v>
      </c>
      <c r="AA46" s="7">
        <f>B46/'Exchange Rates'!B45/100</f>
        <v>0.9355608795400453</v>
      </c>
      <c r="AB46" s="7">
        <v>1.32</v>
      </c>
      <c r="AC46" s="7">
        <f>C46/'Exchange Rates'!C45/100</f>
        <v>1.3460604836534567</v>
      </c>
      <c r="AD46" s="7">
        <v>1.63</v>
      </c>
      <c r="AE46" s="7">
        <f>D46/'Exchange Rates'!D45/100</f>
        <v>1.6973157822769123</v>
      </c>
      <c r="AF46" s="7">
        <v>1.63</v>
      </c>
      <c r="AG46" s="7">
        <f>E46/'Exchange Rates'!E45/100</f>
        <v>1.6798929873207638</v>
      </c>
      <c r="AH46" s="7">
        <v>0.84</v>
      </c>
      <c r="AI46" s="7">
        <f>F46/'Exchange Rates'!F45/100</f>
        <v>0.86127607556661989</v>
      </c>
      <c r="AJ46" s="7">
        <v>1.3</v>
      </c>
      <c r="AK46" s="7"/>
      <c r="AL46" s="7">
        <v>1.58</v>
      </c>
      <c r="AM46" s="7"/>
      <c r="AN46" s="7">
        <v>1.55</v>
      </c>
      <c r="AO46" s="7"/>
      <c r="AP46" s="7">
        <v>1.48</v>
      </c>
      <c r="AQ46" s="3">
        <f>J46/'Exchange Rates'!K45</f>
        <v>155.17957299900522</v>
      </c>
      <c r="AR46" s="7">
        <v>1.55</v>
      </c>
      <c r="AS46" s="3">
        <f>K46/'Exchange Rates'!L45</f>
        <v>160.99330902179008</v>
      </c>
      <c r="AT46" s="7">
        <v>1.1599999999999999</v>
      </c>
      <c r="AU46" s="7"/>
      <c r="AV46" s="7">
        <v>1.3</v>
      </c>
      <c r="AW46" s="7"/>
      <c r="AX46" s="7">
        <v>1.34</v>
      </c>
      <c r="AY46" s="7"/>
      <c r="AZ46" s="7">
        <v>1.47</v>
      </c>
      <c r="BA46" s="7"/>
      <c r="BB46" s="7">
        <v>1.56</v>
      </c>
      <c r="BC46" s="3">
        <f>N46/'Exchange Rates'!R45</f>
        <v>161.47079432836932</v>
      </c>
      <c r="BD46" s="7">
        <v>1.0900000000000001</v>
      </c>
      <c r="BE46" s="3">
        <f>O40/'Exchange Rates'!S45</f>
        <v>0.89338687348988388</v>
      </c>
      <c r="BF46" s="7">
        <v>1.65</v>
      </c>
      <c r="BG46" s="3">
        <f>P46/'Exchange Rates'!T45</f>
        <v>1.5595035981696517</v>
      </c>
      <c r="BH46" s="7">
        <v>1.7</v>
      </c>
      <c r="BI46" s="3">
        <f>Q46/'Exchange Rates'!U45</f>
        <v>177.50937412578202</v>
      </c>
      <c r="BJ46" s="7">
        <v>0.98</v>
      </c>
      <c r="BK46" s="7"/>
      <c r="BL46" s="7">
        <v>1.8</v>
      </c>
      <c r="BM46" s="7"/>
      <c r="BN46" s="7">
        <v>1.1499999999999999</v>
      </c>
      <c r="BO46" s="3">
        <f>T46/'Exchange Rates'!X45</f>
        <v>127.99551583813128</v>
      </c>
      <c r="BP46" s="7">
        <v>1.46</v>
      </c>
      <c r="BQ46" s="7"/>
      <c r="BR46" s="7">
        <v>1.27</v>
      </c>
      <c r="BS46" s="3">
        <f>V46/'Exchange Rates'!Z45</f>
        <v>1.3103553697586783</v>
      </c>
      <c r="BT46" s="7">
        <v>1.88</v>
      </c>
      <c r="BU46" s="3"/>
      <c r="BV46" s="7">
        <v>0.63</v>
      </c>
      <c r="BW46" s="3">
        <f t="shared" si="0"/>
        <v>0.68049654200855469</v>
      </c>
      <c r="BX46" s="7"/>
      <c r="BY46" s="7">
        <v>0.69</v>
      </c>
      <c r="BZ46" s="7"/>
      <c r="CA46" s="7">
        <v>1.01</v>
      </c>
      <c r="CB46" s="7"/>
      <c r="CC46" s="12"/>
    </row>
    <row r="47" spans="1:81">
      <c r="A47">
        <v>2007</v>
      </c>
      <c r="B47" s="3">
        <f>Australia!I86</f>
        <v>124.29</v>
      </c>
      <c r="C47" s="3">
        <f>Austria!I86</f>
        <v>110.4</v>
      </c>
      <c r="D47" s="3">
        <f>Belgium!I86</f>
        <v>138.4</v>
      </c>
      <c r="E47" s="3">
        <f>Britain!I86</f>
        <v>94.4</v>
      </c>
      <c r="F47" s="3">
        <f>Canada!I86</f>
        <v>101.9</v>
      </c>
      <c r="G47" s="3">
        <f>China!AO86</f>
        <v>5.2467600000000001</v>
      </c>
      <c r="H47" s="3">
        <f>Denmark!I86</f>
        <v>9.68</v>
      </c>
      <c r="I47" s="3">
        <f>Finland!I86*100</f>
        <v>129.83773469387754</v>
      </c>
      <c r="J47" s="3">
        <f>France!I86*100</f>
        <v>127.3</v>
      </c>
      <c r="K47" s="3">
        <f>Germany!I86*100</f>
        <v>133.544693877551</v>
      </c>
      <c r="L47" s="3">
        <f>India!AG86</f>
        <v>43.49083333333332</v>
      </c>
      <c r="M47" s="3">
        <f>Ireland!I86*100</f>
        <v>112.05714285714291</v>
      </c>
      <c r="N47" s="3">
        <f>Italy!I86*100</f>
        <v>129.9509387755102</v>
      </c>
      <c r="O47" s="4">
        <f>Japan!I86</f>
        <v>139.80000000000001</v>
      </c>
      <c r="P47" s="9">
        <f>Korea!I86</f>
        <v>1525</v>
      </c>
      <c r="Q47" s="3">
        <f>Netherlands!I86*100</f>
        <v>145.9</v>
      </c>
      <c r="R47" s="3">
        <f>'New Zealand'!I86</f>
        <v>1.554</v>
      </c>
      <c r="S47" s="3">
        <f>Norway!I86</f>
        <v>11.683</v>
      </c>
      <c r="T47" s="3">
        <f>Spain!I86*100</f>
        <v>103.49999999999999</v>
      </c>
      <c r="U47" s="3">
        <f>Sweden!I86</f>
        <v>11.509411766721751</v>
      </c>
      <c r="V47" s="3">
        <f>Swiss!I86</f>
        <v>1.6839999999999999</v>
      </c>
      <c r="W47" s="3">
        <f>USA!M94</f>
        <v>74.125450806774069</v>
      </c>
      <c r="X47"/>
      <c r="Y47">
        <v>2007</v>
      </c>
      <c r="Z47" s="7"/>
      <c r="AA47" s="7">
        <f>B47/'Exchange Rates'!B46/100</f>
        <v>1.0400205845252066</v>
      </c>
      <c r="AB47" s="7"/>
      <c r="AC47" s="7">
        <f>C47/'Exchange Rates'!C46/100</f>
        <v>1.5110081873650154</v>
      </c>
      <c r="AD47" s="7"/>
      <c r="AE47" s="7">
        <f>D47/'Exchange Rates'!D46/100</f>
        <v>1.8942349015517945</v>
      </c>
      <c r="AF47" s="7"/>
      <c r="AG47" s="7">
        <f>E47/'Exchange Rates'!E46/100</f>
        <v>1.8888613207622678</v>
      </c>
      <c r="AH47" s="7"/>
      <c r="AI47" s="7">
        <f>F47/'Exchange Rates'!F46/100</f>
        <v>0.94870197429008063</v>
      </c>
      <c r="AJ47" s="7"/>
      <c r="AK47" s="7"/>
      <c r="AL47" s="7"/>
      <c r="AM47" s="7"/>
      <c r="AN47" s="7"/>
      <c r="AO47" s="7"/>
      <c r="AP47" s="7"/>
      <c r="AQ47" s="3">
        <f>J47/'Exchange Rates'!K46</f>
        <v>174.23128827134641</v>
      </c>
      <c r="AR47" s="7"/>
      <c r="AS47" s="3">
        <f>K47/'Exchange Rates'!L46</f>
        <v>182.77819368490415</v>
      </c>
      <c r="AT47" s="7"/>
      <c r="AU47" s="7"/>
      <c r="AV47" s="7"/>
      <c r="AW47" s="7"/>
      <c r="AX47" s="7"/>
      <c r="AY47" s="7"/>
      <c r="AZ47" s="7"/>
      <c r="BA47" s="7"/>
      <c r="BB47" s="7"/>
      <c r="BC47" s="3">
        <f>N47/'Exchange Rates'!R46</f>
        <v>177.85966197397505</v>
      </c>
      <c r="BD47" s="7"/>
      <c r="BE47" s="3">
        <f>O41/'Exchange Rates'!S46</f>
        <v>0.89084022623435299</v>
      </c>
      <c r="BF47" s="7"/>
      <c r="BG47" s="3">
        <f>P47/'Exchange Rates'!T46</f>
        <v>1.6410960584639127</v>
      </c>
      <c r="BH47" s="7"/>
      <c r="BI47" s="3">
        <f>Q47/'Exchange Rates'!U46</f>
        <v>199.68849142803961</v>
      </c>
      <c r="BJ47" s="7"/>
      <c r="BK47" s="7"/>
      <c r="BL47" s="7"/>
      <c r="BM47" s="7"/>
      <c r="BN47" s="7"/>
      <c r="BO47" s="3">
        <f>T47/'Exchange Rates'!X46</f>
        <v>141.65711450616755</v>
      </c>
      <c r="BP47" s="7"/>
      <c r="BQ47" s="7"/>
      <c r="BR47" s="7"/>
      <c r="BS47" s="3">
        <f>V47/'Exchange Rates'!Z46</f>
        <v>1.4029144075033151</v>
      </c>
      <c r="BT47" s="7"/>
      <c r="BU47" s="3"/>
      <c r="BV47" s="7"/>
      <c r="BW47" s="3">
        <f t="shared" si="0"/>
        <v>0.74125450806774074</v>
      </c>
      <c r="BX47" s="7"/>
      <c r="BY47" s="7"/>
      <c r="BZ47" s="7"/>
      <c r="CA47" s="7"/>
      <c r="CB47" s="7"/>
      <c r="CC47" s="12"/>
    </row>
    <row r="48" spans="1:81">
      <c r="A48">
        <v>2008</v>
      </c>
      <c r="B48" s="3">
        <f>Australia!I87</f>
        <v>141</v>
      </c>
      <c r="C48" s="3">
        <f>Austria!I87</f>
        <v>120.6</v>
      </c>
      <c r="D48" s="3">
        <f>Belgium!I87</f>
        <v>145.6</v>
      </c>
      <c r="E48" s="3">
        <f>Britain!I87</f>
        <v>107.1</v>
      </c>
      <c r="F48" s="3">
        <f>Canada!I87</f>
        <v>115.2</v>
      </c>
      <c r="G48" s="3">
        <f>China!AO87</f>
        <v>6</v>
      </c>
      <c r="H48" s="3">
        <f>Denmark!I87</f>
        <v>10.210000000000001</v>
      </c>
      <c r="I48" s="3">
        <f>Finland!I87*100</f>
        <v>144.56232653061227</v>
      </c>
      <c r="J48" s="3">
        <f>France!I87*100</f>
        <v>135.60000000000002</v>
      </c>
      <c r="K48" s="3">
        <f>Germany!I87*100</f>
        <v>139.33520408163264</v>
      </c>
      <c r="L48" s="3">
        <f>India!AG87</f>
        <v>47.821666666666665</v>
      </c>
      <c r="M48" s="3">
        <f>Ireland!I87*100</f>
        <v>123.67142857142861</v>
      </c>
      <c r="N48" s="3">
        <f>Italy!I87*100</f>
        <v>138.75367346938776</v>
      </c>
      <c r="O48" s="4">
        <f>Japan!I87</f>
        <v>156.9</v>
      </c>
      <c r="P48" s="9">
        <f>Korea!I87</f>
        <v>1695</v>
      </c>
      <c r="Q48" s="3">
        <f>Netherlands!I87*100</f>
        <v>153.69999999999999</v>
      </c>
      <c r="R48" s="3">
        <f>'New Zealand'!I87</f>
        <v>1.8120000000000001</v>
      </c>
      <c r="S48" s="3">
        <f>Norway!I87</f>
        <v>12.528</v>
      </c>
      <c r="T48" s="3">
        <f>Spain!I87*100</f>
        <v>110.80000000000001</v>
      </c>
      <c r="U48" s="3">
        <f>Sweden!I87</f>
        <v>12.654893163238278</v>
      </c>
      <c r="V48" s="3">
        <f>Swiss!I87</f>
        <v>1.7849999999999999</v>
      </c>
      <c r="W48" s="3">
        <f>USA!M95</f>
        <v>86.030892183206845</v>
      </c>
      <c r="X48"/>
      <c r="Y48">
        <v>2008</v>
      </c>
      <c r="Z48" s="7">
        <v>0.74</v>
      </c>
      <c r="AA48" s="7">
        <f>B48/'Exchange Rates'!B47/100</f>
        <v>1.1827089627250991</v>
      </c>
      <c r="AB48" s="7">
        <v>1.37</v>
      </c>
      <c r="AC48" s="7">
        <f>C48/'Exchange Rates'!C47/100</f>
        <v>1.766579997802761</v>
      </c>
      <c r="AD48" s="7">
        <v>1.5</v>
      </c>
      <c r="AE48" s="7">
        <f>D48/'Exchange Rates'!D47/100</f>
        <v>2.1327864650089721</v>
      </c>
      <c r="AF48" s="7">
        <v>1.44</v>
      </c>
      <c r="AG48" s="7">
        <f>E48/'Exchange Rates'!E47/100</f>
        <v>1.9688730545659103</v>
      </c>
      <c r="AH48" s="7">
        <v>0.76</v>
      </c>
      <c r="AI48" s="7">
        <f>F48/'Exchange Rates'!F47/100</f>
        <v>1.0796221322537114</v>
      </c>
      <c r="AJ48" s="7">
        <v>1.37</v>
      </c>
      <c r="AK48" s="7"/>
      <c r="AL48" s="7">
        <v>1.54</v>
      </c>
      <c r="AM48" s="7"/>
      <c r="AN48" s="7">
        <v>1.57</v>
      </c>
      <c r="AO48" s="7"/>
      <c r="AP48" s="7">
        <v>1.52</v>
      </c>
      <c r="AQ48" s="3">
        <f>J48/'Exchange Rates'!K47</f>
        <v>198.63038781264879</v>
      </c>
      <c r="AR48" s="7">
        <v>1.56</v>
      </c>
      <c r="AS48" s="3">
        <f>K48/'Exchange Rates'!L47</f>
        <v>204.1018113767644</v>
      </c>
      <c r="AT48" s="7">
        <v>1.23</v>
      </c>
      <c r="AU48" s="7"/>
      <c r="AV48" s="7">
        <v>1.27</v>
      </c>
      <c r="AW48" s="7"/>
      <c r="AX48" s="7">
        <v>1.56</v>
      </c>
      <c r="AY48" s="7"/>
      <c r="AZ48" s="7">
        <v>1.37</v>
      </c>
      <c r="BA48" s="7"/>
      <c r="BB48" s="7">
        <v>1.57</v>
      </c>
      <c r="BC48" s="3">
        <f>N48/'Exchange Rates'!R47</f>
        <v>203.2502183975827</v>
      </c>
      <c r="BD48" s="7">
        <v>1.42</v>
      </c>
      <c r="BE48" s="3">
        <f>O42/'Exchange Rates'!S47</f>
        <v>1.0081366886289536</v>
      </c>
      <c r="BF48" s="7">
        <v>1.51</v>
      </c>
      <c r="BG48" s="3">
        <f>P48/'Exchange Rates'!T47</f>
        <v>1.5380427385327344</v>
      </c>
      <c r="BH48" s="7">
        <v>1.68</v>
      </c>
      <c r="BI48" s="3">
        <f>Q48/'Exchange Rates'!U47</f>
        <v>225.14373603837842</v>
      </c>
      <c r="BJ48" s="7">
        <v>1.0900000000000001</v>
      </c>
      <c r="BK48" s="7"/>
      <c r="BL48" s="7">
        <v>1.63</v>
      </c>
      <c r="BM48" s="7"/>
      <c r="BN48" s="7">
        <v>1.23</v>
      </c>
      <c r="BO48" s="3">
        <f>T48/'Exchange Rates'!X47</f>
        <v>162.30290438703679</v>
      </c>
      <c r="BP48" s="7">
        <v>1.38</v>
      </c>
      <c r="BQ48" s="7"/>
      <c r="BR48" s="7">
        <v>1.3</v>
      </c>
      <c r="BS48" s="3">
        <f>V48/'Exchange Rates'!Z47</f>
        <v>1.6480599518354095</v>
      </c>
      <c r="BT48" s="7">
        <v>1.87</v>
      </c>
      <c r="BU48" s="3"/>
      <c r="BV48" s="7">
        <v>0.56000000000000005</v>
      </c>
      <c r="BW48" s="3">
        <f t="shared" si="0"/>
        <v>0.86030892183206842</v>
      </c>
      <c r="BX48" s="7"/>
      <c r="BY48" s="7">
        <v>0.99</v>
      </c>
      <c r="BZ48" s="7"/>
      <c r="CA48" s="7">
        <v>1.0900000000000001</v>
      </c>
      <c r="CB48" s="7"/>
      <c r="CC48" s="12"/>
    </row>
    <row r="49" spans="1:118">
      <c r="A49">
        <v>2009</v>
      </c>
      <c r="B49" s="3">
        <f>Australia!I88</f>
        <v>119.61</v>
      </c>
      <c r="C49" s="3">
        <f>Austria!I88</f>
        <v>104.3</v>
      </c>
      <c r="D49" s="3">
        <f>Belgium!I88</f>
        <v>131.6</v>
      </c>
      <c r="E49" s="3">
        <f>Britain!I88</f>
        <v>99.3</v>
      </c>
      <c r="F49" s="3">
        <f>Canada!I88</f>
        <v>94.9</v>
      </c>
      <c r="G49" s="3">
        <f>China!AO88</f>
        <v>6</v>
      </c>
      <c r="H49" s="3">
        <f>Denmark!I88</f>
        <v>9.4700000000000006</v>
      </c>
      <c r="I49" s="3">
        <f>Finland!I88*100</f>
        <v>127.72444</v>
      </c>
      <c r="J49" s="3">
        <f>France!I88*100</f>
        <v>120.7</v>
      </c>
      <c r="K49" s="3">
        <f>Germany!I88*100</f>
        <v>126.20200000000001</v>
      </c>
      <c r="L49" s="3">
        <f>India!AG88</f>
        <v>43.056666666666672</v>
      </c>
      <c r="M49" s="3">
        <f>Ireland!I88*100</f>
        <v>110.57199999999993</v>
      </c>
      <c r="N49" s="3">
        <f>Italy!I88*100</f>
        <v>123.41379999999998</v>
      </c>
      <c r="O49" s="4">
        <f>Japan!I88</f>
        <v>120.2</v>
      </c>
      <c r="P49" s="9">
        <f>Korea!I88</f>
        <v>1582</v>
      </c>
      <c r="Q49" s="3">
        <f>Netherlands!I88*100</f>
        <v>134.30000000000001</v>
      </c>
      <c r="R49" s="3">
        <f>'New Zealand'!I88</f>
        <v>1.603</v>
      </c>
      <c r="S49" s="3">
        <f>Norway!I88</f>
        <v>11.88</v>
      </c>
      <c r="T49" s="3">
        <f>Spain!I88*100</f>
        <v>100.2</v>
      </c>
      <c r="U49" s="3">
        <f>Sweden!I88</f>
        <v>11.956334477772385</v>
      </c>
      <c r="V49" s="3">
        <f>Swiss!I88</f>
        <v>1.5069999999999999</v>
      </c>
      <c r="W49" s="3">
        <f>USA!M96</f>
        <v>62.064824248813956</v>
      </c>
      <c r="X49"/>
      <c r="Y49">
        <v>2009</v>
      </c>
      <c r="Z49" s="7"/>
      <c r="AA49" s="7">
        <f>B49/'Exchange Rates'!B48/100</f>
        <v>0.93285793058914224</v>
      </c>
      <c r="AB49" s="7"/>
      <c r="AC49" s="7">
        <f>C49/'Exchange Rates'!C48/100</f>
        <v>1.448924709398909</v>
      </c>
      <c r="AD49" s="7"/>
      <c r="AE49" s="7">
        <f>D49/'Exchange Rates'!D48/100</f>
        <v>1.828173458838892</v>
      </c>
      <c r="AF49" s="7"/>
      <c r="AG49" s="7">
        <f>E49/'Exchange Rates'!E48/100</f>
        <v>1.5469241446350708</v>
      </c>
      <c r="AH49" s="7"/>
      <c r="AI49" s="7">
        <f>F49/'Exchange Rates'!F48/100</f>
        <v>0.83019817855991163</v>
      </c>
      <c r="AJ49" s="7"/>
      <c r="AK49" s="7"/>
      <c r="AL49" s="7"/>
      <c r="AM49" s="7"/>
      <c r="AN49" s="7"/>
      <c r="AO49" s="7"/>
      <c r="AP49" s="7"/>
      <c r="AQ49" s="3">
        <f>J49/'Exchange Rates'!K48</f>
        <v>167.67517969745765</v>
      </c>
      <c r="AR49" s="7"/>
      <c r="AS49" s="3">
        <f>K49/'Exchange Rates'!L48</f>
        <v>175.31850064770964</v>
      </c>
      <c r="AT49" s="7"/>
      <c r="AU49" s="7"/>
      <c r="AV49" s="7"/>
      <c r="AW49" s="7"/>
      <c r="AX49" s="7"/>
      <c r="AY49" s="7"/>
      <c r="AZ49" s="7"/>
      <c r="BA49" s="7"/>
      <c r="BB49" s="7"/>
      <c r="BC49" s="3">
        <f>N49/'Exchange Rates'!R48</f>
        <v>171.44516232101157</v>
      </c>
      <c r="BD49" s="7"/>
      <c r="BE49" s="3">
        <f>O43/'Exchange Rates'!S48</f>
        <v>1.1360466644793583</v>
      </c>
      <c r="BF49" s="7"/>
      <c r="BG49" s="3">
        <f>P49/'Exchange Rates'!T48</f>
        <v>1.2389089456743909</v>
      </c>
      <c r="BH49" s="7"/>
      <c r="BI49" s="3">
        <f>Q49/'Exchange Rates'!U48</f>
        <v>186.56815769153741</v>
      </c>
      <c r="BJ49" s="7"/>
      <c r="BK49" s="7"/>
      <c r="BL49" s="7"/>
      <c r="BM49" s="7"/>
      <c r="BN49" s="7"/>
      <c r="BO49" s="3">
        <f>T49/'Exchange Rates'!X48</f>
        <v>139.19679375049924</v>
      </c>
      <c r="BP49" s="7"/>
      <c r="BQ49" s="7"/>
      <c r="BR49" s="7"/>
      <c r="BS49" s="3">
        <f>V49/'Exchange Rates'!Z48</f>
        <v>1.3849299646951605</v>
      </c>
      <c r="BT49" s="7"/>
      <c r="BU49" s="3"/>
      <c r="BV49" s="7"/>
      <c r="BW49" s="3">
        <f t="shared" si="0"/>
        <v>0.62064824248813955</v>
      </c>
      <c r="BX49" s="7"/>
      <c r="BY49" s="7"/>
      <c r="BZ49" s="7"/>
      <c r="CA49" s="7"/>
      <c r="CB49" s="7"/>
      <c r="CC49" s="12"/>
    </row>
    <row r="50" spans="1:118">
      <c r="A50">
        <v>2010</v>
      </c>
      <c r="B50" s="3">
        <f>Australia!I89</f>
        <v>125.99446257199398</v>
      </c>
      <c r="C50" s="3">
        <f>Austria!I89</f>
        <v>118.7</v>
      </c>
      <c r="D50" s="3">
        <f>Belgium!I89</f>
        <v>145.6</v>
      </c>
      <c r="E50" s="3">
        <f>Britain!I89</f>
        <v>116.9</v>
      </c>
      <c r="F50" s="3">
        <f>Canada!I89</f>
        <v>103.1</v>
      </c>
      <c r="G50" s="3">
        <f>China!AO89</f>
        <v>6.8</v>
      </c>
      <c r="H50" s="3">
        <f>Denmark!I89</f>
        <v>10.69</v>
      </c>
      <c r="I50" s="3">
        <f>Finland!I89*100</f>
        <v>142.60102040816327</v>
      </c>
      <c r="J50" s="3">
        <f>France!I89*100</f>
        <v>134.4</v>
      </c>
      <c r="K50" s="3">
        <f>Germany!I89*100</f>
        <v>139.10510204081638</v>
      </c>
      <c r="L50" s="3">
        <f>India!AG89</f>
        <v>49.356666666666662</v>
      </c>
      <c r="M50" s="3">
        <f>Ireland!I89*100</f>
        <v>130.04897959183671</v>
      </c>
      <c r="N50" s="3">
        <f>Italy!I89*100</f>
        <v>136.31312244897961</v>
      </c>
      <c r="O50" s="4">
        <f>Japan!I89</f>
        <v>132.9</v>
      </c>
      <c r="P50" s="9">
        <f>Korea!I89</f>
        <v>1709</v>
      </c>
      <c r="Q50" s="3">
        <f>Netherlands!I89*100</f>
        <v>150.29999999999998</v>
      </c>
      <c r="R50" s="3">
        <f>'New Zealand'!I89</f>
        <v>1.7669999999999999</v>
      </c>
      <c r="S50" s="3">
        <f>Norway!I89</f>
        <v>12.689</v>
      </c>
      <c r="T50" s="3">
        <f>Spain!I89*100</f>
        <v>116.5</v>
      </c>
      <c r="U50" s="3">
        <f>Sweden!I89</f>
        <v>12.714361059532978</v>
      </c>
      <c r="V50" s="3">
        <f>Swiss!I89</f>
        <v>1.637</v>
      </c>
      <c r="W50" s="3">
        <f>USA!M97</f>
        <v>73.433333333333337</v>
      </c>
      <c r="X50"/>
      <c r="Y50">
        <v>2010</v>
      </c>
      <c r="Z50" s="7">
        <v>1.27</v>
      </c>
      <c r="AA50" s="7">
        <f>B50/'Exchange Rates'!B49/100</f>
        <v>1.159075558892511</v>
      </c>
      <c r="AB50" s="7">
        <v>1.63</v>
      </c>
      <c r="AC50" s="7">
        <f>C50/'Exchange Rates'!C49/100</f>
        <v>1.5645774548667495</v>
      </c>
      <c r="AD50" s="7">
        <v>1.87</v>
      </c>
      <c r="AE50" s="7">
        <f>D50/'Exchange Rates'!D49/100</f>
        <v>1.9191447129620787</v>
      </c>
      <c r="AF50" s="7">
        <v>1.92</v>
      </c>
      <c r="AG50" s="7">
        <f>E50/'Exchange Rates'!E49/100</f>
        <v>1.8033484300107603</v>
      </c>
      <c r="AH50" s="7">
        <v>1.21</v>
      </c>
      <c r="AI50" s="7">
        <f>F50/'Exchange Rates'!F49/100</f>
        <v>0.99680489577859521</v>
      </c>
      <c r="AJ50" s="7">
        <v>1.75</v>
      </c>
      <c r="AK50" s="7"/>
      <c r="AL50" s="7">
        <v>2</v>
      </c>
      <c r="AM50" s="7"/>
      <c r="AN50" s="7">
        <v>1.94</v>
      </c>
      <c r="AO50" s="7"/>
      <c r="AP50" s="7">
        <v>1.98</v>
      </c>
      <c r="AQ50" s="3">
        <f>J50/'Exchange Rates'!K49</f>
        <v>177.15181965803805</v>
      </c>
      <c r="AR50" s="7">
        <v>1.9</v>
      </c>
      <c r="AS50" s="3">
        <f>K50/'Exchange Rates'!L49</f>
        <v>183.35358593934288</v>
      </c>
      <c r="AT50" s="7">
        <v>2.0499999999999998</v>
      </c>
      <c r="AU50" s="7"/>
      <c r="AV50" s="7">
        <v>1.67</v>
      </c>
      <c r="AW50" s="7"/>
      <c r="AX50" s="7">
        <v>1.78</v>
      </c>
      <c r="AY50" s="7"/>
      <c r="AZ50" s="7">
        <v>1.85</v>
      </c>
      <c r="BA50" s="7"/>
      <c r="BB50" s="7">
        <v>1.87</v>
      </c>
      <c r="BC50" s="3">
        <f>N50/'Exchange Rates'!R49</f>
        <v>179.67349468084592</v>
      </c>
      <c r="BD50" s="7">
        <v>1.6</v>
      </c>
      <c r="BE50" s="3">
        <f>O44/'Exchange Rates'!S49</f>
        <v>1.2894339636378764</v>
      </c>
      <c r="BF50" s="7">
        <v>1.52</v>
      </c>
      <c r="BG50" s="3">
        <f>P50/'Exchange Rates'!T49</f>
        <v>1.4761216893958953</v>
      </c>
      <c r="BH50" s="7">
        <v>2.13</v>
      </c>
      <c r="BI50" s="3">
        <f>Q50/'Exchange Rates'!U49</f>
        <v>198.10951260865411</v>
      </c>
      <c r="BJ50" s="7">
        <v>1.47</v>
      </c>
      <c r="BK50" s="7"/>
      <c r="BL50" s="7">
        <v>2.12</v>
      </c>
      <c r="BM50" s="7">
        <f>BL50*'Exchange Rates'!W49</f>
        <v>12.818291926434084</v>
      </c>
      <c r="BN50" s="7">
        <v>1.56</v>
      </c>
      <c r="BO50" s="3">
        <f>T50/'Exchange Rates'!X49</f>
        <v>153.55793891489159</v>
      </c>
      <c r="BP50" s="7">
        <v>1.87</v>
      </c>
      <c r="BQ50" s="7"/>
      <c r="BR50" s="7">
        <v>1.66</v>
      </c>
      <c r="BS50" s="3">
        <f>V50/'Exchange Rates'!Z49</f>
        <v>1.5769327649697202</v>
      </c>
      <c r="BT50" s="7">
        <v>2.52</v>
      </c>
      <c r="BU50" s="3"/>
      <c r="BV50" s="7">
        <v>0.76</v>
      </c>
      <c r="BW50" s="3">
        <f t="shared" si="0"/>
        <v>0.73433333333333339</v>
      </c>
      <c r="BX50" s="7"/>
      <c r="BY50" s="7">
        <v>1.1100000000000001</v>
      </c>
      <c r="BZ50" s="7"/>
      <c r="CA50" s="7">
        <v>1.1499999999999999</v>
      </c>
      <c r="CB50" s="7"/>
      <c r="CC50" s="12"/>
    </row>
    <row r="51" spans="1:118">
      <c r="A51">
        <v>2011</v>
      </c>
      <c r="B51" s="3">
        <f>Australia!I90</f>
        <v>141.04314566863206</v>
      </c>
      <c r="C51" s="3">
        <f>Austria!I90</f>
        <v>135.74081632653059</v>
      </c>
      <c r="D51" s="3">
        <f>Belgium!I90</f>
        <v>160.54695341650657</v>
      </c>
      <c r="E51" s="3">
        <f>Britain!K90</f>
        <v>133.89229254449327</v>
      </c>
      <c r="F51" s="3">
        <f>Canada!I90</f>
        <v>122.68000000000002</v>
      </c>
      <c r="G51" s="3">
        <f>China!AO90</f>
        <v>7.6</v>
      </c>
      <c r="H51" s="3">
        <f>Denmark!I90</f>
        <v>12.068743411329086</v>
      </c>
      <c r="I51" s="3">
        <f>Finland!I90*100</f>
        <v>155.97993877551028</v>
      </c>
      <c r="J51" s="3">
        <f>France!I90*100</f>
        <v>149.81204081632652</v>
      </c>
      <c r="K51" s="3">
        <f>Germany!I90*100</f>
        <v>152.69387755102036</v>
      </c>
      <c r="L51" s="3">
        <f>India!AG90</f>
        <v>61.928333333333335</v>
      </c>
      <c r="M51" s="3">
        <f>Ireland!I90*100</f>
        <v>148.14857142857127</v>
      </c>
      <c r="N51" s="3">
        <f>Italy!I90*100</f>
        <v>155.12561224489789</v>
      </c>
      <c r="O51" s="21">
        <v>145.58166666666665</v>
      </c>
      <c r="P51" s="48">
        <f>(P50+P52)/2</f>
        <v>1833</v>
      </c>
      <c r="Q51" s="3">
        <f>Netherlands!I90*100</f>
        <v>163.89526530612241</v>
      </c>
      <c r="R51" s="3">
        <f>'New Zealand'!I90</f>
        <v>2.0800000000000005</v>
      </c>
      <c r="S51" s="3">
        <f>Norway!I90</f>
        <v>13.70589264089427</v>
      </c>
      <c r="T51" s="3">
        <f>Spain!I90*100</f>
        <v>131.74802040816328</v>
      </c>
      <c r="U51" s="3">
        <f>Sweden!I90</f>
        <v>14.015307786472516</v>
      </c>
      <c r="V51" s="3">
        <f>Swiss!I90</f>
        <v>1.72</v>
      </c>
      <c r="W51" s="3">
        <f>USA!M98</f>
        <v>93.041666666666657</v>
      </c>
      <c r="X51"/>
      <c r="Y51">
        <v>2011</v>
      </c>
      <c r="Z51" s="6">
        <v>1.3</v>
      </c>
      <c r="AA51" s="7">
        <f>B51/'Exchange Rates'!B50/100</f>
        <v>1.4678007561870368</v>
      </c>
      <c r="AB51" s="6"/>
      <c r="AD51" s="6"/>
      <c r="AF51" s="6"/>
      <c r="AH51" s="6">
        <v>1.2</v>
      </c>
      <c r="AI51" s="7">
        <f>F51/'Exchange Rates'!F50/100</f>
        <v>1.2419462929035818</v>
      </c>
      <c r="AJ51" s="6"/>
      <c r="AL51" s="6"/>
      <c r="AN51" s="6"/>
      <c r="AP51" s="6">
        <v>1.95</v>
      </c>
      <c r="AR51" s="6">
        <v>1.9</v>
      </c>
      <c r="AT51" s="6"/>
      <c r="AV51" s="6"/>
      <c r="AX51" s="6"/>
      <c r="AZ51" s="6"/>
      <c r="BB51" s="6">
        <v>2</v>
      </c>
      <c r="BD51" s="6">
        <v>1.6</v>
      </c>
      <c r="BF51" s="6">
        <v>1.5</v>
      </c>
      <c r="BH51" s="6">
        <v>2.15</v>
      </c>
      <c r="BJ51" s="6"/>
      <c r="BK51" s="3"/>
      <c r="BL51" s="6"/>
      <c r="BM51" s="7">
        <f>BL51*'Exchange Rates'!W50</f>
        <v>0</v>
      </c>
      <c r="BN51" s="6">
        <v>1.55</v>
      </c>
      <c r="BO51" s="3"/>
      <c r="BP51" s="6"/>
      <c r="BQ51" s="3"/>
      <c r="BR51" s="6">
        <v>1.7</v>
      </c>
      <c r="BS51" s="3"/>
      <c r="BT51" s="6">
        <v>2.5</v>
      </c>
      <c r="BU51" s="3"/>
      <c r="BV51" s="6">
        <v>0.75</v>
      </c>
      <c r="BW51" s="3">
        <f t="shared" si="0"/>
        <v>0.93041666666666656</v>
      </c>
      <c r="BX51" s="3"/>
      <c r="BY51" s="6"/>
      <c r="BZ51" s="3"/>
      <c r="CA51" s="6"/>
      <c r="CB51" s="3"/>
    </row>
    <row r="52" spans="1:118">
      <c r="A52">
        <v>2012</v>
      </c>
      <c r="B52" s="3">
        <f>Australia!I91</f>
        <v>143.38560818068964</v>
      </c>
      <c r="C52" s="3">
        <f>Austria!I91</f>
        <v>144.97755102040816</v>
      </c>
      <c r="D52" s="3">
        <f>Belgium!I91</f>
        <v>171.09806850350907</v>
      </c>
      <c r="E52" s="3">
        <f>Britain!K91</f>
        <v>136.12181832879867</v>
      </c>
      <c r="F52" s="3">
        <f>Canada!I91</f>
        <v>126.38</v>
      </c>
      <c r="G52" s="3">
        <f>China!AO91</f>
        <v>7.9</v>
      </c>
      <c r="H52" s="3">
        <f>Denmark!I91</f>
        <v>12.736788212557041</v>
      </c>
      <c r="I52" s="3">
        <f>Finland!I91*100</f>
        <v>167.0734693877551</v>
      </c>
      <c r="J52" s="3">
        <f>France!I91*100</f>
        <v>156.64159183673462</v>
      </c>
      <c r="K52" s="3">
        <f>Germany!I91*100</f>
        <v>165.12653061224486</v>
      </c>
      <c r="L52" s="3">
        <f>India!AG91</f>
        <v>67.23</v>
      </c>
      <c r="M52" s="3">
        <f>Ireland!I91*100</f>
        <v>161.59222448979588</v>
      </c>
      <c r="N52" s="3">
        <f>Italy!I91*100</f>
        <v>178.82118367346936</v>
      </c>
      <c r="O52" s="4">
        <v>147.02333333333334</v>
      </c>
      <c r="P52" s="9">
        <v>1957</v>
      </c>
      <c r="Q52" s="3">
        <f>Netherlands!I91*100</f>
        <v>176.0408163265306</v>
      </c>
      <c r="R52" s="3">
        <f>'New Zealand'!I91</f>
        <v>2.145</v>
      </c>
      <c r="S52" s="3">
        <f>Norway!I91</f>
        <v>14.722785281788539</v>
      </c>
      <c r="T52" s="3">
        <f>Spain!I91*100</f>
        <v>142.56442857142855</v>
      </c>
      <c r="U52" s="3">
        <f>Sweden!I91</f>
        <v>14.963833121824351</v>
      </c>
      <c r="V52" s="3">
        <f>Swiss!I91</f>
        <v>1.76</v>
      </c>
      <c r="W52" s="3">
        <f>USA!M99</f>
        <v>95.783333333333331</v>
      </c>
      <c r="X52"/>
      <c r="Y52">
        <v>2012</v>
      </c>
      <c r="Z52" s="3">
        <v>1.39</v>
      </c>
      <c r="AA52" s="7">
        <f>B52/'Exchange Rates'!B51/100</f>
        <v>1.4901349330178173</v>
      </c>
      <c r="AB52" s="3">
        <v>1.81</v>
      </c>
      <c r="AD52" s="3">
        <v>2.09</v>
      </c>
      <c r="AF52" s="3">
        <v>2.17</v>
      </c>
      <c r="AH52" s="3">
        <v>1.32</v>
      </c>
      <c r="AI52" s="7">
        <v>1.2769278051679007</v>
      </c>
      <c r="AJ52" s="3">
        <v>1.93</v>
      </c>
      <c r="AL52" s="3">
        <v>2.02</v>
      </c>
      <c r="AN52" s="3">
        <v>2.08</v>
      </c>
      <c r="AP52" s="3">
        <v>1.91</v>
      </c>
      <c r="AR52" s="3">
        <v>1.96</v>
      </c>
      <c r="AT52" s="3">
        <v>2.06</v>
      </c>
      <c r="AV52" s="3">
        <v>1.84</v>
      </c>
      <c r="AX52" s="3">
        <v>2.02</v>
      </c>
      <c r="AZ52" s="3">
        <v>2.0099999999999998</v>
      </c>
      <c r="BB52" s="3">
        <v>2.2799999999999998</v>
      </c>
      <c r="BD52" s="3">
        <v>2</v>
      </c>
      <c r="BF52" s="3">
        <v>1.8</v>
      </c>
      <c r="BH52" s="3">
        <v>2.33</v>
      </c>
      <c r="BJ52" s="3">
        <v>1.77</v>
      </c>
      <c r="BK52" s="3"/>
      <c r="BL52" s="3">
        <v>2.5299999999999998</v>
      </c>
      <c r="BM52" s="7">
        <f>BL52*'Exchange Rates'!W51</f>
        <v>14.722785281788539</v>
      </c>
      <c r="BN52" s="3">
        <v>1.75</v>
      </c>
      <c r="BO52" s="3"/>
      <c r="BP52" s="3">
        <v>2.1</v>
      </c>
      <c r="BQ52" s="3"/>
      <c r="BR52" s="3">
        <v>1.88</v>
      </c>
      <c r="BS52" s="3"/>
      <c r="BT52" s="3">
        <v>2.54</v>
      </c>
      <c r="BU52" s="3"/>
      <c r="BV52" s="3">
        <v>0.97</v>
      </c>
      <c r="BW52" s="3"/>
      <c r="BX52" s="3"/>
      <c r="BY52" s="3">
        <v>1.37</v>
      </c>
      <c r="BZ52" s="3"/>
      <c r="CA52" s="3">
        <v>1.25</v>
      </c>
      <c r="CB52" s="3"/>
    </row>
    <row r="53" spans="1:118">
      <c r="A53">
        <v>2013</v>
      </c>
      <c r="B53" s="3">
        <f>Australia!I92</f>
        <v>146.10016876493671</v>
      </c>
      <c r="C53" s="3">
        <f>Austria!I92</f>
        <v>139.2979591836735</v>
      </c>
      <c r="D53" s="3">
        <f>Belgium!I92</f>
        <v>164.44652573944541</v>
      </c>
      <c r="E53" s="3">
        <f>Britain!K92</f>
        <v>134.68984678983145</v>
      </c>
      <c r="F53" s="3">
        <f>Canada!I92</f>
        <v>126.76999999999998</v>
      </c>
      <c r="G53" s="3">
        <f>China!AO92</f>
        <v>7.6</v>
      </c>
      <c r="H53" s="3">
        <f>Denmark!I92</f>
        <v>12.525980530610914</v>
      </c>
      <c r="I53" s="3">
        <f>Finland!I92*100</f>
        <v>164.25306122448978</v>
      </c>
      <c r="J53" s="3">
        <f>France!I92*100</f>
        <v>153.7189795918367</v>
      </c>
      <c r="K53" s="3">
        <f>Germany!I92*100</f>
        <v>160.11020408163265</v>
      </c>
      <c r="L53" s="3">
        <f>India!AG92</f>
        <v>69.117499999999993</v>
      </c>
      <c r="M53" s="3">
        <f>Ireland!I92*100</f>
        <v>158.8074897959184</v>
      </c>
      <c r="N53" s="3">
        <f>Italy!I92*100</f>
        <v>174.87510204081636</v>
      </c>
      <c r="O53" s="4">
        <v>155.78166666666664</v>
      </c>
      <c r="P53" s="48">
        <f>(P52+P54)/2</f>
        <v>1838</v>
      </c>
      <c r="Q53" s="3">
        <f>Netherlands!I92*100</f>
        <v>173.765306122449</v>
      </c>
      <c r="R53" s="3">
        <f>'New Zealand'!I92</f>
        <v>2.1558333333333333</v>
      </c>
      <c r="S53" s="3">
        <f>Norway!I92</f>
        <v>15.32</v>
      </c>
      <c r="T53" s="3">
        <f>Spain!I92*100</f>
        <v>143.18230612244901</v>
      </c>
      <c r="U53" s="3">
        <f>Sweden!I92</f>
        <v>14.468278842679256</v>
      </c>
      <c r="V53" s="3">
        <f>Swiss!I92</f>
        <v>1.75</v>
      </c>
      <c r="W53" s="3">
        <f>USA!M100</f>
        <v>92.624999999999986</v>
      </c>
      <c r="X53"/>
      <c r="Y53">
        <v>2013</v>
      </c>
      <c r="Z53" s="6">
        <v>1.4</v>
      </c>
      <c r="AA53" s="7">
        <f>B53/'Exchange Rates'!B52/100</f>
        <v>1.4026224952137114</v>
      </c>
      <c r="AB53" s="6"/>
      <c r="AD53" s="6"/>
      <c r="AF53" s="6"/>
      <c r="AH53" s="6">
        <v>1.2</v>
      </c>
      <c r="AI53" s="7">
        <v>1.2389844554618936</v>
      </c>
      <c r="AJ53" s="6"/>
      <c r="AL53" s="6"/>
      <c r="AN53" s="6"/>
      <c r="AP53" s="6">
        <v>1.8</v>
      </c>
      <c r="AR53" s="6">
        <v>1.9</v>
      </c>
      <c r="AT53" s="6"/>
      <c r="AV53" s="6"/>
      <c r="AX53" s="6"/>
      <c r="AZ53" s="6"/>
      <c r="BB53" s="6">
        <v>2.2999999999999998</v>
      </c>
      <c r="BD53" s="6">
        <v>1.55</v>
      </c>
      <c r="BF53" s="6">
        <v>1.75</v>
      </c>
      <c r="BH53" s="6">
        <v>2.2999999999999998</v>
      </c>
      <c r="BJ53" s="6"/>
      <c r="BK53" s="3"/>
      <c r="BL53" s="6"/>
      <c r="BM53" s="7">
        <f>BL53*'Exchange Rates'!W52</f>
        <v>0</v>
      </c>
      <c r="BN53" s="6">
        <v>1.9</v>
      </c>
      <c r="BO53" s="3"/>
      <c r="BP53" s="6"/>
      <c r="BQ53" s="3"/>
      <c r="BR53" s="6">
        <v>1.9</v>
      </c>
      <c r="BS53" s="3"/>
      <c r="BT53" s="6">
        <v>2.4</v>
      </c>
      <c r="BU53" s="3"/>
      <c r="BV53" s="6">
        <v>0.9</v>
      </c>
      <c r="BW53" s="3"/>
      <c r="BX53" s="3"/>
      <c r="BY53" s="6"/>
      <c r="BZ53" s="3"/>
      <c r="CA53" s="6"/>
      <c r="CB53" s="3"/>
    </row>
    <row r="54" spans="1:118">
      <c r="A54">
        <v>2014</v>
      </c>
      <c r="B54" s="3">
        <f>Australia!I93</f>
        <v>146.96277301453196</v>
      </c>
      <c r="C54" s="3">
        <f>Austria!I93</f>
        <v>134.96938775510205</v>
      </c>
      <c r="D54" s="3">
        <f>Belgium!I93</f>
        <v>159.47839261960573</v>
      </c>
      <c r="E54" s="3">
        <f>Britain!K93</f>
        <v>127.30363119389014</v>
      </c>
      <c r="F54" s="3">
        <f>Canada!I93</f>
        <v>127.35</v>
      </c>
      <c r="G54" s="3">
        <f>China!AO93</f>
        <v>7.1870759999999985</v>
      </c>
      <c r="H54" s="3">
        <f>Denmark!I93</f>
        <v>12.214525568592487</v>
      </c>
      <c r="I54" s="3">
        <f>Finland!I93*100</f>
        <v>160.73265306122448</v>
      </c>
      <c r="J54" s="3">
        <f>France!I93*100</f>
        <v>149.19118367346942</v>
      </c>
      <c r="K54" s="3">
        <f>Germany!I93*100</f>
        <v>154.31632653061223</v>
      </c>
      <c r="L54" s="3">
        <f>India!AG93</f>
        <v>69.84</v>
      </c>
      <c r="M54" s="3">
        <f>Ireland!I93*100</f>
        <v>152.98546938775505</v>
      </c>
      <c r="N54" s="3">
        <f>Italy!I93*100</f>
        <v>171.62004081632651</v>
      </c>
      <c r="O54" s="4">
        <v>162.94999999999999</v>
      </c>
      <c r="P54" s="9">
        <v>1719</v>
      </c>
      <c r="Q54" s="3">
        <f>Netherlands!I93*100</f>
        <v>170.1903265306122</v>
      </c>
      <c r="R54" s="3">
        <f>'New Zealand'!I93</f>
        <v>2.1666666666666665</v>
      </c>
      <c r="S54" s="3">
        <f>Norway!I93</f>
        <v>15.662558179447524</v>
      </c>
      <c r="T54" s="3">
        <f>Spain!I93*100</f>
        <v>139.2646326530612</v>
      </c>
      <c r="U54" s="3">
        <f>Sweden!I93</f>
        <v>14.231034903672441</v>
      </c>
      <c r="V54" s="3">
        <f>Swiss!I93</f>
        <v>1.7</v>
      </c>
      <c r="W54" s="3">
        <f>USA!M101</f>
        <v>88.85</v>
      </c>
      <c r="X54"/>
      <c r="Y54">
        <v>2014</v>
      </c>
      <c r="Z54" s="3">
        <v>1.23</v>
      </c>
      <c r="AA54" s="7">
        <f>B54/'Exchange Rates'!B53/100</f>
        <v>1.3211953294006422</v>
      </c>
      <c r="AB54" s="3">
        <v>1.6</v>
      </c>
      <c r="AD54" s="3">
        <v>1.9</v>
      </c>
      <c r="AF54" s="3">
        <v>1.92</v>
      </c>
      <c r="AH54" s="3">
        <v>1.17</v>
      </c>
      <c r="AI54" s="7">
        <v>1.1591133875547588</v>
      </c>
      <c r="AJ54" s="3">
        <v>1.67</v>
      </c>
      <c r="AL54" s="3">
        <v>2.0099999999999998</v>
      </c>
      <c r="AN54" s="3">
        <v>1.89</v>
      </c>
      <c r="AP54" s="3">
        <v>1.79</v>
      </c>
      <c r="AR54" s="3">
        <v>1.8</v>
      </c>
      <c r="AT54" s="3">
        <v>1.98</v>
      </c>
      <c r="AV54" s="3">
        <v>1.58</v>
      </c>
      <c r="AX54" s="3">
        <v>1.92</v>
      </c>
      <c r="AZ54" s="3">
        <v>1.88</v>
      </c>
      <c r="BB54" s="3">
        <v>2.14</v>
      </c>
      <c r="BD54" s="3">
        <v>1.38</v>
      </c>
      <c r="BF54" s="3">
        <v>1.55</v>
      </c>
      <c r="BH54" s="3">
        <v>2.15</v>
      </c>
      <c r="BJ54" s="3">
        <v>1.71</v>
      </c>
      <c r="BK54" s="3"/>
      <c r="BL54" s="3">
        <v>2.27</v>
      </c>
      <c r="BM54" s="7">
        <f>BL54*'Exchange Rates'!W53</f>
        <v>14.282345665603302</v>
      </c>
      <c r="BN54" s="3">
        <v>1.63</v>
      </c>
      <c r="BO54" s="3"/>
      <c r="BP54" s="3">
        <v>1.82</v>
      </c>
      <c r="BQ54" s="3"/>
      <c r="BR54" s="3">
        <v>1.74</v>
      </c>
      <c r="BS54" s="3"/>
      <c r="BT54" s="3">
        <v>2.06</v>
      </c>
      <c r="BU54" s="3"/>
      <c r="BV54" s="3">
        <v>0.76</v>
      </c>
      <c r="BW54" s="3"/>
      <c r="BX54" s="3"/>
      <c r="BY54" s="3">
        <v>1.17</v>
      </c>
      <c r="BZ54" s="3"/>
      <c r="CA54" s="3">
        <v>1.1000000000000001</v>
      </c>
      <c r="CB54" s="3"/>
    </row>
    <row r="55" spans="1:118">
      <c r="A55">
        <v>2015</v>
      </c>
      <c r="B55" s="3">
        <f>Australia!I94</f>
        <v>128.02078817120008</v>
      </c>
      <c r="C55" s="3">
        <f>Austria!I94</f>
        <v>120.20816326530613</v>
      </c>
      <c r="D55" s="3">
        <f>Belgium!I94</f>
        <v>141.97159842006877</v>
      </c>
      <c r="E55" s="3">
        <f>Britain!K94</f>
        <v>111.09491968663103</v>
      </c>
      <c r="F55" s="3">
        <f>Canada!I94</f>
        <v>106.11999999999998</v>
      </c>
      <c r="G55" s="3">
        <f>China!AO94</f>
        <v>4.9827200000000005</v>
      </c>
      <c r="H55" s="3">
        <f>Denmark!I94</f>
        <v>11.154372267296646</v>
      </c>
      <c r="I55" s="3">
        <f>Finland!I94*100</f>
        <v>146.80816326530609</v>
      </c>
      <c r="J55" s="3">
        <f>France!I94*100</f>
        <v>135.63706122448983</v>
      </c>
      <c r="K55" s="3">
        <f>Germany!I94*100</f>
        <v>139.7040816326531</v>
      </c>
      <c r="L55" s="3">
        <f>India!AG94</f>
        <v>61.875000000000007</v>
      </c>
      <c r="M55" s="3">
        <f>Ireland!I94*100</f>
        <v>136.9</v>
      </c>
      <c r="N55" s="3">
        <f>Italy!I94*100</f>
        <v>153.76844897959185</v>
      </c>
      <c r="O55" s="4">
        <v>137.48583333333335</v>
      </c>
      <c r="P55" s="45">
        <v>1526</v>
      </c>
      <c r="Q55" s="3">
        <f>Netherlands!I94*100</f>
        <v>156.33469387755102</v>
      </c>
      <c r="R55" s="3">
        <f>'New Zealand'!I94</f>
        <v>1.97</v>
      </c>
      <c r="S55" s="3">
        <f>Norway!I94</f>
        <v>15.04457338057775</v>
      </c>
      <c r="T55" s="3">
        <f>Spain!I94*100</f>
        <v>123.17565306122449</v>
      </c>
      <c r="U55" s="3">
        <f>Sweden!I94</f>
        <v>13.12513141647046</v>
      </c>
      <c r="V55" s="3">
        <f>Swiss!I94</f>
        <v>1.45</v>
      </c>
      <c r="W55" s="3">
        <f>USA!M102</f>
        <v>63.983333333333334</v>
      </c>
      <c r="X55"/>
      <c r="Y55">
        <v>2015</v>
      </c>
      <c r="Z55" s="6">
        <v>0.9</v>
      </c>
      <c r="AA55" s="7">
        <f>B55/'Exchange Rates'!B54/100</f>
        <v>0.95565384689998012</v>
      </c>
      <c r="AB55" s="6"/>
      <c r="AD55" s="6"/>
      <c r="AF55" s="6"/>
      <c r="AH55" s="6">
        <v>0.8</v>
      </c>
      <c r="AI55" s="7">
        <v>0.83605615571354253</v>
      </c>
      <c r="AJ55" s="6"/>
      <c r="AL55" s="6"/>
      <c r="AN55" s="6"/>
      <c r="AP55" s="6">
        <v>1.45</v>
      </c>
      <c r="AR55" s="6">
        <v>1.9</v>
      </c>
      <c r="AT55" s="6"/>
      <c r="AV55" s="6"/>
      <c r="AX55" s="6"/>
      <c r="AZ55" s="6"/>
      <c r="BB55" s="6">
        <v>1.7</v>
      </c>
      <c r="BD55" s="6">
        <v>1.1499999999999999</v>
      </c>
      <c r="BF55" s="6">
        <v>1.3</v>
      </c>
      <c r="BH55" s="6">
        <v>1.7</v>
      </c>
      <c r="BJ55" s="6"/>
      <c r="BK55" s="3"/>
      <c r="BL55" s="6"/>
      <c r="BM55" s="7">
        <f>BL55*'Exchange Rates'!W54</f>
        <v>0</v>
      </c>
      <c r="BN55" s="6">
        <v>1.35</v>
      </c>
      <c r="BO55" s="3"/>
      <c r="BP55" s="6"/>
      <c r="BQ55" s="3"/>
      <c r="BR55" s="6">
        <v>1.45</v>
      </c>
      <c r="BS55" s="3"/>
      <c r="BT55" s="6">
        <v>1.6</v>
      </c>
      <c r="BU55" s="3"/>
      <c r="BV55" s="6">
        <v>0.6</v>
      </c>
      <c r="BW55" s="3"/>
      <c r="BX55" s="3"/>
      <c r="BY55" s="6"/>
      <c r="BZ55" s="3"/>
      <c r="CA55" s="6"/>
      <c r="CB55" s="3"/>
    </row>
    <row r="56" spans="1:118">
      <c r="A56">
        <v>2016</v>
      </c>
      <c r="B56" s="3">
        <f>Australia!I95</f>
        <v>116.68330899809229</v>
      </c>
      <c r="C56" s="3">
        <f>Austria!I95</f>
        <v>111.14200000000001</v>
      </c>
      <c r="D56" s="3">
        <f>Belgium!I95</f>
        <v>131.31620552859354</v>
      </c>
      <c r="E56" s="3">
        <f>Britain!K95</f>
        <v>109.56401644307081</v>
      </c>
      <c r="F56" s="3">
        <f>Canada!I95</f>
        <v>100.55</v>
      </c>
      <c r="G56" s="3">
        <f>China!AO95</f>
        <v>4.9242400000000002</v>
      </c>
      <c r="H56" s="3">
        <f>Denmark!I95</f>
        <v>10.494975053312007</v>
      </c>
      <c r="I56" s="3">
        <f>Finland!I95*100</f>
        <v>138.08399999999997</v>
      </c>
      <c r="J56" s="3">
        <f>France!I95*100</f>
        <v>130.11673999999996</v>
      </c>
      <c r="K56" s="3">
        <f>Germany!I95*100</f>
        <v>130.542</v>
      </c>
      <c r="L56" s="3">
        <f>India!AG95</f>
        <v>62.936666666666667</v>
      </c>
      <c r="M56" s="3">
        <f>Ireland!I95*100</f>
        <v>128.30179999999999</v>
      </c>
      <c r="N56" s="3">
        <f>Italy!I95*100</f>
        <v>144.32363999999998</v>
      </c>
      <c r="O56" s="4">
        <v>121.81666666666666</v>
      </c>
      <c r="P56" s="45">
        <v>1393</v>
      </c>
      <c r="Q56" s="3">
        <f>Netherlands!I95*100</f>
        <v>147.69999999999996</v>
      </c>
      <c r="R56" s="3">
        <f>'New Zealand'!I95</f>
        <v>1.8825000000000001</v>
      </c>
      <c r="S56" s="3">
        <f>Norway!I95</f>
        <v>14.764992229407852</v>
      </c>
      <c r="T56" s="3">
        <f>Spain!I95*100</f>
        <v>114.94630000000005</v>
      </c>
      <c r="U56" s="3">
        <f>Sweden!I95</f>
        <v>13.073391863272434</v>
      </c>
      <c r="V56" s="3">
        <f>Swiss!I95</f>
        <v>1.4</v>
      </c>
      <c r="W56" s="3">
        <f>USA!M103</f>
        <v>57.558333333333344</v>
      </c>
      <c r="X56"/>
      <c r="Y56">
        <v>2016</v>
      </c>
      <c r="Z56" s="3">
        <v>0.93</v>
      </c>
      <c r="AA56" s="7">
        <f>B56/'Exchange Rates'!B55/100</f>
        <v>0.86743344270090139</v>
      </c>
      <c r="AB56" s="3">
        <v>1.2</v>
      </c>
      <c r="AD56" s="3">
        <v>1.43</v>
      </c>
      <c r="AF56" s="3">
        <v>1.46</v>
      </c>
      <c r="AH56" s="3">
        <v>0.81</v>
      </c>
      <c r="AI56" s="7">
        <v>0.77681187393006668</v>
      </c>
      <c r="AJ56" s="3">
        <v>1.17</v>
      </c>
      <c r="AL56" s="3">
        <v>1.55</v>
      </c>
      <c r="AN56" s="3">
        <v>1.45</v>
      </c>
      <c r="AP56" s="3">
        <v>1.39</v>
      </c>
      <c r="AR56" s="3">
        <v>1.39</v>
      </c>
      <c r="AT56" s="3">
        <v>1.54</v>
      </c>
      <c r="AV56" s="3">
        <v>1.18</v>
      </c>
      <c r="AX56" s="3">
        <v>1.37</v>
      </c>
      <c r="AZ56" s="3">
        <v>1.57</v>
      </c>
      <c r="BB56" s="3">
        <v>1.61</v>
      </c>
      <c r="BD56" s="3">
        <v>1.06</v>
      </c>
      <c r="BF56" s="3">
        <v>1.22</v>
      </c>
      <c r="BH56" s="3">
        <v>1.68</v>
      </c>
      <c r="BJ56" s="3">
        <v>1.4</v>
      </c>
      <c r="BK56" s="3"/>
      <c r="BL56" s="3">
        <v>1.78</v>
      </c>
      <c r="BM56" s="7">
        <f>BL56*'Exchange Rates'!W55</f>
        <v>14.947214372219429</v>
      </c>
      <c r="BN56" s="3">
        <v>1.26</v>
      </c>
      <c r="BO56" s="3"/>
      <c r="BP56" s="3">
        <v>1.42</v>
      </c>
      <c r="BQ56" s="3"/>
      <c r="BR56" s="3">
        <v>1.45</v>
      </c>
      <c r="BS56" s="3"/>
      <c r="BT56" s="3">
        <v>1.42</v>
      </c>
      <c r="BU56" s="3"/>
      <c r="BV56" s="3">
        <v>0.71</v>
      </c>
      <c r="BW56" s="3"/>
      <c r="BX56" s="3"/>
      <c r="BY56" s="3">
        <v>0.96</v>
      </c>
      <c r="BZ56" s="3"/>
      <c r="CA56" s="3">
        <v>0.97</v>
      </c>
      <c r="CB56" s="3"/>
    </row>
    <row r="57" spans="1:118">
      <c r="A57">
        <v>2017</v>
      </c>
      <c r="B57" s="3">
        <f>Australia!I96</f>
        <v>128.02082212403147</v>
      </c>
      <c r="C57" s="3">
        <f>Austria!I96</f>
        <v>117.74400000000003</v>
      </c>
      <c r="D57" s="3">
        <f>Belgium!I96</f>
        <v>140.37086541124975</v>
      </c>
      <c r="E57" s="3">
        <f>Britain!K96</f>
        <v>117.32043923337092</v>
      </c>
      <c r="F57" s="3">
        <f>Canada!I96</f>
        <v>111.48662536798223</v>
      </c>
      <c r="G57" s="3">
        <f>China!AO96</f>
        <v>4.8657599999999999</v>
      </c>
      <c r="H57" s="3">
        <f>Denmark!I96</f>
        <v>11.12596470507328</v>
      </c>
      <c r="I57" s="3">
        <f>Finland!I96*100</f>
        <v>146.43200000000002</v>
      </c>
      <c r="J57" s="3">
        <f>France!I96*100</f>
        <v>137.5376</v>
      </c>
      <c r="K57" s="3">
        <f>Germany!I96*100</f>
        <v>137.38800000000003</v>
      </c>
      <c r="L57" s="3">
        <f>India!AG96</f>
        <v>68.420833333333334</v>
      </c>
      <c r="M57" s="3">
        <f>Ireland!I96*100</f>
        <v>136.38000000000005</v>
      </c>
      <c r="N57" s="3">
        <f>Italy!I96*100</f>
        <v>152.76388</v>
      </c>
      <c r="O57" s="4">
        <v>133.5</v>
      </c>
      <c r="P57" s="45">
        <v>1489</v>
      </c>
      <c r="Q57" s="3">
        <f>Netherlands!I96*100</f>
        <v>155.21100000000001</v>
      </c>
      <c r="R57" s="3">
        <f>'New Zealand'!I96</f>
        <v>2.020833333333333</v>
      </c>
      <c r="S57" s="3">
        <f>Norway!I96</f>
        <v>16.235867241988913</v>
      </c>
      <c r="T57" s="3">
        <f>Spain!I96*100</f>
        <v>121.68797999999997</v>
      </c>
      <c r="U57" s="3">
        <f>Sweden!I96</f>
        <v>14.025177969334841</v>
      </c>
      <c r="V57" s="3">
        <f>Swiss!I96</f>
        <v>1.5</v>
      </c>
      <c r="W57" s="3">
        <f>USA!M104</f>
        <v>63.86666666666666</v>
      </c>
      <c r="X57"/>
      <c r="Y57">
        <v>2017</v>
      </c>
      <c r="Z57" s="6">
        <v>0.98</v>
      </c>
      <c r="AA57" s="7">
        <f>B57/'Exchange Rates'!B56/100</f>
        <v>0.98467215336698788</v>
      </c>
      <c r="AB57" s="6"/>
      <c r="AC57"/>
      <c r="AD57" s="6"/>
      <c r="AE57"/>
      <c r="AF57" s="6"/>
      <c r="AG57"/>
      <c r="AH57" s="6">
        <v>0.9</v>
      </c>
      <c r="AI57" s="7">
        <v>0.8826111087876608</v>
      </c>
      <c r="AJ57" s="6"/>
      <c r="AL57" s="6"/>
      <c r="AM57"/>
      <c r="AN57" s="6"/>
      <c r="AO57"/>
      <c r="AP57" s="6">
        <v>1.65</v>
      </c>
      <c r="AQ57"/>
      <c r="AR57" s="6">
        <v>1.45</v>
      </c>
      <c r="AS57"/>
      <c r="AT57" s="6"/>
      <c r="AU57"/>
      <c r="AV57" s="6"/>
      <c r="AX57" s="6"/>
      <c r="AY57"/>
      <c r="AZ57" s="6"/>
      <c r="BA57"/>
      <c r="BB57" s="6">
        <v>1.8</v>
      </c>
      <c r="BC57"/>
      <c r="BD57" s="6">
        <v>1.2</v>
      </c>
      <c r="BE57"/>
      <c r="BF57" s="6">
        <v>1.3</v>
      </c>
      <c r="BH57" s="6">
        <v>1.85</v>
      </c>
      <c r="BI57"/>
      <c r="BJ57" s="6"/>
      <c r="BL57" s="6"/>
      <c r="BN57" s="6">
        <v>1.4</v>
      </c>
      <c r="BP57" s="6"/>
      <c r="BQ57" s="3"/>
      <c r="BR57" s="6">
        <v>1.55</v>
      </c>
      <c r="BT57" s="6">
        <v>1.5</v>
      </c>
      <c r="BV57" s="6">
        <v>0.7</v>
      </c>
      <c r="BW57" s="3"/>
      <c r="BX57" s="3"/>
      <c r="BY57" s="6"/>
      <c r="CA57" s="6"/>
    </row>
    <row r="58" spans="1:118">
      <c r="A58">
        <v>2018</v>
      </c>
      <c r="B58" s="3">
        <f>Australia!I97</f>
        <v>143.63340430825156</v>
      </c>
      <c r="W58" s="3">
        <f>USA!M105</f>
        <v>72.000000000000014</v>
      </c>
      <c r="Y58">
        <v>2018</v>
      </c>
      <c r="Z58" s="6">
        <v>1.1000000000000001</v>
      </c>
      <c r="AA58" s="6">
        <v>1.1000000000000001</v>
      </c>
      <c r="AB58" s="6"/>
      <c r="AC58" s="6"/>
      <c r="AD58" s="6"/>
      <c r="AE58" s="6"/>
      <c r="AF58" s="6"/>
      <c r="AG58" s="6"/>
      <c r="AH58" s="6">
        <v>1</v>
      </c>
      <c r="AI58" s="7"/>
      <c r="AJ58" s="6"/>
      <c r="AK58"/>
      <c r="AL58" s="6"/>
      <c r="AM58" s="6"/>
      <c r="AN58" s="6"/>
      <c r="AO58" s="6"/>
      <c r="AP58" s="6">
        <v>1.8</v>
      </c>
      <c r="AQ58" s="6"/>
      <c r="AR58" s="6">
        <v>1.6</v>
      </c>
      <c r="AS58" s="6"/>
      <c r="AT58" s="6"/>
      <c r="AU58"/>
      <c r="AV58" s="6"/>
      <c r="AW58"/>
      <c r="AX58" s="6"/>
      <c r="AY58" s="6"/>
      <c r="AZ58" s="6"/>
      <c r="BA58" s="6"/>
      <c r="BB58" s="6">
        <v>2</v>
      </c>
      <c r="BC58" s="6"/>
      <c r="BD58" s="6">
        <v>1.35</v>
      </c>
      <c r="BE58" s="6"/>
      <c r="BF58" s="6">
        <v>1.45</v>
      </c>
      <c r="BG58"/>
      <c r="BH58" s="6">
        <v>2</v>
      </c>
      <c r="BI58" s="6"/>
      <c r="BJ58" s="6"/>
      <c r="BK58" s="6"/>
      <c r="BL58" s="6"/>
      <c r="BM58" s="6"/>
      <c r="BN58" s="6">
        <v>1.5</v>
      </c>
      <c r="BO58" s="6"/>
      <c r="BP58" s="6"/>
      <c r="BR58" s="6">
        <v>1.65</v>
      </c>
      <c r="BS58" s="6"/>
      <c r="BT58" s="6">
        <v>1.5</v>
      </c>
      <c r="BU58" s="6"/>
      <c r="BV58" s="6">
        <v>0.75</v>
      </c>
      <c r="BW58" s="3"/>
      <c r="BX58" s="3"/>
      <c r="BY58" s="6"/>
      <c r="BZ58" s="6"/>
      <c r="CA58" s="6"/>
    </row>
    <row r="59" spans="1:118">
      <c r="H59" s="7"/>
      <c r="I59" s="7"/>
      <c r="DI59" s="3"/>
      <c r="DJ59" s="3"/>
    </row>
    <row r="61" spans="1:118">
      <c r="BL61" s="3" t="s">
        <v>0</v>
      </c>
      <c r="BM61" s="3" t="s">
        <v>0</v>
      </c>
      <c r="BN61" s="3" t="s">
        <v>219</v>
      </c>
      <c r="BO61" s="3" t="s">
        <v>219</v>
      </c>
      <c r="BP61" s="3" t="s">
        <v>146</v>
      </c>
      <c r="BQ61" s="3" t="s">
        <v>146</v>
      </c>
      <c r="BR61" s="3" t="s">
        <v>150</v>
      </c>
      <c r="BS61" s="3" t="s">
        <v>150</v>
      </c>
      <c r="BT61" s="3" t="s">
        <v>29</v>
      </c>
      <c r="BU61" s="3" t="s">
        <v>29</v>
      </c>
      <c r="BV61" s="3" t="s">
        <v>124</v>
      </c>
      <c r="BW61" s="3" t="s">
        <v>124</v>
      </c>
      <c r="BX61" s="3" t="s">
        <v>125</v>
      </c>
      <c r="BY61" s="3" t="s">
        <v>125</v>
      </c>
      <c r="BZ61" s="3" t="s">
        <v>220</v>
      </c>
      <c r="CA61" s="3" t="s">
        <v>220</v>
      </c>
      <c r="CB61" s="3" t="s">
        <v>168</v>
      </c>
      <c r="CC61" s="3" t="s">
        <v>168</v>
      </c>
      <c r="CD61" s="3" t="s">
        <v>170</v>
      </c>
      <c r="CE61" s="3" t="s">
        <v>170</v>
      </c>
      <c r="CF61" s="3" t="s">
        <v>221</v>
      </c>
      <c r="CG61" s="3" t="s">
        <v>221</v>
      </c>
      <c r="CH61" s="3"/>
      <c r="CI61" s="3"/>
      <c r="CJ61" s="3"/>
      <c r="CK61" s="3"/>
      <c r="CL61" s="3"/>
      <c r="CM61" s="3"/>
      <c r="CN61" s="7"/>
      <c r="CO61" s="7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K61" s="3"/>
      <c r="DL61" s="3"/>
      <c r="DM61" s="3"/>
      <c r="DN61" s="3"/>
    </row>
    <row r="62" spans="1:118">
      <c r="BK62">
        <v>2010</v>
      </c>
      <c r="BL62">
        <v>1.27</v>
      </c>
      <c r="BN62">
        <v>1.63</v>
      </c>
      <c r="BP62">
        <v>1.87</v>
      </c>
      <c r="BR62">
        <v>1.92</v>
      </c>
      <c r="BT62">
        <v>1.21</v>
      </c>
      <c r="BV62">
        <v>1.75</v>
      </c>
      <c r="BX62">
        <v>2</v>
      </c>
      <c r="BZ62">
        <v>1.94</v>
      </c>
      <c r="CB62">
        <v>1.98</v>
      </c>
      <c r="CD62">
        <v>1.9</v>
      </c>
      <c r="CF62">
        <v>2.0499999999999998</v>
      </c>
    </row>
    <row r="63" spans="1:118">
      <c r="BK63">
        <v>2011</v>
      </c>
    </row>
    <row r="64" spans="1:118">
      <c r="BK64">
        <v>2012</v>
      </c>
      <c r="BL64">
        <v>1.39</v>
      </c>
      <c r="BN64">
        <v>1.81</v>
      </c>
      <c r="BP64">
        <v>2.09</v>
      </c>
      <c r="BR64">
        <v>2.17</v>
      </c>
      <c r="BT64">
        <v>1.32</v>
      </c>
      <c r="BV64">
        <v>1.93</v>
      </c>
      <c r="BX64">
        <v>2.02</v>
      </c>
      <c r="BZ64">
        <v>2.08</v>
      </c>
      <c r="CB64">
        <v>1.91</v>
      </c>
      <c r="CD64">
        <v>1.96</v>
      </c>
      <c r="CF64">
        <v>2.06</v>
      </c>
    </row>
    <row r="65" spans="2:85">
      <c r="BK65">
        <v>2013</v>
      </c>
    </row>
    <row r="66" spans="2:85">
      <c r="AV66" s="96" t="s">
        <v>1706</v>
      </c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K66">
        <v>2014</v>
      </c>
      <c r="BL66">
        <v>1.23</v>
      </c>
      <c r="BN66">
        <v>1.6</v>
      </c>
      <c r="BP66">
        <v>1.9</v>
      </c>
      <c r="BR66">
        <v>1.92</v>
      </c>
      <c r="BT66">
        <v>1.17</v>
      </c>
      <c r="BV66">
        <v>1.67</v>
      </c>
      <c r="BX66">
        <v>2.0099999999999998</v>
      </c>
      <c r="BZ66">
        <v>1.89</v>
      </c>
      <c r="CB66">
        <v>1.79</v>
      </c>
      <c r="CD66">
        <v>1.8</v>
      </c>
      <c r="CF66">
        <v>1.98</v>
      </c>
    </row>
    <row r="67" spans="2:85">
      <c r="W67" s="3" t="s">
        <v>1707</v>
      </c>
      <c r="AA67" s="3" t="s">
        <v>1890</v>
      </c>
      <c r="BK67">
        <v>2015</v>
      </c>
    </row>
    <row r="68" spans="2:85">
      <c r="B68" s="22"/>
      <c r="C68" s="22"/>
      <c r="D68" t="s">
        <v>334</v>
      </c>
      <c r="E68"/>
      <c r="F68"/>
      <c r="G68"/>
      <c r="H68"/>
      <c r="U68" s="22"/>
      <c r="V68" s="32"/>
      <c r="W68" s="32" t="s">
        <v>168</v>
      </c>
      <c r="X68" s="22" t="s">
        <v>170</v>
      </c>
      <c r="Y68" s="22" t="s">
        <v>210</v>
      </c>
      <c r="Z68" s="22" t="s">
        <v>211</v>
      </c>
      <c r="AA68" s="22" t="s">
        <v>432</v>
      </c>
      <c r="AB68" s="22" t="s">
        <v>184</v>
      </c>
      <c r="AC68" s="22" t="s">
        <v>29</v>
      </c>
      <c r="AD68" s="22" t="s">
        <v>226</v>
      </c>
      <c r="AE68" s="22"/>
      <c r="AF68" s="22"/>
      <c r="AG68" s="32"/>
      <c r="AH68" s="7"/>
      <c r="AI68" s="7"/>
      <c r="BK68">
        <v>2016</v>
      </c>
      <c r="BL68">
        <v>0.93</v>
      </c>
      <c r="BN68">
        <v>1.2</v>
      </c>
      <c r="BP68">
        <v>1.43</v>
      </c>
      <c r="BR68">
        <v>1.46</v>
      </c>
      <c r="BT68">
        <v>0.81</v>
      </c>
      <c r="BV68">
        <v>1.17</v>
      </c>
      <c r="BX68">
        <v>1.55</v>
      </c>
      <c r="BZ68">
        <v>1.45</v>
      </c>
      <c r="CB68">
        <v>1.39</v>
      </c>
      <c r="CD68">
        <v>1.39</v>
      </c>
      <c r="CF68">
        <v>1.54</v>
      </c>
    </row>
    <row r="69" spans="2:85">
      <c r="B69" s="22"/>
      <c r="C69" s="22"/>
      <c r="D69" t="s">
        <v>1709</v>
      </c>
      <c r="E69"/>
      <c r="F69"/>
      <c r="G69"/>
      <c r="H69"/>
      <c r="U69" s="22"/>
      <c r="V69" s="44">
        <v>2010</v>
      </c>
      <c r="W69" s="7">
        <v>1.3436666666666666</v>
      </c>
      <c r="X69" s="7">
        <v>1.39375</v>
      </c>
      <c r="Y69" s="7">
        <v>1.3639999999999999</v>
      </c>
      <c r="Z69" s="7">
        <v>1.1645833333333331</v>
      </c>
      <c r="AA69" s="7">
        <v>1.1689166666666668</v>
      </c>
      <c r="AB69" s="7">
        <v>132.91499999999999</v>
      </c>
      <c r="AC69" s="7">
        <v>1.0344166666666663</v>
      </c>
      <c r="AD69" s="7">
        <v>0.73433333333333339</v>
      </c>
      <c r="AE69" s="7"/>
      <c r="AF69" s="22"/>
      <c r="AG69" s="32"/>
      <c r="AH69" s="7"/>
      <c r="AI69" s="7"/>
      <c r="BK69">
        <v>2017</v>
      </c>
    </row>
    <row r="70" spans="2:85">
      <c r="B70" s="7"/>
      <c r="C70" s="7"/>
      <c r="D70" s="84" t="s">
        <v>333</v>
      </c>
      <c r="E70" s="84"/>
      <c r="F70" s="84"/>
      <c r="G70" s="84"/>
      <c r="H70" s="84"/>
      <c r="U70" s="7"/>
      <c r="V70" s="44">
        <v>2011</v>
      </c>
      <c r="W70" s="7">
        <v>1.4996666666666669</v>
      </c>
      <c r="X70" s="7">
        <v>1.5294999999999999</v>
      </c>
      <c r="Y70" s="7">
        <v>1.5495833333333333</v>
      </c>
      <c r="Z70" s="7">
        <v>1.3191666666666666</v>
      </c>
      <c r="AA70" s="7">
        <v>1.3354166666666665</v>
      </c>
      <c r="AB70" s="7">
        <v>145.58166666666665</v>
      </c>
      <c r="AC70" s="7">
        <v>1.2401666666666669</v>
      </c>
      <c r="AD70" s="7">
        <v>0.93041666666666656</v>
      </c>
      <c r="AE70" s="7"/>
      <c r="AF70" s="7"/>
      <c r="AG70" s="7"/>
      <c r="AH70" s="7"/>
      <c r="AI70" s="7"/>
      <c r="BK70">
        <v>2018</v>
      </c>
    </row>
    <row r="71" spans="2:85">
      <c r="V71" s="9">
        <v>2012</v>
      </c>
      <c r="W71" s="3">
        <v>1.5663333333333334</v>
      </c>
      <c r="X71" s="3">
        <v>1.6505833333333328</v>
      </c>
      <c r="Y71" s="3">
        <v>1.7862499999999999</v>
      </c>
      <c r="Z71" s="3">
        <v>1.4239166666666667</v>
      </c>
      <c r="AA71" s="3">
        <v>1.3585833333333335</v>
      </c>
      <c r="AB71" s="3">
        <v>147.02333333333334</v>
      </c>
      <c r="AC71" s="3">
        <v>1.2743333333333335</v>
      </c>
      <c r="AD71" s="3">
        <v>0.95783333333333331</v>
      </c>
    </row>
    <row r="72" spans="2:85">
      <c r="D72" s="3" t="s">
        <v>332</v>
      </c>
      <c r="I72" s="3" t="s">
        <v>2177</v>
      </c>
      <c r="V72" s="9">
        <v>2013</v>
      </c>
      <c r="W72" s="3">
        <v>1.538</v>
      </c>
      <c r="X72" s="3">
        <v>1.6007499999999997</v>
      </c>
      <c r="Y72" s="3">
        <v>1.7482500000000003</v>
      </c>
      <c r="Z72" s="3">
        <v>1.431</v>
      </c>
      <c r="AA72" s="3">
        <v>1.3439166666666669</v>
      </c>
      <c r="AB72" s="3">
        <v>155.78166666666664</v>
      </c>
      <c r="AC72" s="3">
        <v>1.2809166666666665</v>
      </c>
      <c r="AD72" s="3">
        <v>0.92624999999999991</v>
      </c>
    </row>
    <row r="73" spans="2:85">
      <c r="V73" s="9">
        <v>2014</v>
      </c>
      <c r="W73" s="3">
        <v>1.4865000000000002</v>
      </c>
      <c r="X73" s="3">
        <v>1.5384166666666668</v>
      </c>
      <c r="Y73" s="3">
        <v>1.7110000000000003</v>
      </c>
      <c r="Z73" s="3">
        <v>1.3867499999999999</v>
      </c>
      <c r="AA73" s="3">
        <v>1.2761666666666667</v>
      </c>
      <c r="AB73" s="3">
        <v>162.94999999999999</v>
      </c>
      <c r="AC73" s="3">
        <v>1.2827500000000001</v>
      </c>
      <c r="AD73" s="3">
        <v>0.88849999999999996</v>
      </c>
      <c r="BK73">
        <v>2010</v>
      </c>
      <c r="BL73" s="3" t="s">
        <v>171</v>
      </c>
      <c r="BM73" s="3" t="s">
        <v>171</v>
      </c>
      <c r="BN73" s="3" t="s">
        <v>173</v>
      </c>
      <c r="BO73" s="3" t="s">
        <v>173</v>
      </c>
      <c r="BP73" s="3" t="s">
        <v>222</v>
      </c>
      <c r="BQ73" s="3" t="s">
        <v>222</v>
      </c>
      <c r="BR73" s="7" t="s">
        <v>210</v>
      </c>
      <c r="BS73" s="7" t="s">
        <v>210</v>
      </c>
      <c r="BT73" s="3" t="s">
        <v>184</v>
      </c>
      <c r="BU73" s="3" t="s">
        <v>184</v>
      </c>
      <c r="BV73" s="3" t="s">
        <v>186</v>
      </c>
      <c r="BW73" s="3" t="s">
        <v>186</v>
      </c>
      <c r="BX73" s="3" t="s">
        <v>223</v>
      </c>
      <c r="BY73" s="3" t="s">
        <v>223</v>
      </c>
      <c r="BZ73" s="3" t="s">
        <v>224</v>
      </c>
      <c r="CA73" s="3" t="s">
        <v>224</v>
      </c>
      <c r="CB73" s="3" t="s">
        <v>196</v>
      </c>
      <c r="CC73" s="3" t="s">
        <v>196</v>
      </c>
      <c r="CD73" s="3" t="s">
        <v>211</v>
      </c>
      <c r="CE73" s="3" t="s">
        <v>211</v>
      </c>
      <c r="CF73" s="3" t="s">
        <v>200</v>
      </c>
      <c r="CG73" s="3" t="s">
        <v>200</v>
      </c>
    </row>
    <row r="74" spans="2:85">
      <c r="D74" s="3" t="s">
        <v>1705</v>
      </c>
      <c r="K74" t="s">
        <v>2174</v>
      </c>
      <c r="L74" t="s">
        <v>2175</v>
      </c>
      <c r="M74" t="s">
        <v>168</v>
      </c>
      <c r="N74" t="s">
        <v>2176</v>
      </c>
      <c r="O74" t="s">
        <v>29</v>
      </c>
      <c r="P74" t="s">
        <v>226</v>
      </c>
      <c r="V74" s="9">
        <v>2015</v>
      </c>
      <c r="W74" s="3">
        <v>1.3526666666666667</v>
      </c>
      <c r="X74" s="3">
        <v>1.39225</v>
      </c>
      <c r="Y74" s="3">
        <v>1.5331666666666666</v>
      </c>
      <c r="Z74" s="3">
        <v>1.2275833333333332</v>
      </c>
      <c r="AA74" s="3">
        <v>1.1103333333333334</v>
      </c>
      <c r="AB74" s="3">
        <v>137.48583333333335</v>
      </c>
      <c r="AC74" s="3">
        <v>1.0862500000000002</v>
      </c>
      <c r="AD74" s="3">
        <v>0.63983333333333337</v>
      </c>
      <c r="BK74">
        <v>2011</v>
      </c>
      <c r="BL74">
        <v>1.67</v>
      </c>
      <c r="BN74">
        <v>1.78</v>
      </c>
      <c r="BP74">
        <v>1.85</v>
      </c>
      <c r="BR74">
        <v>1.87</v>
      </c>
      <c r="BT74">
        <v>1.6</v>
      </c>
      <c r="BV74">
        <v>1.52</v>
      </c>
      <c r="BX74">
        <v>2.13</v>
      </c>
      <c r="BZ74">
        <v>1.47</v>
      </c>
      <c r="CB74">
        <v>2.12</v>
      </c>
      <c r="CD74">
        <v>1.56</v>
      </c>
      <c r="CF74">
        <v>1.87</v>
      </c>
    </row>
    <row r="75" spans="2:85">
      <c r="D75" s="3" t="s">
        <v>381</v>
      </c>
      <c r="V75" s="9">
        <v>2016</v>
      </c>
      <c r="W75" s="3">
        <v>1.3145</v>
      </c>
      <c r="X75" s="3">
        <v>1.3184166666666666</v>
      </c>
      <c r="Y75" s="3">
        <v>1.45475</v>
      </c>
      <c r="Z75" s="3">
        <v>1.1616666666666666</v>
      </c>
      <c r="AA75" s="3">
        <v>1.1040000000000001</v>
      </c>
      <c r="AB75" s="3">
        <v>121.81666666666666</v>
      </c>
      <c r="AC75" s="3">
        <v>1.0422500000000001</v>
      </c>
      <c r="AD75" s="3">
        <v>0.57558333333333345</v>
      </c>
      <c r="BK75">
        <v>2012</v>
      </c>
    </row>
    <row r="76" spans="2:85"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32"/>
      <c r="V76" s="9">
        <v>2017</v>
      </c>
      <c r="W76" s="3">
        <v>1.376916666666667</v>
      </c>
      <c r="X76" s="3">
        <v>1.3748333333333331</v>
      </c>
      <c r="Y76" s="3">
        <v>1.5283333333333333</v>
      </c>
      <c r="Z76" s="3">
        <v>1.2178333333333333</v>
      </c>
      <c r="AA76" s="3">
        <v>1.1765833333333333</v>
      </c>
      <c r="AB76" s="3">
        <v>133.5</v>
      </c>
      <c r="AC76" s="3">
        <v>1.1432499999999999</v>
      </c>
      <c r="AD76" s="3">
        <v>0.6386666666666666</v>
      </c>
      <c r="BK76">
        <v>2013</v>
      </c>
      <c r="BL76">
        <v>1.84</v>
      </c>
      <c r="BN76">
        <v>2.02</v>
      </c>
      <c r="BP76">
        <v>2.0099999999999998</v>
      </c>
      <c r="BR76">
        <v>2.2799999999999998</v>
      </c>
      <c r="BT76">
        <v>2</v>
      </c>
      <c r="BV76">
        <v>1.8</v>
      </c>
      <c r="BX76">
        <v>2.33</v>
      </c>
      <c r="BZ76">
        <v>1.77</v>
      </c>
      <c r="CB76">
        <v>2.5299999999999998</v>
      </c>
      <c r="CD76">
        <v>1.75</v>
      </c>
      <c r="CF76">
        <v>2.1</v>
      </c>
    </row>
    <row r="77" spans="2:85"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32"/>
      <c r="O77" s="22"/>
      <c r="P77" s="32"/>
      <c r="BK77">
        <v>2014</v>
      </c>
    </row>
    <row r="78" spans="2:85">
      <c r="D78" s="7" t="s">
        <v>2178</v>
      </c>
      <c r="E78" s="7"/>
      <c r="F78" s="7"/>
      <c r="G78" s="7"/>
      <c r="H78" s="7"/>
      <c r="I78" s="7"/>
      <c r="J78" s="7"/>
      <c r="K78" s="7"/>
      <c r="L78" s="7" t="s">
        <v>2179</v>
      </c>
      <c r="M78" s="7"/>
      <c r="N78" s="7"/>
      <c r="O78" s="7"/>
      <c r="P78" s="7"/>
      <c r="BK78">
        <v>2015</v>
      </c>
      <c r="BL78">
        <v>1.58</v>
      </c>
      <c r="BN78">
        <v>1.92</v>
      </c>
      <c r="BP78">
        <v>1.88</v>
      </c>
      <c r="BR78">
        <v>2.14</v>
      </c>
      <c r="BT78">
        <v>1.38</v>
      </c>
      <c r="BV78">
        <v>1.55</v>
      </c>
      <c r="BX78">
        <v>2.15</v>
      </c>
      <c r="BZ78">
        <v>1.71</v>
      </c>
      <c r="CB78">
        <v>2.27</v>
      </c>
      <c r="CD78">
        <v>1.63</v>
      </c>
      <c r="CF78">
        <v>1.82</v>
      </c>
    </row>
    <row r="79" spans="2:85">
      <c r="L79" s="3" t="s">
        <v>2180</v>
      </c>
      <c r="BK79">
        <v>2016</v>
      </c>
    </row>
    <row r="80" spans="2:85">
      <c r="BK80">
        <v>2017</v>
      </c>
      <c r="BL80">
        <v>1.18</v>
      </c>
      <c r="BN80">
        <v>1.37</v>
      </c>
      <c r="BP80">
        <v>1.57</v>
      </c>
      <c r="BR80">
        <v>1.61</v>
      </c>
      <c r="BT80">
        <v>1.06</v>
      </c>
      <c r="BV80">
        <v>1.22</v>
      </c>
      <c r="BX80">
        <v>1.68</v>
      </c>
      <c r="BZ80">
        <v>1.4</v>
      </c>
      <c r="CB80">
        <v>1.78</v>
      </c>
      <c r="CD80">
        <v>1.26</v>
      </c>
      <c r="CF80">
        <v>1.42</v>
      </c>
    </row>
    <row r="81" spans="63:74">
      <c r="BK81">
        <v>2018</v>
      </c>
    </row>
    <row r="83" spans="63:74">
      <c r="BL83" s="3" t="s">
        <v>225</v>
      </c>
      <c r="BM83" s="3" t="s">
        <v>225</v>
      </c>
      <c r="BN83" s="3" t="s">
        <v>212</v>
      </c>
      <c r="BO83" s="3" t="s">
        <v>212</v>
      </c>
      <c r="BP83" s="3" t="s">
        <v>226</v>
      </c>
      <c r="BQ83" s="3" t="s">
        <v>226</v>
      </c>
      <c r="BS83" s="3" t="s">
        <v>328</v>
      </c>
      <c r="BT83" s="3" t="s">
        <v>328</v>
      </c>
      <c r="BU83" s="3" t="s">
        <v>329</v>
      </c>
      <c r="BV83" s="3" t="s">
        <v>329</v>
      </c>
    </row>
    <row r="84" spans="63:74">
      <c r="BK84">
        <v>2010</v>
      </c>
      <c r="BL84">
        <v>1.66</v>
      </c>
      <c r="BN84">
        <v>2.52</v>
      </c>
      <c r="BP84">
        <v>0.76</v>
      </c>
      <c r="BS84">
        <v>1.1100000000000001</v>
      </c>
      <c r="BU84">
        <v>1.1499999999999999</v>
      </c>
    </row>
    <row r="85" spans="63:74">
      <c r="BK85">
        <v>2011</v>
      </c>
    </row>
    <row r="86" spans="63:74">
      <c r="BK86">
        <v>2012</v>
      </c>
      <c r="BL86">
        <v>1.88</v>
      </c>
      <c r="BN86">
        <v>2.54</v>
      </c>
      <c r="BP86">
        <v>0.97</v>
      </c>
      <c r="BS86">
        <v>1.37</v>
      </c>
      <c r="BU86">
        <v>1.25</v>
      </c>
    </row>
    <row r="87" spans="63:74">
      <c r="BK87">
        <v>2013</v>
      </c>
    </row>
    <row r="88" spans="63:74">
      <c r="BK88">
        <v>2014</v>
      </c>
      <c r="BL88">
        <v>1.74</v>
      </c>
      <c r="BN88">
        <v>2.06</v>
      </c>
      <c r="BP88">
        <v>0.76</v>
      </c>
      <c r="BS88">
        <v>1.17</v>
      </c>
      <c r="BU88">
        <v>1.1000000000000001</v>
      </c>
    </row>
    <row r="89" spans="63:74">
      <c r="BK89">
        <v>2015</v>
      </c>
    </row>
    <row r="90" spans="63:74">
      <c r="BK90">
        <v>2016</v>
      </c>
      <c r="BL90">
        <v>1.45</v>
      </c>
      <c r="BN90">
        <v>1.42</v>
      </c>
      <c r="BP90">
        <v>0.71</v>
      </c>
      <c r="BS90">
        <v>0.96</v>
      </c>
      <c r="BU90">
        <v>0.97</v>
      </c>
    </row>
    <row r="91" spans="63:74">
      <c r="BK91">
        <v>2017</v>
      </c>
    </row>
    <row r="92" spans="63:74">
      <c r="BK92">
        <v>2018</v>
      </c>
    </row>
  </sheetData>
  <hyperlinks>
    <hyperlink ref="D70" r:id="rId1"/>
  </hyperlinks>
  <printOptions gridLines="1"/>
  <pageMargins left="0.70866141732283472" right="0.70866141732283472" top="0.74803149606299213" bottom="0.74803149606299213" header="0.31496062992125984" footer="0.31496062992125984"/>
  <pageSetup paperSize="9" scale="17" fitToHeight="0" orientation="landscape" horizontalDpi="300" verticalDpi="300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U28"/>
  <sheetViews>
    <sheetView workbookViewId="0">
      <selection activeCell="E33" sqref="E33"/>
    </sheetView>
  </sheetViews>
  <sheetFormatPr defaultRowHeight="15"/>
  <sheetData>
    <row r="1" spans="6:21">
      <c r="F1" s="91"/>
      <c r="G1" t="s">
        <v>219</v>
      </c>
      <c r="H1" t="s">
        <v>146</v>
      </c>
      <c r="I1" t="s">
        <v>124</v>
      </c>
      <c r="J1" t="s">
        <v>170</v>
      </c>
      <c r="K1" t="s">
        <v>125</v>
      </c>
      <c r="L1" t="s">
        <v>165</v>
      </c>
      <c r="M1" t="s">
        <v>168</v>
      </c>
    </row>
    <row r="2" spans="6:21">
      <c r="F2" s="91"/>
      <c r="G2" t="s">
        <v>363</v>
      </c>
      <c r="H2" t="s">
        <v>403</v>
      </c>
      <c r="I2" t="s">
        <v>358</v>
      </c>
      <c r="J2" t="s">
        <v>359</v>
      </c>
      <c r="K2" t="s">
        <v>365</v>
      </c>
      <c r="L2" t="s">
        <v>430</v>
      </c>
      <c r="M2" t="s">
        <v>431</v>
      </c>
      <c r="N2" t="s">
        <v>362</v>
      </c>
      <c r="O2" t="s">
        <v>366</v>
      </c>
      <c r="P2" t="s">
        <v>369</v>
      </c>
      <c r="Q2" t="s">
        <v>367</v>
      </c>
      <c r="R2" t="s">
        <v>373</v>
      </c>
      <c r="S2" t="s">
        <v>374</v>
      </c>
      <c r="T2" t="s">
        <v>375</v>
      </c>
      <c r="U2" t="s">
        <v>432</v>
      </c>
    </row>
    <row r="3" spans="6:21">
      <c r="F3">
        <v>2005</v>
      </c>
      <c r="G3" s="3">
        <f>'EU petrol prices nominal'!G16-' EU base prices (less tax)'!G16/1000</f>
        <v>0.59728795918367295</v>
      </c>
      <c r="H3" s="3">
        <f>'EU petrol prices nominal'!H16-' EU base prices (less tax)'!H16/1000</f>
        <v>0.7978957142857146</v>
      </c>
      <c r="I3" s="3">
        <f>'EU petrol prices nominal'!I16-' EU base prices (less tax)'!I16/1000</f>
        <v>0.54966693877551021</v>
      </c>
      <c r="J3" s="3">
        <f>'EU petrol prices nominal'!J16-' EU base prices (less tax)'!J16/1000</f>
        <v>0.82303224489795945</v>
      </c>
      <c r="K3" s="3">
        <f>'EU petrol prices nominal'!K16-' EU base prices (less tax)'!K16/1000</f>
        <v>0.78317122448979548</v>
      </c>
      <c r="L3" s="3">
        <f>'EU petrol prices nominal'!L16-' EU base prices (less tax)'!L16/1000</f>
        <v>0.81041408163265283</v>
      </c>
      <c r="M3" s="3">
        <f>'EU petrol prices nominal'!M16-' EU base prices (less tax)'!M16/1000</f>
        <v>0.77973489795918438</v>
      </c>
      <c r="N3" s="3">
        <f>'EU petrol prices nominal'!N16-' EU base prices (less tax)'!N16/1000</f>
        <v>0.44348224489795918</v>
      </c>
      <c r="O3" s="3">
        <f>'EU petrol prices nominal'!O16-' EU base prices (less tax)'!O16/1000</f>
        <v>0.63215102040816351</v>
      </c>
      <c r="P3" s="3">
        <f>'EU petrol prices nominal'!P16-' EU base prices (less tax)'!P16/1000</f>
        <v>0.62469183673469408</v>
      </c>
      <c r="Q3" s="3">
        <f>'EU petrol prices nominal'!Q16-' EU base prices (less tax)'!Q16/1000</f>
        <v>0.76645591836734672</v>
      </c>
      <c r="R3" s="3">
        <f>'EU petrol prices nominal'!R16-' EU base prices (less tax)'!R16/1000</f>
        <v>0.88096061224489786</v>
      </c>
      <c r="S3" s="3">
        <f>'EU petrol prices nominal'!S16-' EU base prices (less tax)'!S16/1000</f>
        <v>0.53560306122448997</v>
      </c>
      <c r="T3" s="3">
        <f>'EU petrol prices nominal'!T16-' EU base prices (less tax)'!T16/1000</f>
        <v>0.77174040816326528</v>
      </c>
      <c r="U3" s="3">
        <f>'EU petrol prices nominal'!U16-' EU base prices (less tax)'!U16/1000</f>
        <v>0.87759897959183619</v>
      </c>
    </row>
    <row r="4" spans="6:21">
      <c r="F4">
        <v>2006</v>
      </c>
      <c r="G4" s="3">
        <f>'EU petrol prices nominal'!G15-' EU base prices (less tax)'!G15/1000</f>
        <v>0.60818510204081666</v>
      </c>
      <c r="H4" s="3">
        <f>'EU petrol prices nominal'!H15-' EU base prices (less tax)'!H15/1000</f>
        <v>0.81656204081632722</v>
      </c>
      <c r="I4" s="3">
        <f>'EU petrol prices nominal'!I15-' EU base prices (less tax)'!I15/1000</f>
        <v>0.58495102040816349</v>
      </c>
      <c r="J4" s="3">
        <f>'EU petrol prices nominal'!J15-' EU base prices (less tax)'!J15/1000</f>
        <v>0.83151632653061225</v>
      </c>
      <c r="K4" s="3">
        <f>'EU petrol prices nominal'!K15-' EU base prices (less tax)'!K15/1000</f>
        <v>0.79612489795918373</v>
      </c>
      <c r="L4" s="3">
        <f>'EU petrol prices nominal'!L15-' EU base prices (less tax)'!L15/1000</f>
        <v>0.82003510204081598</v>
      </c>
      <c r="M4" s="3">
        <f>'EU petrol prices nominal'!M15-' EU base prices (less tax)'!M15/1000</f>
        <v>0.79215775510204078</v>
      </c>
      <c r="N4" s="3">
        <f>'EU petrol prices nominal'!N15-' EU base prices (less tax)'!N15/1000</f>
        <v>0.46888734693877554</v>
      </c>
      <c r="O4" s="3">
        <f>'EU petrol prices nominal'!O15-' EU base prices (less tax)'!O15/1000</f>
        <v>0.57768367346938732</v>
      </c>
      <c r="P4" s="3">
        <f>'EU petrol prices nominal'!P15-' EU base prices (less tax)'!P15/1000</f>
        <v>0.63684346938775493</v>
      </c>
      <c r="Q4" s="3">
        <f>'EU petrol prices nominal'!Q15-' EU base prices (less tax)'!Q15/1000</f>
        <v>0.77846061224489804</v>
      </c>
      <c r="R4" s="3">
        <f>'EU petrol prices nominal'!R15-' EU base prices (less tax)'!R15/1000</f>
        <v>0.89079183673469353</v>
      </c>
      <c r="S4" s="3">
        <f>'EU petrol prices nominal'!S15-' EU base prices (less tax)'!S15/1000</f>
        <v>0.55025979591836749</v>
      </c>
      <c r="T4" s="3">
        <f>'EU petrol prices nominal'!T15-' EU base prices (less tax)'!T15/1000</f>
        <v>0.7859175510204085</v>
      </c>
      <c r="U4" s="3">
        <f>'EU petrol prices nominal'!U15-' EU base prices (less tax)'!U15/1000</f>
        <v>0.89133102040816303</v>
      </c>
    </row>
    <row r="5" spans="6:21">
      <c r="F5">
        <v>2007</v>
      </c>
      <c r="G5" s="3">
        <f>'EU petrol prices nominal'!G14-' EU base prices (less tax)'!G14/1000</f>
        <v>0.63527530612244898</v>
      </c>
      <c r="H5" s="3">
        <f>'EU petrol prices nominal'!H14-' EU base prices (less tax)'!H14/1000</f>
        <v>0.82870979591836735</v>
      </c>
      <c r="I5" s="3">
        <f>'EU petrol prices nominal'!I14-' EU base prices (less tax)'!I14/1000</f>
        <v>0.596098979591837</v>
      </c>
      <c r="J5" s="3">
        <f>'EU petrol prices nominal'!J14-' EU base prices (less tax)'!J14/1000</f>
        <v>0.86772265306122409</v>
      </c>
      <c r="K5" s="3">
        <f>'EU petrol prices nominal'!K14-' EU base prices (less tax)'!K14/1000</f>
        <v>0.80182816326530626</v>
      </c>
      <c r="L5" s="3">
        <f>'EU petrol prices nominal'!L14-' EU base prices (less tax)'!L14/1000</f>
        <v>0.82201428571428548</v>
      </c>
      <c r="M5" s="3">
        <f>'EU petrol prices nominal'!M14-' EU base prices (less tax)'!M14/1000</f>
        <v>0.81110632653061232</v>
      </c>
      <c r="N5" s="3">
        <f>'EU petrol prices nominal'!N14-' EU base prices (less tax)'!N14/1000</f>
        <v>0.50113306122448964</v>
      </c>
      <c r="O5" s="3">
        <f>'EU petrol prices nominal'!O14-' EU base prices (less tax)'!O14/1000</f>
        <v>0.60773571428571405</v>
      </c>
      <c r="P5" s="3">
        <f>'EU petrol prices nominal'!P14-' EU base prices (less tax)'!P14/1000</f>
        <v>0.63716040816326558</v>
      </c>
      <c r="Q5" s="3">
        <f>'EU petrol prices nominal'!Q14-' EU base prices (less tax)'!Q14/1000</f>
        <v>0.78058489795918373</v>
      </c>
      <c r="R5" s="3">
        <f>'EU petrol prices nominal'!R14-' EU base prices (less tax)'!R14/1000</f>
        <v>0.89817102040816355</v>
      </c>
      <c r="S5" s="3">
        <f>'EU petrol prices nominal'!S14-' EU base prices (less tax)'!S14/1000</f>
        <v>0.55225122448979569</v>
      </c>
      <c r="T5" s="3">
        <f>'EU petrol prices nominal'!T14-' EU base prices (less tax)'!T14/1000</f>
        <v>0.79611346938775462</v>
      </c>
      <c r="U5" s="3">
        <f>'EU petrol prices nominal'!U14-' EU base prices (less tax)'!U14/1000</f>
        <v>0.92027040816326511</v>
      </c>
    </row>
    <row r="6" spans="6:21">
      <c r="F6">
        <v>2008</v>
      </c>
      <c r="G6" s="3">
        <f>'EU petrol prices nominal'!G13-' EU base prices (less tax)'!G13/1000</f>
        <v>0.68765959183673431</v>
      </c>
      <c r="H6" s="3">
        <f>'EU petrol prices nominal'!H13-' EU base prices (less tax)'!H13/1000</f>
        <v>0.84883714285714318</v>
      </c>
      <c r="I6" s="3">
        <f>'EU petrol prices nominal'!I13-' EU base prices (less tax)'!I13/1000</f>
        <v>0.67302122448979584</v>
      </c>
      <c r="J6" s="3">
        <f>'EU petrol prices nominal'!J13-' EU base prices (less tax)'!J13/1000</f>
        <v>0.87696612244897953</v>
      </c>
      <c r="K6" s="3">
        <f>'EU petrol prices nominal'!K13-' EU base prices (less tax)'!K13/1000</f>
        <v>0.8277251020408164</v>
      </c>
      <c r="L6" s="3">
        <f>'EU petrol prices nominal'!L13-' EU base prices (less tax)'!L13/1000</f>
        <v>0.87199387755102065</v>
      </c>
      <c r="M6" s="3">
        <f>'EU petrol prices nominal'!M13-' EU base prices (less tax)'!M13/1000</f>
        <v>0.82948428571428545</v>
      </c>
      <c r="N6" s="3">
        <f>'EU petrol prices nominal'!N13-' EU base prices (less tax)'!N13/1000</f>
        <v>0.53987040816326504</v>
      </c>
      <c r="O6" s="3">
        <f>'EU petrol prices nominal'!O13-' EU base prices (less tax)'!O13/1000</f>
        <v>0.62216387755102021</v>
      </c>
      <c r="P6" s="3">
        <f>'EU petrol prices nominal'!P13-' EU base prices (less tax)'!P13/1000</f>
        <v>0.66946142857142954</v>
      </c>
      <c r="Q6" s="3">
        <f>'EU petrol prices nominal'!Q13-' EU base prices (less tax)'!Q13/1000</f>
        <v>0.79353877551020402</v>
      </c>
      <c r="R6" s="3">
        <f>'EU petrol prices nominal'!R13-' EU base prices (less tax)'!R13/1000</f>
        <v>0.92082551020408199</v>
      </c>
      <c r="S6" s="3">
        <f>'EU petrol prices nominal'!S13-' EU base prices (less tax)'!S13/1000</f>
        <v>0.56357693877551007</v>
      </c>
      <c r="T6" s="3">
        <f>'EU petrol prices nominal'!T13-' EU base prices (less tax)'!T13/1000</f>
        <v>0.8157663265306121</v>
      </c>
      <c r="U6" s="3">
        <f>'EU petrol prices nominal'!U13-' EU base prices (less tax)'!U13/1000</f>
        <v>0.8404344897959185</v>
      </c>
    </row>
    <row r="7" spans="6:21">
      <c r="F7">
        <v>2009</v>
      </c>
      <c r="G7" s="3">
        <f>'EU petrol prices nominal'!G12-' EU base prices (less tax)'!G12/1000</f>
        <v>0.6589946000000001</v>
      </c>
      <c r="H7" s="3">
        <f>'EU petrol prices nominal'!H12-' EU base prices (less tax)'!H12/1000</f>
        <v>0.82181980000000043</v>
      </c>
      <c r="I7" s="3">
        <f>'EU petrol prices nominal'!I12-' EU base prices (less tax)'!I12/1000</f>
        <v>0.61318120000000009</v>
      </c>
      <c r="J7" s="3">
        <f>'EU petrol prices nominal'!J12-' EU base prices (less tax)'!J12/1000</f>
        <v>0.85599880000000006</v>
      </c>
      <c r="K7" s="3">
        <f>'EU petrol prices nominal'!K12-' EU base prices (less tax)'!K12/1000</f>
        <v>0.81849360000000027</v>
      </c>
      <c r="L7" s="3">
        <f>'EU petrol prices nominal'!L12-' EU base prices (less tax)'!L12/1000</f>
        <v>0.8416336000000002</v>
      </c>
      <c r="M7" s="3">
        <f>'EU petrol prices nominal'!M12-' EU base prices (less tax)'!M12/1000</f>
        <v>0.80436419999999986</v>
      </c>
      <c r="N7" s="3">
        <f>'EU petrol prices nominal'!N12-' EU base prices (less tax)'!N12/1000</f>
        <v>0.55237979999999987</v>
      </c>
      <c r="O7" s="3">
        <f>'EU petrol prices nominal'!O12-' EU base prices (less tax)'!O12/1000</f>
        <v>0.57484799999999958</v>
      </c>
      <c r="P7" s="3">
        <f>'EU petrol prices nominal'!P12-' EU base prices (less tax)'!P12/1000</f>
        <v>0.70467859999999916</v>
      </c>
      <c r="Q7" s="3">
        <f>'EU petrol prices nominal'!Q12-' EU base prices (less tax)'!Q12/1000</f>
        <v>0.76969079999999979</v>
      </c>
      <c r="R7" s="3">
        <f>'EU petrol prices nominal'!R12-' EU base prices (less tax)'!R12/1000</f>
        <v>0.91646260000000046</v>
      </c>
      <c r="S7" s="3">
        <f>'EU petrol prices nominal'!S12-' EU base prices (less tax)'!S12/1000</f>
        <v>0.56252780000000002</v>
      </c>
      <c r="T7" s="3">
        <f>'EU petrol prices nominal'!T12-' EU base prices (less tax)'!T12/1000</f>
        <v>0.74538639999999989</v>
      </c>
      <c r="U7" s="3">
        <f>'EU petrol prices nominal'!U12-' EU base prices (less tax)'!U12/1000</f>
        <v>0.75611359999999972</v>
      </c>
    </row>
    <row r="8" spans="6:21">
      <c r="F8">
        <v>2010</v>
      </c>
      <c r="G8" s="3">
        <f>'EU petrol prices nominal'!G11-' EU base prices (less tax)'!G11/1000</f>
        <v>0.68289571428571394</v>
      </c>
      <c r="H8" s="3">
        <f>'EU petrol prices nominal'!H11-' EU base prices (less tax)'!H11/1000</f>
        <v>0.85667163265306123</v>
      </c>
      <c r="I8" s="3">
        <f>'EU petrol prices nominal'!I11-' EU base prices (less tax)'!I11/1000</f>
        <v>0.71701244897959193</v>
      </c>
      <c r="J8" s="3">
        <f>'EU petrol prices nominal'!J11-' EU base prices (less tax)'!J11/1000</f>
        <v>0.87660020408163297</v>
      </c>
      <c r="K8" s="3">
        <f>'EU petrol prices nominal'!K11-' EU base prices (less tax)'!K11/1000</f>
        <v>0.85911775510204069</v>
      </c>
      <c r="L8" s="3">
        <f>'EU petrol prices nominal'!L11-' EU base prices (less tax)'!L11/1000</f>
        <v>0.87318510204081645</v>
      </c>
      <c r="M8" s="3">
        <f>'EU petrol prices nominal'!M11-' EU base prices (less tax)'!M11/1000</f>
        <v>0.82622693877550979</v>
      </c>
      <c r="N8" s="3">
        <f>'EU petrol prices nominal'!N11-' EU base prices (less tax)'!N11/1000</f>
        <v>0.88490571428571385</v>
      </c>
      <c r="O8" s="3">
        <f>'EU petrol prices nominal'!O11-' EU base prices (less tax)'!O11/1000</f>
        <v>0.69268653061224517</v>
      </c>
      <c r="P8" s="3">
        <f>'EU petrol prices nominal'!P11-' EU base prices (less tax)'!P11/1000</f>
        <v>0.78890551020408128</v>
      </c>
      <c r="Q8" s="3">
        <f>'EU petrol prices nominal'!Q11-' EU base prices (less tax)'!Q11/1000</f>
        <v>0.79118938775510228</v>
      </c>
      <c r="R8" s="3">
        <f>'EU petrol prices nominal'!R11-' EU base prices (less tax)'!R11/1000</f>
        <v>0.95827530612244882</v>
      </c>
      <c r="S8" s="3">
        <f>'EU petrol prices nominal'!S11-' EU base prices (less tax)'!S11/1000</f>
        <v>0.60727040816326538</v>
      </c>
      <c r="T8" s="3">
        <f>'EU petrol prices nominal'!T11-' EU base prices (less tax)'!T11/1000</f>
        <v>0.84604326530612173</v>
      </c>
      <c r="U8" s="3">
        <f>'EU petrol prices nominal'!U11-' EU base prices (less tax)'!U11/1000</f>
        <v>0.86912632653061195</v>
      </c>
    </row>
    <row r="9" spans="6:21">
      <c r="F9">
        <v>2011</v>
      </c>
      <c r="G9" s="3">
        <f>'EU petrol prices nominal'!G10-' EU base prices (less tax)'!G10/1000</f>
        <v>0.75156673469387691</v>
      </c>
      <c r="H9" s="3">
        <f>'EU petrol prices nominal'!H10-' EU base prices (less tax)'!H10/1000</f>
        <v>0.88162877551020513</v>
      </c>
      <c r="I9" s="3">
        <f>'EU petrol prices nominal'!I10-' EU base prices (less tax)'!I10/1000</f>
        <v>0.75725632653061181</v>
      </c>
      <c r="J9" s="3">
        <f>'EU petrol prices nominal'!J10-' EU base prices (less tax)'!J10/1000</f>
        <v>0.89829673469387727</v>
      </c>
      <c r="K9" s="3">
        <f>'EU petrol prices nominal'!K10-' EU base prices (less tax)'!K10/1000</f>
        <v>0.89284469387755105</v>
      </c>
      <c r="L9" s="3">
        <f>'EU petrol prices nominal'!L10-' EU base prices (less tax)'!L10/1000</f>
        <v>0.89637040816326596</v>
      </c>
      <c r="M9" s="3">
        <f>'EU petrol prices nominal'!M10-' EU base prices (less tax)'!M10/1000</f>
        <v>0.85651183673469367</v>
      </c>
      <c r="N9" s="3">
        <f>'EU petrol prices nominal'!N10-' EU base prices (less tax)'!N10/1000</f>
        <v>0.99476836734693952</v>
      </c>
      <c r="O9" s="3">
        <f>'EU petrol prices nominal'!O10-' EU base prices (less tax)'!O10/1000</f>
        <v>0.7172753061224485</v>
      </c>
      <c r="P9" s="3">
        <f>'EU petrol prices nominal'!P10-' EU base prices (less tax)'!P10/1000</f>
        <v>0.82078734693877442</v>
      </c>
      <c r="Q9" s="3">
        <f>'EU petrol prices nominal'!Q10-' EU base prices (less tax)'!Q10/1000</f>
        <v>0.856056122448979</v>
      </c>
      <c r="R9" s="3">
        <f>'EU petrol prices nominal'!R10-' EU base prices (less tax)'!R10/1000</f>
        <v>0.98585183673469379</v>
      </c>
      <c r="S9" s="3">
        <f>'EU petrol prices nominal'!S10-' EU base prices (less tax)'!S10/1000</f>
        <v>0.64356469387755155</v>
      </c>
      <c r="T9" s="3">
        <f>'EU petrol prices nominal'!T10-' EU base prices (less tax)'!T10/1000</f>
        <v>0.92028489795918411</v>
      </c>
      <c r="U9" s="3">
        <f>'EU petrol prices nominal'!U10-' EU base prices (less tax)'!U10/1000</f>
        <v>0.92703836734693823</v>
      </c>
    </row>
    <row r="10" spans="6:21">
      <c r="F10">
        <v>2012</v>
      </c>
      <c r="G10" s="3">
        <f>'EU petrol prices nominal'!G9-' EU base prices (less tax)'!G9/1000</f>
        <v>0.76727734693877547</v>
      </c>
      <c r="H10" s="3">
        <f>'EU petrol prices nominal'!H9-' EU base prices (less tax)'!H9/1000</f>
        <v>0.89924571428571443</v>
      </c>
      <c r="I10" s="3">
        <f>'EU petrol prices nominal'!I9-' EU base prices (less tax)'!I9/1000</f>
        <v>0.75480959183673491</v>
      </c>
      <c r="J10" s="3">
        <f>'EU petrol prices nominal'!J9-' EU base prices (less tax)'!J9/1000</f>
        <v>0.91814755102040779</v>
      </c>
      <c r="K10" s="3">
        <f>'EU petrol prices nominal'!K9-' EU base prices (less tax)'!K9/1000</f>
        <v>0.92171836734693857</v>
      </c>
      <c r="L10" s="3">
        <f>'EU petrol prices nominal'!L9-' EU base prices (less tax)'!L9/1000</f>
        <v>0.93611448979591849</v>
      </c>
      <c r="M10" s="3">
        <f>'EU petrol prices nominal'!M9-' EU base prices (less tax)'!M9/1000</f>
        <v>0.85985775510204043</v>
      </c>
      <c r="N10" s="3">
        <f>'EU petrol prices nominal'!N9-' EU base prices (less tax)'!N9/1000</f>
        <v>1.0116091836734693</v>
      </c>
      <c r="O10" s="3">
        <f>'EU petrol prices nominal'!O9-' EU base prices (less tax)'!O9/1000</f>
        <v>0.74151224489795897</v>
      </c>
      <c r="P10" s="3">
        <f>'EU petrol prices nominal'!P9-' EU base prices (less tax)'!P9/1000</f>
        <v>0.90719040816326468</v>
      </c>
      <c r="Q10" s="3">
        <f>'EU petrol prices nominal'!Q9-' EU base prices (less tax)'!Q9/1000</f>
        <v>1.0276038775510203</v>
      </c>
      <c r="R10" s="3">
        <f>'EU petrol prices nominal'!R9-' EU base prices (less tax)'!R9/1000</f>
        <v>1.0235018367346942</v>
      </c>
      <c r="S10" s="3">
        <f>'EU petrol prices nominal'!S9-' EU base prices (less tax)'!S9/1000</f>
        <v>0.68460265306122414</v>
      </c>
      <c r="T10" s="3">
        <f>'EU petrol prices nominal'!T9-' EU base prices (less tax)'!T9/1000</f>
        <v>0.99165693877551042</v>
      </c>
      <c r="U10" s="3">
        <f>'EU petrol prices nominal'!U9-' EU base prices (less tax)'!U9/1000</f>
        <v>0.9950599999999995</v>
      </c>
    </row>
    <row r="11" spans="6:21">
      <c r="F11">
        <v>2013</v>
      </c>
      <c r="G11" s="3">
        <f>'EU petrol prices nominal'!G8-' EU base prices (less tax)'!G8/1000</f>
        <v>0.73872775510204103</v>
      </c>
      <c r="H11" s="3">
        <f>'EU petrol prices nominal'!H8-' EU base prices (less tax)'!H8/1000</f>
        <v>0.8881389795918373</v>
      </c>
      <c r="I11" s="3">
        <f>'EU petrol prices nominal'!I8-' EU base prices (less tax)'!I8/1000</f>
        <v>0.73739510204081637</v>
      </c>
      <c r="J11" s="3">
        <f>'EU petrol prices nominal'!J8-' EU base prices (less tax)'!J8/1000</f>
        <v>0.91013734693877535</v>
      </c>
      <c r="K11" s="3">
        <f>'EU petrol prices nominal'!K8-' EU base prices (less tax)'!K8/1000</f>
        <v>0.92642244897959203</v>
      </c>
      <c r="L11" s="3">
        <f>'EU petrol prices nominal'!L8-' EU base prices (less tax)'!L8/1000</f>
        <v>0.93697836734693862</v>
      </c>
      <c r="M11" s="3">
        <f>'EU petrol prices nominal'!M8-' EU base prices (less tax)'!M8/1000</f>
        <v>0.86420979591836733</v>
      </c>
      <c r="N11" s="3">
        <f>'EU petrol prices nominal'!N8-' EU base prices (less tax)'!N8/1000</f>
        <v>1.0002271428571428</v>
      </c>
      <c r="O11" s="3">
        <f>'EU petrol prices nominal'!O8-' EU base prices (less tax)'!O8/1000</f>
        <v>0.71485306122449022</v>
      </c>
      <c r="P11" s="3">
        <f>'EU petrol prices nominal'!P8-' EU base prices (less tax)'!P8/1000</f>
        <v>0.90467714285714318</v>
      </c>
      <c r="Q11" s="3">
        <f>'EU petrol prices nominal'!Q8-' EU base prices (less tax)'!Q8/1000</f>
        <v>1.0345155102040819</v>
      </c>
      <c r="R11" s="3">
        <f>'EU petrol prices nominal'!R8-' EU base prices (less tax)'!R8/1000</f>
        <v>1.0556118367346943</v>
      </c>
      <c r="S11" s="3">
        <f>'EU petrol prices nominal'!S8-' EU base prices (less tax)'!S8/1000</f>
        <v>0.71290224489795917</v>
      </c>
      <c r="T11" s="3">
        <f>'EU petrol prices nominal'!T8-' EU base prices (less tax)'!T8/1000</f>
        <v>0.98491897959183727</v>
      </c>
      <c r="U11" s="3">
        <f>'EU petrol prices nominal'!U8-' EU base prices (less tax)'!U8/1000</f>
        <v>0.9459138775510203</v>
      </c>
    </row>
    <row r="12" spans="6:21">
      <c r="F12">
        <v>2014</v>
      </c>
      <c r="G12" s="3">
        <f>'EU petrol prices nominal'!G7-' EU base prices (less tax)'!G7/1000</f>
        <v>0.71826918367346948</v>
      </c>
      <c r="H12" s="3">
        <f>'EU petrol prices nominal'!H7-' EU base prices (less tax)'!H7/1000</f>
        <v>0.87984469387755082</v>
      </c>
      <c r="I12" s="3">
        <f>'EU petrol prices nominal'!I7-' EU base prices (less tax)'!I7/1000</f>
        <v>0.69511571428571473</v>
      </c>
      <c r="J12" s="3">
        <f>'EU petrol prices nominal'!J7-' EU base prices (less tax)'!J7/1000</f>
        <v>0.90088775510204055</v>
      </c>
      <c r="K12" s="3">
        <f>'EU petrol prices nominal'!K7-' EU base prices (less tax)'!K7/1000</f>
        <v>0.93128448979591805</v>
      </c>
      <c r="L12" s="3">
        <f>'EU petrol prices nominal'!L7-' EU base prices (less tax)'!L7/1000</f>
        <v>0.93479551020408169</v>
      </c>
      <c r="M12" s="3">
        <f>'EU petrol prices nominal'!M7-' EU base prices (less tax)'!M7/1000</f>
        <v>0.86191938775510235</v>
      </c>
      <c r="N12" s="3">
        <f>'EU petrol prices nominal'!N7-' EU base prices (less tax)'!N7/1000</f>
        <v>0.99221448979591831</v>
      </c>
      <c r="O12" s="3">
        <f>'EU petrol prices nominal'!O7-' EU base prices (less tax)'!O7/1000</f>
        <v>0.68179530612244921</v>
      </c>
      <c r="P12" s="3">
        <f>'EU petrol prices nominal'!P7-' EU base prices (less tax)'!P7/1000</f>
        <v>0.89379040816326438</v>
      </c>
      <c r="Q12" s="3">
        <f>'EU petrol prices nominal'!Q7-' EU base prices (less tax)'!Q7/1000</f>
        <v>1.0398877551020405</v>
      </c>
      <c r="R12" s="3">
        <f>'EU petrol prices nominal'!R7-' EU base prices (less tax)'!R7/1000</f>
        <v>1.0626118367346933</v>
      </c>
      <c r="S12" s="3">
        <f>'EU petrol prices nominal'!S7-' EU base prices (less tax)'!S7/1000</f>
        <v>0.70675020408163236</v>
      </c>
      <c r="T12" s="3">
        <f>'EU petrol prices nominal'!T7-' EU base prices (less tax)'!T7/1000</f>
        <v>0.93440306122449013</v>
      </c>
      <c r="U12" s="3">
        <f>'EU petrol prices nominal'!U7-' EU base prices (less tax)'!U7/1000</f>
        <v>0.98301448979591821</v>
      </c>
    </row>
    <row r="13" spans="6:21">
      <c r="F13">
        <v>2015</v>
      </c>
      <c r="G13" s="3">
        <f>'EU petrol prices nominal'!G6-' EU base prices (less tax)'!G6/1000</f>
        <v>0.69370693877551004</v>
      </c>
      <c r="H13" s="3">
        <f>'EU petrol prices nominal'!H6-' EU base prices (less tax)'!H6/1000</f>
        <v>0.85176469387755094</v>
      </c>
      <c r="I13" s="3">
        <f>'EU petrol prices nominal'!I6-' EU base prices (less tax)'!I6/1000</f>
        <v>0.67092183673469408</v>
      </c>
      <c r="J13" s="3">
        <f>'EU petrol prices nominal'!J6-' EU base prices (less tax)'!J6/1000</f>
        <v>0.87755653061224526</v>
      </c>
      <c r="K13" s="3">
        <f>'EU petrol prices nominal'!K6-' EU base prices (less tax)'!K6/1000</f>
        <v>0.91289999999999982</v>
      </c>
      <c r="L13" s="3">
        <f>'EU petrol prices nominal'!L6-' EU base prices (less tax)'!L6/1000</f>
        <v>0.92742959183673457</v>
      </c>
      <c r="M13" s="3">
        <f>'EU petrol prices nominal'!M6-' EU base prices (less tax)'!M6/1000</f>
        <v>0.85656224489795951</v>
      </c>
      <c r="N13" s="3">
        <f>'EU petrol prices nominal'!N6-' EU base prices (less tax)'!N6/1000</f>
        <v>0.9575879591836729</v>
      </c>
      <c r="O13" s="3">
        <f>'EU petrol prices nominal'!O6-' EU base prices (less tax)'!O6/1000</f>
        <v>0.63838489795918374</v>
      </c>
      <c r="P13" s="3">
        <f>'EU petrol prices nominal'!P6-' EU base prices (less tax)'!P6/1000</f>
        <v>0.86370999999999987</v>
      </c>
      <c r="Q13" s="3">
        <f>'EU petrol prices nominal'!Q6-' EU base prices (less tax)'!Q6/1000</f>
        <v>1.0056879591836734</v>
      </c>
      <c r="R13" s="3">
        <f>'EU petrol prices nominal'!R6-' EU base prices (less tax)'!R6/1000</f>
        <v>1.0453951020408161</v>
      </c>
      <c r="S13" s="3">
        <f>'EU petrol prices nominal'!S6-' EU base prices (less tax)'!S6/1000</f>
        <v>0.67556918367346919</v>
      </c>
      <c r="T13" s="3">
        <f>'EU petrol prices nominal'!T6-' EU base prices (less tax)'!T6/1000</f>
        <v>0.88323775510204083</v>
      </c>
      <c r="U13" s="3">
        <f>'EU petrol prices nominal'!U6-' EU base prices (less tax)'!U6/1000</f>
        <v>1.0546775510204083</v>
      </c>
    </row>
    <row r="14" spans="6:21">
      <c r="F14">
        <v>2016</v>
      </c>
      <c r="G14" s="3">
        <f>'EU petrol prices nominal'!G5-' EU base prices (less tax)'!G5/1000</f>
        <v>0.67859700000000001</v>
      </c>
      <c r="H14" s="3">
        <f>'EU petrol prices nominal'!H5-' EU base prices (less tax)'!H5/1000</f>
        <v>0.8347259999999993</v>
      </c>
      <c r="I14" s="3">
        <f>'EU petrol prices nominal'!I5-' EU base prices (less tax)'!I5/1000</f>
        <v>0.65863920000000054</v>
      </c>
      <c r="J14" s="3">
        <f>'EU petrol prices nominal'!J5-' EU base prices (less tax)'!J5/1000</f>
        <v>0.86292820000000003</v>
      </c>
      <c r="K14" s="3">
        <f>'EU petrol prices nominal'!K5-' EU base prices (less tax)'!K5/1000</f>
        <v>0.89889100000000022</v>
      </c>
      <c r="L14" s="3">
        <f>'EU petrol prices nominal'!L5-' EU base prices (less tax)'!L5/1000</f>
        <v>0.92003919999999995</v>
      </c>
      <c r="M14" s="3">
        <f>'EU petrol prices nominal'!M5-' EU base prices (less tax)'!M5/1000</f>
        <v>0.86446259999999975</v>
      </c>
      <c r="N14" s="3">
        <f>'EU petrol prices nominal'!N5-' EU base prices (less tax)'!N5/1000</f>
        <v>0.9451663999999993</v>
      </c>
      <c r="O14" s="3">
        <f>'EU petrol prices nominal'!O5-' EU base prices (less tax)'!O5/1000</f>
        <v>0.62138440000000017</v>
      </c>
      <c r="P14" s="3">
        <f>'EU petrol prices nominal'!P5-' EU base prices (less tax)'!P5/1000</f>
        <v>0.8476313999999997</v>
      </c>
      <c r="Q14" s="3">
        <f>'EU petrol prices nominal'!Q5-' EU base prices (less tax)'!Q5/1000</f>
        <v>0.98865599999999976</v>
      </c>
      <c r="R14" s="3">
        <f>'EU petrol prices nominal'!R5-' EU base prices (less tax)'!R5/1000</f>
        <v>1.0342391999999996</v>
      </c>
      <c r="S14" s="3">
        <f>'EU petrol prices nominal'!S5-' EU base prices (less tax)'!S5/1000</f>
        <v>0.66139340000000058</v>
      </c>
      <c r="T14" s="3">
        <f>'EU petrol prices nominal'!T5-' EU base prices (less tax)'!T5/1000</f>
        <v>0.94380799999999976</v>
      </c>
      <c r="U14" s="3">
        <f>'EU petrol prices nominal'!U5-' EU base prices (less tax)'!U5/1000</f>
        <v>0.93122119999999986</v>
      </c>
    </row>
    <row r="15" spans="6:21">
      <c r="F15">
        <v>2017</v>
      </c>
      <c r="G15" s="3">
        <f>'EU petrol prices nominal'!G4-' EU base prices (less tax)'!G4/1000</f>
        <v>0.68959980000000032</v>
      </c>
      <c r="H15" s="3">
        <f>'EU petrol prices nominal'!H4-' EU base prices (less tax)'!H4/1000</f>
        <v>0.8437114</v>
      </c>
      <c r="I15" s="3">
        <f>'EU petrol prices nominal'!I4-' EU base prices (less tax)'!I4/1000</f>
        <v>0.68752759999999991</v>
      </c>
      <c r="J15" s="3">
        <f>'EU petrol prices nominal'!J4-' EU base prices (less tax)'!J4/1000</f>
        <v>0.87385960000000029</v>
      </c>
      <c r="K15" s="3">
        <f>'EU petrol prices nominal'!K4-' EU base prices (less tax)'!K4/1000</f>
        <v>0.91678459999999973</v>
      </c>
      <c r="L15" s="3">
        <f>'EU petrol prices nominal'!L4-' EU base prices (less tax)'!L4/1000</f>
        <v>0.93619580000000024</v>
      </c>
      <c r="M15" s="3">
        <f>'EU petrol prices nominal'!M4-' EU base prices (less tax)'!M4/1000</f>
        <v>0.88839400000000002</v>
      </c>
      <c r="N15" s="3">
        <f>'EU petrol prices nominal'!N4-' EU base prices (less tax)'!N4/1000</f>
        <v>1.0023424000000001</v>
      </c>
      <c r="O15" s="3">
        <f>'EU petrol prices nominal'!O4-' EU base prices (less tax)'!O4/1000</f>
        <v>0.64208100000000023</v>
      </c>
      <c r="P15" s="3">
        <f>'EU petrol prices nominal'!P4-' EU base prices (less tax)'!P4/1000</f>
        <v>0.86273760000000066</v>
      </c>
      <c r="Q15" s="3">
        <f>'EU petrol prices nominal'!Q4-' EU base prices (less tax)'!Q4/1000</f>
        <v>1.003876</v>
      </c>
      <c r="R15" s="3">
        <f>'EU petrol prices nominal'!R4-' EU base prices (less tax)'!R4/1000</f>
        <v>1.0495842000000002</v>
      </c>
      <c r="S15" s="3">
        <f>'EU petrol prices nominal'!S4-' EU base prices (less tax)'!S4/1000</f>
        <v>0.67258019999999952</v>
      </c>
      <c r="T15" s="3">
        <f>'EU petrol prices nominal'!T4-' EU base prices (less tax)'!T4/1000</f>
        <v>0.94230380000000025</v>
      </c>
      <c r="U15" s="3">
        <f>'EU petrol prices nominal'!U4-' EU base prices (less tax)'!U4/1000</f>
        <v>0.88501780000000008</v>
      </c>
    </row>
    <row r="16" spans="6:21">
      <c r="F16">
        <v>2018</v>
      </c>
      <c r="G16" s="3">
        <f>'EU petrol prices nominal'!G3-' EU base prices (less tax)'!G3/1000</f>
        <v>0.7294615018315016</v>
      </c>
      <c r="H16" s="3">
        <f>'EU petrol prices nominal'!H3-' EU base prices (less tax)'!H3/1000</f>
        <v>0.88278271062271119</v>
      </c>
      <c r="I16" s="3">
        <f>'EU petrol prices nominal'!I3-' EU base prices (less tax)'!I3/1000</f>
        <v>0.74461529304029317</v>
      </c>
      <c r="J16" s="3">
        <f>'EU petrol prices nominal'!J3-' EU base prices (less tax)'!J3/1000</f>
        <v>0.91478146520146575</v>
      </c>
      <c r="K16" s="3">
        <f>'EU petrol prices nominal'!K3-' EU base prices (less tax)'!K3/1000</f>
        <v>0.96934320512820626</v>
      </c>
      <c r="L16" s="3">
        <f>'EU petrol prices nominal'!L3-' EU base prices (less tax)'!L3/1000</f>
        <v>0.99611252747252699</v>
      </c>
      <c r="M16" s="3">
        <f>'EU petrol prices nominal'!M3-' EU base prices (less tax)'!M3/1000</f>
        <v>0.96018663003662985</v>
      </c>
      <c r="N16" s="3">
        <f>'EU petrol prices nominal'!N3-' EU base prices (less tax)'!N3/1000</f>
        <v>1.0467213186813193</v>
      </c>
      <c r="O16" s="3">
        <f>'EU petrol prices nominal'!O3-' EU base prices (less tax)'!O3/1000</f>
        <v>0.66496363553113547</v>
      </c>
      <c r="P16" s="3">
        <f>'EU petrol prices nominal'!P3-' EU base prices (less tax)'!P3/1000</f>
        <v>0.8958807326007322</v>
      </c>
      <c r="Q16" s="3">
        <f>'EU petrol prices nominal'!Q3-' EU base prices (less tax)'!Q3/1000</f>
        <v>1.0369178205128202</v>
      </c>
      <c r="R16" s="3">
        <f>'EU petrol prices nominal'!R3-' EU base prices (less tax)'!R3/1000</f>
        <v>1.0942446886446895</v>
      </c>
      <c r="S16" s="3">
        <f>'EU petrol prices nominal'!S3-' EU base prices (less tax)'!S3/1000</f>
        <v>0.70789200549450559</v>
      </c>
      <c r="T16" s="3">
        <f>'EU petrol prices nominal'!T3-' EU base prices (less tax)'!T3/1000</f>
        <v>0.95704854395604366</v>
      </c>
      <c r="U16" s="3">
        <f>'EU petrol prices nominal'!U3-' EU base prices (less tax)'!U3/1000</f>
        <v>0.91191541208791249</v>
      </c>
    </row>
    <row r="25" spans="10:10" ht="18.75">
      <c r="J25" s="115" t="s">
        <v>1896</v>
      </c>
    </row>
    <row r="28" spans="10:10">
      <c r="J28" t="s">
        <v>1897</v>
      </c>
    </row>
  </sheetData>
  <sortState ref="F3:U16">
    <sortCondition ref="F3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P176"/>
  <sheetViews>
    <sheetView zoomScale="75" zoomScaleNormal="75" workbookViewId="0">
      <pane xSplit="1" ySplit="4" topLeftCell="AM48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F97"/>
    </sheetView>
  </sheetViews>
  <sheetFormatPr defaultRowHeight="15"/>
  <cols>
    <col min="1" max="1" width="6.7109375" customWidth="1"/>
    <col min="2" max="7" width="10.28515625" customWidth="1"/>
    <col min="10" max="10" width="9.140625" style="12"/>
    <col min="15" max="15" width="9.85546875" customWidth="1"/>
    <col min="16" max="16" width="8.28515625" customWidth="1"/>
    <col min="17" max="17" width="9.5703125" style="23" customWidth="1"/>
    <col min="18" max="18" width="10.7109375" style="12" customWidth="1"/>
    <col min="19" max="19" width="10.42578125" style="12" customWidth="1"/>
    <col min="20" max="20" width="8.5703125" style="23" customWidth="1"/>
    <col min="25" max="25" width="8" style="23" customWidth="1"/>
    <col min="39" max="39" width="9.140625" style="3"/>
    <col min="40" max="40" width="6.140625" style="3" customWidth="1"/>
    <col min="41" max="41" width="7.42578125" style="3" customWidth="1"/>
    <col min="42" max="42" width="7.5703125" style="3" customWidth="1"/>
    <col min="43" max="44" width="7.42578125" style="3" customWidth="1"/>
    <col min="45" max="45" width="7.5703125" style="3" customWidth="1"/>
    <col min="46" max="46" width="2.85546875" style="3" customWidth="1"/>
    <col min="47" max="47" width="9.140625" style="3"/>
    <col min="48" max="48" width="2.7109375" style="3" customWidth="1"/>
    <col min="49" max="49" width="7.7109375" style="3" customWidth="1"/>
    <col min="50" max="50" width="9.85546875" style="3" customWidth="1"/>
    <col min="51" max="52" width="7.7109375" style="3" customWidth="1"/>
    <col min="53" max="53" width="9.5703125" style="3" customWidth="1"/>
    <col min="54" max="54" width="9.7109375" style="3" customWidth="1"/>
    <col min="55" max="55" width="5.7109375" style="3" customWidth="1"/>
    <col min="56" max="56" width="5.85546875" style="3" customWidth="1"/>
    <col min="57" max="58" width="5.7109375" style="3" customWidth="1"/>
    <col min="59" max="59" width="9.140625" style="3"/>
  </cols>
  <sheetData>
    <row r="1" spans="1:61">
      <c r="A1" t="s">
        <v>48</v>
      </c>
      <c r="B1" s="23"/>
      <c r="C1" s="23"/>
      <c r="G1" s="8" t="s">
        <v>49</v>
      </c>
      <c r="I1" t="s">
        <v>1846</v>
      </c>
      <c r="K1" t="s">
        <v>1846</v>
      </c>
      <c r="L1" t="s">
        <v>1846</v>
      </c>
      <c r="Q1"/>
      <c r="R1" s="23"/>
      <c r="T1" s="12"/>
      <c r="U1" s="23"/>
      <c r="V1" t="s">
        <v>2101</v>
      </c>
      <c r="Y1"/>
      <c r="Z1" s="23"/>
      <c r="AA1" t="s">
        <v>61</v>
      </c>
      <c r="AB1" t="s">
        <v>61</v>
      </c>
      <c r="AC1" t="s">
        <v>61</v>
      </c>
      <c r="AD1" t="s">
        <v>61</v>
      </c>
      <c r="AE1" t="s">
        <v>61</v>
      </c>
      <c r="AM1"/>
      <c r="AN1" s="3" t="s">
        <v>219</v>
      </c>
      <c r="AO1" s="3" t="s">
        <v>1703</v>
      </c>
      <c r="BH1" s="3"/>
      <c r="BI1" s="3"/>
    </row>
    <row r="2" spans="1:61">
      <c r="D2" t="s">
        <v>45</v>
      </c>
      <c r="F2" t="s">
        <v>46</v>
      </c>
      <c r="H2" t="s">
        <v>104</v>
      </c>
      <c r="I2" s="26" t="s">
        <v>104</v>
      </c>
      <c r="J2" s="26" t="s">
        <v>104</v>
      </c>
      <c r="K2" s="12"/>
      <c r="L2" t="s">
        <v>104</v>
      </c>
      <c r="O2" t="s">
        <v>48</v>
      </c>
      <c r="Q2" t="s">
        <v>48</v>
      </c>
      <c r="R2" s="23"/>
      <c r="T2" s="12" t="s">
        <v>142</v>
      </c>
      <c r="U2" s="23"/>
      <c r="V2" t="s">
        <v>107</v>
      </c>
      <c r="Y2"/>
      <c r="Z2" s="23"/>
      <c r="AA2" t="s">
        <v>108</v>
      </c>
      <c r="AB2" t="s">
        <v>107</v>
      </c>
      <c r="AC2" t="s">
        <v>107</v>
      </c>
      <c r="AD2" s="26" t="s">
        <v>107</v>
      </c>
      <c r="AE2" t="s">
        <v>113</v>
      </c>
      <c r="AM2"/>
      <c r="BH2" s="3"/>
      <c r="BI2" s="3"/>
    </row>
    <row r="3" spans="1:61">
      <c r="B3" t="s">
        <v>182</v>
      </c>
      <c r="C3" t="s">
        <v>218</v>
      </c>
      <c r="D3" t="s">
        <v>48</v>
      </c>
      <c r="F3" t="s">
        <v>48</v>
      </c>
      <c r="H3" t="s">
        <v>48</v>
      </c>
      <c r="I3" s="26" t="s">
        <v>48</v>
      </c>
      <c r="J3" s="26" t="s">
        <v>48</v>
      </c>
      <c r="K3" s="12"/>
      <c r="L3" t="s">
        <v>48</v>
      </c>
      <c r="M3" t="s">
        <v>25</v>
      </c>
      <c r="N3" t="s">
        <v>105</v>
      </c>
      <c r="O3" t="s">
        <v>5</v>
      </c>
      <c r="P3" t="s">
        <v>105</v>
      </c>
      <c r="Q3" t="s">
        <v>5</v>
      </c>
      <c r="R3" s="23"/>
      <c r="S3" s="12" t="s">
        <v>106</v>
      </c>
      <c r="T3" s="12" t="s">
        <v>106</v>
      </c>
      <c r="U3" s="23"/>
      <c r="V3" s="3" t="s">
        <v>128</v>
      </c>
      <c r="W3" s="3"/>
      <c r="X3" s="3"/>
      <c r="Y3" s="3"/>
      <c r="Z3" s="23"/>
      <c r="AA3" t="s">
        <v>107</v>
      </c>
      <c r="AB3" t="s">
        <v>61</v>
      </c>
      <c r="AC3" t="s">
        <v>61</v>
      </c>
      <c r="AD3" s="26" t="s">
        <v>61</v>
      </c>
      <c r="AE3" t="s">
        <v>61</v>
      </c>
      <c r="AM3"/>
      <c r="AN3" s="46" t="s">
        <v>2103</v>
      </c>
      <c r="AO3" s="46" t="s">
        <v>2100</v>
      </c>
      <c r="AP3" s="46" t="s">
        <v>2100</v>
      </c>
      <c r="AQ3" s="46" t="s">
        <v>2100</v>
      </c>
      <c r="AR3" s="46" t="s">
        <v>2100</v>
      </c>
      <c r="AS3" s="46" t="s">
        <v>2100</v>
      </c>
      <c r="AU3" s="46"/>
      <c r="AW3" s="46" t="s">
        <v>227</v>
      </c>
      <c r="AX3" s="46" t="s">
        <v>227</v>
      </c>
      <c r="AY3" s="46" t="s">
        <v>227</v>
      </c>
      <c r="AZ3" s="46" t="s">
        <v>227</v>
      </c>
      <c r="BA3" s="46" t="s">
        <v>227</v>
      </c>
      <c r="BB3" s="46" t="s">
        <v>2102</v>
      </c>
      <c r="BC3" s="46" t="s">
        <v>2098</v>
      </c>
      <c r="BD3" s="46" t="s">
        <v>2098</v>
      </c>
      <c r="BE3" s="46" t="s">
        <v>2098</v>
      </c>
      <c r="BF3" s="46" t="s">
        <v>2098</v>
      </c>
      <c r="BH3" s="46" t="s">
        <v>2440</v>
      </c>
      <c r="BI3" s="46" t="s">
        <v>2440</v>
      </c>
    </row>
    <row r="4" spans="1:61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s="29" t="s">
        <v>110</v>
      </c>
      <c r="J4" s="26" t="s">
        <v>135</v>
      </c>
      <c r="K4" s="12" t="s">
        <v>1869</v>
      </c>
      <c r="L4" s="29" t="s">
        <v>8</v>
      </c>
      <c r="M4" t="s">
        <v>9</v>
      </c>
      <c r="N4" t="s">
        <v>216</v>
      </c>
      <c r="O4" t="s">
        <v>216</v>
      </c>
      <c r="P4" s="29" t="s">
        <v>145</v>
      </c>
      <c r="Q4" t="s">
        <v>10</v>
      </c>
      <c r="R4" s="23"/>
      <c r="S4" s="12" t="s">
        <v>101</v>
      </c>
      <c r="T4" s="12" t="s">
        <v>103</v>
      </c>
      <c r="U4" s="23"/>
      <c r="V4" s="3" t="s">
        <v>128</v>
      </c>
      <c r="W4" s="3" t="s">
        <v>143</v>
      </c>
      <c r="X4" s="3" t="s">
        <v>137</v>
      </c>
      <c r="Y4" s="3" t="s">
        <v>144</v>
      </c>
      <c r="Z4" s="23"/>
      <c r="AA4" t="s">
        <v>109</v>
      </c>
      <c r="AB4" t="s">
        <v>111</v>
      </c>
      <c r="AC4" t="s">
        <v>112</v>
      </c>
      <c r="AD4" s="26" t="s">
        <v>87</v>
      </c>
      <c r="AE4" t="s">
        <v>87</v>
      </c>
      <c r="AM4"/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U4" s="46" t="s">
        <v>237</v>
      </c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229</v>
      </c>
      <c r="BC4" s="46">
        <v>6579</v>
      </c>
      <c r="BD4" s="46">
        <v>7374</v>
      </c>
      <c r="BE4" s="46">
        <v>6593</v>
      </c>
      <c r="BF4" s="138" t="s">
        <v>2206</v>
      </c>
      <c r="BH4" s="46" t="s">
        <v>131</v>
      </c>
      <c r="BI4" s="46" t="s">
        <v>2097</v>
      </c>
    </row>
    <row r="5" spans="1:61">
      <c r="A5">
        <v>1926</v>
      </c>
      <c r="K5" s="12"/>
      <c r="Q5"/>
      <c r="R5" s="23"/>
      <c r="T5" s="12"/>
      <c r="U5" s="23"/>
      <c r="Y5"/>
      <c r="Z5" s="23"/>
      <c r="AM5"/>
      <c r="AN5" s="9">
        <v>1926</v>
      </c>
      <c r="BH5" s="3"/>
      <c r="BI5" s="3"/>
    </row>
    <row r="6" spans="1:61">
      <c r="A6">
        <v>1927</v>
      </c>
      <c r="K6" s="12"/>
      <c r="Q6"/>
      <c r="R6" s="23"/>
      <c r="T6" s="12"/>
      <c r="U6" s="23"/>
      <c r="Y6"/>
      <c r="Z6" s="23"/>
      <c r="AM6"/>
      <c r="AN6" s="9">
        <v>1927</v>
      </c>
      <c r="BH6" s="3"/>
      <c r="BI6" s="3"/>
    </row>
    <row r="7" spans="1:61">
      <c r="A7">
        <v>1928</v>
      </c>
      <c r="K7" s="12"/>
      <c r="Q7"/>
      <c r="R7" s="23"/>
      <c r="T7" s="12"/>
      <c r="U7" s="23"/>
      <c r="Y7"/>
      <c r="Z7" s="23"/>
      <c r="AM7"/>
      <c r="AN7" s="9">
        <v>1928</v>
      </c>
      <c r="BH7" s="3"/>
      <c r="BI7" s="3"/>
    </row>
    <row r="8" spans="1:61">
      <c r="A8">
        <v>1929</v>
      </c>
      <c r="K8" s="12"/>
      <c r="Q8"/>
      <c r="R8" s="23"/>
      <c r="T8" s="12"/>
      <c r="U8" s="23"/>
      <c r="Y8"/>
      <c r="Z8" s="23"/>
      <c r="AM8"/>
      <c r="AN8" s="9">
        <v>1929</v>
      </c>
      <c r="BH8" s="3"/>
      <c r="BI8" s="3"/>
    </row>
    <row r="9" spans="1:61">
      <c r="A9">
        <v>1930</v>
      </c>
      <c r="K9" s="12"/>
      <c r="Q9"/>
      <c r="R9" s="23"/>
      <c r="T9" s="12"/>
      <c r="U9" s="23"/>
      <c r="Y9"/>
      <c r="Z9" s="23"/>
      <c r="AM9"/>
      <c r="AN9" s="9">
        <v>1930</v>
      </c>
      <c r="BH9" s="3"/>
      <c r="BI9" s="3"/>
    </row>
    <row r="10" spans="1:61">
      <c r="A10">
        <v>1931</v>
      </c>
      <c r="K10" s="12"/>
      <c r="Q10"/>
      <c r="R10" s="23"/>
      <c r="T10" s="12"/>
      <c r="U10" s="23"/>
      <c r="Y10"/>
      <c r="Z10" s="23"/>
      <c r="AM10"/>
      <c r="AN10" s="9">
        <v>1931</v>
      </c>
      <c r="BH10" s="3"/>
      <c r="BI10" s="3"/>
    </row>
    <row r="11" spans="1:61">
      <c r="A11">
        <v>1932</v>
      </c>
      <c r="K11" s="12"/>
      <c r="Q11"/>
      <c r="R11" s="23"/>
      <c r="T11" s="12"/>
      <c r="U11" s="23"/>
      <c r="Y11"/>
      <c r="Z11" s="23"/>
      <c r="AM11"/>
      <c r="AN11" s="9">
        <v>1932</v>
      </c>
      <c r="BH11" s="3"/>
      <c r="BI11" s="3"/>
    </row>
    <row r="12" spans="1:61">
      <c r="A12">
        <v>1933</v>
      </c>
      <c r="K12" s="12"/>
      <c r="Q12"/>
      <c r="R12" s="23"/>
      <c r="T12" s="12"/>
      <c r="U12" s="23"/>
      <c r="Y12"/>
      <c r="Z12" s="23"/>
      <c r="AM12"/>
      <c r="AN12" s="9">
        <v>1933</v>
      </c>
      <c r="BH12" s="3"/>
      <c r="BI12" s="3"/>
    </row>
    <row r="13" spans="1:61">
      <c r="A13">
        <v>1934</v>
      </c>
      <c r="K13" s="12"/>
      <c r="Q13"/>
      <c r="R13" s="23"/>
      <c r="T13" s="12"/>
      <c r="U13" s="23"/>
      <c r="Y13"/>
      <c r="Z13" s="23"/>
      <c r="AM13"/>
      <c r="AN13" s="9">
        <v>1934</v>
      </c>
      <c r="BH13" s="3"/>
      <c r="BI13" s="3"/>
    </row>
    <row r="14" spans="1:61">
      <c r="A14">
        <v>1935</v>
      </c>
      <c r="K14" s="12"/>
      <c r="Q14"/>
      <c r="R14" s="23"/>
      <c r="T14" s="12"/>
      <c r="U14" s="23"/>
      <c r="Y14"/>
      <c r="Z14" s="23"/>
      <c r="AM14"/>
      <c r="AN14" s="9">
        <v>1935</v>
      </c>
      <c r="BH14" s="3"/>
      <c r="BI14" s="3"/>
    </row>
    <row r="15" spans="1:61">
      <c r="A15">
        <v>1936</v>
      </c>
      <c r="K15" s="12"/>
      <c r="Q15"/>
      <c r="R15" s="23"/>
      <c r="T15" s="12"/>
      <c r="U15" s="23"/>
      <c r="Y15"/>
      <c r="Z15" s="23"/>
      <c r="AM15"/>
      <c r="AN15" s="9">
        <v>1936</v>
      </c>
      <c r="BH15" s="3"/>
      <c r="BI15" s="3"/>
    </row>
    <row r="16" spans="1:61">
      <c r="A16">
        <v>1937</v>
      </c>
      <c r="K16" s="12"/>
      <c r="Q16"/>
      <c r="R16" s="23"/>
      <c r="T16" s="12"/>
      <c r="U16" s="23"/>
      <c r="Y16"/>
      <c r="Z16" s="23"/>
      <c r="AM16"/>
      <c r="AN16" s="9">
        <v>1937</v>
      </c>
      <c r="BH16" s="3"/>
      <c r="BI16" s="3"/>
    </row>
    <row r="17" spans="1:61">
      <c r="A17">
        <v>1938</v>
      </c>
      <c r="K17" s="12"/>
      <c r="Q17"/>
      <c r="R17" s="23"/>
      <c r="T17" s="12"/>
      <c r="U17" s="23"/>
      <c r="Y17"/>
      <c r="Z17" s="23"/>
      <c r="AM17"/>
      <c r="AN17" s="9">
        <v>1938</v>
      </c>
      <c r="BH17" s="3"/>
      <c r="BI17" s="3"/>
    </row>
    <row r="18" spans="1:61">
      <c r="A18">
        <v>1939</v>
      </c>
      <c r="K18" s="12"/>
      <c r="Q18"/>
      <c r="R18" s="23"/>
      <c r="T18" s="12"/>
      <c r="U18" s="23"/>
      <c r="Y18"/>
      <c r="Z18" s="23"/>
      <c r="AM18"/>
      <c r="AN18" s="9">
        <v>1939</v>
      </c>
      <c r="BH18" s="3"/>
      <c r="BI18" s="3"/>
    </row>
    <row r="19" spans="1:61">
      <c r="A19">
        <v>1940</v>
      </c>
      <c r="K19" s="12"/>
      <c r="Q19"/>
      <c r="R19" s="23"/>
      <c r="T19" s="12"/>
      <c r="U19" s="23"/>
      <c r="Y19"/>
      <c r="Z19" s="23"/>
      <c r="AM19"/>
      <c r="AN19" s="9">
        <v>1940</v>
      </c>
      <c r="BH19" s="3"/>
      <c r="BI19" s="3"/>
    </row>
    <row r="20" spans="1:61">
      <c r="A20">
        <v>1941</v>
      </c>
      <c r="K20" s="12"/>
      <c r="Q20"/>
      <c r="R20" s="23"/>
      <c r="T20" s="12"/>
      <c r="U20" s="23"/>
      <c r="Y20"/>
      <c r="Z20" s="23"/>
      <c r="AM20"/>
      <c r="AN20" s="9">
        <v>1941</v>
      </c>
      <c r="BH20" s="3"/>
      <c r="BI20" s="3"/>
    </row>
    <row r="21" spans="1:61">
      <c r="A21">
        <v>1942</v>
      </c>
      <c r="K21" s="12"/>
      <c r="Q21"/>
      <c r="R21" s="23"/>
      <c r="T21" s="12"/>
      <c r="U21" s="23"/>
      <c r="Y21"/>
      <c r="Z21" s="23"/>
      <c r="AM21"/>
      <c r="AN21" s="9">
        <v>1942</v>
      </c>
      <c r="BH21" s="3"/>
      <c r="BI21" s="3"/>
    </row>
    <row r="22" spans="1:61">
      <c r="A22">
        <v>1943</v>
      </c>
      <c r="K22" s="12"/>
      <c r="Q22"/>
      <c r="R22" s="23"/>
      <c r="T22" s="12"/>
      <c r="U22" s="23"/>
      <c r="Y22"/>
      <c r="Z22" s="23"/>
      <c r="AM22"/>
      <c r="AN22" s="9">
        <v>1943</v>
      </c>
      <c r="BH22" s="3"/>
      <c r="BI22" s="3"/>
    </row>
    <row r="23" spans="1:61">
      <c r="A23">
        <v>1944</v>
      </c>
      <c r="K23" s="12"/>
      <c r="Q23"/>
      <c r="R23" s="23"/>
      <c r="T23" s="12"/>
      <c r="U23" s="23"/>
      <c r="Y23"/>
      <c r="Z23" s="23"/>
      <c r="AM23"/>
      <c r="AN23" s="9">
        <v>1944</v>
      </c>
      <c r="BH23" s="3"/>
      <c r="BI23" s="3"/>
    </row>
    <row r="24" spans="1:61">
      <c r="A24">
        <v>1945</v>
      </c>
      <c r="K24" s="12"/>
      <c r="Q24"/>
      <c r="R24" s="23"/>
      <c r="T24" s="12"/>
      <c r="U24" s="23"/>
      <c r="Y24"/>
      <c r="Z24" s="23"/>
      <c r="AM24"/>
      <c r="AN24" s="9">
        <v>1945</v>
      </c>
      <c r="BH24" s="3"/>
      <c r="BI24" s="3"/>
    </row>
    <row r="25" spans="1:61">
      <c r="A25">
        <v>1946</v>
      </c>
      <c r="K25" s="12"/>
      <c r="Q25"/>
      <c r="R25" s="23"/>
      <c r="T25" s="12"/>
      <c r="U25" s="23"/>
      <c r="Y25"/>
      <c r="Z25" s="23"/>
      <c r="AM25"/>
      <c r="AN25" s="9">
        <v>1946</v>
      </c>
      <c r="BH25" s="3"/>
      <c r="BI25" s="3"/>
    </row>
    <row r="26" spans="1:61">
      <c r="A26">
        <v>1947</v>
      </c>
      <c r="K26" s="12"/>
      <c r="Q26"/>
      <c r="R26" s="23"/>
      <c r="T26" s="12"/>
      <c r="U26" s="23"/>
      <c r="Y26"/>
      <c r="Z26" s="23"/>
      <c r="AM26"/>
      <c r="AN26" s="9">
        <v>1947</v>
      </c>
      <c r="BH26" s="3"/>
      <c r="BI26" s="3"/>
    </row>
    <row r="27" spans="1:61">
      <c r="A27">
        <v>1948</v>
      </c>
      <c r="K27" s="12"/>
      <c r="Q27"/>
      <c r="R27" s="23"/>
      <c r="T27" s="12"/>
      <c r="U27" s="23"/>
      <c r="Y27"/>
      <c r="Z27" s="23"/>
      <c r="AM27"/>
      <c r="AN27" s="9">
        <v>1948</v>
      </c>
      <c r="BH27" s="3"/>
      <c r="BI27" s="3"/>
    </row>
    <row r="28" spans="1:61">
      <c r="A28">
        <v>1949</v>
      </c>
      <c r="K28" s="12"/>
      <c r="Q28"/>
      <c r="R28" s="23"/>
      <c r="T28" s="12"/>
      <c r="U28" s="23"/>
      <c r="Y28"/>
      <c r="Z28" s="23"/>
      <c r="AM28"/>
      <c r="AN28" s="9">
        <v>1949</v>
      </c>
      <c r="BH28" s="3"/>
      <c r="BI28" s="3"/>
    </row>
    <row r="29" spans="1:61">
      <c r="A29">
        <v>1950</v>
      </c>
      <c r="K29" s="12"/>
      <c r="Q29"/>
      <c r="R29" s="23"/>
      <c r="T29" s="12"/>
      <c r="U29" s="23"/>
      <c r="Y29"/>
      <c r="Z29" s="23"/>
      <c r="AM29"/>
      <c r="AN29" s="9">
        <v>1950</v>
      </c>
      <c r="BH29" s="3"/>
      <c r="BI29" s="3"/>
    </row>
    <row r="30" spans="1:61">
      <c r="A30">
        <v>1951</v>
      </c>
      <c r="K30" s="12"/>
      <c r="Q30"/>
      <c r="R30" s="23"/>
      <c r="T30" s="12"/>
      <c r="U30" s="23"/>
      <c r="Y30"/>
      <c r="Z30" s="23"/>
      <c r="AM30"/>
      <c r="AN30" s="9">
        <v>1951</v>
      </c>
      <c r="BH30" s="3"/>
      <c r="BI30" s="3"/>
    </row>
    <row r="31" spans="1:61">
      <c r="A31">
        <v>1952</v>
      </c>
      <c r="K31" s="12"/>
      <c r="Q31"/>
      <c r="R31" s="23"/>
      <c r="T31" s="12"/>
      <c r="U31" s="23"/>
      <c r="Y31"/>
      <c r="Z31" s="23"/>
      <c r="AM31"/>
      <c r="AN31" s="9">
        <v>1952</v>
      </c>
      <c r="BH31" s="3"/>
      <c r="BI31" s="3"/>
    </row>
    <row r="32" spans="1:61">
      <c r="A32">
        <v>1953</v>
      </c>
      <c r="K32" s="12"/>
      <c r="Q32"/>
      <c r="R32" s="23"/>
      <c r="T32" s="12"/>
      <c r="U32" s="23"/>
      <c r="Y32"/>
      <c r="Z32" s="23"/>
      <c r="AM32"/>
      <c r="AN32" s="9">
        <v>1953</v>
      </c>
      <c r="BH32" s="3"/>
      <c r="BI32" s="3"/>
    </row>
    <row r="33" spans="1:61">
      <c r="A33">
        <v>1954</v>
      </c>
      <c r="K33" s="12"/>
      <c r="Q33"/>
      <c r="R33" s="23"/>
      <c r="T33" s="12"/>
      <c r="U33" s="23"/>
      <c r="Y33"/>
      <c r="Z33" s="23"/>
      <c r="AM33"/>
      <c r="AN33" s="9">
        <v>1954</v>
      </c>
      <c r="BH33" s="3"/>
      <c r="BI33" s="3"/>
    </row>
    <row r="34" spans="1:61">
      <c r="A34">
        <v>1955</v>
      </c>
      <c r="K34" s="12"/>
      <c r="Q34"/>
      <c r="R34" s="23"/>
      <c r="T34" s="12"/>
      <c r="U34" s="23"/>
      <c r="Y34"/>
      <c r="Z34" s="23"/>
      <c r="AM34"/>
      <c r="AN34" s="9">
        <v>1955</v>
      </c>
      <c r="BH34" s="3"/>
      <c r="BI34" s="3"/>
    </row>
    <row r="35" spans="1:61">
      <c r="A35">
        <v>1956</v>
      </c>
      <c r="K35" s="12"/>
      <c r="Q35"/>
      <c r="R35" s="23"/>
      <c r="T35" s="12"/>
      <c r="U35" s="23"/>
      <c r="Y35"/>
      <c r="Z35" s="23"/>
      <c r="AM35"/>
      <c r="AN35" s="9">
        <v>1956</v>
      </c>
      <c r="BH35" s="3"/>
      <c r="BI35" s="3"/>
    </row>
    <row r="36" spans="1:61">
      <c r="A36">
        <v>1957</v>
      </c>
      <c r="K36" s="12"/>
      <c r="Q36"/>
      <c r="R36" s="23"/>
      <c r="T36" s="12"/>
      <c r="U36" s="23"/>
      <c r="Y36"/>
      <c r="Z36" s="23"/>
      <c r="AM36"/>
      <c r="AN36" s="9">
        <v>1957</v>
      </c>
      <c r="BH36" s="3"/>
      <c r="BI36" s="3"/>
    </row>
    <row r="37" spans="1:61">
      <c r="A37">
        <v>1958</v>
      </c>
      <c r="K37" s="12"/>
      <c r="Q37"/>
      <c r="R37" s="23"/>
      <c r="T37" s="12"/>
      <c r="U37" s="23"/>
      <c r="Y37"/>
      <c r="Z37" s="23"/>
      <c r="AM37"/>
      <c r="AN37" s="9">
        <v>1958</v>
      </c>
      <c r="BH37" s="3"/>
      <c r="BI37" s="3"/>
    </row>
    <row r="38" spans="1:61">
      <c r="A38">
        <v>1959</v>
      </c>
      <c r="K38" s="12"/>
      <c r="Q38"/>
      <c r="R38" s="23"/>
      <c r="T38" s="12"/>
      <c r="U38" s="23"/>
      <c r="Y38"/>
      <c r="Z38" s="23"/>
      <c r="AM38"/>
      <c r="AN38" s="9">
        <v>1959</v>
      </c>
      <c r="BH38" s="3"/>
      <c r="BI38" s="3"/>
    </row>
    <row r="39" spans="1:61">
      <c r="A39">
        <v>1960</v>
      </c>
      <c r="K39" s="12"/>
      <c r="Q39"/>
      <c r="R39" s="23"/>
      <c r="T39" s="12"/>
      <c r="U39" s="23"/>
      <c r="Y39"/>
      <c r="Z39" s="23"/>
      <c r="AM39"/>
      <c r="AN39" s="9">
        <v>1960</v>
      </c>
      <c r="BH39" s="3"/>
      <c r="BI39" s="3"/>
    </row>
    <row r="40" spans="1:61">
      <c r="A40">
        <v>1961</v>
      </c>
      <c r="K40" s="12"/>
      <c r="Q40"/>
      <c r="R40" s="23"/>
      <c r="T40" s="12"/>
      <c r="U40" s="23"/>
      <c r="Y40"/>
      <c r="Z40" s="23"/>
      <c r="AM40"/>
      <c r="AN40" s="9">
        <v>1961</v>
      </c>
      <c r="BH40" s="3"/>
      <c r="BI40" s="3"/>
    </row>
    <row r="41" spans="1:61">
      <c r="A41">
        <v>1962</v>
      </c>
      <c r="K41" s="12"/>
      <c r="Q41"/>
      <c r="R41" s="23"/>
      <c r="T41" s="12"/>
      <c r="U41" s="23"/>
      <c r="Y41"/>
      <c r="Z41" s="23"/>
      <c r="AM41"/>
      <c r="AN41" s="9">
        <v>1962</v>
      </c>
      <c r="BH41" s="3"/>
      <c r="BI41" s="3"/>
    </row>
    <row r="42" spans="1:61">
      <c r="A42">
        <v>1963</v>
      </c>
      <c r="K42" s="12"/>
      <c r="Q42"/>
      <c r="R42" s="23"/>
      <c r="T42" s="12"/>
      <c r="U42" s="23"/>
      <c r="Y42"/>
      <c r="Z42" s="23"/>
      <c r="AM42"/>
      <c r="AN42" s="46" t="s">
        <v>2103</v>
      </c>
      <c r="AO42" s="46" t="s">
        <v>2100</v>
      </c>
      <c r="AP42" s="46" t="s">
        <v>2100</v>
      </c>
      <c r="AQ42" s="46" t="s">
        <v>2100</v>
      </c>
      <c r="AR42" s="46" t="s">
        <v>2100</v>
      </c>
      <c r="AS42" s="46" t="s">
        <v>2100</v>
      </c>
      <c r="AU42" s="46"/>
      <c r="AW42" s="46" t="s">
        <v>227</v>
      </c>
      <c r="AX42" s="46" t="s">
        <v>227</v>
      </c>
      <c r="AY42" s="46" t="s">
        <v>227</v>
      </c>
      <c r="AZ42" s="46" t="s">
        <v>227</v>
      </c>
      <c r="BA42" s="46" t="s">
        <v>227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F42" s="46" t="s">
        <v>2098</v>
      </c>
      <c r="BH42" s="46" t="s">
        <v>2440</v>
      </c>
      <c r="BI42" s="46" t="s">
        <v>2440</v>
      </c>
    </row>
    <row r="43" spans="1:61">
      <c r="A43">
        <v>1964</v>
      </c>
      <c r="K43" s="12"/>
      <c r="Q43"/>
      <c r="R43" s="23"/>
      <c r="T43" s="12"/>
      <c r="U43" s="23"/>
      <c r="Y43"/>
      <c r="Z43" s="23"/>
      <c r="AM43"/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U43" s="139" t="s">
        <v>237</v>
      </c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6579</v>
      </c>
      <c r="BD43" s="46">
        <v>7374</v>
      </c>
      <c r="BE43" s="46">
        <v>6593</v>
      </c>
      <c r="BF43" s="138" t="s">
        <v>2206</v>
      </c>
      <c r="BH43" s="46" t="s">
        <v>131</v>
      </c>
      <c r="BI43" s="46" t="s">
        <v>2097</v>
      </c>
    </row>
    <row r="44" spans="1:61">
      <c r="A44">
        <v>1965</v>
      </c>
      <c r="B44" s="3">
        <f>I44/G44*100/C44</f>
        <v>82.900800859407525</v>
      </c>
      <c r="C44" s="3">
        <f t="shared" ref="C44:C87" si="0">E44/E$89*100</f>
        <v>14.459024846529534</v>
      </c>
      <c r="D44" s="1">
        <v>59.924500000000002</v>
      </c>
      <c r="E44" s="3">
        <v>20.692699999999999</v>
      </c>
      <c r="F44" s="3">
        <f>D44*E44/100</f>
        <v>12.3999970115</v>
      </c>
      <c r="G44">
        <v>1.8894936883643529</v>
      </c>
      <c r="H44" s="3">
        <f>F44*G44</f>
        <v>23.429716088966089</v>
      </c>
      <c r="I44" s="4">
        <f t="shared" ref="I44:I75" si="1">H44*L$75/H$75</f>
        <v>22.648694596053598</v>
      </c>
      <c r="J44" s="21">
        <f t="shared" ref="J44:J89" si="2">T44+AD44</f>
        <v>23.92031233578458</v>
      </c>
      <c r="K44" s="12"/>
      <c r="Q44"/>
      <c r="R44" s="23"/>
      <c r="S44" s="21">
        <f t="shared" ref="S44:S89" si="3">I44-AD44</f>
        <v>9.195370005997761</v>
      </c>
      <c r="T44" s="21">
        <f t="shared" ref="T44:T89" si="4">T$100+T$101*V44+T$102*W44+T$103*X44+T$104*Y44</f>
        <v>10.466987745728742</v>
      </c>
      <c r="U44" s="27"/>
      <c r="V44">
        <f>USA!Z52*Austria!G44</f>
        <v>6.2353291716023644</v>
      </c>
      <c r="W44">
        <v>0</v>
      </c>
      <c r="X44">
        <v>0</v>
      </c>
      <c r="Y44">
        <v>0</v>
      </c>
      <c r="Z44" s="23"/>
      <c r="AA44" s="3">
        <f>'[1]Real petrol price'!GW19/100</f>
        <v>0.59399999999999997</v>
      </c>
      <c r="AB44" s="3">
        <f t="shared" ref="AB44:AB72" si="5">I44*AA44</f>
        <v>13.453324590055837</v>
      </c>
      <c r="AC44" s="4">
        <v>0</v>
      </c>
      <c r="AD44" s="3">
        <f>AB44+AC44</f>
        <v>13.453324590055837</v>
      </c>
      <c r="AF44" s="4"/>
      <c r="AM44"/>
      <c r="AN44" s="9">
        <v>1965</v>
      </c>
      <c r="AO44" s="3">
        <f t="shared" ref="AO44:AO96" si="6">I44/100</f>
        <v>0.22648694596053598</v>
      </c>
      <c r="AP44" s="3">
        <f t="shared" ref="AP44:AP96" si="7">AB44/100</f>
        <v>0.13453324590055837</v>
      </c>
      <c r="AQ44" s="3">
        <f t="shared" ref="AQ44:AQ96" si="8">AC44/100</f>
        <v>0</v>
      </c>
      <c r="AR44" s="3">
        <f t="shared" ref="AR44:AR96" si="9">AD44/100</f>
        <v>0.13453324590055837</v>
      </c>
      <c r="AS44" s="3">
        <f t="shared" ref="AS44:AS96" si="10">AO44-AR44</f>
        <v>9.1953700059977606E-2</v>
      </c>
      <c r="AU44" s="3">
        <v>21.564862052796013</v>
      </c>
      <c r="AW44" s="3">
        <f t="shared" ref="AW44:AW75" si="11">AO44/$AU44*100</f>
        <v>1.0502591920413913</v>
      </c>
      <c r="AX44" s="3">
        <f>BA44+AY44</f>
        <v>1.0229517049286749</v>
      </c>
      <c r="AY44" s="3">
        <f t="shared" ref="AY44:AY75" si="12">AR44/$AU44*100</f>
        <v>0.62385396007258642</v>
      </c>
      <c r="AZ44" s="3">
        <f t="shared" ref="AZ44:AZ51" si="13">AW44-AY44</f>
        <v>0.42640523196880487</v>
      </c>
      <c r="BA44" s="3">
        <f t="shared" ref="BA44:BA75" si="14">AX$99+AX$100*BB44+AX$101*BC44+AX$102*BD44+AX$103*BE44+AX$104*BF44</f>
        <v>0.39909774485608857</v>
      </c>
      <c r="BB44" s="3">
        <f t="shared" ref="BB44:BB75" si="15">V44/AU44*100</f>
        <v>28.914301219904704</v>
      </c>
      <c r="BC44" s="45">
        <v>1</v>
      </c>
      <c r="BD44" s="9">
        <v>0</v>
      </c>
      <c r="BE44" s="45">
        <v>1</v>
      </c>
      <c r="BF44" s="9">
        <v>0</v>
      </c>
      <c r="BH44" s="3">
        <f t="shared" ref="BH44:BH96" si="16">AW44*$AU$97/$AU$89</f>
        <v>1.2199138382504164</v>
      </c>
      <c r="BI44" s="3">
        <f t="shared" ref="BI44:BI96" si="17">AX44*$AU$97/$AU$89</f>
        <v>1.1881952094880273</v>
      </c>
    </row>
    <row r="45" spans="1:61">
      <c r="A45">
        <v>1966</v>
      </c>
      <c r="B45" s="3">
        <f t="shared" ref="B45:B96" si="18">I45/G45*100/C45</f>
        <v>83.089776143262938</v>
      </c>
      <c r="C45" s="3">
        <f t="shared" si="0"/>
        <v>14.891495218110531</v>
      </c>
      <c r="D45" s="1">
        <v>60.061100000000003</v>
      </c>
      <c r="E45" s="3">
        <v>21.311620000000001</v>
      </c>
      <c r="F45" s="3">
        <f t="shared" ref="F45:F78" si="19">D45*E45/100</f>
        <v>12.79999339982</v>
      </c>
      <c r="G45">
        <v>1.8894936883643529</v>
      </c>
      <c r="H45" s="3">
        <f t="shared" ref="H45:H78" si="20">F45*G45</f>
        <v>24.185506740065264</v>
      </c>
      <c r="I45" s="4">
        <f t="shared" si="1"/>
        <v>23.379291226857806</v>
      </c>
      <c r="J45" s="21">
        <f t="shared" si="2"/>
        <v>24.634838229204572</v>
      </c>
      <c r="K45" s="12"/>
      <c r="Q45"/>
      <c r="R45" s="23"/>
      <c r="S45" s="21">
        <f t="shared" si="3"/>
        <v>9.211440743381976</v>
      </c>
      <c r="T45" s="21">
        <f t="shared" si="4"/>
        <v>10.466987745728742</v>
      </c>
      <c r="U45" s="27"/>
      <c r="V45">
        <f>USA!Z53*Austria!G45</f>
        <v>6.2353291716023644</v>
      </c>
      <c r="W45">
        <v>0</v>
      </c>
      <c r="X45">
        <v>0</v>
      </c>
      <c r="Y45">
        <v>0</v>
      </c>
      <c r="Z45" s="23"/>
      <c r="AA45" s="3">
        <f>'[1]Real petrol price'!GW20/100</f>
        <v>0.60599999999999998</v>
      </c>
      <c r="AB45" s="3">
        <f t="shared" si="5"/>
        <v>14.16785048347583</v>
      </c>
      <c r="AC45" s="4">
        <v>0</v>
      </c>
      <c r="AD45" s="3">
        <f t="shared" ref="AD45:AD74" si="21">AB45+AC45</f>
        <v>14.16785048347583</v>
      </c>
      <c r="AF45" s="4"/>
      <c r="AM45"/>
      <c r="AN45" s="9">
        <v>1966</v>
      </c>
      <c r="AO45" s="3">
        <f t="shared" si="6"/>
        <v>0.23379291226857807</v>
      </c>
      <c r="AP45" s="3">
        <f t="shared" si="7"/>
        <v>0.1416785048347583</v>
      </c>
      <c r="AQ45" s="3">
        <f t="shared" si="8"/>
        <v>0</v>
      </c>
      <c r="AR45" s="3">
        <f t="shared" si="9"/>
        <v>0.1416785048347583</v>
      </c>
      <c r="AS45" s="3">
        <f t="shared" si="10"/>
        <v>9.2114407433819767E-2</v>
      </c>
      <c r="AU45" s="3">
        <v>22.007981366877896</v>
      </c>
      <c r="AW45" s="3">
        <f t="shared" si="11"/>
        <v>1.0623096610779459</v>
      </c>
      <c r="AX45" s="3">
        <f t="shared" ref="AX45:AX97" si="22">BA45+AY45</f>
        <v>1.0395897467859911</v>
      </c>
      <c r="AY45" s="3">
        <f t="shared" si="12"/>
        <v>0.64375965461323525</v>
      </c>
      <c r="AZ45" s="3">
        <f t="shared" si="13"/>
        <v>0.41855000646471063</v>
      </c>
      <c r="BA45" s="3">
        <f t="shared" si="14"/>
        <v>0.39583009217275578</v>
      </c>
      <c r="BB45" s="3">
        <f t="shared" si="15"/>
        <v>28.332126730107838</v>
      </c>
      <c r="BC45" s="45">
        <v>1</v>
      </c>
      <c r="BD45" s="9">
        <v>0</v>
      </c>
      <c r="BE45" s="45">
        <v>1</v>
      </c>
      <c r="BF45" s="9">
        <v>0</v>
      </c>
      <c r="BH45" s="3">
        <f t="shared" si="16"/>
        <v>1.2339108915935322</v>
      </c>
      <c r="BI45" s="3">
        <f t="shared" si="17"/>
        <v>1.2075208937162019</v>
      </c>
    </row>
    <row r="46" spans="1:61">
      <c r="A46">
        <v>1967</v>
      </c>
      <c r="B46" s="3">
        <f t="shared" si="18"/>
        <v>83.372270674472901</v>
      </c>
      <c r="C46" s="3">
        <f t="shared" si="0"/>
        <v>15.30482682623647</v>
      </c>
      <c r="D46" s="1">
        <v>60.265300000000003</v>
      </c>
      <c r="E46" s="3">
        <v>21.90315</v>
      </c>
      <c r="F46" s="3">
        <f t="shared" si="19"/>
        <v>13.19999905695</v>
      </c>
      <c r="G46">
        <v>1.8894936883643529</v>
      </c>
      <c r="H46" s="3">
        <f t="shared" si="20"/>
        <v>24.941314904522436</v>
      </c>
      <c r="I46" s="4">
        <f t="shared" si="1"/>
        <v>24.109904787218269</v>
      </c>
      <c r="J46" s="21">
        <f t="shared" si="2"/>
        <v>25.366908904229632</v>
      </c>
      <c r="K46" s="12"/>
      <c r="Q46"/>
      <c r="R46" s="23"/>
      <c r="S46" s="21">
        <f t="shared" si="3"/>
        <v>9.2099836287173797</v>
      </c>
      <c r="T46" s="21">
        <f t="shared" si="4"/>
        <v>10.466987745728742</v>
      </c>
      <c r="U46" s="27"/>
      <c r="V46">
        <f>USA!Z54*Austria!G46</f>
        <v>6.2353291716023644</v>
      </c>
      <c r="W46">
        <v>0</v>
      </c>
      <c r="X46">
        <v>0</v>
      </c>
      <c r="Y46">
        <v>0</v>
      </c>
      <c r="Z46" s="23"/>
      <c r="AA46" s="3">
        <f>'[1]Real petrol price'!GW21/100</f>
        <v>0.61799999999999999</v>
      </c>
      <c r="AB46" s="3">
        <f t="shared" si="5"/>
        <v>14.89992115850089</v>
      </c>
      <c r="AC46" s="4">
        <v>0</v>
      </c>
      <c r="AD46" s="3">
        <f t="shared" si="21"/>
        <v>14.89992115850089</v>
      </c>
      <c r="AF46" s="4"/>
      <c r="AM46"/>
      <c r="AN46" s="9">
        <v>1967</v>
      </c>
      <c r="AO46" s="3">
        <f t="shared" si="6"/>
        <v>0.2410990478721827</v>
      </c>
      <c r="AP46" s="3">
        <f t="shared" si="7"/>
        <v>0.14899921158500889</v>
      </c>
      <c r="AQ46" s="3">
        <f t="shared" si="8"/>
        <v>0</v>
      </c>
      <c r="AR46" s="3">
        <f t="shared" si="9"/>
        <v>0.14899921158500889</v>
      </c>
      <c r="AS46" s="3">
        <f t="shared" si="10"/>
        <v>9.2099836287173803E-2</v>
      </c>
      <c r="AU46" s="3">
        <v>22.88272577979297</v>
      </c>
      <c r="AW46" s="3">
        <f t="shared" si="11"/>
        <v>1.053629057099001</v>
      </c>
      <c r="AX46" s="3">
        <f t="shared" si="22"/>
        <v>1.0408938050647027</v>
      </c>
      <c r="AY46" s="3">
        <f t="shared" si="12"/>
        <v>0.65114275728718252</v>
      </c>
      <c r="AZ46" s="3">
        <f t="shared" si="13"/>
        <v>0.40248629981181849</v>
      </c>
      <c r="BA46" s="3">
        <f t="shared" si="14"/>
        <v>0.38975104777752023</v>
      </c>
      <c r="BB46" s="3">
        <f t="shared" si="15"/>
        <v>27.249066529952437</v>
      </c>
      <c r="BC46" s="45">
        <v>1</v>
      </c>
      <c r="BD46" s="9">
        <v>0</v>
      </c>
      <c r="BE46" s="45">
        <v>1</v>
      </c>
      <c r="BF46" s="9">
        <v>0</v>
      </c>
      <c r="BH46" s="3">
        <f t="shared" si="16"/>
        <v>1.2238280577573404</v>
      </c>
      <c r="BI46" s="3">
        <f t="shared" si="17"/>
        <v>1.2090356043249166</v>
      </c>
    </row>
    <row r="47" spans="1:61">
      <c r="A47">
        <v>1968</v>
      </c>
      <c r="B47" s="3">
        <f t="shared" si="18"/>
        <v>79.998107297288357</v>
      </c>
      <c r="C47" s="3">
        <f t="shared" si="0"/>
        <v>15.950346083448959</v>
      </c>
      <c r="D47" s="1">
        <v>57.826300000000003</v>
      </c>
      <c r="E47" s="3">
        <v>22.826969999999999</v>
      </c>
      <c r="F47" s="3">
        <f t="shared" si="19"/>
        <v>13.199992153109999</v>
      </c>
      <c r="G47">
        <v>1.8894936883643529</v>
      </c>
      <c r="H47" s="3">
        <f t="shared" si="20"/>
        <v>24.94130185976033</v>
      </c>
      <c r="I47" s="4">
        <f t="shared" si="1"/>
        <v>24.1098921772988</v>
      </c>
      <c r="J47" s="21">
        <f t="shared" si="2"/>
        <v>25.366901111299399</v>
      </c>
      <c r="K47" s="12"/>
      <c r="Q47"/>
      <c r="R47" s="23"/>
      <c r="S47" s="21">
        <f t="shared" si="3"/>
        <v>9.209978811728142</v>
      </c>
      <c r="T47" s="21">
        <f t="shared" si="4"/>
        <v>10.466987745728742</v>
      </c>
      <c r="U47" s="27"/>
      <c r="V47">
        <f>USA!Z55*Austria!G47</f>
        <v>6.2353291716023644</v>
      </c>
      <c r="W47">
        <v>0</v>
      </c>
      <c r="X47">
        <v>0</v>
      </c>
      <c r="Y47">
        <v>0</v>
      </c>
      <c r="Z47" s="23"/>
      <c r="AA47" s="3">
        <f>'[1]Real petrol price'!GW22/100</f>
        <v>0.61799999999999999</v>
      </c>
      <c r="AB47" s="3">
        <f t="shared" si="5"/>
        <v>14.899913365570658</v>
      </c>
      <c r="AC47" s="4">
        <v>0</v>
      </c>
      <c r="AD47" s="3">
        <f t="shared" si="21"/>
        <v>14.899913365570658</v>
      </c>
      <c r="AF47" s="4"/>
      <c r="AM47"/>
      <c r="AN47" s="9">
        <v>1968</v>
      </c>
      <c r="AO47" s="3">
        <f t="shared" si="6"/>
        <v>0.241098921772988</v>
      </c>
      <c r="AP47" s="3">
        <f t="shared" si="7"/>
        <v>0.14899913365570658</v>
      </c>
      <c r="AQ47" s="3">
        <f t="shared" si="8"/>
        <v>0</v>
      </c>
      <c r="AR47" s="3">
        <f t="shared" si="9"/>
        <v>0.14899913365570658</v>
      </c>
      <c r="AS47" s="3">
        <f t="shared" si="10"/>
        <v>9.2099788117281423E-2</v>
      </c>
      <c r="AU47" s="3">
        <v>23.515402484751704</v>
      </c>
      <c r="AW47" s="3">
        <f t="shared" si="11"/>
        <v>1.025280864018066</v>
      </c>
      <c r="AX47" s="3">
        <f t="shared" si="22"/>
        <v>1.0192596792015536</v>
      </c>
      <c r="AY47" s="3">
        <f t="shared" si="12"/>
        <v>0.63362357396316471</v>
      </c>
      <c r="AZ47" s="3">
        <f t="shared" si="13"/>
        <v>0.39165729005490124</v>
      </c>
      <c r="BA47" s="3">
        <f t="shared" si="14"/>
        <v>0.38563610523838876</v>
      </c>
      <c r="BB47" s="3">
        <f t="shared" si="15"/>
        <v>26.515936419313224</v>
      </c>
      <c r="BC47" s="45">
        <v>1</v>
      </c>
      <c r="BD47" s="9">
        <v>0</v>
      </c>
      <c r="BE47" s="45">
        <v>1</v>
      </c>
      <c r="BF47" s="9">
        <v>0</v>
      </c>
      <c r="BH47" s="3">
        <f t="shared" si="16"/>
        <v>1.190900611569881</v>
      </c>
      <c r="BI47" s="3">
        <f t="shared" si="17"/>
        <v>1.1839067887726251</v>
      </c>
    </row>
    <row r="48" spans="1:61">
      <c r="A48">
        <v>1969</v>
      </c>
      <c r="B48" s="3">
        <f t="shared" si="18"/>
        <v>75.888932439046769</v>
      </c>
      <c r="C48" s="3">
        <f t="shared" si="0"/>
        <v>16.814008114047141</v>
      </c>
      <c r="D48" s="1">
        <v>54.856000000000002</v>
      </c>
      <c r="E48" s="3">
        <v>24.06298</v>
      </c>
      <c r="F48" s="3">
        <f t="shared" si="19"/>
        <v>13.1999883088</v>
      </c>
      <c r="G48">
        <v>1.8894936883643529</v>
      </c>
      <c r="H48" s="3">
        <f t="shared" si="20"/>
        <v>24.941294595960848</v>
      </c>
      <c r="I48" s="4">
        <f t="shared" si="1"/>
        <v>24.109885155635567</v>
      </c>
      <c r="J48" s="21">
        <f t="shared" si="2"/>
        <v>25.36689677191152</v>
      </c>
      <c r="K48" s="12"/>
      <c r="Q48"/>
      <c r="R48" s="23"/>
      <c r="S48" s="21">
        <f t="shared" si="3"/>
        <v>9.2099761294527873</v>
      </c>
      <c r="T48" s="21">
        <f t="shared" si="4"/>
        <v>10.466987745728742</v>
      </c>
      <c r="U48" s="27"/>
      <c r="V48">
        <f>USA!Z56*Austria!G48</f>
        <v>6.2353291716023644</v>
      </c>
      <c r="W48">
        <v>0</v>
      </c>
      <c r="X48">
        <v>0</v>
      </c>
      <c r="Y48">
        <v>0</v>
      </c>
      <c r="Z48" s="23"/>
      <c r="AA48" s="3">
        <f>'[1]Real petrol price'!GW23/100</f>
        <v>0.61799999999999999</v>
      </c>
      <c r="AB48" s="3">
        <f t="shared" si="5"/>
        <v>14.89990902618278</v>
      </c>
      <c r="AC48" s="4">
        <v>0</v>
      </c>
      <c r="AD48" s="3">
        <f t="shared" si="21"/>
        <v>14.89990902618278</v>
      </c>
      <c r="AF48" s="4"/>
      <c r="AM48"/>
      <c r="AN48" s="9">
        <v>1969</v>
      </c>
      <c r="AO48" s="3">
        <f t="shared" si="6"/>
        <v>0.24109885155635566</v>
      </c>
      <c r="AP48" s="3">
        <f t="shared" si="7"/>
        <v>0.14899909026182778</v>
      </c>
      <c r="AQ48" s="3">
        <f t="shared" si="8"/>
        <v>0</v>
      </c>
      <c r="AR48" s="3">
        <f t="shared" si="9"/>
        <v>0.14899909026182778</v>
      </c>
      <c r="AS48" s="3">
        <f t="shared" si="10"/>
        <v>9.2099761294527877E-2</v>
      </c>
      <c r="AU48" s="3">
        <v>24.239771413200042</v>
      </c>
      <c r="AW48" s="3">
        <f t="shared" si="11"/>
        <v>0.99464160551061365</v>
      </c>
      <c r="AX48" s="3">
        <f t="shared" si="22"/>
        <v>0.99587706599887893</v>
      </c>
      <c r="AY48" s="3">
        <f t="shared" si="12"/>
        <v>0.6146885122055592</v>
      </c>
      <c r="AZ48" s="3">
        <f t="shared" si="13"/>
        <v>0.37995309330505445</v>
      </c>
      <c r="BA48" s="3">
        <f t="shared" si="14"/>
        <v>0.38118855379331978</v>
      </c>
      <c r="BB48" s="3">
        <f t="shared" si="15"/>
        <v>25.723547740251568</v>
      </c>
      <c r="BC48" s="45">
        <v>1</v>
      </c>
      <c r="BD48" s="9">
        <v>0</v>
      </c>
      <c r="BE48" s="45">
        <v>1</v>
      </c>
      <c r="BF48" s="9">
        <v>0</v>
      </c>
      <c r="BH48" s="3">
        <f t="shared" si="16"/>
        <v>1.1553120104605468</v>
      </c>
      <c r="BI48" s="3">
        <f t="shared" si="17"/>
        <v>1.1567470422676163</v>
      </c>
    </row>
    <row r="49" spans="1:61">
      <c r="A49">
        <v>1970</v>
      </c>
      <c r="B49" s="3">
        <f t="shared" si="18"/>
        <v>70.578394941712517</v>
      </c>
      <c r="C49" s="3">
        <f t="shared" si="0"/>
        <v>17.805240938511318</v>
      </c>
      <c r="D49" s="1">
        <v>51.017299999999999</v>
      </c>
      <c r="E49" s="3">
        <v>25.481560000000002</v>
      </c>
      <c r="F49" s="3">
        <f t="shared" si="19"/>
        <v>13.000003909880002</v>
      </c>
      <c r="G49">
        <v>1.8894936883643529</v>
      </c>
      <c r="H49" s="3">
        <f t="shared" si="20"/>
        <v>24.563425336430175</v>
      </c>
      <c r="I49" s="4">
        <f t="shared" si="1"/>
        <v>23.744612037350642</v>
      </c>
      <c r="J49" s="21">
        <f t="shared" si="2"/>
        <v>25.194829165494411</v>
      </c>
      <c r="K49" s="12"/>
      <c r="Q49"/>
      <c r="R49" s="23"/>
      <c r="S49" s="21">
        <f t="shared" si="3"/>
        <v>9.0704417982679448</v>
      </c>
      <c r="T49" s="21">
        <f t="shared" si="4"/>
        <v>10.520658926411715</v>
      </c>
      <c r="U49" s="27"/>
      <c r="V49">
        <f>USA!Z57*Austria!G49</f>
        <v>6.3298038560205825</v>
      </c>
      <c r="W49">
        <v>0</v>
      </c>
      <c r="X49">
        <v>0</v>
      </c>
      <c r="Y49">
        <v>0</v>
      </c>
      <c r="Z49" s="23"/>
      <c r="AA49" s="3">
        <f>'[1]Real petrol price'!GW24/100</f>
        <v>0.61799999999999999</v>
      </c>
      <c r="AB49" s="3">
        <f t="shared" si="5"/>
        <v>14.674170239082697</v>
      </c>
      <c r="AC49" s="4">
        <v>0</v>
      </c>
      <c r="AD49" s="3">
        <f t="shared" si="21"/>
        <v>14.674170239082697</v>
      </c>
      <c r="AF49" s="4"/>
      <c r="AM49"/>
      <c r="AN49" s="9">
        <v>1970</v>
      </c>
      <c r="AO49" s="3">
        <f t="shared" si="6"/>
        <v>0.23744612037350643</v>
      </c>
      <c r="AP49" s="3">
        <f t="shared" si="7"/>
        <v>0.14674170239082696</v>
      </c>
      <c r="AQ49" s="3">
        <f t="shared" si="8"/>
        <v>0</v>
      </c>
      <c r="AR49" s="3">
        <f t="shared" si="9"/>
        <v>0.14674170239082696</v>
      </c>
      <c r="AS49" s="3">
        <f t="shared" si="10"/>
        <v>9.0704417982679475E-2</v>
      </c>
      <c r="AU49" s="3">
        <v>25.299734439897019</v>
      </c>
      <c r="AW49" s="3">
        <f t="shared" si="11"/>
        <v>0.93853206616690854</v>
      </c>
      <c r="AX49" s="3">
        <f t="shared" si="22"/>
        <v>0.95724826069435565</v>
      </c>
      <c r="AY49" s="3">
        <f t="shared" si="12"/>
        <v>0.58001281689114936</v>
      </c>
      <c r="AZ49" s="3">
        <f t="shared" si="13"/>
        <v>0.35851924927575918</v>
      </c>
      <c r="BA49" s="3">
        <f t="shared" si="14"/>
        <v>0.37723544380320628</v>
      </c>
      <c r="BB49" s="3">
        <f t="shared" si="15"/>
        <v>25.019250186431393</v>
      </c>
      <c r="BC49" s="45">
        <v>1</v>
      </c>
      <c r="BD49" s="9">
        <v>0</v>
      </c>
      <c r="BE49" s="45">
        <v>1</v>
      </c>
      <c r="BF49" s="9">
        <v>0</v>
      </c>
      <c r="BH49" s="3">
        <f t="shared" si="16"/>
        <v>1.0901387617787639</v>
      </c>
      <c r="BI49" s="3">
        <f t="shared" si="17"/>
        <v>1.1118782951020005</v>
      </c>
    </row>
    <row r="50" spans="1:61">
      <c r="A50">
        <v>1971</v>
      </c>
      <c r="B50" s="3">
        <f t="shared" si="18"/>
        <v>67.69728274436747</v>
      </c>
      <c r="C50" s="3">
        <f t="shared" si="0"/>
        <v>18.563021376325832</v>
      </c>
      <c r="D50" s="1">
        <v>48.934699999999999</v>
      </c>
      <c r="E50" s="3">
        <v>26.566040000000001</v>
      </c>
      <c r="F50" s="3">
        <f t="shared" si="19"/>
        <v>13.00001197588</v>
      </c>
      <c r="G50">
        <v>1.8139357426800291</v>
      </c>
      <c r="H50" s="3">
        <f t="shared" si="20"/>
        <v>23.58118637831716</v>
      </c>
      <c r="I50" s="4">
        <f t="shared" si="1"/>
        <v>22.79511567562886</v>
      </c>
      <c r="J50" s="21">
        <f t="shared" si="2"/>
        <v>24.680647943172936</v>
      </c>
      <c r="K50" s="12"/>
      <c r="Q50"/>
      <c r="R50" s="23"/>
      <c r="S50" s="21">
        <f t="shared" si="3"/>
        <v>8.7077341880902246</v>
      </c>
      <c r="T50" s="21">
        <f t="shared" si="4"/>
        <v>10.593266455634302</v>
      </c>
      <c r="U50" s="27"/>
      <c r="V50">
        <f>USA!Z58*Austria!G50</f>
        <v>6.4576112439409039</v>
      </c>
      <c r="W50">
        <v>0</v>
      </c>
      <c r="X50">
        <v>0</v>
      </c>
      <c r="Y50">
        <v>0</v>
      </c>
      <c r="Z50" s="23"/>
      <c r="AA50" s="3">
        <f>'[1]Real petrol price'!GW25/100</f>
        <v>0.61799999999999999</v>
      </c>
      <c r="AB50" s="3">
        <f t="shared" si="5"/>
        <v>14.087381487538636</v>
      </c>
      <c r="AC50" s="4">
        <v>0</v>
      </c>
      <c r="AD50" s="3">
        <f t="shared" si="21"/>
        <v>14.087381487538636</v>
      </c>
      <c r="AF50" s="4"/>
      <c r="AM50"/>
      <c r="AN50" s="9">
        <v>1971</v>
      </c>
      <c r="AO50" s="3">
        <f t="shared" si="6"/>
        <v>0.2279511567562886</v>
      </c>
      <c r="AP50" s="3">
        <f t="shared" si="7"/>
        <v>0.14087381487538636</v>
      </c>
      <c r="AQ50" s="3">
        <f t="shared" si="8"/>
        <v>0</v>
      </c>
      <c r="AR50" s="3">
        <f t="shared" si="9"/>
        <v>0.14087381487538636</v>
      </c>
      <c r="AS50" s="3">
        <f t="shared" si="10"/>
        <v>8.7077341880902243E-2</v>
      </c>
      <c r="AU50" s="3">
        <v>26.489900233254009</v>
      </c>
      <c r="AW50" s="3">
        <f t="shared" si="11"/>
        <v>0.86052100894714145</v>
      </c>
      <c r="AX50" s="3">
        <f t="shared" si="22"/>
        <v>0.90543614461415667</v>
      </c>
      <c r="AY50" s="3">
        <f t="shared" si="12"/>
        <v>0.5318019835293335</v>
      </c>
      <c r="AZ50" s="3">
        <f t="shared" si="13"/>
        <v>0.32871902541780795</v>
      </c>
      <c r="BA50" s="3">
        <f t="shared" si="14"/>
        <v>0.37363416108482317</v>
      </c>
      <c r="BB50" s="3">
        <f t="shared" si="15"/>
        <v>24.377635200884459</v>
      </c>
      <c r="BC50" s="45">
        <v>1</v>
      </c>
      <c r="BD50" s="9">
        <v>0</v>
      </c>
      <c r="BE50" s="45">
        <v>1</v>
      </c>
      <c r="BF50" s="9">
        <v>0</v>
      </c>
      <c r="BH50" s="3">
        <f t="shared" si="16"/>
        <v>0.99952611210134179</v>
      </c>
      <c r="BI50" s="3">
        <f t="shared" si="17"/>
        <v>1.0516966581553937</v>
      </c>
    </row>
    <row r="51" spans="1:61">
      <c r="A51">
        <v>1972</v>
      </c>
      <c r="B51" s="3">
        <f t="shared" si="18"/>
        <v>76.217633225606463</v>
      </c>
      <c r="C51" s="3">
        <f t="shared" si="0"/>
        <v>19.17664269444656</v>
      </c>
      <c r="D51" s="1">
        <v>55.093600000000002</v>
      </c>
      <c r="E51" s="3">
        <v>27.444210000000002</v>
      </c>
      <c r="F51" s="3">
        <f t="shared" si="19"/>
        <v>15.120003280560002</v>
      </c>
      <c r="G51">
        <v>1.6798543636403269</v>
      </c>
      <c r="H51" s="3">
        <f t="shared" si="20"/>
        <v>25.399403489104778</v>
      </c>
      <c r="I51" s="4">
        <f t="shared" si="1"/>
        <v>24.552723147063009</v>
      </c>
      <c r="J51" s="21">
        <f t="shared" si="2"/>
        <v>24.832754259423997</v>
      </c>
      <c r="K51" s="12"/>
      <c r="Q51"/>
      <c r="R51" s="23"/>
      <c r="S51" s="21">
        <f t="shared" si="3"/>
        <v>10.042063767148772</v>
      </c>
      <c r="T51" s="21">
        <f t="shared" si="4"/>
        <v>10.322094879509759</v>
      </c>
      <c r="U51" s="27"/>
      <c r="V51">
        <f>USA!Z59*Austria!G51</f>
        <v>5.9802815345595643</v>
      </c>
      <c r="W51">
        <v>0</v>
      </c>
      <c r="X51">
        <v>0</v>
      </c>
      <c r="Y51">
        <v>0</v>
      </c>
      <c r="Z51" s="23"/>
      <c r="AA51" s="3">
        <f>'[1]Real petrol price'!GW26/100</f>
        <v>0.59099999999999997</v>
      </c>
      <c r="AB51" s="3">
        <f t="shared" si="5"/>
        <v>14.510659379914237</v>
      </c>
      <c r="AC51" s="4">
        <v>0</v>
      </c>
      <c r="AD51" s="3">
        <f t="shared" si="21"/>
        <v>14.510659379914237</v>
      </c>
      <c r="AF51" s="4"/>
      <c r="AM51"/>
      <c r="AN51" s="9">
        <v>1972</v>
      </c>
      <c r="AO51" s="3">
        <f t="shared" si="6"/>
        <v>0.2455272314706301</v>
      </c>
      <c r="AP51" s="3">
        <f t="shared" si="7"/>
        <v>0.14510659379914237</v>
      </c>
      <c r="AQ51" s="3">
        <f t="shared" si="8"/>
        <v>0</v>
      </c>
      <c r="AR51" s="3">
        <f t="shared" si="9"/>
        <v>0.14510659379914237</v>
      </c>
      <c r="AS51" s="3">
        <f t="shared" si="10"/>
        <v>0.10042063767148773</v>
      </c>
      <c r="AU51" s="3">
        <v>28.173370743836632</v>
      </c>
      <c r="AW51" s="3">
        <f t="shared" si="11"/>
        <v>0.87148688633341131</v>
      </c>
      <c r="AX51" s="3">
        <f t="shared" si="22"/>
        <v>0.87099730607906634</v>
      </c>
      <c r="AY51" s="3">
        <f t="shared" si="12"/>
        <v>0.51504874982304605</v>
      </c>
      <c r="AZ51" s="3">
        <f t="shared" si="13"/>
        <v>0.35643813651036527</v>
      </c>
      <c r="BA51" s="3">
        <f t="shared" si="14"/>
        <v>0.35594855625602034</v>
      </c>
      <c r="BB51" s="3">
        <f t="shared" si="15"/>
        <v>21.226716493864494</v>
      </c>
      <c r="BC51" s="45">
        <v>1</v>
      </c>
      <c r="BD51" s="9">
        <v>0</v>
      </c>
      <c r="BE51" s="45">
        <v>1</v>
      </c>
      <c r="BF51" s="9">
        <v>0</v>
      </c>
      <c r="BH51" s="3">
        <f t="shared" si="16"/>
        <v>1.0122633732207289</v>
      </c>
      <c r="BI51" s="3">
        <f t="shared" si="17"/>
        <v>1.0116947081409702</v>
      </c>
    </row>
    <row r="52" spans="1:61">
      <c r="A52">
        <v>1973</v>
      </c>
      <c r="B52" s="3">
        <f t="shared" si="18"/>
        <v>113.89592927958238</v>
      </c>
      <c r="C52" s="3">
        <f t="shared" si="0"/>
        <v>20.369443941469338</v>
      </c>
      <c r="D52" s="1">
        <v>82.3292</v>
      </c>
      <c r="E52" s="3">
        <v>29.151260000000001</v>
      </c>
      <c r="F52" s="3">
        <f t="shared" si="19"/>
        <v>23.999999147920004</v>
      </c>
      <c r="G52">
        <v>1.4229340930066929</v>
      </c>
      <c r="H52" s="3">
        <f t="shared" si="20"/>
        <v>34.150417019706957</v>
      </c>
      <c r="I52" s="4">
        <f t="shared" si="1"/>
        <v>33.012024664330674</v>
      </c>
      <c r="J52" s="21">
        <f t="shared" si="2"/>
        <v>29.877867853287782</v>
      </c>
      <c r="K52" s="12"/>
      <c r="Q52"/>
      <c r="R52" s="23"/>
      <c r="S52" s="21">
        <f t="shared" si="3"/>
        <v>17.179457635317682</v>
      </c>
      <c r="T52" s="21">
        <f t="shared" si="4"/>
        <v>14.045300824274788</v>
      </c>
      <c r="U52" s="27"/>
      <c r="V52">
        <f>USA!Z60*Austria!G52</f>
        <v>5.5067549399359015</v>
      </c>
      <c r="W52">
        <v>0</v>
      </c>
      <c r="X52">
        <v>0</v>
      </c>
      <c r="Y52">
        <v>1</v>
      </c>
      <c r="Z52" s="23"/>
      <c r="AA52" s="3">
        <f>'[1]Real petrol price'!GW27/100</f>
        <v>0.40600000000000003</v>
      </c>
      <c r="AB52" s="3">
        <f t="shared" si="5"/>
        <v>13.402882013718255</v>
      </c>
      <c r="AC52" s="4">
        <f t="shared" ref="AC52:AC59" si="23">0.08*(I52*(1-0.08))</f>
        <v>2.4296850152947376</v>
      </c>
      <c r="AD52" s="3">
        <f t="shared" si="21"/>
        <v>15.832567029012992</v>
      </c>
      <c r="AF52" s="4"/>
      <c r="AM52"/>
      <c r="AN52" s="9">
        <v>1973</v>
      </c>
      <c r="AO52" s="3">
        <f t="shared" si="6"/>
        <v>0.33012024664330675</v>
      </c>
      <c r="AP52" s="3">
        <f t="shared" si="7"/>
        <v>0.13402882013718254</v>
      </c>
      <c r="AQ52" s="3">
        <f t="shared" si="8"/>
        <v>2.4296850152947375E-2</v>
      </c>
      <c r="AR52" s="3">
        <f t="shared" si="9"/>
        <v>0.15832567029012992</v>
      </c>
      <c r="AS52" s="3">
        <f t="shared" si="10"/>
        <v>0.17179457635317683</v>
      </c>
      <c r="AU52" s="3">
        <v>30.29513011498527</v>
      </c>
      <c r="AW52" s="3">
        <f t="shared" si="11"/>
        <v>1.0896809004956713</v>
      </c>
      <c r="AX52" s="3">
        <f t="shared" si="22"/>
        <v>1.0604910021622347</v>
      </c>
      <c r="AY52" s="3">
        <f t="shared" si="12"/>
        <v>0.52261095987772388</v>
      </c>
      <c r="AZ52" s="3">
        <f>AW52-AY52</f>
        <v>0.56706994061794747</v>
      </c>
      <c r="BA52" s="3">
        <f t="shared" si="14"/>
        <v>0.5378800422845107</v>
      </c>
      <c r="BB52" s="3">
        <f t="shared" si="15"/>
        <v>18.17703016635015</v>
      </c>
      <c r="BC52" s="45">
        <v>1</v>
      </c>
      <c r="BD52" s="45">
        <v>1</v>
      </c>
      <c r="BE52" s="45">
        <v>1</v>
      </c>
      <c r="BF52" s="9">
        <v>0</v>
      </c>
      <c r="BH52" s="3">
        <f t="shared" si="16"/>
        <v>1.2657035709518984</v>
      </c>
      <c r="BI52" s="3">
        <f t="shared" si="17"/>
        <v>1.2317984538304108</v>
      </c>
    </row>
    <row r="53" spans="1:61">
      <c r="A53">
        <v>1974</v>
      </c>
      <c r="B53" s="3">
        <f t="shared" si="18"/>
        <v>140.78658647229972</v>
      </c>
      <c r="C53" s="3">
        <f t="shared" si="0"/>
        <v>22.617266903639468</v>
      </c>
      <c r="D53" s="1">
        <v>101.767</v>
      </c>
      <c r="E53" s="3">
        <v>32.368180000000002</v>
      </c>
      <c r="F53" s="3">
        <f t="shared" si="19"/>
        <v>32.940125740600003</v>
      </c>
      <c r="G53">
        <v>1.3584369526827169</v>
      </c>
      <c r="H53" s="3">
        <f t="shared" si="20"/>
        <v>44.747084032046189</v>
      </c>
      <c r="I53" s="4">
        <f t="shared" si="1"/>
        <v>43.255455442033195</v>
      </c>
      <c r="J53" s="21">
        <f t="shared" si="2"/>
        <v>40.793019675194735</v>
      </c>
      <c r="K53" s="12"/>
      <c r="Q53"/>
      <c r="R53" s="23"/>
      <c r="S53" s="21">
        <f t="shared" si="3"/>
        <v>22.856182655570343</v>
      </c>
      <c r="T53" s="21">
        <f t="shared" si="4"/>
        <v>20.393746888731883</v>
      </c>
      <c r="U53" s="27"/>
      <c r="V53">
        <f>USA!Z61*Austria!G53</f>
        <v>16.681605778943762</v>
      </c>
      <c r="W53">
        <v>0</v>
      </c>
      <c r="X53">
        <v>0</v>
      </c>
      <c r="Y53">
        <v>1</v>
      </c>
      <c r="Z53" s="23"/>
      <c r="AA53" s="3">
        <f>'[1]Real petrol price'!GW28/100</f>
        <v>0.39799999999999996</v>
      </c>
      <c r="AB53" s="3">
        <f t="shared" si="5"/>
        <v>17.21567126592921</v>
      </c>
      <c r="AC53" s="4">
        <f t="shared" si="23"/>
        <v>3.1836015205336436</v>
      </c>
      <c r="AD53" s="3">
        <f t="shared" si="21"/>
        <v>20.399272786462852</v>
      </c>
      <c r="AF53" s="4"/>
      <c r="AM53"/>
      <c r="AN53" s="9">
        <v>1974</v>
      </c>
      <c r="AO53" s="3">
        <f t="shared" si="6"/>
        <v>0.43255455442033197</v>
      </c>
      <c r="AP53" s="3">
        <f t="shared" si="7"/>
        <v>0.17215671265929211</v>
      </c>
      <c r="AQ53" s="3">
        <f t="shared" si="8"/>
        <v>3.1836015205336438E-2</v>
      </c>
      <c r="AR53" s="3">
        <f t="shared" si="9"/>
        <v>0.20399272786462852</v>
      </c>
      <c r="AS53" s="3">
        <f t="shared" si="10"/>
        <v>0.22856182655570345</v>
      </c>
      <c r="AU53" s="3">
        <v>33.179769087712224</v>
      </c>
      <c r="AW53" s="3">
        <f t="shared" si="11"/>
        <v>1.3036695743025046</v>
      </c>
      <c r="AX53" s="3">
        <f t="shared" si="22"/>
        <v>1.3328594726359411</v>
      </c>
      <c r="AY53" s="3">
        <f t="shared" si="12"/>
        <v>0.61481057124106109</v>
      </c>
      <c r="AZ53" s="3">
        <f t="shared" ref="AZ53:AZ97" si="24">AW53-AY53</f>
        <v>0.68885900306144354</v>
      </c>
      <c r="BA53" s="3">
        <f t="shared" si="14"/>
        <v>0.71804890139488009</v>
      </c>
      <c r="BB53" s="3">
        <f t="shared" si="15"/>
        <v>50.276437231510506</v>
      </c>
      <c r="BC53" s="45">
        <v>1</v>
      </c>
      <c r="BD53" s="45">
        <v>1</v>
      </c>
      <c r="BE53" s="45">
        <v>1</v>
      </c>
      <c r="BF53" s="9">
        <v>0</v>
      </c>
      <c r="BH53" s="3">
        <f t="shared" si="16"/>
        <v>1.5142591145586257</v>
      </c>
      <c r="BI53" s="3">
        <f t="shared" si="17"/>
        <v>1.5481642316801127</v>
      </c>
    </row>
    <row r="54" spans="1:61">
      <c r="A54">
        <v>1975</v>
      </c>
      <c r="B54" s="3">
        <f t="shared" si="18"/>
        <v>119.13605065723698</v>
      </c>
      <c r="C54" s="3">
        <f t="shared" si="0"/>
        <v>24.682660206706046</v>
      </c>
      <c r="D54" s="1">
        <v>86.117000000000004</v>
      </c>
      <c r="E54" s="3">
        <v>35.324019999999997</v>
      </c>
      <c r="F54" s="3">
        <f t="shared" si="19"/>
        <v>30.419986303400002</v>
      </c>
      <c r="G54">
        <v>1.2657282181347791</v>
      </c>
      <c r="H54" s="3">
        <f t="shared" si="20"/>
        <v>38.503435059486868</v>
      </c>
      <c r="I54" s="4">
        <f t="shared" si="1"/>
        <v>37.219936351340699</v>
      </c>
      <c r="J54" s="21">
        <f t="shared" si="2"/>
        <v>37.580340604538037</v>
      </c>
      <c r="K54" s="12"/>
      <c r="Q54"/>
      <c r="R54" s="23"/>
      <c r="S54" s="21">
        <f t="shared" si="3"/>
        <v>19.667014368048427</v>
      </c>
      <c r="T54" s="21">
        <f t="shared" si="4"/>
        <v>20.027418621245761</v>
      </c>
      <c r="U54" s="27"/>
      <c r="V54">
        <f>USA!Z62*Austria!G54</f>
        <v>16.036776523767649</v>
      </c>
      <c r="W54">
        <v>0</v>
      </c>
      <c r="X54">
        <v>0</v>
      </c>
      <c r="Y54">
        <v>1</v>
      </c>
      <c r="Z54" s="23"/>
      <c r="AA54" s="3">
        <f>'[1]Real petrol price'!GW29/100</f>
        <v>0.39799999999999996</v>
      </c>
      <c r="AB54" s="3">
        <f t="shared" si="5"/>
        <v>14.813534667833597</v>
      </c>
      <c r="AC54" s="4">
        <f t="shared" si="23"/>
        <v>2.7393873154586754</v>
      </c>
      <c r="AD54" s="3">
        <f t="shared" si="21"/>
        <v>17.552921983292272</v>
      </c>
      <c r="AF54" s="4"/>
      <c r="AM54"/>
      <c r="AN54" s="9">
        <v>1975</v>
      </c>
      <c r="AO54" s="3">
        <f t="shared" si="6"/>
        <v>0.37219936351340699</v>
      </c>
      <c r="AP54" s="3">
        <f t="shared" si="7"/>
        <v>0.14813534667833597</v>
      </c>
      <c r="AQ54" s="3">
        <f t="shared" si="8"/>
        <v>2.7393873154586756E-2</v>
      </c>
      <c r="AR54" s="3">
        <f t="shared" si="9"/>
        <v>0.17552921983292272</v>
      </c>
      <c r="AS54" s="3">
        <f t="shared" si="10"/>
        <v>0.19667014368048427</v>
      </c>
      <c r="AU54" s="3">
        <v>35.981885195580695</v>
      </c>
      <c r="AW54" s="3">
        <f t="shared" si="11"/>
        <v>1.0344076234202442</v>
      </c>
      <c r="AX54" s="3">
        <f t="shared" si="22"/>
        <v>0.97479186857778033</v>
      </c>
      <c r="AY54" s="3">
        <f t="shared" si="12"/>
        <v>0.4878266352049872</v>
      </c>
      <c r="AZ54" s="3">
        <f t="shared" si="24"/>
        <v>0.54658098821525702</v>
      </c>
      <c r="BA54" s="3">
        <f t="shared" si="14"/>
        <v>0.48696523337279313</v>
      </c>
      <c r="BB54" s="3">
        <f t="shared" si="15"/>
        <v>44.569028100109911</v>
      </c>
      <c r="BC54" s="45">
        <v>1</v>
      </c>
      <c r="BD54" s="9">
        <v>0</v>
      </c>
      <c r="BE54" s="45">
        <v>1</v>
      </c>
      <c r="BF54" s="9">
        <v>0</v>
      </c>
      <c r="BH54" s="3">
        <f t="shared" si="16"/>
        <v>1.2015016709821376</v>
      </c>
      <c r="BI54" s="3">
        <f t="shared" si="17"/>
        <v>1.1322558268503591</v>
      </c>
    </row>
    <row r="55" spans="1:61">
      <c r="A55">
        <v>1976</v>
      </c>
      <c r="B55" s="3">
        <f t="shared" si="18"/>
        <v>128.8951161396777</v>
      </c>
      <c r="C55" s="3">
        <f t="shared" si="0"/>
        <v>26.098712089869402</v>
      </c>
      <c r="D55" s="1">
        <v>93.171300000000002</v>
      </c>
      <c r="E55" s="3">
        <v>37.350569999999998</v>
      </c>
      <c r="F55" s="3">
        <f t="shared" si="19"/>
        <v>34.800011626409997</v>
      </c>
      <c r="G55">
        <v>1.3037288431211529</v>
      </c>
      <c r="H55" s="3">
        <f t="shared" si="20"/>
        <v>45.369778898302179</v>
      </c>
      <c r="I55" s="4">
        <f t="shared" si="1"/>
        <v>43.857392990009032</v>
      </c>
      <c r="J55" s="21">
        <f t="shared" si="2"/>
        <v>47.605545111679469</v>
      </c>
      <c r="K55" s="12"/>
      <c r="Q55"/>
      <c r="R55" s="23"/>
      <c r="S55" s="21">
        <f t="shared" si="3"/>
        <v>17.034211437319513</v>
      </c>
      <c r="T55" s="21">
        <f t="shared" si="4"/>
        <v>20.78236355898995</v>
      </c>
      <c r="U55" s="27"/>
      <c r="V55">
        <f>USA!Z63*Austria!G55</f>
        <v>17.365668190373757</v>
      </c>
      <c r="W55">
        <v>0</v>
      </c>
      <c r="X55">
        <v>0</v>
      </c>
      <c r="Y55">
        <v>1</v>
      </c>
      <c r="Z55" s="23"/>
      <c r="AA55" s="3">
        <f>'[1]Real petrol price'!GW30/100</f>
        <v>0.53799999999999992</v>
      </c>
      <c r="AB55" s="3">
        <f t="shared" si="5"/>
        <v>23.595277428624854</v>
      </c>
      <c r="AC55" s="4">
        <f t="shared" si="23"/>
        <v>3.2279041240646649</v>
      </c>
      <c r="AD55" s="3">
        <f t="shared" si="21"/>
        <v>26.823181552689519</v>
      </c>
      <c r="AF55" s="4"/>
      <c r="AM55"/>
      <c r="AN55" s="9">
        <v>1976</v>
      </c>
      <c r="AO55" s="3">
        <f t="shared" si="6"/>
        <v>0.43857392990009031</v>
      </c>
      <c r="AP55" s="3">
        <f t="shared" si="7"/>
        <v>0.23595277428624853</v>
      </c>
      <c r="AQ55" s="3">
        <f t="shared" si="8"/>
        <v>3.227904124064665E-2</v>
      </c>
      <c r="AR55" s="3">
        <f t="shared" si="9"/>
        <v>0.26823181552689518</v>
      </c>
      <c r="AS55" s="3">
        <f t="shared" si="10"/>
        <v>0.17034211437319513</v>
      </c>
      <c r="AU55" s="3">
        <v>38.615287469382288</v>
      </c>
      <c r="AW55" s="3">
        <f t="shared" si="11"/>
        <v>1.1357520781059358</v>
      </c>
      <c r="AX55" s="3">
        <f t="shared" si="22"/>
        <v>1.1838472234480848</v>
      </c>
      <c r="AY55" s="3">
        <f t="shared" si="12"/>
        <v>0.69462597096959011</v>
      </c>
      <c r="AZ55" s="3">
        <f t="shared" si="24"/>
        <v>0.4411261071363457</v>
      </c>
      <c r="BA55" s="3">
        <f t="shared" si="14"/>
        <v>0.48922125247849463</v>
      </c>
      <c r="BB55" s="3">
        <f t="shared" si="15"/>
        <v>44.970967014405467</v>
      </c>
      <c r="BC55" s="45">
        <v>1</v>
      </c>
      <c r="BD55" s="9">
        <v>0</v>
      </c>
      <c r="BE55" s="45">
        <v>1</v>
      </c>
      <c r="BF55" s="9">
        <v>0</v>
      </c>
      <c r="BH55" s="3">
        <f t="shared" si="16"/>
        <v>1.3192169013156276</v>
      </c>
      <c r="BI55" s="3">
        <f t="shared" si="17"/>
        <v>1.3750811430191558</v>
      </c>
    </row>
    <row r="56" spans="1:61">
      <c r="A56">
        <v>1977</v>
      </c>
      <c r="B56" s="3">
        <f t="shared" si="18"/>
        <v>151.51363150169246</v>
      </c>
      <c r="C56" s="3">
        <f t="shared" si="0"/>
        <v>27.791594761847083</v>
      </c>
      <c r="D56" s="1">
        <v>109.521</v>
      </c>
      <c r="E56" s="3">
        <v>39.773299999999999</v>
      </c>
      <c r="F56" s="3">
        <f t="shared" si="19"/>
        <v>43.560115893000003</v>
      </c>
      <c r="G56">
        <v>1.2010566630088011</v>
      </c>
      <c r="H56" s="3">
        <f t="shared" si="20"/>
        <v>52.318167434723222</v>
      </c>
      <c r="I56" s="4">
        <f t="shared" si="1"/>
        <v>50.574159394627664</v>
      </c>
      <c r="J56" s="21">
        <f t="shared" si="2"/>
        <v>51.646202572800227</v>
      </c>
      <c r="K56" s="12"/>
      <c r="Q56"/>
      <c r="R56" s="23"/>
      <c r="S56" s="21">
        <f t="shared" si="3"/>
        <v>19.643003508873388</v>
      </c>
      <c r="T56" s="21">
        <f t="shared" si="4"/>
        <v>20.715046687045952</v>
      </c>
      <c r="U56" s="27"/>
      <c r="V56">
        <f>USA!Z64*Austria!G56</f>
        <v>17.247173680806384</v>
      </c>
      <c r="W56">
        <v>0</v>
      </c>
      <c r="X56">
        <v>0</v>
      </c>
      <c r="Y56">
        <v>1</v>
      </c>
      <c r="Z56" s="23"/>
      <c r="AA56" s="3">
        <f>'[1]Real petrol price'!GW31/100</f>
        <v>0.53799999999999992</v>
      </c>
      <c r="AB56" s="3">
        <f t="shared" si="5"/>
        <v>27.208897754309678</v>
      </c>
      <c r="AC56" s="4">
        <f t="shared" si="23"/>
        <v>3.7222581314445962</v>
      </c>
      <c r="AD56" s="3">
        <f t="shared" si="21"/>
        <v>30.931155885754276</v>
      </c>
      <c r="AF56" s="4"/>
      <c r="AM56"/>
      <c r="AN56" s="9">
        <v>1977</v>
      </c>
      <c r="AO56" s="3">
        <f t="shared" si="6"/>
        <v>0.5057415939462766</v>
      </c>
      <c r="AP56" s="3">
        <f t="shared" si="7"/>
        <v>0.2720889775430968</v>
      </c>
      <c r="AQ56" s="3">
        <f t="shared" si="8"/>
        <v>3.722258131444596E-2</v>
      </c>
      <c r="AR56" s="3">
        <f t="shared" si="9"/>
        <v>0.30931155885754275</v>
      </c>
      <c r="AS56" s="3">
        <f t="shared" si="10"/>
        <v>0.19643003508873386</v>
      </c>
      <c r="AU56" s="3">
        <v>40.737046916203717</v>
      </c>
      <c r="AW56" s="3">
        <f t="shared" si="11"/>
        <v>1.2414782912138655</v>
      </c>
      <c r="AX56" s="3">
        <f t="shared" si="22"/>
        <v>1.2337298866428008</v>
      </c>
      <c r="AY56" s="3">
        <f t="shared" si="12"/>
        <v>0.75928812290640002</v>
      </c>
      <c r="AZ56" s="3">
        <f t="shared" si="24"/>
        <v>0.48219016830746553</v>
      </c>
      <c r="BA56" s="3">
        <f t="shared" si="14"/>
        <v>0.47444176373640085</v>
      </c>
      <c r="BB56" s="3">
        <f t="shared" si="15"/>
        <v>42.337810387394789</v>
      </c>
      <c r="BC56" s="45">
        <v>1</v>
      </c>
      <c r="BD56" s="9">
        <v>0</v>
      </c>
      <c r="BE56" s="45">
        <v>1</v>
      </c>
      <c r="BF56" s="9">
        <v>0</v>
      </c>
      <c r="BH56" s="3">
        <f t="shared" si="16"/>
        <v>1.4420217017054089</v>
      </c>
      <c r="BI56" s="3">
        <f t="shared" si="17"/>
        <v>1.4330216510205565</v>
      </c>
    </row>
    <row r="57" spans="1:61">
      <c r="A57">
        <v>1978</v>
      </c>
      <c r="B57" s="3">
        <f t="shared" si="18"/>
        <v>155.74274894492873</v>
      </c>
      <c r="C57" s="3">
        <f t="shared" si="0"/>
        <v>29.916940817905406</v>
      </c>
      <c r="D57" s="1">
        <v>112.578</v>
      </c>
      <c r="E57" s="3">
        <v>42.81494</v>
      </c>
      <c r="F57" s="3">
        <f t="shared" si="19"/>
        <v>48.2002031532</v>
      </c>
      <c r="G57">
        <v>1.0553330959354079</v>
      </c>
      <c r="H57" s="3">
        <f t="shared" si="20"/>
        <v>50.867269618382167</v>
      </c>
      <c r="I57" s="4">
        <f t="shared" si="1"/>
        <v>49.171626755836321</v>
      </c>
      <c r="J57" s="21">
        <f t="shared" si="2"/>
        <v>49.587619780677429</v>
      </c>
      <c r="K57" s="12"/>
      <c r="Q57"/>
      <c r="R57" s="23"/>
      <c r="S57" s="21">
        <f t="shared" si="3"/>
        <v>19.098259831966828</v>
      </c>
      <c r="T57" s="21">
        <f t="shared" si="4"/>
        <v>19.514252856807936</v>
      </c>
      <c r="U57" s="27"/>
      <c r="V57">
        <f>USA!Z65*Austria!G57</f>
        <v>15.13347659571375</v>
      </c>
      <c r="W57">
        <v>0</v>
      </c>
      <c r="X57">
        <v>0</v>
      </c>
      <c r="Y57">
        <v>1</v>
      </c>
      <c r="Z57" s="23"/>
      <c r="AA57" s="3">
        <f>'[1]Real petrol price'!GW32/100</f>
        <v>0.53799999999999992</v>
      </c>
      <c r="AB57" s="3">
        <f t="shared" si="5"/>
        <v>26.454335194639938</v>
      </c>
      <c r="AC57" s="4">
        <f t="shared" si="23"/>
        <v>3.6190317292295533</v>
      </c>
      <c r="AD57" s="3">
        <f t="shared" si="21"/>
        <v>30.073366923869493</v>
      </c>
      <c r="AF57" s="4"/>
      <c r="AM57"/>
      <c r="AN57" s="9">
        <v>1978</v>
      </c>
      <c r="AO57" s="3">
        <f t="shared" si="6"/>
        <v>0.49171626755836323</v>
      </c>
      <c r="AP57" s="3">
        <f t="shared" si="7"/>
        <v>0.26454335194639939</v>
      </c>
      <c r="AQ57" s="3">
        <f t="shared" si="8"/>
        <v>3.6190317292295535E-2</v>
      </c>
      <c r="AR57" s="3">
        <f t="shared" si="9"/>
        <v>0.30073366923869493</v>
      </c>
      <c r="AS57" s="3">
        <f t="shared" si="10"/>
        <v>0.1909825983196683</v>
      </c>
      <c r="AU57" s="3">
        <v>42.193120146279909</v>
      </c>
      <c r="AW57" s="3">
        <f t="shared" si="11"/>
        <v>1.165394419406826</v>
      </c>
      <c r="AX57" s="3">
        <f t="shared" si="22"/>
        <v>1.1508782963594784</v>
      </c>
      <c r="AY57" s="3">
        <f t="shared" si="12"/>
        <v>0.71275522690921467</v>
      </c>
      <c r="AZ57" s="3">
        <f t="shared" si="24"/>
        <v>0.45263919249761131</v>
      </c>
      <c r="BA57" s="3">
        <f t="shared" si="14"/>
        <v>0.43812306945026364</v>
      </c>
      <c r="BB57" s="3">
        <f t="shared" si="15"/>
        <v>35.867166360883694</v>
      </c>
      <c r="BC57" s="45">
        <v>1</v>
      </c>
      <c r="BD57" s="9">
        <v>0</v>
      </c>
      <c r="BE57" s="45">
        <v>1</v>
      </c>
      <c r="BF57" s="9">
        <v>0</v>
      </c>
      <c r="BH57" s="3">
        <f t="shared" si="16"/>
        <v>1.3536475472220075</v>
      </c>
      <c r="BI57" s="3">
        <f t="shared" si="17"/>
        <v>1.3367865480349541</v>
      </c>
    </row>
    <row r="58" spans="1:61">
      <c r="A58">
        <v>1979</v>
      </c>
      <c r="B58" s="3">
        <f t="shared" si="18"/>
        <v>163.49543921378569</v>
      </c>
      <c r="C58" s="3">
        <f t="shared" si="0"/>
        <v>33.287054161079702</v>
      </c>
      <c r="D58" s="1">
        <v>118.182</v>
      </c>
      <c r="E58" s="3">
        <v>47.637999999999998</v>
      </c>
      <c r="F58" s="3">
        <f t="shared" si="19"/>
        <v>56.299541159999997</v>
      </c>
      <c r="G58">
        <v>0.97145411073886467</v>
      </c>
      <c r="H58" s="3">
        <f t="shared" si="20"/>
        <v>54.692420692593906</v>
      </c>
      <c r="I58" s="4">
        <f t="shared" si="1"/>
        <v>52.869267740243622</v>
      </c>
      <c r="J58" s="21">
        <f t="shared" si="2"/>
        <v>51.245020967435217</v>
      </c>
      <c r="K58" s="12"/>
      <c r="Q58"/>
      <c r="R58" s="23"/>
      <c r="S58" s="21">
        <f t="shared" si="3"/>
        <v>20.375815787089891</v>
      </c>
      <c r="T58" s="21">
        <f t="shared" si="4"/>
        <v>18.751569014281486</v>
      </c>
      <c r="U58" s="27"/>
      <c r="V58">
        <f>USA!Z66*Austria!G58</f>
        <v>20.818261593133869</v>
      </c>
      <c r="W58">
        <v>0</v>
      </c>
      <c r="X58">
        <v>0</v>
      </c>
      <c r="Y58">
        <v>0</v>
      </c>
      <c r="Z58" s="23"/>
      <c r="AA58" s="3">
        <f>'[1]Real petrol price'!GW33/100</f>
        <v>0.54100000000000004</v>
      </c>
      <c r="AB58" s="3">
        <f t="shared" si="5"/>
        <v>28.6022738474718</v>
      </c>
      <c r="AC58" s="4">
        <f t="shared" si="23"/>
        <v>3.8911781056819308</v>
      </c>
      <c r="AD58" s="3">
        <f t="shared" si="21"/>
        <v>32.49345195315373</v>
      </c>
      <c r="AF58" s="4"/>
      <c r="AM58"/>
      <c r="AN58" s="9">
        <v>1979</v>
      </c>
      <c r="AO58" s="3">
        <f t="shared" si="6"/>
        <v>0.5286926774024362</v>
      </c>
      <c r="AP58" s="3">
        <f t="shared" si="7"/>
        <v>0.28602273847471799</v>
      </c>
      <c r="AQ58" s="3">
        <f t="shared" si="8"/>
        <v>3.8911781056819306E-2</v>
      </c>
      <c r="AR58" s="3">
        <f t="shared" si="9"/>
        <v>0.32493451953153729</v>
      </c>
      <c r="AS58" s="3">
        <f t="shared" si="10"/>
        <v>0.2037581578708989</v>
      </c>
      <c r="AU58" s="3">
        <v>43.757390414170295</v>
      </c>
      <c r="AW58" s="3">
        <f t="shared" si="11"/>
        <v>1.208236305680664</v>
      </c>
      <c r="AX58" s="3">
        <f t="shared" si="22"/>
        <v>1.2464280706264899</v>
      </c>
      <c r="AY58" s="3">
        <f t="shared" si="12"/>
        <v>0.74258203347133622</v>
      </c>
      <c r="AZ58" s="3">
        <f t="shared" si="24"/>
        <v>0.46565427220932776</v>
      </c>
      <c r="BA58" s="3">
        <f t="shared" si="14"/>
        <v>0.50384603715515364</v>
      </c>
      <c r="BB58" s="3">
        <f t="shared" si="15"/>
        <v>47.576561115930097</v>
      </c>
      <c r="BC58" s="45">
        <v>1</v>
      </c>
      <c r="BD58" s="9">
        <v>0</v>
      </c>
      <c r="BE58" s="45">
        <v>1</v>
      </c>
      <c r="BF58" s="9">
        <v>0</v>
      </c>
      <c r="BH58" s="3">
        <f t="shared" si="16"/>
        <v>1.4034099395135913</v>
      </c>
      <c r="BI58" s="3">
        <f t="shared" si="17"/>
        <v>1.4477710485785469</v>
      </c>
    </row>
    <row r="59" spans="1:61">
      <c r="A59">
        <v>1980</v>
      </c>
      <c r="B59" s="3">
        <f t="shared" si="18"/>
        <v>171.66730599075538</v>
      </c>
      <c r="C59" s="3">
        <f t="shared" si="0"/>
        <v>37.784321185500851</v>
      </c>
      <c r="D59" s="1">
        <v>124.089</v>
      </c>
      <c r="E59" s="3">
        <v>54.074159999999999</v>
      </c>
      <c r="F59" s="3">
        <f t="shared" si="19"/>
        <v>67.1000844024</v>
      </c>
      <c r="G59">
        <v>0.94024112846376895</v>
      </c>
      <c r="H59" s="3">
        <f t="shared" si="20"/>
        <v>63.090259078526721</v>
      </c>
      <c r="I59" s="4">
        <f t="shared" si="1"/>
        <v>60.987167084298413</v>
      </c>
      <c r="J59" s="21">
        <f t="shared" si="2"/>
        <v>59.650992631324776</v>
      </c>
      <c r="K59" s="12"/>
      <c r="Q59"/>
      <c r="R59" s="23"/>
      <c r="S59" s="21">
        <f t="shared" si="3"/>
        <v>26.309863880166333</v>
      </c>
      <c r="T59" s="21">
        <f t="shared" si="4"/>
        <v>24.973689427192696</v>
      </c>
      <c r="U59" s="27"/>
      <c r="V59">
        <f>USA!Z67*Austria!G59</f>
        <v>31.770747730790752</v>
      </c>
      <c r="W59">
        <v>0</v>
      </c>
      <c r="X59">
        <v>0</v>
      </c>
      <c r="Y59">
        <v>0</v>
      </c>
      <c r="Z59" s="23"/>
      <c r="AA59" s="3">
        <f>'[1]Real petrol price'!GW34/100</f>
        <v>0.495</v>
      </c>
      <c r="AB59" s="3">
        <f t="shared" si="5"/>
        <v>30.188647706727714</v>
      </c>
      <c r="AC59" s="4">
        <f t="shared" si="23"/>
        <v>4.4886554974043635</v>
      </c>
      <c r="AD59" s="3">
        <f t="shared" si="21"/>
        <v>34.67730320413208</v>
      </c>
      <c r="AF59" s="4"/>
      <c r="AM59"/>
      <c r="AN59" s="9">
        <v>1980</v>
      </c>
      <c r="AO59" s="3">
        <f t="shared" si="6"/>
        <v>0.6098716708429841</v>
      </c>
      <c r="AP59" s="3">
        <f t="shared" si="7"/>
        <v>0.30188647706727711</v>
      </c>
      <c r="AQ59" s="3">
        <f t="shared" si="8"/>
        <v>4.4886554974043633E-2</v>
      </c>
      <c r="AR59" s="3">
        <f t="shared" si="9"/>
        <v>0.34677303204132082</v>
      </c>
      <c r="AS59" s="3">
        <f t="shared" si="10"/>
        <v>0.26309863880166329</v>
      </c>
      <c r="AU59" s="3">
        <v>46.526497228080508</v>
      </c>
      <c r="AW59" s="3">
        <f t="shared" si="11"/>
        <v>1.3108050405197995</v>
      </c>
      <c r="AX59" s="3">
        <f t="shared" si="22"/>
        <v>1.2462969061375455</v>
      </c>
      <c r="AY59" s="3">
        <f t="shared" si="12"/>
        <v>0.7453237460395582</v>
      </c>
      <c r="AZ59" s="3">
        <f t="shared" si="24"/>
        <v>0.56548129448024131</v>
      </c>
      <c r="BA59" s="3">
        <f t="shared" si="14"/>
        <v>0.5009731600979872</v>
      </c>
      <c r="BB59" s="3">
        <f t="shared" si="15"/>
        <v>68.285277473275812</v>
      </c>
      <c r="BC59" s="9">
        <v>0</v>
      </c>
      <c r="BD59" s="9">
        <v>0</v>
      </c>
      <c r="BE59" s="45">
        <v>1</v>
      </c>
      <c r="BF59" s="9">
        <v>0</v>
      </c>
      <c r="BH59" s="3">
        <f t="shared" si="16"/>
        <v>1.5225472152930046</v>
      </c>
      <c r="BI59" s="3">
        <f t="shared" si="17"/>
        <v>1.4476186963055435</v>
      </c>
    </row>
    <row r="60" spans="1:61">
      <c r="A60">
        <v>1981</v>
      </c>
      <c r="B60" s="3">
        <f t="shared" si="18"/>
        <v>152.83203154206018</v>
      </c>
      <c r="C60" s="3">
        <f t="shared" si="0"/>
        <v>41.681969842500045</v>
      </c>
      <c r="D60" s="1">
        <v>110.474</v>
      </c>
      <c r="E60" s="3">
        <v>59.652189999999997</v>
      </c>
      <c r="F60" s="3">
        <f t="shared" si="19"/>
        <v>65.900160380599999</v>
      </c>
      <c r="G60">
        <v>1.1574456952246679</v>
      </c>
      <c r="H60" s="3">
        <f t="shared" si="20"/>
        <v>76.275856947140682</v>
      </c>
      <c r="I60" s="4">
        <f t="shared" si="1"/>
        <v>73.733227602430418</v>
      </c>
      <c r="J60" s="21">
        <f t="shared" si="2"/>
        <v>75.481925799700221</v>
      </c>
      <c r="K60" s="12"/>
      <c r="Q60"/>
      <c r="R60" s="23"/>
      <c r="S60" s="21">
        <f t="shared" si="3"/>
        <v>29.11725158019977</v>
      </c>
      <c r="T60" s="21">
        <f t="shared" si="4"/>
        <v>30.865949777469574</v>
      </c>
      <c r="U60" s="27"/>
      <c r="V60">
        <f>USA!Z68*Austria!G60</f>
        <v>42.142597763130155</v>
      </c>
      <c r="W60">
        <v>0</v>
      </c>
      <c r="X60">
        <v>0</v>
      </c>
      <c r="Y60">
        <v>0</v>
      </c>
      <c r="Z60" s="23"/>
      <c r="AA60" s="3">
        <f>'[1]Real petrol price'!GW35/100</f>
        <v>0.49200000000000005</v>
      </c>
      <c r="AB60" s="3">
        <f t="shared" si="5"/>
        <v>36.276747980395768</v>
      </c>
      <c r="AC60" s="4">
        <f>0.13*(I60*(1-0.13))</f>
        <v>8.3392280418348808</v>
      </c>
      <c r="AD60" s="3">
        <f t="shared" si="21"/>
        <v>44.615976022230647</v>
      </c>
      <c r="AF60" s="4"/>
      <c r="AM60"/>
      <c r="AN60" s="9">
        <v>1981</v>
      </c>
      <c r="AO60" s="3">
        <f t="shared" si="6"/>
        <v>0.73733227602430418</v>
      </c>
      <c r="AP60" s="3">
        <f t="shared" si="7"/>
        <v>0.36276747980395768</v>
      </c>
      <c r="AQ60" s="3">
        <f t="shared" si="8"/>
        <v>8.3392280418348813E-2</v>
      </c>
      <c r="AR60" s="3">
        <f t="shared" si="9"/>
        <v>0.44615976022230647</v>
      </c>
      <c r="AS60" s="3">
        <f t="shared" si="10"/>
        <v>0.29117251580199771</v>
      </c>
      <c r="AU60" s="3">
        <v>49.691714840900637</v>
      </c>
      <c r="AW60" s="3">
        <f t="shared" si="11"/>
        <v>1.483813304461401</v>
      </c>
      <c r="AX60" s="3">
        <f t="shared" si="22"/>
        <v>1.4915685453513112</v>
      </c>
      <c r="AY60" s="3">
        <f t="shared" si="12"/>
        <v>0.89785543052959371</v>
      </c>
      <c r="AZ60" s="3">
        <f t="shared" si="24"/>
        <v>0.58595787393180732</v>
      </c>
      <c r="BA60" s="3">
        <f t="shared" si="14"/>
        <v>0.59371311482171751</v>
      </c>
      <c r="BB60" s="3">
        <f t="shared" si="15"/>
        <v>84.808097080286515</v>
      </c>
      <c r="BC60" s="9">
        <v>0</v>
      </c>
      <c r="BD60" s="9">
        <v>0</v>
      </c>
      <c r="BE60" s="45">
        <v>1</v>
      </c>
      <c r="BF60" s="9">
        <v>0</v>
      </c>
      <c r="BH60" s="3">
        <f t="shared" si="16"/>
        <v>1.723502538429774</v>
      </c>
      <c r="BI60" s="3">
        <f t="shared" si="17"/>
        <v>1.7325105297449255</v>
      </c>
    </row>
    <row r="61" spans="1:61">
      <c r="A61">
        <v>1982</v>
      </c>
      <c r="B61" s="3">
        <f t="shared" si="18"/>
        <v>144.61866214052486</v>
      </c>
      <c r="C61" s="3">
        <f t="shared" si="0"/>
        <v>44.24984128314113</v>
      </c>
      <c r="D61" s="1">
        <v>104.53700000000001</v>
      </c>
      <c r="E61" s="3">
        <v>63.32714</v>
      </c>
      <c r="F61" s="3">
        <f t="shared" si="19"/>
        <v>66.200292341800008</v>
      </c>
      <c r="G61">
        <v>1.2397476799197691</v>
      </c>
      <c r="H61" s="3">
        <f t="shared" si="20"/>
        <v>82.07165884075701</v>
      </c>
      <c r="I61" s="4">
        <f t="shared" si="1"/>
        <v>79.335828441864578</v>
      </c>
      <c r="J61" s="21">
        <f t="shared" si="2"/>
        <v>79.186324532263157</v>
      </c>
      <c r="K61" s="12"/>
      <c r="Q61"/>
      <c r="R61" s="23"/>
      <c r="S61" s="21">
        <f t="shared" si="3"/>
        <v>30.45702453883181</v>
      </c>
      <c r="T61" s="21">
        <f t="shared" si="4"/>
        <v>30.307520629230389</v>
      </c>
      <c r="U61" s="27"/>
      <c r="V61">
        <f>USA!Z69*Austria!G61</f>
        <v>41.15962297333634</v>
      </c>
      <c r="W61">
        <v>0</v>
      </c>
      <c r="X61">
        <v>0</v>
      </c>
      <c r="Y61">
        <v>0</v>
      </c>
      <c r="Z61" s="23"/>
      <c r="AA61" s="3">
        <f>'[1]Real petrol price'!GW36/100</f>
        <v>0.503</v>
      </c>
      <c r="AB61" s="3">
        <f t="shared" si="5"/>
        <v>39.905921706257885</v>
      </c>
      <c r="AC61" s="4">
        <f>0.13*(I61*(1-0.13))</f>
        <v>8.9728821967748846</v>
      </c>
      <c r="AD61" s="3">
        <f t="shared" si="21"/>
        <v>48.878803903032768</v>
      </c>
      <c r="AF61" s="4"/>
      <c r="AM61"/>
      <c r="AN61" s="9">
        <v>1982</v>
      </c>
      <c r="AO61" s="3">
        <f t="shared" si="6"/>
        <v>0.79335828441864575</v>
      </c>
      <c r="AP61" s="3">
        <f t="shared" si="7"/>
        <v>0.39905921706257885</v>
      </c>
      <c r="AQ61" s="3">
        <f t="shared" si="8"/>
        <v>8.972882196774884E-2</v>
      </c>
      <c r="AR61" s="3">
        <f t="shared" si="9"/>
        <v>0.48878803903032769</v>
      </c>
      <c r="AS61" s="3">
        <f t="shared" si="10"/>
        <v>0.30457024538831806</v>
      </c>
      <c r="AU61" s="3">
        <v>52.392969379497849</v>
      </c>
      <c r="AW61" s="3">
        <f t="shared" si="11"/>
        <v>1.5142456971127478</v>
      </c>
      <c r="AX61" s="3">
        <f t="shared" si="22"/>
        <v>1.4915671679282594</v>
      </c>
      <c r="AY61" s="3">
        <f t="shared" si="12"/>
        <v>0.93292677399116408</v>
      </c>
      <c r="AZ61" s="3">
        <f t="shared" si="24"/>
        <v>0.58131892312158373</v>
      </c>
      <c r="BA61" s="3">
        <f t="shared" si="14"/>
        <v>0.5586403939370953</v>
      </c>
      <c r="BB61" s="3">
        <f t="shared" si="15"/>
        <v>78.559439292713023</v>
      </c>
      <c r="BC61" s="9">
        <v>0</v>
      </c>
      <c r="BD61" s="9">
        <v>0</v>
      </c>
      <c r="BE61" s="45">
        <v>1</v>
      </c>
      <c r="BF61" s="9">
        <v>0</v>
      </c>
      <c r="BH61" s="3">
        <f t="shared" si="16"/>
        <v>1.7588508574045298</v>
      </c>
      <c r="BI61" s="3">
        <f t="shared" si="17"/>
        <v>1.7325089298184935</v>
      </c>
    </row>
    <row r="62" spans="1:61">
      <c r="A62">
        <v>1983</v>
      </c>
      <c r="B62" s="3">
        <f t="shared" si="18"/>
        <v>130.38063341496292</v>
      </c>
      <c r="C62" s="3">
        <f t="shared" si="0"/>
        <v>45.671336429076113</v>
      </c>
      <c r="D62" s="1">
        <v>94.245099999999994</v>
      </c>
      <c r="E62" s="3">
        <v>65.36148</v>
      </c>
      <c r="F62" s="3">
        <f t="shared" si="19"/>
        <v>61.599992187479991</v>
      </c>
      <c r="G62">
        <v>1.305443922007514</v>
      </c>
      <c r="H62" s="3">
        <f t="shared" si="20"/>
        <v>80.415335396856108</v>
      </c>
      <c r="I62" s="4">
        <f t="shared" si="1"/>
        <v>77.734717967851537</v>
      </c>
      <c r="J62" s="21">
        <f t="shared" si="2"/>
        <v>77.841765845320396</v>
      </c>
      <c r="K62" s="12"/>
      <c r="Q62"/>
      <c r="R62" s="23"/>
      <c r="S62" s="21">
        <f t="shared" si="3"/>
        <v>28.28766386850117</v>
      </c>
      <c r="T62" s="21">
        <f t="shared" si="4"/>
        <v>28.394711745970028</v>
      </c>
      <c r="U62" s="27"/>
      <c r="V62">
        <f>USA!Z70*Austria!G62</f>
        <v>37.792601542117531</v>
      </c>
      <c r="W62">
        <v>0</v>
      </c>
      <c r="X62">
        <v>0</v>
      </c>
      <c r="Y62">
        <v>0</v>
      </c>
      <c r="Z62" s="23"/>
      <c r="AA62" s="3">
        <f>'[1]Real petrol price'!GW37/100</f>
        <v>0.52300000000000002</v>
      </c>
      <c r="AB62" s="3">
        <f t="shared" si="5"/>
        <v>40.655257497186355</v>
      </c>
      <c r="AC62" s="4">
        <f>0.13*(I62*(1-0.13))</f>
        <v>8.791796602164009</v>
      </c>
      <c r="AD62" s="3">
        <f t="shared" si="21"/>
        <v>49.447054099350368</v>
      </c>
      <c r="AF62" s="4"/>
      <c r="AM62"/>
      <c r="AN62" s="9">
        <v>1983</v>
      </c>
      <c r="AO62" s="3">
        <f t="shared" si="6"/>
        <v>0.77734717967851541</v>
      </c>
      <c r="AP62" s="3">
        <f t="shared" si="7"/>
        <v>0.40655257497186353</v>
      </c>
      <c r="AQ62" s="3">
        <f t="shared" si="8"/>
        <v>8.7917966021640093E-2</v>
      </c>
      <c r="AR62" s="3">
        <f t="shared" si="9"/>
        <v>0.49447054099350368</v>
      </c>
      <c r="AS62" s="3">
        <f t="shared" si="10"/>
        <v>0.28287663868501173</v>
      </c>
      <c r="AU62" s="3">
        <v>54.142458123338152</v>
      </c>
      <c r="AW62" s="3">
        <f t="shared" si="11"/>
        <v>1.4357441583233903</v>
      </c>
      <c r="AX62" s="3">
        <f t="shared" si="22"/>
        <v>1.4227640008134783</v>
      </c>
      <c r="AY62" s="3">
        <f t="shared" si="12"/>
        <v>0.91327685910950851</v>
      </c>
      <c r="AZ62" s="3">
        <f t="shared" si="24"/>
        <v>0.5224672992138818</v>
      </c>
      <c r="BA62" s="3">
        <f t="shared" si="14"/>
        <v>0.5094871417039698</v>
      </c>
      <c r="BB62" s="3">
        <f t="shared" si="15"/>
        <v>69.802153156816132</v>
      </c>
      <c r="BC62" s="9">
        <v>0</v>
      </c>
      <c r="BD62" s="9">
        <v>0</v>
      </c>
      <c r="BE62" s="45">
        <v>1</v>
      </c>
      <c r="BF62" s="9">
        <v>0</v>
      </c>
      <c r="BH62" s="3">
        <f t="shared" si="16"/>
        <v>1.6676684957372634</v>
      </c>
      <c r="BI62" s="3">
        <f t="shared" si="17"/>
        <v>1.6525915757835958</v>
      </c>
    </row>
    <row r="63" spans="1:61">
      <c r="A63">
        <v>1984</v>
      </c>
      <c r="B63" s="3">
        <f t="shared" si="18"/>
        <v>115.6514902987079</v>
      </c>
      <c r="C63" s="3">
        <f t="shared" si="0"/>
        <v>47.643090239969929</v>
      </c>
      <c r="D63" s="1">
        <v>83.598200000000006</v>
      </c>
      <c r="E63" s="3">
        <v>68.183310000000006</v>
      </c>
      <c r="F63" s="3">
        <f t="shared" si="19"/>
        <v>57.000019860420004</v>
      </c>
      <c r="G63">
        <v>1.454118006148122</v>
      </c>
      <c r="H63" s="3">
        <f t="shared" si="20"/>
        <v>82.884755229837296</v>
      </c>
      <c r="I63" s="4">
        <f t="shared" si="1"/>
        <v>80.121820543668406</v>
      </c>
      <c r="J63" s="21">
        <f t="shared" si="2"/>
        <v>83.44519077727324</v>
      </c>
      <c r="K63" s="12"/>
      <c r="Q63"/>
      <c r="R63" s="23"/>
      <c r="S63" s="21">
        <f t="shared" si="3"/>
        <v>27.161297164303591</v>
      </c>
      <c r="T63" s="21">
        <f t="shared" si="4"/>
        <v>30.484667397908417</v>
      </c>
      <c r="U63" s="27"/>
      <c r="V63">
        <f>USA!Z71*Austria!G63</f>
        <v>41.471445535344436</v>
      </c>
      <c r="W63">
        <v>0</v>
      </c>
      <c r="X63">
        <v>0</v>
      </c>
      <c r="Y63">
        <v>0</v>
      </c>
      <c r="Z63" s="23"/>
      <c r="AA63" s="3">
        <f>'[1]Real petrol price'!GW38/100</f>
        <v>0.501</v>
      </c>
      <c r="AB63" s="3">
        <f t="shared" si="5"/>
        <v>40.14103209237787</v>
      </c>
      <c r="AC63" s="4">
        <f t="shared" ref="AC63:AC97" si="25">0.2*(I63*(1-0.2))</f>
        <v>12.819491286986946</v>
      </c>
      <c r="AD63" s="3">
        <f t="shared" si="21"/>
        <v>52.960523379364815</v>
      </c>
      <c r="AF63" s="4"/>
      <c r="AM63"/>
      <c r="AN63" s="9">
        <v>1984</v>
      </c>
      <c r="AO63" s="3">
        <f t="shared" si="6"/>
        <v>0.80121820543668409</v>
      </c>
      <c r="AP63" s="3">
        <f t="shared" si="7"/>
        <v>0.40141032092377871</v>
      </c>
      <c r="AQ63" s="3">
        <f t="shared" si="8"/>
        <v>0.12819491286986945</v>
      </c>
      <c r="AR63" s="3">
        <f t="shared" si="9"/>
        <v>0.5296052337936481</v>
      </c>
      <c r="AS63" s="3">
        <f t="shared" si="10"/>
        <v>0.27161297164303599</v>
      </c>
      <c r="AU63" s="3">
        <v>57.208647856108648</v>
      </c>
      <c r="AW63" s="3">
        <f t="shared" si="11"/>
        <v>1.4005193890474574</v>
      </c>
      <c r="AX63" s="3">
        <f t="shared" si="22"/>
        <v>1.4503257118033892</v>
      </c>
      <c r="AY63" s="3">
        <f t="shared" si="12"/>
        <v>0.92574331616036909</v>
      </c>
      <c r="AZ63" s="3">
        <f t="shared" si="24"/>
        <v>0.47477607288708834</v>
      </c>
      <c r="BA63" s="3">
        <f t="shared" si="14"/>
        <v>0.52458239564302012</v>
      </c>
      <c r="BB63" s="3">
        <f t="shared" si="15"/>
        <v>72.491567428150958</v>
      </c>
      <c r="BC63" s="9">
        <v>0</v>
      </c>
      <c r="BD63" s="9">
        <v>0</v>
      </c>
      <c r="BE63" s="45">
        <v>1</v>
      </c>
      <c r="BF63" s="9">
        <v>0</v>
      </c>
      <c r="BH63" s="3">
        <f t="shared" si="16"/>
        <v>1.6267536588907843</v>
      </c>
      <c r="BI63" s="3">
        <f t="shared" si="17"/>
        <v>1.6846054947259264</v>
      </c>
    </row>
    <row r="64" spans="1:61">
      <c r="A64">
        <v>1985</v>
      </c>
      <c r="B64" s="3">
        <f t="shared" si="18"/>
        <v>112.65417075257915</v>
      </c>
      <c r="C64" s="3">
        <f t="shared" si="0"/>
        <v>49.339718212134507</v>
      </c>
      <c r="D64" s="1">
        <v>81.431600000000003</v>
      </c>
      <c r="E64" s="3">
        <v>70.611400000000003</v>
      </c>
      <c r="F64" s="3">
        <f t="shared" si="19"/>
        <v>57.499992802400001</v>
      </c>
      <c r="G64">
        <v>1.503564602515933</v>
      </c>
      <c r="H64" s="3">
        <f t="shared" si="20"/>
        <v>86.454953822609568</v>
      </c>
      <c r="I64" s="4">
        <f t="shared" si="1"/>
        <v>83.573007799541287</v>
      </c>
      <c r="J64" s="21">
        <f t="shared" si="2"/>
        <v>86.535231462329463</v>
      </c>
      <c r="K64" s="12"/>
      <c r="Q64"/>
      <c r="R64" s="23"/>
      <c r="S64" s="21">
        <f t="shared" si="3"/>
        <v>26.743362495853205</v>
      </c>
      <c r="T64" s="21">
        <f t="shared" si="4"/>
        <v>29.705586158641381</v>
      </c>
      <c r="U64" s="27"/>
      <c r="V64">
        <f>USA!Z72*Austria!G64</f>
        <v>40.100067949099937</v>
      </c>
      <c r="W64">
        <v>0</v>
      </c>
      <c r="X64">
        <v>0</v>
      </c>
      <c r="Y64">
        <v>0</v>
      </c>
      <c r="Z64" s="23"/>
      <c r="AA64" s="3">
        <f>'[1]Real petrol price'!GW39/100</f>
        <v>0.52</v>
      </c>
      <c r="AB64" s="3">
        <f t="shared" si="5"/>
        <v>43.457964055761472</v>
      </c>
      <c r="AC64" s="4">
        <f t="shared" si="25"/>
        <v>13.371681247926606</v>
      </c>
      <c r="AD64" s="3">
        <f t="shared" si="21"/>
        <v>56.829645303688082</v>
      </c>
      <c r="AF64" s="4"/>
      <c r="AM64"/>
      <c r="AN64" s="9">
        <v>1985</v>
      </c>
      <c r="AO64" s="3">
        <f t="shared" si="6"/>
        <v>0.83573007799541288</v>
      </c>
      <c r="AP64" s="3">
        <f t="shared" si="7"/>
        <v>0.43457964055761472</v>
      </c>
      <c r="AQ64" s="3">
        <f t="shared" si="8"/>
        <v>0.13371681247926606</v>
      </c>
      <c r="AR64" s="3">
        <f t="shared" si="9"/>
        <v>0.56829645303688081</v>
      </c>
      <c r="AS64" s="3">
        <f t="shared" si="10"/>
        <v>0.26743362495853207</v>
      </c>
      <c r="AU64" s="3">
        <v>59.033323972430495</v>
      </c>
      <c r="AW64" s="3">
        <f t="shared" si="11"/>
        <v>1.4156920562116952</v>
      </c>
      <c r="AX64" s="3">
        <f t="shared" si="22"/>
        <v>1.4616375766618654</v>
      </c>
      <c r="AY64" s="3">
        <f t="shared" si="12"/>
        <v>0.96267059822395284</v>
      </c>
      <c r="AZ64" s="3">
        <f t="shared" si="24"/>
        <v>0.4530214579877424</v>
      </c>
      <c r="BA64" s="3">
        <f t="shared" si="14"/>
        <v>0.49896697843791255</v>
      </c>
      <c r="BB64" s="3">
        <f t="shared" si="15"/>
        <v>67.927850323704135</v>
      </c>
      <c r="BC64" s="9">
        <v>0</v>
      </c>
      <c r="BD64" s="9">
        <v>0</v>
      </c>
      <c r="BE64" s="45">
        <v>1</v>
      </c>
      <c r="BF64" s="9">
        <v>0</v>
      </c>
      <c r="BH64" s="3">
        <f t="shared" si="16"/>
        <v>1.6443772576910431</v>
      </c>
      <c r="BI64" s="3">
        <f t="shared" si="17"/>
        <v>1.6977446327423733</v>
      </c>
    </row>
    <row r="65" spans="1:61">
      <c r="A65">
        <v>1986</v>
      </c>
      <c r="B65" s="3">
        <f t="shared" si="18"/>
        <v>120.02337677044981</v>
      </c>
      <c r="C65" s="3">
        <f t="shared" si="0"/>
        <v>50.256813657899102</v>
      </c>
      <c r="D65" s="1">
        <v>86.758399999999995</v>
      </c>
      <c r="E65" s="3">
        <v>71.923879999999997</v>
      </c>
      <c r="F65" s="3">
        <f t="shared" si="19"/>
        <v>62.400007505919994</v>
      </c>
      <c r="G65">
        <v>1.109503426524131</v>
      </c>
      <c r="H65" s="3">
        <f t="shared" si="20"/>
        <v>69.233022142949736</v>
      </c>
      <c r="I65" s="4">
        <f t="shared" si="1"/>
        <v>66.925163263755081</v>
      </c>
      <c r="J65" s="21">
        <f t="shared" si="2"/>
        <v>66.069329734055302</v>
      </c>
      <c r="K65" s="12"/>
      <c r="Q65"/>
      <c r="R65" s="23"/>
      <c r="S65" s="21">
        <f t="shared" si="3"/>
        <v>17.266692122048809</v>
      </c>
      <c r="T65" s="21">
        <f t="shared" si="4"/>
        <v>16.410858592349033</v>
      </c>
      <c r="U65" s="27"/>
      <c r="V65">
        <f>USA!Z73*Austria!G65</f>
        <v>16.698026569188173</v>
      </c>
      <c r="W65">
        <v>0</v>
      </c>
      <c r="X65">
        <v>0</v>
      </c>
      <c r="Y65">
        <v>0</v>
      </c>
      <c r="Z65" s="23"/>
      <c r="AA65" s="3">
        <f>'[1]Real petrol price'!GW40/100</f>
        <v>0.58200000000000007</v>
      </c>
      <c r="AB65" s="3">
        <f t="shared" si="5"/>
        <v>38.950445019505459</v>
      </c>
      <c r="AC65" s="4">
        <f t="shared" si="25"/>
        <v>10.708026122200813</v>
      </c>
      <c r="AD65" s="3">
        <f t="shared" si="21"/>
        <v>49.658471141706272</v>
      </c>
      <c r="AF65" s="4"/>
      <c r="AM65"/>
      <c r="AN65" s="9">
        <v>1986</v>
      </c>
      <c r="AO65" s="3">
        <f t="shared" si="6"/>
        <v>0.66925163263755083</v>
      </c>
      <c r="AP65" s="3">
        <f t="shared" si="7"/>
        <v>0.38950445019505459</v>
      </c>
      <c r="AQ65" s="3">
        <f t="shared" si="8"/>
        <v>0.10708026122200813</v>
      </c>
      <c r="AR65" s="3">
        <f t="shared" si="9"/>
        <v>0.49658471141706273</v>
      </c>
      <c r="AS65" s="3">
        <f t="shared" si="10"/>
        <v>0.1726669212204881</v>
      </c>
      <c r="AU65" s="3">
        <v>60.040105434785353</v>
      </c>
      <c r="AW65" s="3">
        <f t="shared" si="11"/>
        <v>1.1146743127632941</v>
      </c>
      <c r="AX65" s="3">
        <f t="shared" si="22"/>
        <v>1.1008883780979621</v>
      </c>
      <c r="AY65" s="3">
        <f t="shared" si="12"/>
        <v>0.82708834007036414</v>
      </c>
      <c r="AZ65" s="3">
        <f t="shared" si="24"/>
        <v>0.28758597269292996</v>
      </c>
      <c r="BA65" s="3">
        <f t="shared" si="14"/>
        <v>0.27380003802759806</v>
      </c>
      <c r="BB65" s="3">
        <f t="shared" si="15"/>
        <v>27.811454440774281</v>
      </c>
      <c r="BC65" s="9">
        <v>0</v>
      </c>
      <c r="BD65" s="9">
        <v>0</v>
      </c>
      <c r="BE65" s="45">
        <v>1</v>
      </c>
      <c r="BF65" s="9">
        <v>0</v>
      </c>
      <c r="BH65" s="3">
        <f t="shared" si="16"/>
        <v>1.2947343185248927</v>
      </c>
      <c r="BI65" s="3">
        <f t="shared" si="17"/>
        <v>1.2787214594145944</v>
      </c>
    </row>
    <row r="66" spans="1:61">
      <c r="A66">
        <v>1987</v>
      </c>
      <c r="B66" s="3">
        <f t="shared" si="18"/>
        <v>136.09028781853655</v>
      </c>
      <c r="C66" s="3">
        <f t="shared" si="0"/>
        <v>52.136856526716379</v>
      </c>
      <c r="D66" s="1">
        <v>98.372299999999996</v>
      </c>
      <c r="E66" s="3">
        <v>74.614459999999994</v>
      </c>
      <c r="F66" s="3">
        <f t="shared" si="19"/>
        <v>73.399960434579995</v>
      </c>
      <c r="G66">
        <v>0.91876630596716635</v>
      </c>
      <c r="H66" s="3">
        <f t="shared" si="20"/>
        <v>67.437410506615223</v>
      </c>
      <c r="I66" s="4">
        <f t="shared" si="1"/>
        <v>65.189407721091357</v>
      </c>
      <c r="J66" s="21">
        <f t="shared" si="2"/>
        <v>66.490122545806628</v>
      </c>
      <c r="K66" s="12"/>
      <c r="Q66"/>
      <c r="R66" s="23"/>
      <c r="S66" s="21">
        <f t="shared" si="3"/>
        <v>15.645457853061927</v>
      </c>
      <c r="T66" s="21">
        <f t="shared" si="4"/>
        <v>16.946172677777206</v>
      </c>
      <c r="U66" s="27"/>
      <c r="V66">
        <f>USA!Z74*Austria!G66</f>
        <v>17.640313074569594</v>
      </c>
      <c r="W66">
        <v>0</v>
      </c>
      <c r="X66">
        <v>0</v>
      </c>
      <c r="Y66">
        <v>0</v>
      </c>
      <c r="Z66" s="23"/>
      <c r="AA66" s="3">
        <f>'[1]Real petrol price'!GW41/100</f>
        <v>0.6</v>
      </c>
      <c r="AB66" s="3">
        <f t="shared" si="5"/>
        <v>39.113644632654811</v>
      </c>
      <c r="AC66" s="4">
        <f t="shared" si="25"/>
        <v>10.430305235374618</v>
      </c>
      <c r="AD66" s="3">
        <f t="shared" si="21"/>
        <v>49.543949868029429</v>
      </c>
      <c r="AF66" s="4"/>
      <c r="AM66"/>
      <c r="AN66" s="9">
        <v>1987</v>
      </c>
      <c r="AO66" s="3">
        <f t="shared" si="6"/>
        <v>0.65189407721091353</v>
      </c>
      <c r="AP66" s="3">
        <f t="shared" si="7"/>
        <v>0.39113644632654809</v>
      </c>
      <c r="AQ66" s="3">
        <f t="shared" si="8"/>
        <v>0.10430305235374618</v>
      </c>
      <c r="AR66" s="3">
        <f t="shared" si="9"/>
        <v>0.4954394986802943</v>
      </c>
      <c r="AS66" s="3">
        <f t="shared" si="10"/>
        <v>0.15645457853061923</v>
      </c>
      <c r="AU66" s="3">
        <v>60.881840694933601</v>
      </c>
      <c r="AW66" s="3">
        <f t="shared" si="11"/>
        <v>1.0707529039363657</v>
      </c>
      <c r="AX66" s="3">
        <f t="shared" si="22"/>
        <v>1.0941011946085188</v>
      </c>
      <c r="AY66" s="3">
        <f t="shared" si="12"/>
        <v>0.81377220699163777</v>
      </c>
      <c r="AZ66" s="3">
        <f t="shared" si="24"/>
        <v>0.25698069694472792</v>
      </c>
      <c r="BA66" s="3">
        <f t="shared" si="14"/>
        <v>0.28032898761688113</v>
      </c>
      <c r="BB66" s="3">
        <f t="shared" si="15"/>
        <v>28.974671056615353</v>
      </c>
      <c r="BC66" s="9">
        <v>0</v>
      </c>
      <c r="BD66" s="9">
        <v>0</v>
      </c>
      <c r="BE66" s="45">
        <v>1</v>
      </c>
      <c r="BF66" s="9">
        <v>0</v>
      </c>
      <c r="BH66" s="3">
        <f t="shared" si="16"/>
        <v>1.2437180219483499</v>
      </c>
      <c r="BI66" s="3">
        <f t="shared" si="17"/>
        <v>1.2708379015992868</v>
      </c>
    </row>
    <row r="67" spans="1:61">
      <c r="A67">
        <v>1988</v>
      </c>
      <c r="B67" s="3">
        <f t="shared" si="18"/>
        <v>129.24027963398169</v>
      </c>
      <c r="C67" s="3">
        <f t="shared" si="0"/>
        <v>54.227069431021505</v>
      </c>
      <c r="D67" s="1">
        <v>93.4208</v>
      </c>
      <c r="E67" s="3">
        <v>77.605819999999994</v>
      </c>
      <c r="F67" s="3">
        <f t="shared" si="19"/>
        <v>72.49997789055999</v>
      </c>
      <c r="G67">
        <v>0.89734235445448129</v>
      </c>
      <c r="H67" s="3">
        <f t="shared" si="20"/>
        <v>65.05730085821294</v>
      </c>
      <c r="I67" s="4">
        <f t="shared" si="1"/>
        <v>62.888638205699309</v>
      </c>
      <c r="J67" s="21">
        <f t="shared" si="2"/>
        <v>62.3581524700882</v>
      </c>
      <c r="K67" s="12"/>
      <c r="Q67"/>
      <c r="R67" s="23"/>
      <c r="S67" s="21">
        <f t="shared" si="3"/>
        <v>15.596382275013418</v>
      </c>
      <c r="T67" s="21">
        <f t="shared" si="4"/>
        <v>15.06589653940231</v>
      </c>
      <c r="U67" s="27"/>
      <c r="V67">
        <f>USA!Z75*Austria!G67</f>
        <v>14.330557400638067</v>
      </c>
      <c r="W67">
        <v>0</v>
      </c>
      <c r="X67">
        <v>0</v>
      </c>
      <c r="Y67">
        <v>0</v>
      </c>
      <c r="Z67" s="23"/>
      <c r="AA67" s="3">
        <f>'[1]Real petrol price'!GW42/100</f>
        <v>0.59200000000000008</v>
      </c>
      <c r="AB67" s="3">
        <f t="shared" si="5"/>
        <v>37.230073817773999</v>
      </c>
      <c r="AC67" s="4">
        <f>0.2*(I67*(1-0.2))</f>
        <v>10.062182112911891</v>
      </c>
      <c r="AD67" s="3">
        <f t="shared" si="21"/>
        <v>47.29225593068589</v>
      </c>
      <c r="AF67" s="4"/>
      <c r="AM67"/>
      <c r="AN67" s="9">
        <v>1988</v>
      </c>
      <c r="AO67" s="3">
        <f t="shared" si="6"/>
        <v>0.6288863820569931</v>
      </c>
      <c r="AP67" s="3">
        <f t="shared" si="7"/>
        <v>0.37230073817774001</v>
      </c>
      <c r="AQ67" s="3">
        <f t="shared" si="8"/>
        <v>0.10062182112911891</v>
      </c>
      <c r="AR67" s="3">
        <f t="shared" si="9"/>
        <v>0.47292255930685889</v>
      </c>
      <c r="AS67" s="3">
        <f t="shared" si="10"/>
        <v>0.15596382275013421</v>
      </c>
      <c r="AU67" s="3">
        <v>62.048166293494582</v>
      </c>
      <c r="AW67" s="3">
        <f t="shared" si="11"/>
        <v>1.0135454754332176</v>
      </c>
      <c r="AX67" s="3">
        <f t="shared" si="22"/>
        <v>1.0095183530685268</v>
      </c>
      <c r="AY67" s="3">
        <f t="shared" si="12"/>
        <v>0.76218619752577965</v>
      </c>
      <c r="AZ67" s="3">
        <f t="shared" si="24"/>
        <v>0.25135927790743795</v>
      </c>
      <c r="BA67" s="3">
        <f t="shared" si="14"/>
        <v>0.24733215554274701</v>
      </c>
      <c r="BB67" s="3">
        <f t="shared" si="15"/>
        <v>23.095859646928115</v>
      </c>
      <c r="BC67" s="9">
        <v>0</v>
      </c>
      <c r="BD67" s="9">
        <v>0</v>
      </c>
      <c r="BE67" s="45">
        <v>1</v>
      </c>
      <c r="BF67" s="9">
        <v>0</v>
      </c>
      <c r="BH67" s="3">
        <f t="shared" si="16"/>
        <v>1.1772695355075273</v>
      </c>
      <c r="BI67" s="3">
        <f t="shared" si="17"/>
        <v>1.1725918879913315</v>
      </c>
    </row>
    <row r="68" spans="1:61">
      <c r="A68">
        <v>1989</v>
      </c>
      <c r="B68" s="3">
        <f t="shared" si="18"/>
        <v>123.96930797206664</v>
      </c>
      <c r="C68" s="3">
        <f t="shared" si="0"/>
        <v>56.844608024141067</v>
      </c>
      <c r="D68" s="1">
        <v>89.610699999999994</v>
      </c>
      <c r="E68" s="3">
        <v>81.351849999999999</v>
      </c>
      <c r="F68" s="3">
        <f t="shared" si="19"/>
        <v>72.89996224795</v>
      </c>
      <c r="G68">
        <v>0.9615124670247015</v>
      </c>
      <c r="H68" s="3">
        <f t="shared" si="20"/>
        <v>70.094222547034008</v>
      </c>
      <c r="I68" s="4">
        <f t="shared" si="1"/>
        <v>67.757655849838457</v>
      </c>
      <c r="J68" s="21">
        <f t="shared" si="2"/>
        <v>67.793437596263573</v>
      </c>
      <c r="K68" s="12"/>
      <c r="Q68"/>
      <c r="R68" s="23"/>
      <c r="S68" s="21">
        <f t="shared" si="3"/>
        <v>17.616990520957998</v>
      </c>
      <c r="T68" s="21">
        <f t="shared" si="4"/>
        <v>17.652772267383114</v>
      </c>
      <c r="U68" s="27"/>
      <c r="V68">
        <f>USA!Z76*Austria!G68</f>
        <v>18.884104852365137</v>
      </c>
      <c r="W68">
        <v>0</v>
      </c>
      <c r="X68">
        <v>0</v>
      </c>
      <c r="Y68">
        <v>0</v>
      </c>
      <c r="Z68" s="23"/>
      <c r="AA68" s="3">
        <f>'[1]Real petrol price'!GW43/100</f>
        <v>0.57999999999999996</v>
      </c>
      <c r="AB68" s="3">
        <f t="shared" si="5"/>
        <v>39.299440392906305</v>
      </c>
      <c r="AC68" s="4">
        <f t="shared" si="25"/>
        <v>10.841224935974154</v>
      </c>
      <c r="AD68" s="3">
        <f t="shared" si="21"/>
        <v>50.140665328880459</v>
      </c>
      <c r="AF68" s="4"/>
      <c r="AM68"/>
      <c r="AN68" s="9">
        <v>1989</v>
      </c>
      <c r="AO68" s="3">
        <f t="shared" si="6"/>
        <v>0.67757655849838461</v>
      </c>
      <c r="AP68" s="3">
        <f t="shared" si="7"/>
        <v>0.39299440392906304</v>
      </c>
      <c r="AQ68" s="3">
        <f t="shared" si="8"/>
        <v>0.10841224935974153</v>
      </c>
      <c r="AR68" s="3">
        <f t="shared" si="9"/>
        <v>0.50140665328880463</v>
      </c>
      <c r="AS68" s="3">
        <f t="shared" si="10"/>
        <v>0.17616990520957998</v>
      </c>
      <c r="AU68" s="3">
        <v>63.641778511048557</v>
      </c>
      <c r="AW68" s="3">
        <f t="shared" si="11"/>
        <v>1.0646725694203434</v>
      </c>
      <c r="AX68" s="3">
        <f t="shared" si="22"/>
        <v>1.0721034751498653</v>
      </c>
      <c r="AY68" s="3">
        <f t="shared" si="12"/>
        <v>0.78785770137105404</v>
      </c>
      <c r="AZ68" s="3">
        <f t="shared" si="24"/>
        <v>0.27681486804928934</v>
      </c>
      <c r="BA68" s="3">
        <f t="shared" si="14"/>
        <v>0.28424577377881127</v>
      </c>
      <c r="BB68" s="3">
        <f t="shared" si="15"/>
        <v>29.672497051738983</v>
      </c>
      <c r="BC68" s="9">
        <v>0</v>
      </c>
      <c r="BD68" s="9">
        <v>0</v>
      </c>
      <c r="BE68" s="45">
        <v>1</v>
      </c>
      <c r="BF68" s="9">
        <v>0</v>
      </c>
      <c r="BH68" s="3">
        <f t="shared" si="16"/>
        <v>1.2366554946469988</v>
      </c>
      <c r="BI68" s="3">
        <f t="shared" si="17"/>
        <v>1.245286759004284</v>
      </c>
    </row>
    <row r="69" spans="1:61">
      <c r="A69">
        <v>1990</v>
      </c>
      <c r="B69" s="3">
        <f t="shared" si="18"/>
        <v>134.40016260414279</v>
      </c>
      <c r="C69" s="3">
        <f t="shared" si="0"/>
        <v>59.913057002261802</v>
      </c>
      <c r="D69" s="1">
        <v>97.150599999999997</v>
      </c>
      <c r="E69" s="3">
        <v>85.743189999999998</v>
      </c>
      <c r="F69" s="3">
        <f t="shared" si="19"/>
        <v>83.300023544140004</v>
      </c>
      <c r="G69">
        <v>0.82627558992173133</v>
      </c>
      <c r="H69" s="3">
        <f t="shared" si="20"/>
        <v>68.828776094428392</v>
      </c>
      <c r="I69" s="4">
        <f t="shared" si="1"/>
        <v>66.534392617629621</v>
      </c>
      <c r="J69" s="21">
        <f t="shared" si="2"/>
        <v>65.212949658439101</v>
      </c>
      <c r="K69" s="12"/>
      <c r="L69" s="4"/>
      <c r="Q69"/>
      <c r="R69" s="23"/>
      <c r="S69" s="21">
        <f t="shared" si="3"/>
        <v>19.760714607436</v>
      </c>
      <c r="T69" s="21">
        <f t="shared" si="4"/>
        <v>18.43927164824548</v>
      </c>
      <c r="U69" s="27"/>
      <c r="V69">
        <f>USA!Z77*Austria!G69</f>
        <v>20.268540220780071</v>
      </c>
      <c r="W69">
        <v>0</v>
      </c>
      <c r="X69">
        <v>0</v>
      </c>
      <c r="Y69">
        <v>0</v>
      </c>
      <c r="Z69" s="23"/>
      <c r="AA69" s="3">
        <f>'[1]Real petrol price'!GW44/100</f>
        <v>0.54299999999999993</v>
      </c>
      <c r="AB69" s="3">
        <f t="shared" si="5"/>
        <v>36.128175191372883</v>
      </c>
      <c r="AC69" s="4">
        <f t="shared" si="25"/>
        <v>10.64550281882074</v>
      </c>
      <c r="AD69" s="3">
        <f t="shared" si="21"/>
        <v>46.77367801019362</v>
      </c>
      <c r="AF69" s="4"/>
      <c r="AM69"/>
      <c r="AN69" s="9">
        <v>1990</v>
      </c>
      <c r="AO69" s="3">
        <f t="shared" si="6"/>
        <v>0.66534392617629623</v>
      </c>
      <c r="AP69" s="3">
        <f t="shared" si="7"/>
        <v>0.3612817519137288</v>
      </c>
      <c r="AQ69" s="3">
        <f t="shared" si="8"/>
        <v>0.1064550281882074</v>
      </c>
      <c r="AR69" s="3">
        <f t="shared" si="9"/>
        <v>0.4677367801019362</v>
      </c>
      <c r="AS69" s="3">
        <f t="shared" si="10"/>
        <v>0.19760714607436003</v>
      </c>
      <c r="AU69" s="3">
        <v>65.717691864602472</v>
      </c>
      <c r="AW69" s="3">
        <f t="shared" si="11"/>
        <v>1.0124274107908384</v>
      </c>
      <c r="AX69" s="3">
        <f t="shared" si="22"/>
        <v>1.0025455352473422</v>
      </c>
      <c r="AY69" s="3">
        <f t="shared" si="12"/>
        <v>0.71173646978595928</v>
      </c>
      <c r="AZ69" s="3">
        <f t="shared" si="24"/>
        <v>0.30069094100487914</v>
      </c>
      <c r="BA69" s="3">
        <f t="shared" si="14"/>
        <v>0.29080906546138302</v>
      </c>
      <c r="BB69" s="3">
        <f t="shared" si="15"/>
        <v>30.841832154633721</v>
      </c>
      <c r="BC69" s="9">
        <v>0</v>
      </c>
      <c r="BD69" s="9">
        <v>0</v>
      </c>
      <c r="BE69" s="45">
        <v>1</v>
      </c>
      <c r="BF69" s="9">
        <v>0</v>
      </c>
      <c r="BH69" s="3">
        <f t="shared" si="16"/>
        <v>1.1759708631991748</v>
      </c>
      <c r="BI69" s="3">
        <f t="shared" si="17"/>
        <v>1.1644927092208717</v>
      </c>
    </row>
    <row r="70" spans="1:61">
      <c r="A70">
        <v>1991</v>
      </c>
      <c r="B70" s="3">
        <f t="shared" si="18"/>
        <v>121.04530972933715</v>
      </c>
      <c r="C70" s="3">
        <f t="shared" si="0"/>
        <v>62.450351141377027</v>
      </c>
      <c r="D70" s="1">
        <v>87.497100000000003</v>
      </c>
      <c r="E70" s="3">
        <v>89.374380000000002</v>
      </c>
      <c r="F70" s="3">
        <f t="shared" si="19"/>
        <v>78.199990642979998</v>
      </c>
      <c r="G70">
        <v>0.84852074446051318</v>
      </c>
      <c r="H70" s="3">
        <f t="shared" si="20"/>
        <v>66.354314277186546</v>
      </c>
      <c r="I70" s="4">
        <f t="shared" si="1"/>
        <v>64.142416130355883</v>
      </c>
      <c r="J70" s="21">
        <f t="shared" si="2"/>
        <v>62.207644305803477</v>
      </c>
      <c r="K70" s="12"/>
      <c r="L70" s="4"/>
      <c r="Q70"/>
      <c r="R70" s="23"/>
      <c r="S70" s="21">
        <f t="shared" si="3"/>
        <v>19.242724839106756</v>
      </c>
      <c r="T70" s="21">
        <f t="shared" si="4"/>
        <v>17.30795301455435</v>
      </c>
      <c r="U70" s="27"/>
      <c r="V70">
        <f>USA!Z78*Austria!G70</f>
        <v>18.277136835679453</v>
      </c>
      <c r="W70">
        <v>0</v>
      </c>
      <c r="X70">
        <v>0</v>
      </c>
      <c r="Y70">
        <v>0</v>
      </c>
      <c r="Z70" s="23"/>
      <c r="AA70" s="3">
        <f>'[1]Real petrol price'!GW45/100</f>
        <v>0.54</v>
      </c>
      <c r="AB70" s="3">
        <f t="shared" si="5"/>
        <v>34.63690471039218</v>
      </c>
      <c r="AC70" s="4">
        <f t="shared" si="25"/>
        <v>10.262786580856943</v>
      </c>
      <c r="AD70" s="3">
        <f t="shared" si="21"/>
        <v>44.899691291249127</v>
      </c>
      <c r="AF70" s="4"/>
      <c r="AM70"/>
      <c r="AN70" s="9">
        <v>1991</v>
      </c>
      <c r="AO70" s="3">
        <f t="shared" si="6"/>
        <v>0.64142416130355884</v>
      </c>
      <c r="AP70" s="3">
        <f t="shared" si="7"/>
        <v>0.3463690471039218</v>
      </c>
      <c r="AQ70" s="3">
        <f t="shared" si="8"/>
        <v>0.10262786580856943</v>
      </c>
      <c r="AR70" s="3">
        <f t="shared" si="9"/>
        <v>0.44899691291249128</v>
      </c>
      <c r="AS70" s="3">
        <f t="shared" si="10"/>
        <v>0.19242724839106756</v>
      </c>
      <c r="AU70" s="3">
        <v>67.910971199491598</v>
      </c>
      <c r="AW70" s="3">
        <f t="shared" si="11"/>
        <v>0.9445074190138526</v>
      </c>
      <c r="AX70" s="3">
        <f t="shared" si="22"/>
        <v>0.92991447506595837</v>
      </c>
      <c r="AY70" s="3">
        <f t="shared" si="12"/>
        <v>0.66115519330969685</v>
      </c>
      <c r="AZ70" s="3">
        <f t="shared" si="24"/>
        <v>0.28335222570415575</v>
      </c>
      <c r="BA70" s="3">
        <f t="shared" si="14"/>
        <v>0.26875928175626151</v>
      </c>
      <c r="BB70" s="3">
        <f t="shared" si="15"/>
        <v>26.913378667475573</v>
      </c>
      <c r="BC70" s="9">
        <v>0</v>
      </c>
      <c r="BD70" s="9">
        <v>0</v>
      </c>
      <c r="BE70" s="45">
        <v>1</v>
      </c>
      <c r="BF70" s="9">
        <v>0</v>
      </c>
      <c r="BH70" s="3">
        <f t="shared" si="16"/>
        <v>1.0970793490944031</v>
      </c>
      <c r="BI70" s="3">
        <f t="shared" si="17"/>
        <v>1.0801291196674683</v>
      </c>
    </row>
    <row r="71" spans="1:61">
      <c r="A71">
        <v>1992</v>
      </c>
      <c r="B71" s="3">
        <f t="shared" si="18"/>
        <v>131.15866928348635</v>
      </c>
      <c r="C71" s="3">
        <f t="shared" si="0"/>
        <v>64.341860498266513</v>
      </c>
      <c r="D71" s="1">
        <v>94.807500000000005</v>
      </c>
      <c r="E71" s="3">
        <v>92.081370000000007</v>
      </c>
      <c r="F71" s="3">
        <f t="shared" si="19"/>
        <v>87.300044862750013</v>
      </c>
      <c r="G71">
        <v>0.79862357652086069</v>
      </c>
      <c r="H71" s="3">
        <f t="shared" si="20"/>
        <v>69.719874058721004</v>
      </c>
      <c r="I71" s="4">
        <f t="shared" si="1"/>
        <v>67.39578613907878</v>
      </c>
      <c r="J71" s="21">
        <f t="shared" si="2"/>
        <v>65.460739215255344</v>
      </c>
      <c r="K71" s="12"/>
      <c r="L71" s="4"/>
      <c r="Q71"/>
      <c r="R71" s="23"/>
      <c r="S71" s="21">
        <f t="shared" si="3"/>
        <v>18.196862257551274</v>
      </c>
      <c r="T71" s="21">
        <f t="shared" si="4"/>
        <v>16.261815333727839</v>
      </c>
      <c r="U71" s="27"/>
      <c r="V71">
        <f>USA!Z79*Austria!G71</f>
        <v>16.435673204799311</v>
      </c>
      <c r="W71">
        <v>0</v>
      </c>
      <c r="X71">
        <v>0</v>
      </c>
      <c r="Y71">
        <v>0</v>
      </c>
      <c r="Z71" s="23"/>
      <c r="AA71" s="3">
        <f>'[1]Real petrol price'!GW46/100</f>
        <v>0.56999999999999995</v>
      </c>
      <c r="AB71" s="3">
        <f t="shared" si="5"/>
        <v>38.415598099274902</v>
      </c>
      <c r="AC71" s="4">
        <f t="shared" si="25"/>
        <v>10.783325782252605</v>
      </c>
      <c r="AD71" s="3">
        <f t="shared" si="21"/>
        <v>49.198923881527506</v>
      </c>
      <c r="AF71" s="4"/>
      <c r="AM71"/>
      <c r="AN71" s="9">
        <v>1992</v>
      </c>
      <c r="AO71" s="3">
        <f t="shared" si="6"/>
        <v>0.67395786139078784</v>
      </c>
      <c r="AP71" s="3">
        <f t="shared" si="7"/>
        <v>0.384155980992749</v>
      </c>
      <c r="AQ71" s="3">
        <f t="shared" si="8"/>
        <v>0.10783325782252605</v>
      </c>
      <c r="AR71" s="3">
        <f t="shared" si="9"/>
        <v>0.49198923881527507</v>
      </c>
      <c r="AS71" s="3">
        <f t="shared" si="10"/>
        <v>0.18196862257551277</v>
      </c>
      <c r="AU71" s="3">
        <v>70.641567447637229</v>
      </c>
      <c r="AW71" s="3">
        <f t="shared" si="11"/>
        <v>0.9540528130131829</v>
      </c>
      <c r="AX71" s="3">
        <f t="shared" si="22"/>
        <v>0.94474731749461216</v>
      </c>
      <c r="AY71" s="3">
        <f t="shared" si="12"/>
        <v>0.69645855349962338</v>
      </c>
      <c r="AZ71" s="3">
        <f t="shared" si="24"/>
        <v>0.25759425951355952</v>
      </c>
      <c r="BA71" s="3">
        <f t="shared" si="14"/>
        <v>0.24828876399498884</v>
      </c>
      <c r="BB71" s="3">
        <f t="shared" si="15"/>
        <v>23.266291786322814</v>
      </c>
      <c r="BC71" s="9">
        <v>0</v>
      </c>
      <c r="BD71" s="9">
        <v>0</v>
      </c>
      <c r="BE71" s="45">
        <v>1</v>
      </c>
      <c r="BF71" s="9">
        <v>0</v>
      </c>
      <c r="BH71" s="3">
        <f t="shared" si="16"/>
        <v>1.1081666676530744</v>
      </c>
      <c r="BI71" s="3">
        <f t="shared" si="17"/>
        <v>1.0973579998109799</v>
      </c>
    </row>
    <row r="72" spans="1:61">
      <c r="A72">
        <v>1993</v>
      </c>
      <c r="B72" s="3">
        <f t="shared" si="18"/>
        <v>119.66382569962973</v>
      </c>
      <c r="C72" s="3">
        <f t="shared" si="0"/>
        <v>66.241014180537462</v>
      </c>
      <c r="D72" s="1">
        <v>86.498500000000007</v>
      </c>
      <c r="E72" s="3">
        <v>94.799300000000002</v>
      </c>
      <c r="F72" s="3">
        <f t="shared" si="19"/>
        <v>81.999972510500015</v>
      </c>
      <c r="G72">
        <v>0.8453449416073775</v>
      </c>
      <c r="H72" s="3">
        <f t="shared" si="20"/>
        <v>69.318261973695201</v>
      </c>
      <c r="I72" s="4">
        <f t="shared" si="1"/>
        <v>67.007561654185551</v>
      </c>
      <c r="J72" s="21">
        <f t="shared" si="2"/>
        <v>66.701286926558907</v>
      </c>
      <c r="K72" s="12"/>
      <c r="L72" s="4"/>
      <c r="P72" s="4"/>
      <c r="Q72" s="3"/>
      <c r="R72" s="23"/>
      <c r="S72" s="21">
        <f t="shared" si="3"/>
        <v>16.081814797004533</v>
      </c>
      <c r="T72" s="21">
        <f t="shared" si="4"/>
        <v>15.77554006937789</v>
      </c>
      <c r="U72" s="27"/>
      <c r="V72">
        <f>USA!Z80*Austria!G72</f>
        <v>15.579707273823967</v>
      </c>
      <c r="W72">
        <v>0</v>
      </c>
      <c r="X72">
        <v>0</v>
      </c>
      <c r="Y72">
        <v>0</v>
      </c>
      <c r="Z72" s="23"/>
      <c r="AA72" s="3">
        <f>'[1]Real petrol price'!GW47/100</f>
        <v>0.6</v>
      </c>
      <c r="AB72" s="3">
        <f t="shared" si="5"/>
        <v>40.204536992511329</v>
      </c>
      <c r="AC72" s="4">
        <f t="shared" si="25"/>
        <v>10.721209864669689</v>
      </c>
      <c r="AD72" s="3">
        <f t="shared" si="21"/>
        <v>50.925746857181018</v>
      </c>
      <c r="AF72" s="4"/>
      <c r="AM72"/>
      <c r="AN72" s="9">
        <v>1993</v>
      </c>
      <c r="AO72" s="3">
        <f t="shared" si="6"/>
        <v>0.67007561654185555</v>
      </c>
      <c r="AP72" s="3">
        <f t="shared" si="7"/>
        <v>0.40204536992511331</v>
      </c>
      <c r="AQ72" s="3">
        <f t="shared" si="8"/>
        <v>0.10721209864669688</v>
      </c>
      <c r="AR72" s="3">
        <f t="shared" si="9"/>
        <v>0.5092574685718102</v>
      </c>
      <c r="AS72" s="3">
        <f t="shared" si="10"/>
        <v>0.16081814797004534</v>
      </c>
      <c r="AU72" s="3">
        <v>73.207118004381073</v>
      </c>
      <c r="AW72" s="3">
        <f t="shared" si="11"/>
        <v>0.91531484206461311</v>
      </c>
      <c r="AX72" s="3">
        <f t="shared" si="22"/>
        <v>0.9327887546835647</v>
      </c>
      <c r="AY72" s="3">
        <f t="shared" si="12"/>
        <v>0.69563927996910591</v>
      </c>
      <c r="AZ72" s="3">
        <f t="shared" si="24"/>
        <v>0.2196755620955072</v>
      </c>
      <c r="BA72" s="3">
        <f t="shared" si="14"/>
        <v>0.23714947471445874</v>
      </c>
      <c r="BB72" s="3">
        <f t="shared" si="15"/>
        <v>21.281683664820136</v>
      </c>
      <c r="BC72" s="9">
        <v>0</v>
      </c>
      <c r="BD72" s="9">
        <v>0</v>
      </c>
      <c r="BE72" s="45">
        <v>1</v>
      </c>
      <c r="BF72" s="9">
        <v>0</v>
      </c>
      <c r="BH72" s="3">
        <f t="shared" si="16"/>
        <v>1.0631711206642882</v>
      </c>
      <c r="BI72" s="3">
        <f t="shared" si="17"/>
        <v>1.0834676988554339</v>
      </c>
    </row>
    <row r="73" spans="1:61">
      <c r="A73">
        <v>1994</v>
      </c>
      <c r="B73" s="3">
        <f t="shared" si="18"/>
        <v>123.73412643286152</v>
      </c>
      <c r="C73" s="3">
        <f t="shared" si="0"/>
        <v>67.968212466727536</v>
      </c>
      <c r="D73" s="1">
        <v>89.440700000000007</v>
      </c>
      <c r="E73" s="3">
        <v>97.271140000000003</v>
      </c>
      <c r="F73" s="3">
        <f t="shared" si="19"/>
        <v>86.99998851398</v>
      </c>
      <c r="G73">
        <v>0.83005457729845999</v>
      </c>
      <c r="H73" s="3">
        <f t="shared" si="20"/>
        <v>72.214738690942539</v>
      </c>
      <c r="I73" s="4">
        <f t="shared" si="1"/>
        <v>69.80748532054227</v>
      </c>
      <c r="J73" s="21">
        <f t="shared" si="2"/>
        <v>72.049198355780405</v>
      </c>
      <c r="K73" s="12"/>
      <c r="L73" s="4"/>
      <c r="P73" s="4"/>
      <c r="Q73" s="3"/>
      <c r="R73" s="23"/>
      <c r="S73" s="21">
        <f t="shared" si="3"/>
        <v>23.734545008984369</v>
      </c>
      <c r="T73" s="21">
        <f t="shared" si="4"/>
        <v>25.976258044222504</v>
      </c>
      <c r="U73" s="27"/>
      <c r="V73">
        <f>USA!Z81*Austria!G73</f>
        <v>14.276938729533512</v>
      </c>
      <c r="W73">
        <v>1</v>
      </c>
      <c r="X73">
        <v>0</v>
      </c>
      <c r="Y73">
        <v>0</v>
      </c>
      <c r="Z73" s="23"/>
      <c r="AA73" s="3">
        <f>'[1]Real petrol price'!GW48/100</f>
        <v>0.5</v>
      </c>
      <c r="AB73" s="3">
        <f>I73*AA73</f>
        <v>34.903742660271135</v>
      </c>
      <c r="AC73" s="4">
        <f t="shared" si="25"/>
        <v>11.169197651286765</v>
      </c>
      <c r="AD73" s="3">
        <f t="shared" si="21"/>
        <v>46.0729403115579</v>
      </c>
      <c r="AF73" s="4"/>
      <c r="AM73"/>
      <c r="AN73" s="9">
        <v>1994</v>
      </c>
      <c r="AO73" s="3">
        <f t="shared" si="6"/>
        <v>0.69807485320542273</v>
      </c>
      <c r="AP73" s="3">
        <f t="shared" si="7"/>
        <v>0.34903742660271136</v>
      </c>
      <c r="AQ73" s="3">
        <f t="shared" si="8"/>
        <v>0.11169197651286765</v>
      </c>
      <c r="AR73" s="3">
        <f t="shared" si="9"/>
        <v>0.46072940311557903</v>
      </c>
      <c r="AS73" s="3">
        <f t="shared" si="10"/>
        <v>0.2373454500898437</v>
      </c>
      <c r="AU73" s="3">
        <v>75.369222152020726</v>
      </c>
      <c r="AW73" s="3">
        <f t="shared" si="11"/>
        <v>0.92620679008388396</v>
      </c>
      <c r="AX73" s="3">
        <f t="shared" si="22"/>
        <v>0.93108918392510365</v>
      </c>
      <c r="AY73" s="3">
        <f t="shared" si="12"/>
        <v>0.61129648145536342</v>
      </c>
      <c r="AZ73" s="3">
        <f t="shared" si="24"/>
        <v>0.31491030862852054</v>
      </c>
      <c r="BA73" s="3">
        <f t="shared" si="14"/>
        <v>0.31979270246974029</v>
      </c>
      <c r="BB73" s="3">
        <f t="shared" si="15"/>
        <v>18.942664289060509</v>
      </c>
      <c r="BC73" s="9">
        <v>0</v>
      </c>
      <c r="BD73" s="9">
        <v>0</v>
      </c>
      <c r="BE73" s="9">
        <v>0</v>
      </c>
      <c r="BF73" s="9">
        <v>0</v>
      </c>
      <c r="BH73" s="3">
        <f t="shared" si="16"/>
        <v>1.0758225101640424</v>
      </c>
      <c r="BI73" s="3">
        <f t="shared" si="17"/>
        <v>1.0814935862715656</v>
      </c>
    </row>
    <row r="74" spans="1:61">
      <c r="A74">
        <v>1995</v>
      </c>
      <c r="B74" s="3">
        <f t="shared" si="18"/>
        <v>150.10115884564269</v>
      </c>
      <c r="C74" s="3">
        <f t="shared" si="0"/>
        <v>69.875003486879606</v>
      </c>
      <c r="D74" s="1">
        <v>108.5</v>
      </c>
      <c r="E74" s="3">
        <v>100</v>
      </c>
      <c r="F74" s="3">
        <f t="shared" si="19"/>
        <v>108.5</v>
      </c>
      <c r="G74">
        <v>0.7326511776632777</v>
      </c>
      <c r="H74" s="3">
        <f t="shared" si="20"/>
        <v>79.492652776465633</v>
      </c>
      <c r="I74" s="4">
        <f t="shared" si="1"/>
        <v>76.842792653905818</v>
      </c>
      <c r="J74" s="21">
        <f t="shared" si="2"/>
        <v>78.631293695181782</v>
      </c>
      <c r="K74" s="12"/>
      <c r="L74" s="4"/>
      <c r="P74" s="4">
        <f t="shared" ref="P74:P88" si="26">G74*Q74</f>
        <v>84.254885431276932</v>
      </c>
      <c r="Q74" s="6">
        <v>115</v>
      </c>
      <c r="R74" s="23"/>
      <c r="S74" s="21">
        <f t="shared" si="3"/>
        <v>23.747945829280887</v>
      </c>
      <c r="T74" s="21">
        <f t="shared" si="4"/>
        <v>25.536446870556851</v>
      </c>
      <c r="U74" s="27"/>
      <c r="V74">
        <f>USA!Z82*Austria!G74</f>
        <v>13.502761204334208</v>
      </c>
      <c r="W74">
        <v>1</v>
      </c>
      <c r="X74">
        <v>0</v>
      </c>
      <c r="Y74">
        <v>0</v>
      </c>
      <c r="Z74" s="23"/>
      <c r="AA74" s="3">
        <f>'[1]Real petrol price'!GW49/100</f>
        <v>0.5</v>
      </c>
      <c r="AB74" s="3">
        <v>40.799999999999997</v>
      </c>
      <c r="AC74" s="4">
        <f t="shared" si="25"/>
        <v>12.294846824624933</v>
      </c>
      <c r="AD74" s="3">
        <f t="shared" si="21"/>
        <v>53.094846824624931</v>
      </c>
      <c r="AF74" s="4"/>
      <c r="AM74"/>
      <c r="AN74" s="9">
        <v>1995</v>
      </c>
      <c r="AO74" s="3">
        <f t="shared" si="6"/>
        <v>0.76842792653905823</v>
      </c>
      <c r="AP74" s="3">
        <f t="shared" si="7"/>
        <v>0.40799999999999997</v>
      </c>
      <c r="AQ74" s="3">
        <f t="shared" si="8"/>
        <v>0.12294846824624933</v>
      </c>
      <c r="AR74" s="3">
        <f t="shared" si="9"/>
        <v>0.53094846824624931</v>
      </c>
      <c r="AS74" s="3">
        <f t="shared" si="10"/>
        <v>0.23747945829280892</v>
      </c>
      <c r="AU74" s="3">
        <v>77.060028148859189</v>
      </c>
      <c r="AW74" s="3">
        <f t="shared" si="11"/>
        <v>0.99718095749285574</v>
      </c>
      <c r="AX74" s="3">
        <f t="shared" si="22"/>
        <v>1.0008272729197947</v>
      </c>
      <c r="AY74" s="3">
        <f t="shared" si="12"/>
        <v>0.68900632532939132</v>
      </c>
      <c r="AZ74" s="3">
        <f t="shared" si="24"/>
        <v>0.30817463216346441</v>
      </c>
      <c r="BA74" s="3">
        <f t="shared" si="14"/>
        <v>0.31182094759040341</v>
      </c>
      <c r="BB74" s="3">
        <f t="shared" si="15"/>
        <v>17.52239329351206</v>
      </c>
      <c r="BC74" s="9">
        <v>0</v>
      </c>
      <c r="BD74" s="9">
        <v>0</v>
      </c>
      <c r="BE74" s="9">
        <v>0</v>
      </c>
      <c r="BF74" s="9">
        <v>0</v>
      </c>
      <c r="BH74" s="3">
        <f t="shared" si="16"/>
        <v>1.1582615591498608</v>
      </c>
      <c r="BI74" s="3">
        <f t="shared" si="17"/>
        <v>1.1624968857070155</v>
      </c>
    </row>
    <row r="75" spans="1:61">
      <c r="A75">
        <v>1996</v>
      </c>
      <c r="B75" s="3">
        <f t="shared" si="18"/>
        <v>142.19767570753069</v>
      </c>
      <c r="C75" s="3">
        <f t="shared" si="0"/>
        <v>71.923179589087013</v>
      </c>
      <c r="D75" s="1">
        <v>102.78700000000001</v>
      </c>
      <c r="E75" s="3">
        <v>102.9312</v>
      </c>
      <c r="F75" s="3">
        <f t="shared" si="19"/>
        <v>105.79989254400002</v>
      </c>
      <c r="G75">
        <v>0.76935822620146366</v>
      </c>
      <c r="H75" s="3">
        <f t="shared" si="20"/>
        <v>81.398017659957318</v>
      </c>
      <c r="I75" s="20">
        <f t="shared" si="1"/>
        <v>78.684642857142862</v>
      </c>
      <c r="J75" s="21">
        <f t="shared" si="2"/>
        <v>80.923116944094545</v>
      </c>
      <c r="K75" s="12"/>
      <c r="L75" s="4">
        <f>L$79*M75/M$79</f>
        <v>78.684642857142862</v>
      </c>
      <c r="M75">
        <v>71.3</v>
      </c>
      <c r="P75" s="4">
        <f t="shared" si="26"/>
        <v>85.655215850429613</v>
      </c>
      <c r="Q75" s="3">
        <f>Q74+(Q$77-Q$74)/3</f>
        <v>111.33333333333333</v>
      </c>
      <c r="R75" s="23"/>
      <c r="S75" s="21">
        <f t="shared" si="3"/>
        <v>25.295100000000005</v>
      </c>
      <c r="T75" s="21">
        <f t="shared" si="4"/>
        <v>27.533574086951681</v>
      </c>
      <c r="U75" s="27"/>
      <c r="V75">
        <f>USA!Z83*Austria!G75</f>
        <v>17.018203963576376</v>
      </c>
      <c r="W75">
        <v>1</v>
      </c>
      <c r="X75">
        <v>0</v>
      </c>
      <c r="Y75">
        <v>0</v>
      </c>
      <c r="Z75" s="23"/>
      <c r="AA75" s="3">
        <f>'[1]Real petrol price'!GW50/100</f>
        <v>0.49</v>
      </c>
      <c r="AB75" s="3">
        <v>40.799999999999997</v>
      </c>
      <c r="AC75" s="4">
        <f t="shared" si="25"/>
        <v>12.58954285714286</v>
      </c>
      <c r="AD75" s="3">
        <f>AB75+AC75</f>
        <v>53.389542857142857</v>
      </c>
      <c r="AF75" s="4"/>
      <c r="AM75"/>
      <c r="AN75" s="9">
        <v>1996</v>
      </c>
      <c r="AO75" s="3">
        <f t="shared" si="6"/>
        <v>0.78684642857142861</v>
      </c>
      <c r="AP75" s="3">
        <f t="shared" si="7"/>
        <v>0.40799999999999997</v>
      </c>
      <c r="AQ75" s="3">
        <f t="shared" si="8"/>
        <v>0.1258954285714286</v>
      </c>
      <c r="AR75" s="3">
        <f t="shared" si="9"/>
        <v>0.53389542857142858</v>
      </c>
      <c r="AS75" s="3">
        <f t="shared" si="10"/>
        <v>0.25295100000000004</v>
      </c>
      <c r="AU75" s="3">
        <v>78.494095237102144</v>
      </c>
      <c r="AW75" s="3">
        <f t="shared" si="11"/>
        <v>1.0024275408164798</v>
      </c>
      <c r="AX75" s="3">
        <f t="shared" si="22"/>
        <v>1.0153345512842751</v>
      </c>
      <c r="AY75" s="3">
        <f t="shared" si="12"/>
        <v>0.68017272759017666</v>
      </c>
      <c r="AZ75" s="3">
        <f t="shared" si="24"/>
        <v>0.32225481322630312</v>
      </c>
      <c r="BA75" s="3">
        <f t="shared" si="14"/>
        <v>0.33516182369409847</v>
      </c>
      <c r="BB75" s="3">
        <f t="shared" si="15"/>
        <v>21.680871551128227</v>
      </c>
      <c r="BC75" s="9">
        <v>0</v>
      </c>
      <c r="BD75" s="9">
        <v>0</v>
      </c>
      <c r="BE75" s="9">
        <v>0</v>
      </c>
      <c r="BF75" s="9">
        <v>0</v>
      </c>
      <c r="BH75" s="3">
        <f t="shared" si="16"/>
        <v>1.1643556544441684</v>
      </c>
      <c r="BI75" s="3">
        <f t="shared" si="17"/>
        <v>1.1793476114767005</v>
      </c>
    </row>
    <row r="76" spans="1:61">
      <c r="A76">
        <v>1997</v>
      </c>
      <c r="B76" s="3">
        <f t="shared" si="18"/>
        <v>122.72684214680909</v>
      </c>
      <c r="C76" s="3">
        <f t="shared" si="0"/>
        <v>73.604511922988308</v>
      </c>
      <c r="D76" s="1">
        <v>90.186400000000006</v>
      </c>
      <c r="E76" s="3">
        <v>105.3374</v>
      </c>
      <c r="F76" s="3">
        <f t="shared" si="19"/>
        <v>95.000008913600013</v>
      </c>
      <c r="G76">
        <v>0.88691380275139342</v>
      </c>
      <c r="H76" s="3">
        <f t="shared" si="20"/>
        <v>84.256819166977252</v>
      </c>
      <c r="I76" s="4">
        <f>H76*L$77/H$77</f>
        <v>80.117135021130878</v>
      </c>
      <c r="J76" s="21">
        <f t="shared" si="2"/>
        <v>81.868742142837391</v>
      </c>
      <c r="K76" s="12"/>
      <c r="L76" s="4">
        <f>L$79*M76/M$79</f>
        <v>80.450357142857158</v>
      </c>
      <c r="M76">
        <v>72.900000000000006</v>
      </c>
      <c r="P76" s="4">
        <f t="shared" si="26"/>
        <v>95.491052762900011</v>
      </c>
      <c r="Q76" s="3">
        <f>Q75+(Q$77-Q$74)/3</f>
        <v>107.66666666666666</v>
      </c>
      <c r="R76" s="23"/>
      <c r="S76" s="21">
        <f t="shared" si="3"/>
        <v>26.498393417749938</v>
      </c>
      <c r="T76" s="21">
        <f t="shared" si="4"/>
        <v>28.250000539456451</v>
      </c>
      <c r="U76" s="27"/>
      <c r="V76">
        <f>USA!Z84*Austria!G76</f>
        <v>18.279293474706218</v>
      </c>
      <c r="W76">
        <v>1</v>
      </c>
      <c r="X76">
        <v>0</v>
      </c>
      <c r="Y76">
        <v>0</v>
      </c>
      <c r="Z76" s="23"/>
      <c r="AA76" s="3">
        <f>'[1]Real petrol price'!GW51/100</f>
        <v>0.49</v>
      </c>
      <c r="AB76" s="3">
        <v>40.799999999999997</v>
      </c>
      <c r="AC76" s="4">
        <f t="shared" si="25"/>
        <v>12.818741603380941</v>
      </c>
      <c r="AD76" s="3">
        <f>AB76+AC76</f>
        <v>53.61874160338094</v>
      </c>
      <c r="AF76" s="4"/>
      <c r="AM76"/>
      <c r="AN76" s="9">
        <v>1997</v>
      </c>
      <c r="AO76" s="3">
        <f t="shared" si="6"/>
        <v>0.80117135021130881</v>
      </c>
      <c r="AP76" s="3">
        <f t="shared" si="7"/>
        <v>0.40799999999999997</v>
      </c>
      <c r="AQ76" s="3">
        <f t="shared" si="8"/>
        <v>0.1281874160338094</v>
      </c>
      <c r="AR76" s="3">
        <f t="shared" si="9"/>
        <v>0.53618741603380937</v>
      </c>
      <c r="AS76" s="3">
        <f t="shared" si="10"/>
        <v>0.26498393417749944</v>
      </c>
      <c r="AU76" s="3">
        <v>79.519214776902501</v>
      </c>
      <c r="AW76" s="3">
        <f t="shared" ref="AW76:AW97" si="27">AO76/$AU76*100</f>
        <v>1.0075191920079429</v>
      </c>
      <c r="AX76" s="3">
        <f t="shared" si="22"/>
        <v>1.0167810160359623</v>
      </c>
      <c r="AY76" s="3">
        <f t="shared" ref="AY76:AY97" si="28">AR76/$AU76*100</f>
        <v>0.67428660800804674</v>
      </c>
      <c r="AZ76" s="3">
        <f t="shared" si="24"/>
        <v>0.33323258399989619</v>
      </c>
      <c r="BA76" s="3">
        <f t="shared" ref="BA76:BA97" si="29">AX$99+AX$100*BB76+AX$101*BC76+AX$102*BD76+AX$103*BE76+AX$104*BF76</f>
        <v>0.34249440802791542</v>
      </c>
      <c r="BB76" s="3">
        <f t="shared" ref="BB76:BB96" si="30">V76/AU76*100</f>
        <v>22.987266066434678</v>
      </c>
      <c r="BC76" s="9">
        <v>0</v>
      </c>
      <c r="BD76" s="9">
        <v>0</v>
      </c>
      <c r="BE76" s="9">
        <v>0</v>
      </c>
      <c r="BF76" s="9">
        <v>0</v>
      </c>
      <c r="BH76" s="3">
        <f t="shared" si="16"/>
        <v>1.1702697904927539</v>
      </c>
      <c r="BI76" s="3">
        <f t="shared" si="17"/>
        <v>1.1810277323273402</v>
      </c>
    </row>
    <row r="77" spans="1:61">
      <c r="A77">
        <v>1998</v>
      </c>
      <c r="B77" s="3">
        <f t="shared" si="18"/>
        <v>112.58211594063778</v>
      </c>
      <c r="C77" s="3">
        <f t="shared" si="0"/>
        <v>74.747038105002289</v>
      </c>
      <c r="D77" s="1">
        <v>82.731499999999997</v>
      </c>
      <c r="E77" s="3">
        <v>106.9725</v>
      </c>
      <c r="F77" s="3">
        <f t="shared" si="19"/>
        <v>88.499953837500001</v>
      </c>
      <c r="G77">
        <v>0.89962428144735196</v>
      </c>
      <c r="H77" s="3">
        <f t="shared" si="20"/>
        <v>79.61670737918476</v>
      </c>
      <c r="I77" s="4">
        <f>H77*L$77/H$77</f>
        <v>75.704999999999998</v>
      </c>
      <c r="J77" s="21">
        <f t="shared" si="2"/>
        <v>78.148051512101688</v>
      </c>
      <c r="K77" s="12"/>
      <c r="L77" s="4">
        <f>L$79*M77/M$79</f>
        <v>75.704999999999998</v>
      </c>
      <c r="M77">
        <v>68.599999999999994</v>
      </c>
      <c r="P77" s="4">
        <f t="shared" si="26"/>
        <v>93.560925270524606</v>
      </c>
      <c r="Q77" s="6">
        <v>104</v>
      </c>
      <c r="R77" s="23"/>
      <c r="S77" s="21">
        <f t="shared" si="3"/>
        <v>22.792200000000001</v>
      </c>
      <c r="T77" s="21">
        <f t="shared" si="4"/>
        <v>25.235251512101684</v>
      </c>
      <c r="U77" s="27"/>
      <c r="V77">
        <f>USA!Z85*Austria!G77</f>
        <v>12.972582138470814</v>
      </c>
      <c r="W77">
        <v>1</v>
      </c>
      <c r="X77">
        <v>0</v>
      </c>
      <c r="Y77">
        <v>0</v>
      </c>
      <c r="Z77" s="23"/>
      <c r="AA77" s="3">
        <f>'[1]Real petrol price'!GW52/100</f>
        <v>0.49</v>
      </c>
      <c r="AB77" s="3">
        <v>40.799999999999997</v>
      </c>
      <c r="AC77" s="4">
        <f t="shared" si="25"/>
        <v>12.1128</v>
      </c>
      <c r="AD77" s="3">
        <f>AB77+AC77</f>
        <v>52.912799999999997</v>
      </c>
      <c r="AF77" s="4"/>
      <c r="AM77"/>
      <c r="AN77" s="9">
        <v>1998</v>
      </c>
      <c r="AO77" s="3">
        <f t="shared" si="6"/>
        <v>0.75705</v>
      </c>
      <c r="AP77" s="3">
        <f t="shared" si="7"/>
        <v>0.40799999999999997</v>
      </c>
      <c r="AQ77" s="3">
        <f t="shared" si="8"/>
        <v>0.121128</v>
      </c>
      <c r="AR77" s="3">
        <f t="shared" si="9"/>
        <v>0.52912799999999993</v>
      </c>
      <c r="AS77" s="3">
        <f t="shared" si="10"/>
        <v>0.22792200000000007</v>
      </c>
      <c r="AU77" s="3">
        <v>80.252753212359337</v>
      </c>
      <c r="AW77" s="3">
        <f t="shared" si="27"/>
        <v>0.94333212219741069</v>
      </c>
      <c r="AX77" s="3">
        <f t="shared" si="22"/>
        <v>0.96352710153522303</v>
      </c>
      <c r="AY77" s="3">
        <f t="shared" si="28"/>
        <v>0.65932691256069142</v>
      </c>
      <c r="AZ77" s="3">
        <f t="shared" si="24"/>
        <v>0.28400520963671927</v>
      </c>
      <c r="BA77" s="3">
        <f t="shared" si="29"/>
        <v>0.3042001889745316</v>
      </c>
      <c r="BB77" s="3">
        <f t="shared" si="30"/>
        <v>16.164656811391449</v>
      </c>
      <c r="BC77" s="9">
        <v>0</v>
      </c>
      <c r="BD77" s="9">
        <v>0</v>
      </c>
      <c r="BE77" s="9">
        <v>0</v>
      </c>
      <c r="BF77" s="9">
        <v>0</v>
      </c>
      <c r="BH77" s="3">
        <f t="shared" si="16"/>
        <v>1.0957141995567519</v>
      </c>
      <c r="BI77" s="3">
        <f t="shared" si="17"/>
        <v>1.1191713946416082</v>
      </c>
    </row>
    <row r="78" spans="1:61">
      <c r="A78">
        <v>1999</v>
      </c>
      <c r="B78" s="3">
        <f t="shared" si="18"/>
        <v>108.86505472825974</v>
      </c>
      <c r="C78" s="3">
        <f t="shared" si="0"/>
        <v>75.889564287016256</v>
      </c>
      <c r="D78" s="19">
        <v>80</v>
      </c>
      <c r="E78" s="3">
        <v>108.60760000000001</v>
      </c>
      <c r="F78" s="3">
        <f t="shared" si="19"/>
        <v>86.886080000000007</v>
      </c>
      <c r="G78" s="12">
        <v>0.93862699999999999</v>
      </c>
      <c r="H78" s="3">
        <f t="shared" si="20"/>
        <v>81.553620612160003</v>
      </c>
      <c r="I78" s="20">
        <f>H78*L$77/H$77</f>
        <v>77.546749315304226</v>
      </c>
      <c r="J78" s="21">
        <f t="shared" si="2"/>
        <v>80.393941875614445</v>
      </c>
      <c r="K78" s="12"/>
      <c r="L78" s="4">
        <f>L$79*M78/M$79</f>
        <v>77.801785714285714</v>
      </c>
      <c r="M78">
        <v>70.5</v>
      </c>
      <c r="P78" s="4">
        <f t="shared" si="26"/>
        <v>87.292310999999998</v>
      </c>
      <c r="Q78" s="3">
        <f>(Q77+Q79)/2</f>
        <v>93</v>
      </c>
      <c r="R78" s="23"/>
      <c r="S78" s="21">
        <f t="shared" si="3"/>
        <v>24.339269424855551</v>
      </c>
      <c r="T78" s="21">
        <f t="shared" si="4"/>
        <v>27.186461985165778</v>
      </c>
      <c r="U78" s="27"/>
      <c r="V78">
        <f>USA!Z86*Austria!G78</f>
        <v>16.40719996</v>
      </c>
      <c r="W78">
        <v>1</v>
      </c>
      <c r="X78">
        <v>0</v>
      </c>
      <c r="Y78">
        <v>0</v>
      </c>
      <c r="Z78" s="23"/>
      <c r="AA78" s="3">
        <f>'[1]Real petrol price'!GW53/100</f>
        <v>0.49</v>
      </c>
      <c r="AB78" s="3">
        <v>40.799999999999997</v>
      </c>
      <c r="AC78" s="4">
        <f t="shared" si="25"/>
        <v>12.407479890448677</v>
      </c>
      <c r="AD78" s="3">
        <f>AB78+AC78</f>
        <v>53.207479890448674</v>
      </c>
      <c r="AF78" s="4"/>
      <c r="AM78"/>
      <c r="AN78" s="9">
        <v>1999</v>
      </c>
      <c r="AO78" s="3">
        <f t="shared" si="6"/>
        <v>0.77546749315304231</v>
      </c>
      <c r="AP78" s="3">
        <f t="shared" si="7"/>
        <v>0.40799999999999997</v>
      </c>
      <c r="AQ78" s="3">
        <f t="shared" si="8"/>
        <v>0.12407479890448676</v>
      </c>
      <c r="AR78" s="3">
        <f t="shared" si="9"/>
        <v>0.53207479890448672</v>
      </c>
      <c r="AS78" s="3">
        <f t="shared" si="10"/>
        <v>0.24339269424855559</v>
      </c>
      <c r="AU78" s="3">
        <v>80.709380544015971</v>
      </c>
      <c r="AW78" s="3">
        <f t="shared" si="27"/>
        <v>0.96081457685099003</v>
      </c>
      <c r="AX78" s="3">
        <f t="shared" si="22"/>
        <v>0.98682030278270694</v>
      </c>
      <c r="AY78" s="3">
        <f t="shared" si="28"/>
        <v>0.65924777927679978</v>
      </c>
      <c r="AZ78" s="3">
        <f t="shared" si="24"/>
        <v>0.30156679757419025</v>
      </c>
      <c r="BA78" s="3">
        <f t="shared" si="29"/>
        <v>0.32757252350590715</v>
      </c>
      <c r="BB78" s="3">
        <f t="shared" si="30"/>
        <v>20.328739793823729</v>
      </c>
      <c r="BC78" s="9">
        <v>0</v>
      </c>
      <c r="BD78" s="9">
        <v>0</v>
      </c>
      <c r="BE78" s="9">
        <v>0</v>
      </c>
      <c r="BF78" s="9">
        <v>0</v>
      </c>
      <c r="BH78" s="3">
        <f t="shared" si="16"/>
        <v>1.116020699628447</v>
      </c>
      <c r="BI78" s="3">
        <f t="shared" si="17"/>
        <v>1.1462272859437599</v>
      </c>
    </row>
    <row r="79" spans="1:61">
      <c r="A79">
        <v>2000</v>
      </c>
      <c r="B79" s="3">
        <f t="shared" si="18"/>
        <v>108.16642199960209</v>
      </c>
      <c r="C79" s="3">
        <f t="shared" si="0"/>
        <v>78.958238837304293</v>
      </c>
      <c r="D79" s="2">
        <f>F79/E79*100</f>
        <v>75.58129114385487</v>
      </c>
      <c r="E79" s="2">
        <v>112.9992628224058</v>
      </c>
      <c r="F79" s="2">
        <f>I79/G79</f>
        <v>85.406301824212278</v>
      </c>
      <c r="G79" s="12">
        <v>1.0853999999999999</v>
      </c>
      <c r="H79" s="5">
        <f t="shared" ref="H79:H89" si="31">(T79+AB79)+0.2*(T79+AB79)</f>
        <v>90.820970690342335</v>
      </c>
      <c r="I79" s="5">
        <f t="shared" ref="I79:I89" si="32">L79</f>
        <v>92.7</v>
      </c>
      <c r="J79" s="21">
        <f t="shared" si="2"/>
        <v>90.51614224195194</v>
      </c>
      <c r="K79" s="12"/>
      <c r="L79">
        <v>92.7</v>
      </c>
      <c r="M79">
        <v>84</v>
      </c>
      <c r="P79" s="4">
        <f t="shared" si="26"/>
        <v>89.002799999999993</v>
      </c>
      <c r="Q79" s="6">
        <v>82</v>
      </c>
      <c r="R79" s="23"/>
      <c r="S79" s="21">
        <f t="shared" si="3"/>
        <v>37.068000000000005</v>
      </c>
      <c r="T79" s="21">
        <f t="shared" si="4"/>
        <v>34.884142241951949</v>
      </c>
      <c r="U79" s="27"/>
      <c r="V79">
        <f>USA!Z87*Austria!G79</f>
        <v>29.957039999999999</v>
      </c>
      <c r="W79">
        <v>1</v>
      </c>
      <c r="X79">
        <v>0</v>
      </c>
      <c r="Y79">
        <v>0</v>
      </c>
      <c r="Z79" s="23"/>
      <c r="AB79" s="3">
        <v>40.799999999999997</v>
      </c>
      <c r="AC79" s="4">
        <f t="shared" si="25"/>
        <v>14.832000000000003</v>
      </c>
      <c r="AD79" s="3">
        <f t="shared" ref="AD79:AD97" si="33">AB79+AC79</f>
        <v>55.631999999999998</v>
      </c>
      <c r="AE79">
        <v>56.9</v>
      </c>
      <c r="AM79"/>
      <c r="AN79" s="9">
        <v>2000</v>
      </c>
      <c r="AO79" s="3">
        <f t="shared" si="6"/>
        <v>0.92700000000000005</v>
      </c>
      <c r="AP79" s="3">
        <f t="shared" si="7"/>
        <v>0.40799999999999997</v>
      </c>
      <c r="AQ79" s="3">
        <f t="shared" si="8"/>
        <v>0.14832000000000004</v>
      </c>
      <c r="AR79" s="3">
        <f t="shared" si="9"/>
        <v>0.55631999999999993</v>
      </c>
      <c r="AS79" s="3">
        <f t="shared" si="10"/>
        <v>0.37068000000000012</v>
      </c>
      <c r="AU79" s="3">
        <v>82.601908981390821</v>
      </c>
      <c r="AW79" s="3">
        <f t="shared" si="27"/>
        <v>1.1222500925600176</v>
      </c>
      <c r="AX79" s="3">
        <f t="shared" si="22"/>
        <v>1.0905254495655077</v>
      </c>
      <c r="AY79" s="3">
        <f t="shared" si="28"/>
        <v>0.67349533062889844</v>
      </c>
      <c r="AZ79" s="3">
        <f t="shared" si="24"/>
        <v>0.44875476193111918</v>
      </c>
      <c r="BA79" s="3">
        <f t="shared" si="29"/>
        <v>0.4170301189366093</v>
      </c>
      <c r="BB79" s="3">
        <f t="shared" si="30"/>
        <v>36.266764738753125</v>
      </c>
      <c r="BC79" s="9">
        <v>0</v>
      </c>
      <c r="BD79" s="9">
        <v>0</v>
      </c>
      <c r="BE79" s="9">
        <v>0</v>
      </c>
      <c r="BF79" s="9">
        <v>0</v>
      </c>
      <c r="BH79" s="3">
        <f t="shared" si="16"/>
        <v>1.3035338593235766</v>
      </c>
      <c r="BI79" s="3">
        <f t="shared" si="17"/>
        <v>1.266684545082077</v>
      </c>
    </row>
    <row r="80" spans="1:61">
      <c r="A80">
        <v>2001</v>
      </c>
      <c r="B80" s="3">
        <f t="shared" si="18"/>
        <v>98.432661538724759</v>
      </c>
      <c r="C80" s="3">
        <f t="shared" si="0"/>
        <v>81.182199298191421</v>
      </c>
      <c r="D80" s="2">
        <f t="shared" ref="D80:D89" si="34">F80/E80*100</f>
        <v>68.779825682412309</v>
      </c>
      <c r="E80" s="2">
        <v>116.1820325539375</v>
      </c>
      <c r="F80" s="2">
        <f t="shared" ref="F80:F89" si="35">I80/G80</f>
        <v>79.909799464881743</v>
      </c>
      <c r="G80" s="12">
        <v>1.11751</v>
      </c>
      <c r="H80" s="5">
        <f t="shared" si="31"/>
        <v>88.012136061449112</v>
      </c>
      <c r="I80" s="5">
        <f t="shared" si="32"/>
        <v>89.3</v>
      </c>
      <c r="J80" s="21">
        <f t="shared" si="2"/>
        <v>87.631446717874255</v>
      </c>
      <c r="K80" s="12"/>
      <c r="L80">
        <v>89.3</v>
      </c>
      <c r="M80">
        <v>81.3</v>
      </c>
      <c r="P80" s="4">
        <f t="shared" si="26"/>
        <v>92.753330000000005</v>
      </c>
      <c r="Q80" s="3">
        <f>(Q79+Q81)/2</f>
        <v>83</v>
      </c>
      <c r="R80" s="23"/>
      <c r="S80" s="21">
        <f t="shared" si="3"/>
        <v>34.212000000000003</v>
      </c>
      <c r="T80" s="21">
        <f t="shared" si="4"/>
        <v>32.543446717874261</v>
      </c>
      <c r="U80" s="27"/>
      <c r="V80">
        <f>USA!Z88*Austria!G80</f>
        <v>25.836831200000002</v>
      </c>
      <c r="W80">
        <v>1</v>
      </c>
      <c r="X80">
        <v>0</v>
      </c>
      <c r="Y80">
        <v>0</v>
      </c>
      <c r="Z80" s="23"/>
      <c r="AB80" s="3">
        <v>40.799999999999997</v>
      </c>
      <c r="AC80" s="4">
        <f t="shared" si="25"/>
        <v>14.288</v>
      </c>
      <c r="AD80" s="3">
        <f t="shared" si="33"/>
        <v>55.087999999999994</v>
      </c>
      <c r="AE80">
        <v>56.4</v>
      </c>
      <c r="AM80"/>
      <c r="AN80" s="9">
        <v>2001</v>
      </c>
      <c r="AO80" s="3">
        <f t="shared" si="6"/>
        <v>0.89300000000000002</v>
      </c>
      <c r="AP80" s="3">
        <f t="shared" si="7"/>
        <v>0.40799999999999997</v>
      </c>
      <c r="AQ80" s="3">
        <f t="shared" si="8"/>
        <v>0.14288000000000001</v>
      </c>
      <c r="AR80" s="3">
        <f t="shared" si="9"/>
        <v>0.55087999999999993</v>
      </c>
      <c r="AS80" s="3">
        <f t="shared" si="10"/>
        <v>0.34212000000000009</v>
      </c>
      <c r="AU80" s="3">
        <v>84.790859569397682</v>
      </c>
      <c r="AW80" s="3">
        <f t="shared" si="27"/>
        <v>1.0531795579559113</v>
      </c>
      <c r="AX80" s="3">
        <f t="shared" si="22"/>
        <v>1.0341934646471536</v>
      </c>
      <c r="AY80" s="3">
        <f t="shared" si="28"/>
        <v>0.64969267064585923</v>
      </c>
      <c r="AZ80" s="3">
        <f t="shared" si="24"/>
        <v>0.40348688731005211</v>
      </c>
      <c r="BA80" s="3">
        <f t="shared" si="29"/>
        <v>0.38450079400129428</v>
      </c>
      <c r="BB80" s="3">
        <f t="shared" si="30"/>
        <v>30.471245758339865</v>
      </c>
      <c r="BC80" s="9">
        <v>0</v>
      </c>
      <c r="BD80" s="9">
        <v>0</v>
      </c>
      <c r="BE80" s="9">
        <v>0</v>
      </c>
      <c r="BF80" s="9">
        <v>0</v>
      </c>
      <c r="BH80" s="3">
        <f t="shared" si="16"/>
        <v>1.2233059483303608</v>
      </c>
      <c r="BI80" s="3">
        <f t="shared" si="17"/>
        <v>1.201252917862093</v>
      </c>
    </row>
    <row r="81" spans="1:61">
      <c r="A81">
        <v>2002</v>
      </c>
      <c r="B81" s="3">
        <f t="shared" si="18"/>
        <v>97.904330687058902</v>
      </c>
      <c r="C81" s="3">
        <f t="shared" si="0"/>
        <v>82.47759894808965</v>
      </c>
      <c r="D81" s="2">
        <f t="shared" si="34"/>
        <v>68.410654481388534</v>
      </c>
      <c r="E81" s="2">
        <v>118.03591389240708</v>
      </c>
      <c r="F81" s="2">
        <f t="shared" si="35"/>
        <v>80.749141216883899</v>
      </c>
      <c r="G81" s="12">
        <v>1.0625500000000001</v>
      </c>
      <c r="H81" s="5">
        <f t="shared" si="31"/>
        <v>87.924099797723358</v>
      </c>
      <c r="I81" s="5">
        <f t="shared" si="32"/>
        <v>85.8</v>
      </c>
      <c r="J81" s="21">
        <f t="shared" si="2"/>
        <v>86.998083164769469</v>
      </c>
      <c r="K81" s="12"/>
      <c r="L81">
        <v>85.8</v>
      </c>
      <c r="M81">
        <v>79</v>
      </c>
      <c r="N81" s="4">
        <f>G81*O81</f>
        <v>89.254200000000012</v>
      </c>
      <c r="O81">
        <v>84</v>
      </c>
      <c r="P81" s="4">
        <f t="shared" si="26"/>
        <v>89.254200000000012</v>
      </c>
      <c r="Q81" s="6">
        <v>84</v>
      </c>
      <c r="R81" s="23"/>
      <c r="S81" s="21">
        <f t="shared" si="3"/>
        <v>31.371999999999993</v>
      </c>
      <c r="T81" s="21">
        <f t="shared" si="4"/>
        <v>32.570083164769457</v>
      </c>
      <c r="U81" s="27"/>
      <c r="V81">
        <f>USA!Z89*Austria!G81</f>
        <v>25.883718000000002</v>
      </c>
      <c r="W81">
        <v>1</v>
      </c>
      <c r="X81">
        <v>0</v>
      </c>
      <c r="Y81">
        <v>0</v>
      </c>
      <c r="Z81" s="23"/>
      <c r="AB81" s="3">
        <v>40.700000000000003</v>
      </c>
      <c r="AC81" s="4">
        <f t="shared" si="25"/>
        <v>13.728000000000002</v>
      </c>
      <c r="AD81" s="3">
        <f t="shared" si="33"/>
        <v>54.428000000000004</v>
      </c>
      <c r="AE81">
        <v>55.7</v>
      </c>
      <c r="AM81"/>
      <c r="AN81" s="9">
        <v>2002</v>
      </c>
      <c r="AO81" s="3">
        <f t="shared" si="6"/>
        <v>0.85799999999999998</v>
      </c>
      <c r="AP81" s="3">
        <f t="shared" si="7"/>
        <v>0.40700000000000003</v>
      </c>
      <c r="AQ81" s="3">
        <f t="shared" si="8"/>
        <v>0.13728000000000001</v>
      </c>
      <c r="AR81" s="3">
        <f t="shared" si="9"/>
        <v>0.5442800000000001</v>
      </c>
      <c r="AS81" s="3">
        <f t="shared" si="10"/>
        <v>0.31371999999999989</v>
      </c>
      <c r="AU81" s="3">
        <v>86.325878526789623</v>
      </c>
      <c r="AW81" s="3">
        <f t="shared" si="27"/>
        <v>0.99390821691288744</v>
      </c>
      <c r="AX81" s="3">
        <f t="shared" si="22"/>
        <v>1.0122590405932901</v>
      </c>
      <c r="AY81" s="3">
        <f t="shared" si="28"/>
        <v>0.63049459708781641</v>
      </c>
      <c r="AZ81" s="3">
        <f t="shared" si="24"/>
        <v>0.36341361982507103</v>
      </c>
      <c r="BA81" s="3">
        <f t="shared" si="29"/>
        <v>0.38176444350547362</v>
      </c>
      <c r="BB81" s="3">
        <f t="shared" si="30"/>
        <v>29.983729608923092</v>
      </c>
      <c r="BC81" s="9">
        <v>0</v>
      </c>
      <c r="BD81" s="9">
        <v>0</v>
      </c>
      <c r="BE81" s="9">
        <v>0</v>
      </c>
      <c r="BF81" s="9">
        <v>0</v>
      </c>
      <c r="BH81" s="3">
        <f t="shared" si="16"/>
        <v>1.1544601532181051</v>
      </c>
      <c r="BI81" s="3">
        <f t="shared" si="17"/>
        <v>1.1757752951570242</v>
      </c>
    </row>
    <row r="82" spans="1:61">
      <c r="A82">
        <v>2003</v>
      </c>
      <c r="B82" s="3">
        <f t="shared" si="18"/>
        <v>115.3064846850677</v>
      </c>
      <c r="C82" s="3">
        <f t="shared" si="0"/>
        <v>84.37293294912061</v>
      </c>
      <c r="D82" s="2">
        <f t="shared" si="34"/>
        <v>80.570410194289337</v>
      </c>
      <c r="E82" s="2">
        <v>120.74837744367809</v>
      </c>
      <c r="F82" s="2">
        <f t="shared" si="35"/>
        <v>97.287463009320192</v>
      </c>
      <c r="G82" s="12">
        <v>0.88603399999999999</v>
      </c>
      <c r="H82" s="5">
        <f t="shared" si="31"/>
        <v>87.251811621308747</v>
      </c>
      <c r="I82" s="5">
        <f t="shared" si="32"/>
        <v>86.2</v>
      </c>
      <c r="J82" s="21">
        <f t="shared" si="2"/>
        <v>86.501843017757295</v>
      </c>
      <c r="K82" s="12"/>
      <c r="L82">
        <v>86.2</v>
      </c>
      <c r="M82">
        <v>79.7</v>
      </c>
      <c r="N82" s="4"/>
      <c r="P82" s="4">
        <f t="shared" si="26"/>
        <v>95.691671999999997</v>
      </c>
      <c r="Q82" s="3">
        <f>(Q81+Q83)/2</f>
        <v>108</v>
      </c>
      <c r="R82" s="23"/>
      <c r="S82" s="21">
        <f t="shared" si="3"/>
        <v>31.707999999999998</v>
      </c>
      <c r="T82" s="21">
        <f t="shared" si="4"/>
        <v>32.009843017757291</v>
      </c>
      <c r="U82" s="27"/>
      <c r="V82">
        <f>USA!Z90*Austria!G82</f>
        <v>24.897555400000002</v>
      </c>
      <c r="W82">
        <v>1</v>
      </c>
      <c r="X82">
        <v>0</v>
      </c>
      <c r="Y82">
        <v>0</v>
      </c>
      <c r="Z82" s="23"/>
      <c r="AB82" s="3">
        <v>40.700000000000003</v>
      </c>
      <c r="AC82" s="4">
        <f t="shared" si="25"/>
        <v>13.792000000000002</v>
      </c>
      <c r="AD82" s="3">
        <f t="shared" si="33"/>
        <v>54.492000000000004</v>
      </c>
      <c r="AE82">
        <v>55.9</v>
      </c>
      <c r="AM82"/>
      <c r="AN82" s="9">
        <v>2003</v>
      </c>
      <c r="AO82" s="3">
        <f t="shared" si="6"/>
        <v>0.86199999999999999</v>
      </c>
      <c r="AP82" s="3">
        <f t="shared" si="7"/>
        <v>0.40700000000000003</v>
      </c>
      <c r="AQ82" s="3">
        <f t="shared" si="8"/>
        <v>0.13792000000000001</v>
      </c>
      <c r="AR82" s="3">
        <f t="shared" si="9"/>
        <v>0.54492000000000007</v>
      </c>
      <c r="AS82" s="3">
        <f t="shared" si="10"/>
        <v>0.31707999999999992</v>
      </c>
      <c r="AU82" s="3">
        <v>87.496072426194658</v>
      </c>
      <c r="AW82" s="3">
        <f t="shared" si="27"/>
        <v>0.98518707879958911</v>
      </c>
      <c r="AX82" s="3">
        <f t="shared" si="22"/>
        <v>0.99598111239695941</v>
      </c>
      <c r="AY82" s="3">
        <f t="shared" si="28"/>
        <v>0.62279366934973579</v>
      </c>
      <c r="AZ82" s="3">
        <f t="shared" si="24"/>
        <v>0.36239340944985332</v>
      </c>
      <c r="BA82" s="3">
        <f t="shared" si="29"/>
        <v>0.37318744304722362</v>
      </c>
      <c r="BB82" s="3">
        <f t="shared" si="30"/>
        <v>28.455626303685545</v>
      </c>
      <c r="BC82" s="9">
        <v>0</v>
      </c>
      <c r="BD82" s="9">
        <v>0</v>
      </c>
      <c r="BE82" s="9">
        <v>0</v>
      </c>
      <c r="BF82" s="9">
        <v>0</v>
      </c>
      <c r="BH82" s="3">
        <f t="shared" si="16"/>
        <v>1.1443302375265065</v>
      </c>
      <c r="BI82" s="3">
        <f t="shared" si="17"/>
        <v>1.1568678959024146</v>
      </c>
    </row>
    <row r="83" spans="1:61">
      <c r="A83">
        <v>2004</v>
      </c>
      <c r="B83" s="3">
        <f t="shared" si="18"/>
        <v>133.45058732913114</v>
      </c>
      <c r="C83" s="3">
        <f t="shared" si="0"/>
        <v>86.62364207534489</v>
      </c>
      <c r="D83" s="2">
        <f t="shared" si="34"/>
        <v>93.248602549491693</v>
      </c>
      <c r="E83" s="2">
        <v>123.96942791081244</v>
      </c>
      <c r="F83" s="2">
        <f t="shared" si="35"/>
        <v>115.59975911543212</v>
      </c>
      <c r="G83" s="12">
        <v>0.805365</v>
      </c>
      <c r="H83" s="5">
        <f t="shared" si="31"/>
        <v>91.271311134315653</v>
      </c>
      <c r="I83" s="5">
        <f t="shared" si="32"/>
        <v>93.1</v>
      </c>
      <c r="J83" s="21">
        <f t="shared" si="2"/>
        <v>90.955425945263045</v>
      </c>
      <c r="K83" s="12"/>
      <c r="L83">
        <v>93.1</v>
      </c>
      <c r="M83">
        <v>87.4</v>
      </c>
      <c r="N83" s="4">
        <f>G83*O83</f>
        <v>106.30817999999999</v>
      </c>
      <c r="O83">
        <v>132</v>
      </c>
      <c r="P83" s="4">
        <f t="shared" si="26"/>
        <v>106.30817999999999</v>
      </c>
      <c r="Q83" s="6">
        <v>132</v>
      </c>
      <c r="R83" s="23"/>
      <c r="S83" s="21">
        <f t="shared" si="3"/>
        <v>36.503999999999991</v>
      </c>
      <c r="T83" s="21">
        <f t="shared" si="4"/>
        <v>34.359425945263041</v>
      </c>
      <c r="U83" s="27"/>
      <c r="V83">
        <f>USA!Z91*Austria!G83</f>
        <v>29.033408249999997</v>
      </c>
      <c r="W83">
        <v>1</v>
      </c>
      <c r="X83">
        <v>0</v>
      </c>
      <c r="Y83">
        <v>0</v>
      </c>
      <c r="Z83" s="23"/>
      <c r="AB83" s="7">
        <v>41.7</v>
      </c>
      <c r="AC83" s="4">
        <f t="shared" si="25"/>
        <v>14.896000000000001</v>
      </c>
      <c r="AD83" s="3">
        <f t="shared" si="33"/>
        <v>56.596000000000004</v>
      </c>
      <c r="AE83">
        <v>58</v>
      </c>
      <c r="AM83"/>
      <c r="AN83" s="9">
        <v>2004</v>
      </c>
      <c r="AO83" s="3">
        <f t="shared" si="6"/>
        <v>0.93099999999999994</v>
      </c>
      <c r="AP83" s="3">
        <f t="shared" si="7"/>
        <v>0.41700000000000004</v>
      </c>
      <c r="AQ83" s="3">
        <f t="shared" si="8"/>
        <v>0.14896000000000001</v>
      </c>
      <c r="AR83" s="3">
        <f t="shared" si="9"/>
        <v>0.56596000000000002</v>
      </c>
      <c r="AS83" s="3">
        <f t="shared" si="10"/>
        <v>0.36503999999999992</v>
      </c>
      <c r="AU83" s="3">
        <v>89.299547595768459</v>
      </c>
      <c r="AW83" s="3">
        <f t="shared" si="27"/>
        <v>1.0425584732123729</v>
      </c>
      <c r="AX83" s="3">
        <f t="shared" si="22"/>
        <v>1.0297343623553821</v>
      </c>
      <c r="AY83" s="3">
        <f t="shared" si="28"/>
        <v>0.63377700698096096</v>
      </c>
      <c r="AZ83" s="3">
        <f t="shared" si="24"/>
        <v>0.40878146623141198</v>
      </c>
      <c r="BA83" s="3">
        <f t="shared" si="29"/>
        <v>0.39595735537442112</v>
      </c>
      <c r="BB83" s="3">
        <f t="shared" si="30"/>
        <v>32.512379997069289</v>
      </c>
      <c r="BC83" s="9">
        <v>0</v>
      </c>
      <c r="BD83" s="9">
        <v>0</v>
      </c>
      <c r="BE83" s="9">
        <v>0</v>
      </c>
      <c r="BF83" s="9">
        <v>0</v>
      </c>
      <c r="BH83" s="3">
        <f t="shared" si="16"/>
        <v>1.2109691762706098</v>
      </c>
      <c r="BI83" s="3">
        <f t="shared" si="17"/>
        <v>1.1960735101186262</v>
      </c>
    </row>
    <row r="84" spans="1:61">
      <c r="A84">
        <v>2005</v>
      </c>
      <c r="B84" s="3">
        <f t="shared" si="18"/>
        <v>141.11052516209321</v>
      </c>
      <c r="C84" s="3">
        <f t="shared" si="0"/>
        <v>89.539246597092159</v>
      </c>
      <c r="D84" s="2">
        <f t="shared" si="34"/>
        <v>98.600984377366728</v>
      </c>
      <c r="E84" s="2">
        <v>128.14202809149756</v>
      </c>
      <c r="F84" s="2">
        <f t="shared" si="35"/>
        <v>126.3493010993384</v>
      </c>
      <c r="G84" s="12">
        <v>0.80411999999999995</v>
      </c>
      <c r="H84" s="5">
        <f t="shared" si="31"/>
        <v>99.238745276738143</v>
      </c>
      <c r="I84" s="5">
        <f t="shared" si="32"/>
        <v>101.6</v>
      </c>
      <c r="J84" s="21">
        <f t="shared" si="2"/>
        <v>98.954954397281782</v>
      </c>
      <c r="K84" s="4">
        <f>'EU petrol prices nominal'!X3*100</f>
        <v>103.35306122448978</v>
      </c>
      <c r="L84">
        <v>101.6</v>
      </c>
      <c r="M84">
        <v>100</v>
      </c>
      <c r="N84" s="4"/>
      <c r="P84" s="4">
        <f t="shared" si="26"/>
        <v>106.14384</v>
      </c>
      <c r="Q84" s="3">
        <f>(Q83+Q85)/2</f>
        <v>132</v>
      </c>
      <c r="R84" s="23"/>
      <c r="S84" s="21">
        <f t="shared" si="3"/>
        <v>43.643999999999991</v>
      </c>
      <c r="T84" s="21">
        <f t="shared" si="4"/>
        <v>40.998954397281778</v>
      </c>
      <c r="U84" s="27"/>
      <c r="V84">
        <f>USA!Z92*Austria!G84</f>
        <v>40.720636800000001</v>
      </c>
      <c r="W84">
        <v>1</v>
      </c>
      <c r="X84">
        <v>0</v>
      </c>
      <c r="Y84">
        <v>0</v>
      </c>
      <c r="Z84" s="23"/>
      <c r="AB84" s="7">
        <v>41.7</v>
      </c>
      <c r="AC84" s="4">
        <f t="shared" si="25"/>
        <v>16.256</v>
      </c>
      <c r="AD84" s="3">
        <f t="shared" si="33"/>
        <v>57.956000000000003</v>
      </c>
      <c r="AE84">
        <v>59.4</v>
      </c>
      <c r="AM84"/>
      <c r="AN84" s="9">
        <v>2005</v>
      </c>
      <c r="AO84" s="3">
        <f t="shared" si="6"/>
        <v>1.016</v>
      </c>
      <c r="AP84" s="3">
        <f t="shared" si="7"/>
        <v>0.41700000000000004</v>
      </c>
      <c r="AQ84" s="3">
        <f t="shared" si="8"/>
        <v>0.16256000000000001</v>
      </c>
      <c r="AR84" s="3">
        <f t="shared" si="9"/>
        <v>0.57956000000000008</v>
      </c>
      <c r="AS84" s="3">
        <f t="shared" si="10"/>
        <v>0.43643999999999994</v>
      </c>
      <c r="AU84" s="3">
        <v>91.35266742837085</v>
      </c>
      <c r="AW84" s="3">
        <f t="shared" si="27"/>
        <v>1.1121733262979323</v>
      </c>
      <c r="AX84" s="3">
        <f t="shared" si="22"/>
        <v>1.0980845044621019</v>
      </c>
      <c r="AY84" s="3">
        <f t="shared" si="28"/>
        <v>0.63442044585554114</v>
      </c>
      <c r="AZ84" s="3">
        <f t="shared" si="24"/>
        <v>0.47775288044239117</v>
      </c>
      <c r="BA84" s="3">
        <f t="shared" si="29"/>
        <v>0.46366405860656079</v>
      </c>
      <c r="BB84" s="3">
        <f t="shared" si="30"/>
        <v>44.57520283349016</v>
      </c>
      <c r="BC84" s="9">
        <v>0</v>
      </c>
      <c r="BD84" s="9">
        <v>0</v>
      </c>
      <c r="BE84" s="9">
        <v>0</v>
      </c>
      <c r="BF84" s="9">
        <v>0</v>
      </c>
      <c r="BH84" s="3">
        <f t="shared" si="16"/>
        <v>1.2918293327637667</v>
      </c>
      <c r="BI84" s="3">
        <f t="shared" si="17"/>
        <v>1.2754646593075245</v>
      </c>
    </row>
    <row r="85" spans="1:61">
      <c r="A85">
        <v>2006</v>
      </c>
      <c r="B85" s="3">
        <f t="shared" si="18"/>
        <v>145.63926989202307</v>
      </c>
      <c r="C85" s="3">
        <f t="shared" si="0"/>
        <v>92.424281215596963</v>
      </c>
      <c r="D85" s="2">
        <f t="shared" si="34"/>
        <v>101.76544491531713</v>
      </c>
      <c r="E85" s="2">
        <v>132.27087886006535</v>
      </c>
      <c r="F85" s="2">
        <f t="shared" si="35"/>
        <v>134.60604836534566</v>
      </c>
      <c r="G85" s="12">
        <v>0.79714099999999999</v>
      </c>
      <c r="H85" s="5">
        <f t="shared" si="31"/>
        <v>104.6712030115777</v>
      </c>
      <c r="I85" s="5">
        <f t="shared" si="32"/>
        <v>107.3</v>
      </c>
      <c r="J85" s="21">
        <f t="shared" si="2"/>
        <v>104.39400250964809</v>
      </c>
      <c r="K85" s="4">
        <f>'EU petrol prices nominal'!X4*100</f>
        <v>109.17959183673472</v>
      </c>
      <c r="L85">
        <v>107.3</v>
      </c>
      <c r="M85">
        <v>107.2</v>
      </c>
      <c r="N85" s="4">
        <f>G85*O85</f>
        <v>105.222612</v>
      </c>
      <c r="O85">
        <v>132</v>
      </c>
      <c r="P85" s="4">
        <f t="shared" si="26"/>
        <v>105.222612</v>
      </c>
      <c r="Q85" s="6">
        <v>132</v>
      </c>
      <c r="R85" s="23"/>
      <c r="S85" s="21">
        <f t="shared" si="3"/>
        <v>48.431999999999988</v>
      </c>
      <c r="T85" s="21">
        <f t="shared" si="4"/>
        <v>45.526002509648087</v>
      </c>
      <c r="U85" s="27"/>
      <c r="V85">
        <f>USA!Z93*Austria!G85</f>
        <v>48.689372280000001</v>
      </c>
      <c r="W85">
        <v>1</v>
      </c>
      <c r="X85">
        <v>0</v>
      </c>
      <c r="Y85">
        <v>0</v>
      </c>
      <c r="Z85" s="23"/>
      <c r="AB85" s="7">
        <v>41.7</v>
      </c>
      <c r="AC85" s="4">
        <f t="shared" si="25"/>
        <v>17.168000000000003</v>
      </c>
      <c r="AD85" s="3">
        <f t="shared" si="33"/>
        <v>58.868000000000009</v>
      </c>
      <c r="AE85">
        <v>60.5</v>
      </c>
      <c r="AM85"/>
      <c r="AN85" s="9">
        <v>2006</v>
      </c>
      <c r="AO85" s="3">
        <f t="shared" si="6"/>
        <v>1.073</v>
      </c>
      <c r="AP85" s="3">
        <f t="shared" si="7"/>
        <v>0.41700000000000004</v>
      </c>
      <c r="AQ85" s="3">
        <f t="shared" si="8"/>
        <v>0.17168000000000003</v>
      </c>
      <c r="AR85" s="3">
        <f t="shared" si="9"/>
        <v>0.58868000000000009</v>
      </c>
      <c r="AS85" s="3">
        <f t="shared" si="10"/>
        <v>0.48431999999999986</v>
      </c>
      <c r="AU85" s="3">
        <v>92.669559065104522</v>
      </c>
      <c r="AW85" s="3">
        <f t="shared" si="27"/>
        <v>1.1578775283112863</v>
      </c>
      <c r="AX85" s="3">
        <f t="shared" si="22"/>
        <v>1.1436203159805911</v>
      </c>
      <c r="AY85" s="3">
        <f t="shared" si="28"/>
        <v>0.63524635914845129</v>
      </c>
      <c r="AZ85" s="3">
        <f t="shared" si="24"/>
        <v>0.52263116916283503</v>
      </c>
      <c r="BA85" s="3">
        <f t="shared" si="29"/>
        <v>0.50837395683213982</v>
      </c>
      <c r="BB85" s="3">
        <f t="shared" si="30"/>
        <v>52.540848117981795</v>
      </c>
      <c r="BC85" s="9">
        <v>0</v>
      </c>
      <c r="BD85" s="9">
        <v>0</v>
      </c>
      <c r="BE85" s="9">
        <v>0</v>
      </c>
      <c r="BF85" s="9">
        <v>0</v>
      </c>
      <c r="BH85" s="3">
        <f t="shared" si="16"/>
        <v>1.3449164077684728</v>
      </c>
      <c r="BI85" s="3">
        <f t="shared" si="17"/>
        <v>1.3283561426940165</v>
      </c>
    </row>
    <row r="86" spans="1:61">
      <c r="A86">
        <v>2007</v>
      </c>
      <c r="B86" s="3">
        <f t="shared" si="18"/>
        <v>158.9296888456642</v>
      </c>
      <c r="C86" s="3">
        <f t="shared" si="0"/>
        <v>95.074004003893037</v>
      </c>
      <c r="D86" s="2">
        <f t="shared" si="34"/>
        <v>111.05212562259477</v>
      </c>
      <c r="E86" s="2">
        <v>136.06296852886032</v>
      </c>
      <c r="F86" s="2">
        <f t="shared" si="35"/>
        <v>151.10081873650154</v>
      </c>
      <c r="G86" s="12">
        <v>0.73063800000000001</v>
      </c>
      <c r="H86" s="5">
        <f t="shared" si="31"/>
        <v>112.8467810088612</v>
      </c>
      <c r="I86" s="5">
        <f t="shared" si="32"/>
        <v>110.4</v>
      </c>
      <c r="J86" s="21">
        <f t="shared" si="2"/>
        <v>111.702984174051</v>
      </c>
      <c r="K86" s="4">
        <f>'EU petrol prices nominal'!X5*100</f>
        <v>112.12448979591836</v>
      </c>
      <c r="L86">
        <v>110.4</v>
      </c>
      <c r="M86">
        <v>108.7</v>
      </c>
      <c r="N86" s="4"/>
      <c r="P86" s="4">
        <f t="shared" si="26"/>
        <v>116.90208</v>
      </c>
      <c r="Q86" s="3">
        <f>(Q85+Q87)/2</f>
        <v>160</v>
      </c>
      <c r="R86" s="23"/>
      <c r="S86" s="21">
        <f t="shared" si="3"/>
        <v>45.236000000000004</v>
      </c>
      <c r="T86" s="21">
        <f t="shared" si="4"/>
        <v>46.538984174050995</v>
      </c>
      <c r="U86" s="27"/>
      <c r="V86">
        <f>USA!Z94*Austria!G86</f>
        <v>50.472473039999997</v>
      </c>
      <c r="W86">
        <v>1</v>
      </c>
      <c r="X86">
        <v>0</v>
      </c>
      <c r="Y86">
        <v>0</v>
      </c>
      <c r="Z86" s="23"/>
      <c r="AB86" s="7">
        <v>47.5</v>
      </c>
      <c r="AC86" s="4">
        <f t="shared" si="25"/>
        <v>17.664000000000001</v>
      </c>
      <c r="AD86" s="3">
        <f t="shared" si="33"/>
        <v>65.164000000000001</v>
      </c>
      <c r="AE86">
        <v>63.2</v>
      </c>
      <c r="AM86"/>
      <c r="AN86" s="9">
        <v>2007</v>
      </c>
      <c r="AO86" s="3">
        <f t="shared" si="6"/>
        <v>1.1040000000000001</v>
      </c>
      <c r="AP86" s="3">
        <f t="shared" si="7"/>
        <v>0.47499999999999998</v>
      </c>
      <c r="AQ86" s="3">
        <f t="shared" si="8"/>
        <v>0.17664000000000002</v>
      </c>
      <c r="AR86" s="3">
        <f t="shared" si="9"/>
        <v>0.65164</v>
      </c>
      <c r="AS86" s="3">
        <f t="shared" si="10"/>
        <v>0.4523600000000001</v>
      </c>
      <c r="AU86" s="3">
        <v>94.679150348384397</v>
      </c>
      <c r="AW86" s="3">
        <f t="shared" si="27"/>
        <v>1.1660434170962528</v>
      </c>
      <c r="AX86" s="3">
        <f t="shared" si="22"/>
        <v>1.1594815401566576</v>
      </c>
      <c r="AY86" s="3">
        <f t="shared" si="28"/>
        <v>0.68826135173605263</v>
      </c>
      <c r="AZ86" s="3">
        <f t="shared" si="24"/>
        <v>0.47778206536020018</v>
      </c>
      <c r="BA86" s="3">
        <f t="shared" si="29"/>
        <v>0.47122018842060487</v>
      </c>
      <c r="BB86" s="3">
        <f t="shared" si="30"/>
        <v>53.308962801503704</v>
      </c>
      <c r="BC86" s="9">
        <v>0</v>
      </c>
      <c r="BD86" s="9">
        <v>0</v>
      </c>
      <c r="BE86" s="9">
        <v>0</v>
      </c>
      <c r="BF86" s="45">
        <v>1</v>
      </c>
      <c r="BH86" s="3">
        <f t="shared" si="16"/>
        <v>1.3544013813882054</v>
      </c>
      <c r="BI86" s="3">
        <f t="shared" si="17"/>
        <v>1.3467795252367261</v>
      </c>
    </row>
    <row r="87" spans="1:61">
      <c r="A87">
        <v>2008</v>
      </c>
      <c r="B87" s="3">
        <f t="shared" si="18"/>
        <v>178.97950897538212</v>
      </c>
      <c r="C87" s="3">
        <f t="shared" si="0"/>
        <v>98.70291900542351</v>
      </c>
      <c r="D87" s="2">
        <f t="shared" si="34"/>
        <v>125.06193813734822</v>
      </c>
      <c r="E87" s="2">
        <v>141.25640655453694</v>
      </c>
      <c r="F87" s="2">
        <f t="shared" si="35"/>
        <v>176.6579997802761</v>
      </c>
      <c r="G87" s="12">
        <v>0.68267500000000003</v>
      </c>
      <c r="H87" s="5">
        <f t="shared" si="31"/>
        <v>126.80180932688077</v>
      </c>
      <c r="I87" s="5">
        <f t="shared" si="32"/>
        <v>120.6</v>
      </c>
      <c r="J87" s="21">
        <f t="shared" si="2"/>
        <v>124.96417443906732</v>
      </c>
      <c r="K87" s="4">
        <f>'EU petrol prices nominal'!X6*100</f>
        <v>121.56938775510201</v>
      </c>
      <c r="L87">
        <v>120.6</v>
      </c>
      <c r="M87">
        <v>128.1</v>
      </c>
      <c r="N87" s="4"/>
      <c r="P87" s="4">
        <f t="shared" si="26"/>
        <v>128.34290000000001</v>
      </c>
      <c r="Q87" s="6">
        <v>188</v>
      </c>
      <c r="R87" s="23"/>
      <c r="S87" s="21">
        <f t="shared" si="3"/>
        <v>53.803999999999988</v>
      </c>
      <c r="T87" s="21">
        <f t="shared" si="4"/>
        <v>58.168174439067315</v>
      </c>
      <c r="U87" s="27"/>
      <c r="V87">
        <f>USA!Z95*Austria!G87</f>
        <v>64.478653750000007</v>
      </c>
      <c r="W87">
        <v>0</v>
      </c>
      <c r="X87">
        <v>1</v>
      </c>
      <c r="Y87">
        <v>0</v>
      </c>
      <c r="Z87" s="23"/>
      <c r="AB87" s="7">
        <v>47.5</v>
      </c>
      <c r="AC87" s="4">
        <f t="shared" si="25"/>
        <v>19.296000000000003</v>
      </c>
      <c r="AD87" s="3">
        <f t="shared" si="33"/>
        <v>66.796000000000006</v>
      </c>
      <c r="AE87">
        <v>68.599999999999994</v>
      </c>
      <c r="AM87"/>
      <c r="AN87" s="9">
        <v>2008</v>
      </c>
      <c r="AO87" s="3">
        <f t="shared" si="6"/>
        <v>1.206</v>
      </c>
      <c r="AP87" s="3">
        <f t="shared" si="7"/>
        <v>0.47499999999999998</v>
      </c>
      <c r="AQ87" s="3">
        <f t="shared" si="8"/>
        <v>0.19296000000000002</v>
      </c>
      <c r="AR87" s="3">
        <f t="shared" si="9"/>
        <v>0.66796000000000011</v>
      </c>
      <c r="AS87" s="3">
        <f t="shared" si="10"/>
        <v>0.53803999999999985</v>
      </c>
      <c r="AU87" s="3">
        <v>97.723985430804774</v>
      </c>
      <c r="AW87" s="3">
        <f t="shared" si="27"/>
        <v>1.2340880232048352</v>
      </c>
      <c r="AX87" s="3">
        <f t="shared" si="22"/>
        <v>1.2258597618153018</v>
      </c>
      <c r="AY87" s="3">
        <f t="shared" si="28"/>
        <v>0.68351694525696682</v>
      </c>
      <c r="AZ87" s="3">
        <f t="shared" si="24"/>
        <v>0.55057107794786841</v>
      </c>
      <c r="BA87" s="3">
        <f t="shared" si="29"/>
        <v>0.54234281655833494</v>
      </c>
      <c r="BB87" s="3">
        <f t="shared" si="30"/>
        <v>65.980376737352032</v>
      </c>
      <c r="BC87" s="9">
        <v>0</v>
      </c>
      <c r="BD87" s="9">
        <v>0</v>
      </c>
      <c r="BE87" s="9">
        <v>0</v>
      </c>
      <c r="BF87" s="45">
        <v>1</v>
      </c>
      <c r="BH87" s="3">
        <f t="shared" si="16"/>
        <v>1.4334376395225568</v>
      </c>
      <c r="BI87" s="3">
        <f t="shared" si="17"/>
        <v>1.4238802178785499</v>
      </c>
    </row>
    <row r="88" spans="1:61">
      <c r="A88">
        <v>2009</v>
      </c>
      <c r="B88" s="3">
        <f t="shared" si="18"/>
        <v>147.277486101996</v>
      </c>
      <c r="C88" s="3">
        <f>E88/E$89*100</f>
        <v>98.380597588111073</v>
      </c>
      <c r="D88" s="2">
        <f t="shared" si="34"/>
        <v>102.91014854915832</v>
      </c>
      <c r="E88" s="2">
        <v>140.7951236905254</v>
      </c>
      <c r="F88" s="2">
        <f t="shared" si="35"/>
        <v>144.8924709398909</v>
      </c>
      <c r="G88">
        <f>'Exchange Rates'!C48</f>
        <v>0.71984416666666673</v>
      </c>
      <c r="H88" s="5">
        <f t="shared" si="31"/>
        <v>112.80949818553661</v>
      </c>
      <c r="I88" s="5">
        <f t="shared" si="32"/>
        <v>104.3</v>
      </c>
      <c r="J88" s="21">
        <f t="shared" si="2"/>
        <v>110.69591515461383</v>
      </c>
      <c r="K88" s="4">
        <f>'EU petrol prices nominal'!X7*100</f>
        <v>104.48600000000002</v>
      </c>
      <c r="L88">
        <v>104.3</v>
      </c>
      <c r="M88">
        <v>102.5</v>
      </c>
      <c r="N88" s="4">
        <f>G88*O88</f>
        <v>98.618650833333348</v>
      </c>
      <c r="O88">
        <v>137</v>
      </c>
      <c r="P88" s="4">
        <f t="shared" si="26"/>
        <v>98.618650833333348</v>
      </c>
      <c r="Q88" s="3">
        <v>137</v>
      </c>
      <c r="R88" s="23"/>
      <c r="S88" s="21">
        <f t="shared" si="3"/>
        <v>40.111999999999995</v>
      </c>
      <c r="T88" s="21">
        <f t="shared" si="4"/>
        <v>46.507915154613833</v>
      </c>
      <c r="U88" s="27"/>
      <c r="V88">
        <f>USA!Z96*Austria!G88</f>
        <v>43.953684816666673</v>
      </c>
      <c r="W88">
        <v>0</v>
      </c>
      <c r="X88">
        <v>1</v>
      </c>
      <c r="Y88">
        <v>0</v>
      </c>
      <c r="Z88" s="23"/>
      <c r="AB88" s="7">
        <v>47.5</v>
      </c>
      <c r="AC88" s="4">
        <f t="shared" si="25"/>
        <v>16.687999999999999</v>
      </c>
      <c r="AD88" s="3">
        <f t="shared" si="33"/>
        <v>64.188000000000002</v>
      </c>
      <c r="AE88">
        <v>65.8</v>
      </c>
      <c r="AM88"/>
      <c r="AN88" s="9">
        <v>2009</v>
      </c>
      <c r="AO88" s="3">
        <f t="shared" si="6"/>
        <v>1.0429999999999999</v>
      </c>
      <c r="AP88" s="3">
        <f t="shared" si="7"/>
        <v>0.47499999999999998</v>
      </c>
      <c r="AQ88" s="3">
        <f t="shared" si="8"/>
        <v>0.16688</v>
      </c>
      <c r="AR88" s="3">
        <f t="shared" si="9"/>
        <v>0.64188000000000001</v>
      </c>
      <c r="AS88" s="3">
        <f t="shared" si="10"/>
        <v>0.40111999999999992</v>
      </c>
      <c r="AU88" s="3">
        <v>98.218771155095567</v>
      </c>
      <c r="AW88" s="3">
        <f t="shared" si="27"/>
        <v>1.0619151387599999</v>
      </c>
      <c r="AX88" s="3">
        <f t="shared" si="22"/>
        <v>1.0767052770891286</v>
      </c>
      <c r="AY88" s="3">
        <f t="shared" si="28"/>
        <v>0.65352069920160005</v>
      </c>
      <c r="AZ88" s="3">
        <f t="shared" si="24"/>
        <v>0.40839443955839982</v>
      </c>
      <c r="BA88" s="3">
        <f t="shared" si="29"/>
        <v>0.4231845778875285</v>
      </c>
      <c r="BB88" s="3">
        <f t="shared" si="30"/>
        <v>44.750798955996068</v>
      </c>
      <c r="BC88" s="9">
        <v>0</v>
      </c>
      <c r="BD88" s="9">
        <v>0</v>
      </c>
      <c r="BE88" s="9">
        <v>0</v>
      </c>
      <c r="BF88" s="45">
        <v>1</v>
      </c>
      <c r="BH88" s="3">
        <f t="shared" si="16"/>
        <v>1.2334526397269379</v>
      </c>
      <c r="BI88" s="3">
        <f t="shared" si="17"/>
        <v>1.2506319175224241</v>
      </c>
    </row>
    <row r="89" spans="1:61">
      <c r="A89">
        <v>2010</v>
      </c>
      <c r="B89" s="3">
        <f t="shared" si="18"/>
        <v>156.45774781807708</v>
      </c>
      <c r="C89" s="3">
        <f>CPIs!AB49</f>
        <v>99.999998509883881</v>
      </c>
      <c r="D89" s="2">
        <f t="shared" si="34"/>
        <v>109.32485511430734</v>
      </c>
      <c r="E89" s="2">
        <v>143.11269411067286</v>
      </c>
      <c r="F89" s="2">
        <f t="shared" si="35"/>
        <v>156.45774548667495</v>
      </c>
      <c r="G89">
        <f>'Exchange Rates'!C49</f>
        <v>0.75867129256384003</v>
      </c>
      <c r="H89" s="5">
        <f t="shared" si="31"/>
        <v>122.90266125371699</v>
      </c>
      <c r="I89" s="5">
        <f t="shared" si="32"/>
        <v>118.7</v>
      </c>
      <c r="J89" s="21">
        <f t="shared" si="2"/>
        <v>121.41088437809749</v>
      </c>
      <c r="K89" s="4">
        <f>'EU petrol prices nominal'!X8*100</f>
        <v>118.74897959183673</v>
      </c>
      <c r="L89">
        <v>118.7</v>
      </c>
      <c r="M89">
        <v>117.9</v>
      </c>
      <c r="Q89"/>
      <c r="R89" s="23"/>
      <c r="S89" s="21">
        <f t="shared" si="3"/>
        <v>52.207999999999998</v>
      </c>
      <c r="T89" s="21">
        <f t="shared" si="4"/>
        <v>54.918884378097488</v>
      </c>
      <c r="U89" s="27"/>
      <c r="V89">
        <f>USA!Z97*Austria!G89</f>
        <v>58.759091609069415</v>
      </c>
      <c r="W89">
        <v>0</v>
      </c>
      <c r="X89">
        <v>1</v>
      </c>
      <c r="Y89">
        <v>0</v>
      </c>
      <c r="Z89" s="23"/>
      <c r="AB89" s="7">
        <v>47.5</v>
      </c>
      <c r="AC89" s="4">
        <f t="shared" si="25"/>
        <v>18.992000000000001</v>
      </c>
      <c r="AD89" s="3">
        <f t="shared" si="33"/>
        <v>66.492000000000004</v>
      </c>
      <c r="AE89">
        <v>68.3</v>
      </c>
      <c r="AM89"/>
      <c r="AN89" s="9">
        <v>2010</v>
      </c>
      <c r="AO89" s="3">
        <f t="shared" si="6"/>
        <v>1.1870000000000001</v>
      </c>
      <c r="AP89" s="3">
        <f t="shared" si="7"/>
        <v>0.47499999999999998</v>
      </c>
      <c r="AQ89" s="3">
        <f t="shared" si="8"/>
        <v>0.18992000000000001</v>
      </c>
      <c r="AR89" s="3">
        <f t="shared" si="9"/>
        <v>0.66492000000000007</v>
      </c>
      <c r="AS89" s="3">
        <f t="shared" si="10"/>
        <v>0.52207999999999999</v>
      </c>
      <c r="AU89" s="3">
        <v>100</v>
      </c>
      <c r="AW89" s="3">
        <f t="shared" si="27"/>
        <v>1.1870000000000001</v>
      </c>
      <c r="AX89" s="3">
        <f t="shared" si="22"/>
        <v>1.2081959671149314</v>
      </c>
      <c r="AY89" s="3">
        <f t="shared" si="28"/>
        <v>0.66492000000000007</v>
      </c>
      <c r="AZ89" s="3">
        <f t="shared" si="24"/>
        <v>0.52207999999999999</v>
      </c>
      <c r="BA89" s="3">
        <f t="shared" si="29"/>
        <v>0.54327596711493131</v>
      </c>
      <c r="BB89" s="3">
        <f t="shared" si="30"/>
        <v>58.759091609069415</v>
      </c>
      <c r="BC89" s="9">
        <v>0</v>
      </c>
      <c r="BD89" s="9">
        <v>0</v>
      </c>
      <c r="BE89" s="9">
        <v>0</v>
      </c>
      <c r="BF89" s="9">
        <v>0</v>
      </c>
      <c r="BH89" s="3">
        <f t="shared" si="16"/>
        <v>1.3787432064162084</v>
      </c>
      <c r="BI89" s="3">
        <f t="shared" si="17"/>
        <v>1.4033630848181737</v>
      </c>
    </row>
    <row r="90" spans="1:61">
      <c r="A90">
        <v>2011</v>
      </c>
      <c r="B90" s="3">
        <f t="shared" si="18"/>
        <v>183.96708940636427</v>
      </c>
      <c r="C90" s="3">
        <f>CPIs!AB50</f>
        <v>103.13271097869961</v>
      </c>
      <c r="G90">
        <f>'Exchange Rates'!C50</f>
        <v>0.71544109992713056</v>
      </c>
      <c r="I90" s="3">
        <f>K90</f>
        <v>135.74081632653059</v>
      </c>
      <c r="K90" s="4">
        <f>'EU petrol prices nominal'!X9*100</f>
        <v>135.74081632653059</v>
      </c>
      <c r="Q90"/>
      <c r="R90" s="23"/>
      <c r="S90" s="21"/>
      <c r="T90" s="21"/>
      <c r="U90" s="23"/>
      <c r="V90">
        <f>USA!Z98*Austria!G90</f>
        <v>76.874146187170183</v>
      </c>
      <c r="Y90"/>
      <c r="Z90" s="23"/>
      <c r="AB90" s="7">
        <v>51.5</v>
      </c>
      <c r="AC90" s="4">
        <f t="shared" si="25"/>
        <v>21.718530612244898</v>
      </c>
      <c r="AD90" s="3">
        <f t="shared" si="33"/>
        <v>73.218530612244905</v>
      </c>
      <c r="AM90"/>
      <c r="AN90" s="9">
        <v>2011</v>
      </c>
      <c r="AO90" s="3">
        <f t="shared" si="6"/>
        <v>1.3574081632653059</v>
      </c>
      <c r="AP90" s="3">
        <f t="shared" si="7"/>
        <v>0.51500000000000001</v>
      </c>
      <c r="AQ90" s="3">
        <f t="shared" si="8"/>
        <v>0.21718530612244899</v>
      </c>
      <c r="AR90" s="3">
        <f t="shared" si="9"/>
        <v>0.73218530612244903</v>
      </c>
      <c r="AS90" s="3">
        <f t="shared" si="10"/>
        <v>0.62522285714285686</v>
      </c>
      <c r="AU90" s="3">
        <f>CPIs!C50</f>
        <v>103.26694488525391</v>
      </c>
      <c r="AW90" s="3">
        <f t="shared" si="27"/>
        <v>1.3144653061767282</v>
      </c>
      <c r="AX90" s="3">
        <f t="shared" si="22"/>
        <v>1.3403244918628576</v>
      </c>
      <c r="AY90" s="3">
        <f t="shared" si="28"/>
        <v>0.70902194979818955</v>
      </c>
      <c r="AZ90" s="3">
        <f t="shared" si="24"/>
        <v>0.60544335637853863</v>
      </c>
      <c r="BA90" s="3">
        <f t="shared" si="29"/>
        <v>0.63130254206466807</v>
      </c>
      <c r="BB90" s="3">
        <f t="shared" si="30"/>
        <v>74.442161790096193</v>
      </c>
      <c r="BC90" s="9">
        <v>0</v>
      </c>
      <c r="BD90" s="9">
        <v>0</v>
      </c>
      <c r="BE90" s="9">
        <v>0</v>
      </c>
      <c r="BF90" s="9">
        <v>0</v>
      </c>
      <c r="BH90" s="3">
        <f t="shared" si="16"/>
        <v>1.5267987455442</v>
      </c>
      <c r="BI90" s="3">
        <f t="shared" si="17"/>
        <v>1.5568351200919728</v>
      </c>
    </row>
    <row r="91" spans="1:61">
      <c r="A91">
        <v>2012</v>
      </c>
      <c r="B91" s="3">
        <f t="shared" si="18"/>
        <v>178.05583873730089</v>
      </c>
      <c r="C91" s="3">
        <f>CPIs!AB51</f>
        <v>105.21072267093371</v>
      </c>
      <c r="G91">
        <f>'Exchange Rates'!C51</f>
        <v>0.773899446716382</v>
      </c>
      <c r="I91" s="3">
        <f t="shared" ref="I91:I96" si="36">K91</f>
        <v>144.97755102040816</v>
      </c>
      <c r="K91" s="4">
        <f>'EU petrol prices nominal'!X10*100</f>
        <v>144.97755102040816</v>
      </c>
      <c r="Q91"/>
      <c r="R91" s="23"/>
      <c r="S91" s="21"/>
      <c r="T91" s="21"/>
      <c r="U91" s="23"/>
      <c r="V91">
        <f>USA!Z99*Austria!G91</f>
        <v>84.738784181902005</v>
      </c>
      <c r="Y91"/>
      <c r="Z91" s="23"/>
      <c r="AB91" s="7">
        <v>51.5</v>
      </c>
      <c r="AC91" s="4">
        <f t="shared" si="25"/>
        <v>23.196408163265307</v>
      </c>
      <c r="AD91" s="3">
        <f t="shared" si="33"/>
        <v>74.696408163265303</v>
      </c>
      <c r="AM91"/>
      <c r="AN91" s="9">
        <v>2012</v>
      </c>
      <c r="AO91" s="3">
        <f t="shared" si="6"/>
        <v>1.4497755102040815</v>
      </c>
      <c r="AP91" s="3">
        <f t="shared" si="7"/>
        <v>0.51500000000000001</v>
      </c>
      <c r="AQ91" s="3">
        <f t="shared" si="8"/>
        <v>0.23196408163265306</v>
      </c>
      <c r="AR91" s="3">
        <f t="shared" si="9"/>
        <v>0.74696408163265304</v>
      </c>
      <c r="AS91" s="3">
        <f t="shared" si="10"/>
        <v>0.70281142857142842</v>
      </c>
      <c r="AU91" s="3">
        <f>CPIs!C51</f>
        <v>105.83381652832031</v>
      </c>
      <c r="AW91" s="3">
        <f t="shared" si="27"/>
        <v>1.3698603695503437</v>
      </c>
      <c r="AX91" s="3">
        <f t="shared" si="22"/>
        <v>1.3686678347273635</v>
      </c>
      <c r="AY91" s="3">
        <f t="shared" si="28"/>
        <v>0.70578961067020696</v>
      </c>
      <c r="AZ91" s="3">
        <f t="shared" si="24"/>
        <v>0.66407075888013678</v>
      </c>
      <c r="BA91" s="3">
        <f t="shared" si="29"/>
        <v>0.66287822405715657</v>
      </c>
      <c r="BB91" s="3">
        <f t="shared" si="30"/>
        <v>80.067776974882648</v>
      </c>
      <c r="BC91" s="9">
        <v>0</v>
      </c>
      <c r="BD91" s="9">
        <v>0</v>
      </c>
      <c r="BE91" s="9">
        <v>0</v>
      </c>
      <c r="BF91" s="9">
        <v>0</v>
      </c>
      <c r="BH91" s="3">
        <f t="shared" si="16"/>
        <v>1.5911421046809884</v>
      </c>
      <c r="BI91" s="3">
        <f t="shared" si="17"/>
        <v>1.5897569325785463</v>
      </c>
    </row>
    <row r="92" spans="1:61">
      <c r="A92">
        <v>2013</v>
      </c>
      <c r="B92" s="3">
        <f t="shared" si="18"/>
        <v>173.68539214783894</v>
      </c>
      <c r="C92" s="3">
        <f>CPIs!AB52</f>
        <v>106.69767516878358</v>
      </c>
      <c r="G92">
        <f>'Exchange Rates'!C52</f>
        <v>0.75166876437654617</v>
      </c>
      <c r="I92" s="3">
        <f t="shared" si="36"/>
        <v>139.2979591836735</v>
      </c>
      <c r="K92" s="4">
        <f>'EU petrol prices nominal'!X11*100</f>
        <v>139.2979591836735</v>
      </c>
      <c r="Q92"/>
      <c r="R92" s="23"/>
      <c r="S92" s="21"/>
      <c r="T92" s="12"/>
      <c r="U92" s="28"/>
      <c r="V92">
        <f>USA!Z100*Austria!G92</f>
        <v>79.628970140184876</v>
      </c>
      <c r="Y92"/>
      <c r="Z92" s="23"/>
      <c r="AB92" s="7">
        <v>48.2</v>
      </c>
      <c r="AC92" s="4">
        <f t="shared" si="25"/>
        <v>22.287673469387762</v>
      </c>
      <c r="AD92" s="3">
        <f t="shared" si="33"/>
        <v>70.487673469387772</v>
      </c>
      <c r="AM92"/>
      <c r="AN92" s="9">
        <v>2013</v>
      </c>
      <c r="AO92" s="3">
        <f t="shared" si="6"/>
        <v>1.3929795918367349</v>
      </c>
      <c r="AP92" s="3">
        <f t="shared" si="7"/>
        <v>0.48200000000000004</v>
      </c>
      <c r="AQ92" s="3">
        <f t="shared" si="8"/>
        <v>0.22287673469387762</v>
      </c>
      <c r="AR92" s="3">
        <f t="shared" si="9"/>
        <v>0.70487673469387768</v>
      </c>
      <c r="AS92" s="3">
        <f t="shared" si="10"/>
        <v>0.68810285714285724</v>
      </c>
      <c r="AU92" s="3">
        <f>CPIs!C52</f>
        <v>107.95066070556641</v>
      </c>
      <c r="AW92" s="3">
        <f t="shared" si="27"/>
        <v>1.2903854249082023</v>
      </c>
      <c r="AX92" s="3">
        <f t="shared" si="22"/>
        <v>1.2804593465043896</v>
      </c>
      <c r="AY92" s="3">
        <f t="shared" si="28"/>
        <v>0.65296194584340439</v>
      </c>
      <c r="AZ92" s="3">
        <f t="shared" si="24"/>
        <v>0.6374234790647979</v>
      </c>
      <c r="BA92" s="3">
        <f t="shared" si="29"/>
        <v>0.62749740066098536</v>
      </c>
      <c r="BB92" s="3">
        <f t="shared" si="30"/>
        <v>73.764226749266072</v>
      </c>
      <c r="BC92" s="9">
        <v>0</v>
      </c>
      <c r="BD92" s="9">
        <v>0</v>
      </c>
      <c r="BE92" s="9">
        <v>0</v>
      </c>
      <c r="BF92" s="9">
        <v>0</v>
      </c>
      <c r="BH92" s="3">
        <f t="shared" si="16"/>
        <v>1.498829097094083</v>
      </c>
      <c r="BI92" s="3">
        <f t="shared" si="17"/>
        <v>1.4872995999031717</v>
      </c>
    </row>
    <row r="93" spans="1:61">
      <c r="A93">
        <v>2014</v>
      </c>
      <c r="B93" s="3">
        <f t="shared" si="18"/>
        <v>164.30656486563299</v>
      </c>
      <c r="C93" s="3">
        <f>CPIs!AB53</f>
        <v>108.45811062912946</v>
      </c>
      <c r="G93">
        <f>'Exchange Rates'!C53</f>
        <v>0.757387838338895</v>
      </c>
      <c r="I93" s="3">
        <f t="shared" si="36"/>
        <v>134.96938775510205</v>
      </c>
      <c r="K93" s="4">
        <f>'EU petrol prices nominal'!X12*100</f>
        <v>134.96938775510205</v>
      </c>
      <c r="Q93"/>
      <c r="R93" s="23"/>
      <c r="S93" s="21"/>
      <c r="T93" s="12"/>
      <c r="U93" s="28"/>
      <c r="V93">
        <f>USA!Z101*Austria!G93</f>
        <v>72.852422962937197</v>
      </c>
      <c r="Y93"/>
      <c r="Z93" s="23"/>
      <c r="AB93" s="7">
        <v>48.2</v>
      </c>
      <c r="AC93" s="4">
        <f t="shared" si="25"/>
        <v>21.595102040816329</v>
      </c>
      <c r="AD93" s="3">
        <f t="shared" si="33"/>
        <v>69.795102040816332</v>
      </c>
      <c r="AM93"/>
      <c r="AN93" s="9">
        <v>2014</v>
      </c>
      <c r="AO93" s="3">
        <f t="shared" si="6"/>
        <v>1.3496938775510205</v>
      </c>
      <c r="AP93" s="3">
        <f t="shared" si="7"/>
        <v>0.48200000000000004</v>
      </c>
      <c r="AQ93" s="3">
        <f t="shared" si="8"/>
        <v>0.21595102040816327</v>
      </c>
      <c r="AR93" s="3">
        <f t="shared" si="9"/>
        <v>0.69795102040816337</v>
      </c>
      <c r="AS93" s="3">
        <f t="shared" si="10"/>
        <v>0.65174285714285718</v>
      </c>
      <c r="AU93" s="3">
        <f>CPIs!C53</f>
        <v>109.68414306640625</v>
      </c>
      <c r="AW93" s="3">
        <f t="shared" si="27"/>
        <v>1.230527804492098</v>
      </c>
      <c r="AX93" s="3">
        <f t="shared" si="22"/>
        <v>1.2226046237288637</v>
      </c>
      <c r="AY93" s="3">
        <f t="shared" si="28"/>
        <v>0.63632809711208826</v>
      </c>
      <c r="AZ93" s="3">
        <f t="shared" si="24"/>
        <v>0.59419970738000971</v>
      </c>
      <c r="BA93" s="3">
        <f t="shared" si="29"/>
        <v>0.58627652661677554</v>
      </c>
      <c r="BB93" s="3">
        <f t="shared" si="30"/>
        <v>66.420196143420696</v>
      </c>
      <c r="BC93" s="9">
        <v>0</v>
      </c>
      <c r="BD93" s="9">
        <v>0</v>
      </c>
      <c r="BE93" s="9">
        <v>0</v>
      </c>
      <c r="BF93" s="9">
        <v>0</v>
      </c>
      <c r="BH93" s="3">
        <f t="shared" si="16"/>
        <v>1.4293023173965733</v>
      </c>
      <c r="BI93" s="3">
        <f t="shared" si="17"/>
        <v>1.4200992578763398</v>
      </c>
    </row>
    <row r="94" spans="1:61">
      <c r="A94">
        <v>2015</v>
      </c>
      <c r="B94" s="3">
        <f t="shared" si="18"/>
        <v>122.07827603824651</v>
      </c>
      <c r="C94" s="3">
        <f>CPIs!AB54</f>
        <v>108.69337137051741</v>
      </c>
      <c r="G94">
        <f>'Exchange Rates'!C54</f>
        <v>0.90592556207997499</v>
      </c>
      <c r="I94" s="3">
        <f t="shared" si="36"/>
        <v>120.20816326530613</v>
      </c>
      <c r="K94" s="4">
        <f>'EU petrol prices nominal'!X13*100</f>
        <v>120.20816326530613</v>
      </c>
      <c r="Q94"/>
      <c r="R94" s="23"/>
      <c r="S94" s="21"/>
      <c r="T94" s="12"/>
      <c r="U94" s="28"/>
      <c r="V94">
        <f>USA!Z102*Austria!G94</f>
        <v>44.858421631706442</v>
      </c>
      <c r="Y94"/>
      <c r="Z94" s="23"/>
      <c r="AB94" s="7">
        <v>48.2</v>
      </c>
      <c r="AC94" s="4">
        <f t="shared" si="25"/>
        <v>19.233306122448983</v>
      </c>
      <c r="AD94" s="3">
        <f t="shared" si="33"/>
        <v>67.433306122448982</v>
      </c>
      <c r="AM94"/>
      <c r="AN94" s="9">
        <v>2015</v>
      </c>
      <c r="AO94" s="3">
        <f t="shared" si="6"/>
        <v>1.2020816326530612</v>
      </c>
      <c r="AP94" s="3">
        <f t="shared" si="7"/>
        <v>0.48200000000000004</v>
      </c>
      <c r="AQ94" s="3">
        <f t="shared" si="8"/>
        <v>0.19233306122448984</v>
      </c>
      <c r="AR94" s="3">
        <f t="shared" si="9"/>
        <v>0.67433306122448977</v>
      </c>
      <c r="AS94" s="3">
        <f t="shared" si="10"/>
        <v>0.52774857142857146</v>
      </c>
      <c r="AU94" s="3">
        <f>CPIs!C54</f>
        <v>110.66753387451172</v>
      </c>
      <c r="AW94" s="3">
        <f t="shared" si="27"/>
        <v>1.0862098309845118</v>
      </c>
      <c r="AX94" s="3">
        <f t="shared" si="22"/>
        <v>1.0503160085324552</v>
      </c>
      <c r="AY94" s="3">
        <f t="shared" si="28"/>
        <v>0.60933232865668663</v>
      </c>
      <c r="AZ94" s="3">
        <f t="shared" si="24"/>
        <v>0.47687750232782522</v>
      </c>
      <c r="BA94" s="3">
        <f t="shared" si="29"/>
        <v>0.44098367987576848</v>
      </c>
      <c r="BB94" s="3">
        <f t="shared" si="30"/>
        <v>40.534400705605641</v>
      </c>
      <c r="BC94" s="9">
        <v>0</v>
      </c>
      <c r="BD94" s="9">
        <v>0</v>
      </c>
      <c r="BE94" s="9">
        <v>0</v>
      </c>
      <c r="BF94" s="9">
        <v>0</v>
      </c>
      <c r="BH94" s="3">
        <f t="shared" si="16"/>
        <v>1.2616717988309971</v>
      </c>
      <c r="BI94" s="3">
        <f t="shared" si="17"/>
        <v>1.2199798326489562</v>
      </c>
    </row>
    <row r="95" spans="1:61">
      <c r="A95">
        <v>2016</v>
      </c>
      <c r="B95" s="3">
        <f t="shared" si="18"/>
        <v>111.34573910964231</v>
      </c>
      <c r="C95" s="3">
        <f>CPIs!AB55</f>
        <v>110.08253978538585</v>
      </c>
      <c r="G95">
        <f>'Exchange Rates'!C55</f>
        <v>0.90674707708863456</v>
      </c>
      <c r="I95" s="3">
        <f t="shared" si="36"/>
        <v>111.14200000000001</v>
      </c>
      <c r="K95" s="4">
        <f>'EU petrol prices nominal'!X14*100</f>
        <v>111.14200000000001</v>
      </c>
      <c r="Q95"/>
      <c r="R95" s="23"/>
      <c r="S95" s="21"/>
      <c r="T95" s="12"/>
      <c r="U95" s="23"/>
      <c r="V95">
        <f>USA!Z103*Austria!G95</f>
        <v>36.890067859371442</v>
      </c>
      <c r="Y95"/>
      <c r="Z95" s="23"/>
      <c r="AB95" s="7">
        <v>48.2</v>
      </c>
      <c r="AC95" s="4">
        <f t="shared" si="25"/>
        <v>17.782720000000005</v>
      </c>
      <c r="AD95" s="3">
        <f t="shared" si="33"/>
        <v>65.98272</v>
      </c>
      <c r="AM95"/>
      <c r="AN95" s="9">
        <v>2016</v>
      </c>
      <c r="AO95" s="3">
        <f t="shared" si="6"/>
        <v>1.1114200000000001</v>
      </c>
      <c r="AP95" s="3">
        <f t="shared" si="7"/>
        <v>0.48200000000000004</v>
      </c>
      <c r="AQ95" s="3">
        <f t="shared" si="8"/>
        <v>0.17782720000000005</v>
      </c>
      <c r="AR95" s="3">
        <f t="shared" si="9"/>
        <v>0.65982720000000006</v>
      </c>
      <c r="AS95" s="3">
        <f t="shared" si="10"/>
        <v>0.45159280000000002</v>
      </c>
      <c r="AU95" s="3">
        <f>CPIs!C55</f>
        <v>111.65423583984375</v>
      </c>
      <c r="AW95" s="3">
        <f t="shared" si="27"/>
        <v>0.99541230266822578</v>
      </c>
      <c r="AX95" s="3">
        <f t="shared" si="22"/>
        <v>0.98987214638158427</v>
      </c>
      <c r="AY95" s="3">
        <f t="shared" si="28"/>
        <v>0.59095581554689303</v>
      </c>
      <c r="AZ95" s="3">
        <f t="shared" si="24"/>
        <v>0.40445648712133275</v>
      </c>
      <c r="BA95" s="3">
        <f t="shared" si="29"/>
        <v>0.3989163308346913</v>
      </c>
      <c r="BB95" s="3">
        <f t="shared" si="30"/>
        <v>33.039559656551106</v>
      </c>
      <c r="BC95" s="9">
        <v>0</v>
      </c>
      <c r="BD95" s="9">
        <v>0</v>
      </c>
      <c r="BE95" s="9">
        <v>0</v>
      </c>
      <c r="BF95" s="9">
        <v>0</v>
      </c>
      <c r="BH95" s="3">
        <f t="shared" si="16"/>
        <v>1.1562072029375998</v>
      </c>
      <c r="BI95" s="3">
        <f t="shared" si="17"/>
        <v>1.1497721120844482</v>
      </c>
    </row>
    <row r="96" spans="1:61">
      <c r="A96">
        <v>2017</v>
      </c>
      <c r="B96" s="3">
        <f t="shared" si="18"/>
        <v>118.0710411726284</v>
      </c>
      <c r="C96" s="3">
        <f>CPIs!AB56</f>
        <v>112.42729788281457</v>
      </c>
      <c r="G96">
        <f>'Exchange Rates'!C56</f>
        <v>0.88700000000000001</v>
      </c>
      <c r="I96" s="3">
        <f t="shared" si="36"/>
        <v>117.74400000000003</v>
      </c>
      <c r="K96" s="4">
        <f>'EU petrol prices nominal'!X15*100</f>
        <v>117.74400000000003</v>
      </c>
      <c r="Q96"/>
      <c r="R96" s="23"/>
      <c r="S96" s="21"/>
      <c r="T96" s="12"/>
      <c r="U96" s="23"/>
      <c r="V96">
        <f>USA!Z104*Austria!G96</f>
        <v>46.576369999999997</v>
      </c>
      <c r="Y96"/>
      <c r="Z96" s="23"/>
      <c r="AB96" s="7">
        <v>48.2</v>
      </c>
      <c r="AC96" s="4">
        <f t="shared" si="25"/>
        <v>18.839040000000008</v>
      </c>
      <c r="AD96" s="3">
        <f t="shared" si="33"/>
        <v>67.039040000000014</v>
      </c>
      <c r="AM96"/>
      <c r="AN96" s="9">
        <v>2017</v>
      </c>
      <c r="AO96" s="3">
        <f t="shared" si="6"/>
        <v>1.1774400000000003</v>
      </c>
      <c r="AP96" s="3">
        <f t="shared" si="7"/>
        <v>0.48200000000000004</v>
      </c>
      <c r="AQ96" s="3">
        <f t="shared" si="8"/>
        <v>0.18839040000000007</v>
      </c>
      <c r="AR96" s="3">
        <f t="shared" si="9"/>
        <v>0.67039040000000016</v>
      </c>
      <c r="AS96" s="3">
        <f t="shared" si="10"/>
        <v>0.5070496000000001</v>
      </c>
      <c r="AU96" s="3">
        <f>CPIs!C56</f>
        <v>113.97664394531249</v>
      </c>
      <c r="AW96" s="3">
        <f t="shared" si="27"/>
        <v>1.0330537549122361</v>
      </c>
      <c r="AX96" s="3">
        <f t="shared" si="22"/>
        <v>1.0310206271140294</v>
      </c>
      <c r="AY96" s="3">
        <f t="shared" si="28"/>
        <v>0.58818225979847449</v>
      </c>
      <c r="AZ96" s="3">
        <f t="shared" si="24"/>
        <v>0.44487149511376156</v>
      </c>
      <c r="BA96" s="3">
        <f t="shared" si="29"/>
        <v>0.44283836731555493</v>
      </c>
      <c r="BB96" s="3">
        <f t="shared" si="30"/>
        <v>40.864837205022425</v>
      </c>
      <c r="BC96" s="9">
        <v>0</v>
      </c>
      <c r="BD96" s="9">
        <v>0</v>
      </c>
      <c r="BE96" s="9">
        <v>0</v>
      </c>
      <c r="BF96" s="9">
        <v>0</v>
      </c>
      <c r="BH96" s="3">
        <f t="shared" si="16"/>
        <v>1.1999291040000002</v>
      </c>
      <c r="BI96" s="3">
        <f t="shared" si="17"/>
        <v>1.1975675529136032</v>
      </c>
    </row>
    <row r="97" spans="1:61">
      <c r="A97">
        <v>2018</v>
      </c>
      <c r="G97">
        <f>'Exchange Rates'!C57</f>
        <v>0.84599999999999997</v>
      </c>
      <c r="I97" s="3">
        <f>AI175*G97*100</f>
        <v>126.40649999999999</v>
      </c>
      <c r="K97" s="7">
        <f>I97</f>
        <v>126.40649999999999</v>
      </c>
      <c r="Q97"/>
      <c r="R97" s="23"/>
      <c r="S97"/>
      <c r="T97" s="12"/>
      <c r="U97" s="23"/>
      <c r="V97">
        <f>USA!Z105*Austria!G97</f>
        <v>59.392569350649353</v>
      </c>
      <c r="Y97"/>
      <c r="Z97" s="23"/>
      <c r="AB97" s="7">
        <v>48.2</v>
      </c>
      <c r="AC97" s="4">
        <f t="shared" si="25"/>
        <v>20.225040000000003</v>
      </c>
      <c r="AD97" s="3">
        <f t="shared" si="33"/>
        <v>68.42504000000001</v>
      </c>
      <c r="AM97"/>
      <c r="AN97" s="9">
        <v>2018</v>
      </c>
      <c r="AO97" s="3">
        <f>I97/100</f>
        <v>1.264065</v>
      </c>
      <c r="AP97" s="3">
        <f>AB97/100</f>
        <v>0.48200000000000004</v>
      </c>
      <c r="AQ97" s="3">
        <f>AC97/100</f>
        <v>0.20225040000000002</v>
      </c>
      <c r="AR97" s="3">
        <f>AD97/100</f>
        <v>0.68425040000000015</v>
      </c>
      <c r="AS97" s="3">
        <f t="shared" ref="AS97" si="37">AO97-AR97</f>
        <v>0.57981459999999985</v>
      </c>
      <c r="AU97" s="3">
        <f>CPIs!C57</f>
        <v>116.15359784466794</v>
      </c>
      <c r="AW97" s="3">
        <f t="shared" si="27"/>
        <v>1.0882702072564576</v>
      </c>
      <c r="AX97" s="3">
        <f t="shared" si="22"/>
        <v>1.0895617299978362</v>
      </c>
      <c r="AY97" s="3">
        <f t="shared" si="28"/>
        <v>0.58909100768023326</v>
      </c>
      <c r="AZ97" s="3">
        <f t="shared" si="24"/>
        <v>0.49917919957622436</v>
      </c>
      <c r="BA97" s="3">
        <f t="shared" si="29"/>
        <v>0.50047072231760292</v>
      </c>
      <c r="BB97" s="3">
        <f>V97/AU97*100</f>
        <v>51.132784909577197</v>
      </c>
      <c r="BC97" s="9">
        <v>0</v>
      </c>
      <c r="BD97" s="9">
        <v>0</v>
      </c>
      <c r="BE97" s="9">
        <v>0</v>
      </c>
      <c r="BF97" s="9">
        <v>0</v>
      </c>
      <c r="BH97" s="3">
        <f>AW97*$AU$97/$AU$89</f>
        <v>1.264065</v>
      </c>
      <c r="BI97" s="3">
        <f>AX97*$AU$97/$AU$89</f>
        <v>1.2655651501310934</v>
      </c>
    </row>
    <row r="98" spans="1:61">
      <c r="K98" s="12"/>
      <c r="Q98"/>
      <c r="R98" s="23"/>
      <c r="S98" s="13"/>
      <c r="T98" s="13"/>
      <c r="U98" s="23"/>
      <c r="Y98"/>
      <c r="Z98" s="23"/>
      <c r="AM98"/>
      <c r="AN98" s="9">
        <v>2019</v>
      </c>
      <c r="AU98" s="3">
        <f>AU97</f>
        <v>116.15359784466794</v>
      </c>
      <c r="BH98" s="3"/>
    </row>
    <row r="99" spans="1:61">
      <c r="K99" s="12"/>
      <c r="Q99"/>
      <c r="R99" s="23"/>
      <c r="S99" s="13"/>
      <c r="T99" s="13"/>
      <c r="U99" s="23"/>
      <c r="Y99"/>
      <c r="Z99" s="23"/>
      <c r="AM99"/>
      <c r="AN99" s="9">
        <v>2020</v>
      </c>
      <c r="AU99" s="3">
        <f t="shared" ref="AU99:AU109" si="38">AU98</f>
        <v>116.15359784466794</v>
      </c>
      <c r="AW99" s="13" t="s">
        <v>88</v>
      </c>
      <c r="AX99" s="13">
        <v>0.21347054497496856</v>
      </c>
      <c r="BH99" s="3"/>
    </row>
    <row r="100" spans="1:61">
      <c r="K100" s="12"/>
      <c r="Q100"/>
      <c r="R100" s="23"/>
      <c r="S100" s="13" t="s">
        <v>88</v>
      </c>
      <c r="T100" s="13">
        <v>6.924689820652544</v>
      </c>
      <c r="U100" s="23"/>
      <c r="Y100"/>
      <c r="Z100" s="23"/>
      <c r="AM100"/>
      <c r="AN100" s="9">
        <v>2021</v>
      </c>
      <c r="AU100" s="3">
        <f t="shared" si="38"/>
        <v>116.15359784466794</v>
      </c>
      <c r="AW100" s="13" t="s">
        <v>229</v>
      </c>
      <c r="AX100" s="13">
        <v>5.6128407214698587E-3</v>
      </c>
      <c r="BH100" s="3"/>
    </row>
    <row r="101" spans="1:61">
      <c r="K101" s="12"/>
      <c r="Q101"/>
      <c r="R101" s="23"/>
      <c r="S101" s="13" t="s">
        <v>229</v>
      </c>
      <c r="T101" s="13">
        <v>0.56810119042454543</v>
      </c>
      <c r="U101" s="23"/>
      <c r="Y101"/>
      <c r="Z101" s="23"/>
      <c r="AM101"/>
      <c r="AN101" s="9">
        <v>2022</v>
      </c>
      <c r="AU101" s="3">
        <f t="shared" si="38"/>
        <v>116.15359784466794</v>
      </c>
      <c r="AW101" s="3" t="s">
        <v>241</v>
      </c>
      <c r="AX101" s="13">
        <v>0.1191076035170454</v>
      </c>
      <c r="BH101" s="3"/>
    </row>
    <row r="102" spans="1:61">
      <c r="K102" s="12"/>
      <c r="Q102"/>
      <c r="R102" s="23"/>
      <c r="S102" s="3" t="s">
        <v>241</v>
      </c>
      <c r="T102" s="13">
        <v>10.940822335703677</v>
      </c>
      <c r="U102" s="23"/>
      <c r="Y102"/>
      <c r="Z102" s="23"/>
      <c r="AM102"/>
      <c r="AN102" s="9">
        <v>2023</v>
      </c>
      <c r="AU102" s="3">
        <f t="shared" si="38"/>
        <v>116.15359784466794</v>
      </c>
      <c r="AW102" s="3" t="s">
        <v>276</v>
      </c>
      <c r="AX102" s="13">
        <v>0.19904888963527276</v>
      </c>
      <c r="BH102" s="3"/>
    </row>
    <row r="103" spans="1:61">
      <c r="K103" s="12"/>
      <c r="Q103"/>
      <c r="R103" s="23"/>
      <c r="S103" s="3" t="s">
        <v>276</v>
      </c>
      <c r="T103" s="13">
        <v>14.613084666067687</v>
      </c>
      <c r="U103" s="23"/>
      <c r="Y103"/>
      <c r="Z103" s="23"/>
      <c r="AM103"/>
      <c r="AN103" s="9">
        <v>2024</v>
      </c>
      <c r="AU103" s="3">
        <f t="shared" si="38"/>
        <v>116.15359784466794</v>
      </c>
      <c r="AW103" s="3" t="s">
        <v>1997</v>
      </c>
      <c r="AX103" s="13">
        <v>-9.5771770955852167E-2</v>
      </c>
      <c r="BH103" s="3"/>
    </row>
    <row r="104" spans="1:61" ht="15.75" thickBot="1">
      <c r="K104" s="12"/>
      <c r="Q104"/>
      <c r="R104" s="23"/>
      <c r="S104" s="3" t="s">
        <v>286</v>
      </c>
      <c r="T104" s="14">
        <v>3.9922169668684115</v>
      </c>
      <c r="U104" s="23"/>
      <c r="Y104"/>
      <c r="Z104" s="23"/>
      <c r="AM104"/>
      <c r="AN104" s="9">
        <v>2025</v>
      </c>
      <c r="AU104" s="3">
        <f t="shared" si="38"/>
        <v>116.15359784466794</v>
      </c>
      <c r="AW104" s="3" t="s">
        <v>1994</v>
      </c>
      <c r="AX104" s="14">
        <v>-4.1465073785965624E-2</v>
      </c>
      <c r="BH104" s="3"/>
    </row>
    <row r="105" spans="1:61">
      <c r="K105" s="12"/>
      <c r="Q105"/>
      <c r="R105" s="23"/>
      <c r="T105" s="12"/>
      <c r="U105" s="23"/>
      <c r="Y105"/>
      <c r="Z105" s="23"/>
      <c r="AM105"/>
      <c r="AN105" s="9">
        <v>2026</v>
      </c>
      <c r="AU105" s="3">
        <f t="shared" si="38"/>
        <v>116.15359784466794</v>
      </c>
      <c r="BH105" s="3"/>
    </row>
    <row r="106" spans="1:61">
      <c r="K106" s="12"/>
      <c r="Q106"/>
      <c r="R106" s="23"/>
      <c r="T106" s="12"/>
      <c r="U106" s="23"/>
      <c r="Y106"/>
      <c r="Z106" s="23"/>
      <c r="AM106"/>
      <c r="AN106" s="9">
        <v>2027</v>
      </c>
      <c r="AU106" s="3">
        <f t="shared" si="38"/>
        <v>116.15359784466794</v>
      </c>
      <c r="BH106" s="3"/>
    </row>
    <row r="107" spans="1:61">
      <c r="K107" s="12"/>
      <c r="Q107"/>
      <c r="R107" s="23"/>
      <c r="T107" s="12"/>
      <c r="U107" s="23"/>
      <c r="Y107"/>
      <c r="Z107" s="23"/>
      <c r="AM107"/>
      <c r="AN107" s="9">
        <v>2028</v>
      </c>
      <c r="AU107" s="3">
        <f t="shared" si="38"/>
        <v>116.15359784466794</v>
      </c>
      <c r="BH107" s="3"/>
    </row>
    <row r="108" spans="1:61">
      <c r="K108" s="12"/>
      <c r="Q108"/>
      <c r="R108" s="23"/>
      <c r="T108" s="12"/>
      <c r="U108" s="23"/>
      <c r="Y108"/>
      <c r="Z108" s="23"/>
      <c r="AM108"/>
      <c r="AN108" s="9">
        <v>2029</v>
      </c>
      <c r="AU108" s="3">
        <f t="shared" si="38"/>
        <v>116.15359784466794</v>
      </c>
      <c r="BH108" s="3"/>
    </row>
    <row r="109" spans="1:61">
      <c r="K109" s="12"/>
      <c r="Q109"/>
      <c r="R109" s="23"/>
      <c r="T109" s="12"/>
      <c r="U109" s="23"/>
      <c r="Y109"/>
      <c r="Z109" s="23"/>
      <c r="AM109"/>
      <c r="AN109" s="9">
        <v>2030</v>
      </c>
      <c r="AU109" s="3">
        <f t="shared" si="38"/>
        <v>116.15359784466794</v>
      </c>
      <c r="BH109" s="3"/>
    </row>
    <row r="110" spans="1:61">
      <c r="K110" s="12"/>
      <c r="Q110"/>
      <c r="R110" s="23"/>
      <c r="T110" s="12"/>
      <c r="U110" s="23"/>
      <c r="Y110"/>
      <c r="Z110" s="23"/>
      <c r="AM110"/>
      <c r="BH110" s="3"/>
    </row>
    <row r="111" spans="1:61">
      <c r="K111" s="12"/>
      <c r="Q111"/>
      <c r="R111" s="23"/>
      <c r="S111" s="13" t="str">
        <f>AW99</f>
        <v>Intercept</v>
      </c>
      <c r="T111" s="13">
        <f>AX99</f>
        <v>0.21347054497496856</v>
      </c>
      <c r="U111" s="23"/>
      <c r="Y111"/>
      <c r="Z111" s="23"/>
      <c r="AM111"/>
      <c r="BH111" s="3"/>
    </row>
    <row r="112" spans="1:61">
      <c r="K112" s="12"/>
      <c r="Q112"/>
      <c r="R112" s="23"/>
      <c r="S112" s="13" t="str">
        <f>AW100</f>
        <v>landed oil price</v>
      </c>
      <c r="T112" s="13">
        <f>AX100</f>
        <v>5.6128407214698587E-3</v>
      </c>
      <c r="U112" s="23"/>
      <c r="Y112"/>
      <c r="Z112" s="23"/>
      <c r="AM112"/>
      <c r="BH112" s="3"/>
    </row>
    <row r="113" spans="1:68">
      <c r="K113" s="12"/>
      <c r="Q113"/>
      <c r="R113" s="23"/>
      <c r="S113" s="3"/>
      <c r="T113" s="13"/>
      <c r="U113" s="23"/>
      <c r="Y113"/>
      <c r="Z113" s="23"/>
      <c r="AM113"/>
      <c r="BH113" s="3"/>
    </row>
    <row r="114" spans="1:68">
      <c r="K114" s="12"/>
      <c r="Q114"/>
      <c r="R114" s="23"/>
      <c r="S114" s="3"/>
      <c r="T114" s="13"/>
      <c r="U114" s="23"/>
      <c r="Y114"/>
      <c r="Z114" s="23"/>
      <c r="AM114"/>
      <c r="BH114" s="3"/>
    </row>
    <row r="115" spans="1:68" ht="15.75" thickBot="1">
      <c r="K115" s="12"/>
      <c r="Q115"/>
      <c r="R115" s="23"/>
      <c r="S115" s="3"/>
      <c r="T115" s="14"/>
      <c r="U115" s="23"/>
      <c r="Y115"/>
      <c r="Z115" s="23"/>
      <c r="AM115"/>
      <c r="BH115" s="3"/>
    </row>
    <row r="116" spans="1:68">
      <c r="K116" s="12"/>
      <c r="Q116"/>
      <c r="R116" s="23"/>
      <c r="T116" s="12"/>
      <c r="U116" s="23"/>
      <c r="Y116"/>
      <c r="Z116" s="23"/>
      <c r="AM116"/>
      <c r="BH116" s="3"/>
    </row>
    <row r="117" spans="1:68">
      <c r="K117" s="12"/>
      <c r="Q117"/>
      <c r="R117" s="23"/>
      <c r="T117" s="12"/>
      <c r="U117" s="23"/>
      <c r="Y117"/>
      <c r="Z117" s="23"/>
      <c r="AM117"/>
      <c r="BH117" s="3"/>
    </row>
    <row r="118" spans="1:68">
      <c r="K118" s="12"/>
      <c r="Q118"/>
      <c r="R118" s="23"/>
      <c r="T118" s="12"/>
      <c r="U118" s="23"/>
      <c r="Y118"/>
      <c r="Z118" s="23"/>
      <c r="AM118"/>
      <c r="AN118"/>
      <c r="BH118" s="3"/>
      <c r="BI118" s="3"/>
    </row>
    <row r="119" spans="1:68">
      <c r="K119" s="12"/>
      <c r="O119" s="12"/>
      <c r="Q119"/>
      <c r="R119"/>
      <c r="S119" s="23"/>
      <c r="T119" s="12"/>
      <c r="U119" s="12"/>
      <c r="V119" s="23"/>
      <c r="Y119"/>
      <c r="AE119" s="12"/>
      <c r="AF119" s="12"/>
      <c r="AG119" s="12"/>
      <c r="AH119" s="12"/>
      <c r="AI119" t="s">
        <v>1960</v>
      </c>
      <c r="AJ119" t="s">
        <v>1960</v>
      </c>
      <c r="AK119" t="s">
        <v>1960</v>
      </c>
      <c r="AM119"/>
      <c r="AN119"/>
      <c r="AO119"/>
      <c r="AP119"/>
      <c r="AQ119"/>
      <c r="AR119"/>
      <c r="AS119"/>
      <c r="AT119"/>
      <c r="AU119"/>
      <c r="AV119"/>
      <c r="AW119"/>
      <c r="BH119" s="3"/>
      <c r="BI119" s="3"/>
      <c r="BJ119" s="3"/>
      <c r="BK119" s="3"/>
      <c r="BL119" s="3"/>
      <c r="BM119" s="3"/>
      <c r="BN119" s="3"/>
      <c r="BO119" s="3"/>
      <c r="BP119" s="3"/>
    </row>
    <row r="120" spans="1:68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2595</v>
      </c>
      <c r="R120" s="26"/>
      <c r="S120" s="26"/>
      <c r="T120" s="79">
        <v>0.2</v>
      </c>
      <c r="U120" s="76" t="s">
        <v>2548</v>
      </c>
      <c r="V120" s="76"/>
      <c r="W120" s="76"/>
      <c r="X120" s="76"/>
      <c r="Y120" s="26" t="s">
        <v>2574</v>
      </c>
      <c r="Z120" s="26"/>
      <c r="AA120" s="26"/>
      <c r="AB120" s="79"/>
      <c r="AC120" s="26" t="s">
        <v>2076</v>
      </c>
      <c r="AD120" s="26"/>
      <c r="AE120" s="26"/>
      <c r="AF120" s="79"/>
      <c r="AG120" s="12"/>
      <c r="AH120" s="7"/>
      <c r="AI120" s="3" t="s">
        <v>1957</v>
      </c>
      <c r="AJ120" s="3" t="s">
        <v>1957</v>
      </c>
      <c r="AK120" s="3" t="s">
        <v>1957</v>
      </c>
      <c r="AM120"/>
      <c r="AN120"/>
      <c r="AO120"/>
      <c r="AP120"/>
      <c r="AQ120"/>
      <c r="BH120" s="3"/>
      <c r="BI120" s="3"/>
      <c r="BJ120" s="3"/>
      <c r="BK120" s="3"/>
      <c r="BL120" s="3"/>
    </row>
    <row r="121" spans="1:68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G121" s="44"/>
      <c r="AH121" s="44"/>
      <c r="AI121" s="3" t="s">
        <v>268</v>
      </c>
      <c r="AJ121" s="3" t="s">
        <v>267</v>
      </c>
      <c r="AK121" s="3" t="s">
        <v>266</v>
      </c>
      <c r="AM121"/>
      <c r="AN121"/>
      <c r="AO121"/>
      <c r="AP121"/>
      <c r="AQ121"/>
      <c r="BH121" s="3"/>
      <c r="BI121" s="3"/>
      <c r="BJ121" s="3"/>
      <c r="BK121" s="3"/>
      <c r="BL121" s="3"/>
    </row>
    <row r="122" spans="1:68">
      <c r="A122">
        <v>2010</v>
      </c>
      <c r="B122" s="3">
        <f>USA!Z97/USA!AU97*100</f>
        <v>77.45</v>
      </c>
      <c r="C122" s="3">
        <f>AI122</f>
        <v>77.45</v>
      </c>
      <c r="D122" s="3">
        <f t="shared" ref="D122:E122" si="39">AJ122</f>
        <v>77.45</v>
      </c>
      <c r="E122" s="3">
        <f t="shared" si="39"/>
        <v>77.45</v>
      </c>
      <c r="F122" s="6">
        <f>'Exchange Rates'!C49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>T$111+T$112*G122</f>
        <v>0.54327596711493131</v>
      </c>
      <c r="L122" s="6">
        <f>T$111+T$112*H122</f>
        <v>0.54327596711493131</v>
      </c>
      <c r="M122" s="6">
        <f>T$111+T$112*I122</f>
        <v>0.54327596711493131</v>
      </c>
      <c r="N122" s="6">
        <f>T$111+T$112*J122</f>
        <v>0.54327596711493131</v>
      </c>
      <c r="O122">
        <v>2010</v>
      </c>
      <c r="P122" s="24">
        <f>AB89/AU89*AU$89/100</f>
        <v>0.47499999999999998</v>
      </c>
      <c r="Q122" s="3">
        <f t="shared" ref="Q122:Q130" si="40">(K122+P122)*$T$120</f>
        <v>0.20365519342298627</v>
      </c>
      <c r="R122" s="3">
        <f t="shared" ref="R122:R142" si="41">(L122+P122)*$T$120</f>
        <v>0.20365519342298627</v>
      </c>
      <c r="S122" s="3">
        <f t="shared" ref="S122:S142" si="42">(M122+P122)*$T$120</f>
        <v>0.20365519342298627</v>
      </c>
      <c r="T122" s="3">
        <f t="shared" ref="T122:T142" si="43">(N122+P122)*$T$120</f>
        <v>0.20365519342298627</v>
      </c>
      <c r="U122" s="3">
        <f t="shared" ref="U122:U130" si="44">AW89</f>
        <v>1.1870000000000001</v>
      </c>
      <c r="V122" s="3">
        <f t="shared" ref="V122:V142" si="45">L122+P122+R122</f>
        <v>1.2219311605379175</v>
      </c>
      <c r="W122" s="3">
        <f t="shared" ref="W122:W142" si="46">M122+P122+S122</f>
        <v>1.2219311605379175</v>
      </c>
      <c r="X122" s="3">
        <f t="shared" ref="X122:X142" si="47">N122+P122+T122</f>
        <v>1.2219311605379175</v>
      </c>
      <c r="Y122" s="3">
        <f>U122*$AU$97/100</f>
        <v>1.3787432064162084</v>
      </c>
      <c r="Z122" s="3">
        <f>V122*$AU$97/100</f>
        <v>1.4193170061498968</v>
      </c>
      <c r="AA122" s="3">
        <f>W122*$AU$97/100</f>
        <v>1.4193170061498968</v>
      </c>
      <c r="AB122" s="3">
        <f>X122*$AU$97/100</f>
        <v>1.4193170061498968</v>
      </c>
      <c r="AC122" s="3">
        <f>U122*$AU$96/100</f>
        <v>1.3529027636308593</v>
      </c>
      <c r="AD122" s="3">
        <f>V122*$AU$96/100</f>
        <v>1.3927161281031268</v>
      </c>
      <c r="AE122" s="3">
        <f>W122*$AU$96/100</f>
        <v>1.3927161281031268</v>
      </c>
      <c r="AF122" s="3">
        <f>X122*$AU$96/100</f>
        <v>1.3927161281031268</v>
      </c>
      <c r="AG122" s="44"/>
      <c r="AH122" s="44"/>
      <c r="AI122" s="3">
        <f>USA!AJ135</f>
        <v>77.45</v>
      </c>
      <c r="AJ122" s="3">
        <f>USA!AK135</f>
        <v>77.45</v>
      </c>
      <c r="AK122" s="3">
        <f>USA!AL135</f>
        <v>77.45</v>
      </c>
      <c r="AM122"/>
      <c r="AN122"/>
      <c r="AO122"/>
      <c r="AP122"/>
      <c r="AQ122"/>
      <c r="BH122" s="3"/>
      <c r="BI122" s="3"/>
      <c r="BJ122" s="3"/>
      <c r="BK122" s="3"/>
      <c r="BL122" s="3"/>
    </row>
    <row r="123" spans="1:68">
      <c r="A123">
        <v>2011</v>
      </c>
      <c r="B123" s="3">
        <f>USA!Z98/USA!AU98*100</f>
        <v>104.18614906980585</v>
      </c>
      <c r="C123" s="3">
        <f t="shared" ref="C123:C142" si="48">AI123</f>
        <v>104.18614906980586</v>
      </c>
      <c r="D123" s="3">
        <f t="shared" ref="D123:D142" si="49">AJ123</f>
        <v>104.18614906980586</v>
      </c>
      <c r="E123" s="3">
        <f t="shared" ref="E123:E142" si="50">AK123</f>
        <v>104.18614906980586</v>
      </c>
      <c r="F123" s="6">
        <f>'Exchange Rates'!C50</f>
        <v>0.71544109992713056</v>
      </c>
      <c r="G123" s="3">
        <f>(B123*USA!$AU98/100)/$AU90*100*$F123</f>
        <v>74.442161790096193</v>
      </c>
      <c r="H123" s="3">
        <f>(C123*USA!$AU98/100)/$AU90*100*$F123</f>
        <v>74.442161790096208</v>
      </c>
      <c r="I123" s="3">
        <f>(D123*USA!$AU98/100)/$AU90*100*$F123</f>
        <v>74.442161790096208</v>
      </c>
      <c r="J123" s="3">
        <f>(E123*USA!$AU98/100)/$AU90*100*$F123</f>
        <v>74.442161790096208</v>
      </c>
      <c r="K123" s="6">
        <f t="shared" ref="K123:K130" si="51">T$111+T$112*G123</f>
        <v>0.63130254206466807</v>
      </c>
      <c r="L123" s="6">
        <f t="shared" ref="L123:L142" si="52">T$111+T$112*H123</f>
        <v>0.63130254206466807</v>
      </c>
      <c r="M123" s="6">
        <f t="shared" ref="M123:M142" si="53">T$111+T$112*I123</f>
        <v>0.63130254206466807</v>
      </c>
      <c r="N123" s="6">
        <f t="shared" ref="N123:N142" si="54">T$111+T$112*J123</f>
        <v>0.63130254206466807</v>
      </c>
      <c r="O123">
        <v>2011</v>
      </c>
      <c r="P123" s="24">
        <f t="shared" ref="P123:P130" si="55">AB90/AU90*AU$89/100</f>
        <v>0.49870750080991294</v>
      </c>
      <c r="Q123" s="3">
        <f t="shared" si="40"/>
        <v>0.2260020085749162</v>
      </c>
      <c r="R123" s="3">
        <f t="shared" si="41"/>
        <v>0.2260020085749162</v>
      </c>
      <c r="S123" s="3">
        <f t="shared" si="42"/>
        <v>0.2260020085749162</v>
      </c>
      <c r="T123" s="3">
        <f t="shared" si="43"/>
        <v>0.2260020085749162</v>
      </c>
      <c r="U123" s="3">
        <f t="shared" si="44"/>
        <v>1.3144653061767282</v>
      </c>
      <c r="V123" s="3">
        <f t="shared" si="45"/>
        <v>1.3560120514494971</v>
      </c>
      <c r="W123" s="3">
        <f t="shared" si="46"/>
        <v>1.3560120514494971</v>
      </c>
      <c r="X123" s="3">
        <f t="shared" si="47"/>
        <v>1.3560120514494971</v>
      </c>
      <c r="Y123" s="3">
        <f t="shared" ref="Y123:Y130" si="56">U123*$AU$97/100</f>
        <v>1.5267987455442</v>
      </c>
      <c r="Z123" s="3">
        <f t="shared" ref="Z123:Z129" si="57">V123*$AU$97/100</f>
        <v>1.5750567849658808</v>
      </c>
      <c r="AA123" s="3">
        <f t="shared" ref="AA123:AA129" si="58">W123*$AU$97/100</f>
        <v>1.5750567849658808</v>
      </c>
      <c r="AB123" s="3">
        <f t="shared" ref="AB123:AB129" si="59">X123*$AU$97/100</f>
        <v>1.5750567849658808</v>
      </c>
      <c r="AC123" s="3">
        <f t="shared" ref="AC123:AC130" si="60">U123*$AU$96/100</f>
        <v>1.4981834418057109</v>
      </c>
      <c r="AD123" s="3">
        <f t="shared" ref="AD123:AD129" si="61">V123*$AU$96/100</f>
        <v>1.5455370277361209</v>
      </c>
      <c r="AE123" s="3">
        <f t="shared" ref="AE123:AE129" si="62">W123*$AU$96/100</f>
        <v>1.5455370277361209</v>
      </c>
      <c r="AF123" s="3">
        <f t="shared" ref="AF123:AF129" si="63">X123*$AU$96/100</f>
        <v>1.5455370277361209</v>
      </c>
      <c r="AG123" s="44"/>
      <c r="AH123" s="44"/>
      <c r="AI123" s="3">
        <f>USA!AJ136</f>
        <v>104.18614906980586</v>
      </c>
      <c r="AJ123" s="3">
        <f>USA!AK136</f>
        <v>104.18614906980586</v>
      </c>
      <c r="AK123" s="3">
        <f>USA!AL136</f>
        <v>104.18614906980586</v>
      </c>
      <c r="AM123"/>
      <c r="AN123"/>
      <c r="AO123"/>
      <c r="AP123"/>
      <c r="AQ123"/>
      <c r="BH123" s="3"/>
      <c r="BI123" s="3"/>
      <c r="BJ123" s="3"/>
      <c r="BK123" s="3"/>
      <c r="BL123" s="3"/>
    </row>
    <row r="124" spans="1:68">
      <c r="A124">
        <v>2012</v>
      </c>
      <c r="B124" s="3">
        <f>USA!Z99/USA!AU99*100</f>
        <v>104.07290773565181</v>
      </c>
      <c r="C124" s="3">
        <f t="shared" si="48"/>
        <v>104.07290773565181</v>
      </c>
      <c r="D124" s="3">
        <f t="shared" si="49"/>
        <v>104.07290773565181</v>
      </c>
      <c r="E124" s="3">
        <f t="shared" si="50"/>
        <v>104.07290773565181</v>
      </c>
      <c r="F124" s="6">
        <f>'Exchange Rates'!C51</f>
        <v>0.773899446716382</v>
      </c>
      <c r="G124" s="3">
        <f>(B124*USA!$AU99/100)/$AU91*100*$F124</f>
        <v>80.067776974882676</v>
      </c>
      <c r="H124" s="3">
        <f>(C124*USA!$AU99/100)/$AU91*100*$F124</f>
        <v>80.067776974882676</v>
      </c>
      <c r="I124" s="3">
        <f>(D124*USA!$AU99/100)/$AU91*100*$F124</f>
        <v>80.067776974882676</v>
      </c>
      <c r="J124" s="3">
        <f>(E124*USA!$AU99/100)/$AU91*100*$F124</f>
        <v>80.067776974882676</v>
      </c>
      <c r="K124" s="6">
        <f>T$111+T$112*G124</f>
        <v>0.6628782240571568</v>
      </c>
      <c r="L124" s="6">
        <f t="shared" si="52"/>
        <v>0.6628782240571568</v>
      </c>
      <c r="M124" s="6">
        <f t="shared" si="53"/>
        <v>0.6628782240571568</v>
      </c>
      <c r="N124" s="6">
        <f t="shared" si="54"/>
        <v>0.6628782240571568</v>
      </c>
      <c r="O124">
        <v>2012</v>
      </c>
      <c r="P124" s="24">
        <f t="shared" si="55"/>
        <v>0.48661195154215192</v>
      </c>
      <c r="Q124" s="3">
        <f t="shared" si="40"/>
        <v>0.22989803511986176</v>
      </c>
      <c r="R124" s="3">
        <f t="shared" si="41"/>
        <v>0.22989803511986176</v>
      </c>
      <c r="S124" s="3">
        <f t="shared" si="42"/>
        <v>0.22989803511986176</v>
      </c>
      <c r="T124" s="3">
        <f t="shared" si="43"/>
        <v>0.22989803511986176</v>
      </c>
      <c r="U124" s="3">
        <f t="shared" si="44"/>
        <v>1.3698603695503437</v>
      </c>
      <c r="V124" s="3">
        <f t="shared" si="45"/>
        <v>1.3793882107191706</v>
      </c>
      <c r="W124" s="3">
        <f t="shared" si="46"/>
        <v>1.3793882107191706</v>
      </c>
      <c r="X124" s="3">
        <f t="shared" si="47"/>
        <v>1.3793882107191706</v>
      </c>
      <c r="Y124" s="3">
        <f t="shared" si="56"/>
        <v>1.5911421046809884</v>
      </c>
      <c r="Z124" s="3">
        <f t="shared" si="57"/>
        <v>1.6022090349955063</v>
      </c>
      <c r="AA124" s="3">
        <f t="shared" si="58"/>
        <v>1.6022090349955063</v>
      </c>
      <c r="AB124" s="3">
        <f t="shared" si="59"/>
        <v>1.6022090349955063</v>
      </c>
      <c r="AC124" s="3">
        <f t="shared" si="60"/>
        <v>1.5613208759503372</v>
      </c>
      <c r="AD124" s="3">
        <f t="shared" si="61"/>
        <v>1.5721803895550059</v>
      </c>
      <c r="AE124" s="3">
        <f t="shared" si="62"/>
        <v>1.5721803895550059</v>
      </c>
      <c r="AF124" s="3">
        <f t="shared" si="63"/>
        <v>1.5721803895550059</v>
      </c>
      <c r="AG124" s="44"/>
      <c r="AH124" s="44"/>
      <c r="AI124" s="3">
        <f>USA!AJ137</f>
        <v>104.07290773565181</v>
      </c>
      <c r="AJ124" s="3">
        <f>USA!AK137</f>
        <v>104.07290773565181</v>
      </c>
      <c r="AK124" s="3">
        <f>USA!AL137</f>
        <v>104.07290773565181</v>
      </c>
      <c r="AM124"/>
      <c r="AN124"/>
      <c r="AO124"/>
      <c r="AP124"/>
      <c r="AQ124"/>
      <c r="BH124" s="3"/>
      <c r="BI124" s="3"/>
      <c r="BJ124" s="3"/>
      <c r="BK124" s="3"/>
      <c r="BL124" s="3"/>
    </row>
    <row r="125" spans="1:68">
      <c r="A125">
        <v>2013</v>
      </c>
      <c r="B125" s="3">
        <f>USA!Z100/USA!AU100*100</f>
        <v>99.286371359470479</v>
      </c>
      <c r="C125" s="3">
        <f t="shared" si="48"/>
        <v>99.286371359470493</v>
      </c>
      <c r="D125" s="3">
        <f t="shared" si="49"/>
        <v>99.286371359470493</v>
      </c>
      <c r="E125" s="3">
        <f t="shared" si="50"/>
        <v>99.286371359470493</v>
      </c>
      <c r="F125" s="6">
        <f>'Exchange Rates'!C52</f>
        <v>0.75166876437654617</v>
      </c>
      <c r="G125" s="3">
        <f>(B125*USA!$AU100/100)/$AU92*100*$F125</f>
        <v>73.764226749266086</v>
      </c>
      <c r="H125" s="3">
        <f>(C125*USA!$AU100/100)/$AU92*100*$F125</f>
        <v>73.764226749266086</v>
      </c>
      <c r="I125" s="3">
        <f>(D125*USA!$AU100/100)/$AU92*100*$F125</f>
        <v>73.764226749266086</v>
      </c>
      <c r="J125" s="3">
        <f>(E125*USA!$AU100/100)/$AU92*100*$F125</f>
        <v>73.764226749266086</v>
      </c>
      <c r="K125" s="6">
        <f t="shared" si="51"/>
        <v>0.62749740066098547</v>
      </c>
      <c r="L125" s="6">
        <f t="shared" si="52"/>
        <v>0.62749740066098547</v>
      </c>
      <c r="M125" s="6">
        <f t="shared" si="53"/>
        <v>0.62749740066098547</v>
      </c>
      <c r="N125" s="6">
        <f t="shared" si="54"/>
        <v>0.62749740066098547</v>
      </c>
      <c r="O125">
        <v>2013</v>
      </c>
      <c r="P125" s="24">
        <f t="shared" si="55"/>
        <v>0.44650027785809188</v>
      </c>
      <c r="Q125" s="3">
        <f t="shared" si="40"/>
        <v>0.21479953570381546</v>
      </c>
      <c r="R125" s="3">
        <f t="shared" si="41"/>
        <v>0.21479953570381546</v>
      </c>
      <c r="S125" s="3">
        <f t="shared" si="42"/>
        <v>0.21479953570381546</v>
      </c>
      <c r="T125" s="3">
        <f t="shared" si="43"/>
        <v>0.21479953570381546</v>
      </c>
      <c r="U125" s="3">
        <f t="shared" si="44"/>
        <v>1.2903854249082023</v>
      </c>
      <c r="V125" s="3">
        <f t="shared" si="45"/>
        <v>1.2887972142228927</v>
      </c>
      <c r="W125" s="3">
        <f t="shared" si="46"/>
        <v>1.2887972142228927</v>
      </c>
      <c r="X125" s="3">
        <f t="shared" si="47"/>
        <v>1.2887972142228927</v>
      </c>
      <c r="Y125" s="3">
        <f t="shared" si="56"/>
        <v>1.498829097094083</v>
      </c>
      <c r="Z125" s="3">
        <f t="shared" si="57"/>
        <v>1.4969843332417423</v>
      </c>
      <c r="AA125" s="3">
        <f t="shared" si="58"/>
        <v>1.4969843332417423</v>
      </c>
      <c r="AB125" s="3">
        <f t="shared" si="59"/>
        <v>1.4969843332417423</v>
      </c>
      <c r="AC125" s="3">
        <f t="shared" si="60"/>
        <v>1.4707380012698295</v>
      </c>
      <c r="AD125" s="3">
        <f t="shared" si="61"/>
        <v>1.4689278120319327</v>
      </c>
      <c r="AE125" s="3">
        <f t="shared" si="62"/>
        <v>1.4689278120319327</v>
      </c>
      <c r="AF125" s="3">
        <f t="shared" si="63"/>
        <v>1.4689278120319327</v>
      </c>
      <c r="AG125" s="44"/>
      <c r="AH125" s="44"/>
      <c r="AI125" s="3">
        <f>USA!AJ138</f>
        <v>99.286371359470493</v>
      </c>
      <c r="AJ125" s="3">
        <f>USA!AK138</f>
        <v>99.286371359470493</v>
      </c>
      <c r="AK125" s="3">
        <f>USA!AL138</f>
        <v>99.286371359470493</v>
      </c>
      <c r="AM125"/>
      <c r="AN125"/>
      <c r="AO125"/>
      <c r="AP125"/>
      <c r="AQ125"/>
      <c r="BH125" s="3"/>
      <c r="BI125" s="3"/>
      <c r="BJ125" s="3"/>
      <c r="BK125" s="3"/>
      <c r="BL125" s="3"/>
    </row>
    <row r="126" spans="1:68">
      <c r="A126">
        <v>2014</v>
      </c>
      <c r="B126" s="3">
        <f>USA!Z101/USA!AU101*100</f>
        <v>88.687750298592292</v>
      </c>
      <c r="C126" s="3">
        <f t="shared" si="48"/>
        <v>88.687750298592292</v>
      </c>
      <c r="D126" s="3">
        <f t="shared" si="49"/>
        <v>88.687750298592292</v>
      </c>
      <c r="E126" s="3">
        <f t="shared" si="50"/>
        <v>88.687750298592292</v>
      </c>
      <c r="F126" s="6">
        <f>'Exchange Rates'!C53</f>
        <v>0.757387838338895</v>
      </c>
      <c r="G126" s="3">
        <f>(B126*USA!$AU101/100)/$AU93*100*$F126</f>
        <v>66.420196143420682</v>
      </c>
      <c r="H126" s="3">
        <f>(C126*USA!$AU101/100)/$AU93*100*$F126</f>
        <v>66.420196143420682</v>
      </c>
      <c r="I126" s="3">
        <f>(D126*USA!$AU101/100)/$AU93*100*$F126</f>
        <v>66.420196143420682</v>
      </c>
      <c r="J126" s="3">
        <f>(E126*USA!$AU101/100)/$AU93*100*$F126</f>
        <v>66.420196143420682</v>
      </c>
      <c r="K126" s="6">
        <f t="shared" si="51"/>
        <v>0.58627652661677543</v>
      </c>
      <c r="L126" s="6">
        <f t="shared" si="52"/>
        <v>0.58627652661677543</v>
      </c>
      <c r="M126" s="6">
        <f t="shared" si="53"/>
        <v>0.58627652661677543</v>
      </c>
      <c r="N126" s="6">
        <f t="shared" si="54"/>
        <v>0.58627652661677543</v>
      </c>
      <c r="O126">
        <v>2014</v>
      </c>
      <c r="P126" s="24">
        <f t="shared" si="55"/>
        <v>0.43944364839335248</v>
      </c>
      <c r="Q126" s="3">
        <f t="shared" si="40"/>
        <v>0.2051440350020256</v>
      </c>
      <c r="R126" s="3">
        <f t="shared" si="41"/>
        <v>0.2051440350020256</v>
      </c>
      <c r="S126" s="3">
        <f t="shared" si="42"/>
        <v>0.2051440350020256</v>
      </c>
      <c r="T126" s="3">
        <f t="shared" si="43"/>
        <v>0.2051440350020256</v>
      </c>
      <c r="U126" s="3">
        <f t="shared" si="44"/>
        <v>1.230527804492098</v>
      </c>
      <c r="V126" s="3">
        <f t="shared" si="45"/>
        <v>1.2308642100121534</v>
      </c>
      <c r="W126" s="3">
        <f t="shared" si="46"/>
        <v>1.2308642100121534</v>
      </c>
      <c r="X126" s="3">
        <f t="shared" si="47"/>
        <v>1.2308642100121534</v>
      </c>
      <c r="Y126" s="3">
        <f t="shared" si="56"/>
        <v>1.4293023173965733</v>
      </c>
      <c r="Z126" s="3">
        <f t="shared" si="57"/>
        <v>1.4296930645114656</v>
      </c>
      <c r="AA126" s="3">
        <f t="shared" si="58"/>
        <v>1.4296930645114656</v>
      </c>
      <c r="AB126" s="3">
        <f t="shared" si="59"/>
        <v>1.4296930645114656</v>
      </c>
      <c r="AC126" s="3">
        <f t="shared" si="60"/>
        <v>1.4025142943740294</v>
      </c>
      <c r="AD126" s="3">
        <f t="shared" si="61"/>
        <v>1.4028977180958355</v>
      </c>
      <c r="AE126" s="3">
        <f t="shared" si="62"/>
        <v>1.4028977180958355</v>
      </c>
      <c r="AF126" s="3">
        <f t="shared" si="63"/>
        <v>1.4028977180958355</v>
      </c>
      <c r="AG126" s="44"/>
      <c r="AH126" s="44"/>
      <c r="AI126" s="3">
        <f>USA!AJ139</f>
        <v>88.687750298592292</v>
      </c>
      <c r="AJ126" s="3">
        <f>USA!AK139</f>
        <v>88.687750298592292</v>
      </c>
      <c r="AK126" s="3">
        <f>USA!AL139</f>
        <v>88.687750298592292</v>
      </c>
      <c r="AM126"/>
      <c r="AN126"/>
      <c r="AO126"/>
      <c r="AP126"/>
      <c r="AQ126"/>
      <c r="BH126" s="3"/>
      <c r="BI126" s="3"/>
      <c r="BJ126" s="3"/>
      <c r="BK126" s="3"/>
      <c r="BL126" s="3"/>
    </row>
    <row r="127" spans="1:68">
      <c r="A127">
        <v>2015</v>
      </c>
      <c r="B127" s="3">
        <f>USA!Z102/USA!AU102*100</f>
        <v>45.556296925601828</v>
      </c>
      <c r="C127" s="3">
        <f t="shared" si="48"/>
        <v>45.556296925601814</v>
      </c>
      <c r="D127" s="3">
        <f t="shared" si="49"/>
        <v>45.556296925601814</v>
      </c>
      <c r="E127" s="3">
        <f t="shared" si="50"/>
        <v>45.556296925601814</v>
      </c>
      <c r="F127" s="6">
        <f>'Exchange Rates'!C54</f>
        <v>0.90592556207997499</v>
      </c>
      <c r="G127" s="3">
        <f>(B127*USA!$AU102/100)/$AU94*100*$F127</f>
        <v>40.534400705605655</v>
      </c>
      <c r="H127" s="3">
        <f>(C127*USA!$AU102/100)/$AU94*100*$F127</f>
        <v>40.534400705605634</v>
      </c>
      <c r="I127" s="3">
        <f>(D127*USA!$AU102/100)/$AU94*100*$F127</f>
        <v>40.534400705605634</v>
      </c>
      <c r="J127" s="3">
        <f>(E127*USA!$AU102/100)/$AU94*100*$F127</f>
        <v>40.534400705605634</v>
      </c>
      <c r="K127" s="6">
        <f t="shared" si="51"/>
        <v>0.44098367987576859</v>
      </c>
      <c r="L127" s="6">
        <f t="shared" si="52"/>
        <v>0.44098367987576848</v>
      </c>
      <c r="M127" s="6">
        <f t="shared" si="53"/>
        <v>0.44098367987576848</v>
      </c>
      <c r="N127" s="6">
        <f t="shared" si="54"/>
        <v>0.44098367987576848</v>
      </c>
      <c r="O127">
        <v>2015</v>
      </c>
      <c r="P127" s="24">
        <f t="shared" si="55"/>
        <v>0.43553875569916478</v>
      </c>
      <c r="Q127" s="3">
        <f t="shared" si="40"/>
        <v>0.1753044871149867</v>
      </c>
      <c r="R127" s="3">
        <f t="shared" si="41"/>
        <v>0.17530448711498667</v>
      </c>
      <c r="S127" s="3">
        <f t="shared" si="42"/>
        <v>0.17530448711498667</v>
      </c>
      <c r="T127" s="3">
        <f t="shared" si="43"/>
        <v>0.17530448711498667</v>
      </c>
      <c r="U127" s="3">
        <f t="shared" si="44"/>
        <v>1.0862098309845118</v>
      </c>
      <c r="V127" s="3">
        <f t="shared" si="45"/>
        <v>1.05182692268992</v>
      </c>
      <c r="W127" s="3">
        <f t="shared" si="46"/>
        <v>1.05182692268992</v>
      </c>
      <c r="X127" s="3">
        <f t="shared" si="47"/>
        <v>1.05182692268992</v>
      </c>
      <c r="Y127" s="3">
        <f t="shared" si="56"/>
        <v>1.2616717988309971</v>
      </c>
      <c r="Z127" s="3">
        <f t="shared" si="57"/>
        <v>1.221734813803196</v>
      </c>
      <c r="AA127" s="3">
        <f t="shared" si="58"/>
        <v>1.221734813803196</v>
      </c>
      <c r="AB127" s="3">
        <f t="shared" si="59"/>
        <v>1.221734813803196</v>
      </c>
      <c r="AC127" s="3">
        <f t="shared" si="60"/>
        <v>1.2380255115601977</v>
      </c>
      <c r="AD127" s="3">
        <f t="shared" si="61"/>
        <v>1.1988370265952273</v>
      </c>
      <c r="AE127" s="3">
        <f t="shared" si="62"/>
        <v>1.1988370265952273</v>
      </c>
      <c r="AF127" s="3">
        <f t="shared" si="63"/>
        <v>1.1988370265952273</v>
      </c>
      <c r="AG127" s="44"/>
      <c r="AH127" s="44"/>
      <c r="AI127" s="3">
        <f>USA!AJ140</f>
        <v>45.556296925601814</v>
      </c>
      <c r="AJ127" s="3">
        <f>USA!AK140</f>
        <v>45.556296925601814</v>
      </c>
      <c r="AK127" s="3">
        <f>USA!AL140</f>
        <v>45.556296925601814</v>
      </c>
      <c r="AM127"/>
      <c r="AN127"/>
      <c r="AO127"/>
      <c r="AP127"/>
      <c r="AQ127"/>
      <c r="BH127" s="3"/>
      <c r="BI127" s="3"/>
      <c r="BJ127" s="3"/>
      <c r="BK127" s="3"/>
      <c r="BL127" s="3"/>
    </row>
    <row r="128" spans="1:68">
      <c r="A128">
        <v>2016</v>
      </c>
      <c r="B128" s="3">
        <f>USA!Z103/USA!AU103*100</f>
        <v>36.957692605914716</v>
      </c>
      <c r="C128" s="3">
        <f t="shared" si="48"/>
        <v>36.957692605914716</v>
      </c>
      <c r="D128" s="3">
        <f t="shared" si="49"/>
        <v>36.957692605914716</v>
      </c>
      <c r="E128" s="3">
        <f t="shared" si="50"/>
        <v>36.957692605914716</v>
      </c>
      <c r="F128" s="6">
        <f>'Exchange Rates'!C55</f>
        <v>0.90674707708863456</v>
      </c>
      <c r="G128" s="3">
        <f>(B128*USA!$AU103/100)/$AU95*100*$F128</f>
        <v>33.039559656551106</v>
      </c>
      <c r="H128" s="3">
        <f>(C128*USA!$AU103/100)/$AU95*100*$F128</f>
        <v>33.039559656551106</v>
      </c>
      <c r="I128" s="3">
        <f>(D128*USA!$AU103/100)/$AU95*100*$F128</f>
        <v>33.039559656551106</v>
      </c>
      <c r="J128" s="3">
        <f>(E128*USA!$AU103/100)/$AU95*100*$F128</f>
        <v>33.039559656551106</v>
      </c>
      <c r="K128" s="6">
        <f t="shared" si="51"/>
        <v>0.3989163308346913</v>
      </c>
      <c r="L128" s="6">
        <f t="shared" si="52"/>
        <v>0.3989163308346913</v>
      </c>
      <c r="M128" s="6">
        <f t="shared" si="53"/>
        <v>0.3989163308346913</v>
      </c>
      <c r="N128" s="6">
        <f t="shared" si="54"/>
        <v>0.3989163308346913</v>
      </c>
      <c r="O128">
        <v>2016</v>
      </c>
      <c r="P128" s="24">
        <f t="shared" si="55"/>
        <v>0.43168984711997704</v>
      </c>
      <c r="Q128" s="3">
        <f t="shared" si="40"/>
        <v>0.16612123559093367</v>
      </c>
      <c r="R128" s="3">
        <f t="shared" si="41"/>
        <v>0.16612123559093367</v>
      </c>
      <c r="S128" s="3">
        <f t="shared" si="42"/>
        <v>0.16612123559093367</v>
      </c>
      <c r="T128" s="3">
        <f t="shared" si="43"/>
        <v>0.16612123559093367</v>
      </c>
      <c r="U128" s="3">
        <f t="shared" si="44"/>
        <v>0.99541230266822578</v>
      </c>
      <c r="V128" s="3">
        <f t="shared" si="45"/>
        <v>0.9967274135456019</v>
      </c>
      <c r="W128" s="3">
        <f t="shared" si="46"/>
        <v>0.9967274135456019</v>
      </c>
      <c r="X128" s="3">
        <f t="shared" si="47"/>
        <v>0.9967274135456019</v>
      </c>
      <c r="Y128" s="3">
        <f t="shared" si="56"/>
        <v>1.1562072029375998</v>
      </c>
      <c r="Z128" s="3">
        <f t="shared" si="57"/>
        <v>1.1577347515373189</v>
      </c>
      <c r="AA128" s="3">
        <f t="shared" si="58"/>
        <v>1.1577347515373189</v>
      </c>
      <c r="AB128" s="3">
        <f t="shared" si="59"/>
        <v>1.1577347515373189</v>
      </c>
      <c r="AC128" s="3">
        <f t="shared" si="60"/>
        <v>1.1345375360000001</v>
      </c>
      <c r="AD128" s="3">
        <f t="shared" si="61"/>
        <v>1.1360364552421931</v>
      </c>
      <c r="AE128" s="3">
        <f t="shared" si="62"/>
        <v>1.1360364552421931</v>
      </c>
      <c r="AF128" s="3">
        <f t="shared" si="63"/>
        <v>1.1360364552421931</v>
      </c>
      <c r="AG128" s="44"/>
      <c r="AH128" s="44"/>
      <c r="AI128" s="3">
        <f>USA!AJ141</f>
        <v>36.957692605914716</v>
      </c>
      <c r="AJ128" s="3">
        <f>USA!AK141</f>
        <v>36.957692605914716</v>
      </c>
      <c r="AK128" s="3">
        <f>USA!AL141</f>
        <v>36.957692605914716</v>
      </c>
      <c r="AM128"/>
      <c r="AN128"/>
      <c r="AO128"/>
      <c r="AP128"/>
      <c r="AQ128"/>
      <c r="BH128" s="3"/>
      <c r="BI128" s="3"/>
      <c r="BJ128" s="3"/>
      <c r="BK128" s="3"/>
      <c r="BL128" s="3"/>
    </row>
    <row r="129" spans="1:64">
      <c r="A129">
        <v>2017</v>
      </c>
      <c r="B129" s="3">
        <f>USA!Z104/USA!AU104*100</f>
        <v>46.705738720797434</v>
      </c>
      <c r="C129" s="3">
        <f t="shared" si="48"/>
        <v>46.705738720797434</v>
      </c>
      <c r="D129" s="3">
        <f t="shared" si="49"/>
        <v>46.705738720797434</v>
      </c>
      <c r="E129" s="3">
        <f t="shared" si="50"/>
        <v>46.705738720797434</v>
      </c>
      <c r="F129" s="6">
        <f>'Exchange Rates'!C56</f>
        <v>0.88700000000000001</v>
      </c>
      <c r="G129" s="3">
        <f>(B129*USA!$AU104/100)/$AU96*100*$F129</f>
        <v>40.864837205022425</v>
      </c>
      <c r="H129" s="3">
        <f>(C129*USA!$AU104/100)/$AU96*100*$F129</f>
        <v>40.864837205022425</v>
      </c>
      <c r="I129" s="3">
        <f>(D129*USA!$AU104/100)/$AU96*100*$F129</f>
        <v>40.864837205022425</v>
      </c>
      <c r="J129" s="3">
        <f>(E129*USA!$AU104/100)/$AU96*100*$F129</f>
        <v>40.864837205022425</v>
      </c>
      <c r="K129" s="6">
        <f t="shared" si="51"/>
        <v>0.44283836731555493</v>
      </c>
      <c r="L129" s="6">
        <f t="shared" si="52"/>
        <v>0.44283836731555493</v>
      </c>
      <c r="M129" s="6">
        <f t="shared" si="53"/>
        <v>0.44283836731555493</v>
      </c>
      <c r="N129" s="6">
        <f t="shared" si="54"/>
        <v>0.44283836731555493</v>
      </c>
      <c r="O129">
        <v>2017</v>
      </c>
      <c r="P129" s="24">
        <f t="shared" si="55"/>
        <v>0.42289365901251669</v>
      </c>
      <c r="Q129" s="3">
        <f t="shared" si="40"/>
        <v>0.17314640526561434</v>
      </c>
      <c r="R129" s="3">
        <f t="shared" si="41"/>
        <v>0.17314640526561434</v>
      </c>
      <c r="S129" s="3">
        <f t="shared" si="42"/>
        <v>0.17314640526561434</v>
      </c>
      <c r="T129" s="3">
        <f t="shared" si="43"/>
        <v>0.17314640526561434</v>
      </c>
      <c r="U129" s="3">
        <f t="shared" si="44"/>
        <v>1.0330537549122361</v>
      </c>
      <c r="V129" s="3">
        <f t="shared" si="45"/>
        <v>1.0388784315936861</v>
      </c>
      <c r="W129" s="3">
        <f t="shared" si="46"/>
        <v>1.0388784315936861</v>
      </c>
      <c r="X129" s="3">
        <f t="shared" si="47"/>
        <v>1.0388784315936861</v>
      </c>
      <c r="Y129" s="3">
        <f t="shared" si="56"/>
        <v>1.1999291040000002</v>
      </c>
      <c r="Z129" s="3">
        <f t="shared" si="57"/>
        <v>1.2066946755283239</v>
      </c>
      <c r="AA129" s="3">
        <f t="shared" si="58"/>
        <v>1.2066946755283239</v>
      </c>
      <c r="AB129" s="3">
        <f t="shared" si="59"/>
        <v>1.2066946755283239</v>
      </c>
      <c r="AC129" s="3">
        <f t="shared" si="60"/>
        <v>1.1774400000000005</v>
      </c>
      <c r="AD129" s="3">
        <f t="shared" si="61"/>
        <v>1.1840787710021825</v>
      </c>
      <c r="AE129" s="3">
        <f t="shared" si="62"/>
        <v>1.1840787710021825</v>
      </c>
      <c r="AF129" s="3">
        <f t="shared" si="63"/>
        <v>1.1840787710021825</v>
      </c>
      <c r="AG129" s="44"/>
      <c r="AH129" s="44"/>
      <c r="AI129" s="3">
        <f>USA!AJ142</f>
        <v>46.705738720797434</v>
      </c>
      <c r="AJ129" s="3">
        <f>USA!AK142</f>
        <v>46.705738720797434</v>
      </c>
      <c r="AK129" s="3">
        <f>USA!AL142</f>
        <v>46.705738720797434</v>
      </c>
      <c r="AM129"/>
      <c r="AN129"/>
      <c r="AO129"/>
      <c r="AP129"/>
      <c r="AQ129"/>
      <c r="BH129" s="3"/>
      <c r="BI129" s="3"/>
      <c r="BJ129" s="3"/>
      <c r="BK129" s="3"/>
      <c r="BL129" s="3"/>
    </row>
    <row r="130" spans="1:64">
      <c r="A130">
        <v>2018</v>
      </c>
      <c r="B130" s="3">
        <f>USA!Z105/USA!AU105*100</f>
        <v>60.818458312139953</v>
      </c>
      <c r="C130" s="3">
        <f t="shared" si="48"/>
        <v>60.818458312139953</v>
      </c>
      <c r="D130" s="3">
        <f t="shared" si="49"/>
        <v>60.818458312139953</v>
      </c>
      <c r="E130" s="3">
        <f t="shared" si="50"/>
        <v>60.818458312139953</v>
      </c>
      <c r="F130" s="6">
        <f>'Exchange Rates'!C57</f>
        <v>0.84599999999999997</v>
      </c>
      <c r="G130" s="3">
        <f>(B130*USA!$AU105/100)/$AU97*100*$F130</f>
        <v>51.132784909577204</v>
      </c>
      <c r="H130" s="3">
        <f>(C130*USA!$AU105/100)/$AU97*100*$F130</f>
        <v>51.132784909577204</v>
      </c>
      <c r="I130" s="3">
        <f>(D130*USA!$AU105/100)/$AU97*100*$F130</f>
        <v>51.132784909577204</v>
      </c>
      <c r="J130" s="3">
        <f>(E130*USA!$AU105/100)/$AU97*100*$F130</f>
        <v>51.132784909577204</v>
      </c>
      <c r="K130" s="6">
        <f t="shared" si="51"/>
        <v>0.50047072231760303</v>
      </c>
      <c r="L130" s="6">
        <f t="shared" si="52"/>
        <v>0.50047072231760303</v>
      </c>
      <c r="M130" s="6">
        <f t="shared" si="53"/>
        <v>0.50047072231760303</v>
      </c>
      <c r="N130" s="6">
        <f t="shared" si="54"/>
        <v>0.50047072231760303</v>
      </c>
      <c r="O130">
        <v>2018</v>
      </c>
      <c r="P130" s="24">
        <f t="shared" si="55"/>
        <v>0.41496777451920003</v>
      </c>
      <c r="Q130" s="3">
        <f t="shared" si="40"/>
        <v>0.18308769936736061</v>
      </c>
      <c r="R130" s="3">
        <f t="shared" si="41"/>
        <v>0.18308769936736061</v>
      </c>
      <c r="S130" s="3">
        <f t="shared" si="42"/>
        <v>0.18308769936736061</v>
      </c>
      <c r="T130" s="3">
        <f t="shared" si="43"/>
        <v>0.18308769936736061</v>
      </c>
      <c r="U130" s="3">
        <f t="shared" si="44"/>
        <v>1.0882702072564576</v>
      </c>
      <c r="V130" s="3">
        <f t="shared" si="45"/>
        <v>1.0985261962041637</v>
      </c>
      <c r="W130" s="3">
        <f t="shared" si="46"/>
        <v>1.0985261962041637</v>
      </c>
      <c r="X130" s="3">
        <f t="shared" si="47"/>
        <v>1.0985261962041637</v>
      </c>
      <c r="Y130" s="3">
        <f t="shared" si="56"/>
        <v>1.264065</v>
      </c>
      <c r="Z130" s="3">
        <f>V130*$AU$97/100</f>
        <v>1.275977700157312</v>
      </c>
      <c r="AA130" s="3">
        <f t="shared" ref="AA130:AA142" si="64">W130*$AU$97/100</f>
        <v>1.275977700157312</v>
      </c>
      <c r="AB130" s="3">
        <f t="shared" ref="AB130:AB142" si="65">X130*$AU$97/100</f>
        <v>1.275977700157312</v>
      </c>
      <c r="AC130" s="3">
        <f t="shared" si="60"/>
        <v>1.240373859287607</v>
      </c>
      <c r="AD130" s="3">
        <f t="shared" ref="AD130:AD142" si="66">V130*$AU$96/100</f>
        <v>1.2520632912936045</v>
      </c>
      <c r="AE130" s="3">
        <f t="shared" ref="AE130:AE142" si="67">W130*$AU$96/100</f>
        <v>1.2520632912936045</v>
      </c>
      <c r="AF130" s="3">
        <f t="shared" ref="AF130:AF142" si="68">X130*$AU$96/100</f>
        <v>1.2520632912936045</v>
      </c>
      <c r="AG130" s="44"/>
      <c r="AH130" s="44"/>
      <c r="AI130" s="3">
        <f>USA!AJ143</f>
        <v>60.818458312139953</v>
      </c>
      <c r="AJ130" s="3">
        <f>USA!AK143</f>
        <v>60.818458312139953</v>
      </c>
      <c r="AK130" s="3">
        <f>USA!AL143</f>
        <v>60.818458312139953</v>
      </c>
      <c r="AM130"/>
      <c r="AN130"/>
      <c r="AO130"/>
      <c r="AP130"/>
      <c r="AQ130"/>
      <c r="BH130" s="3"/>
      <c r="BI130" s="3"/>
      <c r="BJ130" s="3"/>
      <c r="BK130" s="3"/>
      <c r="BL130" s="3"/>
    </row>
    <row r="131" spans="1:64">
      <c r="A131">
        <v>2019</v>
      </c>
      <c r="B131" s="3"/>
      <c r="C131" s="3">
        <f>AI131</f>
        <v>90.611761513694489</v>
      </c>
      <c r="D131" s="3">
        <f t="shared" si="49"/>
        <v>56.019786702864394</v>
      </c>
      <c r="E131" s="3">
        <f t="shared" si="50"/>
        <v>25.889074718198426</v>
      </c>
      <c r="F131" s="6">
        <f>'Exchange Rates'!C58</f>
        <v>0.86199999999999999</v>
      </c>
      <c r="G131" s="3"/>
      <c r="H131" s="3">
        <f>(C131*USA!$AU106/100)/$AU98*100*$F131</f>
        <v>77.622122862653413</v>
      </c>
      <c r="I131" s="3">
        <f>(D131*USA!$AU106/100)/$AU98*100*$F131</f>
        <v>47.989076622599292</v>
      </c>
      <c r="J131" s="3">
        <f>(E131*USA!$AU106/100)/$AU98*100*$F131</f>
        <v>22.177749389329545</v>
      </c>
      <c r="K131" s="6"/>
      <c r="L131" s="6">
        <f t="shared" si="52"/>
        <v>0.64915115706540616</v>
      </c>
      <c r="M131" s="6">
        <f t="shared" si="53"/>
        <v>0.48282558842803114</v>
      </c>
      <c r="N131" s="6">
        <f t="shared" si="54"/>
        <v>0.33795071985795072</v>
      </c>
      <c r="O131">
        <v>2019</v>
      </c>
      <c r="P131" s="7">
        <f t="shared" ref="P131:P142" si="69">P130</f>
        <v>0.41496777451920003</v>
      </c>
      <c r="Q131" s="3"/>
      <c r="R131" s="3">
        <f t="shared" si="41"/>
        <v>0.21282378631692125</v>
      </c>
      <c r="S131" s="3">
        <f t="shared" si="42"/>
        <v>0.17955867258944624</v>
      </c>
      <c r="T131" s="3">
        <f t="shared" si="43"/>
        <v>0.15058369887543016</v>
      </c>
      <c r="U131" s="3"/>
      <c r="V131" s="3">
        <f t="shared" si="45"/>
        <v>1.2769427179015276</v>
      </c>
      <c r="W131" s="3">
        <f t="shared" si="46"/>
        <v>1.0773520355366775</v>
      </c>
      <c r="X131" s="3">
        <f t="shared" si="47"/>
        <v>0.90350219325258085</v>
      </c>
      <c r="Y131" s="3"/>
      <c r="Z131" s="3">
        <f t="shared" ref="Z131:Z142" si="70">V131*$AU$97/100</f>
        <v>1.4832149092581131</v>
      </c>
      <c r="AA131" s="3">
        <f t="shared" si="64"/>
        <v>1.2513831507286164</v>
      </c>
      <c r="AB131" s="3">
        <f t="shared" si="65"/>
        <v>1.0494503040683574</v>
      </c>
      <c r="AC131" s="3"/>
      <c r="AD131" s="3">
        <f t="shared" si="66"/>
        <v>1.45541645496822</v>
      </c>
      <c r="AE131" s="3">
        <f t="shared" si="67"/>
        <v>1.2279296935812154</v>
      </c>
      <c r="AF131" s="3">
        <f t="shared" si="68"/>
        <v>1.0297814778415832</v>
      </c>
      <c r="AG131" s="44"/>
      <c r="AH131" s="44"/>
      <c r="AI131" s="3">
        <f>USA!AJ144</f>
        <v>90.611761513694489</v>
      </c>
      <c r="AJ131" s="3">
        <f>USA!AK144</f>
        <v>56.019786702864394</v>
      </c>
      <c r="AK131" s="3">
        <f>USA!AL144</f>
        <v>25.889074718198426</v>
      </c>
      <c r="AM131"/>
      <c r="AN131"/>
      <c r="AO131"/>
      <c r="AP131"/>
      <c r="AQ131"/>
      <c r="BH131" s="3"/>
      <c r="BI131" s="3"/>
      <c r="BJ131" s="3"/>
      <c r="BK131" s="3"/>
      <c r="BL131" s="3"/>
    </row>
    <row r="132" spans="1:64">
      <c r="A132">
        <v>2020</v>
      </c>
      <c r="B132" s="3"/>
      <c r="C132" s="3">
        <f t="shared" si="48"/>
        <v>105.28223718734027</v>
      </c>
      <c r="D132" s="3">
        <f t="shared" si="49"/>
        <v>56.251630823658907</v>
      </c>
      <c r="E132" s="3">
        <f t="shared" si="50"/>
        <v>26.752043875471706</v>
      </c>
      <c r="F132" s="6">
        <f>'Exchange Rates'!C59</f>
        <v>0.86199999999999999</v>
      </c>
      <c r="G132" s="3"/>
      <c r="H132" s="3">
        <f>(C132*USA!$AU107/100)/$AU99*100*$F132</f>
        <v>90.189514183273502</v>
      </c>
      <c r="I132" s="3">
        <f>(D132*USA!$AU107/100)/$AU99*100*$F132</f>
        <v>48.187684756120404</v>
      </c>
      <c r="J132" s="3">
        <f>(E132*USA!$AU107/100)/$AU99*100*$F132</f>
        <v>22.917007702307195</v>
      </c>
      <c r="K132" s="6"/>
      <c r="L132" s="6">
        <f t="shared" si="52"/>
        <v>0.71968992283242939</v>
      </c>
      <c r="M132" s="6">
        <f t="shared" si="53"/>
        <v>0.48394034424747356</v>
      </c>
      <c r="N132" s="6">
        <f t="shared" si="54"/>
        <v>0.34210005902071683</v>
      </c>
      <c r="O132">
        <v>2020</v>
      </c>
      <c r="P132" s="7">
        <f t="shared" si="69"/>
        <v>0.41496777451920003</v>
      </c>
      <c r="Q132" s="3"/>
      <c r="R132" s="3">
        <f t="shared" si="41"/>
        <v>0.22693153947032588</v>
      </c>
      <c r="S132" s="3">
        <f t="shared" si="42"/>
        <v>0.17978162375333473</v>
      </c>
      <c r="T132" s="3">
        <f t="shared" si="43"/>
        <v>0.15141356670798337</v>
      </c>
      <c r="U132" s="3"/>
      <c r="V132" s="3">
        <f t="shared" si="45"/>
        <v>1.3615892368219553</v>
      </c>
      <c r="W132" s="3">
        <f t="shared" si="46"/>
        <v>1.0786897425200084</v>
      </c>
      <c r="X132" s="3">
        <f t="shared" si="47"/>
        <v>0.90848140024790014</v>
      </c>
      <c r="Y132" s="3"/>
      <c r="Z132" s="3">
        <f t="shared" si="70"/>
        <v>1.5815348864344574</v>
      </c>
      <c r="AA132" s="3">
        <f t="shared" si="64"/>
        <v>1.2529369455183745</v>
      </c>
      <c r="AB132" s="3">
        <f t="shared" si="65"/>
        <v>1.0552338321375541</v>
      </c>
      <c r="AC132" s="3"/>
      <c r="AD132" s="3">
        <f t="shared" si="66"/>
        <v>1.5518937164502578</v>
      </c>
      <c r="AE132" s="3">
        <f t="shared" si="67"/>
        <v>1.229454367106638</v>
      </c>
      <c r="AF132" s="3">
        <f t="shared" si="68"/>
        <v>1.0354566108699386</v>
      </c>
      <c r="AG132" s="44"/>
      <c r="AH132" s="44"/>
      <c r="AI132" s="3">
        <f>USA!AJ145</f>
        <v>105.28223718734027</v>
      </c>
      <c r="AJ132" s="3">
        <f>USA!AK145</f>
        <v>56.251630823658907</v>
      </c>
      <c r="AK132" s="3">
        <f>USA!AL145</f>
        <v>26.752043875471706</v>
      </c>
      <c r="AM132"/>
      <c r="AN132"/>
      <c r="AO132"/>
      <c r="AP132"/>
      <c r="AQ132"/>
      <c r="BH132" s="3"/>
      <c r="BI132" s="3"/>
      <c r="BJ132" s="3"/>
      <c r="BK132" s="3"/>
      <c r="BL132" s="3"/>
    </row>
    <row r="133" spans="1:64">
      <c r="A133">
        <v>2021</v>
      </c>
      <c r="B133" s="3"/>
      <c r="C133" s="3">
        <f t="shared" si="48"/>
        <v>120.81568201825931</v>
      </c>
      <c r="D133" s="3">
        <f t="shared" si="49"/>
        <v>63.082289986431647</v>
      </c>
      <c r="E133" s="3">
        <f t="shared" si="50"/>
        <v>28.477982190018274</v>
      </c>
      <c r="F133" s="6">
        <f>'Exchange Rates'!C60</f>
        <v>0.86199999999999999</v>
      </c>
      <c r="G133" s="3"/>
      <c r="H133" s="3">
        <f>(C133*USA!$AU108/100)/$AU100*100*$F133</f>
        <v>103.4961638168712</v>
      </c>
      <c r="I133" s="3">
        <f>(D133*USA!$AU108/100)/$AU100*100*$F133</f>
        <v>54.039135560169967</v>
      </c>
      <c r="J133" s="3">
        <f>(E133*USA!$AU108/100)/$AU100*100*$F133</f>
        <v>24.39552432826251</v>
      </c>
      <c r="K133" s="6"/>
      <c r="L133" s="6">
        <f t="shared" si="52"/>
        <v>0.79437802776221855</v>
      </c>
      <c r="M133" s="6">
        <f t="shared" si="53"/>
        <v>0.51678360560012049</v>
      </c>
      <c r="N133" s="6">
        <f t="shared" si="54"/>
        <v>0.35039873734624899</v>
      </c>
      <c r="O133">
        <v>2021</v>
      </c>
      <c r="P133" s="7">
        <f t="shared" si="69"/>
        <v>0.41496777451920003</v>
      </c>
      <c r="Q133" s="3"/>
      <c r="R133" s="3">
        <f t="shared" si="41"/>
        <v>0.2418691604562837</v>
      </c>
      <c r="S133" s="3">
        <f t="shared" si="42"/>
        <v>0.18635027602386411</v>
      </c>
      <c r="T133" s="3">
        <f t="shared" si="43"/>
        <v>0.1530733023730898</v>
      </c>
      <c r="U133" s="3"/>
      <c r="V133" s="3">
        <f t="shared" si="45"/>
        <v>1.4512149627377022</v>
      </c>
      <c r="W133" s="3">
        <f t="shared" si="46"/>
        <v>1.1181016561431845</v>
      </c>
      <c r="X133" s="3">
        <f t="shared" si="47"/>
        <v>0.91843981423853882</v>
      </c>
      <c r="Y133" s="3"/>
      <c r="Z133" s="3">
        <f t="shared" si="70"/>
        <v>1.6856383916799984</v>
      </c>
      <c r="AA133" s="3">
        <f t="shared" si="64"/>
        <v>1.2987153011711265</v>
      </c>
      <c r="AB133" s="3">
        <f t="shared" si="65"/>
        <v>1.0668008882759477</v>
      </c>
      <c r="AC133" s="3"/>
      <c r="AD133" s="3">
        <f t="shared" si="66"/>
        <v>1.6540461109606504</v>
      </c>
      <c r="AE133" s="3">
        <f t="shared" si="67"/>
        <v>1.2743747435689594</v>
      </c>
      <c r="AF133" s="3">
        <f t="shared" si="68"/>
        <v>1.046806876926649</v>
      </c>
      <c r="AG133" s="44"/>
      <c r="AH133" s="44"/>
      <c r="AI133" s="3">
        <f>USA!AJ146</f>
        <v>120.81568201825931</v>
      </c>
      <c r="AJ133" s="3">
        <f>USA!AK146</f>
        <v>63.082289986431647</v>
      </c>
      <c r="AK133" s="3">
        <f>USA!AL146</f>
        <v>28.477982190018274</v>
      </c>
      <c r="AM133"/>
      <c r="AN133"/>
      <c r="AO133"/>
      <c r="AP133"/>
      <c r="AQ133"/>
      <c r="BH133" s="3"/>
      <c r="BI133" s="3"/>
      <c r="BJ133" s="3"/>
      <c r="BK133" s="3"/>
      <c r="BL133" s="3"/>
    </row>
    <row r="134" spans="1:64">
      <c r="A134">
        <v>2022</v>
      </c>
      <c r="B134" s="3"/>
      <c r="C134" s="3">
        <f t="shared" si="48"/>
        <v>127.71943527644558</v>
      </c>
      <c r="D134" s="3">
        <f t="shared" si="49"/>
        <v>68.168185410991157</v>
      </c>
      <c r="E134" s="3">
        <f t="shared" si="50"/>
        <v>29.340951347291547</v>
      </c>
      <c r="F134" s="6">
        <f>'Exchange Rates'!C61</f>
        <v>0.86199999999999999</v>
      </c>
      <c r="G134" s="3"/>
      <c r="H134" s="3">
        <f>(C134*USA!$AU109/100)/$AU101*100*$F134</f>
        <v>109.41023032069245</v>
      </c>
      <c r="I134" s="3">
        <f>(D134*USA!$AU109/100)/$AU101*100*$F134</f>
        <v>58.395943031042293</v>
      </c>
      <c r="J134" s="3">
        <f>(E134*USA!$AU109/100)/$AU101*100*$F134</f>
        <v>25.134782641240154</v>
      </c>
      <c r="K134" s="6"/>
      <c r="L134" s="6">
        <f t="shared" si="52"/>
        <v>0.82757274106434731</v>
      </c>
      <c r="M134" s="6">
        <f t="shared" si="53"/>
        <v>0.5412376719882368</v>
      </c>
      <c r="N134" s="6">
        <f t="shared" si="54"/>
        <v>0.35454807650901499</v>
      </c>
      <c r="O134">
        <v>2022</v>
      </c>
      <c r="P134" s="7">
        <f t="shared" si="69"/>
        <v>0.41496777451920003</v>
      </c>
      <c r="Q134" s="3"/>
      <c r="R134" s="3">
        <f t="shared" si="41"/>
        <v>0.24850810311670948</v>
      </c>
      <c r="S134" s="3">
        <f t="shared" si="42"/>
        <v>0.19124108930148737</v>
      </c>
      <c r="T134" s="3">
        <f t="shared" si="43"/>
        <v>0.15390317020564301</v>
      </c>
      <c r="U134" s="3"/>
      <c r="V134" s="3">
        <f t="shared" si="45"/>
        <v>1.491048618700257</v>
      </c>
      <c r="W134" s="3">
        <f t="shared" si="46"/>
        <v>1.1474465358089241</v>
      </c>
      <c r="X134" s="3">
        <f t="shared" si="47"/>
        <v>0.923419021233858</v>
      </c>
      <c r="Y134" s="3"/>
      <c r="Z134" s="3">
        <f t="shared" si="70"/>
        <v>1.7319066162335728</v>
      </c>
      <c r="AA134" s="3">
        <f t="shared" si="64"/>
        <v>1.3328004346860716</v>
      </c>
      <c r="AB134" s="3">
        <f t="shared" si="65"/>
        <v>1.0725844163451443</v>
      </c>
      <c r="AC134" s="3"/>
      <c r="AD134" s="3">
        <f t="shared" si="66"/>
        <v>1.699447175187492</v>
      </c>
      <c r="AE134" s="3">
        <f t="shared" si="67"/>
        <v>1.30782105258176</v>
      </c>
      <c r="AF134" s="3">
        <f t="shared" si="68"/>
        <v>1.0524820099550038</v>
      </c>
      <c r="AG134" s="44"/>
      <c r="AH134" s="44"/>
      <c r="AI134" s="3">
        <f>USA!AJ147</f>
        <v>127.71943527644558</v>
      </c>
      <c r="AJ134" s="3">
        <f>USA!AK147</f>
        <v>68.168185410991157</v>
      </c>
      <c r="AK134" s="3">
        <f>USA!AL147</f>
        <v>29.340951347291547</v>
      </c>
      <c r="AM134"/>
      <c r="AN134"/>
      <c r="AO134"/>
      <c r="AP134"/>
      <c r="AQ134"/>
      <c r="BH134" s="3"/>
      <c r="BI134" s="3"/>
      <c r="BJ134" s="3"/>
      <c r="BK134" s="3"/>
      <c r="BL134" s="3"/>
    </row>
    <row r="135" spans="1:64">
      <c r="A135">
        <v>2023</v>
      </c>
      <c r="B135" s="3"/>
      <c r="C135" s="3">
        <f t="shared" si="48"/>
        <v>132.89725022008525</v>
      </c>
      <c r="D135" s="3">
        <f t="shared" si="49"/>
        <v>70.508542947524788</v>
      </c>
      <c r="E135" s="3">
        <f t="shared" si="50"/>
        <v>29.340951347291547</v>
      </c>
      <c r="F135" s="6">
        <f>'Exchange Rates'!C62</f>
        <v>0.86199999999999999</v>
      </c>
      <c r="G135" s="3"/>
      <c r="H135" s="3">
        <f>(C135*USA!$AU110/100)/$AU102*100*$F135</f>
        <v>113.84578019855834</v>
      </c>
      <c r="I135" s="3">
        <f>(D135*USA!$AU110/100)/$AU102*100*$F135</f>
        <v>60.40079888207763</v>
      </c>
      <c r="J135" s="3">
        <f>(E135*USA!$AU110/100)/$AU102*100*$F135</f>
        <v>25.134782641240154</v>
      </c>
      <c r="K135" s="6"/>
      <c r="L135" s="6">
        <f t="shared" si="52"/>
        <v>0.85246877604094373</v>
      </c>
      <c r="M135" s="6">
        <f t="shared" si="53"/>
        <v>0.55249060854960497</v>
      </c>
      <c r="N135" s="6">
        <f t="shared" si="54"/>
        <v>0.35454807650901499</v>
      </c>
      <c r="O135">
        <v>2023</v>
      </c>
      <c r="P135" s="7">
        <f t="shared" si="69"/>
        <v>0.41496777451920003</v>
      </c>
      <c r="Q135" s="3"/>
      <c r="R135" s="3">
        <f t="shared" si="41"/>
        <v>0.25348731011202874</v>
      </c>
      <c r="S135" s="3">
        <f t="shared" si="42"/>
        <v>0.19349167661376102</v>
      </c>
      <c r="T135" s="3">
        <f t="shared" si="43"/>
        <v>0.15390317020564301</v>
      </c>
      <c r="U135" s="3"/>
      <c r="V135" s="3">
        <f t="shared" si="45"/>
        <v>1.5209238606721724</v>
      </c>
      <c r="W135" s="3">
        <f t="shared" si="46"/>
        <v>1.1609500596825661</v>
      </c>
      <c r="X135" s="3">
        <f t="shared" si="47"/>
        <v>0.923419021233858</v>
      </c>
      <c r="Y135" s="3"/>
      <c r="Z135" s="3">
        <f t="shared" si="70"/>
        <v>1.7666077846487531</v>
      </c>
      <c r="AA135" s="3">
        <f t="shared" si="64"/>
        <v>1.3484852635011202</v>
      </c>
      <c r="AB135" s="3">
        <f t="shared" si="65"/>
        <v>1.0725844163451443</v>
      </c>
      <c r="AC135" s="3"/>
      <c r="AD135" s="3">
        <f t="shared" si="66"/>
        <v>1.7334979733576226</v>
      </c>
      <c r="AE135" s="3">
        <f t="shared" si="67"/>
        <v>1.323211915907291</v>
      </c>
      <c r="AF135" s="3">
        <f t="shared" si="68"/>
        <v>1.0524820099550038</v>
      </c>
      <c r="AG135" s="44"/>
      <c r="AH135" s="44"/>
      <c r="AI135" s="3">
        <f>USA!AJ148</f>
        <v>132.89725022008525</v>
      </c>
      <c r="AJ135" s="3">
        <f>USA!AK148</f>
        <v>70.508542947524788</v>
      </c>
      <c r="AK135" s="3">
        <f>USA!AL148</f>
        <v>29.340951347291547</v>
      </c>
      <c r="AM135"/>
      <c r="AN135"/>
      <c r="AO135"/>
      <c r="AP135"/>
      <c r="AQ135"/>
      <c r="BH135" s="3"/>
      <c r="BI135" s="3"/>
      <c r="BJ135" s="3"/>
      <c r="BK135" s="3"/>
      <c r="BL135" s="3"/>
    </row>
    <row r="136" spans="1:64">
      <c r="A136">
        <v>2024</v>
      </c>
      <c r="B136" s="3"/>
      <c r="C136" s="3">
        <f t="shared" si="48"/>
        <v>137.21209600645167</v>
      </c>
      <c r="D136" s="3">
        <f t="shared" si="49"/>
        <v>71.127304204880986</v>
      </c>
      <c r="E136" s="3">
        <f t="shared" si="50"/>
        <v>29.340951347291547</v>
      </c>
      <c r="F136" s="6">
        <f>'Exchange Rates'!C63</f>
        <v>0.86199999999999999</v>
      </c>
      <c r="G136" s="3"/>
      <c r="H136" s="3">
        <f>(C136*USA!$AU111/100)/$AU103*100*$F136</f>
        <v>117.54207176344661</v>
      </c>
      <c r="I136" s="3">
        <f>(D136*USA!$AU111/100)/$AU103*100*$F136</f>
        <v>60.930857690545821</v>
      </c>
      <c r="J136" s="3">
        <f>(E136*USA!$AU111/100)/$AU103*100*$F136</f>
        <v>25.134782641240154</v>
      </c>
      <c r="K136" s="6"/>
      <c r="L136" s="6">
        <f t="shared" si="52"/>
        <v>0.87321547185477411</v>
      </c>
      <c r="M136" s="6">
        <f t="shared" si="53"/>
        <v>0.55546574421454908</v>
      </c>
      <c r="N136" s="6">
        <f t="shared" si="54"/>
        <v>0.35454807650901499</v>
      </c>
      <c r="O136">
        <v>2024</v>
      </c>
      <c r="P136" s="7">
        <f t="shared" si="69"/>
        <v>0.41496777451920003</v>
      </c>
      <c r="Q136" s="3"/>
      <c r="R136" s="3">
        <f t="shared" si="41"/>
        <v>0.25763664927479485</v>
      </c>
      <c r="S136" s="3">
        <f t="shared" si="42"/>
        <v>0.19408670374674986</v>
      </c>
      <c r="T136" s="3">
        <f t="shared" si="43"/>
        <v>0.15390317020564301</v>
      </c>
      <c r="U136" s="3"/>
      <c r="V136" s="3">
        <f t="shared" si="45"/>
        <v>1.545819895648769</v>
      </c>
      <c r="W136" s="3">
        <f t="shared" si="46"/>
        <v>1.1645202224804989</v>
      </c>
      <c r="X136" s="3">
        <f t="shared" si="47"/>
        <v>0.923419021233858</v>
      </c>
      <c r="Y136" s="3"/>
      <c r="Z136" s="3">
        <f t="shared" si="70"/>
        <v>1.7955254249947368</v>
      </c>
      <c r="AA136" s="3">
        <f t="shared" si="64"/>
        <v>1.352632136039831</v>
      </c>
      <c r="AB136" s="3">
        <f t="shared" si="65"/>
        <v>1.0725844163451443</v>
      </c>
      <c r="AC136" s="3"/>
      <c r="AD136" s="3">
        <f t="shared" si="66"/>
        <v>1.7618736384993985</v>
      </c>
      <c r="AE136" s="3">
        <f t="shared" si="67"/>
        <v>1.3272810676477591</v>
      </c>
      <c r="AF136" s="3">
        <f t="shared" si="68"/>
        <v>1.0524820099550038</v>
      </c>
      <c r="AG136" s="44"/>
      <c r="AH136" s="44"/>
      <c r="AI136" s="3">
        <f>USA!AJ149</f>
        <v>137.21209600645167</v>
      </c>
      <c r="AJ136" s="3">
        <f>USA!AK149</f>
        <v>71.127304204880986</v>
      </c>
      <c r="AK136" s="3">
        <f>USA!AL149</f>
        <v>29.340951347291547</v>
      </c>
      <c r="AM136"/>
      <c r="AN136"/>
      <c r="AO136"/>
      <c r="AP136"/>
      <c r="AQ136"/>
      <c r="BH136" s="3"/>
      <c r="BI136" s="3"/>
      <c r="BJ136" s="3"/>
      <c r="BK136" s="3"/>
      <c r="BL136" s="3"/>
    </row>
    <row r="137" spans="1:64">
      <c r="A137">
        <v>2025</v>
      </c>
      <c r="B137" s="3"/>
      <c r="C137" s="3">
        <f t="shared" si="48"/>
        <v>141.52694179281806</v>
      </c>
      <c r="D137" s="3">
        <f t="shared" si="49"/>
        <v>74.364924740814473</v>
      </c>
      <c r="E137" s="3">
        <f t="shared" si="50"/>
        <v>30.203920504564827</v>
      </c>
      <c r="F137" s="6">
        <f>'Exchange Rates'!C64</f>
        <v>0.86199999999999999</v>
      </c>
      <c r="G137" s="3"/>
      <c r="H137" s="3">
        <f>(C137*USA!$AU112/100)/$AU104*100*$F137</f>
        <v>121.23836332833486</v>
      </c>
      <c r="I137" s="3">
        <f>(D137*USA!$AU112/100)/$AU104*100*$F137</f>
        <v>63.704349506891305</v>
      </c>
      <c r="J137" s="3">
        <f>(E137*USA!$AU112/100)/$AU104*100*$F137</f>
        <v>25.874040954217801</v>
      </c>
      <c r="K137" s="6"/>
      <c r="L137" s="6">
        <f t="shared" si="52"/>
        <v>0.89396216766860437</v>
      </c>
      <c r="M137" s="6">
        <f t="shared" si="53"/>
        <v>0.57103291202199635</v>
      </c>
      <c r="N137" s="6">
        <f t="shared" si="54"/>
        <v>0.35869741567178104</v>
      </c>
      <c r="O137">
        <v>2025</v>
      </c>
      <c r="P137" s="7">
        <f t="shared" si="69"/>
        <v>0.41496777451920003</v>
      </c>
      <c r="Q137" s="3"/>
      <c r="R137" s="3">
        <f t="shared" si="41"/>
        <v>0.2617859884375609</v>
      </c>
      <c r="S137" s="3">
        <f t="shared" si="42"/>
        <v>0.19720013730823927</v>
      </c>
      <c r="T137" s="3">
        <f t="shared" si="43"/>
        <v>0.15473303803819621</v>
      </c>
      <c r="U137" s="3"/>
      <c r="V137" s="3">
        <f t="shared" si="45"/>
        <v>1.5707159306253653</v>
      </c>
      <c r="W137" s="3">
        <f t="shared" si="46"/>
        <v>1.1832008238494356</v>
      </c>
      <c r="X137" s="3">
        <f t="shared" si="47"/>
        <v>0.92839822822917717</v>
      </c>
      <c r="Y137" s="3"/>
      <c r="Z137" s="3">
        <f t="shared" si="70"/>
        <v>1.8244430653407204</v>
      </c>
      <c r="AA137" s="3">
        <f t="shared" si="64"/>
        <v>1.3743303266288713</v>
      </c>
      <c r="AB137" s="3">
        <f t="shared" si="65"/>
        <v>1.078367944414341</v>
      </c>
      <c r="AC137" s="3"/>
      <c r="AD137" s="3">
        <f t="shared" si="66"/>
        <v>1.7902493036411742</v>
      </c>
      <c r="AE137" s="3">
        <f t="shared" si="67"/>
        <v>1.3485725901568753</v>
      </c>
      <c r="AF137" s="3">
        <f t="shared" si="68"/>
        <v>1.0581571429833589</v>
      </c>
      <c r="AG137" s="44"/>
      <c r="AH137" s="44"/>
      <c r="AI137" s="3">
        <f>USA!AJ150</f>
        <v>141.52694179281806</v>
      </c>
      <c r="AJ137" s="3">
        <f>USA!AK150</f>
        <v>74.364924740814473</v>
      </c>
      <c r="AK137" s="3">
        <f>USA!AL150</f>
        <v>30.203920504564827</v>
      </c>
      <c r="AM137"/>
      <c r="AN137"/>
      <c r="AO137"/>
      <c r="AP137"/>
      <c r="AQ137"/>
      <c r="BH137" s="3"/>
      <c r="BI137" s="3"/>
      <c r="BJ137" s="3"/>
      <c r="BK137" s="3"/>
      <c r="BL137" s="3"/>
    </row>
    <row r="138" spans="1:64">
      <c r="A138">
        <v>2026</v>
      </c>
      <c r="B138" s="3"/>
      <c r="C138" s="3">
        <f t="shared" si="48"/>
        <v>145.84178757918448</v>
      </c>
      <c r="D138" s="3">
        <f t="shared" si="49"/>
        <v>80.055420065999314</v>
      </c>
      <c r="E138" s="3">
        <f t="shared" si="50"/>
        <v>31.066889661838108</v>
      </c>
      <c r="F138" s="6">
        <f>'Exchange Rates'!C65</f>
        <v>0.86199999999999999</v>
      </c>
      <c r="G138" s="3"/>
      <c r="H138" s="3">
        <f>(C138*USA!$AU113/100)/$AU105*100*$F138</f>
        <v>124.93465489322314</v>
      </c>
      <c r="I138" s="3">
        <f>(D138*USA!$AU113/100)/$AU105*100*$F138</f>
        <v>68.579084529166479</v>
      </c>
      <c r="J138" s="3">
        <f>(E138*USA!$AU113/100)/$AU105*100*$F138</f>
        <v>26.613299267195455</v>
      </c>
      <c r="K138" s="6"/>
      <c r="L138" s="6">
        <f t="shared" si="52"/>
        <v>0.91470886348243496</v>
      </c>
      <c r="M138" s="6">
        <f t="shared" si="53"/>
        <v>0.59839402326139779</v>
      </c>
      <c r="N138" s="6">
        <f t="shared" si="54"/>
        <v>0.36284675483454715</v>
      </c>
      <c r="O138">
        <v>2026</v>
      </c>
      <c r="P138" s="7">
        <f t="shared" si="69"/>
        <v>0.41496777451920003</v>
      </c>
      <c r="Q138" s="3"/>
      <c r="R138" s="3">
        <f t="shared" si="41"/>
        <v>0.26593532760032701</v>
      </c>
      <c r="S138" s="3">
        <f t="shared" si="42"/>
        <v>0.20267235955611956</v>
      </c>
      <c r="T138" s="3">
        <f t="shared" si="43"/>
        <v>0.15556290587074945</v>
      </c>
      <c r="U138" s="3"/>
      <c r="V138" s="3">
        <f t="shared" si="45"/>
        <v>1.5956119656019618</v>
      </c>
      <c r="W138" s="3">
        <f t="shared" si="46"/>
        <v>1.2160341573367173</v>
      </c>
      <c r="X138" s="3">
        <f t="shared" si="47"/>
        <v>0.93337743522449657</v>
      </c>
      <c r="Y138" s="3"/>
      <c r="Z138" s="3">
        <f t="shared" si="70"/>
        <v>1.8533607056867041</v>
      </c>
      <c r="AA138" s="3">
        <f t="shared" si="64"/>
        <v>1.4124674247666871</v>
      </c>
      <c r="AB138" s="3">
        <f t="shared" si="65"/>
        <v>1.0841514724835377</v>
      </c>
      <c r="AC138" s="3"/>
      <c r="AD138" s="3">
        <f t="shared" si="66"/>
        <v>1.8186249687829499</v>
      </c>
      <c r="AE138" s="3">
        <f t="shared" si="67"/>
        <v>1.3859949217610514</v>
      </c>
      <c r="AF138" s="3">
        <f t="shared" si="68"/>
        <v>1.063832276011714</v>
      </c>
      <c r="AG138" s="44"/>
      <c r="AH138" s="44"/>
      <c r="AI138" s="3">
        <f>USA!AJ151</f>
        <v>145.84178757918448</v>
      </c>
      <c r="AJ138" s="3">
        <f>USA!AK151</f>
        <v>80.055420065999314</v>
      </c>
      <c r="AK138" s="3">
        <f>USA!AL151</f>
        <v>31.066889661838108</v>
      </c>
      <c r="AM138"/>
      <c r="AN138"/>
      <c r="AO138"/>
      <c r="AP138"/>
      <c r="AQ138"/>
      <c r="BH138" s="3"/>
      <c r="BI138" s="3"/>
      <c r="BJ138" s="3"/>
      <c r="BK138" s="3"/>
      <c r="BL138" s="3"/>
    </row>
    <row r="139" spans="1:64">
      <c r="A139">
        <v>2027</v>
      </c>
      <c r="B139" s="3"/>
      <c r="C139" s="3">
        <f t="shared" si="48"/>
        <v>150.15663336555087</v>
      </c>
      <c r="D139" s="3">
        <f t="shared" si="49"/>
        <v>82.98815737026753</v>
      </c>
      <c r="E139" s="3">
        <f t="shared" si="50"/>
        <v>31.929858819111395</v>
      </c>
      <c r="F139" s="6">
        <f>'Exchange Rates'!C66</f>
        <v>0.86199999999999999</v>
      </c>
      <c r="G139" s="3"/>
      <c r="H139" s="3">
        <f>(C139*USA!$AU114/100)/$AU106*100*$F139</f>
        <v>128.63094645811137</v>
      </c>
      <c r="I139" s="3">
        <f>(D139*USA!$AU114/100)/$AU106*100*$F139</f>
        <v>71.091399614459121</v>
      </c>
      <c r="J139" s="3">
        <f>(E139*USA!$AU114/100)/$AU106*100*$F139</f>
        <v>27.352557580173112</v>
      </c>
      <c r="K139" s="6"/>
      <c r="L139" s="6">
        <f t="shared" si="52"/>
        <v>0.93545555929626512</v>
      </c>
      <c r="M139" s="6">
        <f t="shared" si="53"/>
        <v>0.61249524767729135</v>
      </c>
      <c r="N139" s="6">
        <f t="shared" si="54"/>
        <v>0.36699609399731326</v>
      </c>
      <c r="O139">
        <v>2027</v>
      </c>
      <c r="P139" s="7">
        <f t="shared" si="69"/>
        <v>0.41496777451920003</v>
      </c>
      <c r="Q139" s="3"/>
      <c r="R139" s="3">
        <f t="shared" si="41"/>
        <v>0.27008466676309306</v>
      </c>
      <c r="S139" s="3">
        <f t="shared" si="42"/>
        <v>0.20549260443929829</v>
      </c>
      <c r="T139" s="3">
        <f t="shared" si="43"/>
        <v>0.15639277370330268</v>
      </c>
      <c r="U139" s="3"/>
      <c r="V139" s="3">
        <f t="shared" si="45"/>
        <v>1.6205080005785581</v>
      </c>
      <c r="W139" s="3">
        <f t="shared" si="46"/>
        <v>1.2329556266357895</v>
      </c>
      <c r="X139" s="3">
        <f t="shared" si="47"/>
        <v>0.93835664221981596</v>
      </c>
      <c r="Y139" s="3"/>
      <c r="Z139" s="3">
        <f t="shared" si="70"/>
        <v>1.8822783460326877</v>
      </c>
      <c r="AA139" s="3">
        <f t="shared" si="64"/>
        <v>1.4321223201657407</v>
      </c>
      <c r="AB139" s="3">
        <f t="shared" si="65"/>
        <v>1.0899350005527346</v>
      </c>
      <c r="AC139" s="3"/>
      <c r="AD139" s="3">
        <f t="shared" si="66"/>
        <v>1.8470006339247258</v>
      </c>
      <c r="AE139" s="3">
        <f t="shared" si="67"/>
        <v>1.4052814445743704</v>
      </c>
      <c r="AF139" s="3">
        <f t="shared" si="68"/>
        <v>1.0695074090400696</v>
      </c>
      <c r="AG139" s="44"/>
      <c r="AH139" s="44"/>
      <c r="AI139" s="3">
        <f>USA!AJ152</f>
        <v>150.15663336555087</v>
      </c>
      <c r="AJ139" s="3">
        <f>USA!AK152</f>
        <v>82.98815737026753</v>
      </c>
      <c r="AK139" s="3">
        <f>USA!AL152</f>
        <v>31.929858819111395</v>
      </c>
      <c r="AM139"/>
      <c r="AN139"/>
      <c r="AO139"/>
      <c r="AP139"/>
      <c r="AQ139"/>
      <c r="BH139" s="3"/>
      <c r="BI139" s="3"/>
      <c r="BJ139" s="3"/>
      <c r="BK139" s="3"/>
      <c r="BL139" s="3"/>
    </row>
    <row r="140" spans="1:64">
      <c r="A140">
        <v>2028</v>
      </c>
      <c r="B140" s="3"/>
      <c r="C140" s="3">
        <f t="shared" si="48"/>
        <v>153.60850999464401</v>
      </c>
      <c r="D140" s="3">
        <f t="shared" si="49"/>
        <v>84.844653255379882</v>
      </c>
      <c r="E140" s="3">
        <f t="shared" si="50"/>
        <v>31.929858819111395</v>
      </c>
      <c r="F140" s="6">
        <f>'Exchange Rates'!C67</f>
        <v>0.86199999999999999</v>
      </c>
      <c r="G140" s="3"/>
      <c r="H140" s="3">
        <f>(C140*USA!$AU115/100)/$AU107*100*$F140</f>
        <v>131.58797971002201</v>
      </c>
      <c r="I140" s="3">
        <f>(D140*USA!$AU115/100)/$AU107*100*$F140</f>
        <v>72.681757745466456</v>
      </c>
      <c r="J140" s="3">
        <f>(E140*USA!$AU115/100)/$AU107*100*$F140</f>
        <v>27.352557580173112</v>
      </c>
      <c r="K140" s="6"/>
      <c r="L140" s="6">
        <f t="shared" si="52"/>
        <v>0.95205291594732966</v>
      </c>
      <c r="M140" s="6">
        <f t="shared" si="53"/>
        <v>0.62142167455673003</v>
      </c>
      <c r="N140" s="6">
        <f t="shared" si="54"/>
        <v>0.36699609399731326</v>
      </c>
      <c r="O140">
        <v>2028</v>
      </c>
      <c r="P140" s="7">
        <f t="shared" si="69"/>
        <v>0.41496777451920003</v>
      </c>
      <c r="Q140" s="3"/>
      <c r="R140" s="3">
        <f t="shared" si="41"/>
        <v>0.27340413809330594</v>
      </c>
      <c r="S140" s="3">
        <f t="shared" si="42"/>
        <v>0.20727788981518602</v>
      </c>
      <c r="T140" s="3">
        <f t="shared" si="43"/>
        <v>0.15639277370330268</v>
      </c>
      <c r="U140" s="3"/>
      <c r="V140" s="3">
        <f t="shared" si="45"/>
        <v>1.6404248285598355</v>
      </c>
      <c r="W140" s="3">
        <f t="shared" si="46"/>
        <v>1.2436673388911159</v>
      </c>
      <c r="X140" s="3">
        <f t="shared" si="47"/>
        <v>0.93835664221981596</v>
      </c>
      <c r="Y140" s="3"/>
      <c r="Z140" s="3">
        <f t="shared" si="70"/>
        <v>1.9054124583094749</v>
      </c>
      <c r="AA140" s="3">
        <f t="shared" si="64"/>
        <v>1.4445643593410704</v>
      </c>
      <c r="AB140" s="3">
        <f t="shared" si="65"/>
        <v>1.0899350005527346</v>
      </c>
      <c r="AC140" s="3"/>
      <c r="AD140" s="3">
        <f t="shared" si="66"/>
        <v>1.8697011660381466</v>
      </c>
      <c r="AE140" s="3">
        <f t="shared" si="67"/>
        <v>1.41749029471207</v>
      </c>
      <c r="AF140" s="3">
        <f t="shared" si="68"/>
        <v>1.0695074090400696</v>
      </c>
      <c r="AG140" s="44"/>
      <c r="AH140" s="44"/>
      <c r="AI140" s="3">
        <f>USA!AJ153</f>
        <v>153.60850999464401</v>
      </c>
      <c r="AJ140" s="3">
        <f>USA!AK153</f>
        <v>84.844653255379882</v>
      </c>
      <c r="AK140" s="3">
        <f>USA!AL153</f>
        <v>31.929858819111395</v>
      </c>
      <c r="AM140"/>
      <c r="AN140"/>
      <c r="AO140"/>
      <c r="AP140"/>
      <c r="AQ140"/>
      <c r="BH140" s="3"/>
      <c r="BI140" s="3"/>
      <c r="BJ140" s="3"/>
      <c r="BK140" s="3"/>
      <c r="BL140" s="3"/>
    </row>
    <row r="141" spans="1:64">
      <c r="A141">
        <v>2029</v>
      </c>
      <c r="B141" s="3"/>
      <c r="C141" s="3">
        <f t="shared" si="48"/>
        <v>157.9233557810104</v>
      </c>
      <c r="D141" s="3">
        <f t="shared" si="49"/>
        <v>87.361009569245411</v>
      </c>
      <c r="E141" s="3">
        <f t="shared" si="50"/>
        <v>31.929858819111395</v>
      </c>
      <c r="F141" s="6">
        <f>'Exchange Rates'!C68</f>
        <v>0.86199999999999999</v>
      </c>
      <c r="G141" s="3"/>
      <c r="H141" s="3">
        <f>(C141*USA!$AU116/100)/$AU108*100*$F141</f>
        <v>135.28427127491022</v>
      </c>
      <c r="I141" s="3">
        <f>(D141*USA!$AU116/100)/$AU108*100*$F141</f>
        <v>74.83738208934993</v>
      </c>
      <c r="J141" s="3">
        <f>(E141*USA!$AU116/100)/$AU108*100*$F141</f>
        <v>27.352557580173112</v>
      </c>
      <c r="K141" s="6"/>
      <c r="L141" s="6">
        <f t="shared" si="52"/>
        <v>0.9727996117611597</v>
      </c>
      <c r="M141" s="6">
        <f t="shared" si="53"/>
        <v>0.63352085065427088</v>
      </c>
      <c r="N141" s="6">
        <f t="shared" si="54"/>
        <v>0.36699609399731326</v>
      </c>
      <c r="O141">
        <v>2029</v>
      </c>
      <c r="P141" s="7">
        <f t="shared" si="69"/>
        <v>0.41496777451920003</v>
      </c>
      <c r="Q141" s="3"/>
      <c r="R141" s="3">
        <f t="shared" si="41"/>
        <v>0.27755347725607193</v>
      </c>
      <c r="S141" s="3">
        <f t="shared" si="42"/>
        <v>0.20969772503469419</v>
      </c>
      <c r="T141" s="3">
        <f t="shared" si="43"/>
        <v>0.15639277370330268</v>
      </c>
      <c r="U141" s="3"/>
      <c r="V141" s="3">
        <f t="shared" si="45"/>
        <v>1.6653208635364316</v>
      </c>
      <c r="W141" s="3">
        <f t="shared" si="46"/>
        <v>1.2581863502081649</v>
      </c>
      <c r="X141" s="3">
        <f t="shared" si="47"/>
        <v>0.93835664221981596</v>
      </c>
      <c r="Y141" s="3"/>
      <c r="Z141" s="3">
        <f t="shared" si="70"/>
        <v>1.9343300986554581</v>
      </c>
      <c r="AA141" s="3">
        <f t="shared" si="64"/>
        <v>1.4614287133572972</v>
      </c>
      <c r="AB141" s="3">
        <f t="shared" si="65"/>
        <v>1.0899350005527346</v>
      </c>
      <c r="AC141" s="3"/>
      <c r="AD141" s="3">
        <f t="shared" si="66"/>
        <v>1.8980768311799219</v>
      </c>
      <c r="AE141" s="3">
        <f t="shared" si="67"/>
        <v>1.4340385765452826</v>
      </c>
      <c r="AF141" s="3">
        <f t="shared" si="68"/>
        <v>1.0695074090400696</v>
      </c>
      <c r="AG141" s="44"/>
      <c r="AH141" s="44"/>
      <c r="AI141" s="3">
        <f>USA!AJ154</f>
        <v>157.9233557810104</v>
      </c>
      <c r="AJ141" s="3">
        <f>USA!AK154</f>
        <v>87.361009569245411</v>
      </c>
      <c r="AK141" s="3">
        <f>USA!AL154</f>
        <v>31.929858819111395</v>
      </c>
      <c r="AM141"/>
      <c r="AN141"/>
      <c r="AO141"/>
      <c r="AP141"/>
      <c r="AQ141"/>
      <c r="BH141" s="3"/>
      <c r="BI141" s="3"/>
      <c r="BJ141" s="3"/>
      <c r="BK141" s="3"/>
      <c r="BL141" s="3"/>
    </row>
    <row r="142" spans="1:64">
      <c r="A142">
        <v>2030</v>
      </c>
      <c r="B142" s="3"/>
      <c r="C142" s="3">
        <f t="shared" si="48"/>
        <v>160.51226325283022</v>
      </c>
      <c r="D142" s="3">
        <f t="shared" si="49"/>
        <v>89.285088706337618</v>
      </c>
      <c r="E142" s="3">
        <f t="shared" si="50"/>
        <v>32.792827976384679</v>
      </c>
      <c r="F142" s="6">
        <f>'Exchange Rates'!C69</f>
        <v>0.86199999999999999</v>
      </c>
      <c r="G142" s="3"/>
      <c r="H142" s="3">
        <f>(C142*USA!$AU117/100)/$AU109*100*$F142</f>
        <v>137.50204621384319</v>
      </c>
      <c r="I142" s="3">
        <f>(D142*USA!$AU117/100)/$AU109*100*$F142</f>
        <v>76.485635083021933</v>
      </c>
      <c r="J142" s="3">
        <f>(E142*USA!$AU117/100)/$AU109*100*$F142</f>
        <v>28.091815893150763</v>
      </c>
      <c r="K142" s="6"/>
      <c r="L142" s="6">
        <f t="shared" si="52"/>
        <v>0.98524762924945797</v>
      </c>
      <c r="M142" s="6">
        <f t="shared" si="53"/>
        <v>0.64277223217643775</v>
      </c>
      <c r="N142" s="6">
        <f t="shared" si="54"/>
        <v>0.37114543316007931</v>
      </c>
      <c r="O142">
        <v>2030</v>
      </c>
      <c r="P142" s="7">
        <f t="shared" si="69"/>
        <v>0.41496777451920003</v>
      </c>
      <c r="Q142" s="3"/>
      <c r="R142" s="3">
        <f t="shared" si="41"/>
        <v>0.28004308075373163</v>
      </c>
      <c r="S142" s="3">
        <f t="shared" si="42"/>
        <v>0.21154800133912754</v>
      </c>
      <c r="T142" s="3">
        <f t="shared" si="43"/>
        <v>0.15722264153585588</v>
      </c>
      <c r="U142" s="3"/>
      <c r="V142" s="3">
        <f t="shared" si="45"/>
        <v>1.6802584845223896</v>
      </c>
      <c r="W142" s="3">
        <f t="shared" si="46"/>
        <v>1.2692880080347653</v>
      </c>
      <c r="X142" s="3">
        <f t="shared" si="47"/>
        <v>0.94333584921513525</v>
      </c>
      <c r="Y142" s="3"/>
      <c r="Z142" s="3">
        <f t="shared" si="70"/>
        <v>1.9516806828630484</v>
      </c>
      <c r="AA142" s="3">
        <f t="shared" si="64"/>
        <v>1.4743236883432977</v>
      </c>
      <c r="AB142" s="3">
        <f t="shared" si="65"/>
        <v>1.0957185286219313</v>
      </c>
      <c r="AC142" s="3"/>
      <c r="AD142" s="3">
        <f t="shared" si="66"/>
        <v>1.9151022302649876</v>
      </c>
      <c r="AE142" s="3">
        <f t="shared" si="67"/>
        <v>1.4466918735583336</v>
      </c>
      <c r="AF142" s="3">
        <f t="shared" si="68"/>
        <v>1.0751825420684247</v>
      </c>
      <c r="AG142" s="44"/>
      <c r="AH142" s="44"/>
      <c r="AI142" s="3">
        <f>USA!AJ155</f>
        <v>160.51226325283022</v>
      </c>
      <c r="AJ142" s="3">
        <f>USA!AK155</f>
        <v>89.285088706337618</v>
      </c>
      <c r="AK142" s="3">
        <f>USA!AL155</f>
        <v>32.792827976384679</v>
      </c>
      <c r="AM142"/>
      <c r="AN142"/>
      <c r="AO142"/>
      <c r="AP142"/>
      <c r="AQ142"/>
      <c r="BH142" s="3"/>
      <c r="BI142" s="3"/>
      <c r="BJ142" s="3"/>
      <c r="BK142" s="3"/>
      <c r="BL142" s="3"/>
    </row>
    <row r="143" spans="1:64">
      <c r="J143"/>
      <c r="O143" s="12"/>
      <c r="Q143"/>
      <c r="R143"/>
      <c r="S143"/>
      <c r="T143"/>
      <c r="Y143"/>
      <c r="AH143" s="3"/>
      <c r="AI143" s="3">
        <f>USA!AJ156</f>
        <v>162.23820156737682</v>
      </c>
      <c r="AJ143" s="3">
        <f>USA!AK156</f>
        <v>90.882363255178021</v>
      </c>
      <c r="AK143" s="3">
        <f>USA!AL156</f>
        <v>33.224312555021314</v>
      </c>
      <c r="AM143"/>
      <c r="AN143"/>
      <c r="AO143"/>
      <c r="AP143"/>
      <c r="AQ143"/>
      <c r="BH143" s="3"/>
      <c r="BI143" s="3"/>
      <c r="BJ143" s="3"/>
      <c r="BK143" s="3"/>
      <c r="BL143" s="3"/>
    </row>
    <row r="144" spans="1:64">
      <c r="J144"/>
      <c r="O144" s="12"/>
      <c r="Q144"/>
      <c r="R144"/>
      <c r="S144"/>
      <c r="T144"/>
      <c r="Y144"/>
      <c r="AH144" s="3"/>
      <c r="AI144" s="3">
        <f>USA!AJ157</f>
        <v>164.82710903919664</v>
      </c>
      <c r="AJ144" s="3">
        <f>USA!AK157</f>
        <v>91.529643316939641</v>
      </c>
      <c r="AK144" s="3">
        <f>USA!AL157</f>
        <v>33.655797133657956</v>
      </c>
      <c r="AM144"/>
      <c r="AN144"/>
      <c r="AO144"/>
      <c r="AP144"/>
      <c r="AQ144"/>
      <c r="BH144" s="3"/>
      <c r="BI144" s="3"/>
      <c r="BJ144" s="3"/>
      <c r="BK144" s="3"/>
      <c r="BL144" s="3"/>
    </row>
    <row r="145" spans="7:64">
      <c r="G145" s="12"/>
      <c r="J145"/>
      <c r="N145" s="23"/>
      <c r="O145" s="12"/>
      <c r="P145" s="12"/>
      <c r="Q145" s="12"/>
      <c r="R145" s="23"/>
      <c r="S145"/>
      <c r="T145"/>
      <c r="W145" s="23"/>
      <c r="Y145"/>
      <c r="AI145" s="3">
        <f>USA!AJ158</f>
        <v>166.55304735374321</v>
      </c>
      <c r="AJ145" s="3">
        <f>USA!AK158</f>
        <v>91.468448273790386</v>
      </c>
      <c r="AK145" s="3">
        <f>USA!AL158</f>
        <v>34.08728171229459</v>
      </c>
      <c r="AM145"/>
      <c r="AN145"/>
      <c r="AO145"/>
      <c r="AP145"/>
      <c r="AQ145"/>
      <c r="BH145" s="3"/>
      <c r="BI145" s="3"/>
      <c r="BJ145" s="3"/>
      <c r="BK145" s="3"/>
      <c r="BL145" s="3"/>
    </row>
    <row r="146" spans="7:64">
      <c r="G146" s="12"/>
      <c r="J146"/>
      <c r="N146" s="23"/>
      <c r="O146" s="12"/>
      <c r="P146" s="12"/>
      <c r="Q146" s="12"/>
      <c r="R146" s="23"/>
      <c r="S146"/>
      <c r="T146"/>
      <c r="W146" s="23"/>
      <c r="Y146"/>
      <c r="AI146" s="3">
        <f>USA!AJ159</f>
        <v>169.14195482556306</v>
      </c>
      <c r="AJ146" s="3">
        <f>USA!AK159</f>
        <v>90.153207715955162</v>
      </c>
      <c r="AK146" s="3">
        <f>USA!AL159</f>
        <v>34.518766290931239</v>
      </c>
      <c r="AM146"/>
      <c r="AN146"/>
      <c r="AO146"/>
      <c r="AP146"/>
      <c r="AQ146"/>
      <c r="BH146" s="3"/>
      <c r="BI146" s="3"/>
      <c r="BJ146" s="3"/>
      <c r="BK146" s="3"/>
      <c r="BL146" s="3"/>
    </row>
    <row r="147" spans="7:64">
      <c r="G147" s="12"/>
      <c r="J147"/>
      <c r="N147" s="23"/>
      <c r="O147" s="12"/>
      <c r="P147" s="12">
        <v>1.4005780876803524</v>
      </c>
      <c r="Q147" s="12"/>
      <c r="R147" s="23"/>
      <c r="S147"/>
      <c r="T147"/>
      <c r="W147" s="23"/>
      <c r="Y147"/>
      <c r="AI147" s="3">
        <f>USA!AJ160</f>
        <v>171.73086229738288</v>
      </c>
      <c r="AJ147" s="3">
        <f>USA!AK160</f>
        <v>90.054464673113912</v>
      </c>
      <c r="AK147" s="3">
        <f>USA!AL160</f>
        <v>34.950250869567881</v>
      </c>
      <c r="AM147"/>
      <c r="AN147"/>
      <c r="AO147"/>
      <c r="AP147"/>
      <c r="AQ147"/>
      <c r="BH147" s="3"/>
      <c r="BI147" s="3"/>
      <c r="BJ147" s="3"/>
      <c r="BK147" s="3"/>
      <c r="BL147" s="3"/>
    </row>
    <row r="148" spans="7:64">
      <c r="G148" s="12"/>
      <c r="J148"/>
      <c r="N148" s="23"/>
      <c r="O148" s="12"/>
      <c r="P148" s="12">
        <v>1.0773520355366775</v>
      </c>
      <c r="Q148" s="12"/>
      <c r="R148" s="23"/>
      <c r="S148"/>
      <c r="T148"/>
      <c r="W148" s="23"/>
      <c r="Y148"/>
      <c r="AI148" s="3">
        <f>USA!AJ161</f>
        <v>173.45680061192945</v>
      </c>
      <c r="AJ148" s="3">
        <f>USA!AK161</f>
        <v>91.250057240640103</v>
      </c>
      <c r="AK148" s="3">
        <f>USA!AL161</f>
        <v>35.381735448204516</v>
      </c>
      <c r="AM148"/>
      <c r="AN148"/>
      <c r="AO148"/>
      <c r="AP148"/>
      <c r="AQ148"/>
      <c r="BH148" s="3"/>
      <c r="BI148" s="3"/>
      <c r="BJ148" s="3"/>
      <c r="BK148" s="3"/>
      <c r="BL148" s="3"/>
    </row>
    <row r="149" spans="7:64">
      <c r="G149" s="12"/>
      <c r="J149"/>
      <c r="N149" s="23"/>
      <c r="O149" s="12"/>
      <c r="P149" s="172">
        <f>P147/P148-1</f>
        <v>0.30001897381913945</v>
      </c>
      <c r="Q149" s="12"/>
      <c r="R149" s="23"/>
      <c r="S149"/>
      <c r="T149"/>
      <c r="W149" s="23"/>
      <c r="Y149"/>
      <c r="AI149" s="3">
        <f>USA!AJ162</f>
        <v>175.18273892647602</v>
      </c>
      <c r="AJ149" s="3">
        <f>USA!AK162</f>
        <v>91.751958188656559</v>
      </c>
      <c r="AK149" s="3">
        <f>USA!AL162</f>
        <v>36.2447046054778</v>
      </c>
      <c r="AM149"/>
      <c r="AN149"/>
      <c r="AO149"/>
      <c r="AP149"/>
      <c r="AQ149"/>
      <c r="BH149" s="3"/>
      <c r="BI149" s="3"/>
      <c r="BJ149" s="3"/>
      <c r="BK149" s="3"/>
      <c r="BL149" s="3"/>
    </row>
    <row r="150" spans="7:64">
      <c r="G150" s="12"/>
      <c r="J150"/>
      <c r="N150" s="23"/>
      <c r="O150" s="12"/>
      <c r="P150" s="12"/>
      <c r="Q150" s="12"/>
      <c r="R150" s="23"/>
      <c r="S150"/>
      <c r="T150"/>
      <c r="W150" s="23"/>
      <c r="Y150"/>
      <c r="AI150" s="3">
        <f>USA!AJ163</f>
        <v>177.77164639829587</v>
      </c>
      <c r="AJ150" s="3">
        <f>USA!AK163</f>
        <v>91.990526082750478</v>
      </c>
      <c r="AK150" s="3">
        <f>USA!AL163</f>
        <v>37.107673762751077</v>
      </c>
      <c r="AM150"/>
      <c r="AN150"/>
      <c r="AO150"/>
      <c r="AP150"/>
      <c r="AQ150"/>
      <c r="BH150" s="3"/>
      <c r="BI150" s="3"/>
      <c r="BJ150" s="3"/>
      <c r="BK150" s="3"/>
      <c r="BL150" s="3"/>
    </row>
    <row r="151" spans="7:64">
      <c r="G151" s="12"/>
      <c r="J151"/>
      <c r="N151" s="23"/>
      <c r="O151" s="12"/>
      <c r="P151" s="12"/>
      <c r="Q151" s="12"/>
      <c r="R151" s="23"/>
      <c r="S151"/>
      <c r="T151"/>
      <c r="W151" s="23"/>
      <c r="Y151"/>
      <c r="AI151" s="3">
        <f>USA!AJ164</f>
        <v>180.36055387011569</v>
      </c>
      <c r="AJ151" s="3">
        <f>USA!AK164</f>
        <v>92.727792343203248</v>
      </c>
      <c r="AK151" s="3">
        <f>USA!AL164</f>
        <v>37.970642920024368</v>
      </c>
      <c r="AM151"/>
      <c r="AN151"/>
      <c r="AO151"/>
      <c r="AP151"/>
      <c r="AQ151"/>
      <c r="BH151" s="3"/>
      <c r="BI151" s="3"/>
      <c r="BJ151" s="3"/>
      <c r="BK151" s="3"/>
      <c r="BL151" s="3"/>
    </row>
    <row r="152" spans="7:64">
      <c r="G152" s="12"/>
      <c r="J152"/>
      <c r="N152" s="23"/>
      <c r="O152" s="12"/>
      <c r="P152" s="12"/>
      <c r="Q152" s="12"/>
      <c r="R152" s="23"/>
      <c r="S152"/>
      <c r="T152"/>
      <c r="W152" s="23"/>
      <c r="Y152"/>
      <c r="AI152" s="3">
        <f>USA!AJ165</f>
        <v>181.22352302738898</v>
      </c>
      <c r="AJ152" s="3">
        <f>USA!AK165</f>
        <v>93.367803080926592</v>
      </c>
      <c r="AK152" s="3">
        <f>USA!AL165</f>
        <v>38.833612077297637</v>
      </c>
      <c r="AM152"/>
      <c r="AN152"/>
      <c r="AO152"/>
      <c r="AP152"/>
      <c r="AQ152"/>
      <c r="BH152" s="3"/>
      <c r="BI152" s="3"/>
      <c r="BJ152" s="3"/>
      <c r="BK152" s="3"/>
      <c r="BL152" s="3"/>
    </row>
    <row r="153" spans="7:64">
      <c r="G153" s="12"/>
      <c r="J153"/>
      <c r="N153" s="23"/>
      <c r="O153" s="12"/>
      <c r="P153" s="12"/>
      <c r="Q153" s="12"/>
      <c r="R153" s="23"/>
      <c r="S153"/>
      <c r="T153"/>
      <c r="W153" s="23"/>
      <c r="Y153"/>
      <c r="AM153"/>
      <c r="AN153"/>
      <c r="AO153"/>
      <c r="AP153"/>
      <c r="AQ153"/>
      <c r="BH153" s="3"/>
      <c r="BI153" s="3"/>
      <c r="BJ153" s="3"/>
      <c r="BK153" s="3"/>
      <c r="BL153" s="3"/>
    </row>
    <row r="157" spans="7:64">
      <c r="AH157" s="3"/>
      <c r="AI157" s="3" t="s">
        <v>2420</v>
      </c>
    </row>
    <row r="160" spans="7:64">
      <c r="AI160" t="s">
        <v>2416</v>
      </c>
    </row>
    <row r="161" spans="34:35">
      <c r="AI161" t="s">
        <v>131</v>
      </c>
    </row>
    <row r="162" spans="34:35">
      <c r="AH162" s="78">
        <v>43101</v>
      </c>
      <c r="AI162">
        <v>1.52</v>
      </c>
    </row>
    <row r="163" spans="34:35">
      <c r="AH163" s="78">
        <v>43132</v>
      </c>
      <c r="AI163">
        <v>1.38</v>
      </c>
    </row>
    <row r="164" spans="34:35">
      <c r="AH164" s="78">
        <v>43160</v>
      </c>
      <c r="AI164">
        <v>1.38</v>
      </c>
    </row>
    <row r="165" spans="34:35">
      <c r="AH165" s="78">
        <v>43191</v>
      </c>
      <c r="AI165">
        <v>1.53</v>
      </c>
    </row>
    <row r="166" spans="34:35">
      <c r="AH166" s="78">
        <v>43221</v>
      </c>
      <c r="AI166">
        <v>1.52</v>
      </c>
    </row>
    <row r="167" spans="34:35">
      <c r="AH167" s="78">
        <v>43252</v>
      </c>
      <c r="AI167">
        <v>1.52</v>
      </c>
    </row>
    <row r="168" spans="34:35">
      <c r="AH168" s="78">
        <v>43282</v>
      </c>
      <c r="AI168">
        <v>1.53</v>
      </c>
    </row>
    <row r="169" spans="34:35">
      <c r="AH169" s="78">
        <v>43313</v>
      </c>
      <c r="AI169">
        <v>1.53</v>
      </c>
    </row>
    <row r="170" spans="34:35">
      <c r="AH170" s="78">
        <v>43344</v>
      </c>
      <c r="AI170">
        <v>1.57</v>
      </c>
    </row>
    <row r="171" spans="34:35">
      <c r="AH171" s="78">
        <v>43374</v>
      </c>
      <c r="AI171">
        <v>1.53</v>
      </c>
    </row>
    <row r="172" spans="34:35">
      <c r="AH172" s="78">
        <v>43405</v>
      </c>
      <c r="AI172">
        <v>1.51</v>
      </c>
    </row>
    <row r="173" spans="34:35">
      <c r="AH173" s="78">
        <v>43435</v>
      </c>
      <c r="AI173">
        <v>1.41</v>
      </c>
    </row>
    <row r="175" spans="34:35">
      <c r="AH175">
        <v>2018</v>
      </c>
      <c r="AI175" s="3">
        <f>AVERAGE(AI162:AI173)</f>
        <v>1.4941666666666666</v>
      </c>
    </row>
    <row r="176" spans="34:35">
      <c r="AH176" s="3"/>
      <c r="AI176" s="3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83"/>
  <sheetViews>
    <sheetView workbookViewId="0">
      <selection activeCell="Y16" sqref="Y16"/>
    </sheetView>
  </sheetViews>
  <sheetFormatPr defaultRowHeight="15"/>
  <cols>
    <col min="1" max="2" width="10.7109375" style="91" bestFit="1" customWidth="1"/>
    <col min="6" max="6" width="10.7109375" style="91" bestFit="1" customWidth="1"/>
  </cols>
  <sheetData>
    <row r="1" spans="6:39">
      <c r="F1" s="91" t="s">
        <v>1887</v>
      </c>
      <c r="G1" t="s">
        <v>219</v>
      </c>
      <c r="H1" t="s">
        <v>146</v>
      </c>
      <c r="I1" t="s">
        <v>124</v>
      </c>
      <c r="J1" t="s">
        <v>170</v>
      </c>
      <c r="K1" t="s">
        <v>125</v>
      </c>
      <c r="L1" t="s">
        <v>165</v>
      </c>
      <c r="M1" t="s">
        <v>168</v>
      </c>
      <c r="Y1" t="s">
        <v>1042</v>
      </c>
    </row>
    <row r="2" spans="6:39">
      <c r="G2" t="s">
        <v>363</v>
      </c>
      <c r="H2" t="s">
        <v>403</v>
      </c>
      <c r="I2" t="s">
        <v>358</v>
      </c>
      <c r="J2" t="s">
        <v>359</v>
      </c>
      <c r="K2" t="s">
        <v>365</v>
      </c>
      <c r="L2" t="s">
        <v>430</v>
      </c>
      <c r="M2" t="s">
        <v>431</v>
      </c>
      <c r="N2" t="s">
        <v>362</v>
      </c>
      <c r="O2" t="s">
        <v>366</v>
      </c>
      <c r="P2" t="s">
        <v>369</v>
      </c>
      <c r="Q2" t="s">
        <v>367</v>
      </c>
      <c r="R2" t="s">
        <v>373</v>
      </c>
      <c r="S2" t="s">
        <v>374</v>
      </c>
      <c r="T2" t="s">
        <v>375</v>
      </c>
      <c r="U2" t="s">
        <v>432</v>
      </c>
      <c r="Y2" t="s">
        <v>363</v>
      </c>
      <c r="Z2" t="s">
        <v>403</v>
      </c>
      <c r="AA2" t="s">
        <v>358</v>
      </c>
      <c r="AB2" t="s">
        <v>359</v>
      </c>
      <c r="AC2" t="s">
        <v>365</v>
      </c>
      <c r="AD2" t="s">
        <v>430</v>
      </c>
      <c r="AE2" t="s">
        <v>431</v>
      </c>
      <c r="AF2" t="s">
        <v>362</v>
      </c>
      <c r="AG2" t="s">
        <v>366</v>
      </c>
      <c r="AH2" t="s">
        <v>369</v>
      </c>
      <c r="AI2" t="s">
        <v>367</v>
      </c>
      <c r="AJ2" t="s">
        <v>373</v>
      </c>
      <c r="AK2" t="s">
        <v>374</v>
      </c>
      <c r="AL2" t="s">
        <v>375</v>
      </c>
      <c r="AM2" t="s">
        <v>432</v>
      </c>
    </row>
    <row r="3" spans="6:39">
      <c r="F3">
        <v>2018</v>
      </c>
      <c r="G3" s="3">
        <f t="shared" ref="G3:U3" si="0">AVERAGE(G23:G43)</f>
        <v>518.34619047619037</v>
      </c>
      <c r="H3" s="3">
        <f t="shared" si="0"/>
        <v>519.49190476190472</v>
      </c>
      <c r="I3" s="3">
        <f t="shared" si="0"/>
        <v>497.6504761904763</v>
      </c>
      <c r="J3" s="3">
        <f t="shared" si="0"/>
        <v>502.12238095238087</v>
      </c>
      <c r="K3" s="3">
        <f t="shared" si="0"/>
        <v>623.5233333333332</v>
      </c>
      <c r="L3" s="3">
        <f t="shared" si="0"/>
        <v>516.50285714285724</v>
      </c>
      <c r="M3" s="3">
        <f t="shared" si="0"/>
        <v>543.68952380952373</v>
      </c>
      <c r="N3" s="3">
        <f t="shared" si="0"/>
        <v>545.06714285714281</v>
      </c>
      <c r="O3" s="3">
        <f t="shared" si="0"/>
        <v>534.87809523809517</v>
      </c>
      <c r="P3" s="3">
        <f t="shared" si="0"/>
        <v>526.1961904761904</v>
      </c>
      <c r="Q3" s="3">
        <f t="shared" si="0"/>
        <v>559.63333333333333</v>
      </c>
      <c r="R3" s="3">
        <f t="shared" si="0"/>
        <v>533.54761904761904</v>
      </c>
      <c r="S3" s="3">
        <f t="shared" si="0"/>
        <v>578.73857142857139</v>
      </c>
      <c r="T3" s="3">
        <f t="shared" si="0"/>
        <v>551.83857142857141</v>
      </c>
      <c r="U3" s="3">
        <f t="shared" si="0"/>
        <v>491.34285714285716</v>
      </c>
      <c r="X3">
        <v>2005</v>
      </c>
      <c r="Y3">
        <v>436.24265306122476</v>
      </c>
      <c r="Z3">
        <v>424.04877551020405</v>
      </c>
      <c r="AA3">
        <v>403.91346938775513</v>
      </c>
      <c r="AB3">
        <v>398.65040816326518</v>
      </c>
      <c r="AC3">
        <v>428.46122448979588</v>
      </c>
      <c r="AD3">
        <v>406.55142857142852</v>
      </c>
      <c r="AE3">
        <v>382.91959183673464</v>
      </c>
      <c r="AF3">
        <v>448.31367346938788</v>
      </c>
      <c r="AG3">
        <v>418.59122448979582</v>
      </c>
      <c r="AH3">
        <v>424.04285714285709</v>
      </c>
      <c r="AI3">
        <v>453.53020408163263</v>
      </c>
      <c r="AJ3">
        <v>472.26387755102036</v>
      </c>
      <c r="AK3">
        <v>427.32755102040801</v>
      </c>
      <c r="AL3">
        <v>411.36673469387767</v>
      </c>
      <c r="AM3">
        <v>390.96346938775525</v>
      </c>
    </row>
    <row r="4" spans="6:39">
      <c r="F4">
        <v>2017</v>
      </c>
      <c r="G4" s="3">
        <f t="shared" ref="G4:U4" si="1">AVERAGE(G44:G93)</f>
        <v>487.84019999999998</v>
      </c>
      <c r="H4" s="3">
        <f t="shared" si="1"/>
        <v>506.71480000000003</v>
      </c>
      <c r="I4" s="3">
        <f t="shared" si="1"/>
        <v>463.39240000000007</v>
      </c>
      <c r="J4" s="3">
        <f t="shared" si="1"/>
        <v>500.02040000000017</v>
      </c>
      <c r="K4" s="3">
        <f t="shared" si="1"/>
        <v>579.1576</v>
      </c>
      <c r="L4" s="3">
        <f t="shared" si="1"/>
        <v>528.12419999999986</v>
      </c>
      <c r="M4" s="3">
        <f t="shared" si="1"/>
        <v>486.98199999999991</v>
      </c>
      <c r="N4" s="3">
        <f t="shared" si="1"/>
        <v>508.57759999999996</v>
      </c>
      <c r="O4" s="3">
        <f t="shared" si="1"/>
        <v>505.27280000000013</v>
      </c>
      <c r="P4" s="3">
        <f t="shared" si="1"/>
        <v>501.06239999999991</v>
      </c>
      <c r="Q4" s="3">
        <f t="shared" si="1"/>
        <v>523.76279999999997</v>
      </c>
      <c r="R4" s="3">
        <f t="shared" si="1"/>
        <v>502.52579999999995</v>
      </c>
      <c r="S4" s="3">
        <f t="shared" si="1"/>
        <v>544.29960000000005</v>
      </c>
      <c r="T4" s="3">
        <f t="shared" si="1"/>
        <v>513.21660000000008</v>
      </c>
      <c r="U4" s="3">
        <f t="shared" si="1"/>
        <v>456.00319999999994</v>
      </c>
      <c r="X4">
        <v>2006</v>
      </c>
      <c r="Y4">
        <v>483.61081632653054</v>
      </c>
      <c r="Z4">
        <v>476.25857142857137</v>
      </c>
      <c r="AA4">
        <v>462.52285714285711</v>
      </c>
      <c r="AB4">
        <v>451.82734693877546</v>
      </c>
      <c r="AC4">
        <v>483.13183673469399</v>
      </c>
      <c r="AD4">
        <v>467.36959183673457</v>
      </c>
      <c r="AE4">
        <v>446.30020408163273</v>
      </c>
      <c r="AF4">
        <v>509.39836734693881</v>
      </c>
      <c r="AG4">
        <v>471.31244897959186</v>
      </c>
      <c r="AH4">
        <v>481.91163265306164</v>
      </c>
      <c r="AI4">
        <v>508.30244897959176</v>
      </c>
      <c r="AJ4">
        <v>523.94285714285718</v>
      </c>
      <c r="AK4">
        <v>484.96183673469397</v>
      </c>
      <c r="AL4">
        <v>448.06673469387749</v>
      </c>
      <c r="AM4">
        <v>450.04061224489794</v>
      </c>
    </row>
    <row r="5" spans="6:39">
      <c r="F5">
        <v>2016</v>
      </c>
      <c r="G5" s="3">
        <f t="shared" ref="G5:U5" si="2">AVERAGE(G94:G143)</f>
        <v>432.82300000000009</v>
      </c>
      <c r="H5" s="3">
        <f t="shared" si="2"/>
        <v>428.59060000000005</v>
      </c>
      <c r="I5" s="3">
        <f t="shared" si="2"/>
        <v>399.78579999999971</v>
      </c>
      <c r="J5" s="3">
        <f t="shared" si="2"/>
        <v>442.49180000000001</v>
      </c>
      <c r="K5" s="3">
        <f t="shared" si="2"/>
        <v>514.55119999999977</v>
      </c>
      <c r="L5" s="3">
        <f t="shared" si="2"/>
        <v>460.80079999999987</v>
      </c>
      <c r="M5" s="3">
        <f t="shared" si="2"/>
        <v>436.70479999999998</v>
      </c>
      <c r="N5" s="3">
        <f t="shared" si="2"/>
        <v>448.57359999999994</v>
      </c>
      <c r="O5" s="3">
        <f t="shared" si="2"/>
        <v>447.67319999999995</v>
      </c>
      <c r="P5" s="3">
        <f t="shared" si="2"/>
        <v>435.38660000000004</v>
      </c>
      <c r="Q5" s="3">
        <f t="shared" si="2"/>
        <v>454.58040000000005</v>
      </c>
      <c r="R5" s="3">
        <f t="shared" si="2"/>
        <v>442.76080000000002</v>
      </c>
      <c r="S5" s="3">
        <f t="shared" si="2"/>
        <v>488.06959999999992</v>
      </c>
      <c r="T5" s="3">
        <f t="shared" si="2"/>
        <v>440.62900000000002</v>
      </c>
      <c r="U5" s="3">
        <f t="shared" si="2"/>
        <v>399.64440000000002</v>
      </c>
      <c r="X5">
        <v>2007</v>
      </c>
      <c r="Y5">
        <v>485.96959183673459</v>
      </c>
      <c r="Z5">
        <v>491.09102040816339</v>
      </c>
      <c r="AA5">
        <v>467.80448979591836</v>
      </c>
      <c r="AB5">
        <v>467.72428571428577</v>
      </c>
      <c r="AC5">
        <v>502.66040816326523</v>
      </c>
      <c r="AD5">
        <v>476.36306122448991</v>
      </c>
      <c r="AE5">
        <v>463.03938775510187</v>
      </c>
      <c r="AF5">
        <v>510.84653061224503</v>
      </c>
      <c r="AG5">
        <v>492.86836734693878</v>
      </c>
      <c r="AH5">
        <v>483.41102040816338</v>
      </c>
      <c r="AI5">
        <v>518.92448979591836</v>
      </c>
      <c r="AJ5">
        <v>563.03714285714273</v>
      </c>
      <c r="AK5">
        <v>497.47734693877572</v>
      </c>
      <c r="AL5">
        <v>448.07857142857165</v>
      </c>
      <c r="AM5">
        <v>459.91469387755109</v>
      </c>
    </row>
    <row r="6" spans="6:39">
      <c r="F6">
        <v>2015</v>
      </c>
      <c r="G6" s="3">
        <f t="shared" ref="G6:U6" si="3">AVERAGE(G144:G192)</f>
        <v>508.37469387755118</v>
      </c>
      <c r="H6" s="3">
        <f t="shared" si="3"/>
        <v>514.06122448979579</v>
      </c>
      <c r="I6" s="3">
        <f t="shared" si="3"/>
        <v>483.26612244897962</v>
      </c>
      <c r="J6" s="3">
        <f t="shared" si="3"/>
        <v>519.48428571428565</v>
      </c>
      <c r="K6" s="3">
        <f t="shared" si="3"/>
        <v>589.28979591836742</v>
      </c>
      <c r="L6" s="3">
        <f t="shared" si="3"/>
        <v>540.65204081632646</v>
      </c>
      <c r="M6" s="3">
        <f t="shared" si="3"/>
        <v>499.80836734693867</v>
      </c>
      <c r="N6" s="3">
        <f t="shared" si="3"/>
        <v>522.98346938775512</v>
      </c>
      <c r="O6" s="3">
        <f t="shared" si="3"/>
        <v>519.6455102040818</v>
      </c>
      <c r="P6" s="3">
        <f t="shared" si="3"/>
        <v>505.29000000000008</v>
      </c>
      <c r="Q6" s="3">
        <f t="shared" si="3"/>
        <v>531.99653061224501</v>
      </c>
      <c r="R6" s="3">
        <f t="shared" si="3"/>
        <v>517.95183673469398</v>
      </c>
      <c r="S6" s="3">
        <f t="shared" si="3"/>
        <v>556.1873469387757</v>
      </c>
      <c r="T6" s="3">
        <f t="shared" si="3"/>
        <v>526.23020408163256</v>
      </c>
      <c r="U6" s="3">
        <f t="shared" si="3"/>
        <v>480.83653061224476</v>
      </c>
      <c r="X6">
        <v>2008</v>
      </c>
      <c r="Y6">
        <v>528.03428571428594</v>
      </c>
      <c r="Z6">
        <v>568.88632653061222</v>
      </c>
      <c r="AA6">
        <v>558.5936734693878</v>
      </c>
      <c r="AB6">
        <v>516.3859183673469</v>
      </c>
      <c r="AC6">
        <v>559.48428571428553</v>
      </c>
      <c r="AD6">
        <v>573.62938775510213</v>
      </c>
      <c r="AE6">
        <v>535.9785714285714</v>
      </c>
      <c r="AF6">
        <v>588.15</v>
      </c>
      <c r="AG6">
        <v>557.3132653061225</v>
      </c>
      <c r="AH6">
        <v>567.25285714285656</v>
      </c>
      <c r="AI6">
        <v>593.99795918367363</v>
      </c>
      <c r="AJ6">
        <v>621.90918367346944</v>
      </c>
      <c r="AK6">
        <v>568.14469387755094</v>
      </c>
      <c r="AL6">
        <v>494.96612244897966</v>
      </c>
      <c r="AM6">
        <v>524.32734693877535</v>
      </c>
    </row>
    <row r="7" spans="6:39">
      <c r="F7">
        <v>2014</v>
      </c>
      <c r="G7" s="3">
        <f t="shared" ref="G7:U7" si="4">AVERAGE(G193:G241)</f>
        <v>631.42469387755102</v>
      </c>
      <c r="H7" s="3">
        <f t="shared" si="4"/>
        <v>654.4038775510204</v>
      </c>
      <c r="I7" s="3">
        <f t="shared" si="4"/>
        <v>622.55551020408166</v>
      </c>
      <c r="J7" s="3">
        <f t="shared" si="4"/>
        <v>642.27551020408168</v>
      </c>
      <c r="K7" s="3">
        <f t="shared" si="4"/>
        <v>715.10408163265299</v>
      </c>
      <c r="L7" s="3">
        <f t="shared" si="4"/>
        <v>672.53102040816316</v>
      </c>
      <c r="M7" s="3">
        <f t="shared" si="4"/>
        <v>629.99244897959181</v>
      </c>
      <c r="N7" s="3">
        <f t="shared" si="4"/>
        <v>660.84673469387769</v>
      </c>
      <c r="O7" s="3">
        <f t="shared" si="4"/>
        <v>644.28244897959166</v>
      </c>
      <c r="P7" s="3">
        <f t="shared" si="4"/>
        <v>636.06428571428592</v>
      </c>
      <c r="Q7" s="3">
        <f t="shared" si="4"/>
        <v>676.31265306122464</v>
      </c>
      <c r="R7" s="3">
        <f t="shared" si="4"/>
        <v>639.29142857142858</v>
      </c>
      <c r="S7" s="3">
        <f t="shared" si="4"/>
        <v>685.89612244897955</v>
      </c>
      <c r="T7" s="3">
        <f t="shared" si="4"/>
        <v>638.25979591836722</v>
      </c>
      <c r="U7" s="3">
        <f t="shared" si="4"/>
        <v>603.36877551020405</v>
      </c>
      <c r="X7">
        <v>2009</v>
      </c>
      <c r="Y7">
        <v>385.86540000000002</v>
      </c>
      <c r="Z7">
        <v>418.60120000000001</v>
      </c>
      <c r="AA7">
        <v>419.0206</v>
      </c>
      <c r="AB7">
        <v>406.02120000000008</v>
      </c>
      <c r="AC7">
        <v>462.53659999999996</v>
      </c>
      <c r="AD7">
        <v>435.61079999999987</v>
      </c>
      <c r="AE7">
        <v>404.92780000000016</v>
      </c>
      <c r="AF7">
        <v>443.78019999999998</v>
      </c>
      <c r="AG7">
        <v>424.0458000000001</v>
      </c>
      <c r="AH7">
        <v>401.04140000000024</v>
      </c>
      <c r="AI7">
        <v>464.44720000000001</v>
      </c>
      <c r="AJ7">
        <v>435.01739999999995</v>
      </c>
      <c r="AK7">
        <v>443.67559999999997</v>
      </c>
      <c r="AL7">
        <v>379.11060000000003</v>
      </c>
      <c r="AM7">
        <v>362.20399999999995</v>
      </c>
    </row>
    <row r="8" spans="6:39">
      <c r="F8">
        <v>2013</v>
      </c>
      <c r="G8" s="3">
        <f t="shared" ref="G8:U8" si="5">AVERAGE(G242:G290)</f>
        <v>654.25183673469394</v>
      </c>
      <c r="H8" s="3">
        <f t="shared" si="5"/>
        <v>693.90510204081625</v>
      </c>
      <c r="I8" s="3">
        <f t="shared" si="5"/>
        <v>658.17510204081634</v>
      </c>
      <c r="J8" s="3">
        <f t="shared" si="5"/>
        <v>690.96469387755099</v>
      </c>
      <c r="K8" s="3">
        <f t="shared" si="5"/>
        <v>749.74387755102032</v>
      </c>
      <c r="L8" s="3">
        <f t="shared" si="5"/>
        <v>705.55224489795933</v>
      </c>
      <c r="M8" s="3">
        <f t="shared" si="5"/>
        <v>672.97999999999979</v>
      </c>
      <c r="N8" s="3">
        <f t="shared" si="5"/>
        <v>692.44632653061228</v>
      </c>
      <c r="O8" s="3">
        <f t="shared" si="5"/>
        <v>692.62020408163244</v>
      </c>
      <c r="P8" s="3">
        <f t="shared" si="5"/>
        <v>683.39775510204072</v>
      </c>
      <c r="Q8" s="3">
        <f t="shared" si="5"/>
        <v>714.23551020408161</v>
      </c>
      <c r="R8" s="3">
        <f t="shared" si="5"/>
        <v>682.04122448979581</v>
      </c>
      <c r="S8" s="3">
        <f t="shared" si="5"/>
        <v>718.92081632653083</v>
      </c>
      <c r="T8" s="3">
        <f t="shared" si="5"/>
        <v>684.70204081632653</v>
      </c>
      <c r="U8" s="3">
        <f t="shared" si="5"/>
        <v>636.38530612244892</v>
      </c>
      <c r="X8">
        <v>2010</v>
      </c>
      <c r="Y8">
        <v>504.59408163265329</v>
      </c>
      <c r="Z8">
        <v>544.06102040816324</v>
      </c>
      <c r="AA8">
        <v>537.63897959183657</v>
      </c>
      <c r="AB8">
        <v>514.45081632653068</v>
      </c>
      <c r="AC8">
        <v>581.79653061224485</v>
      </c>
      <c r="AD8">
        <v>552.8251020408162</v>
      </c>
      <c r="AE8">
        <v>516.38714285714286</v>
      </c>
      <c r="AF8">
        <v>544.91061224489806</v>
      </c>
      <c r="AG8">
        <v>530.09612244897949</v>
      </c>
      <c r="AH8">
        <v>511.58428571428595</v>
      </c>
      <c r="AI8">
        <v>571.94183673469388</v>
      </c>
      <c r="AJ8">
        <v>534.70428571428579</v>
      </c>
      <c r="AK8">
        <v>554.91265306122455</v>
      </c>
      <c r="AL8">
        <v>494.37265306122458</v>
      </c>
      <c r="AM8">
        <v>491.82591836734696</v>
      </c>
    </row>
    <row r="9" spans="6:39">
      <c r="F9">
        <v>2012</v>
      </c>
      <c r="G9" s="3">
        <f t="shared" ref="G9:U9" si="6">AVERAGE(G291:G339)</f>
        <v>682.49816326530618</v>
      </c>
      <c r="H9" s="3">
        <f t="shared" si="6"/>
        <v>746.78897959183655</v>
      </c>
      <c r="I9" s="3">
        <f t="shared" si="6"/>
        <v>708.08857142857153</v>
      </c>
      <c r="J9" s="3">
        <f t="shared" si="6"/>
        <v>733.11775510204086</v>
      </c>
      <c r="K9" s="3">
        <f t="shared" si="6"/>
        <v>778.57938775510206</v>
      </c>
      <c r="L9" s="3">
        <f t="shared" si="6"/>
        <v>734.62020408163244</v>
      </c>
      <c r="M9" s="3">
        <f t="shared" si="6"/>
        <v>706.55816326530589</v>
      </c>
      <c r="N9" s="3">
        <f t="shared" si="6"/>
        <v>738.16632653061208</v>
      </c>
      <c r="O9" s="3">
        <f t="shared" si="6"/>
        <v>737.8036734693876</v>
      </c>
      <c r="P9" s="3">
        <f t="shared" si="6"/>
        <v>708.73183673469418</v>
      </c>
      <c r="Q9" s="3">
        <f t="shared" si="6"/>
        <v>760.60795918367353</v>
      </c>
      <c r="R9" s="3">
        <f t="shared" si="6"/>
        <v>736.90632653061198</v>
      </c>
      <c r="S9" s="3">
        <f t="shared" si="6"/>
        <v>741.04163265306136</v>
      </c>
      <c r="T9" s="3">
        <f t="shared" si="6"/>
        <v>718.74367346938766</v>
      </c>
      <c r="U9" s="3">
        <f t="shared" si="6"/>
        <v>682.12081632653076</v>
      </c>
      <c r="X9">
        <v>2011</v>
      </c>
      <c r="Y9">
        <v>605.84142857142899</v>
      </c>
      <c r="Z9">
        <v>662.8997959183672</v>
      </c>
      <c r="AA9">
        <v>649.75877551020415</v>
      </c>
      <c r="AB9">
        <v>628.64204081632647</v>
      </c>
      <c r="AC9">
        <v>717.41081632653061</v>
      </c>
      <c r="AD9">
        <v>663.42897959183665</v>
      </c>
      <c r="AE9">
        <v>641.60857142857139</v>
      </c>
      <c r="AF9">
        <v>671.80306122448974</v>
      </c>
      <c r="AG9">
        <v>654.82367346938781</v>
      </c>
      <c r="AH9">
        <v>660.69836734693831</v>
      </c>
      <c r="AI9">
        <v>695.19999999999993</v>
      </c>
      <c r="AJ9">
        <v>653.10081632653043</v>
      </c>
      <c r="AK9">
        <v>673.91551020408133</v>
      </c>
      <c r="AL9">
        <v>622.82632653061228</v>
      </c>
      <c r="AM9">
        <v>610.53224489795934</v>
      </c>
    </row>
    <row r="10" spans="6:39">
      <c r="F10">
        <v>2011</v>
      </c>
      <c r="G10" s="3">
        <f t="shared" ref="G10:U10" si="7">AVERAGE(G340:G388)</f>
        <v>605.84142857142899</v>
      </c>
      <c r="H10" s="3">
        <f t="shared" si="7"/>
        <v>662.8997959183672</v>
      </c>
      <c r="I10" s="3">
        <f t="shared" si="7"/>
        <v>649.75877551020415</v>
      </c>
      <c r="J10" s="3">
        <f t="shared" si="7"/>
        <v>628.64204081632647</v>
      </c>
      <c r="K10" s="3">
        <f t="shared" si="7"/>
        <v>717.41081632653061</v>
      </c>
      <c r="L10" s="3">
        <f t="shared" si="7"/>
        <v>663.42897959183665</v>
      </c>
      <c r="M10" s="3">
        <f t="shared" si="7"/>
        <v>641.60857142857139</v>
      </c>
      <c r="N10" s="3">
        <f t="shared" si="7"/>
        <v>671.80306122448974</v>
      </c>
      <c r="O10" s="3">
        <f t="shared" si="7"/>
        <v>654.82367346938781</v>
      </c>
      <c r="P10" s="3">
        <f t="shared" si="7"/>
        <v>660.69836734693831</v>
      </c>
      <c r="Q10" s="3">
        <f t="shared" si="7"/>
        <v>695.19999999999993</v>
      </c>
      <c r="R10" s="3">
        <f t="shared" si="7"/>
        <v>653.10081632653043</v>
      </c>
      <c r="S10" s="3">
        <f t="shared" si="7"/>
        <v>673.91551020408133</v>
      </c>
      <c r="T10" s="3">
        <f t="shared" si="7"/>
        <v>622.82632653061228</v>
      </c>
      <c r="U10" s="3">
        <f t="shared" si="7"/>
        <v>610.53224489795934</v>
      </c>
      <c r="X10">
        <v>2012</v>
      </c>
      <c r="Y10">
        <v>682.49816326530618</v>
      </c>
      <c r="Z10">
        <v>746.78897959183655</v>
      </c>
      <c r="AA10">
        <v>708.08857142857153</v>
      </c>
      <c r="AB10">
        <v>733.11775510204086</v>
      </c>
      <c r="AC10">
        <v>778.57938775510206</v>
      </c>
      <c r="AD10">
        <v>734.62020408163244</v>
      </c>
      <c r="AE10">
        <v>706.55816326530589</v>
      </c>
      <c r="AF10">
        <v>738.16632653061208</v>
      </c>
      <c r="AG10">
        <v>737.8036734693876</v>
      </c>
      <c r="AH10">
        <v>708.73183673469418</v>
      </c>
      <c r="AI10">
        <v>760.60795918367353</v>
      </c>
      <c r="AJ10">
        <v>736.90632653061198</v>
      </c>
      <c r="AK10">
        <v>741.04163265306136</v>
      </c>
      <c r="AL10">
        <v>718.74367346938766</v>
      </c>
      <c r="AM10">
        <v>682.12081632653076</v>
      </c>
    </row>
    <row r="11" spans="6:39">
      <c r="F11">
        <v>2010</v>
      </c>
      <c r="G11" s="3">
        <f t="shared" ref="G11:U11" si="8">AVERAGE(G389:G437)</f>
        <v>504.59408163265329</v>
      </c>
      <c r="H11" s="3">
        <f t="shared" si="8"/>
        <v>544.06102040816324</v>
      </c>
      <c r="I11" s="3">
        <f t="shared" si="8"/>
        <v>537.63897959183657</v>
      </c>
      <c r="J11" s="3">
        <f t="shared" si="8"/>
        <v>514.45081632653068</v>
      </c>
      <c r="K11" s="3">
        <f t="shared" si="8"/>
        <v>581.79653061224485</v>
      </c>
      <c r="L11" s="3">
        <f t="shared" si="8"/>
        <v>552.8251020408162</v>
      </c>
      <c r="M11" s="3">
        <f t="shared" si="8"/>
        <v>516.38714285714286</v>
      </c>
      <c r="N11" s="3">
        <f t="shared" si="8"/>
        <v>544.91061224489806</v>
      </c>
      <c r="O11" s="3">
        <f t="shared" si="8"/>
        <v>530.09612244897949</v>
      </c>
      <c r="P11" s="3">
        <f t="shared" si="8"/>
        <v>511.58428571428595</v>
      </c>
      <c r="Q11" s="3">
        <f t="shared" si="8"/>
        <v>571.94183673469388</v>
      </c>
      <c r="R11" s="3">
        <f t="shared" si="8"/>
        <v>534.70428571428579</v>
      </c>
      <c r="S11" s="3">
        <f t="shared" si="8"/>
        <v>554.91265306122455</v>
      </c>
      <c r="T11" s="3">
        <f t="shared" si="8"/>
        <v>494.37265306122458</v>
      </c>
      <c r="U11" s="3">
        <f t="shared" si="8"/>
        <v>491.82591836734696</v>
      </c>
      <c r="X11">
        <v>2013</v>
      </c>
      <c r="Y11">
        <v>654.25183673469394</v>
      </c>
      <c r="Z11">
        <v>693.90510204081625</v>
      </c>
      <c r="AA11">
        <v>658.17510204081634</v>
      </c>
      <c r="AB11">
        <v>690.96469387755099</v>
      </c>
      <c r="AC11">
        <v>749.74387755102032</v>
      </c>
      <c r="AD11">
        <v>705.55224489795933</v>
      </c>
      <c r="AE11">
        <v>672.97999999999979</v>
      </c>
      <c r="AF11">
        <v>692.44632653061228</v>
      </c>
      <c r="AG11">
        <v>692.62020408163244</v>
      </c>
      <c r="AH11">
        <v>683.39775510204072</v>
      </c>
      <c r="AI11">
        <v>714.23551020408161</v>
      </c>
      <c r="AJ11">
        <v>682.04122448979581</v>
      </c>
      <c r="AK11">
        <v>718.92081632653083</v>
      </c>
      <c r="AL11">
        <v>684.70204081632653</v>
      </c>
      <c r="AM11">
        <v>636.38530612244892</v>
      </c>
    </row>
    <row r="12" spans="6:39">
      <c r="F12">
        <v>2009</v>
      </c>
      <c r="G12" s="3">
        <f t="shared" ref="G12:U12" si="9">AVERAGE(G438:G487)</f>
        <v>385.86540000000002</v>
      </c>
      <c r="H12" s="3">
        <f t="shared" si="9"/>
        <v>418.60120000000001</v>
      </c>
      <c r="I12" s="3">
        <f t="shared" si="9"/>
        <v>419.0206</v>
      </c>
      <c r="J12" s="3">
        <f t="shared" si="9"/>
        <v>406.02120000000008</v>
      </c>
      <c r="K12" s="3">
        <f t="shared" si="9"/>
        <v>462.53659999999996</v>
      </c>
      <c r="L12" s="3">
        <f t="shared" si="9"/>
        <v>435.61079999999987</v>
      </c>
      <c r="M12" s="3">
        <f t="shared" si="9"/>
        <v>404.92780000000016</v>
      </c>
      <c r="N12" s="3">
        <f t="shared" si="9"/>
        <v>443.78019999999998</v>
      </c>
      <c r="O12" s="3">
        <f t="shared" si="9"/>
        <v>424.0458000000001</v>
      </c>
      <c r="P12" s="3">
        <f t="shared" si="9"/>
        <v>401.04140000000024</v>
      </c>
      <c r="Q12" s="3">
        <f t="shared" si="9"/>
        <v>464.44720000000001</v>
      </c>
      <c r="R12" s="3">
        <f t="shared" si="9"/>
        <v>435.01739999999995</v>
      </c>
      <c r="S12" s="3">
        <f t="shared" si="9"/>
        <v>443.67559999999997</v>
      </c>
      <c r="T12" s="3">
        <f t="shared" si="9"/>
        <v>379.11060000000003</v>
      </c>
      <c r="U12" s="3">
        <f t="shared" si="9"/>
        <v>362.20399999999995</v>
      </c>
      <c r="X12">
        <v>2014</v>
      </c>
      <c r="Y12">
        <v>631.42469387755102</v>
      </c>
      <c r="Z12">
        <v>654.4038775510204</v>
      </c>
      <c r="AA12">
        <v>622.55551020408166</v>
      </c>
      <c r="AB12">
        <v>642.27551020408168</v>
      </c>
      <c r="AC12">
        <v>715.10408163265299</v>
      </c>
      <c r="AD12">
        <v>672.53102040816316</v>
      </c>
      <c r="AE12">
        <v>629.99244897959181</v>
      </c>
      <c r="AF12">
        <v>660.84673469387769</v>
      </c>
      <c r="AG12">
        <v>644.28244897959166</v>
      </c>
      <c r="AH12">
        <v>636.06428571428592</v>
      </c>
      <c r="AI12">
        <v>676.31265306122464</v>
      </c>
      <c r="AJ12">
        <v>639.29142857142858</v>
      </c>
      <c r="AK12">
        <v>685.89612244897955</v>
      </c>
      <c r="AL12">
        <v>638.25979591836722</v>
      </c>
      <c r="AM12">
        <v>603.36877551020405</v>
      </c>
    </row>
    <row r="13" spans="6:39">
      <c r="F13">
        <v>2008</v>
      </c>
      <c r="G13" s="3">
        <f t="shared" ref="G13:U13" si="10">AVERAGE(G488:G536)</f>
        <v>528.03428571428594</v>
      </c>
      <c r="H13" s="3">
        <f t="shared" si="10"/>
        <v>568.88632653061222</v>
      </c>
      <c r="I13" s="3">
        <f t="shared" si="10"/>
        <v>558.5936734693878</v>
      </c>
      <c r="J13" s="3">
        <f t="shared" si="10"/>
        <v>516.3859183673469</v>
      </c>
      <c r="K13" s="3">
        <f t="shared" si="10"/>
        <v>559.48428571428553</v>
      </c>
      <c r="L13" s="3">
        <f t="shared" si="10"/>
        <v>573.62938775510213</v>
      </c>
      <c r="M13" s="3">
        <f t="shared" si="10"/>
        <v>535.9785714285714</v>
      </c>
      <c r="N13" s="3">
        <f t="shared" si="10"/>
        <v>588.15</v>
      </c>
      <c r="O13" s="3">
        <f t="shared" si="10"/>
        <v>557.3132653061225</v>
      </c>
      <c r="P13" s="3">
        <f t="shared" si="10"/>
        <v>567.25285714285656</v>
      </c>
      <c r="Q13" s="3">
        <f t="shared" si="10"/>
        <v>593.99795918367363</v>
      </c>
      <c r="R13" s="3">
        <f t="shared" si="10"/>
        <v>621.90918367346944</v>
      </c>
      <c r="S13" s="3">
        <f t="shared" si="10"/>
        <v>568.14469387755094</v>
      </c>
      <c r="T13" s="3">
        <f t="shared" si="10"/>
        <v>494.96612244897966</v>
      </c>
      <c r="U13" s="3">
        <f t="shared" si="10"/>
        <v>524.32734693877535</v>
      </c>
      <c r="X13">
        <v>2015</v>
      </c>
      <c r="Y13">
        <v>508.37469387755118</v>
      </c>
      <c r="Z13">
        <v>514.06122448979579</v>
      </c>
      <c r="AA13">
        <v>483.26612244897962</v>
      </c>
      <c r="AB13">
        <v>519.48428571428565</v>
      </c>
      <c r="AC13">
        <v>589.28979591836742</v>
      </c>
      <c r="AD13">
        <v>540.65204081632646</v>
      </c>
      <c r="AE13">
        <v>499.80836734693867</v>
      </c>
      <c r="AF13">
        <v>522.98346938775512</v>
      </c>
      <c r="AG13">
        <v>519.6455102040818</v>
      </c>
      <c r="AH13">
        <v>505.29000000000008</v>
      </c>
      <c r="AI13">
        <v>531.99653061224501</v>
      </c>
      <c r="AJ13">
        <v>517.95183673469398</v>
      </c>
      <c r="AK13">
        <v>556.1873469387757</v>
      </c>
      <c r="AL13">
        <v>526.23020408163256</v>
      </c>
      <c r="AM13">
        <v>480.83653061224476</v>
      </c>
    </row>
    <row r="14" spans="6:39">
      <c r="F14">
        <v>2007</v>
      </c>
      <c r="G14" s="3">
        <f t="shared" ref="G14:U14" si="11">AVERAGE(G537:G585)</f>
        <v>485.96959183673459</v>
      </c>
      <c r="H14" s="3">
        <f t="shared" si="11"/>
        <v>491.09102040816339</v>
      </c>
      <c r="I14" s="3">
        <f t="shared" si="11"/>
        <v>467.80448979591836</v>
      </c>
      <c r="J14" s="3">
        <f t="shared" si="11"/>
        <v>467.72428571428577</v>
      </c>
      <c r="K14" s="3">
        <f t="shared" si="11"/>
        <v>502.66040816326523</v>
      </c>
      <c r="L14" s="3">
        <f t="shared" si="11"/>
        <v>476.36306122448991</v>
      </c>
      <c r="M14" s="3">
        <f t="shared" si="11"/>
        <v>463.03938775510187</v>
      </c>
      <c r="N14" s="3">
        <f t="shared" si="11"/>
        <v>510.84653061224503</v>
      </c>
      <c r="O14" s="3">
        <f t="shared" si="11"/>
        <v>492.86836734693878</v>
      </c>
      <c r="P14" s="3">
        <f t="shared" si="11"/>
        <v>483.41102040816338</v>
      </c>
      <c r="Q14" s="3">
        <f t="shared" si="11"/>
        <v>518.92448979591836</v>
      </c>
      <c r="R14" s="3">
        <f t="shared" si="11"/>
        <v>563.03714285714273</v>
      </c>
      <c r="S14" s="3">
        <f t="shared" si="11"/>
        <v>497.47734693877572</v>
      </c>
      <c r="T14" s="3">
        <f t="shared" si="11"/>
        <v>448.07857142857165</v>
      </c>
      <c r="U14" s="3">
        <f t="shared" si="11"/>
        <v>459.91469387755109</v>
      </c>
      <c r="X14">
        <v>2016</v>
      </c>
      <c r="Y14">
        <v>432.82300000000009</v>
      </c>
      <c r="Z14">
        <v>428.59060000000005</v>
      </c>
      <c r="AA14">
        <v>399.78579999999971</v>
      </c>
      <c r="AB14">
        <v>442.49180000000001</v>
      </c>
      <c r="AC14">
        <v>514.55119999999977</v>
      </c>
      <c r="AD14">
        <v>460.80079999999987</v>
      </c>
      <c r="AE14">
        <v>436.70479999999998</v>
      </c>
      <c r="AF14">
        <v>448.57359999999994</v>
      </c>
      <c r="AG14">
        <v>447.67319999999995</v>
      </c>
      <c r="AH14">
        <v>435.38660000000004</v>
      </c>
      <c r="AI14">
        <v>454.58040000000005</v>
      </c>
      <c r="AJ14">
        <v>442.76080000000002</v>
      </c>
      <c r="AK14">
        <v>488.06959999999992</v>
      </c>
      <c r="AL14">
        <v>440.62900000000002</v>
      </c>
      <c r="AM14">
        <v>399.64440000000002</v>
      </c>
    </row>
    <row r="15" spans="6:39">
      <c r="F15">
        <v>2006</v>
      </c>
      <c r="G15" s="3">
        <f t="shared" ref="G15:U15" si="12">AVERAGE(G586:G634)</f>
        <v>483.61081632653054</v>
      </c>
      <c r="H15" s="3">
        <f t="shared" si="12"/>
        <v>476.25857142857137</v>
      </c>
      <c r="I15" s="3">
        <f t="shared" si="12"/>
        <v>462.52285714285711</v>
      </c>
      <c r="J15" s="3">
        <f t="shared" si="12"/>
        <v>451.82734693877546</v>
      </c>
      <c r="K15" s="3">
        <f t="shared" si="12"/>
        <v>483.13183673469399</v>
      </c>
      <c r="L15" s="3">
        <f t="shared" si="12"/>
        <v>467.36959183673457</v>
      </c>
      <c r="M15" s="3">
        <f t="shared" si="12"/>
        <v>446.30020408163273</v>
      </c>
      <c r="N15" s="3">
        <f t="shared" si="12"/>
        <v>509.39836734693881</v>
      </c>
      <c r="O15" s="3">
        <f t="shared" si="12"/>
        <v>471.31244897959186</v>
      </c>
      <c r="P15" s="3">
        <f t="shared" si="12"/>
        <v>481.91163265306164</v>
      </c>
      <c r="Q15" s="3">
        <f t="shared" si="12"/>
        <v>508.30244897959176</v>
      </c>
      <c r="R15" s="3">
        <f t="shared" si="12"/>
        <v>523.94285714285718</v>
      </c>
      <c r="S15" s="3">
        <f t="shared" si="12"/>
        <v>484.96183673469397</v>
      </c>
      <c r="T15" s="3">
        <f t="shared" si="12"/>
        <v>448.06673469387749</v>
      </c>
      <c r="U15" s="3">
        <f t="shared" si="12"/>
        <v>450.04061224489794</v>
      </c>
      <c r="X15">
        <v>2017</v>
      </c>
      <c r="Y15">
        <v>487.84019999999998</v>
      </c>
      <c r="Z15">
        <v>506.71480000000003</v>
      </c>
      <c r="AA15">
        <v>463.39240000000007</v>
      </c>
      <c r="AB15">
        <v>500.02040000000017</v>
      </c>
      <c r="AC15">
        <v>579.1576</v>
      </c>
      <c r="AD15">
        <v>528.12419999999986</v>
      </c>
      <c r="AE15">
        <v>486.98199999999991</v>
      </c>
      <c r="AF15">
        <v>508.57759999999996</v>
      </c>
      <c r="AG15">
        <v>505.27280000000013</v>
      </c>
      <c r="AH15">
        <v>501.06239999999991</v>
      </c>
      <c r="AI15">
        <v>523.76279999999997</v>
      </c>
      <c r="AJ15">
        <v>502.52579999999995</v>
      </c>
      <c r="AK15">
        <v>544.29960000000005</v>
      </c>
      <c r="AL15">
        <v>513.21660000000008</v>
      </c>
      <c r="AM15">
        <v>456.00319999999994</v>
      </c>
    </row>
    <row r="16" spans="6:39">
      <c r="F16">
        <v>2005</v>
      </c>
      <c r="G16" s="3">
        <f t="shared" ref="G16:U16" si="13">AVERAGE(G635:G683)</f>
        <v>436.24265306122476</v>
      </c>
      <c r="H16" s="3">
        <f t="shared" si="13"/>
        <v>424.04877551020405</v>
      </c>
      <c r="I16" s="3">
        <f t="shared" si="13"/>
        <v>403.91346938775513</v>
      </c>
      <c r="J16" s="3">
        <f t="shared" si="13"/>
        <v>398.65040816326518</v>
      </c>
      <c r="K16" s="3">
        <f t="shared" si="13"/>
        <v>428.46122448979588</v>
      </c>
      <c r="L16" s="3">
        <f t="shared" si="13"/>
        <v>406.55142857142852</v>
      </c>
      <c r="M16" s="3">
        <f t="shared" si="13"/>
        <v>382.91959183673464</v>
      </c>
      <c r="N16" s="3">
        <f t="shared" si="13"/>
        <v>448.31367346938788</v>
      </c>
      <c r="O16" s="3">
        <f t="shared" si="13"/>
        <v>418.59122448979582</v>
      </c>
      <c r="P16" s="3">
        <f t="shared" si="13"/>
        <v>424.04285714285709</v>
      </c>
      <c r="Q16" s="3">
        <f t="shared" si="13"/>
        <v>453.53020408163263</v>
      </c>
      <c r="R16" s="3">
        <f t="shared" si="13"/>
        <v>472.26387755102036</v>
      </c>
      <c r="S16" s="3">
        <f t="shared" si="13"/>
        <v>427.32755102040801</v>
      </c>
      <c r="T16" s="3">
        <f t="shared" si="13"/>
        <v>411.36673469387767</v>
      </c>
      <c r="U16" s="3">
        <f t="shared" si="13"/>
        <v>390.96346938775525</v>
      </c>
      <c r="X16">
        <v>2018</v>
      </c>
      <c r="Y16">
        <v>518.34619047619037</v>
      </c>
      <c r="Z16">
        <v>519.49190476190472</v>
      </c>
      <c r="AA16">
        <v>497.6504761904763</v>
      </c>
      <c r="AB16">
        <v>502.12238095238087</v>
      </c>
      <c r="AC16">
        <v>623.5233333333332</v>
      </c>
      <c r="AD16">
        <v>516.50285714285724</v>
      </c>
      <c r="AE16">
        <v>543.68952380952373</v>
      </c>
      <c r="AF16">
        <v>545.06714285714281</v>
      </c>
      <c r="AG16">
        <v>534.87809523809517</v>
      </c>
      <c r="AH16">
        <v>526.1961904761904</v>
      </c>
      <c r="AI16">
        <v>559.63333333333333</v>
      </c>
      <c r="AJ16">
        <v>533.54761904761904</v>
      </c>
      <c r="AK16">
        <v>578.73857142857139</v>
      </c>
      <c r="AL16">
        <v>551.83857142857141</v>
      </c>
      <c r="AM16">
        <v>491.34285714285716</v>
      </c>
    </row>
    <row r="21" spans="1:21" ht="25.5">
      <c r="A21" s="91" t="s">
        <v>385</v>
      </c>
      <c r="B21" s="90" t="s">
        <v>385</v>
      </c>
      <c r="C21" s="90" t="s">
        <v>384</v>
      </c>
      <c r="D21" s="89" t="s">
        <v>383</v>
      </c>
      <c r="F21" s="91" t="s">
        <v>385</v>
      </c>
    </row>
    <row r="22" spans="1:21">
      <c r="B22" s="88"/>
      <c r="C22" s="88"/>
      <c r="D22" s="87" t="s">
        <v>382</v>
      </c>
      <c r="G22" t="s">
        <v>363</v>
      </c>
      <c r="H22" t="s">
        <v>403</v>
      </c>
      <c r="I22" t="s">
        <v>358</v>
      </c>
      <c r="J22" t="s">
        <v>359</v>
      </c>
      <c r="K22" t="s">
        <v>365</v>
      </c>
      <c r="L22" t="s">
        <v>430</v>
      </c>
      <c r="M22" t="s">
        <v>431</v>
      </c>
      <c r="N22" t="s">
        <v>362</v>
      </c>
      <c r="O22" t="s">
        <v>366</v>
      </c>
      <c r="P22" t="s">
        <v>369</v>
      </c>
      <c r="Q22" t="s">
        <v>367</v>
      </c>
      <c r="R22" t="s">
        <v>373</v>
      </c>
      <c r="S22" t="s">
        <v>374</v>
      </c>
      <c r="T22" t="s">
        <v>375</v>
      </c>
      <c r="U22" t="s">
        <v>432</v>
      </c>
    </row>
    <row r="23" spans="1:21">
      <c r="A23" s="91">
        <v>43248</v>
      </c>
      <c r="B23" s="86">
        <v>43248</v>
      </c>
      <c r="C23" s="93">
        <v>1.1433144686446</v>
      </c>
      <c r="D23" s="85" t="s">
        <v>462</v>
      </c>
      <c r="F23" s="91">
        <v>43248</v>
      </c>
      <c r="G23">
        <v>599.14</v>
      </c>
      <c r="H23">
        <v>587.32000000000005</v>
      </c>
      <c r="I23" s="94">
        <v>556.92999999999995</v>
      </c>
      <c r="J23" s="94">
        <v>585</v>
      </c>
      <c r="K23" s="94">
        <v>717.16</v>
      </c>
      <c r="L23" s="94">
        <v>599.57000000000005</v>
      </c>
      <c r="M23" s="94">
        <v>611.66999999999996</v>
      </c>
      <c r="N23" s="94">
        <v>615.65</v>
      </c>
      <c r="O23" s="94">
        <v>599.98</v>
      </c>
      <c r="P23" s="94">
        <v>586.6</v>
      </c>
      <c r="Q23" s="94">
        <v>617.86</v>
      </c>
      <c r="R23" s="94">
        <v>609.48</v>
      </c>
      <c r="S23" s="94">
        <v>642.20000000000005</v>
      </c>
      <c r="T23" s="94">
        <v>616.35</v>
      </c>
      <c r="U23" s="94">
        <v>552.92999999999995</v>
      </c>
    </row>
    <row r="24" spans="1:21">
      <c r="A24" s="91">
        <v>43241</v>
      </c>
      <c r="B24" s="86">
        <v>43241</v>
      </c>
      <c r="C24" s="93">
        <v>1.14103149246919</v>
      </c>
      <c r="D24" s="85" t="s">
        <v>509</v>
      </c>
      <c r="F24" s="91">
        <v>43241</v>
      </c>
      <c r="G24">
        <v>577.47</v>
      </c>
      <c r="H24">
        <v>589.22</v>
      </c>
      <c r="I24" s="94">
        <v>533.89</v>
      </c>
      <c r="J24" s="94">
        <v>584.16</v>
      </c>
      <c r="K24" s="94">
        <v>717.19</v>
      </c>
      <c r="L24" s="94">
        <v>587.47</v>
      </c>
      <c r="M24" s="94">
        <v>594.71</v>
      </c>
      <c r="N24" s="94">
        <v>597.30999999999995</v>
      </c>
      <c r="O24" s="94">
        <v>587.67999999999995</v>
      </c>
      <c r="P24" s="94">
        <v>554.07000000000005</v>
      </c>
      <c r="Q24" s="94">
        <v>602.12</v>
      </c>
      <c r="R24" s="94">
        <v>608.65</v>
      </c>
      <c r="S24" s="94">
        <v>631.59</v>
      </c>
      <c r="T24" s="94">
        <v>623.05999999999995</v>
      </c>
      <c r="U24" s="94">
        <v>536.15</v>
      </c>
    </row>
    <row r="25" spans="1:21">
      <c r="A25" s="91">
        <v>43234</v>
      </c>
      <c r="B25" s="86">
        <v>43234</v>
      </c>
      <c r="C25" s="93">
        <v>1.13327289211242</v>
      </c>
      <c r="D25" s="85" t="s">
        <v>510</v>
      </c>
      <c r="F25" s="91">
        <v>43234</v>
      </c>
      <c r="G25">
        <v>562.47</v>
      </c>
      <c r="H25">
        <v>545.75</v>
      </c>
      <c r="I25" s="94">
        <v>522.80999999999995</v>
      </c>
      <c r="J25" s="94">
        <v>556.41999999999996</v>
      </c>
      <c r="K25" s="94">
        <v>695.39</v>
      </c>
      <c r="L25" s="94">
        <v>545.53</v>
      </c>
      <c r="M25" s="94">
        <v>575.35</v>
      </c>
      <c r="N25" s="94">
        <v>579.1</v>
      </c>
      <c r="O25" s="94">
        <v>565.17999999999995</v>
      </c>
      <c r="P25" s="94">
        <v>554.07000000000005</v>
      </c>
      <c r="Q25" s="94">
        <v>587.99</v>
      </c>
      <c r="R25" s="94">
        <v>589.64</v>
      </c>
      <c r="S25" s="94">
        <v>614.99</v>
      </c>
      <c r="T25" s="94">
        <v>604.23</v>
      </c>
      <c r="U25" s="94">
        <v>517.35</v>
      </c>
    </row>
    <row r="26" spans="1:21">
      <c r="A26" s="91">
        <v>43227</v>
      </c>
      <c r="B26" s="86">
        <v>43227</v>
      </c>
      <c r="C26" s="93">
        <v>1.1362345188046801</v>
      </c>
      <c r="D26" s="85" t="s">
        <v>460</v>
      </c>
      <c r="F26" s="91">
        <v>43227</v>
      </c>
      <c r="G26">
        <v>548.30999999999995</v>
      </c>
      <c r="H26">
        <v>574.91999999999996</v>
      </c>
      <c r="I26" s="94">
        <v>513.45000000000005</v>
      </c>
      <c r="J26" s="94">
        <v>532.04999999999995</v>
      </c>
      <c r="K26" s="94">
        <v>663.35</v>
      </c>
      <c r="L26" s="94">
        <v>556.83000000000004</v>
      </c>
      <c r="M26" s="94">
        <v>561.91999999999996</v>
      </c>
      <c r="N26" s="94">
        <v>568.20000000000005</v>
      </c>
      <c r="O26" s="94">
        <v>559.86</v>
      </c>
      <c r="P26" s="94">
        <v>529.67999999999995</v>
      </c>
      <c r="Q26" s="94">
        <v>577.01</v>
      </c>
      <c r="R26" s="94">
        <v>568.16</v>
      </c>
      <c r="S26" s="94">
        <v>601.73</v>
      </c>
      <c r="T26" s="94">
        <v>586.98</v>
      </c>
      <c r="U26" s="94">
        <v>508.71</v>
      </c>
    </row>
    <row r="27" spans="1:21">
      <c r="A27" s="91">
        <v>43220</v>
      </c>
      <c r="B27" s="86">
        <v>43220</v>
      </c>
      <c r="C27" s="93">
        <v>1.1368804001819</v>
      </c>
      <c r="D27" s="85" t="s">
        <v>511</v>
      </c>
      <c r="F27" s="91">
        <v>43220</v>
      </c>
      <c r="G27">
        <v>541.64</v>
      </c>
      <c r="H27">
        <v>549.71</v>
      </c>
      <c r="I27" s="94">
        <v>501.9</v>
      </c>
      <c r="J27" s="94">
        <v>532.04999999999995</v>
      </c>
      <c r="K27" s="94">
        <v>641.74</v>
      </c>
      <c r="L27" s="94">
        <v>535.04999999999995</v>
      </c>
      <c r="M27" s="94">
        <v>559.03</v>
      </c>
      <c r="N27" s="94">
        <v>558.52</v>
      </c>
      <c r="O27" s="94">
        <v>554.76</v>
      </c>
      <c r="P27" s="94">
        <v>529.67999999999995</v>
      </c>
      <c r="Q27" s="94">
        <v>570.91999999999996</v>
      </c>
      <c r="R27" s="94">
        <v>568.16</v>
      </c>
      <c r="S27" s="94">
        <v>595.76</v>
      </c>
      <c r="T27" s="94">
        <v>571.64</v>
      </c>
      <c r="U27" s="94">
        <v>499.08</v>
      </c>
    </row>
    <row r="28" spans="1:21">
      <c r="A28" s="91">
        <v>43213</v>
      </c>
      <c r="B28" s="86">
        <v>43213</v>
      </c>
      <c r="C28" s="93">
        <v>1.14103149246919</v>
      </c>
      <c r="D28" s="85" t="s">
        <v>512</v>
      </c>
      <c r="F28" s="91">
        <v>43213</v>
      </c>
      <c r="G28">
        <v>527.47</v>
      </c>
      <c r="H28">
        <v>528.72</v>
      </c>
      <c r="I28" s="94">
        <v>499.99</v>
      </c>
      <c r="J28" s="94">
        <v>516.92999999999995</v>
      </c>
      <c r="K28" s="94">
        <v>641.94000000000005</v>
      </c>
      <c r="L28" s="94">
        <v>517.30999999999995</v>
      </c>
      <c r="M28" s="94">
        <v>551.04</v>
      </c>
      <c r="N28" s="94">
        <v>549.91999999999996</v>
      </c>
      <c r="O28" s="94">
        <v>541.78</v>
      </c>
      <c r="P28" s="94">
        <v>529.67999999999995</v>
      </c>
      <c r="Q28" s="94">
        <v>561.21</v>
      </c>
      <c r="R28" s="94">
        <v>552.45000000000005</v>
      </c>
      <c r="S28" s="94">
        <v>587.5</v>
      </c>
      <c r="T28" s="94">
        <v>568.39</v>
      </c>
      <c r="U28" s="94">
        <v>493.53</v>
      </c>
    </row>
    <row r="29" spans="1:21">
      <c r="A29" s="91">
        <v>43206</v>
      </c>
      <c r="B29" s="86">
        <v>43206</v>
      </c>
      <c r="C29" s="93">
        <v>1.1565373272422399</v>
      </c>
      <c r="D29" s="85" t="s">
        <v>513</v>
      </c>
      <c r="F29" s="91">
        <v>43206</v>
      </c>
      <c r="G29">
        <v>520.80999999999995</v>
      </c>
      <c r="H29">
        <v>538.28</v>
      </c>
      <c r="I29" s="94">
        <v>497.2</v>
      </c>
      <c r="J29" s="94">
        <v>507.68</v>
      </c>
      <c r="K29" s="94">
        <v>631.24</v>
      </c>
      <c r="L29" s="94">
        <v>513.28</v>
      </c>
      <c r="M29" s="94">
        <v>545.65</v>
      </c>
      <c r="N29" s="94">
        <v>544.36</v>
      </c>
      <c r="O29" s="94">
        <v>538.66</v>
      </c>
      <c r="P29" s="94">
        <v>521.54999999999995</v>
      </c>
      <c r="Q29" s="94">
        <v>552.73</v>
      </c>
      <c r="R29" s="94">
        <v>549.15</v>
      </c>
      <c r="S29" s="94">
        <v>580.6</v>
      </c>
      <c r="T29" s="94">
        <v>554.32000000000005</v>
      </c>
      <c r="U29" s="94">
        <v>491.75</v>
      </c>
    </row>
    <row r="30" spans="1:21">
      <c r="A30" s="91">
        <v>43199</v>
      </c>
      <c r="B30" s="86">
        <v>43199</v>
      </c>
      <c r="C30" s="93">
        <v>1.1482638250964501</v>
      </c>
      <c r="D30" s="85" t="s">
        <v>404</v>
      </c>
      <c r="F30" s="91">
        <v>43199</v>
      </c>
      <c r="G30">
        <v>510.81</v>
      </c>
      <c r="H30">
        <v>536.82000000000005</v>
      </c>
      <c r="I30" s="94">
        <v>491.35</v>
      </c>
      <c r="J30" s="94">
        <v>493.4</v>
      </c>
      <c r="K30" s="94">
        <v>620.53</v>
      </c>
      <c r="L30" s="94">
        <v>509.24</v>
      </c>
      <c r="M30" s="94">
        <v>542.55999999999995</v>
      </c>
      <c r="N30" s="94">
        <v>525.19000000000005</v>
      </c>
      <c r="O30" s="94">
        <v>536.44000000000005</v>
      </c>
      <c r="P30" s="94">
        <v>513.41999999999996</v>
      </c>
      <c r="Q30" s="94">
        <v>547.22</v>
      </c>
      <c r="R30" s="94">
        <v>532.62</v>
      </c>
      <c r="S30" s="94">
        <v>574.62</v>
      </c>
      <c r="T30" s="94">
        <v>551.15</v>
      </c>
      <c r="U30" s="94">
        <v>482.48</v>
      </c>
    </row>
    <row r="31" spans="1:21">
      <c r="A31" s="91">
        <v>43185</v>
      </c>
      <c r="B31" s="86">
        <v>43185</v>
      </c>
      <c r="C31" s="93">
        <v>1.1461580781221301</v>
      </c>
      <c r="D31" s="85" t="s">
        <v>442</v>
      </c>
      <c r="F31" s="91">
        <v>43185</v>
      </c>
      <c r="G31">
        <v>485.81</v>
      </c>
      <c r="H31">
        <v>481.53</v>
      </c>
      <c r="I31" s="94">
        <v>479.56</v>
      </c>
      <c r="J31" s="94">
        <v>453.06</v>
      </c>
      <c r="K31" s="94">
        <v>620.41999999999996</v>
      </c>
      <c r="L31" s="94">
        <v>492.31</v>
      </c>
      <c r="M31" s="94">
        <v>529.70000000000005</v>
      </c>
      <c r="N31" s="94">
        <v>525.19000000000005</v>
      </c>
      <c r="O31" s="94">
        <v>513.99</v>
      </c>
      <c r="P31" s="94">
        <v>505.29</v>
      </c>
      <c r="Q31" s="94">
        <v>539.70000000000005</v>
      </c>
      <c r="R31" s="94">
        <v>494.6</v>
      </c>
      <c r="S31" s="94">
        <v>560.62</v>
      </c>
      <c r="T31" s="94">
        <v>511.74</v>
      </c>
      <c r="U31" s="94">
        <v>474.56</v>
      </c>
    </row>
    <row r="32" spans="1:21">
      <c r="A32" s="91">
        <v>43178</v>
      </c>
      <c r="B32" s="86">
        <v>43178</v>
      </c>
      <c r="C32" s="93">
        <v>1.1416437386549199</v>
      </c>
      <c r="D32" s="85" t="s">
        <v>514</v>
      </c>
      <c r="F32" s="91">
        <v>43178</v>
      </c>
      <c r="G32">
        <v>474.14</v>
      </c>
      <c r="H32">
        <v>474.92</v>
      </c>
      <c r="I32" s="94">
        <v>480.45</v>
      </c>
      <c r="J32" s="94">
        <v>458.95</v>
      </c>
      <c r="K32" s="94">
        <v>588.17999999999995</v>
      </c>
      <c r="L32" s="94">
        <v>485.05</v>
      </c>
      <c r="M32" s="94">
        <v>514.32000000000005</v>
      </c>
      <c r="N32" s="94">
        <v>518.34</v>
      </c>
      <c r="O32" s="94">
        <v>506.75</v>
      </c>
      <c r="P32" s="94">
        <v>497.16</v>
      </c>
      <c r="Q32" s="94">
        <v>537.34</v>
      </c>
      <c r="R32" s="94">
        <v>478.9</v>
      </c>
      <c r="S32" s="94">
        <v>547.37</v>
      </c>
      <c r="T32" s="94">
        <v>516.97</v>
      </c>
      <c r="U32" s="94">
        <v>472.13</v>
      </c>
    </row>
    <row r="33" spans="1:21">
      <c r="A33" s="91">
        <v>43171</v>
      </c>
      <c r="B33" s="86">
        <v>43171</v>
      </c>
      <c r="C33" s="93">
        <v>1.1287955751213501</v>
      </c>
      <c r="D33" s="85" t="s">
        <v>476</v>
      </c>
      <c r="F33" s="91">
        <v>43171</v>
      </c>
      <c r="G33">
        <v>474.97</v>
      </c>
      <c r="H33">
        <v>441.61</v>
      </c>
      <c r="I33" s="94">
        <v>482.48</v>
      </c>
      <c r="J33" s="94">
        <v>459.79</v>
      </c>
      <c r="K33" s="94">
        <v>566.61</v>
      </c>
      <c r="L33" s="94">
        <v>489.08</v>
      </c>
      <c r="M33" s="94">
        <v>519.78</v>
      </c>
      <c r="N33" s="94">
        <v>519.28</v>
      </c>
      <c r="O33" s="94">
        <v>513.05999999999995</v>
      </c>
      <c r="P33" s="94">
        <v>505.29</v>
      </c>
      <c r="Q33" s="94">
        <v>539.53</v>
      </c>
      <c r="R33" s="94">
        <v>481.38</v>
      </c>
      <c r="S33" s="94">
        <v>548.25</v>
      </c>
      <c r="T33" s="94">
        <v>510.84</v>
      </c>
      <c r="U33" s="94">
        <v>466.29</v>
      </c>
    </row>
    <row r="34" spans="1:21">
      <c r="A34" s="91">
        <v>43164</v>
      </c>
      <c r="B34" s="86">
        <v>43164</v>
      </c>
      <c r="C34" s="93">
        <v>1.12271247333558</v>
      </c>
      <c r="D34" s="85" t="s">
        <v>515</v>
      </c>
      <c r="F34" s="91">
        <v>43164</v>
      </c>
      <c r="G34">
        <v>489.97</v>
      </c>
      <c r="H34">
        <v>487.4</v>
      </c>
      <c r="I34" s="94">
        <v>484</v>
      </c>
      <c r="J34" s="94">
        <v>471.55</v>
      </c>
      <c r="K34" s="94">
        <v>577.55999999999995</v>
      </c>
      <c r="L34" s="94">
        <v>501.99</v>
      </c>
      <c r="M34" s="94">
        <v>522.78</v>
      </c>
      <c r="N34" s="94">
        <v>521.54</v>
      </c>
      <c r="O34" s="94">
        <v>510.18</v>
      </c>
      <c r="P34" s="94">
        <v>521.54999999999995</v>
      </c>
      <c r="Q34" s="94">
        <v>541.16999999999996</v>
      </c>
      <c r="R34" s="94">
        <v>498.73</v>
      </c>
      <c r="S34" s="94">
        <v>552.64</v>
      </c>
      <c r="T34" s="94">
        <v>508.19</v>
      </c>
      <c r="U34" s="94">
        <v>465.41</v>
      </c>
    </row>
    <row r="35" spans="1:21">
      <c r="A35" s="91">
        <v>43157</v>
      </c>
      <c r="B35" s="86">
        <v>43157</v>
      </c>
      <c r="C35" s="93">
        <v>1.13869278068777</v>
      </c>
      <c r="D35" s="85" t="s">
        <v>442</v>
      </c>
      <c r="F35" s="91">
        <v>43157</v>
      </c>
      <c r="G35">
        <v>490.81</v>
      </c>
      <c r="H35">
        <v>521.04</v>
      </c>
      <c r="I35" s="94">
        <v>484.93</v>
      </c>
      <c r="J35" s="94">
        <v>471.55</v>
      </c>
      <c r="K35" s="94">
        <v>577.63</v>
      </c>
      <c r="L35" s="94">
        <v>494.73</v>
      </c>
      <c r="M35" s="94">
        <v>520.29999999999995</v>
      </c>
      <c r="N35" s="94">
        <v>539.15</v>
      </c>
      <c r="O35" s="94">
        <v>495.32</v>
      </c>
      <c r="P35" s="94">
        <v>513.41999999999996</v>
      </c>
      <c r="Q35" s="94">
        <v>539.4</v>
      </c>
      <c r="R35" s="94">
        <v>497.91</v>
      </c>
      <c r="S35" s="94">
        <v>550.62</v>
      </c>
      <c r="T35" s="94">
        <v>514.34</v>
      </c>
      <c r="U35" s="94">
        <v>474.56</v>
      </c>
    </row>
    <row r="36" spans="1:21">
      <c r="A36" s="91">
        <v>43150</v>
      </c>
      <c r="B36" s="86">
        <v>43150</v>
      </c>
      <c r="C36" s="93">
        <v>1.1287955751213501</v>
      </c>
      <c r="D36" s="85" t="s">
        <v>516</v>
      </c>
      <c r="F36" s="91">
        <v>43150</v>
      </c>
      <c r="G36">
        <v>502.47</v>
      </c>
      <c r="H36">
        <v>484.67</v>
      </c>
      <c r="I36" s="94">
        <v>489.71</v>
      </c>
      <c r="J36" s="94">
        <v>470.71</v>
      </c>
      <c r="K36" s="94">
        <v>577.47</v>
      </c>
      <c r="L36" s="94">
        <v>497.15</v>
      </c>
      <c r="M36" s="94">
        <v>525.78</v>
      </c>
      <c r="N36" s="94">
        <v>539.15</v>
      </c>
      <c r="O36" s="94">
        <v>502.15</v>
      </c>
      <c r="P36" s="94">
        <v>521.54999999999995</v>
      </c>
      <c r="Q36" s="94">
        <v>544.94000000000005</v>
      </c>
      <c r="R36" s="94">
        <v>492.95</v>
      </c>
      <c r="S36" s="94">
        <v>553.58000000000004</v>
      </c>
      <c r="T36" s="94">
        <v>504.44</v>
      </c>
      <c r="U36" s="94">
        <v>479.52</v>
      </c>
    </row>
    <row r="37" spans="1:21">
      <c r="A37" s="91">
        <v>43143</v>
      </c>
      <c r="B37" s="86">
        <v>43143</v>
      </c>
      <c r="C37" s="93">
        <v>1.1286681715575599</v>
      </c>
      <c r="D37" s="85" t="s">
        <v>517</v>
      </c>
      <c r="F37" s="91">
        <v>43143</v>
      </c>
      <c r="G37">
        <v>504.97</v>
      </c>
      <c r="H37">
        <v>511.53</v>
      </c>
      <c r="I37" s="94">
        <v>495.47</v>
      </c>
      <c r="J37" s="94">
        <v>484.16</v>
      </c>
      <c r="K37" s="94">
        <v>595.91</v>
      </c>
      <c r="L37" s="94">
        <v>500.37</v>
      </c>
      <c r="M37" s="94">
        <v>539.28</v>
      </c>
      <c r="N37" s="94">
        <v>539.15</v>
      </c>
      <c r="O37" s="94">
        <v>528.28</v>
      </c>
      <c r="P37" s="94">
        <v>521.54999999999995</v>
      </c>
      <c r="Q37" s="94">
        <v>558.41</v>
      </c>
      <c r="R37" s="94">
        <v>512.91999999999996</v>
      </c>
      <c r="S37" s="94">
        <v>570.26</v>
      </c>
      <c r="T37" s="94">
        <v>527.63</v>
      </c>
      <c r="U37" s="94">
        <v>489.5</v>
      </c>
    </row>
    <row r="38" spans="1:21">
      <c r="A38" s="91">
        <v>43136</v>
      </c>
      <c r="B38" s="86">
        <v>43136</v>
      </c>
      <c r="C38" s="93">
        <v>1.1290759642308701</v>
      </c>
      <c r="D38" s="85" t="s">
        <v>490</v>
      </c>
      <c r="F38" s="91">
        <v>43136</v>
      </c>
      <c r="G38">
        <v>514.97</v>
      </c>
      <c r="H38">
        <v>516.82000000000005</v>
      </c>
      <c r="I38" s="94">
        <v>498.62</v>
      </c>
      <c r="J38" s="94">
        <v>497.6</v>
      </c>
      <c r="K38" s="94">
        <v>606.85</v>
      </c>
      <c r="L38" s="94">
        <v>501.99</v>
      </c>
      <c r="M38" s="94">
        <v>541.02</v>
      </c>
      <c r="N38" s="94">
        <v>538.1</v>
      </c>
      <c r="O38" s="94">
        <v>539.91999999999996</v>
      </c>
      <c r="P38" s="94">
        <v>521.54999999999995</v>
      </c>
      <c r="Q38" s="94">
        <v>561.29</v>
      </c>
      <c r="R38" s="94">
        <v>531.33000000000004</v>
      </c>
      <c r="S38" s="94">
        <v>577.25</v>
      </c>
      <c r="T38" s="94">
        <v>559.32000000000005</v>
      </c>
      <c r="U38" s="94">
        <v>491.02</v>
      </c>
    </row>
    <row r="39" spans="1:21">
      <c r="A39" s="91">
        <v>43129</v>
      </c>
      <c r="B39" s="86">
        <v>43129</v>
      </c>
      <c r="C39" s="93">
        <v>1.1371389583807099</v>
      </c>
      <c r="D39" s="85" t="s">
        <v>433</v>
      </c>
      <c r="F39" s="91">
        <v>43129</v>
      </c>
      <c r="G39">
        <v>514.14</v>
      </c>
      <c r="H39">
        <v>511.45</v>
      </c>
      <c r="I39" s="94">
        <v>496.04</v>
      </c>
      <c r="J39" s="94">
        <v>497.6</v>
      </c>
      <c r="K39" s="94">
        <v>617.65</v>
      </c>
      <c r="L39" s="94">
        <v>504.41</v>
      </c>
      <c r="M39" s="94">
        <v>539.92999999999995</v>
      </c>
      <c r="N39" s="94">
        <v>538.78</v>
      </c>
      <c r="O39" s="94">
        <v>535.51</v>
      </c>
      <c r="P39" s="94">
        <v>521.54999999999995</v>
      </c>
      <c r="Q39" s="94">
        <v>560.79999999999995</v>
      </c>
      <c r="R39" s="94">
        <v>537.58000000000004</v>
      </c>
      <c r="S39" s="94">
        <v>576.70000000000005</v>
      </c>
      <c r="T39" s="94">
        <v>562.26</v>
      </c>
      <c r="U39" s="94">
        <v>494.22</v>
      </c>
    </row>
    <row r="40" spans="1:21">
      <c r="A40" s="91">
        <v>43122</v>
      </c>
      <c r="B40" s="86">
        <v>43122</v>
      </c>
      <c r="C40" s="93">
        <v>1.13526707157859</v>
      </c>
      <c r="D40" s="85" t="s">
        <v>508</v>
      </c>
      <c r="F40" s="91">
        <v>43122</v>
      </c>
      <c r="G40">
        <v>510.81</v>
      </c>
      <c r="H40">
        <v>502.03</v>
      </c>
      <c r="I40" s="94">
        <v>491.42</v>
      </c>
      <c r="J40" s="94">
        <v>485</v>
      </c>
      <c r="K40" s="94">
        <v>606.78</v>
      </c>
      <c r="L40" s="94">
        <v>491.5</v>
      </c>
      <c r="M40" s="94">
        <v>538.82000000000005</v>
      </c>
      <c r="N40" s="94">
        <v>538.13</v>
      </c>
      <c r="O40" s="94">
        <v>535.27</v>
      </c>
      <c r="P40" s="94">
        <v>529.67999999999995</v>
      </c>
      <c r="Q40" s="94">
        <v>559.61</v>
      </c>
      <c r="R40" s="94">
        <v>527.66</v>
      </c>
      <c r="S40" s="94">
        <v>575.72</v>
      </c>
      <c r="T40" s="94">
        <v>551.74</v>
      </c>
      <c r="U40" s="94">
        <v>491.55</v>
      </c>
    </row>
    <row r="41" spans="1:21">
      <c r="A41" s="91">
        <v>43115</v>
      </c>
      <c r="B41" s="86">
        <v>43115</v>
      </c>
      <c r="C41" s="93">
        <v>1.12305290702245</v>
      </c>
      <c r="D41" s="85" t="s">
        <v>507</v>
      </c>
      <c r="F41" s="91">
        <v>43115</v>
      </c>
      <c r="G41">
        <v>512.47</v>
      </c>
      <c r="H41">
        <v>514.51</v>
      </c>
      <c r="I41" s="94">
        <v>486.35</v>
      </c>
      <c r="J41" s="94">
        <v>481.63</v>
      </c>
      <c r="K41" s="94">
        <v>606.34</v>
      </c>
      <c r="L41" s="94">
        <v>515.70000000000005</v>
      </c>
      <c r="M41" s="94">
        <v>537.84</v>
      </c>
      <c r="N41" s="94">
        <v>534.05999999999995</v>
      </c>
      <c r="O41" s="94">
        <v>529.19000000000005</v>
      </c>
      <c r="P41" s="94">
        <v>529.67999999999995</v>
      </c>
      <c r="Q41" s="94">
        <v>555.71</v>
      </c>
      <c r="R41" s="94">
        <v>535.91999999999996</v>
      </c>
      <c r="S41" s="94">
        <v>575.09</v>
      </c>
      <c r="T41" s="94">
        <v>551.52</v>
      </c>
      <c r="U41" s="94">
        <v>481.25</v>
      </c>
    </row>
    <row r="42" spans="1:21">
      <c r="A42" s="91">
        <v>43108</v>
      </c>
      <c r="B42" s="86">
        <v>43108</v>
      </c>
      <c r="C42" s="93">
        <v>1.1310553877823399</v>
      </c>
      <c r="D42" s="85" t="s">
        <v>414</v>
      </c>
      <c r="F42" s="91">
        <v>43108</v>
      </c>
      <c r="G42">
        <v>510.81</v>
      </c>
      <c r="H42">
        <v>510.62</v>
      </c>
      <c r="I42" s="94">
        <v>481.27</v>
      </c>
      <c r="J42" s="94">
        <v>501.8</v>
      </c>
      <c r="K42" s="94">
        <v>606.58000000000004</v>
      </c>
      <c r="L42" s="94">
        <v>507.63</v>
      </c>
      <c r="M42" s="94">
        <v>532.12</v>
      </c>
      <c r="N42" s="94">
        <v>530.96</v>
      </c>
      <c r="O42" s="94">
        <v>524.35</v>
      </c>
      <c r="P42" s="94">
        <v>521.54999999999995</v>
      </c>
      <c r="Q42" s="94">
        <v>551.53</v>
      </c>
      <c r="R42" s="94">
        <v>520.22</v>
      </c>
      <c r="S42" s="94">
        <v>570.9</v>
      </c>
      <c r="T42" s="94">
        <v>548.16</v>
      </c>
      <c r="U42" s="94">
        <v>480.53</v>
      </c>
    </row>
    <row r="43" spans="1:21" ht="15.75" thickBot="1">
      <c r="A43" s="92">
        <v>43101</v>
      </c>
      <c r="B43" s="86">
        <v>43101</v>
      </c>
      <c r="C43" s="93">
        <v>1.1271034568262999</v>
      </c>
      <c r="D43" s="85" t="s">
        <v>518</v>
      </c>
      <c r="F43" s="92">
        <v>43101</v>
      </c>
      <c r="G43">
        <v>510.81</v>
      </c>
      <c r="H43">
        <v>500.46</v>
      </c>
      <c r="I43" s="94">
        <v>482.84</v>
      </c>
      <c r="J43" s="94">
        <v>503.48</v>
      </c>
      <c r="K43" s="94">
        <v>617.47</v>
      </c>
      <c r="L43" s="94">
        <v>500.37</v>
      </c>
      <c r="M43" s="94">
        <v>513.88</v>
      </c>
      <c r="N43" s="94">
        <v>526.33000000000004</v>
      </c>
      <c r="O43" s="94">
        <v>514.13</v>
      </c>
      <c r="P43" s="94">
        <v>521.54999999999995</v>
      </c>
      <c r="Q43" s="94">
        <v>545.80999999999995</v>
      </c>
      <c r="R43" s="94">
        <v>516.09</v>
      </c>
      <c r="S43" s="94">
        <v>565.52</v>
      </c>
      <c r="T43" s="94">
        <v>545.34</v>
      </c>
      <c r="U43" s="94">
        <v>475.68</v>
      </c>
    </row>
    <row r="44" spans="1:21">
      <c r="A44" s="91">
        <v>43087</v>
      </c>
      <c r="B44" s="86">
        <v>43087</v>
      </c>
      <c r="C44" s="93">
        <v>1.1336840195900599</v>
      </c>
      <c r="D44" s="85" t="s">
        <v>519</v>
      </c>
      <c r="F44" s="91">
        <v>43087</v>
      </c>
      <c r="G44">
        <v>501.64</v>
      </c>
      <c r="H44">
        <v>495.34</v>
      </c>
      <c r="I44" s="94">
        <v>478.64</v>
      </c>
      <c r="J44" s="94">
        <v>484.16</v>
      </c>
      <c r="K44" s="94">
        <v>610.16</v>
      </c>
      <c r="L44" s="94">
        <v>504.48</v>
      </c>
      <c r="M44" s="94">
        <v>509.93</v>
      </c>
      <c r="N44" s="94">
        <v>526.33000000000004</v>
      </c>
      <c r="O44" s="94">
        <v>508.11</v>
      </c>
      <c r="P44" s="94">
        <v>529.67999999999995</v>
      </c>
      <c r="Q44" s="94">
        <v>541.53</v>
      </c>
      <c r="R44" s="94">
        <v>512.77</v>
      </c>
      <c r="S44" s="94">
        <v>559.67999999999995</v>
      </c>
      <c r="T44" s="94">
        <v>530.03</v>
      </c>
      <c r="U44" s="94">
        <v>476.51</v>
      </c>
    </row>
    <row r="45" spans="1:21">
      <c r="A45" s="91">
        <v>43080</v>
      </c>
      <c r="B45" s="86">
        <v>43080</v>
      </c>
      <c r="C45" s="93">
        <v>1.1331444759206799</v>
      </c>
      <c r="D45" s="85" t="s">
        <v>479</v>
      </c>
      <c r="F45" s="91">
        <v>43080</v>
      </c>
      <c r="G45">
        <v>499.14</v>
      </c>
      <c r="H45">
        <v>474.68</v>
      </c>
      <c r="I45" s="94">
        <v>481.02</v>
      </c>
      <c r="J45" s="94">
        <v>478.27</v>
      </c>
      <c r="K45" s="94">
        <v>588.72</v>
      </c>
      <c r="L45" s="94">
        <v>525.45000000000005</v>
      </c>
      <c r="M45" s="94">
        <v>508.62</v>
      </c>
      <c r="N45" s="94">
        <v>526.46</v>
      </c>
      <c r="O45" s="94">
        <v>507.73</v>
      </c>
      <c r="P45" s="94">
        <v>521.54999999999995</v>
      </c>
      <c r="Q45" s="94">
        <v>536.82000000000005</v>
      </c>
      <c r="R45" s="94">
        <v>504.91</v>
      </c>
      <c r="S45" s="94">
        <v>559.01</v>
      </c>
      <c r="T45" s="94">
        <v>524.85</v>
      </c>
      <c r="U45" s="94">
        <v>475.6</v>
      </c>
    </row>
    <row r="46" spans="1:21">
      <c r="A46" s="91">
        <v>43073</v>
      </c>
      <c r="B46" s="86">
        <v>43073</v>
      </c>
      <c r="C46" s="93">
        <v>1.1399259048161898</v>
      </c>
      <c r="D46" s="85" t="s">
        <v>520</v>
      </c>
      <c r="F46" s="91">
        <v>43073</v>
      </c>
      <c r="G46">
        <v>508.31</v>
      </c>
      <c r="H46">
        <v>531.38</v>
      </c>
      <c r="I46" s="94">
        <v>482.85</v>
      </c>
      <c r="J46" s="94">
        <v>487.52</v>
      </c>
      <c r="K46" s="94">
        <v>599.59</v>
      </c>
      <c r="L46" s="94">
        <v>506.09</v>
      </c>
      <c r="M46" s="94">
        <v>513.54999999999995</v>
      </c>
      <c r="N46" s="94">
        <v>527.16</v>
      </c>
      <c r="O46" s="94">
        <v>508.99</v>
      </c>
      <c r="P46" s="94">
        <v>529.67999999999995</v>
      </c>
      <c r="Q46" s="94">
        <v>538.67999999999995</v>
      </c>
      <c r="R46" s="94">
        <v>514</v>
      </c>
      <c r="S46" s="94">
        <v>561.62</v>
      </c>
      <c r="T46" s="94">
        <v>527.46</v>
      </c>
      <c r="U46" s="94">
        <v>477.01</v>
      </c>
    </row>
    <row r="47" spans="1:21">
      <c r="A47" s="91">
        <v>43066</v>
      </c>
      <c r="B47" s="86">
        <v>43066</v>
      </c>
      <c r="C47" s="93">
        <v>1.1188811188811201</v>
      </c>
      <c r="D47" s="85" t="s">
        <v>521</v>
      </c>
      <c r="F47" s="91">
        <v>43066</v>
      </c>
      <c r="G47">
        <v>505.81</v>
      </c>
      <c r="H47">
        <v>539.80999999999995</v>
      </c>
      <c r="I47" s="94">
        <v>485.99</v>
      </c>
      <c r="J47" s="94">
        <v>490.88</v>
      </c>
      <c r="K47" s="94">
        <v>599.54</v>
      </c>
      <c r="L47" s="94">
        <v>529.48</v>
      </c>
      <c r="M47" s="94">
        <v>514.27</v>
      </c>
      <c r="N47" s="94">
        <v>529.54</v>
      </c>
      <c r="O47" s="94">
        <v>512.05999999999995</v>
      </c>
      <c r="P47" s="94">
        <v>529.67999999999995</v>
      </c>
      <c r="Q47" s="94">
        <v>538.52</v>
      </c>
      <c r="R47" s="94">
        <v>523.1</v>
      </c>
      <c r="S47" s="94">
        <v>561.78</v>
      </c>
      <c r="T47" s="94">
        <v>534.61</v>
      </c>
      <c r="U47" s="94">
        <v>471.69</v>
      </c>
    </row>
    <row r="48" spans="1:21">
      <c r="A48" s="91">
        <v>43059</v>
      </c>
      <c r="B48" s="86">
        <v>43059</v>
      </c>
      <c r="C48" s="93">
        <v>1.12435349673937</v>
      </c>
      <c r="D48" s="85" t="s">
        <v>468</v>
      </c>
      <c r="F48" s="91">
        <v>43059</v>
      </c>
      <c r="G48">
        <v>515.80999999999995</v>
      </c>
      <c r="H48">
        <v>520.14</v>
      </c>
      <c r="I48" s="94">
        <v>486.91</v>
      </c>
      <c r="J48" s="94">
        <v>486.68</v>
      </c>
      <c r="K48" s="94">
        <v>588.87</v>
      </c>
      <c r="L48" s="94">
        <v>537.54</v>
      </c>
      <c r="M48" s="94">
        <v>520.67999999999995</v>
      </c>
      <c r="N48" s="94">
        <v>523.58000000000004</v>
      </c>
      <c r="O48" s="94">
        <v>535.44000000000005</v>
      </c>
      <c r="P48" s="94">
        <v>521.54999999999995</v>
      </c>
      <c r="Q48" s="94">
        <v>540.29</v>
      </c>
      <c r="R48" s="94">
        <v>534.66999999999996</v>
      </c>
      <c r="S48" s="94">
        <v>564.6</v>
      </c>
      <c r="T48" s="94">
        <v>524.75</v>
      </c>
      <c r="U48" s="94">
        <v>469.71</v>
      </c>
    </row>
    <row r="49" spans="1:21">
      <c r="A49" s="91">
        <v>43052</v>
      </c>
      <c r="B49" s="86">
        <v>43052</v>
      </c>
      <c r="C49" s="93">
        <v>1.1233683075333099</v>
      </c>
      <c r="D49" s="85" t="s">
        <v>401</v>
      </c>
      <c r="F49" s="91">
        <v>43052</v>
      </c>
      <c r="G49">
        <v>519.97</v>
      </c>
      <c r="H49">
        <v>539.55999999999995</v>
      </c>
      <c r="I49" s="94">
        <v>483.95</v>
      </c>
      <c r="J49" s="94">
        <v>478.27</v>
      </c>
      <c r="K49" s="94">
        <v>588.85</v>
      </c>
      <c r="L49" s="94">
        <v>536.74</v>
      </c>
      <c r="M49" s="94">
        <v>516.49</v>
      </c>
      <c r="N49" s="94">
        <v>523.58000000000004</v>
      </c>
      <c r="O49" s="94">
        <v>526.54999999999995</v>
      </c>
      <c r="P49" s="94">
        <v>513.41999999999996</v>
      </c>
      <c r="Q49" s="94">
        <v>537.28</v>
      </c>
      <c r="R49" s="94">
        <v>546.24</v>
      </c>
      <c r="S49" s="94">
        <v>562.65</v>
      </c>
      <c r="T49" s="94">
        <v>565.29999999999995</v>
      </c>
      <c r="U49" s="94">
        <v>462.18</v>
      </c>
    </row>
    <row r="50" spans="1:21">
      <c r="A50" s="91">
        <v>43045</v>
      </c>
      <c r="B50" s="86">
        <v>43045</v>
      </c>
      <c r="C50" s="93">
        <v>1.1313497001923298</v>
      </c>
      <c r="D50" s="85" t="s">
        <v>522</v>
      </c>
      <c r="F50" s="91">
        <v>43045</v>
      </c>
      <c r="G50">
        <v>501.64</v>
      </c>
      <c r="H50">
        <v>509.97</v>
      </c>
      <c r="I50" s="94">
        <v>472.94</v>
      </c>
      <c r="J50" s="94">
        <v>521.13</v>
      </c>
      <c r="K50" s="94">
        <v>570.54999999999995</v>
      </c>
      <c r="L50" s="94">
        <v>527.05999999999995</v>
      </c>
      <c r="M50" s="94">
        <v>487.25</v>
      </c>
      <c r="N50" s="94">
        <v>509.41</v>
      </c>
      <c r="O50" s="94">
        <v>511.24</v>
      </c>
      <c r="P50" s="94">
        <v>489.03</v>
      </c>
      <c r="Q50" s="94">
        <v>528.08000000000004</v>
      </c>
      <c r="R50" s="94">
        <v>526.4</v>
      </c>
      <c r="S50" s="94">
        <v>547.41999999999996</v>
      </c>
      <c r="T50" s="94">
        <v>550.94000000000005</v>
      </c>
      <c r="U50" s="94">
        <v>452.87</v>
      </c>
    </row>
    <row r="51" spans="1:21">
      <c r="A51" s="91">
        <v>43038</v>
      </c>
      <c r="B51" s="86">
        <v>43038</v>
      </c>
      <c r="C51" s="93">
        <v>1.1366219595362599</v>
      </c>
      <c r="D51" s="85" t="s">
        <v>523</v>
      </c>
      <c r="F51" s="91">
        <v>43038</v>
      </c>
      <c r="G51">
        <v>485.81</v>
      </c>
      <c r="H51">
        <v>499.06</v>
      </c>
      <c r="I51" s="94">
        <v>465.66</v>
      </c>
      <c r="J51" s="94">
        <v>501.8</v>
      </c>
      <c r="K51" s="94">
        <v>592.12</v>
      </c>
      <c r="L51" s="94">
        <v>517.38</v>
      </c>
      <c r="M51" s="94">
        <v>473.88</v>
      </c>
      <c r="N51" s="94">
        <v>502.44</v>
      </c>
      <c r="O51" s="94">
        <v>491.3</v>
      </c>
      <c r="P51" s="94">
        <v>497.16</v>
      </c>
      <c r="Q51" s="94">
        <v>520.98</v>
      </c>
      <c r="R51" s="94">
        <v>501.61</v>
      </c>
      <c r="S51" s="94">
        <v>535.86</v>
      </c>
      <c r="T51" s="94">
        <v>514.5</v>
      </c>
      <c r="U51" s="94">
        <v>450.1</v>
      </c>
    </row>
    <row r="52" spans="1:21">
      <c r="A52" s="91">
        <v>43031</v>
      </c>
      <c r="B52" s="86">
        <v>43031</v>
      </c>
      <c r="C52" s="93">
        <v>1.1224604332697301</v>
      </c>
      <c r="D52" s="85" t="s">
        <v>524</v>
      </c>
      <c r="F52" s="91">
        <v>43031</v>
      </c>
      <c r="G52">
        <v>484.97</v>
      </c>
      <c r="H52">
        <v>491.13</v>
      </c>
      <c r="I52" s="94">
        <v>466.12</v>
      </c>
      <c r="J52" s="94">
        <v>488.36</v>
      </c>
      <c r="K52" s="94">
        <v>559.66999999999996</v>
      </c>
      <c r="L52" s="94">
        <v>493.19</v>
      </c>
      <c r="M52" s="94">
        <v>459.57</v>
      </c>
      <c r="N52" s="94">
        <v>501.7</v>
      </c>
      <c r="O52" s="94">
        <v>498.55</v>
      </c>
      <c r="P52" s="94">
        <v>497.16</v>
      </c>
      <c r="Q52" s="94">
        <v>520.6</v>
      </c>
      <c r="R52" s="94">
        <v>486.73</v>
      </c>
      <c r="S52" s="94">
        <v>533.16</v>
      </c>
      <c r="T52" s="94">
        <v>502.79</v>
      </c>
      <c r="U52" s="94">
        <v>444.35</v>
      </c>
    </row>
    <row r="53" spans="1:21">
      <c r="A53" s="91">
        <v>43024</v>
      </c>
      <c r="B53" s="86">
        <v>43024</v>
      </c>
      <c r="C53" s="93">
        <v>1.1267224769866899</v>
      </c>
      <c r="D53" s="85" t="s">
        <v>525</v>
      </c>
      <c r="F53" s="91">
        <v>43024</v>
      </c>
      <c r="G53">
        <v>484.14</v>
      </c>
      <c r="H53">
        <v>479.31</v>
      </c>
      <c r="I53" s="94">
        <v>463.43</v>
      </c>
      <c r="J53" s="94">
        <v>490.04</v>
      </c>
      <c r="K53" s="94">
        <v>559.65</v>
      </c>
      <c r="L53" s="94">
        <v>518.99</v>
      </c>
      <c r="M53" s="94">
        <v>472.82</v>
      </c>
      <c r="N53" s="94">
        <v>502.64</v>
      </c>
      <c r="O53" s="94">
        <v>496.84</v>
      </c>
      <c r="P53" s="94">
        <v>497.16</v>
      </c>
      <c r="Q53" s="94">
        <v>520.9</v>
      </c>
      <c r="R53" s="94">
        <v>480.12</v>
      </c>
      <c r="S53" s="94">
        <v>533.21</v>
      </c>
      <c r="T53" s="94">
        <v>508.45</v>
      </c>
      <c r="U53" s="94">
        <v>445.7</v>
      </c>
    </row>
    <row r="54" spans="1:21">
      <c r="A54" s="91">
        <v>43017</v>
      </c>
      <c r="B54" s="86">
        <v>43017</v>
      </c>
      <c r="C54" s="93">
        <v>1.1211390773025398</v>
      </c>
      <c r="D54" s="85" t="s">
        <v>526</v>
      </c>
      <c r="F54" s="91">
        <v>43017</v>
      </c>
      <c r="G54">
        <v>490.81</v>
      </c>
      <c r="H54">
        <v>483.61</v>
      </c>
      <c r="I54" s="94">
        <v>461.42</v>
      </c>
      <c r="J54" s="94">
        <v>495.92</v>
      </c>
      <c r="K54" s="94">
        <v>581.22</v>
      </c>
      <c r="L54" s="94">
        <v>515.77</v>
      </c>
      <c r="M54" s="94">
        <v>476.05</v>
      </c>
      <c r="N54" s="94">
        <v>504.23</v>
      </c>
      <c r="O54" s="94">
        <v>489.56</v>
      </c>
      <c r="P54" s="94">
        <v>497.16</v>
      </c>
      <c r="Q54" s="94">
        <v>522.23</v>
      </c>
      <c r="R54" s="94">
        <v>485.91</v>
      </c>
      <c r="S54" s="94">
        <v>535.33000000000004</v>
      </c>
      <c r="T54" s="94">
        <v>513.58000000000004</v>
      </c>
      <c r="U54" s="94">
        <v>444.92</v>
      </c>
    </row>
    <row r="55" spans="1:21">
      <c r="A55" s="91">
        <v>43010</v>
      </c>
      <c r="B55" s="86">
        <v>43010</v>
      </c>
      <c r="C55" s="93">
        <v>1.1309914270849799</v>
      </c>
      <c r="D55" s="85" t="s">
        <v>527</v>
      </c>
      <c r="F55" s="91">
        <v>43010</v>
      </c>
      <c r="G55">
        <v>493.31</v>
      </c>
      <c r="H55">
        <v>512.37</v>
      </c>
      <c r="I55" s="94">
        <v>460.03</v>
      </c>
      <c r="J55" s="94">
        <v>501.8</v>
      </c>
      <c r="K55" s="94">
        <v>581.30999999999995</v>
      </c>
      <c r="L55" s="94">
        <v>512.54</v>
      </c>
      <c r="M55" s="94">
        <v>484.5</v>
      </c>
      <c r="N55" s="94">
        <v>505.68</v>
      </c>
      <c r="O55" s="94">
        <v>495.74</v>
      </c>
      <c r="P55" s="94">
        <v>505.29</v>
      </c>
      <c r="Q55" s="94">
        <v>521.99</v>
      </c>
      <c r="R55" s="94">
        <v>493.34</v>
      </c>
      <c r="S55" s="94">
        <v>539.83000000000004</v>
      </c>
      <c r="T55" s="94">
        <v>504.3</v>
      </c>
      <c r="U55" s="94">
        <v>457.98</v>
      </c>
    </row>
    <row r="56" spans="1:21">
      <c r="A56" s="91">
        <v>43003</v>
      </c>
      <c r="B56" s="86">
        <v>43003</v>
      </c>
      <c r="C56" s="93">
        <v>1.1371648206691098</v>
      </c>
      <c r="D56" s="85" t="s">
        <v>528</v>
      </c>
      <c r="F56" s="91">
        <v>43003</v>
      </c>
      <c r="G56">
        <v>490.81</v>
      </c>
      <c r="H56">
        <v>497.24</v>
      </c>
      <c r="I56" s="94">
        <v>457.89</v>
      </c>
      <c r="J56" s="94">
        <v>501.8</v>
      </c>
      <c r="K56" s="94">
        <v>588.96</v>
      </c>
      <c r="L56" s="94">
        <v>529.48</v>
      </c>
      <c r="M56" s="94">
        <v>482.83</v>
      </c>
      <c r="N56" s="94">
        <v>506.58</v>
      </c>
      <c r="O56" s="94">
        <v>502.52</v>
      </c>
      <c r="P56" s="94">
        <v>497.16</v>
      </c>
      <c r="Q56" s="94">
        <v>518.76</v>
      </c>
      <c r="R56" s="94">
        <v>504.09</v>
      </c>
      <c r="S56" s="94">
        <v>539.46</v>
      </c>
      <c r="T56" s="94">
        <v>508.17</v>
      </c>
      <c r="U56" s="94">
        <v>467.45</v>
      </c>
    </row>
    <row r="57" spans="1:21">
      <c r="A57" s="91">
        <v>42996</v>
      </c>
      <c r="B57" s="86">
        <v>42996</v>
      </c>
      <c r="C57" s="93">
        <v>1.13310595673801</v>
      </c>
      <c r="D57" s="85" t="s">
        <v>529</v>
      </c>
      <c r="F57" s="91">
        <v>42996</v>
      </c>
      <c r="G57">
        <v>493.31</v>
      </c>
      <c r="H57">
        <v>475.76</v>
      </c>
      <c r="I57" s="94">
        <v>458.68</v>
      </c>
      <c r="J57" s="94">
        <v>506</v>
      </c>
      <c r="K57" s="94">
        <v>599.6</v>
      </c>
      <c r="L57" s="94">
        <v>533.51</v>
      </c>
      <c r="M57" s="94">
        <v>486.07</v>
      </c>
      <c r="N57" s="94">
        <v>503.97</v>
      </c>
      <c r="O57" s="94">
        <v>508.52</v>
      </c>
      <c r="P57" s="94">
        <v>497.16</v>
      </c>
      <c r="Q57" s="94">
        <v>521.57000000000005</v>
      </c>
      <c r="R57" s="94">
        <v>510.7</v>
      </c>
      <c r="S57" s="94">
        <v>542.21</v>
      </c>
      <c r="T57" s="94">
        <v>526.11</v>
      </c>
      <c r="U57" s="94">
        <v>465.63</v>
      </c>
    </row>
    <row r="58" spans="1:21">
      <c r="A58" s="91">
        <v>42989</v>
      </c>
      <c r="B58" s="86">
        <v>42989</v>
      </c>
      <c r="C58" s="93">
        <v>1.1016248967226698</v>
      </c>
      <c r="D58" s="85" t="s">
        <v>530</v>
      </c>
      <c r="F58" s="91">
        <v>42989</v>
      </c>
      <c r="G58">
        <v>503.31</v>
      </c>
      <c r="H58">
        <v>509.31</v>
      </c>
      <c r="I58" s="94">
        <v>455.28</v>
      </c>
      <c r="J58" s="94">
        <v>517.77</v>
      </c>
      <c r="K58" s="94">
        <v>610.51</v>
      </c>
      <c r="L58" s="94">
        <v>509.32</v>
      </c>
      <c r="M58" s="94">
        <v>485.49</v>
      </c>
      <c r="N58" s="94">
        <v>503.97</v>
      </c>
      <c r="O58" s="94">
        <v>522.62</v>
      </c>
      <c r="P58" s="94">
        <v>497.16</v>
      </c>
      <c r="Q58" s="94">
        <v>520.29999999999995</v>
      </c>
      <c r="R58" s="94">
        <v>525.58000000000004</v>
      </c>
      <c r="S58" s="94">
        <v>544.96</v>
      </c>
      <c r="T58" s="94">
        <v>529.72</v>
      </c>
      <c r="U58" s="94">
        <v>446.18</v>
      </c>
    </row>
    <row r="59" spans="1:21">
      <c r="A59" s="91">
        <v>42982</v>
      </c>
      <c r="B59" s="86">
        <v>42982</v>
      </c>
      <c r="C59" s="93">
        <v>1.0886723640520399</v>
      </c>
      <c r="D59" s="85" t="s">
        <v>531</v>
      </c>
      <c r="F59" s="91">
        <v>42982</v>
      </c>
      <c r="G59">
        <v>489.14</v>
      </c>
      <c r="H59">
        <v>519.72</v>
      </c>
      <c r="I59" s="94">
        <v>443.75</v>
      </c>
      <c r="J59" s="94">
        <v>516.09</v>
      </c>
      <c r="K59" s="94">
        <v>621.48</v>
      </c>
      <c r="L59" s="94">
        <v>511.74</v>
      </c>
      <c r="M59" s="94">
        <v>456.28</v>
      </c>
      <c r="N59" s="94">
        <v>489.59</v>
      </c>
      <c r="O59" s="94">
        <v>489.84</v>
      </c>
      <c r="P59" s="94">
        <v>472.77</v>
      </c>
      <c r="Q59" s="94">
        <v>508.21</v>
      </c>
      <c r="R59" s="94">
        <v>513.17999999999995</v>
      </c>
      <c r="S59" s="94">
        <v>530.48</v>
      </c>
      <c r="T59" s="94">
        <v>529.33000000000004</v>
      </c>
      <c r="U59" s="94">
        <v>430.12</v>
      </c>
    </row>
    <row r="60" spans="1:21">
      <c r="A60" s="91">
        <v>42975</v>
      </c>
      <c r="B60" s="86">
        <v>42975</v>
      </c>
      <c r="C60" s="93">
        <v>1.0830950524217999</v>
      </c>
      <c r="D60" s="85" t="s">
        <v>532</v>
      </c>
      <c r="F60" s="91">
        <v>42975</v>
      </c>
      <c r="G60">
        <v>466.64</v>
      </c>
      <c r="H60">
        <v>481.87</v>
      </c>
      <c r="I60" s="94">
        <v>438.79</v>
      </c>
      <c r="J60" s="94">
        <v>490.04</v>
      </c>
      <c r="K60" s="94">
        <v>556.77</v>
      </c>
      <c r="L60" s="94">
        <v>494.8</v>
      </c>
      <c r="M60" s="94">
        <v>457.22</v>
      </c>
      <c r="N60" s="94">
        <v>489.85</v>
      </c>
      <c r="O60" s="94">
        <v>489.88</v>
      </c>
      <c r="P60" s="94">
        <v>448.38</v>
      </c>
      <c r="Q60" s="94">
        <v>500.53</v>
      </c>
      <c r="R60" s="94">
        <v>490.86</v>
      </c>
      <c r="S60" s="94">
        <v>521.91999999999996</v>
      </c>
      <c r="T60" s="94">
        <v>512.35</v>
      </c>
      <c r="U60" s="94">
        <v>422.97</v>
      </c>
    </row>
    <row r="61" spans="1:21">
      <c r="A61" s="91">
        <v>42968</v>
      </c>
      <c r="B61" s="86">
        <v>42968</v>
      </c>
      <c r="C61" s="93">
        <v>1.0950743555487399</v>
      </c>
      <c r="D61" s="85" t="s">
        <v>533</v>
      </c>
      <c r="F61" s="91">
        <v>42968</v>
      </c>
      <c r="G61">
        <v>465.81</v>
      </c>
      <c r="H61">
        <v>483.19</v>
      </c>
      <c r="I61" s="94">
        <v>440.46</v>
      </c>
      <c r="J61" s="94">
        <v>479.95</v>
      </c>
      <c r="K61" s="94">
        <v>546.16999999999996</v>
      </c>
      <c r="L61" s="94">
        <v>514.16</v>
      </c>
      <c r="M61" s="94">
        <v>457.67</v>
      </c>
      <c r="N61" s="94">
        <v>475.49</v>
      </c>
      <c r="O61" s="94">
        <v>496.2</v>
      </c>
      <c r="P61" s="94">
        <v>464.64</v>
      </c>
      <c r="Q61" s="94">
        <v>500.58</v>
      </c>
      <c r="R61" s="94">
        <v>477.64</v>
      </c>
      <c r="S61" s="94">
        <v>522.67999999999995</v>
      </c>
      <c r="T61" s="94">
        <v>504.86</v>
      </c>
      <c r="U61" s="94">
        <v>424.36</v>
      </c>
    </row>
    <row r="62" spans="1:21">
      <c r="A62" s="91">
        <v>42961</v>
      </c>
      <c r="B62" s="86">
        <v>42961</v>
      </c>
      <c r="C62" s="93">
        <v>1.09968658932204</v>
      </c>
      <c r="D62" s="85" t="s">
        <v>534</v>
      </c>
      <c r="F62" s="91">
        <v>42961</v>
      </c>
      <c r="G62">
        <v>467.47</v>
      </c>
      <c r="H62">
        <v>515.91999999999996</v>
      </c>
      <c r="I62" s="94">
        <v>440.14</v>
      </c>
      <c r="J62" s="94">
        <v>485</v>
      </c>
      <c r="K62" s="94">
        <v>547.29</v>
      </c>
      <c r="L62" s="94">
        <v>502.06</v>
      </c>
      <c r="M62" s="94">
        <v>456.12</v>
      </c>
      <c r="N62" s="94">
        <v>475.49</v>
      </c>
      <c r="O62" s="94">
        <v>494.86</v>
      </c>
      <c r="P62" s="94">
        <v>472.77</v>
      </c>
      <c r="Q62" s="94">
        <v>499.89</v>
      </c>
      <c r="R62" s="94">
        <v>487.56</v>
      </c>
      <c r="S62" s="94">
        <v>523.35</v>
      </c>
      <c r="T62" s="94">
        <v>502.59</v>
      </c>
      <c r="U62" s="94">
        <v>421.42</v>
      </c>
    </row>
    <row r="63" spans="1:21">
      <c r="A63" s="91">
        <v>42954</v>
      </c>
      <c r="B63" s="86">
        <v>42954</v>
      </c>
      <c r="C63" s="93">
        <v>1.10576657267651</v>
      </c>
      <c r="D63" s="85" t="s">
        <v>535</v>
      </c>
      <c r="F63" s="91">
        <v>42954</v>
      </c>
      <c r="G63">
        <v>466.64</v>
      </c>
      <c r="H63">
        <v>499.56</v>
      </c>
      <c r="I63" s="94">
        <v>440.11</v>
      </c>
      <c r="J63" s="94">
        <v>484.16</v>
      </c>
      <c r="K63" s="94">
        <v>568.66999999999996</v>
      </c>
      <c r="L63" s="94">
        <v>521.41</v>
      </c>
      <c r="M63" s="94">
        <v>454.46</v>
      </c>
      <c r="N63" s="94">
        <v>475.49</v>
      </c>
      <c r="O63" s="94">
        <v>487.94</v>
      </c>
      <c r="P63" s="94">
        <v>472.77</v>
      </c>
      <c r="Q63" s="94">
        <v>498.8</v>
      </c>
      <c r="R63" s="94">
        <v>484.25</v>
      </c>
      <c r="S63" s="94">
        <v>520.29999999999995</v>
      </c>
      <c r="T63" s="94">
        <v>474.39</v>
      </c>
      <c r="U63" s="94">
        <v>416.9</v>
      </c>
    </row>
    <row r="64" spans="1:21">
      <c r="A64" s="91">
        <v>42947</v>
      </c>
      <c r="B64" s="86">
        <v>42947</v>
      </c>
      <c r="C64" s="93">
        <v>1.1183180496533198</v>
      </c>
      <c r="D64" s="85" t="s">
        <v>536</v>
      </c>
      <c r="F64" s="91">
        <v>42947</v>
      </c>
      <c r="G64">
        <v>459.97</v>
      </c>
      <c r="H64">
        <v>467.33</v>
      </c>
      <c r="I64" s="94">
        <v>435.41</v>
      </c>
      <c r="J64" s="94">
        <v>478.27</v>
      </c>
      <c r="K64" s="94">
        <v>558.07000000000005</v>
      </c>
      <c r="L64" s="94">
        <v>517.38</v>
      </c>
      <c r="M64" s="94">
        <v>438.85</v>
      </c>
      <c r="N64" s="94">
        <v>475.49</v>
      </c>
      <c r="O64" s="94">
        <v>481.83</v>
      </c>
      <c r="P64" s="94">
        <v>448.38</v>
      </c>
      <c r="Q64" s="94">
        <v>496.35</v>
      </c>
      <c r="R64" s="94">
        <v>477.64</v>
      </c>
      <c r="S64" s="94">
        <v>514.57000000000005</v>
      </c>
      <c r="T64" s="94">
        <v>478.12</v>
      </c>
      <c r="U64" s="94">
        <v>415.84</v>
      </c>
    </row>
    <row r="65" spans="1:21">
      <c r="A65" s="91">
        <v>42940</v>
      </c>
      <c r="B65" s="86">
        <v>42940</v>
      </c>
      <c r="C65" s="93">
        <v>1.1191941801902601</v>
      </c>
      <c r="D65" s="85" t="s">
        <v>537</v>
      </c>
      <c r="F65" s="91">
        <v>42940</v>
      </c>
      <c r="G65">
        <v>461.64</v>
      </c>
      <c r="H65">
        <v>475.92</v>
      </c>
      <c r="I65" s="94">
        <v>438.08</v>
      </c>
      <c r="J65" s="94">
        <v>477.43</v>
      </c>
      <c r="K65" s="94">
        <v>558.09</v>
      </c>
      <c r="L65" s="94">
        <v>518.19000000000005</v>
      </c>
      <c r="M65" s="94">
        <v>447.49</v>
      </c>
      <c r="N65" s="94">
        <v>474.95</v>
      </c>
      <c r="O65" s="94">
        <v>480.41</v>
      </c>
      <c r="P65" s="94">
        <v>464.64</v>
      </c>
      <c r="Q65" s="94">
        <v>492.77</v>
      </c>
      <c r="R65" s="94">
        <v>477.64</v>
      </c>
      <c r="S65" s="94">
        <v>511.29</v>
      </c>
      <c r="T65" s="94">
        <v>475.83</v>
      </c>
      <c r="U65" s="94">
        <v>414.59</v>
      </c>
    </row>
    <row r="66" spans="1:21">
      <c r="A66" s="91">
        <v>42933</v>
      </c>
      <c r="B66" s="86">
        <v>42933</v>
      </c>
      <c r="C66" s="93">
        <v>1.1395362087630299</v>
      </c>
      <c r="D66" s="85" t="s">
        <v>538</v>
      </c>
      <c r="F66" s="91">
        <v>42933</v>
      </c>
      <c r="G66">
        <v>459.97</v>
      </c>
      <c r="H66">
        <v>465.18</v>
      </c>
      <c r="I66" s="94">
        <v>438.52</v>
      </c>
      <c r="J66" s="94">
        <v>479.11</v>
      </c>
      <c r="K66" s="94">
        <v>558.05999999999995</v>
      </c>
      <c r="L66" s="94">
        <v>517.38</v>
      </c>
      <c r="M66" s="94">
        <v>442.72</v>
      </c>
      <c r="N66" s="94">
        <v>467.69</v>
      </c>
      <c r="O66" s="94">
        <v>478.73</v>
      </c>
      <c r="P66" s="94">
        <v>472.77</v>
      </c>
      <c r="Q66" s="94">
        <v>490.72</v>
      </c>
      <c r="R66" s="94">
        <v>464.42</v>
      </c>
      <c r="S66" s="94">
        <v>507.62</v>
      </c>
      <c r="T66" s="94">
        <v>478.24</v>
      </c>
      <c r="U66" s="94">
        <v>421.14</v>
      </c>
    </row>
    <row r="67" spans="1:21">
      <c r="A67" s="91">
        <v>42926</v>
      </c>
      <c r="B67" s="86">
        <v>42926</v>
      </c>
      <c r="C67" s="93">
        <v>1.13067173207603</v>
      </c>
      <c r="D67" s="85" t="s">
        <v>402</v>
      </c>
      <c r="F67" s="91">
        <v>42926</v>
      </c>
      <c r="G67">
        <v>463.31</v>
      </c>
      <c r="H67">
        <v>488.52</v>
      </c>
      <c r="I67" s="94">
        <v>440.13</v>
      </c>
      <c r="J67" s="94">
        <v>473.23</v>
      </c>
      <c r="K67" s="94">
        <v>547.29</v>
      </c>
      <c r="L67" s="94">
        <v>514.96</v>
      </c>
      <c r="M67" s="94">
        <v>436.77</v>
      </c>
      <c r="N67" s="94">
        <v>467.69</v>
      </c>
      <c r="O67" s="94">
        <v>475.6</v>
      </c>
      <c r="P67" s="94">
        <v>472.77</v>
      </c>
      <c r="Q67" s="94">
        <v>493.47</v>
      </c>
      <c r="R67" s="94">
        <v>469.38</v>
      </c>
      <c r="S67" s="94">
        <v>509.32</v>
      </c>
      <c r="T67" s="94">
        <v>474.39</v>
      </c>
      <c r="U67" s="94">
        <v>414.92</v>
      </c>
    </row>
    <row r="68" spans="1:21">
      <c r="A68" s="91">
        <v>42919</v>
      </c>
      <c r="B68" s="86">
        <v>42919</v>
      </c>
      <c r="C68" s="93">
        <v>1.1401858502936</v>
      </c>
      <c r="D68" s="85" t="s">
        <v>539</v>
      </c>
      <c r="F68" s="91">
        <v>42919</v>
      </c>
      <c r="G68">
        <v>459.14</v>
      </c>
      <c r="H68">
        <v>484.75</v>
      </c>
      <c r="I68" s="94">
        <v>441.19</v>
      </c>
      <c r="J68" s="94">
        <v>474.91</v>
      </c>
      <c r="K68" s="94">
        <v>547.29</v>
      </c>
      <c r="L68" s="94">
        <v>510.93</v>
      </c>
      <c r="M68" s="94">
        <v>442.23</v>
      </c>
      <c r="N68" s="94">
        <v>467.69</v>
      </c>
      <c r="O68" s="94">
        <v>462.9</v>
      </c>
      <c r="P68" s="94">
        <v>472.77</v>
      </c>
      <c r="Q68" s="94">
        <v>492.08</v>
      </c>
      <c r="R68" s="94">
        <v>463.59</v>
      </c>
      <c r="S68" s="94">
        <v>504.03</v>
      </c>
      <c r="T68" s="94">
        <v>473.48</v>
      </c>
      <c r="U68" s="94">
        <v>419.98</v>
      </c>
    </row>
    <row r="69" spans="1:21">
      <c r="A69" s="91">
        <v>42912</v>
      </c>
      <c r="B69" s="86">
        <v>42912</v>
      </c>
      <c r="C69" s="93">
        <v>1.13856313332574</v>
      </c>
      <c r="D69" s="85" t="s">
        <v>449</v>
      </c>
      <c r="F69" s="91">
        <v>42912</v>
      </c>
      <c r="G69">
        <v>469.14</v>
      </c>
      <c r="H69">
        <v>481.38</v>
      </c>
      <c r="I69" s="94">
        <v>444.15</v>
      </c>
      <c r="J69" s="94">
        <v>474.91</v>
      </c>
      <c r="K69" s="94">
        <v>547.30999999999995</v>
      </c>
      <c r="L69" s="94">
        <v>514.16</v>
      </c>
      <c r="M69" s="94">
        <v>447.68</v>
      </c>
      <c r="N69" s="94">
        <v>472.58</v>
      </c>
      <c r="O69" s="94">
        <v>462</v>
      </c>
      <c r="P69" s="94">
        <v>489.03</v>
      </c>
      <c r="Q69" s="94">
        <v>493.12</v>
      </c>
      <c r="R69" s="94">
        <v>461.94</v>
      </c>
      <c r="S69" s="94">
        <v>507.33</v>
      </c>
      <c r="T69" s="94">
        <v>467.37</v>
      </c>
      <c r="U69" s="94">
        <v>425.88</v>
      </c>
    </row>
    <row r="70" spans="1:21">
      <c r="A70" s="91">
        <v>42905</v>
      </c>
      <c r="B70" s="86">
        <v>42905</v>
      </c>
      <c r="C70" s="93">
        <v>1.1426220891702301</v>
      </c>
      <c r="D70" s="85" t="s">
        <v>540</v>
      </c>
      <c r="F70" s="91">
        <v>42905</v>
      </c>
      <c r="G70">
        <v>469.97</v>
      </c>
      <c r="H70">
        <v>472.12</v>
      </c>
      <c r="I70" s="94">
        <v>455.11</v>
      </c>
      <c r="J70" s="94">
        <v>482.47</v>
      </c>
      <c r="K70" s="94">
        <v>547.26</v>
      </c>
      <c r="L70" s="94">
        <v>529.48</v>
      </c>
      <c r="M70" s="94">
        <v>460.23</v>
      </c>
      <c r="N70" s="94">
        <v>482.16</v>
      </c>
      <c r="O70" s="94">
        <v>478.02</v>
      </c>
      <c r="P70" s="94">
        <v>497.16</v>
      </c>
      <c r="Q70" s="94">
        <v>503.51</v>
      </c>
      <c r="R70" s="94">
        <v>476.81</v>
      </c>
      <c r="S70" s="94">
        <v>515.83000000000004</v>
      </c>
      <c r="T70" s="94">
        <v>470.18</v>
      </c>
      <c r="U70" s="94">
        <v>433.99</v>
      </c>
    </row>
    <row r="71" spans="1:21">
      <c r="A71" s="91">
        <v>42898</v>
      </c>
      <c r="B71" s="86">
        <v>42898</v>
      </c>
      <c r="C71" s="93">
        <v>1.1293692472753998</v>
      </c>
      <c r="D71" s="85" t="s">
        <v>541</v>
      </c>
      <c r="F71" s="91">
        <v>42898</v>
      </c>
      <c r="G71">
        <v>470.81</v>
      </c>
      <c r="H71">
        <v>489.48</v>
      </c>
      <c r="I71" s="94">
        <v>459.65</v>
      </c>
      <c r="J71" s="94">
        <v>490.04</v>
      </c>
      <c r="K71" s="94">
        <v>558.04</v>
      </c>
      <c r="L71" s="94">
        <v>529.48</v>
      </c>
      <c r="M71" s="94">
        <v>471.42</v>
      </c>
      <c r="N71" s="94">
        <v>494.88</v>
      </c>
      <c r="O71" s="94">
        <v>490.44</v>
      </c>
      <c r="P71" s="94">
        <v>480.9</v>
      </c>
      <c r="Q71" s="94">
        <v>510.89</v>
      </c>
      <c r="R71" s="94">
        <v>480.95</v>
      </c>
      <c r="S71" s="94">
        <v>525.74</v>
      </c>
      <c r="T71" s="94">
        <v>484.97</v>
      </c>
      <c r="U71" s="94">
        <v>434.37</v>
      </c>
    </row>
    <row r="72" spans="1:21">
      <c r="A72" s="91">
        <v>42891</v>
      </c>
      <c r="B72" s="86">
        <v>42891</v>
      </c>
      <c r="C72" s="93">
        <v>1.1477103179157599</v>
      </c>
      <c r="D72" s="85" t="s">
        <v>542</v>
      </c>
      <c r="F72" s="91">
        <v>42891</v>
      </c>
      <c r="G72">
        <v>474.97</v>
      </c>
      <c r="H72">
        <v>488.57</v>
      </c>
      <c r="I72" s="94">
        <v>465.15</v>
      </c>
      <c r="J72" s="94">
        <v>502.64</v>
      </c>
      <c r="K72" s="94">
        <v>579.32000000000005</v>
      </c>
      <c r="L72" s="94">
        <v>525.45000000000005</v>
      </c>
      <c r="M72" s="94">
        <v>480.87</v>
      </c>
      <c r="N72" s="94">
        <v>501.82</v>
      </c>
      <c r="O72" s="94">
        <v>503.74</v>
      </c>
      <c r="P72" s="94">
        <v>505.29</v>
      </c>
      <c r="Q72" s="94">
        <v>516.99</v>
      </c>
      <c r="R72" s="94">
        <v>491.69</v>
      </c>
      <c r="S72" s="94">
        <v>536.88</v>
      </c>
      <c r="T72" s="94">
        <v>507.18</v>
      </c>
      <c r="U72" s="94">
        <v>442.64</v>
      </c>
    </row>
    <row r="73" spans="1:21">
      <c r="A73" s="91">
        <v>42884</v>
      </c>
      <c r="B73" s="86">
        <v>42884</v>
      </c>
      <c r="C73" s="93">
        <v>1.14819790339063</v>
      </c>
      <c r="D73" s="85" t="s">
        <v>543</v>
      </c>
      <c r="F73" s="91">
        <v>42884</v>
      </c>
      <c r="G73">
        <v>484.14</v>
      </c>
      <c r="H73">
        <v>501.05</v>
      </c>
      <c r="I73" s="94">
        <v>465.62</v>
      </c>
      <c r="J73" s="94">
        <v>506</v>
      </c>
      <c r="K73" s="94">
        <v>579.26</v>
      </c>
      <c r="L73" s="94">
        <v>532.70000000000005</v>
      </c>
      <c r="M73" s="94">
        <v>482.41</v>
      </c>
      <c r="N73" s="94">
        <v>502.4</v>
      </c>
      <c r="O73" s="94">
        <v>509.75</v>
      </c>
      <c r="P73" s="94">
        <v>497.16</v>
      </c>
      <c r="Q73" s="94">
        <v>520.64</v>
      </c>
      <c r="R73" s="94">
        <v>497.48</v>
      </c>
      <c r="S73" s="94">
        <v>543.47</v>
      </c>
      <c r="T73" s="94">
        <v>511.19</v>
      </c>
      <c r="U73" s="94">
        <v>442.58</v>
      </c>
    </row>
    <row r="74" spans="1:21">
      <c r="A74" s="91">
        <v>42877</v>
      </c>
      <c r="B74" s="86">
        <v>42877</v>
      </c>
      <c r="C74" s="93">
        <v>1.15803735828518</v>
      </c>
      <c r="D74" s="85" t="s">
        <v>429</v>
      </c>
      <c r="F74" s="91">
        <v>42877</v>
      </c>
      <c r="G74">
        <v>484.14</v>
      </c>
      <c r="H74">
        <v>537.49</v>
      </c>
      <c r="I74" s="94">
        <v>463.32</v>
      </c>
      <c r="J74" s="94">
        <v>502.64</v>
      </c>
      <c r="K74" s="94">
        <v>579.04999999999995</v>
      </c>
      <c r="L74" s="94">
        <v>543.19000000000005</v>
      </c>
      <c r="M74" s="94">
        <v>481.73</v>
      </c>
      <c r="N74" s="94">
        <v>501.71</v>
      </c>
      <c r="O74" s="94">
        <v>502.64</v>
      </c>
      <c r="P74" s="94">
        <v>497.16</v>
      </c>
      <c r="Q74" s="94">
        <v>521.76</v>
      </c>
      <c r="R74" s="94">
        <v>494.17</v>
      </c>
      <c r="S74" s="94">
        <v>539.4</v>
      </c>
      <c r="T74" s="94">
        <v>511</v>
      </c>
      <c r="U74" s="94">
        <v>445.18</v>
      </c>
    </row>
    <row r="75" spans="1:21">
      <c r="A75" s="91">
        <v>42870</v>
      </c>
      <c r="B75" s="86">
        <v>42870</v>
      </c>
      <c r="C75" s="93">
        <v>1.1774679728711401</v>
      </c>
      <c r="D75" s="85" t="s">
        <v>544</v>
      </c>
      <c r="F75" s="91">
        <v>42870</v>
      </c>
      <c r="G75">
        <v>483.31</v>
      </c>
      <c r="H75">
        <v>505.18</v>
      </c>
      <c r="I75" s="94">
        <v>466.02</v>
      </c>
      <c r="J75" s="94">
        <v>501.8</v>
      </c>
      <c r="K75" s="94">
        <v>559.98</v>
      </c>
      <c r="L75" s="94">
        <v>534.32000000000005</v>
      </c>
      <c r="M75" s="94">
        <v>479.78</v>
      </c>
      <c r="N75" s="94">
        <v>504.3</v>
      </c>
      <c r="O75" s="94">
        <v>489.08</v>
      </c>
      <c r="P75" s="94">
        <v>505.29</v>
      </c>
      <c r="Q75" s="94">
        <v>525.08000000000004</v>
      </c>
      <c r="R75" s="94">
        <v>490.86</v>
      </c>
      <c r="S75" s="94">
        <v>535.54</v>
      </c>
      <c r="T75" s="94">
        <v>508.12</v>
      </c>
      <c r="U75" s="94">
        <v>451.96</v>
      </c>
    </row>
    <row r="76" spans="1:21">
      <c r="A76" s="91">
        <v>42863</v>
      </c>
      <c r="B76" s="86">
        <v>42863</v>
      </c>
      <c r="C76" s="93">
        <v>1.18392233469484</v>
      </c>
      <c r="D76" s="85" t="s">
        <v>545</v>
      </c>
      <c r="F76" s="91">
        <v>42863</v>
      </c>
      <c r="G76">
        <v>484.14</v>
      </c>
      <c r="H76">
        <v>550.96</v>
      </c>
      <c r="I76" s="94">
        <v>467.23</v>
      </c>
      <c r="J76" s="94">
        <v>493.4</v>
      </c>
      <c r="K76" s="94">
        <v>560.04</v>
      </c>
      <c r="L76" s="94">
        <v>526.25</v>
      </c>
      <c r="M76" s="94">
        <v>485.92</v>
      </c>
      <c r="N76" s="94">
        <v>518.75</v>
      </c>
      <c r="O76" s="94">
        <v>498.58</v>
      </c>
      <c r="P76" s="94">
        <v>513.41999999999996</v>
      </c>
      <c r="Q76" s="94">
        <v>533.62</v>
      </c>
      <c r="R76" s="94">
        <v>488.39</v>
      </c>
      <c r="S76" s="94">
        <v>547.24</v>
      </c>
      <c r="T76" s="94">
        <v>491.89</v>
      </c>
      <c r="U76" s="94">
        <v>468.81</v>
      </c>
    </row>
    <row r="77" spans="1:21">
      <c r="A77" s="91">
        <v>42856</v>
      </c>
      <c r="B77" s="86">
        <v>42856</v>
      </c>
      <c r="C77" s="93">
        <v>1.18381021154688</v>
      </c>
      <c r="D77" s="85" t="s">
        <v>546</v>
      </c>
      <c r="F77" s="91">
        <v>42856</v>
      </c>
      <c r="G77">
        <v>498.31</v>
      </c>
      <c r="H77">
        <v>534.35</v>
      </c>
      <c r="I77" s="94">
        <v>476.26</v>
      </c>
      <c r="J77" s="94">
        <v>511.89</v>
      </c>
      <c r="K77" s="94">
        <v>592.34</v>
      </c>
      <c r="L77" s="94">
        <v>549.64</v>
      </c>
      <c r="M77" s="94">
        <v>505.67</v>
      </c>
      <c r="N77" s="94">
        <v>533.73</v>
      </c>
      <c r="O77" s="94">
        <v>512.32000000000005</v>
      </c>
      <c r="P77" s="94">
        <v>521.54999999999995</v>
      </c>
      <c r="Q77" s="94">
        <v>546.87</v>
      </c>
      <c r="R77" s="94">
        <v>510.7</v>
      </c>
      <c r="S77" s="94">
        <v>563.02</v>
      </c>
      <c r="T77" s="94">
        <v>504.25</v>
      </c>
      <c r="U77" s="94">
        <v>478.87</v>
      </c>
    </row>
    <row r="78" spans="1:21">
      <c r="A78" s="91">
        <v>42849</v>
      </c>
      <c r="B78" s="86">
        <v>42849</v>
      </c>
      <c r="C78" s="93">
        <v>1.17882824472474</v>
      </c>
      <c r="D78" s="85" t="s">
        <v>547</v>
      </c>
      <c r="F78" s="91">
        <v>42849</v>
      </c>
      <c r="G78">
        <v>506.64</v>
      </c>
      <c r="H78">
        <v>578.4</v>
      </c>
      <c r="I78" s="94">
        <v>478.56</v>
      </c>
      <c r="J78" s="94">
        <v>522.80999999999995</v>
      </c>
      <c r="K78" s="94">
        <v>603.04</v>
      </c>
      <c r="L78" s="94">
        <v>552.05999999999995</v>
      </c>
      <c r="M78" s="94">
        <v>516.12</v>
      </c>
      <c r="N78" s="94">
        <v>517.20000000000005</v>
      </c>
      <c r="O78" s="94">
        <v>537.37</v>
      </c>
      <c r="P78" s="94">
        <v>529.67999999999995</v>
      </c>
      <c r="Q78" s="94">
        <v>549.70000000000005</v>
      </c>
      <c r="R78" s="94">
        <v>537.97</v>
      </c>
      <c r="S78" s="94">
        <v>578</v>
      </c>
      <c r="T78" s="94">
        <v>532.39</v>
      </c>
      <c r="U78" s="94">
        <v>477.51</v>
      </c>
    </row>
    <row r="79" spans="1:21">
      <c r="A79" s="91">
        <v>42835</v>
      </c>
      <c r="B79" s="86">
        <v>42835</v>
      </c>
      <c r="C79" s="93">
        <v>1.17185211226343</v>
      </c>
      <c r="D79" s="85" t="s">
        <v>548</v>
      </c>
      <c r="F79" s="91">
        <v>42835</v>
      </c>
      <c r="G79">
        <v>501.64</v>
      </c>
      <c r="H79">
        <v>515.34</v>
      </c>
      <c r="I79" s="94">
        <v>476.45</v>
      </c>
      <c r="J79" s="94">
        <v>524.49</v>
      </c>
      <c r="K79" s="94">
        <v>608.64</v>
      </c>
      <c r="L79" s="94">
        <v>540.77</v>
      </c>
      <c r="M79" s="94">
        <v>503.52</v>
      </c>
      <c r="N79" s="94">
        <v>517.20000000000005</v>
      </c>
      <c r="O79" s="94">
        <v>520.29</v>
      </c>
      <c r="P79" s="94">
        <v>521.54999999999995</v>
      </c>
      <c r="Q79" s="94">
        <v>532.33000000000004</v>
      </c>
      <c r="R79" s="94">
        <v>526.4</v>
      </c>
      <c r="S79" s="94">
        <v>560.32000000000005</v>
      </c>
      <c r="T79" s="94">
        <v>536.79</v>
      </c>
      <c r="U79" s="94">
        <v>463.68</v>
      </c>
    </row>
    <row r="80" spans="1:21">
      <c r="A80" s="91">
        <v>42828</v>
      </c>
      <c r="B80" s="86">
        <v>42828</v>
      </c>
      <c r="C80" s="93">
        <v>1.1728829462819599</v>
      </c>
      <c r="D80" s="85" t="s">
        <v>549</v>
      </c>
      <c r="F80" s="91">
        <v>42828</v>
      </c>
      <c r="G80">
        <v>477.47</v>
      </c>
      <c r="H80">
        <v>536</v>
      </c>
      <c r="I80" s="94">
        <v>461.31</v>
      </c>
      <c r="J80" s="94">
        <v>507.68</v>
      </c>
      <c r="K80" s="94">
        <v>576.28</v>
      </c>
      <c r="L80" s="94">
        <v>527.87</v>
      </c>
      <c r="M80" s="94">
        <v>486.08</v>
      </c>
      <c r="N80" s="94">
        <v>508.75</v>
      </c>
      <c r="O80" s="94">
        <v>500.88</v>
      </c>
      <c r="P80" s="94">
        <v>521.54999999999995</v>
      </c>
      <c r="Q80" s="94">
        <v>523.29999999999995</v>
      </c>
      <c r="R80" s="94">
        <v>501.61</v>
      </c>
      <c r="S80" s="94">
        <v>543.34</v>
      </c>
      <c r="T80" s="94">
        <v>525.01</v>
      </c>
      <c r="U80" s="94">
        <v>463.16</v>
      </c>
    </row>
    <row r="81" spans="1:21">
      <c r="A81" s="91">
        <v>42821</v>
      </c>
      <c r="B81" s="86">
        <v>42821</v>
      </c>
      <c r="C81" s="93">
        <v>1.1573672210455701</v>
      </c>
      <c r="D81" s="85" t="s">
        <v>550</v>
      </c>
      <c r="F81" s="91">
        <v>42821</v>
      </c>
      <c r="G81">
        <v>459.97</v>
      </c>
      <c r="H81">
        <v>469.23</v>
      </c>
      <c r="I81" s="94">
        <v>464.79</v>
      </c>
      <c r="J81" s="94">
        <v>489.2</v>
      </c>
      <c r="K81" s="94">
        <v>559.91999999999996</v>
      </c>
      <c r="L81" s="94">
        <v>527.87</v>
      </c>
      <c r="M81" s="94">
        <v>484</v>
      </c>
      <c r="N81" s="94">
        <v>512.09</v>
      </c>
      <c r="O81" s="94">
        <v>495.19</v>
      </c>
      <c r="P81" s="94">
        <v>489.03</v>
      </c>
      <c r="Q81" s="94">
        <v>527.44000000000005</v>
      </c>
      <c r="R81" s="94">
        <v>480.12</v>
      </c>
      <c r="S81" s="94">
        <v>540.87</v>
      </c>
      <c r="T81" s="94">
        <v>504.7</v>
      </c>
      <c r="U81" s="94">
        <v>467.66</v>
      </c>
    </row>
    <row r="82" spans="1:21">
      <c r="A82" s="91">
        <v>42814</v>
      </c>
      <c r="B82" s="86">
        <v>42814</v>
      </c>
      <c r="C82" s="93">
        <v>1.15216664938417</v>
      </c>
      <c r="D82" s="85" t="s">
        <v>551</v>
      </c>
      <c r="F82" s="91">
        <v>42814</v>
      </c>
      <c r="G82">
        <v>465.81</v>
      </c>
      <c r="H82">
        <v>489.56</v>
      </c>
      <c r="I82" s="94">
        <v>469.2</v>
      </c>
      <c r="J82" s="94">
        <v>490.04</v>
      </c>
      <c r="K82" s="94">
        <v>560.35</v>
      </c>
      <c r="L82" s="94">
        <v>534.32000000000005</v>
      </c>
      <c r="M82" s="94">
        <v>491.61</v>
      </c>
      <c r="N82" s="94">
        <v>519.48</v>
      </c>
      <c r="O82" s="94">
        <v>495.74</v>
      </c>
      <c r="P82" s="94">
        <v>521.54999999999995</v>
      </c>
      <c r="Q82" s="94">
        <v>533.08000000000004</v>
      </c>
      <c r="R82" s="94">
        <v>491.69</v>
      </c>
      <c r="S82" s="94">
        <v>544.99</v>
      </c>
      <c r="T82" s="94">
        <v>489.45</v>
      </c>
      <c r="U82" s="94">
        <v>474.37</v>
      </c>
    </row>
    <row r="83" spans="1:21">
      <c r="A83" s="91">
        <v>42807</v>
      </c>
      <c r="B83" s="86">
        <v>42807</v>
      </c>
      <c r="C83" s="93">
        <v>1.1460267253432399</v>
      </c>
      <c r="D83" s="85" t="s">
        <v>552</v>
      </c>
      <c r="F83" s="91">
        <v>42807</v>
      </c>
      <c r="G83">
        <v>492.47</v>
      </c>
      <c r="H83">
        <v>521.34</v>
      </c>
      <c r="I83" s="94">
        <v>473.63</v>
      </c>
      <c r="J83" s="94">
        <v>506</v>
      </c>
      <c r="K83" s="94">
        <v>587.29999999999995</v>
      </c>
      <c r="L83" s="94">
        <v>544.79999999999995</v>
      </c>
      <c r="M83" s="94">
        <v>508.48</v>
      </c>
      <c r="N83" s="94">
        <v>531.29</v>
      </c>
      <c r="O83" s="94">
        <v>508.74</v>
      </c>
      <c r="P83" s="94">
        <v>529.67999999999995</v>
      </c>
      <c r="Q83" s="94">
        <v>541.19000000000005</v>
      </c>
      <c r="R83" s="94">
        <v>509.87</v>
      </c>
      <c r="S83" s="94">
        <v>560.91999999999996</v>
      </c>
      <c r="T83" s="94">
        <v>504.2</v>
      </c>
      <c r="U83" s="94">
        <v>480.02</v>
      </c>
    </row>
    <row r="84" spans="1:21">
      <c r="A84" s="91">
        <v>42800</v>
      </c>
      <c r="B84" s="86">
        <v>42800</v>
      </c>
      <c r="C84" s="93">
        <v>1.1587485515643099</v>
      </c>
      <c r="D84" s="85" t="s">
        <v>553</v>
      </c>
      <c r="F84" s="91">
        <v>42800</v>
      </c>
      <c r="G84">
        <v>509.14</v>
      </c>
      <c r="H84">
        <v>534.72</v>
      </c>
      <c r="I84" s="94">
        <v>476.14</v>
      </c>
      <c r="J84" s="94">
        <v>512.73</v>
      </c>
      <c r="K84" s="94">
        <v>603.47</v>
      </c>
      <c r="L84" s="94">
        <v>553.66999999999996</v>
      </c>
      <c r="M84" s="94">
        <v>518.23</v>
      </c>
      <c r="N84" s="94">
        <v>538.12</v>
      </c>
      <c r="O84" s="94">
        <v>533.49</v>
      </c>
      <c r="P84" s="94">
        <v>529.67999999999995</v>
      </c>
      <c r="Q84" s="94">
        <v>546.35</v>
      </c>
      <c r="R84" s="94">
        <v>523.1</v>
      </c>
      <c r="S84" s="94">
        <v>571.34</v>
      </c>
      <c r="T84" s="94">
        <v>527.24</v>
      </c>
      <c r="U84" s="94">
        <v>487.45</v>
      </c>
    </row>
    <row r="85" spans="1:21">
      <c r="A85" s="91">
        <v>42793</v>
      </c>
      <c r="B85" s="86">
        <v>42793</v>
      </c>
      <c r="C85" s="93">
        <v>1.17260787992495</v>
      </c>
      <c r="D85" s="85" t="s">
        <v>554</v>
      </c>
      <c r="F85" s="91">
        <v>42793</v>
      </c>
      <c r="G85">
        <v>516.64</v>
      </c>
      <c r="H85">
        <v>531.41999999999996</v>
      </c>
      <c r="I85" s="94">
        <v>476.05</v>
      </c>
      <c r="J85" s="94">
        <v>525.33000000000004</v>
      </c>
      <c r="K85" s="94">
        <v>592.75</v>
      </c>
      <c r="L85" s="94">
        <v>543.19000000000005</v>
      </c>
      <c r="M85" s="94">
        <v>521.41999999999996</v>
      </c>
      <c r="N85" s="94">
        <v>538.12</v>
      </c>
      <c r="O85" s="94">
        <v>542</v>
      </c>
      <c r="P85" s="94">
        <v>529.67999999999995</v>
      </c>
      <c r="Q85" s="94">
        <v>546.39</v>
      </c>
      <c r="R85" s="94">
        <v>533.84</v>
      </c>
      <c r="S85" s="94">
        <v>574.33000000000004</v>
      </c>
      <c r="T85" s="94">
        <v>540.21</v>
      </c>
      <c r="U85" s="94">
        <v>494.28</v>
      </c>
    </row>
    <row r="86" spans="1:21">
      <c r="A86" s="91">
        <v>42786</v>
      </c>
      <c r="B86" s="86">
        <v>42786</v>
      </c>
      <c r="C86" s="93">
        <v>1.17446708555993</v>
      </c>
      <c r="D86" s="85" t="s">
        <v>555</v>
      </c>
      <c r="F86" s="91">
        <v>42786</v>
      </c>
      <c r="G86">
        <v>511.64</v>
      </c>
      <c r="H86">
        <v>546.87</v>
      </c>
      <c r="I86" s="94">
        <v>475.99</v>
      </c>
      <c r="J86" s="94">
        <v>528.69000000000005</v>
      </c>
      <c r="K86" s="94">
        <v>597.04</v>
      </c>
      <c r="L86" s="94">
        <v>548.03</v>
      </c>
      <c r="M86" s="94">
        <v>523.69000000000005</v>
      </c>
      <c r="N86" s="94">
        <v>537.17999999999995</v>
      </c>
      <c r="O86" s="94">
        <v>541.29</v>
      </c>
      <c r="P86" s="94">
        <v>529.67999999999995</v>
      </c>
      <c r="Q86" s="94">
        <v>546.29999999999995</v>
      </c>
      <c r="R86" s="94">
        <v>533.84</v>
      </c>
      <c r="S86" s="94">
        <v>575.54999999999995</v>
      </c>
      <c r="T86" s="94">
        <v>537.72</v>
      </c>
      <c r="U86" s="94">
        <v>495.81</v>
      </c>
    </row>
    <row r="87" spans="1:21">
      <c r="A87" s="91">
        <v>42779</v>
      </c>
      <c r="B87" s="86">
        <v>42779</v>
      </c>
      <c r="C87" s="93">
        <v>1.1779950524207798</v>
      </c>
      <c r="D87" s="85" t="s">
        <v>477</v>
      </c>
      <c r="F87" s="91">
        <v>42779</v>
      </c>
      <c r="G87">
        <v>502.47</v>
      </c>
      <c r="H87">
        <v>497.37</v>
      </c>
      <c r="I87" s="94">
        <v>474.83</v>
      </c>
      <c r="J87" s="94">
        <v>529.53</v>
      </c>
      <c r="K87" s="94">
        <v>596.83000000000004</v>
      </c>
      <c r="L87" s="94">
        <v>560.12</v>
      </c>
      <c r="M87" s="94">
        <v>518.36</v>
      </c>
      <c r="N87" s="94">
        <v>534.92999999999995</v>
      </c>
      <c r="O87" s="94">
        <v>528.63</v>
      </c>
      <c r="P87" s="94">
        <v>513.41999999999996</v>
      </c>
      <c r="Q87" s="94">
        <v>541.72</v>
      </c>
      <c r="R87" s="94">
        <v>529.71</v>
      </c>
      <c r="S87" s="94">
        <v>569.83000000000004</v>
      </c>
      <c r="T87" s="94">
        <v>544.84</v>
      </c>
      <c r="U87" s="94">
        <v>496.84</v>
      </c>
    </row>
    <row r="88" spans="1:21">
      <c r="A88" s="91">
        <v>42772</v>
      </c>
      <c r="B88" s="86">
        <v>42772</v>
      </c>
      <c r="C88" s="93">
        <v>1.1634671320535199</v>
      </c>
      <c r="D88" s="85" t="s">
        <v>556</v>
      </c>
      <c r="F88" s="91">
        <v>42772</v>
      </c>
      <c r="G88">
        <v>498.31</v>
      </c>
      <c r="H88">
        <v>514.05999999999995</v>
      </c>
      <c r="I88" s="94">
        <v>475.01</v>
      </c>
      <c r="J88" s="94">
        <v>523.65</v>
      </c>
      <c r="K88" s="94">
        <v>596.73</v>
      </c>
      <c r="L88" s="94">
        <v>530.28</v>
      </c>
      <c r="M88" s="94">
        <v>517.77</v>
      </c>
      <c r="N88" s="94">
        <v>534.16</v>
      </c>
      <c r="O88" s="94">
        <v>526.59</v>
      </c>
      <c r="P88" s="94">
        <v>529.67999999999995</v>
      </c>
      <c r="Q88" s="94">
        <v>538.80999999999995</v>
      </c>
      <c r="R88" s="94">
        <v>526.4</v>
      </c>
      <c r="S88" s="94">
        <v>568.15</v>
      </c>
      <c r="T88" s="94">
        <v>532.91</v>
      </c>
      <c r="U88" s="94">
        <v>490.95</v>
      </c>
    </row>
    <row r="89" spans="1:21">
      <c r="A89" s="91">
        <v>42765</v>
      </c>
      <c r="B89" s="86">
        <v>42765</v>
      </c>
      <c r="C89" s="93">
        <v>1.1773709307117199</v>
      </c>
      <c r="D89" s="85" t="s">
        <v>480</v>
      </c>
      <c r="F89" s="91">
        <v>42765</v>
      </c>
      <c r="G89">
        <v>491.64</v>
      </c>
      <c r="H89">
        <v>541.75</v>
      </c>
      <c r="I89" s="94">
        <v>474.5</v>
      </c>
      <c r="J89" s="94">
        <v>519.45000000000005</v>
      </c>
      <c r="K89" s="94">
        <v>596.71</v>
      </c>
      <c r="L89" s="94">
        <v>535.92999999999995</v>
      </c>
      <c r="M89" s="94">
        <v>517.91999999999996</v>
      </c>
      <c r="N89" s="94">
        <v>535.78</v>
      </c>
      <c r="O89" s="94">
        <v>523.67999999999995</v>
      </c>
      <c r="P89" s="94">
        <v>505.29</v>
      </c>
      <c r="Q89" s="94">
        <v>536.96</v>
      </c>
      <c r="R89" s="94">
        <v>518.96</v>
      </c>
      <c r="S89" s="94">
        <v>566.62</v>
      </c>
      <c r="T89" s="94">
        <v>527.67999999999995</v>
      </c>
      <c r="U89" s="94">
        <v>495.19</v>
      </c>
    </row>
    <row r="90" spans="1:21">
      <c r="A90" s="91">
        <v>42758</v>
      </c>
      <c r="B90" s="86">
        <v>42758</v>
      </c>
      <c r="C90" s="93">
        <v>1.16079305381437</v>
      </c>
      <c r="D90" s="85" t="s">
        <v>409</v>
      </c>
      <c r="F90" s="91">
        <v>42758</v>
      </c>
      <c r="G90">
        <v>497.47</v>
      </c>
      <c r="H90">
        <v>526.79</v>
      </c>
      <c r="I90" s="94">
        <v>473.44</v>
      </c>
      <c r="J90" s="94">
        <v>516.09</v>
      </c>
      <c r="K90" s="94">
        <v>586.04999999999995</v>
      </c>
      <c r="L90" s="94">
        <v>545.61</v>
      </c>
      <c r="M90" s="94">
        <v>517.28</v>
      </c>
      <c r="N90" s="94">
        <v>537.34</v>
      </c>
      <c r="O90" s="94">
        <v>525.76</v>
      </c>
      <c r="P90" s="94">
        <v>505.29</v>
      </c>
      <c r="Q90" s="94">
        <v>537.79</v>
      </c>
      <c r="R90" s="94">
        <v>518.14</v>
      </c>
      <c r="S90" s="94">
        <v>565.20000000000005</v>
      </c>
      <c r="T90" s="94">
        <v>524.42999999999995</v>
      </c>
      <c r="U90" s="94">
        <v>482.59</v>
      </c>
    </row>
    <row r="91" spans="1:21">
      <c r="A91" s="91">
        <v>42751</v>
      </c>
      <c r="B91" s="86">
        <v>42751</v>
      </c>
      <c r="C91" s="93">
        <v>1.1388483965014597</v>
      </c>
      <c r="D91" s="85" t="s">
        <v>557</v>
      </c>
      <c r="F91" s="91">
        <v>42751</v>
      </c>
      <c r="G91">
        <v>499.97</v>
      </c>
      <c r="H91">
        <v>505.8</v>
      </c>
      <c r="I91" s="94">
        <v>472.5</v>
      </c>
      <c r="J91" s="94">
        <v>520.29</v>
      </c>
      <c r="K91" s="94">
        <v>586.05999999999995</v>
      </c>
      <c r="L91" s="94">
        <v>548.03</v>
      </c>
      <c r="M91" s="94">
        <v>515.85</v>
      </c>
      <c r="N91" s="94">
        <v>537.44000000000005</v>
      </c>
      <c r="O91" s="94">
        <v>524.71</v>
      </c>
      <c r="P91" s="94">
        <v>505.29</v>
      </c>
      <c r="Q91" s="94">
        <v>540.03</v>
      </c>
      <c r="R91" s="94">
        <v>513.17999999999995</v>
      </c>
      <c r="S91" s="94">
        <v>564.97</v>
      </c>
      <c r="T91" s="94">
        <v>540.25</v>
      </c>
      <c r="U91" s="94">
        <v>465.93</v>
      </c>
    </row>
    <row r="92" spans="1:21">
      <c r="A92" s="91">
        <v>42744</v>
      </c>
      <c r="B92" s="86">
        <v>42744</v>
      </c>
      <c r="C92" s="93">
        <v>1.15393491807062</v>
      </c>
      <c r="D92" s="85" t="s">
        <v>501</v>
      </c>
      <c r="F92" s="91">
        <v>42744</v>
      </c>
      <c r="G92">
        <v>501.64</v>
      </c>
      <c r="H92">
        <v>529.02</v>
      </c>
      <c r="I92" s="94">
        <v>468.86</v>
      </c>
      <c r="J92" s="94">
        <v>524.49</v>
      </c>
      <c r="K92" s="94">
        <v>586.23</v>
      </c>
      <c r="L92" s="94">
        <v>561.74</v>
      </c>
      <c r="M92" s="94">
        <v>518.01</v>
      </c>
      <c r="N92" s="94">
        <v>534.84</v>
      </c>
      <c r="O92" s="94">
        <v>533.54</v>
      </c>
      <c r="P92" s="94">
        <v>513.41999999999996</v>
      </c>
      <c r="Q92" s="94">
        <v>542.12</v>
      </c>
      <c r="R92" s="94">
        <v>519.79</v>
      </c>
      <c r="S92" s="94">
        <v>569.09</v>
      </c>
      <c r="T92" s="94">
        <v>536.28</v>
      </c>
      <c r="U92" s="94">
        <v>465.79</v>
      </c>
    </row>
    <row r="93" spans="1:21" ht="15.75" thickBot="1">
      <c r="A93" s="92">
        <v>42737</v>
      </c>
      <c r="B93" s="86">
        <v>42737</v>
      </c>
      <c r="C93" s="93">
        <v>1.1745360582569899</v>
      </c>
      <c r="D93" s="85" t="s">
        <v>558</v>
      </c>
      <c r="F93" s="92">
        <v>42737</v>
      </c>
      <c r="G93">
        <v>501.64</v>
      </c>
      <c r="H93">
        <v>496.86</v>
      </c>
      <c r="I93" s="94">
        <v>458.46</v>
      </c>
      <c r="J93" s="94">
        <v>526.16999999999996</v>
      </c>
      <c r="K93" s="94">
        <v>589.38</v>
      </c>
      <c r="L93" s="94">
        <v>547.22</v>
      </c>
      <c r="M93" s="94">
        <v>513.24</v>
      </c>
      <c r="N93" s="94">
        <v>525.94000000000005</v>
      </c>
      <c r="O93" s="94">
        <v>525.21</v>
      </c>
      <c r="P93" s="94">
        <v>489.03</v>
      </c>
      <c r="Q93" s="94">
        <v>530.22</v>
      </c>
      <c r="R93" s="94">
        <v>512.35</v>
      </c>
      <c r="S93" s="94">
        <v>560.66999999999996</v>
      </c>
      <c r="T93" s="94">
        <v>531.44000000000005</v>
      </c>
      <c r="U93" s="94">
        <v>464.53</v>
      </c>
    </row>
    <row r="94" spans="1:21">
      <c r="A94" s="91">
        <v>42723</v>
      </c>
      <c r="B94" s="86">
        <v>42723</v>
      </c>
      <c r="C94" s="93">
        <v>1.1884953648680798</v>
      </c>
      <c r="D94" s="85" t="s">
        <v>559</v>
      </c>
      <c r="F94" s="91">
        <v>42723</v>
      </c>
      <c r="G94">
        <v>482.47</v>
      </c>
      <c r="H94">
        <v>488.07</v>
      </c>
      <c r="I94" s="94">
        <v>445.95</v>
      </c>
      <c r="J94" s="94">
        <v>505.16</v>
      </c>
      <c r="K94" s="94">
        <v>568.04</v>
      </c>
      <c r="L94" s="94">
        <v>506.9</v>
      </c>
      <c r="M94" s="94">
        <v>489.58</v>
      </c>
      <c r="N94" s="94">
        <v>501.63</v>
      </c>
      <c r="O94" s="94">
        <v>503.06</v>
      </c>
      <c r="P94" s="94">
        <v>472.77</v>
      </c>
      <c r="Q94" s="94">
        <v>508.39</v>
      </c>
      <c r="R94" s="94">
        <v>508.88</v>
      </c>
      <c r="S94" s="94">
        <v>543.04999999999995</v>
      </c>
      <c r="T94" s="94">
        <v>497.67</v>
      </c>
      <c r="U94" s="94">
        <v>450.24</v>
      </c>
    </row>
    <row r="95" spans="1:21">
      <c r="A95" s="91">
        <v>42716</v>
      </c>
      <c r="B95" s="86">
        <v>42716</v>
      </c>
      <c r="C95" s="93">
        <v>1.1918951132300399</v>
      </c>
      <c r="D95" s="85" t="s">
        <v>560</v>
      </c>
      <c r="F95" s="91">
        <v>42716</v>
      </c>
      <c r="G95">
        <v>473.31</v>
      </c>
      <c r="H95">
        <v>474.85</v>
      </c>
      <c r="I95" s="94">
        <v>438.09</v>
      </c>
      <c r="J95" s="94">
        <v>492.56</v>
      </c>
      <c r="K95" s="94">
        <v>546.32000000000005</v>
      </c>
      <c r="L95" s="94">
        <v>496.41</v>
      </c>
      <c r="M95" s="94">
        <v>479.72</v>
      </c>
      <c r="N95" s="94">
        <v>490.62</v>
      </c>
      <c r="O95" s="94">
        <v>492</v>
      </c>
      <c r="P95" s="94">
        <v>464.64</v>
      </c>
      <c r="Q95" s="94">
        <v>500.57</v>
      </c>
      <c r="R95" s="94">
        <v>497.31</v>
      </c>
      <c r="S95" s="94">
        <v>532.29</v>
      </c>
      <c r="T95" s="94">
        <v>479.61</v>
      </c>
      <c r="U95" s="94">
        <v>443.85</v>
      </c>
    </row>
    <row r="96" spans="1:21">
      <c r="A96" s="91">
        <v>42709</v>
      </c>
      <c r="B96" s="86">
        <v>42709</v>
      </c>
      <c r="C96" s="93">
        <v>1.1880999904952001</v>
      </c>
      <c r="D96" s="85" t="s">
        <v>561</v>
      </c>
      <c r="F96" s="91">
        <v>42709</v>
      </c>
      <c r="G96">
        <v>468.31</v>
      </c>
      <c r="H96">
        <v>442.28</v>
      </c>
      <c r="I96" s="94">
        <v>429.35</v>
      </c>
      <c r="J96" s="94">
        <v>486.68</v>
      </c>
      <c r="K96" s="94">
        <v>556.88</v>
      </c>
      <c r="L96" s="94">
        <v>474.64</v>
      </c>
      <c r="M96" s="94">
        <v>457.42</v>
      </c>
      <c r="N96" s="94">
        <v>476.36</v>
      </c>
      <c r="O96" s="94">
        <v>464.33</v>
      </c>
      <c r="P96" s="94">
        <v>464.64</v>
      </c>
      <c r="Q96" s="94">
        <v>483.57</v>
      </c>
      <c r="R96" s="94">
        <v>489.04</v>
      </c>
      <c r="S96" s="94">
        <v>516.77</v>
      </c>
      <c r="T96" s="94">
        <v>477.56</v>
      </c>
      <c r="U96" s="94">
        <v>436.86</v>
      </c>
    </row>
    <row r="97" spans="1:21">
      <c r="A97" s="91">
        <v>42702</v>
      </c>
      <c r="B97" s="86">
        <v>42702</v>
      </c>
      <c r="C97" s="93">
        <v>1.17229171306988</v>
      </c>
      <c r="D97" s="85" t="s">
        <v>562</v>
      </c>
      <c r="F97" s="91">
        <v>42702</v>
      </c>
      <c r="G97">
        <v>447.47</v>
      </c>
      <c r="H97">
        <v>443.94</v>
      </c>
      <c r="I97" s="94">
        <v>424.21</v>
      </c>
      <c r="J97" s="94">
        <v>466.51</v>
      </c>
      <c r="K97" s="94">
        <v>522.52</v>
      </c>
      <c r="L97" s="94">
        <v>473.83</v>
      </c>
      <c r="M97" s="94">
        <v>452.98</v>
      </c>
      <c r="N97" s="94">
        <v>470.74</v>
      </c>
      <c r="O97" s="94">
        <v>461.91</v>
      </c>
      <c r="P97" s="94">
        <v>448.38</v>
      </c>
      <c r="Q97" s="94">
        <v>474.99</v>
      </c>
      <c r="R97" s="94">
        <v>472.51</v>
      </c>
      <c r="S97" s="94">
        <v>508.61</v>
      </c>
      <c r="T97" s="94">
        <v>451.46</v>
      </c>
      <c r="U97" s="94">
        <v>431.6</v>
      </c>
    </row>
    <row r="98" spans="1:21">
      <c r="A98" s="91">
        <v>42695</v>
      </c>
      <c r="B98" s="86">
        <v>42695</v>
      </c>
      <c r="C98" s="93">
        <v>1.1665208515602199</v>
      </c>
      <c r="D98" s="85" t="s">
        <v>563</v>
      </c>
      <c r="F98" s="91">
        <v>42695</v>
      </c>
      <c r="G98">
        <v>438.31</v>
      </c>
      <c r="H98">
        <v>437.9</v>
      </c>
      <c r="I98" s="94">
        <v>421.5</v>
      </c>
      <c r="J98" s="94">
        <v>453.06</v>
      </c>
      <c r="K98" s="94">
        <v>511.63</v>
      </c>
      <c r="L98" s="94">
        <v>468.99</v>
      </c>
      <c r="M98" s="94">
        <v>443.65</v>
      </c>
      <c r="N98" s="94">
        <v>463.93</v>
      </c>
      <c r="O98" s="94">
        <v>441.05</v>
      </c>
      <c r="P98" s="94">
        <v>448.38</v>
      </c>
      <c r="Q98" s="94">
        <v>467.02</v>
      </c>
      <c r="R98" s="94">
        <v>455.98</v>
      </c>
      <c r="S98" s="94">
        <v>495.6</v>
      </c>
      <c r="T98" s="94">
        <v>437.8</v>
      </c>
      <c r="U98" s="94">
        <v>439.06</v>
      </c>
    </row>
    <row r="99" spans="1:21">
      <c r="A99" s="91">
        <v>42688</v>
      </c>
      <c r="B99" s="86">
        <v>42688</v>
      </c>
      <c r="C99" s="93">
        <v>1.16299354538582</v>
      </c>
      <c r="D99" s="85" t="s">
        <v>564</v>
      </c>
      <c r="F99" s="91">
        <v>42688</v>
      </c>
      <c r="G99">
        <v>437.47</v>
      </c>
      <c r="H99">
        <v>435.59</v>
      </c>
      <c r="I99" s="94">
        <v>424.22</v>
      </c>
      <c r="J99" s="94">
        <v>452.22</v>
      </c>
      <c r="K99" s="94">
        <v>502.92</v>
      </c>
      <c r="L99" s="94">
        <v>468.19</v>
      </c>
      <c r="M99" s="94">
        <v>448.07</v>
      </c>
      <c r="N99" s="94">
        <v>470.51</v>
      </c>
      <c r="O99" s="94">
        <v>447.25</v>
      </c>
      <c r="P99" s="94">
        <v>448.38</v>
      </c>
      <c r="Q99" s="94">
        <v>479.71</v>
      </c>
      <c r="R99" s="94">
        <v>456.81</v>
      </c>
      <c r="S99" s="94">
        <v>498.44</v>
      </c>
      <c r="T99" s="94">
        <v>430.11</v>
      </c>
      <c r="U99" s="94">
        <v>455.14</v>
      </c>
    </row>
    <row r="100" spans="1:21">
      <c r="A100" s="91">
        <v>42681</v>
      </c>
      <c r="B100" s="86">
        <v>42681</v>
      </c>
      <c r="C100" s="93">
        <v>1.1230907457322599</v>
      </c>
      <c r="D100" s="85" t="s">
        <v>565</v>
      </c>
      <c r="F100" s="91">
        <v>42681</v>
      </c>
      <c r="G100">
        <v>454.14</v>
      </c>
      <c r="H100">
        <v>461.79</v>
      </c>
      <c r="I100" s="94">
        <v>428.4</v>
      </c>
      <c r="J100" s="94">
        <v>460.63</v>
      </c>
      <c r="K100" s="94">
        <v>509.49</v>
      </c>
      <c r="L100" s="94">
        <v>493.19</v>
      </c>
      <c r="M100" s="94">
        <v>461.73</v>
      </c>
      <c r="N100" s="94">
        <v>481.56</v>
      </c>
      <c r="O100" s="94">
        <v>481.26</v>
      </c>
      <c r="P100" s="94">
        <v>456.51</v>
      </c>
      <c r="Q100" s="94">
        <v>490.53</v>
      </c>
      <c r="R100" s="94">
        <v>468.38</v>
      </c>
      <c r="S100" s="94">
        <v>512.96</v>
      </c>
      <c r="T100" s="94">
        <v>432.56</v>
      </c>
      <c r="U100" s="94">
        <v>440.05</v>
      </c>
    </row>
    <row r="101" spans="1:21">
      <c r="A101" s="91">
        <v>42674</v>
      </c>
      <c r="B101" s="86">
        <v>42674</v>
      </c>
      <c r="C101" s="93">
        <v>1.1104941699056099</v>
      </c>
      <c r="D101" s="85" t="s">
        <v>566</v>
      </c>
      <c r="F101" s="91">
        <v>42674</v>
      </c>
      <c r="G101">
        <v>462.47</v>
      </c>
      <c r="H101">
        <v>467.51</v>
      </c>
      <c r="I101" s="94">
        <v>430.06</v>
      </c>
      <c r="J101" s="94">
        <v>461.47</v>
      </c>
      <c r="K101" s="94">
        <v>532.16999999999996</v>
      </c>
      <c r="L101" s="94">
        <v>498.03</v>
      </c>
      <c r="M101" s="94">
        <v>468.5</v>
      </c>
      <c r="N101" s="94">
        <v>483.64</v>
      </c>
      <c r="O101" s="94">
        <v>483.84</v>
      </c>
      <c r="P101" s="94">
        <v>464.64</v>
      </c>
      <c r="Q101" s="94">
        <v>496.86</v>
      </c>
      <c r="R101" s="94">
        <v>485.74</v>
      </c>
      <c r="S101" s="94">
        <v>521.41</v>
      </c>
      <c r="T101" s="94">
        <v>451.05</v>
      </c>
      <c r="U101" s="94">
        <v>430.15</v>
      </c>
    </row>
    <row r="102" spans="1:21">
      <c r="A102" s="91">
        <v>42667</v>
      </c>
      <c r="B102" s="86">
        <v>42667</v>
      </c>
      <c r="C102" s="93">
        <v>1.1234061674998599</v>
      </c>
      <c r="D102" s="85" t="s">
        <v>567</v>
      </c>
      <c r="F102" s="91">
        <v>42667</v>
      </c>
      <c r="G102">
        <v>468.31</v>
      </c>
      <c r="H102">
        <v>467.82</v>
      </c>
      <c r="I102" s="94">
        <v>428.76</v>
      </c>
      <c r="J102" s="94">
        <v>463.99</v>
      </c>
      <c r="K102" s="94">
        <v>542.91999999999996</v>
      </c>
      <c r="L102" s="94">
        <v>498.83</v>
      </c>
      <c r="M102" s="94">
        <v>467.59</v>
      </c>
      <c r="N102" s="94">
        <v>481.15</v>
      </c>
      <c r="O102" s="94">
        <v>474.65</v>
      </c>
      <c r="P102" s="94">
        <v>448.38</v>
      </c>
      <c r="Q102" s="94">
        <v>490.62</v>
      </c>
      <c r="R102" s="94">
        <v>481.6</v>
      </c>
      <c r="S102" s="94">
        <v>520.94000000000005</v>
      </c>
      <c r="T102" s="94">
        <v>464.26</v>
      </c>
      <c r="U102" s="94">
        <v>427.44</v>
      </c>
    </row>
    <row r="103" spans="1:21">
      <c r="A103" s="91">
        <v>42660</v>
      </c>
      <c r="B103" s="86">
        <v>42660</v>
      </c>
      <c r="C103" s="93">
        <v>1.1051555506437498</v>
      </c>
      <c r="D103" s="85" t="s">
        <v>428</v>
      </c>
      <c r="F103" s="91">
        <v>42660</v>
      </c>
      <c r="G103">
        <v>470.81</v>
      </c>
      <c r="H103">
        <v>498.07</v>
      </c>
      <c r="I103" s="94">
        <v>424.8</v>
      </c>
      <c r="J103" s="94">
        <v>463.15</v>
      </c>
      <c r="K103" s="94">
        <v>542.88</v>
      </c>
      <c r="L103" s="94">
        <v>495.61</v>
      </c>
      <c r="M103" s="94">
        <v>465.19</v>
      </c>
      <c r="N103" s="94">
        <v>477.99</v>
      </c>
      <c r="O103" s="94">
        <v>477.54</v>
      </c>
      <c r="P103" s="94">
        <v>448.38</v>
      </c>
      <c r="Q103" s="94">
        <v>487.07</v>
      </c>
      <c r="R103" s="94">
        <v>481.6</v>
      </c>
      <c r="S103" s="94">
        <v>518.35</v>
      </c>
      <c r="T103" s="94">
        <v>468.9</v>
      </c>
      <c r="U103" s="94">
        <v>406.89</v>
      </c>
    </row>
    <row r="104" spans="1:21">
      <c r="A104" s="91">
        <v>42653</v>
      </c>
      <c r="B104" s="86">
        <v>42653</v>
      </c>
      <c r="C104" s="93">
        <v>1.1102475852114999</v>
      </c>
      <c r="D104" s="85" t="s">
        <v>568</v>
      </c>
      <c r="F104" s="91">
        <v>42653</v>
      </c>
      <c r="G104">
        <v>458.31</v>
      </c>
      <c r="H104">
        <v>436.99</v>
      </c>
      <c r="I104" s="94">
        <v>416.53</v>
      </c>
      <c r="J104" s="94">
        <v>479.95</v>
      </c>
      <c r="K104" s="94">
        <v>538.51</v>
      </c>
      <c r="L104" s="94">
        <v>478.67</v>
      </c>
      <c r="M104" s="94">
        <v>453.02</v>
      </c>
      <c r="N104" s="94">
        <v>467.56</v>
      </c>
      <c r="O104" s="94">
        <v>473.67</v>
      </c>
      <c r="P104" s="94">
        <v>448.38</v>
      </c>
      <c r="Q104" s="94">
        <v>477.53</v>
      </c>
      <c r="R104" s="94">
        <v>474.17</v>
      </c>
      <c r="S104" s="94">
        <v>512.23</v>
      </c>
      <c r="T104" s="94">
        <v>454.41</v>
      </c>
      <c r="U104" s="94">
        <v>396.08</v>
      </c>
    </row>
    <row r="105" spans="1:21">
      <c r="A105" s="91">
        <v>42646</v>
      </c>
      <c r="B105" s="86">
        <v>42646</v>
      </c>
      <c r="C105" s="93">
        <v>1.1452392404773399</v>
      </c>
      <c r="D105" s="85" t="s">
        <v>569</v>
      </c>
      <c r="F105" s="91">
        <v>42646</v>
      </c>
      <c r="G105">
        <v>444.14</v>
      </c>
      <c r="H105">
        <v>436.99</v>
      </c>
      <c r="I105" s="94">
        <v>413.87</v>
      </c>
      <c r="J105" s="94">
        <v>468.19</v>
      </c>
      <c r="K105" s="94">
        <v>520.92999999999995</v>
      </c>
      <c r="L105" s="94">
        <v>465.77</v>
      </c>
      <c r="M105" s="94">
        <v>435.33</v>
      </c>
      <c r="N105" s="94">
        <v>459.95</v>
      </c>
      <c r="O105" s="94">
        <v>458.73</v>
      </c>
      <c r="P105" s="94">
        <v>432.12</v>
      </c>
      <c r="Q105" s="94">
        <v>465.35</v>
      </c>
      <c r="R105" s="94">
        <v>452.68</v>
      </c>
      <c r="S105" s="94">
        <v>496.62</v>
      </c>
      <c r="T105" s="94">
        <v>457.67</v>
      </c>
      <c r="U105" s="94">
        <v>401.89</v>
      </c>
    </row>
    <row r="106" spans="1:21">
      <c r="A106" s="91">
        <v>42639</v>
      </c>
      <c r="B106" s="86">
        <v>42639</v>
      </c>
      <c r="C106" s="93">
        <v>1.1482374555057999</v>
      </c>
      <c r="D106" s="85" t="s">
        <v>570</v>
      </c>
      <c r="F106" s="91">
        <v>42639</v>
      </c>
      <c r="G106">
        <v>440.81</v>
      </c>
      <c r="H106">
        <v>439.31</v>
      </c>
      <c r="I106" s="94">
        <v>412.95</v>
      </c>
      <c r="J106" s="94">
        <v>458.95</v>
      </c>
      <c r="K106" s="94">
        <v>509.67</v>
      </c>
      <c r="L106" s="94">
        <v>460.93</v>
      </c>
      <c r="M106" s="94">
        <v>430.17</v>
      </c>
      <c r="N106" s="94">
        <v>462.48</v>
      </c>
      <c r="O106" s="94">
        <v>461.45</v>
      </c>
      <c r="P106" s="94">
        <v>440.25</v>
      </c>
      <c r="Q106" s="94">
        <v>461.68</v>
      </c>
      <c r="R106" s="94">
        <v>452.68</v>
      </c>
      <c r="S106" s="94">
        <v>493.78</v>
      </c>
      <c r="T106" s="94">
        <v>443.57</v>
      </c>
      <c r="U106" s="94">
        <v>400.18</v>
      </c>
    </row>
    <row r="107" spans="1:21">
      <c r="A107" s="91">
        <v>42632</v>
      </c>
      <c r="B107" s="86">
        <v>42632</v>
      </c>
      <c r="C107" s="93">
        <v>1.16959064327485</v>
      </c>
      <c r="D107" s="85" t="s">
        <v>571</v>
      </c>
      <c r="F107" s="91">
        <v>42632</v>
      </c>
      <c r="G107">
        <v>436.64</v>
      </c>
      <c r="H107">
        <v>434.6</v>
      </c>
      <c r="I107" s="94">
        <v>413.32</v>
      </c>
      <c r="J107" s="94">
        <v>457.26</v>
      </c>
      <c r="K107" s="94">
        <v>501.32</v>
      </c>
      <c r="L107" s="94">
        <v>463.35</v>
      </c>
      <c r="M107" s="94">
        <v>435.06</v>
      </c>
      <c r="N107" s="94">
        <v>461.59</v>
      </c>
      <c r="O107" s="94">
        <v>464.93</v>
      </c>
      <c r="P107" s="94">
        <v>440.25</v>
      </c>
      <c r="Q107" s="94">
        <v>461.7</v>
      </c>
      <c r="R107" s="94">
        <v>458.46</v>
      </c>
      <c r="S107" s="94">
        <v>495.03</v>
      </c>
      <c r="T107" s="94">
        <v>442.44</v>
      </c>
      <c r="U107" s="94">
        <v>406.88</v>
      </c>
    </row>
    <row r="108" spans="1:21">
      <c r="A108" s="91">
        <v>42625</v>
      </c>
      <c r="B108" s="86">
        <v>42625</v>
      </c>
      <c r="C108" s="93">
        <v>1.18378218407813</v>
      </c>
      <c r="D108" s="85" t="s">
        <v>572</v>
      </c>
      <c r="F108" s="91">
        <v>42625</v>
      </c>
      <c r="G108">
        <v>439.14</v>
      </c>
      <c r="H108">
        <v>427.16</v>
      </c>
      <c r="I108" s="94">
        <v>413.03</v>
      </c>
      <c r="J108" s="94">
        <v>465.67</v>
      </c>
      <c r="K108" s="94">
        <v>521.13</v>
      </c>
      <c r="L108" s="94">
        <v>453.67</v>
      </c>
      <c r="M108" s="94">
        <v>428.04</v>
      </c>
      <c r="N108" s="94">
        <v>460.79</v>
      </c>
      <c r="O108" s="94">
        <v>449.34</v>
      </c>
      <c r="P108" s="94">
        <v>432.12</v>
      </c>
      <c r="Q108" s="94">
        <v>461.76</v>
      </c>
      <c r="R108" s="94">
        <v>463.42</v>
      </c>
      <c r="S108" s="94">
        <v>492.46</v>
      </c>
      <c r="T108" s="94">
        <v>452.2</v>
      </c>
      <c r="U108" s="94">
        <v>412.09</v>
      </c>
    </row>
    <row r="109" spans="1:21">
      <c r="A109" s="91">
        <v>42618</v>
      </c>
      <c r="B109" s="86">
        <v>42618</v>
      </c>
      <c r="C109" s="93">
        <v>1.1955573090396099</v>
      </c>
      <c r="D109" s="85" t="s">
        <v>573</v>
      </c>
      <c r="F109" s="91">
        <v>42618</v>
      </c>
      <c r="G109">
        <v>434.97</v>
      </c>
      <c r="H109">
        <v>447.49</v>
      </c>
      <c r="I109" s="94">
        <v>413.65</v>
      </c>
      <c r="J109" s="94">
        <v>429.53</v>
      </c>
      <c r="K109" s="94">
        <v>499.82</v>
      </c>
      <c r="L109" s="94">
        <v>468.19</v>
      </c>
      <c r="M109" s="94">
        <v>424.44</v>
      </c>
      <c r="N109" s="94">
        <v>462.36</v>
      </c>
      <c r="O109" s="94">
        <v>463.65</v>
      </c>
      <c r="P109" s="94">
        <v>448.38</v>
      </c>
      <c r="Q109" s="94">
        <v>465.67</v>
      </c>
      <c r="R109" s="94">
        <v>453.5</v>
      </c>
      <c r="S109" s="94">
        <v>495.52</v>
      </c>
      <c r="T109" s="94">
        <v>427.99</v>
      </c>
      <c r="U109" s="94">
        <v>412.78</v>
      </c>
    </row>
    <row r="110" spans="1:21">
      <c r="A110" s="91">
        <v>42611</v>
      </c>
      <c r="B110" s="86">
        <v>42611</v>
      </c>
      <c r="C110" s="93">
        <v>1.16991904160232</v>
      </c>
      <c r="D110" s="85" t="s">
        <v>574</v>
      </c>
      <c r="F110" s="91">
        <v>42611</v>
      </c>
      <c r="G110">
        <v>429.97</v>
      </c>
      <c r="H110">
        <v>435.59</v>
      </c>
      <c r="I110" s="94">
        <v>410.93</v>
      </c>
      <c r="J110" s="94">
        <v>457.26</v>
      </c>
      <c r="K110" s="94">
        <v>512.41999999999996</v>
      </c>
      <c r="L110" s="94">
        <v>452.06</v>
      </c>
      <c r="M110" s="94">
        <v>432.61</v>
      </c>
      <c r="N110" s="94">
        <v>457.32</v>
      </c>
      <c r="O110" s="94">
        <v>460.25</v>
      </c>
      <c r="P110" s="94">
        <v>448.38</v>
      </c>
      <c r="Q110" s="94">
        <v>464.03</v>
      </c>
      <c r="R110" s="94">
        <v>450.2</v>
      </c>
      <c r="S110" s="94">
        <v>493.98</v>
      </c>
      <c r="T110" s="94">
        <v>452.75</v>
      </c>
      <c r="U110" s="94">
        <v>398.67</v>
      </c>
    </row>
    <row r="111" spans="1:21">
      <c r="A111" s="91">
        <v>42604</v>
      </c>
      <c r="B111" s="86">
        <v>42604</v>
      </c>
      <c r="C111" s="93">
        <v>1.1595547309832999</v>
      </c>
      <c r="D111" s="85" t="s">
        <v>575</v>
      </c>
      <c r="F111" s="91">
        <v>42604</v>
      </c>
      <c r="G111">
        <v>434.97</v>
      </c>
      <c r="H111">
        <v>400.3</v>
      </c>
      <c r="I111" s="94">
        <v>408.78</v>
      </c>
      <c r="J111" s="94">
        <v>453.9</v>
      </c>
      <c r="K111" s="94">
        <v>510.47</v>
      </c>
      <c r="L111" s="94">
        <v>452.06</v>
      </c>
      <c r="M111" s="94">
        <v>423.31</v>
      </c>
      <c r="N111" s="94">
        <v>447.04</v>
      </c>
      <c r="O111" s="94">
        <v>446.29</v>
      </c>
      <c r="P111" s="94">
        <v>448.38</v>
      </c>
      <c r="Q111" s="94">
        <v>453.03</v>
      </c>
      <c r="R111" s="94">
        <v>447.72</v>
      </c>
      <c r="S111" s="94">
        <v>484.4</v>
      </c>
      <c r="T111" s="94">
        <v>448.57</v>
      </c>
      <c r="U111" s="94">
        <v>387.43</v>
      </c>
    </row>
    <row r="112" spans="1:21">
      <c r="A112" s="91">
        <v>42597</v>
      </c>
      <c r="B112" s="86">
        <v>42597</v>
      </c>
      <c r="C112" s="93">
        <v>1.15370859628275</v>
      </c>
      <c r="D112" s="85" t="s">
        <v>576</v>
      </c>
      <c r="F112" s="91">
        <v>42597</v>
      </c>
      <c r="G112">
        <v>416.64</v>
      </c>
      <c r="H112">
        <v>431.18</v>
      </c>
      <c r="I112" s="94">
        <v>403.56</v>
      </c>
      <c r="J112" s="94">
        <v>437.1</v>
      </c>
      <c r="K112" s="94">
        <v>500.91</v>
      </c>
      <c r="L112" s="94">
        <v>443.19</v>
      </c>
      <c r="M112" s="94">
        <v>414.48</v>
      </c>
      <c r="N112" s="94">
        <v>440.97</v>
      </c>
      <c r="O112" s="94">
        <v>436.88</v>
      </c>
      <c r="P112" s="94">
        <v>432.12</v>
      </c>
      <c r="Q112" s="94">
        <v>440.88</v>
      </c>
      <c r="R112" s="94">
        <v>427.89</v>
      </c>
      <c r="S112" s="94">
        <v>473.38</v>
      </c>
      <c r="T112" s="94">
        <v>429.85</v>
      </c>
      <c r="U112" s="94">
        <v>382.04</v>
      </c>
    </row>
    <row r="113" spans="1:21">
      <c r="A113" s="91">
        <v>42590</v>
      </c>
      <c r="B113" s="86">
        <v>42590</v>
      </c>
      <c r="C113" s="93">
        <v>1.17709375551763</v>
      </c>
      <c r="D113" s="85" t="s">
        <v>577</v>
      </c>
      <c r="F113" s="91">
        <v>42590</v>
      </c>
      <c r="G113">
        <v>417.47</v>
      </c>
      <c r="H113">
        <v>408.23</v>
      </c>
      <c r="I113" s="94">
        <v>408.88</v>
      </c>
      <c r="J113" s="94">
        <v>436.26</v>
      </c>
      <c r="K113" s="94">
        <v>499</v>
      </c>
      <c r="L113" s="94">
        <v>452.06</v>
      </c>
      <c r="M113" s="94">
        <v>409.4</v>
      </c>
      <c r="N113" s="94">
        <v>442.23</v>
      </c>
      <c r="O113" s="94">
        <v>426.66</v>
      </c>
      <c r="P113" s="94">
        <v>423.99</v>
      </c>
      <c r="Q113" s="94">
        <v>437.61</v>
      </c>
      <c r="R113" s="94">
        <v>420.45</v>
      </c>
      <c r="S113" s="94">
        <v>465.18</v>
      </c>
      <c r="T113" s="94">
        <v>424.23</v>
      </c>
      <c r="U113" s="94">
        <v>394.41</v>
      </c>
    </row>
    <row r="114" spans="1:21">
      <c r="A114" s="91">
        <v>42583</v>
      </c>
      <c r="B114" s="86">
        <v>42583</v>
      </c>
      <c r="C114" s="93">
        <v>1.1828720132481698</v>
      </c>
      <c r="D114" s="85" t="s">
        <v>578</v>
      </c>
      <c r="F114" s="91">
        <v>42583</v>
      </c>
      <c r="G114">
        <v>421.64</v>
      </c>
      <c r="H114">
        <v>399.91</v>
      </c>
      <c r="I114" s="94">
        <v>418.15</v>
      </c>
      <c r="J114" s="94">
        <v>435.42</v>
      </c>
      <c r="K114" s="94">
        <v>540.80999999999995</v>
      </c>
      <c r="L114" s="94">
        <v>458.51</v>
      </c>
      <c r="M114" s="94">
        <v>411.89</v>
      </c>
      <c r="N114" s="94">
        <v>451.04</v>
      </c>
      <c r="O114" s="94">
        <v>440.33</v>
      </c>
      <c r="P114" s="94">
        <v>448.38</v>
      </c>
      <c r="Q114" s="94">
        <v>445.77</v>
      </c>
      <c r="R114" s="94">
        <v>421.27</v>
      </c>
      <c r="S114" s="94">
        <v>475.64</v>
      </c>
      <c r="T114" s="94">
        <v>418.14</v>
      </c>
      <c r="U114" s="94">
        <v>409.12</v>
      </c>
    </row>
    <row r="115" spans="1:21">
      <c r="A115" s="91">
        <v>42576</v>
      </c>
      <c r="B115" s="86">
        <v>42576</v>
      </c>
      <c r="C115" s="93">
        <v>1.1951715071112701</v>
      </c>
      <c r="D115" s="85" t="s">
        <v>579</v>
      </c>
      <c r="F115" s="91">
        <v>42576</v>
      </c>
      <c r="G115">
        <v>435.81</v>
      </c>
      <c r="H115">
        <v>439.08</v>
      </c>
      <c r="I115" s="94">
        <v>421.88</v>
      </c>
      <c r="J115" s="94">
        <v>445.5</v>
      </c>
      <c r="K115" s="94">
        <v>509.59</v>
      </c>
      <c r="L115" s="94">
        <v>474.64</v>
      </c>
      <c r="M115" s="94">
        <v>430.65</v>
      </c>
      <c r="N115" s="94">
        <v>455.58</v>
      </c>
      <c r="O115" s="94">
        <v>447.4</v>
      </c>
      <c r="P115" s="94">
        <v>448.38</v>
      </c>
      <c r="Q115" s="94">
        <v>455.58</v>
      </c>
      <c r="R115" s="94">
        <v>432.84</v>
      </c>
      <c r="S115" s="94">
        <v>483.84</v>
      </c>
      <c r="T115" s="94">
        <v>434.29</v>
      </c>
      <c r="U115" s="94">
        <v>419.82</v>
      </c>
    </row>
    <row r="116" spans="1:21">
      <c r="A116" s="91">
        <v>42569</v>
      </c>
      <c r="B116" s="86">
        <v>42569</v>
      </c>
      <c r="C116" s="93">
        <v>1.1994434582353801</v>
      </c>
      <c r="D116" s="85" t="s">
        <v>580</v>
      </c>
      <c r="F116" s="91">
        <v>42569</v>
      </c>
      <c r="G116">
        <v>437.47</v>
      </c>
      <c r="H116">
        <v>451.45</v>
      </c>
      <c r="I116" s="94">
        <v>424.04</v>
      </c>
      <c r="J116" s="94">
        <v>454.74</v>
      </c>
      <c r="K116" s="94">
        <v>509.63</v>
      </c>
      <c r="L116" s="94">
        <v>475.45</v>
      </c>
      <c r="M116" s="94">
        <v>434.24</v>
      </c>
      <c r="N116" s="94">
        <v>459.62</v>
      </c>
      <c r="O116" s="94">
        <v>443.38</v>
      </c>
      <c r="P116" s="94">
        <v>448.38</v>
      </c>
      <c r="Q116" s="94">
        <v>459.07</v>
      </c>
      <c r="R116" s="94">
        <v>435.32</v>
      </c>
      <c r="S116" s="94">
        <v>488.44</v>
      </c>
      <c r="T116" s="94">
        <v>436.51</v>
      </c>
      <c r="U116" s="94">
        <v>423.57</v>
      </c>
    </row>
    <row r="117" spans="1:21">
      <c r="A117" s="91">
        <v>42562</v>
      </c>
      <c r="B117" s="86">
        <v>42562</v>
      </c>
      <c r="C117" s="93">
        <v>1.1751295580337699</v>
      </c>
      <c r="D117" s="85" t="s">
        <v>581</v>
      </c>
      <c r="F117" s="91">
        <v>42562</v>
      </c>
      <c r="G117">
        <v>449.97</v>
      </c>
      <c r="H117">
        <v>440.29</v>
      </c>
      <c r="I117" s="94">
        <v>429.98</v>
      </c>
      <c r="J117" s="94">
        <v>455.58</v>
      </c>
      <c r="K117" s="94">
        <v>507.18</v>
      </c>
      <c r="L117" s="94">
        <v>475.45</v>
      </c>
      <c r="M117" s="94">
        <v>439.74</v>
      </c>
      <c r="N117" s="94">
        <v>470.14</v>
      </c>
      <c r="O117" s="94">
        <v>469.17</v>
      </c>
      <c r="P117" s="94">
        <v>464.64</v>
      </c>
      <c r="Q117" s="94">
        <v>468.08</v>
      </c>
      <c r="R117" s="94">
        <v>447.72</v>
      </c>
      <c r="S117" s="94">
        <v>503.17</v>
      </c>
      <c r="T117" s="94">
        <v>441.11</v>
      </c>
      <c r="U117" s="94">
        <v>414.77</v>
      </c>
    </row>
    <row r="118" spans="1:21">
      <c r="A118" s="91">
        <v>42555</v>
      </c>
      <c r="B118" s="86">
        <v>42555</v>
      </c>
      <c r="C118" s="93">
        <v>1.19182408676479</v>
      </c>
      <c r="D118" s="85" t="s">
        <v>582</v>
      </c>
      <c r="F118" s="91">
        <v>42555</v>
      </c>
      <c r="G118">
        <v>466.64</v>
      </c>
      <c r="H118">
        <v>475.56</v>
      </c>
      <c r="I118" s="94">
        <v>432.63</v>
      </c>
      <c r="J118" s="94">
        <v>475.75</v>
      </c>
      <c r="K118" s="94">
        <v>539.16999999999996</v>
      </c>
      <c r="L118" s="94">
        <v>493.19</v>
      </c>
      <c r="M118" s="94">
        <v>464.05</v>
      </c>
      <c r="N118" s="94">
        <v>474.44</v>
      </c>
      <c r="O118" s="94">
        <v>475</v>
      </c>
      <c r="P118" s="94">
        <v>489.03</v>
      </c>
      <c r="Q118" s="94">
        <v>475.09</v>
      </c>
      <c r="R118" s="94">
        <v>472.51</v>
      </c>
      <c r="S118" s="94">
        <v>515.61</v>
      </c>
      <c r="T118" s="94">
        <v>467.34</v>
      </c>
      <c r="U118" s="94">
        <v>418.22</v>
      </c>
    </row>
    <row r="119" spans="1:21">
      <c r="A119" s="91">
        <v>42548</v>
      </c>
      <c r="B119" s="86">
        <v>42548</v>
      </c>
      <c r="C119" s="93">
        <v>1.1990407673860899</v>
      </c>
      <c r="D119" s="85" t="s">
        <v>583</v>
      </c>
      <c r="F119" s="91">
        <v>42548</v>
      </c>
      <c r="G119">
        <v>468.31</v>
      </c>
      <c r="H119">
        <v>465.61</v>
      </c>
      <c r="I119" s="94">
        <v>431.73</v>
      </c>
      <c r="J119" s="94">
        <v>485.84</v>
      </c>
      <c r="K119" s="94">
        <v>550.22</v>
      </c>
      <c r="L119" s="94">
        <v>504.48</v>
      </c>
      <c r="M119" s="94">
        <v>469.12</v>
      </c>
      <c r="N119" s="94">
        <v>473.26</v>
      </c>
      <c r="O119" s="94">
        <v>460.65</v>
      </c>
      <c r="P119" s="94">
        <v>472.77</v>
      </c>
      <c r="Q119" s="94">
        <v>477.32</v>
      </c>
      <c r="R119" s="94">
        <v>479.12</v>
      </c>
      <c r="S119" s="94">
        <v>516.79</v>
      </c>
      <c r="T119" s="94">
        <v>475.58</v>
      </c>
      <c r="U119" s="94">
        <v>418.69</v>
      </c>
    </row>
    <row r="120" spans="1:21">
      <c r="A120" s="91">
        <v>42541</v>
      </c>
      <c r="B120" s="86">
        <v>42541</v>
      </c>
      <c r="C120" s="93">
        <v>1.2924071082390998</v>
      </c>
      <c r="D120" s="85" t="s">
        <v>484</v>
      </c>
      <c r="F120" s="91">
        <v>42541</v>
      </c>
      <c r="G120">
        <v>463.31</v>
      </c>
      <c r="H120">
        <v>478.83</v>
      </c>
      <c r="I120" s="94">
        <v>432.83</v>
      </c>
      <c r="J120" s="94">
        <v>458.11</v>
      </c>
      <c r="K120" s="94">
        <v>540.62</v>
      </c>
      <c r="L120" s="94">
        <v>500.45</v>
      </c>
      <c r="M120" s="94">
        <v>473.48</v>
      </c>
      <c r="N120" s="94">
        <v>472.87</v>
      </c>
      <c r="O120" s="94">
        <v>473.4</v>
      </c>
      <c r="P120" s="94">
        <v>472.77</v>
      </c>
      <c r="Q120" s="94">
        <v>479.76</v>
      </c>
      <c r="R120" s="94">
        <v>475.82</v>
      </c>
      <c r="S120" s="94">
        <v>512.54999999999995</v>
      </c>
      <c r="T120" s="94">
        <v>469.26</v>
      </c>
      <c r="U120" s="94">
        <v>448.92</v>
      </c>
    </row>
    <row r="121" spans="1:21">
      <c r="A121" s="91">
        <v>42534</v>
      </c>
      <c r="B121" s="86">
        <v>42534</v>
      </c>
      <c r="C121" s="93">
        <v>1.2576243476073699</v>
      </c>
      <c r="D121" s="85" t="s">
        <v>584</v>
      </c>
      <c r="F121" s="91">
        <v>42534</v>
      </c>
      <c r="G121">
        <v>466.64</v>
      </c>
      <c r="H121">
        <v>470.57</v>
      </c>
      <c r="I121" s="94">
        <v>432.27</v>
      </c>
      <c r="J121" s="94">
        <v>481.63</v>
      </c>
      <c r="K121" s="94">
        <v>548.16999999999996</v>
      </c>
      <c r="L121" s="94">
        <v>506.9</v>
      </c>
      <c r="M121" s="94">
        <v>482.52</v>
      </c>
      <c r="N121" s="94">
        <v>474.05</v>
      </c>
      <c r="O121" s="94">
        <v>479.41</v>
      </c>
      <c r="P121" s="94">
        <v>464.64</v>
      </c>
      <c r="Q121" s="94">
        <v>484.69</v>
      </c>
      <c r="R121" s="94">
        <v>477.47</v>
      </c>
      <c r="S121" s="94">
        <v>518.04</v>
      </c>
      <c r="T121" s="94">
        <v>487.9</v>
      </c>
      <c r="U121" s="94">
        <v>434.84</v>
      </c>
    </row>
    <row r="122" spans="1:21">
      <c r="A122" s="91">
        <v>42527</v>
      </c>
      <c r="B122" s="86">
        <v>42527</v>
      </c>
      <c r="C122" s="93">
        <v>1.27032520325203</v>
      </c>
      <c r="D122" s="85" t="s">
        <v>585</v>
      </c>
      <c r="F122" s="91">
        <v>42527</v>
      </c>
      <c r="G122">
        <v>476.64</v>
      </c>
      <c r="H122">
        <v>493.13</v>
      </c>
      <c r="I122" s="94">
        <v>428.7</v>
      </c>
      <c r="J122" s="94">
        <v>487.52</v>
      </c>
      <c r="K122" s="94">
        <v>562</v>
      </c>
      <c r="L122" s="94">
        <v>502.06</v>
      </c>
      <c r="M122" s="94">
        <v>494.62</v>
      </c>
      <c r="N122" s="94">
        <v>474.05</v>
      </c>
      <c r="O122" s="94">
        <v>492.34</v>
      </c>
      <c r="P122" s="94">
        <v>480.9</v>
      </c>
      <c r="Q122" s="94">
        <v>488.36</v>
      </c>
      <c r="R122" s="94">
        <v>485.74</v>
      </c>
      <c r="S122" s="94">
        <v>523.41999999999996</v>
      </c>
      <c r="T122" s="94">
        <v>494.74</v>
      </c>
      <c r="U122" s="94">
        <v>432.57</v>
      </c>
    </row>
    <row r="123" spans="1:21">
      <c r="A123" s="91">
        <v>42520</v>
      </c>
      <c r="B123" s="86">
        <v>42520</v>
      </c>
      <c r="C123" s="93">
        <v>1.3136288998358001</v>
      </c>
      <c r="D123" s="85" t="s">
        <v>586</v>
      </c>
      <c r="F123" s="91">
        <v>42520</v>
      </c>
      <c r="G123">
        <v>474.14</v>
      </c>
      <c r="H123">
        <v>479.16</v>
      </c>
      <c r="I123" s="94">
        <v>416.38</v>
      </c>
      <c r="J123" s="94">
        <v>483.32</v>
      </c>
      <c r="K123" s="94">
        <v>560.99</v>
      </c>
      <c r="L123" s="94">
        <v>491.57</v>
      </c>
      <c r="M123" s="94">
        <v>491.98</v>
      </c>
      <c r="N123" s="94">
        <v>470.35</v>
      </c>
      <c r="O123" s="94">
        <v>488.92</v>
      </c>
      <c r="P123" s="94">
        <v>449.11</v>
      </c>
      <c r="Q123" s="94">
        <v>482.02</v>
      </c>
      <c r="R123" s="94">
        <v>487.39</v>
      </c>
      <c r="S123" s="94">
        <v>521.55999999999995</v>
      </c>
      <c r="T123" s="94">
        <v>493.81</v>
      </c>
      <c r="U123" s="94">
        <v>440.56</v>
      </c>
    </row>
    <row r="124" spans="1:21">
      <c r="A124" s="91">
        <v>42513</v>
      </c>
      <c r="B124" s="86">
        <v>42513</v>
      </c>
      <c r="C124" s="93">
        <v>1.2912722905879199</v>
      </c>
      <c r="D124" s="85" t="s">
        <v>587</v>
      </c>
      <c r="F124" s="91">
        <v>42513</v>
      </c>
      <c r="G124">
        <v>454.97</v>
      </c>
      <c r="H124">
        <v>431.23</v>
      </c>
      <c r="I124" s="94">
        <v>399.9</v>
      </c>
      <c r="J124" s="94">
        <v>469.87</v>
      </c>
      <c r="K124" s="94">
        <v>548.05999999999995</v>
      </c>
      <c r="L124" s="94">
        <v>493.99</v>
      </c>
      <c r="M124" s="94">
        <v>462.29</v>
      </c>
      <c r="N124" s="94">
        <v>460.7</v>
      </c>
      <c r="O124" s="94">
        <v>464.85</v>
      </c>
      <c r="P124" s="94">
        <v>448.38</v>
      </c>
      <c r="Q124" s="94">
        <v>471.12</v>
      </c>
      <c r="R124" s="94">
        <v>465.9</v>
      </c>
      <c r="S124" s="94">
        <v>511.59</v>
      </c>
      <c r="T124" s="94">
        <v>484.93</v>
      </c>
      <c r="U124" s="94">
        <v>425.94</v>
      </c>
    </row>
    <row r="125" spans="1:21">
      <c r="A125" s="91">
        <v>42506</v>
      </c>
      <c r="B125" s="86">
        <v>42506</v>
      </c>
      <c r="C125" s="93">
        <v>1.2690355329949199</v>
      </c>
      <c r="D125" s="85" t="s">
        <v>420</v>
      </c>
      <c r="F125" s="91">
        <v>42506</v>
      </c>
      <c r="G125">
        <v>446.64</v>
      </c>
      <c r="H125">
        <v>449.16</v>
      </c>
      <c r="I125" s="94">
        <v>393.41</v>
      </c>
      <c r="J125" s="94">
        <v>466.51</v>
      </c>
      <c r="K125" s="94">
        <v>541.51</v>
      </c>
      <c r="L125" s="94">
        <v>468.99</v>
      </c>
      <c r="M125" s="94">
        <v>443.26</v>
      </c>
      <c r="N125" s="94">
        <v>447.4</v>
      </c>
      <c r="O125" s="94">
        <v>446.52</v>
      </c>
      <c r="P125" s="94">
        <v>448.38</v>
      </c>
      <c r="Q125" s="94">
        <v>456.47</v>
      </c>
      <c r="R125" s="94">
        <v>450.2</v>
      </c>
      <c r="S125" s="94">
        <v>494.07</v>
      </c>
      <c r="T125" s="94">
        <v>468.93</v>
      </c>
      <c r="U125" s="94">
        <v>412.31</v>
      </c>
    </row>
    <row r="126" spans="1:21">
      <c r="A126" s="91">
        <v>42499</v>
      </c>
      <c r="B126" s="86">
        <v>42499</v>
      </c>
      <c r="C126" s="93">
        <v>1.2658548317678899</v>
      </c>
      <c r="D126" s="85" t="s">
        <v>588</v>
      </c>
      <c r="F126" s="91">
        <v>42499</v>
      </c>
      <c r="G126">
        <v>444.14</v>
      </c>
      <c r="H126">
        <v>449.16</v>
      </c>
      <c r="I126" s="94">
        <v>393.76</v>
      </c>
      <c r="J126" s="94">
        <v>452.22</v>
      </c>
      <c r="K126" s="94">
        <v>519.94000000000005</v>
      </c>
      <c r="L126" s="94">
        <v>464.96</v>
      </c>
      <c r="M126" s="94">
        <v>447.23</v>
      </c>
      <c r="N126" s="94">
        <v>450.69</v>
      </c>
      <c r="O126" s="94">
        <v>460.43</v>
      </c>
      <c r="P126" s="94">
        <v>448.38</v>
      </c>
      <c r="Q126" s="94">
        <v>459</v>
      </c>
      <c r="R126" s="94">
        <v>451.03</v>
      </c>
      <c r="S126" s="94">
        <v>496.63</v>
      </c>
      <c r="T126" s="94">
        <v>453.62</v>
      </c>
      <c r="U126" s="94">
        <v>407.72</v>
      </c>
    </row>
    <row r="127" spans="1:21">
      <c r="A127" s="91">
        <v>42492</v>
      </c>
      <c r="B127" s="86">
        <v>42492</v>
      </c>
      <c r="C127" s="93">
        <v>1.2779879357938899</v>
      </c>
      <c r="D127" s="85" t="s">
        <v>589</v>
      </c>
      <c r="F127" s="91">
        <v>42492</v>
      </c>
      <c r="G127">
        <v>454.14</v>
      </c>
      <c r="H127">
        <v>453.54</v>
      </c>
      <c r="I127" s="94">
        <v>387.21</v>
      </c>
      <c r="J127" s="94">
        <v>458.95</v>
      </c>
      <c r="K127" s="94">
        <v>543.45000000000005</v>
      </c>
      <c r="L127" s="94">
        <v>449.64</v>
      </c>
      <c r="M127" s="94">
        <v>450.38</v>
      </c>
      <c r="N127" s="94">
        <v>448</v>
      </c>
      <c r="O127" s="94">
        <v>459.37</v>
      </c>
      <c r="P127" s="94">
        <v>448.38</v>
      </c>
      <c r="Q127" s="94">
        <v>457.63</v>
      </c>
      <c r="R127" s="94">
        <v>455.98</v>
      </c>
      <c r="S127" s="94">
        <v>500.21</v>
      </c>
      <c r="T127" s="94">
        <v>474.58</v>
      </c>
      <c r="U127" s="94">
        <v>407.65</v>
      </c>
    </row>
    <row r="128" spans="1:21">
      <c r="A128" s="91">
        <v>42485</v>
      </c>
      <c r="B128" s="86">
        <v>42485</v>
      </c>
      <c r="C128" s="93">
        <v>1.28799587841319</v>
      </c>
      <c r="D128" s="85" t="s">
        <v>590</v>
      </c>
      <c r="F128" s="91">
        <v>42485</v>
      </c>
      <c r="G128">
        <v>439.97</v>
      </c>
      <c r="H128">
        <v>429.08</v>
      </c>
      <c r="I128" s="94">
        <v>377.72</v>
      </c>
      <c r="J128" s="94">
        <v>448.86</v>
      </c>
      <c r="K128" s="94">
        <v>530.52</v>
      </c>
      <c r="L128" s="94">
        <v>448.83</v>
      </c>
      <c r="M128" s="94">
        <v>442.26</v>
      </c>
      <c r="N128" s="94">
        <v>440.95</v>
      </c>
      <c r="O128" s="94">
        <v>454.16</v>
      </c>
      <c r="P128" s="94">
        <v>448.38</v>
      </c>
      <c r="Q128" s="94">
        <v>450.9</v>
      </c>
      <c r="R128" s="94">
        <v>443.59</v>
      </c>
      <c r="S128" s="94">
        <v>490.45</v>
      </c>
      <c r="T128" s="94">
        <v>462.68</v>
      </c>
      <c r="U128" s="94">
        <v>403.58</v>
      </c>
    </row>
    <row r="129" spans="1:21">
      <c r="A129" s="91">
        <v>42478</v>
      </c>
      <c r="B129" s="86">
        <v>42478</v>
      </c>
      <c r="C129" s="93">
        <v>1.2534469791927798</v>
      </c>
      <c r="D129" s="85" t="s">
        <v>591</v>
      </c>
      <c r="F129" s="91">
        <v>42478</v>
      </c>
      <c r="G129">
        <v>422.47</v>
      </c>
      <c r="H129">
        <v>427.18</v>
      </c>
      <c r="I129" s="94">
        <v>373.27</v>
      </c>
      <c r="J129" s="94">
        <v>440.46</v>
      </c>
      <c r="K129" s="94">
        <v>532.66999999999996</v>
      </c>
      <c r="L129" s="94">
        <v>437.54</v>
      </c>
      <c r="M129" s="94">
        <v>439.26</v>
      </c>
      <c r="N129" s="94">
        <v>434.25</v>
      </c>
      <c r="O129" s="94">
        <v>445.65</v>
      </c>
      <c r="P129" s="94">
        <v>423.99</v>
      </c>
      <c r="Q129" s="94">
        <v>440.62</v>
      </c>
      <c r="R129" s="94">
        <v>447.72</v>
      </c>
      <c r="S129" s="94">
        <v>487.07</v>
      </c>
      <c r="T129" s="94">
        <v>452.78</v>
      </c>
      <c r="U129" s="94">
        <v>385.08</v>
      </c>
    </row>
    <row r="130" spans="1:21">
      <c r="A130" s="91">
        <v>42471</v>
      </c>
      <c r="B130" s="86">
        <v>42471</v>
      </c>
      <c r="C130" s="93">
        <v>1.2490632025980499</v>
      </c>
      <c r="D130" s="85" t="s">
        <v>592</v>
      </c>
      <c r="F130" s="91">
        <v>42471</v>
      </c>
      <c r="G130">
        <v>412.47</v>
      </c>
      <c r="H130">
        <v>416.35</v>
      </c>
      <c r="I130" s="94">
        <v>366.52</v>
      </c>
      <c r="J130" s="94">
        <v>427.01</v>
      </c>
      <c r="K130" s="94">
        <v>508.98</v>
      </c>
      <c r="L130" s="94">
        <v>433.51</v>
      </c>
      <c r="M130" s="94">
        <v>428.78</v>
      </c>
      <c r="N130" s="94">
        <v>428.28</v>
      </c>
      <c r="O130" s="94">
        <v>435.5</v>
      </c>
      <c r="P130" s="94">
        <v>432.12</v>
      </c>
      <c r="Q130" s="94">
        <v>428.35</v>
      </c>
      <c r="R130" s="94">
        <v>423.75</v>
      </c>
      <c r="S130" s="94">
        <v>469.88</v>
      </c>
      <c r="T130" s="94">
        <v>423.9</v>
      </c>
      <c r="U130" s="94">
        <v>373.17</v>
      </c>
    </row>
    <row r="131" spans="1:21">
      <c r="A131" s="91">
        <v>42464</v>
      </c>
      <c r="B131" s="86">
        <v>42464</v>
      </c>
      <c r="C131" s="93">
        <v>1.2541072010835499</v>
      </c>
      <c r="D131" s="85" t="s">
        <v>593</v>
      </c>
      <c r="F131" s="91">
        <v>42464</v>
      </c>
      <c r="G131">
        <v>408.31</v>
      </c>
      <c r="H131">
        <v>396.5</v>
      </c>
      <c r="I131" s="94">
        <v>361.91</v>
      </c>
      <c r="J131" s="94">
        <v>423.65</v>
      </c>
      <c r="K131" s="94">
        <v>519.48</v>
      </c>
      <c r="L131" s="94">
        <v>433.51</v>
      </c>
      <c r="M131" s="94">
        <v>432.55</v>
      </c>
      <c r="N131" s="94">
        <v>431.35</v>
      </c>
      <c r="O131" s="94">
        <v>445.58</v>
      </c>
      <c r="P131" s="94">
        <v>415.86</v>
      </c>
      <c r="Q131" s="94">
        <v>430.09</v>
      </c>
      <c r="R131" s="94">
        <v>424.58</v>
      </c>
      <c r="S131" s="94">
        <v>476.85</v>
      </c>
      <c r="T131" s="94">
        <v>438</v>
      </c>
      <c r="U131" s="94">
        <v>365.46</v>
      </c>
    </row>
    <row r="132" spans="1:21">
      <c r="A132" s="91">
        <v>42450</v>
      </c>
      <c r="B132" s="86">
        <v>42450</v>
      </c>
      <c r="C132" s="93">
        <v>1.2770902775117199</v>
      </c>
      <c r="D132" s="85" t="s">
        <v>594</v>
      </c>
      <c r="F132" s="91">
        <v>42450</v>
      </c>
      <c r="G132">
        <v>386.64</v>
      </c>
      <c r="H132">
        <v>382.47</v>
      </c>
      <c r="I132" s="94">
        <v>343.83</v>
      </c>
      <c r="J132" s="94">
        <v>390.88</v>
      </c>
      <c r="K132" s="94">
        <v>489.91</v>
      </c>
      <c r="L132" s="94">
        <v>408.51</v>
      </c>
      <c r="M132" s="94">
        <v>411.11</v>
      </c>
      <c r="N132" s="94">
        <v>415.99</v>
      </c>
      <c r="O132" s="94">
        <v>417.95</v>
      </c>
      <c r="P132" s="94">
        <v>383.34</v>
      </c>
      <c r="Q132" s="94">
        <v>424.63</v>
      </c>
      <c r="R132" s="94">
        <v>387.39</v>
      </c>
      <c r="S132" s="94">
        <v>460.73</v>
      </c>
      <c r="T132" s="94">
        <v>419.55</v>
      </c>
      <c r="U132" s="94">
        <v>351.62</v>
      </c>
    </row>
    <row r="133" spans="1:21">
      <c r="A133" s="91">
        <v>42443</v>
      </c>
      <c r="B133" s="86">
        <v>42443</v>
      </c>
      <c r="C133" s="93">
        <v>1.2915224466601198</v>
      </c>
      <c r="D133" s="85" t="s">
        <v>595</v>
      </c>
      <c r="F133" s="91">
        <v>42443</v>
      </c>
      <c r="G133">
        <v>387.47</v>
      </c>
      <c r="H133">
        <v>369.5</v>
      </c>
      <c r="I133" s="94">
        <v>334.26</v>
      </c>
      <c r="J133" s="94">
        <v>390.04</v>
      </c>
      <c r="K133" s="94">
        <v>489.64</v>
      </c>
      <c r="L133" s="94">
        <v>410.93</v>
      </c>
      <c r="M133" s="94">
        <v>401.8</v>
      </c>
      <c r="N133" s="94">
        <v>380.81</v>
      </c>
      <c r="O133" s="94">
        <v>406.01</v>
      </c>
      <c r="P133" s="94">
        <v>367.08</v>
      </c>
      <c r="Q133" s="94">
        <v>412.18</v>
      </c>
      <c r="R133" s="94">
        <v>392.35</v>
      </c>
      <c r="S133" s="94">
        <v>451.27</v>
      </c>
      <c r="T133" s="94">
        <v>413.32</v>
      </c>
      <c r="U133" s="94">
        <v>346.21</v>
      </c>
    </row>
    <row r="134" spans="1:21">
      <c r="A134" s="91">
        <v>42436</v>
      </c>
      <c r="B134" s="86">
        <v>42436</v>
      </c>
      <c r="C134" s="93">
        <v>1.2913556651772999</v>
      </c>
      <c r="D134" s="85" t="s">
        <v>596</v>
      </c>
      <c r="F134" s="91">
        <v>42436</v>
      </c>
      <c r="G134">
        <v>371.64</v>
      </c>
      <c r="H134">
        <v>369.74</v>
      </c>
      <c r="I134" s="94">
        <v>327.84</v>
      </c>
      <c r="J134" s="94">
        <v>376.59</v>
      </c>
      <c r="K134" s="94">
        <v>457.34</v>
      </c>
      <c r="L134" s="94">
        <v>391.57</v>
      </c>
      <c r="M134" s="94">
        <v>378.39</v>
      </c>
      <c r="N134" s="94">
        <v>380.81</v>
      </c>
      <c r="O134" s="94">
        <v>389.34</v>
      </c>
      <c r="P134" s="94">
        <v>367.08</v>
      </c>
      <c r="Q134" s="94">
        <v>395.08</v>
      </c>
      <c r="R134" s="94">
        <v>366.73</v>
      </c>
      <c r="S134" s="94">
        <v>429.3</v>
      </c>
      <c r="T134" s="94">
        <v>385.04</v>
      </c>
      <c r="U134" s="94">
        <v>343.53</v>
      </c>
    </row>
    <row r="135" spans="1:21">
      <c r="A135" s="91">
        <v>42429</v>
      </c>
      <c r="B135" s="86">
        <v>42429</v>
      </c>
      <c r="C135" s="93">
        <v>1.27258844489692</v>
      </c>
      <c r="D135" s="85" t="s">
        <v>597</v>
      </c>
      <c r="F135" s="91">
        <v>42429</v>
      </c>
      <c r="G135">
        <v>370.81</v>
      </c>
      <c r="H135">
        <v>356.35</v>
      </c>
      <c r="I135" s="94">
        <v>326.42</v>
      </c>
      <c r="J135" s="94">
        <v>375.75</v>
      </c>
      <c r="K135" s="94">
        <v>443.42</v>
      </c>
      <c r="L135" s="94">
        <v>393.19</v>
      </c>
      <c r="M135" s="94">
        <v>374.54</v>
      </c>
      <c r="N135" s="94">
        <v>375.46</v>
      </c>
      <c r="O135" s="94">
        <v>372.05</v>
      </c>
      <c r="P135" s="94">
        <v>367.08</v>
      </c>
      <c r="Q135" s="94">
        <v>387.35</v>
      </c>
      <c r="R135" s="94">
        <v>361.77</v>
      </c>
      <c r="S135" s="94">
        <v>418.67</v>
      </c>
      <c r="T135" s="94">
        <v>359.58</v>
      </c>
      <c r="U135" s="94">
        <v>338.11</v>
      </c>
    </row>
    <row r="136" spans="1:21">
      <c r="A136" s="91">
        <v>42422</v>
      </c>
      <c r="B136" s="86">
        <v>42422</v>
      </c>
      <c r="C136" s="93">
        <v>1.2780696036706198</v>
      </c>
      <c r="D136" s="85" t="s">
        <v>598</v>
      </c>
      <c r="F136" s="91">
        <v>42422</v>
      </c>
      <c r="G136">
        <v>375.81</v>
      </c>
      <c r="H136">
        <v>359.08</v>
      </c>
      <c r="I136" s="94">
        <v>332.99</v>
      </c>
      <c r="J136" s="94">
        <v>365.67</v>
      </c>
      <c r="K136" s="94">
        <v>454.03</v>
      </c>
      <c r="L136" s="94">
        <v>402.87</v>
      </c>
      <c r="M136" s="94">
        <v>380.38</v>
      </c>
      <c r="N136" s="94">
        <v>380.37</v>
      </c>
      <c r="O136" s="94">
        <v>376.36</v>
      </c>
      <c r="P136" s="94">
        <v>367.08</v>
      </c>
      <c r="Q136" s="94">
        <v>387.84</v>
      </c>
      <c r="R136" s="94">
        <v>362.6</v>
      </c>
      <c r="S136" s="94">
        <v>422.03</v>
      </c>
      <c r="T136" s="94">
        <v>366.26</v>
      </c>
      <c r="U136" s="94">
        <v>339.23</v>
      </c>
    </row>
    <row r="137" spans="1:21">
      <c r="A137" s="91">
        <v>42415</v>
      </c>
      <c r="B137" s="86">
        <v>42415</v>
      </c>
      <c r="C137" s="93">
        <v>1.2953367875647701</v>
      </c>
      <c r="D137" s="85" t="s">
        <v>599</v>
      </c>
      <c r="F137" s="91">
        <v>42415</v>
      </c>
      <c r="G137">
        <v>369.97</v>
      </c>
      <c r="H137">
        <v>338.01</v>
      </c>
      <c r="I137" s="94">
        <v>345.21</v>
      </c>
      <c r="J137" s="94">
        <v>328.69</v>
      </c>
      <c r="K137" s="94">
        <v>443.21</v>
      </c>
      <c r="L137" s="94">
        <v>419.8</v>
      </c>
      <c r="M137" s="94">
        <v>385.68</v>
      </c>
      <c r="N137" s="94">
        <v>395.21</v>
      </c>
      <c r="O137" s="94">
        <v>380.31</v>
      </c>
      <c r="P137" s="94">
        <v>383.34</v>
      </c>
      <c r="Q137" s="94">
        <v>397.42</v>
      </c>
      <c r="R137" s="94">
        <v>370.03</v>
      </c>
      <c r="S137" s="94">
        <v>422.15</v>
      </c>
      <c r="T137" s="94">
        <v>361.11</v>
      </c>
      <c r="U137" s="94">
        <v>344.46</v>
      </c>
    </row>
    <row r="138" spans="1:21">
      <c r="A138" s="91">
        <v>42408</v>
      </c>
      <c r="B138" s="86">
        <v>42408</v>
      </c>
      <c r="C138" s="93">
        <v>1.29466597617815</v>
      </c>
      <c r="D138" s="85" t="s">
        <v>415</v>
      </c>
      <c r="F138" s="91">
        <v>42408</v>
      </c>
      <c r="G138">
        <v>382.47</v>
      </c>
      <c r="H138">
        <v>362.64</v>
      </c>
      <c r="I138" s="94">
        <v>355.19</v>
      </c>
      <c r="J138" s="94">
        <v>386.68</v>
      </c>
      <c r="K138" s="94">
        <v>463.61</v>
      </c>
      <c r="L138" s="94">
        <v>428.67</v>
      </c>
      <c r="M138" s="94">
        <v>403.36</v>
      </c>
      <c r="N138" s="94">
        <v>410.04</v>
      </c>
      <c r="O138" s="94">
        <v>412.03</v>
      </c>
      <c r="P138" s="94">
        <v>391.47</v>
      </c>
      <c r="Q138" s="94">
        <v>412.9</v>
      </c>
      <c r="R138" s="94">
        <v>395.65</v>
      </c>
      <c r="S138" s="94">
        <v>445.65</v>
      </c>
      <c r="T138" s="94">
        <v>383.68</v>
      </c>
      <c r="U138" s="94">
        <v>344.91</v>
      </c>
    </row>
    <row r="139" spans="1:21">
      <c r="A139" s="91">
        <v>42401</v>
      </c>
      <c r="B139" s="86">
        <v>42401</v>
      </c>
      <c r="C139" s="93">
        <v>1.3140604467805499</v>
      </c>
      <c r="D139" s="85" t="s">
        <v>600</v>
      </c>
      <c r="F139" s="91">
        <v>42401</v>
      </c>
      <c r="G139">
        <v>387.47</v>
      </c>
      <c r="H139">
        <v>362.72</v>
      </c>
      <c r="I139" s="94">
        <v>360.44</v>
      </c>
      <c r="J139" s="94">
        <v>403.48</v>
      </c>
      <c r="K139" s="94">
        <v>488.31</v>
      </c>
      <c r="L139" s="94">
        <v>426.25</v>
      </c>
      <c r="M139" s="94">
        <v>403.14</v>
      </c>
      <c r="N139" s="94">
        <v>406.46</v>
      </c>
      <c r="O139" s="94">
        <v>405.19</v>
      </c>
      <c r="P139" s="94">
        <v>383.34</v>
      </c>
      <c r="Q139" s="94">
        <v>408.86</v>
      </c>
      <c r="R139" s="94">
        <v>399.79</v>
      </c>
      <c r="S139" s="94">
        <v>450.87</v>
      </c>
      <c r="T139" s="94">
        <v>411.66</v>
      </c>
      <c r="U139" s="94">
        <v>348.45</v>
      </c>
    </row>
    <row r="140" spans="1:21">
      <c r="A140" s="91">
        <v>42394</v>
      </c>
      <c r="B140" s="86">
        <v>42394</v>
      </c>
      <c r="C140" s="93">
        <v>1.3176966662274299</v>
      </c>
      <c r="D140" s="85" t="s">
        <v>601</v>
      </c>
      <c r="F140" s="91">
        <v>42394</v>
      </c>
      <c r="G140">
        <v>384.97</v>
      </c>
      <c r="H140">
        <v>372.97</v>
      </c>
      <c r="I140" s="94">
        <v>369.92</v>
      </c>
      <c r="J140" s="94">
        <v>397.6</v>
      </c>
      <c r="K140" s="94">
        <v>474.38</v>
      </c>
      <c r="L140" s="94">
        <v>437.54</v>
      </c>
      <c r="M140" s="94">
        <v>399.82</v>
      </c>
      <c r="N140" s="94">
        <v>409.17</v>
      </c>
      <c r="O140" s="94">
        <v>404.41</v>
      </c>
      <c r="P140" s="94">
        <v>407.73</v>
      </c>
      <c r="Q140" s="94">
        <v>412.66</v>
      </c>
      <c r="R140" s="94">
        <v>393.17</v>
      </c>
      <c r="S140" s="94">
        <v>443.13</v>
      </c>
      <c r="T140" s="94">
        <v>395.78</v>
      </c>
      <c r="U140" s="94">
        <v>350.11</v>
      </c>
    </row>
    <row r="141" spans="1:21">
      <c r="A141" s="91">
        <v>42387</v>
      </c>
      <c r="B141" s="86">
        <v>42387</v>
      </c>
      <c r="C141" s="93">
        <v>1.3112518521432399</v>
      </c>
      <c r="D141" s="85" t="s">
        <v>602</v>
      </c>
      <c r="F141" s="91">
        <v>42387</v>
      </c>
      <c r="G141">
        <v>392.47</v>
      </c>
      <c r="H141">
        <v>365.69</v>
      </c>
      <c r="I141" s="94">
        <v>378.26</v>
      </c>
      <c r="J141" s="94">
        <v>386.68</v>
      </c>
      <c r="K141" s="94">
        <v>463.6</v>
      </c>
      <c r="L141" s="94">
        <v>446.41</v>
      </c>
      <c r="M141" s="94">
        <v>411.76</v>
      </c>
      <c r="N141" s="94">
        <v>424.52</v>
      </c>
      <c r="O141" s="94">
        <v>413.37</v>
      </c>
      <c r="P141" s="94">
        <v>407.73</v>
      </c>
      <c r="Q141" s="94">
        <v>426.83</v>
      </c>
      <c r="R141" s="94">
        <v>402.27</v>
      </c>
      <c r="S141" s="94">
        <v>455.39</v>
      </c>
      <c r="T141" s="94">
        <v>388.31</v>
      </c>
      <c r="U141" s="94">
        <v>352.56</v>
      </c>
    </row>
    <row r="142" spans="1:21">
      <c r="A142" s="91">
        <v>42380</v>
      </c>
      <c r="B142" s="86">
        <v>42380</v>
      </c>
      <c r="C142" s="93">
        <v>1.3385984873837102</v>
      </c>
      <c r="D142" s="85" t="s">
        <v>603</v>
      </c>
      <c r="F142" s="91">
        <v>42380</v>
      </c>
      <c r="G142">
        <v>413.31</v>
      </c>
      <c r="H142">
        <v>451.73</v>
      </c>
      <c r="I142" s="94">
        <v>387.57</v>
      </c>
      <c r="J142" s="94">
        <v>402.64</v>
      </c>
      <c r="K142" s="94">
        <v>495.96</v>
      </c>
      <c r="L142" s="94">
        <v>450.45</v>
      </c>
      <c r="M142" s="94">
        <v>422.52</v>
      </c>
      <c r="N142" s="94">
        <v>435.37</v>
      </c>
      <c r="O142" s="94">
        <v>429.93</v>
      </c>
      <c r="P142" s="94">
        <v>407.73</v>
      </c>
      <c r="Q142" s="94">
        <v>440.99</v>
      </c>
      <c r="R142" s="94">
        <v>417.14</v>
      </c>
      <c r="S142" s="94">
        <v>473.39</v>
      </c>
      <c r="T142" s="94">
        <v>418.12</v>
      </c>
      <c r="U142" s="94">
        <v>360.86</v>
      </c>
    </row>
    <row r="143" spans="1:21" ht="15.75" thickBot="1">
      <c r="A143" s="92">
        <v>42373</v>
      </c>
      <c r="B143" s="86">
        <v>42373</v>
      </c>
      <c r="C143" s="93">
        <v>1.3548299688389098</v>
      </c>
      <c r="D143" s="85" t="s">
        <v>604</v>
      </c>
      <c r="F143" s="92">
        <v>42373</v>
      </c>
      <c r="G143">
        <v>418.31</v>
      </c>
      <c r="H143">
        <v>377.18</v>
      </c>
      <c r="I143" s="94">
        <v>394.23</v>
      </c>
      <c r="J143" s="94">
        <v>419.45</v>
      </c>
      <c r="K143" s="94">
        <v>501.21</v>
      </c>
      <c r="L143" s="94">
        <v>445.61</v>
      </c>
      <c r="M143" s="94">
        <v>404.15</v>
      </c>
      <c r="N143" s="94">
        <v>437.03</v>
      </c>
      <c r="O143" s="94">
        <v>425.91</v>
      </c>
      <c r="P143" s="94">
        <v>423.99</v>
      </c>
      <c r="Q143" s="94">
        <v>443.79</v>
      </c>
      <c r="R143" s="94">
        <v>412.18</v>
      </c>
      <c r="S143" s="94">
        <v>474.09</v>
      </c>
      <c r="T143" s="94">
        <v>426.28</v>
      </c>
      <c r="U143" s="94">
        <v>366.45</v>
      </c>
    </row>
    <row r="144" spans="1:21">
      <c r="A144" s="91">
        <v>42352</v>
      </c>
      <c r="B144" s="86">
        <v>42352</v>
      </c>
      <c r="C144" s="93">
        <v>1.37741046831956</v>
      </c>
      <c r="D144" s="85" t="s">
        <v>605</v>
      </c>
      <c r="F144" s="91">
        <v>42352</v>
      </c>
      <c r="G144">
        <v>431.64</v>
      </c>
      <c r="H144">
        <v>408.1</v>
      </c>
      <c r="I144" s="94">
        <v>417.25</v>
      </c>
      <c r="J144" s="94">
        <v>437.1</v>
      </c>
      <c r="K144" s="94">
        <v>500.74</v>
      </c>
      <c r="L144" s="94">
        <v>467.38</v>
      </c>
      <c r="M144" s="94">
        <v>426.75</v>
      </c>
      <c r="N144" s="94">
        <v>455.61</v>
      </c>
      <c r="O144" s="94">
        <v>437.84</v>
      </c>
      <c r="P144" s="94">
        <v>448.38</v>
      </c>
      <c r="Q144" s="94">
        <v>461.04</v>
      </c>
      <c r="R144" s="94">
        <v>435.02</v>
      </c>
      <c r="S144" s="94">
        <v>481.01</v>
      </c>
      <c r="T144" s="94">
        <v>449.98</v>
      </c>
      <c r="U144" s="94">
        <v>395.5</v>
      </c>
    </row>
    <row r="145" spans="1:21">
      <c r="A145" s="91">
        <v>42345</v>
      </c>
      <c r="B145" s="86">
        <v>42345</v>
      </c>
      <c r="C145" s="93">
        <v>1.3933398355858999</v>
      </c>
      <c r="D145" s="85" t="s">
        <v>606</v>
      </c>
      <c r="F145" s="91">
        <v>42345</v>
      </c>
      <c r="G145">
        <v>446.64</v>
      </c>
      <c r="H145">
        <v>467.42</v>
      </c>
      <c r="I145" s="94">
        <v>424.99</v>
      </c>
      <c r="J145" s="94">
        <v>453.06</v>
      </c>
      <c r="K145" s="94">
        <v>522.20000000000005</v>
      </c>
      <c r="L145" s="94">
        <v>473.83</v>
      </c>
      <c r="M145" s="94">
        <v>444.48</v>
      </c>
      <c r="N145" s="94">
        <v>464.91</v>
      </c>
      <c r="O145" s="94">
        <v>470.43</v>
      </c>
      <c r="P145" s="94">
        <v>448.38</v>
      </c>
      <c r="Q145" s="94">
        <v>468.45</v>
      </c>
      <c r="R145" s="94">
        <v>452.38</v>
      </c>
      <c r="S145" s="94">
        <v>498.84</v>
      </c>
      <c r="T145" s="94">
        <v>459.97</v>
      </c>
      <c r="U145" s="94">
        <v>432.05</v>
      </c>
    </row>
    <row r="146" spans="1:21">
      <c r="A146" s="91">
        <v>42338</v>
      </c>
      <c r="B146" s="86">
        <v>42338</v>
      </c>
      <c r="C146" s="93">
        <v>1.41884222474461</v>
      </c>
      <c r="D146" s="85" t="s">
        <v>607</v>
      </c>
      <c r="F146" s="91">
        <v>42338</v>
      </c>
      <c r="G146">
        <v>456.64</v>
      </c>
      <c r="H146">
        <v>506.27</v>
      </c>
      <c r="I146" s="94">
        <v>427.12</v>
      </c>
      <c r="J146" s="94">
        <v>462.31</v>
      </c>
      <c r="K146" s="94">
        <v>543.66999999999996</v>
      </c>
      <c r="L146" s="94">
        <v>486.74</v>
      </c>
      <c r="M146" s="94">
        <v>442.98</v>
      </c>
      <c r="N146" s="94">
        <v>460.71</v>
      </c>
      <c r="O146" s="94">
        <v>461.06</v>
      </c>
      <c r="P146" s="94">
        <v>448.38</v>
      </c>
      <c r="Q146" s="94">
        <v>466.28</v>
      </c>
      <c r="R146" s="94">
        <v>459.81</v>
      </c>
      <c r="S146" s="94">
        <v>501.56</v>
      </c>
      <c r="T146" s="94">
        <v>479.24</v>
      </c>
      <c r="U146" s="94">
        <v>442.52</v>
      </c>
    </row>
    <row r="147" spans="1:21">
      <c r="A147" s="91">
        <v>42331</v>
      </c>
      <c r="B147" s="86">
        <v>42331</v>
      </c>
      <c r="C147" s="93">
        <v>1.4234875444839898</v>
      </c>
      <c r="D147" s="85" t="s">
        <v>608</v>
      </c>
      <c r="F147" s="91">
        <v>42331</v>
      </c>
      <c r="G147">
        <v>451.64</v>
      </c>
      <c r="H147">
        <v>447.34</v>
      </c>
      <c r="I147" s="94">
        <v>432.13</v>
      </c>
      <c r="J147" s="94">
        <v>458.95</v>
      </c>
      <c r="K147" s="94">
        <v>531.86</v>
      </c>
      <c r="L147" s="94">
        <v>493.19</v>
      </c>
      <c r="M147" s="94">
        <v>442.13</v>
      </c>
      <c r="N147" s="94">
        <v>459.46</v>
      </c>
      <c r="O147" s="94">
        <v>459.6</v>
      </c>
      <c r="P147" s="94">
        <v>448.38</v>
      </c>
      <c r="Q147" s="94">
        <v>460.4</v>
      </c>
      <c r="R147" s="94">
        <v>469.73</v>
      </c>
      <c r="S147" s="94">
        <v>494.22</v>
      </c>
      <c r="T147" s="94">
        <v>465.79</v>
      </c>
      <c r="U147" s="94">
        <v>447.84</v>
      </c>
    </row>
    <row r="148" spans="1:21">
      <c r="A148" s="91">
        <v>42324</v>
      </c>
      <c r="B148" s="86">
        <v>42324</v>
      </c>
      <c r="C148" s="93">
        <v>1.4168319637291</v>
      </c>
      <c r="D148" s="85" t="s">
        <v>609</v>
      </c>
      <c r="F148" s="91">
        <v>42324</v>
      </c>
      <c r="G148">
        <v>466.64</v>
      </c>
      <c r="H148">
        <v>485.19</v>
      </c>
      <c r="I148" s="94">
        <v>432.73</v>
      </c>
      <c r="J148" s="94">
        <v>462.31</v>
      </c>
      <c r="K148" s="94">
        <v>542.54999999999995</v>
      </c>
      <c r="L148" s="94">
        <v>498.03</v>
      </c>
      <c r="M148" s="94">
        <v>453.1</v>
      </c>
      <c r="N148" s="94">
        <v>464.97</v>
      </c>
      <c r="O148" s="94">
        <v>481.19</v>
      </c>
      <c r="P148" s="94">
        <v>448.38</v>
      </c>
      <c r="Q148" s="94">
        <v>468.97</v>
      </c>
      <c r="R148" s="94">
        <v>492.87</v>
      </c>
      <c r="S148" s="94">
        <v>505.3</v>
      </c>
      <c r="T148" s="94">
        <v>470.83</v>
      </c>
      <c r="U148" s="94">
        <v>446.59</v>
      </c>
    </row>
    <row r="149" spans="1:21">
      <c r="A149" s="91">
        <v>42317</v>
      </c>
      <c r="B149" s="86">
        <v>42317</v>
      </c>
      <c r="C149" s="93">
        <v>1.4003640946646099</v>
      </c>
      <c r="D149" s="85" t="s">
        <v>405</v>
      </c>
      <c r="F149" s="91">
        <v>42317</v>
      </c>
      <c r="G149">
        <v>459.97</v>
      </c>
      <c r="H149">
        <v>439.54</v>
      </c>
      <c r="I149" s="94">
        <v>431.61</v>
      </c>
      <c r="J149" s="94">
        <v>468.19</v>
      </c>
      <c r="K149" s="94">
        <v>555.5</v>
      </c>
      <c r="L149" s="94">
        <v>470.61</v>
      </c>
      <c r="M149" s="94">
        <v>446.77</v>
      </c>
      <c r="N149" s="94">
        <v>463.43</v>
      </c>
      <c r="O149" s="94">
        <v>465.3</v>
      </c>
      <c r="P149" s="94">
        <v>448.38</v>
      </c>
      <c r="Q149" s="94">
        <v>470.49</v>
      </c>
      <c r="R149" s="94">
        <v>478</v>
      </c>
      <c r="S149" s="94">
        <v>506.74</v>
      </c>
      <c r="T149" s="94">
        <v>471.67</v>
      </c>
      <c r="U149" s="94">
        <v>438.79</v>
      </c>
    </row>
    <row r="150" spans="1:21">
      <c r="A150" s="91">
        <v>42310</v>
      </c>
      <c r="B150" s="86">
        <v>42310</v>
      </c>
      <c r="C150" s="93">
        <v>1.40213123948402</v>
      </c>
      <c r="D150" s="85" t="s">
        <v>394</v>
      </c>
      <c r="F150" s="91">
        <v>42310</v>
      </c>
      <c r="G150">
        <v>442.47</v>
      </c>
      <c r="H150">
        <v>435.86</v>
      </c>
      <c r="I150" s="94">
        <v>435.31</v>
      </c>
      <c r="J150" s="94">
        <v>449.7</v>
      </c>
      <c r="K150" s="94">
        <v>541.66</v>
      </c>
      <c r="L150" s="94">
        <v>468.99</v>
      </c>
      <c r="M150" s="94">
        <v>435.49</v>
      </c>
      <c r="N150" s="94">
        <v>459.36</v>
      </c>
      <c r="O150" s="94">
        <v>440.98</v>
      </c>
      <c r="P150" s="94">
        <v>448.38</v>
      </c>
      <c r="Q150" s="94">
        <v>464.88</v>
      </c>
      <c r="R150" s="94">
        <v>449.07</v>
      </c>
      <c r="S150" s="94">
        <v>492.74</v>
      </c>
      <c r="T150" s="94">
        <v>471.21</v>
      </c>
      <c r="U150" s="94">
        <v>440.1</v>
      </c>
    </row>
    <row r="151" spans="1:21">
      <c r="A151" s="91">
        <v>42303</v>
      </c>
      <c r="B151" s="86">
        <v>42303</v>
      </c>
      <c r="C151" s="93">
        <v>1.3919821826280598</v>
      </c>
      <c r="D151" s="85" t="s">
        <v>610</v>
      </c>
      <c r="F151" s="91">
        <v>42303</v>
      </c>
      <c r="G151">
        <v>430.81</v>
      </c>
      <c r="H151">
        <v>435.86</v>
      </c>
      <c r="I151" s="94">
        <v>444.06</v>
      </c>
      <c r="J151" s="94">
        <v>442.14</v>
      </c>
      <c r="K151" s="94">
        <v>509.36</v>
      </c>
      <c r="L151" s="94">
        <v>468.99</v>
      </c>
      <c r="M151" s="94">
        <v>436.69</v>
      </c>
      <c r="N151" s="94">
        <v>463.66</v>
      </c>
      <c r="O151" s="94">
        <v>443.8</v>
      </c>
      <c r="P151" s="94">
        <v>448.38</v>
      </c>
      <c r="Q151" s="94">
        <v>469.4</v>
      </c>
      <c r="R151" s="94">
        <v>439.98</v>
      </c>
      <c r="S151" s="94">
        <v>489.74</v>
      </c>
      <c r="T151" s="94">
        <v>449.36</v>
      </c>
      <c r="U151" s="94">
        <v>446.6</v>
      </c>
    </row>
    <row r="152" spans="1:21">
      <c r="A152" s="91">
        <v>42296</v>
      </c>
      <c r="B152" s="86">
        <v>42296</v>
      </c>
      <c r="C152" s="93">
        <v>1.36668033347</v>
      </c>
      <c r="D152" s="85" t="s">
        <v>611</v>
      </c>
      <c r="F152" s="91">
        <v>42296</v>
      </c>
      <c r="G152">
        <v>443.31</v>
      </c>
      <c r="H152">
        <v>462.22</v>
      </c>
      <c r="I152" s="94">
        <v>454.36</v>
      </c>
      <c r="J152" s="94">
        <v>439.62</v>
      </c>
      <c r="K152" s="94">
        <v>534.11</v>
      </c>
      <c r="L152" s="94">
        <v>480.28</v>
      </c>
      <c r="M152" s="94">
        <v>446.69</v>
      </c>
      <c r="N152" s="94">
        <v>474.83</v>
      </c>
      <c r="O152" s="94">
        <v>472.67</v>
      </c>
      <c r="P152" s="94">
        <v>456.51</v>
      </c>
      <c r="Q152" s="94">
        <v>481.77</v>
      </c>
      <c r="R152" s="94">
        <v>454.03</v>
      </c>
      <c r="S152" s="94">
        <v>501.79</v>
      </c>
      <c r="T152" s="94">
        <v>457.27</v>
      </c>
      <c r="U152" s="94">
        <v>449.46</v>
      </c>
    </row>
    <row r="153" spans="1:21">
      <c r="A153" s="91">
        <v>42289</v>
      </c>
      <c r="B153" s="86">
        <v>42289</v>
      </c>
      <c r="C153" s="93">
        <v>1.3511687609782499</v>
      </c>
      <c r="D153" s="85" t="s">
        <v>612</v>
      </c>
      <c r="F153" s="91">
        <v>42289</v>
      </c>
      <c r="G153">
        <v>463.31</v>
      </c>
      <c r="H153">
        <v>444.84</v>
      </c>
      <c r="I153" s="94">
        <v>461.35</v>
      </c>
      <c r="J153" s="94">
        <v>468.19</v>
      </c>
      <c r="K153" s="94">
        <v>544.74</v>
      </c>
      <c r="L153" s="94">
        <v>485.93</v>
      </c>
      <c r="M153" s="94">
        <v>449.54</v>
      </c>
      <c r="N153" s="94">
        <v>476.09</v>
      </c>
      <c r="O153" s="94">
        <v>470.97</v>
      </c>
      <c r="P153" s="94">
        <v>472.77</v>
      </c>
      <c r="Q153" s="94">
        <v>485.12</v>
      </c>
      <c r="R153" s="94">
        <v>462.29</v>
      </c>
      <c r="S153" s="94">
        <v>511.81</v>
      </c>
      <c r="T153" s="94">
        <v>491.22</v>
      </c>
      <c r="U153" s="94">
        <v>443.95</v>
      </c>
    </row>
    <row r="154" spans="1:21">
      <c r="A154" s="91">
        <v>42282</v>
      </c>
      <c r="B154" s="86">
        <v>42282</v>
      </c>
      <c r="C154" s="93">
        <v>1.35098621994056</v>
      </c>
      <c r="D154" s="85" t="s">
        <v>613</v>
      </c>
      <c r="F154" s="91">
        <v>42282</v>
      </c>
      <c r="G154">
        <v>457.47</v>
      </c>
      <c r="H154">
        <v>494.41</v>
      </c>
      <c r="I154" s="94">
        <v>469.92</v>
      </c>
      <c r="J154" s="94">
        <v>453.9</v>
      </c>
      <c r="K154" s="94">
        <v>541.52</v>
      </c>
      <c r="L154" s="94">
        <v>491.57</v>
      </c>
      <c r="M154" s="94">
        <v>447.97</v>
      </c>
      <c r="N154" s="94">
        <v>477.95</v>
      </c>
      <c r="O154" s="94">
        <v>470.01</v>
      </c>
      <c r="P154" s="94">
        <v>480.9</v>
      </c>
      <c r="Q154" s="94">
        <v>478.99</v>
      </c>
      <c r="R154" s="94">
        <v>451.55</v>
      </c>
      <c r="S154" s="94">
        <v>505.55</v>
      </c>
      <c r="T154" s="94">
        <v>484.6</v>
      </c>
      <c r="U154" s="94">
        <v>443.6</v>
      </c>
    </row>
    <row r="155" spans="1:21">
      <c r="A155" s="91">
        <v>42275</v>
      </c>
      <c r="B155" s="86">
        <v>42275</v>
      </c>
      <c r="C155" s="93">
        <v>1.3601741022850902</v>
      </c>
      <c r="D155" s="85" t="s">
        <v>614</v>
      </c>
      <c r="F155" s="91">
        <v>42275</v>
      </c>
      <c r="G155">
        <v>470.81</v>
      </c>
      <c r="H155">
        <v>459.44</v>
      </c>
      <c r="I155" s="94">
        <v>482.59</v>
      </c>
      <c r="J155" s="94">
        <v>466.51</v>
      </c>
      <c r="K155" s="94">
        <v>553.37</v>
      </c>
      <c r="L155" s="94">
        <v>505.28</v>
      </c>
      <c r="M155" s="94">
        <v>450.33</v>
      </c>
      <c r="N155" s="94">
        <v>480.25</v>
      </c>
      <c r="O155" s="94">
        <v>463.54</v>
      </c>
      <c r="P155" s="94">
        <v>480.9</v>
      </c>
      <c r="Q155" s="94">
        <v>483.26</v>
      </c>
      <c r="R155" s="94">
        <v>463.12</v>
      </c>
      <c r="S155" s="94">
        <v>509.16</v>
      </c>
      <c r="T155" s="94">
        <v>475.17</v>
      </c>
      <c r="U155" s="94">
        <v>452.64</v>
      </c>
    </row>
    <row r="156" spans="1:21">
      <c r="A156" s="91">
        <v>42268</v>
      </c>
      <c r="B156" s="86">
        <v>42268</v>
      </c>
      <c r="C156" s="93">
        <v>1.38064337981499</v>
      </c>
      <c r="D156" s="85" t="s">
        <v>406</v>
      </c>
      <c r="F156" s="91">
        <v>42268</v>
      </c>
      <c r="G156">
        <v>473.31</v>
      </c>
      <c r="H156">
        <v>475.9</v>
      </c>
      <c r="I156" s="94">
        <v>485.57</v>
      </c>
      <c r="J156" s="94">
        <v>488.36</v>
      </c>
      <c r="K156" s="94">
        <v>544.71</v>
      </c>
      <c r="L156" s="94">
        <v>510.93</v>
      </c>
      <c r="M156" s="94">
        <v>454.14</v>
      </c>
      <c r="N156" s="94">
        <v>488.52</v>
      </c>
      <c r="O156" s="94">
        <v>479.6</v>
      </c>
      <c r="P156" s="94">
        <v>489.03</v>
      </c>
      <c r="Q156" s="94">
        <v>491.06</v>
      </c>
      <c r="R156" s="94">
        <v>472.21</v>
      </c>
      <c r="S156" s="94">
        <v>512.57000000000005</v>
      </c>
      <c r="T156" s="94">
        <v>486.3</v>
      </c>
      <c r="U156" s="94">
        <v>472.5</v>
      </c>
    </row>
    <row r="157" spans="1:21">
      <c r="A157" s="91">
        <v>42261</v>
      </c>
      <c r="B157" s="86">
        <v>42261</v>
      </c>
      <c r="C157" s="93">
        <v>1.3635124079629097</v>
      </c>
      <c r="D157" s="85" t="s">
        <v>615</v>
      </c>
      <c r="F157" s="91">
        <v>42261</v>
      </c>
      <c r="G157">
        <v>484.14</v>
      </c>
      <c r="H157">
        <v>497.84</v>
      </c>
      <c r="I157" s="94">
        <v>490.78</v>
      </c>
      <c r="J157" s="94">
        <v>493.4</v>
      </c>
      <c r="K157" s="94">
        <v>566.19000000000005</v>
      </c>
      <c r="L157" s="94">
        <v>523.03</v>
      </c>
      <c r="M157" s="94">
        <v>461.53</v>
      </c>
      <c r="N157" s="94">
        <v>494.65</v>
      </c>
      <c r="O157" s="94">
        <v>492.25</v>
      </c>
      <c r="P157" s="94">
        <v>505.29</v>
      </c>
      <c r="Q157" s="94">
        <v>503.14</v>
      </c>
      <c r="R157" s="94">
        <v>481.3</v>
      </c>
      <c r="S157" s="94">
        <v>525.72</v>
      </c>
      <c r="T157" s="94">
        <v>511.75</v>
      </c>
      <c r="U157" s="94">
        <v>466.61</v>
      </c>
    </row>
    <row r="158" spans="1:21">
      <c r="A158" s="91">
        <v>42254</v>
      </c>
      <c r="B158" s="86">
        <v>42254</v>
      </c>
      <c r="C158" s="93">
        <v>1.3692065448072797</v>
      </c>
      <c r="D158" s="85" t="s">
        <v>616</v>
      </c>
      <c r="F158" s="91">
        <v>42254</v>
      </c>
      <c r="G158">
        <v>489.97</v>
      </c>
      <c r="H158">
        <v>476.18</v>
      </c>
      <c r="I158" s="94">
        <v>500.06</v>
      </c>
      <c r="J158" s="94">
        <v>500.96</v>
      </c>
      <c r="K158" s="94">
        <v>569.33000000000004</v>
      </c>
      <c r="L158" s="94">
        <v>527.87</v>
      </c>
      <c r="M158" s="94">
        <v>447.76</v>
      </c>
      <c r="N158" s="94">
        <v>492.99</v>
      </c>
      <c r="O158" s="94">
        <v>479.15</v>
      </c>
      <c r="P158" s="94">
        <v>505.29</v>
      </c>
      <c r="Q158" s="94">
        <v>499.6</v>
      </c>
      <c r="R158" s="94">
        <v>482.13</v>
      </c>
      <c r="S158" s="94">
        <v>524.64</v>
      </c>
      <c r="T158" s="94">
        <v>507.15</v>
      </c>
      <c r="U158" s="94">
        <v>471.87</v>
      </c>
    </row>
    <row r="159" spans="1:21">
      <c r="A159" s="91">
        <v>42247</v>
      </c>
      <c r="B159" s="86">
        <v>42247</v>
      </c>
      <c r="C159" s="93">
        <v>1.3745137657553599</v>
      </c>
      <c r="D159" s="85" t="s">
        <v>617</v>
      </c>
      <c r="F159" s="91">
        <v>42247</v>
      </c>
      <c r="G159">
        <v>492.47</v>
      </c>
      <c r="H159">
        <v>452.05</v>
      </c>
      <c r="I159" s="94">
        <v>513.91</v>
      </c>
      <c r="J159" s="94">
        <v>484.16</v>
      </c>
      <c r="K159" s="94">
        <v>558.5</v>
      </c>
      <c r="L159" s="94">
        <v>541.57000000000005</v>
      </c>
      <c r="M159" s="94">
        <v>467.28</v>
      </c>
      <c r="N159" s="94">
        <v>506.6</v>
      </c>
      <c r="O159" s="94">
        <v>479.19</v>
      </c>
      <c r="P159" s="94">
        <v>513.41999999999996</v>
      </c>
      <c r="Q159" s="94">
        <v>506.1</v>
      </c>
      <c r="R159" s="94">
        <v>482.95</v>
      </c>
      <c r="S159" s="94">
        <v>516.62</v>
      </c>
      <c r="T159" s="94">
        <v>473.23</v>
      </c>
      <c r="U159" s="94">
        <v>477.3</v>
      </c>
    </row>
    <row r="160" spans="1:21">
      <c r="A160" s="91">
        <v>42240</v>
      </c>
      <c r="B160" s="86">
        <v>42240</v>
      </c>
      <c r="C160" s="93">
        <v>1.3694878115584797</v>
      </c>
      <c r="D160" s="85" t="s">
        <v>618</v>
      </c>
      <c r="F160" s="91">
        <v>42240</v>
      </c>
      <c r="G160">
        <v>509.97</v>
      </c>
      <c r="H160">
        <v>488.75</v>
      </c>
      <c r="I160" s="94">
        <v>521.02</v>
      </c>
      <c r="J160" s="94">
        <v>506.84</v>
      </c>
      <c r="K160" s="94">
        <v>574.54</v>
      </c>
      <c r="L160" s="94">
        <v>562.54</v>
      </c>
      <c r="M160" s="94">
        <v>506.12</v>
      </c>
      <c r="N160" s="94">
        <v>537.39</v>
      </c>
      <c r="O160" s="94">
        <v>517.54999999999995</v>
      </c>
      <c r="P160" s="94">
        <v>529.67999999999995</v>
      </c>
      <c r="Q160" s="94">
        <v>536.28</v>
      </c>
      <c r="R160" s="94">
        <v>513.53</v>
      </c>
      <c r="S160" s="94">
        <v>556.99</v>
      </c>
      <c r="T160" s="94">
        <v>516.57000000000005</v>
      </c>
      <c r="U160" s="94">
        <v>498.66</v>
      </c>
    </row>
    <row r="161" spans="1:21">
      <c r="A161" s="91">
        <v>42233</v>
      </c>
      <c r="B161" s="86">
        <v>42233</v>
      </c>
      <c r="C161" s="93">
        <v>1.4074595355383501</v>
      </c>
      <c r="D161" s="85" t="s">
        <v>474</v>
      </c>
      <c r="F161" s="91">
        <v>42233</v>
      </c>
      <c r="G161">
        <v>531.64</v>
      </c>
      <c r="H161">
        <v>527.84</v>
      </c>
      <c r="I161" s="94">
        <v>529.29999999999995</v>
      </c>
      <c r="J161" s="94">
        <v>550.54</v>
      </c>
      <c r="K161" s="94">
        <v>606.70000000000005</v>
      </c>
      <c r="L161" s="94">
        <v>581.09</v>
      </c>
      <c r="M161" s="94">
        <v>523.66999999999996</v>
      </c>
      <c r="N161" s="94">
        <v>549.15</v>
      </c>
      <c r="O161" s="94">
        <v>539.36</v>
      </c>
      <c r="P161" s="94">
        <v>545.94000000000005</v>
      </c>
      <c r="Q161" s="94">
        <v>553.02</v>
      </c>
      <c r="R161" s="94">
        <v>542.46</v>
      </c>
      <c r="S161" s="94">
        <v>573.46</v>
      </c>
      <c r="T161" s="94">
        <v>535.94000000000005</v>
      </c>
      <c r="U161" s="94">
        <v>528.29999999999995</v>
      </c>
    </row>
    <row r="162" spans="1:21">
      <c r="A162" s="91">
        <v>42226</v>
      </c>
      <c r="B162" s="86">
        <v>42226</v>
      </c>
      <c r="C162" s="93">
        <v>1.4142271248762599</v>
      </c>
      <c r="D162" s="85" t="s">
        <v>619</v>
      </c>
      <c r="F162" s="91">
        <v>42226</v>
      </c>
      <c r="G162">
        <v>558.30999999999995</v>
      </c>
      <c r="H162">
        <v>550.98</v>
      </c>
      <c r="I162" s="94">
        <v>533.48</v>
      </c>
      <c r="J162" s="94">
        <v>571.54999999999995</v>
      </c>
      <c r="K162" s="94">
        <v>625.04</v>
      </c>
      <c r="L162" s="94">
        <v>587.54</v>
      </c>
      <c r="M162" s="94">
        <v>537</v>
      </c>
      <c r="N162" s="94">
        <v>566.22</v>
      </c>
      <c r="O162" s="94">
        <v>557.51</v>
      </c>
      <c r="P162" s="94">
        <v>562.20000000000005</v>
      </c>
      <c r="Q162" s="94">
        <v>561.91999999999996</v>
      </c>
      <c r="R162" s="94">
        <v>562.29</v>
      </c>
      <c r="S162" s="94">
        <v>589.15</v>
      </c>
      <c r="T162" s="94">
        <v>552.53</v>
      </c>
      <c r="U162" s="94">
        <v>541.41999999999996</v>
      </c>
    </row>
    <row r="163" spans="1:21">
      <c r="A163" s="91">
        <v>42219</v>
      </c>
      <c r="B163" s="86">
        <v>42219</v>
      </c>
      <c r="C163" s="93">
        <v>1.4228799089356901</v>
      </c>
      <c r="D163" s="85" t="s">
        <v>620</v>
      </c>
      <c r="F163" s="91">
        <v>42219</v>
      </c>
      <c r="G163">
        <v>564.14</v>
      </c>
      <c r="H163">
        <v>558.66</v>
      </c>
      <c r="I163" s="94">
        <v>536.03</v>
      </c>
      <c r="J163" s="94">
        <v>586.67999999999995</v>
      </c>
      <c r="K163" s="94">
        <v>652.95000000000005</v>
      </c>
      <c r="L163" s="94">
        <v>595.61</v>
      </c>
      <c r="M163" s="94">
        <v>531.33000000000004</v>
      </c>
      <c r="N163" s="94">
        <v>579.75</v>
      </c>
      <c r="O163" s="94">
        <v>570.74</v>
      </c>
      <c r="P163" s="94">
        <v>570.33000000000004</v>
      </c>
      <c r="Q163" s="94">
        <v>577.01</v>
      </c>
      <c r="R163" s="94">
        <v>573.86</v>
      </c>
      <c r="S163" s="94">
        <v>599.79</v>
      </c>
      <c r="T163" s="94">
        <v>569.02</v>
      </c>
      <c r="U163" s="94">
        <v>552.26</v>
      </c>
    </row>
    <row r="164" spans="1:21">
      <c r="A164" s="91">
        <v>42212</v>
      </c>
      <c r="B164" s="86">
        <v>42212</v>
      </c>
      <c r="C164" s="93">
        <v>1.4031149151115503</v>
      </c>
      <c r="D164" s="85" t="s">
        <v>621</v>
      </c>
      <c r="F164" s="91">
        <v>42212</v>
      </c>
      <c r="G164">
        <v>578.30999999999995</v>
      </c>
      <c r="H164">
        <v>594.61</v>
      </c>
      <c r="I164" s="94">
        <v>536.97</v>
      </c>
      <c r="J164" s="94">
        <v>588.36</v>
      </c>
      <c r="K164" s="94">
        <v>657.24</v>
      </c>
      <c r="L164" s="94">
        <v>603.66999999999996</v>
      </c>
      <c r="M164" s="94">
        <v>560.98</v>
      </c>
      <c r="N164" s="94">
        <v>595.52</v>
      </c>
      <c r="O164" s="94">
        <v>584.46</v>
      </c>
      <c r="P164" s="94">
        <v>570.33000000000004</v>
      </c>
      <c r="Q164" s="94">
        <v>596.54999999999995</v>
      </c>
      <c r="R164" s="94">
        <v>586.26</v>
      </c>
      <c r="S164" s="94">
        <v>618.74</v>
      </c>
      <c r="T164" s="94">
        <v>584.58000000000004</v>
      </c>
      <c r="U164" s="94">
        <v>548.41</v>
      </c>
    </row>
    <row r="165" spans="1:21">
      <c r="A165" s="91">
        <v>42205</v>
      </c>
      <c r="B165" s="86">
        <v>42205</v>
      </c>
      <c r="C165" s="93">
        <v>1.4345144168698898</v>
      </c>
      <c r="D165" s="85" t="s">
        <v>622</v>
      </c>
      <c r="F165" s="91">
        <v>42205</v>
      </c>
      <c r="G165">
        <v>584.14</v>
      </c>
      <c r="H165">
        <v>589.74</v>
      </c>
      <c r="I165" s="94">
        <v>537.17999999999995</v>
      </c>
      <c r="J165" s="94">
        <v>595.91999999999996</v>
      </c>
      <c r="K165" s="94">
        <v>657.24</v>
      </c>
      <c r="L165" s="94">
        <v>610.12</v>
      </c>
      <c r="M165" s="94">
        <v>572.05999999999995</v>
      </c>
      <c r="N165" s="94">
        <v>602.61</v>
      </c>
      <c r="O165" s="94">
        <v>612.16999999999996</v>
      </c>
      <c r="P165" s="94">
        <v>570.33000000000004</v>
      </c>
      <c r="Q165" s="94">
        <v>607.47</v>
      </c>
      <c r="R165" s="94">
        <v>599.48</v>
      </c>
      <c r="S165" s="94">
        <v>630</v>
      </c>
      <c r="T165" s="94">
        <v>599.51</v>
      </c>
      <c r="U165" s="94">
        <v>564.79999999999995</v>
      </c>
    </row>
    <row r="166" spans="1:21">
      <c r="A166" s="91">
        <v>42198</v>
      </c>
      <c r="B166" s="86">
        <v>42198</v>
      </c>
      <c r="C166" s="93">
        <v>1.4054813773717501</v>
      </c>
      <c r="D166" s="85" t="s">
        <v>623</v>
      </c>
      <c r="F166" s="91">
        <v>42198</v>
      </c>
      <c r="G166">
        <v>594.14</v>
      </c>
      <c r="H166">
        <v>589.74</v>
      </c>
      <c r="I166" s="94">
        <v>535.91999999999996</v>
      </c>
      <c r="J166" s="94">
        <v>621.97</v>
      </c>
      <c r="K166" s="94">
        <v>702.19</v>
      </c>
      <c r="L166" s="94">
        <v>610.92999999999995</v>
      </c>
      <c r="M166" s="94">
        <v>572.49</v>
      </c>
      <c r="N166" s="94">
        <v>603.91999999999996</v>
      </c>
      <c r="O166" s="94">
        <v>610.34</v>
      </c>
      <c r="P166" s="94">
        <v>562.20000000000005</v>
      </c>
      <c r="Q166" s="94">
        <v>606.07000000000005</v>
      </c>
      <c r="R166" s="94">
        <v>617.66999999999996</v>
      </c>
      <c r="S166" s="94">
        <v>638.94000000000005</v>
      </c>
      <c r="T166" s="94">
        <v>603.51</v>
      </c>
      <c r="U166" s="94">
        <v>548.91</v>
      </c>
    </row>
    <row r="167" spans="1:21">
      <c r="A167" s="91">
        <v>42191</v>
      </c>
      <c r="B167" s="86">
        <v>42191</v>
      </c>
      <c r="C167" s="93">
        <v>1.41242937853107</v>
      </c>
      <c r="D167" s="85" t="s">
        <v>624</v>
      </c>
      <c r="F167" s="91">
        <v>42191</v>
      </c>
      <c r="G167">
        <v>584.97</v>
      </c>
      <c r="H167">
        <v>592.29999999999995</v>
      </c>
      <c r="I167" s="94">
        <v>534.20000000000005</v>
      </c>
      <c r="J167" s="94">
        <v>609.37</v>
      </c>
      <c r="K167" s="94">
        <v>691.6</v>
      </c>
      <c r="L167" s="94">
        <v>605.28</v>
      </c>
      <c r="M167" s="94">
        <v>553.16</v>
      </c>
      <c r="N167" s="94">
        <v>603.23</v>
      </c>
      <c r="O167" s="94">
        <v>584.98</v>
      </c>
      <c r="P167" s="94">
        <v>594.72</v>
      </c>
      <c r="Q167" s="94">
        <v>603.73</v>
      </c>
      <c r="R167" s="94">
        <v>601.14</v>
      </c>
      <c r="S167" s="94">
        <v>634.73</v>
      </c>
      <c r="T167" s="94">
        <v>592.75</v>
      </c>
      <c r="U167" s="94">
        <v>550.80999999999995</v>
      </c>
    </row>
    <row r="168" spans="1:21">
      <c r="A168" s="91">
        <v>42184</v>
      </c>
      <c r="B168" s="86">
        <v>42184</v>
      </c>
      <c r="C168" s="93">
        <v>1.41143260409315</v>
      </c>
      <c r="D168" s="85" t="s">
        <v>462</v>
      </c>
      <c r="F168" s="91">
        <v>42184</v>
      </c>
      <c r="G168">
        <v>578.30999999999995</v>
      </c>
      <c r="H168">
        <v>576.85</v>
      </c>
      <c r="I168" s="94">
        <v>532.02</v>
      </c>
      <c r="J168" s="94">
        <v>601.79999999999995</v>
      </c>
      <c r="K168" s="94">
        <v>659.48</v>
      </c>
      <c r="L168" s="94">
        <v>613.35</v>
      </c>
      <c r="M168" s="94">
        <v>570.25</v>
      </c>
      <c r="N168" s="94">
        <v>600.1</v>
      </c>
      <c r="O168" s="94">
        <v>588.53</v>
      </c>
      <c r="P168" s="94">
        <v>570.33000000000004</v>
      </c>
      <c r="Q168" s="94">
        <v>605.9</v>
      </c>
      <c r="R168" s="94">
        <v>593.70000000000005</v>
      </c>
      <c r="S168" s="94">
        <v>633.41</v>
      </c>
      <c r="T168" s="94">
        <v>579.14</v>
      </c>
      <c r="U168" s="94">
        <v>552.92999999999995</v>
      </c>
    </row>
    <row r="169" spans="1:21">
      <c r="A169" s="91">
        <v>42177</v>
      </c>
      <c r="B169" s="86">
        <v>42177</v>
      </c>
      <c r="C169" s="93">
        <v>1.3948946854512496</v>
      </c>
      <c r="D169" s="85" t="s">
        <v>473</v>
      </c>
      <c r="F169" s="91">
        <v>42177</v>
      </c>
      <c r="G169">
        <v>582.47</v>
      </c>
      <c r="H169">
        <v>603.04</v>
      </c>
      <c r="I169" s="94">
        <v>533.14</v>
      </c>
      <c r="J169" s="94">
        <v>605.16</v>
      </c>
      <c r="K169" s="94">
        <v>667.96</v>
      </c>
      <c r="L169" s="94">
        <v>613.35</v>
      </c>
      <c r="M169" s="94">
        <v>578.09</v>
      </c>
      <c r="N169" s="94">
        <v>602.23</v>
      </c>
      <c r="O169" s="94">
        <v>609.96</v>
      </c>
      <c r="P169" s="94">
        <v>570.33000000000004</v>
      </c>
      <c r="Q169" s="94">
        <v>608.91999999999996</v>
      </c>
      <c r="R169" s="94">
        <v>604.44000000000005</v>
      </c>
      <c r="S169" s="94">
        <v>643.87</v>
      </c>
      <c r="T169" s="94">
        <v>587.64</v>
      </c>
      <c r="U169" s="94">
        <v>546.98</v>
      </c>
    </row>
    <row r="170" spans="1:21">
      <c r="A170" s="91">
        <v>42170</v>
      </c>
      <c r="B170" s="86">
        <v>42170</v>
      </c>
      <c r="C170" s="93">
        <v>1.3823610727121902</v>
      </c>
      <c r="D170" s="85" t="s">
        <v>625</v>
      </c>
      <c r="F170" s="91">
        <v>42170</v>
      </c>
      <c r="G170">
        <v>587.47</v>
      </c>
      <c r="H170">
        <v>612.14</v>
      </c>
      <c r="I170" s="94">
        <v>526.80999999999995</v>
      </c>
      <c r="J170" s="94">
        <v>605.16</v>
      </c>
      <c r="K170" s="94">
        <v>680.98</v>
      </c>
      <c r="L170" s="94">
        <v>608.51</v>
      </c>
      <c r="M170" s="94">
        <v>570.5</v>
      </c>
      <c r="N170" s="94">
        <v>591.66</v>
      </c>
      <c r="O170" s="94">
        <v>584.22</v>
      </c>
      <c r="P170" s="94">
        <v>570.33000000000004</v>
      </c>
      <c r="Q170" s="94">
        <v>602.1</v>
      </c>
      <c r="R170" s="94">
        <v>601.14</v>
      </c>
      <c r="S170" s="94">
        <v>637.61</v>
      </c>
      <c r="T170" s="94">
        <v>592.41999999999996</v>
      </c>
      <c r="U170" s="94">
        <v>539.65</v>
      </c>
    </row>
    <row r="171" spans="1:21">
      <c r="A171" s="91">
        <v>42163</v>
      </c>
      <c r="B171" s="86">
        <v>42163</v>
      </c>
      <c r="C171" s="93">
        <v>1.3664935774801898</v>
      </c>
      <c r="D171" s="85" t="s">
        <v>626</v>
      </c>
      <c r="F171" s="91">
        <v>42163</v>
      </c>
      <c r="G171">
        <v>574.14</v>
      </c>
      <c r="H171">
        <v>575.28</v>
      </c>
      <c r="I171" s="94">
        <v>523.22</v>
      </c>
      <c r="J171" s="94">
        <v>595.91999999999996</v>
      </c>
      <c r="K171" s="94">
        <v>647.70000000000005</v>
      </c>
      <c r="L171" s="94">
        <v>603.66999999999996</v>
      </c>
      <c r="M171" s="94">
        <v>569.80999999999995</v>
      </c>
      <c r="N171" s="94">
        <v>590.25</v>
      </c>
      <c r="O171" s="94">
        <v>583.37</v>
      </c>
      <c r="P171" s="94">
        <v>570.33000000000004</v>
      </c>
      <c r="Q171" s="94">
        <v>598.66</v>
      </c>
      <c r="R171" s="94">
        <v>585.42999999999995</v>
      </c>
      <c r="S171" s="94">
        <v>632.02</v>
      </c>
      <c r="T171" s="94">
        <v>588.95000000000005</v>
      </c>
      <c r="U171" s="94">
        <v>531.96</v>
      </c>
    </row>
    <row r="172" spans="1:21">
      <c r="A172" s="91">
        <v>42156</v>
      </c>
      <c r="B172" s="86">
        <v>42156</v>
      </c>
      <c r="C172" s="93">
        <v>1.3903371567605098</v>
      </c>
      <c r="D172" s="85" t="s">
        <v>398</v>
      </c>
      <c r="F172" s="91">
        <v>42156</v>
      </c>
      <c r="G172">
        <v>569.14</v>
      </c>
      <c r="H172">
        <v>593.46</v>
      </c>
      <c r="I172" s="94">
        <v>522.12</v>
      </c>
      <c r="J172" s="94">
        <v>593.4</v>
      </c>
      <c r="K172" s="94">
        <v>651.04</v>
      </c>
      <c r="L172" s="94">
        <v>598.03</v>
      </c>
      <c r="M172" s="94">
        <v>568.25</v>
      </c>
      <c r="N172" s="94">
        <v>585.46</v>
      </c>
      <c r="O172" s="94">
        <v>585.46</v>
      </c>
      <c r="P172" s="94">
        <v>562.20000000000005</v>
      </c>
      <c r="Q172" s="94">
        <v>596.32000000000005</v>
      </c>
      <c r="R172" s="94">
        <v>579.65</v>
      </c>
      <c r="S172" s="94">
        <v>628.04999999999995</v>
      </c>
      <c r="T172" s="94">
        <v>592.02</v>
      </c>
      <c r="U172" s="94">
        <v>539.80999999999995</v>
      </c>
    </row>
    <row r="173" spans="1:21">
      <c r="A173" s="91">
        <v>42149</v>
      </c>
      <c r="B173" s="86">
        <v>42149</v>
      </c>
      <c r="C173" s="93">
        <v>1.40845070422535</v>
      </c>
      <c r="D173" s="85" t="s">
        <v>459</v>
      </c>
      <c r="F173" s="91">
        <v>42149</v>
      </c>
      <c r="G173">
        <v>569.97</v>
      </c>
      <c r="H173">
        <v>585.28</v>
      </c>
      <c r="I173" s="94">
        <v>521.54</v>
      </c>
      <c r="J173" s="94">
        <v>600.96</v>
      </c>
      <c r="K173" s="94">
        <v>657.8</v>
      </c>
      <c r="L173" s="94">
        <v>599.64</v>
      </c>
      <c r="M173" s="94">
        <v>563.16999999999996</v>
      </c>
      <c r="N173" s="94">
        <v>584.73</v>
      </c>
      <c r="O173" s="94">
        <v>575.48</v>
      </c>
      <c r="P173" s="94">
        <v>570.33000000000004</v>
      </c>
      <c r="Q173" s="94">
        <v>594.74</v>
      </c>
      <c r="R173" s="94">
        <v>578</v>
      </c>
      <c r="S173" s="94">
        <v>625.28</v>
      </c>
      <c r="T173" s="94">
        <v>602.82000000000005</v>
      </c>
      <c r="U173" s="94">
        <v>545.59</v>
      </c>
    </row>
    <row r="174" spans="1:21">
      <c r="A174" s="91">
        <v>42142</v>
      </c>
      <c r="B174" s="86">
        <v>42142</v>
      </c>
      <c r="C174" s="93">
        <v>1.3755158184319101</v>
      </c>
      <c r="D174" s="85" t="s">
        <v>627</v>
      </c>
      <c r="F174" s="91">
        <v>42142</v>
      </c>
      <c r="G174">
        <v>551.64</v>
      </c>
      <c r="H174">
        <v>566.17999999999995</v>
      </c>
      <c r="I174" s="94">
        <v>518.42999999999995</v>
      </c>
      <c r="J174" s="94">
        <v>595.08000000000004</v>
      </c>
      <c r="K174" s="94">
        <v>657.02</v>
      </c>
      <c r="L174" s="94">
        <v>593.19000000000005</v>
      </c>
      <c r="M174" s="94">
        <v>564.08000000000004</v>
      </c>
      <c r="N174" s="94">
        <v>585.61</v>
      </c>
      <c r="O174" s="94">
        <v>574.08000000000004</v>
      </c>
      <c r="P174" s="94">
        <v>570.33000000000004</v>
      </c>
      <c r="Q174" s="94">
        <v>596.29</v>
      </c>
      <c r="R174" s="94">
        <v>582.13</v>
      </c>
      <c r="S174" s="94">
        <v>621.42999999999995</v>
      </c>
      <c r="T174" s="94">
        <v>602.46</v>
      </c>
      <c r="U174" s="94">
        <v>529.55999999999995</v>
      </c>
    </row>
    <row r="175" spans="1:21">
      <c r="A175" s="91">
        <v>42135</v>
      </c>
      <c r="B175" s="86">
        <v>42135</v>
      </c>
      <c r="C175" s="93">
        <v>1.3896609227348502</v>
      </c>
      <c r="D175" s="85" t="s">
        <v>628</v>
      </c>
      <c r="F175" s="91">
        <v>42135</v>
      </c>
      <c r="G175">
        <v>564.14</v>
      </c>
      <c r="H175">
        <v>588.09</v>
      </c>
      <c r="I175" s="94">
        <v>515.66999999999996</v>
      </c>
      <c r="J175" s="94">
        <v>595.08000000000004</v>
      </c>
      <c r="K175" s="94">
        <v>648.54999999999995</v>
      </c>
      <c r="L175" s="94">
        <v>586.74</v>
      </c>
      <c r="M175" s="94">
        <v>570.29</v>
      </c>
      <c r="N175" s="94">
        <v>588</v>
      </c>
      <c r="O175" s="94">
        <v>585.5</v>
      </c>
      <c r="P175" s="94">
        <v>570.33000000000004</v>
      </c>
      <c r="Q175" s="94">
        <v>596.77</v>
      </c>
      <c r="R175" s="94">
        <v>587.91</v>
      </c>
      <c r="S175" s="94">
        <v>625.02</v>
      </c>
      <c r="T175" s="94">
        <v>608.17999999999995</v>
      </c>
      <c r="U175" s="94">
        <v>527.58000000000004</v>
      </c>
    </row>
    <row r="176" spans="1:21">
      <c r="A176" s="91">
        <v>42128</v>
      </c>
      <c r="B176" s="86">
        <v>42128</v>
      </c>
      <c r="C176" s="93">
        <v>1.3552339133734499</v>
      </c>
      <c r="D176" s="85" t="s">
        <v>419</v>
      </c>
      <c r="F176" s="91">
        <v>42128</v>
      </c>
      <c r="G176">
        <v>559.97</v>
      </c>
      <c r="H176">
        <v>587.26</v>
      </c>
      <c r="I176" s="94">
        <v>509.4</v>
      </c>
      <c r="J176" s="94">
        <v>596.76</v>
      </c>
      <c r="K176" s="94">
        <v>654.82000000000005</v>
      </c>
      <c r="L176" s="94">
        <v>587.54</v>
      </c>
      <c r="M176" s="94">
        <v>566.76</v>
      </c>
      <c r="N176" s="94">
        <v>584.64</v>
      </c>
      <c r="O176" s="94">
        <v>588.29</v>
      </c>
      <c r="P176" s="94">
        <v>562.20000000000005</v>
      </c>
      <c r="Q176" s="94">
        <v>591.78</v>
      </c>
      <c r="R176" s="94">
        <v>584.61</v>
      </c>
      <c r="S176" s="94">
        <v>626.74</v>
      </c>
      <c r="T176" s="94">
        <v>611.66</v>
      </c>
      <c r="U176" s="94">
        <v>505.16</v>
      </c>
    </row>
    <row r="177" spans="1:21">
      <c r="A177" s="91">
        <v>42121</v>
      </c>
      <c r="B177" s="86">
        <v>42121</v>
      </c>
      <c r="C177" s="93">
        <v>1.3962580284836601</v>
      </c>
      <c r="D177" s="85" t="s">
        <v>458</v>
      </c>
      <c r="F177" s="91">
        <v>42121</v>
      </c>
      <c r="G177">
        <v>564.14</v>
      </c>
      <c r="H177">
        <v>581.97</v>
      </c>
      <c r="I177" s="94">
        <v>501.8</v>
      </c>
      <c r="J177" s="94">
        <v>589.20000000000005</v>
      </c>
      <c r="K177" s="94">
        <v>661.59</v>
      </c>
      <c r="L177" s="94">
        <v>610.16999999999996</v>
      </c>
      <c r="M177" s="94">
        <v>558.13</v>
      </c>
      <c r="N177" s="94">
        <v>573.33000000000004</v>
      </c>
      <c r="O177" s="94">
        <v>582.45000000000005</v>
      </c>
      <c r="P177" s="94">
        <v>554.07000000000005</v>
      </c>
      <c r="Q177" s="94">
        <v>584.53</v>
      </c>
      <c r="R177" s="94">
        <v>583.78</v>
      </c>
      <c r="S177" s="94">
        <v>618.92999999999995</v>
      </c>
      <c r="T177" s="94">
        <v>593.1</v>
      </c>
      <c r="U177" s="94">
        <v>512.09</v>
      </c>
    </row>
    <row r="178" spans="1:21">
      <c r="A178" s="91">
        <v>42114</v>
      </c>
      <c r="B178" s="86">
        <v>42114</v>
      </c>
      <c r="C178" s="93">
        <v>1.3897574873184599</v>
      </c>
      <c r="D178" s="85" t="s">
        <v>417</v>
      </c>
      <c r="F178" s="91">
        <v>42114</v>
      </c>
      <c r="G178">
        <v>552.47</v>
      </c>
      <c r="H178">
        <v>556.27</v>
      </c>
      <c r="I178" s="94">
        <v>490.88</v>
      </c>
      <c r="J178" s="94">
        <v>577.42999999999995</v>
      </c>
      <c r="K178" s="94">
        <v>650.91</v>
      </c>
      <c r="L178" s="94">
        <v>590.82000000000005</v>
      </c>
      <c r="M178" s="94">
        <v>544.22</v>
      </c>
      <c r="N178" s="94">
        <v>557.27</v>
      </c>
      <c r="O178" s="94">
        <v>557.9</v>
      </c>
      <c r="P178" s="94">
        <v>529.67999999999995</v>
      </c>
      <c r="Q178" s="94">
        <v>570.54999999999995</v>
      </c>
      <c r="R178" s="94">
        <v>567.25</v>
      </c>
      <c r="S178" s="94">
        <v>602.72</v>
      </c>
      <c r="T178" s="94">
        <v>596.57000000000005</v>
      </c>
      <c r="U178" s="94">
        <v>501.84</v>
      </c>
    </row>
    <row r="179" spans="1:21">
      <c r="A179" s="91">
        <v>42107</v>
      </c>
      <c r="B179" s="86">
        <v>42107</v>
      </c>
      <c r="C179" s="93">
        <v>1.38600138600139</v>
      </c>
      <c r="D179" s="85" t="s">
        <v>629</v>
      </c>
      <c r="F179" s="91">
        <v>42107</v>
      </c>
      <c r="G179">
        <v>525.80999999999995</v>
      </c>
      <c r="H179">
        <v>554.76</v>
      </c>
      <c r="I179" s="94">
        <v>489.33</v>
      </c>
      <c r="J179" s="94">
        <v>553.05999999999995</v>
      </c>
      <c r="K179" s="94">
        <v>613.53</v>
      </c>
      <c r="L179" s="94">
        <v>584.36</v>
      </c>
      <c r="M179" s="94">
        <v>530.66999999999996</v>
      </c>
      <c r="N179" s="94">
        <v>544.07000000000005</v>
      </c>
      <c r="O179" s="94">
        <v>560.33000000000004</v>
      </c>
      <c r="P179" s="94">
        <v>529.67999999999995</v>
      </c>
      <c r="Q179" s="94">
        <v>562.30999999999995</v>
      </c>
      <c r="R179" s="94">
        <v>544.11</v>
      </c>
      <c r="S179" s="94">
        <v>580.80999999999995</v>
      </c>
      <c r="T179" s="94">
        <v>586.14</v>
      </c>
      <c r="U179" s="94">
        <v>496.53</v>
      </c>
    </row>
    <row r="180" spans="1:21">
      <c r="A180" s="91">
        <v>42093</v>
      </c>
      <c r="B180" s="86">
        <v>42093</v>
      </c>
      <c r="C180" s="93">
        <v>1.3646288209607</v>
      </c>
      <c r="D180" s="85" t="s">
        <v>630</v>
      </c>
      <c r="F180" s="91">
        <v>42093</v>
      </c>
      <c r="G180">
        <v>533.30999999999995</v>
      </c>
      <c r="H180">
        <v>545.44000000000005</v>
      </c>
      <c r="I180" s="94">
        <v>484.31</v>
      </c>
      <c r="J180" s="94">
        <v>543.82000000000005</v>
      </c>
      <c r="K180" s="94">
        <v>637.29999999999995</v>
      </c>
      <c r="L180" s="94">
        <v>579.53</v>
      </c>
      <c r="M180" s="94">
        <v>530.87</v>
      </c>
      <c r="N180" s="94">
        <v>545.59</v>
      </c>
      <c r="O180" s="94">
        <v>555.36</v>
      </c>
      <c r="P180" s="94">
        <v>513.41999999999996</v>
      </c>
      <c r="Q180" s="94">
        <v>565.07000000000005</v>
      </c>
      <c r="R180" s="94">
        <v>550.72</v>
      </c>
      <c r="S180" s="94">
        <v>585.21</v>
      </c>
      <c r="T180" s="94">
        <v>578.20000000000005</v>
      </c>
      <c r="U180" s="94">
        <v>483.54</v>
      </c>
    </row>
    <row r="181" spans="1:21">
      <c r="A181" s="91">
        <v>42086</v>
      </c>
      <c r="B181" s="86">
        <v>42086</v>
      </c>
      <c r="C181" s="93">
        <v>1.3664935774801898</v>
      </c>
      <c r="D181" s="85" t="s">
        <v>631</v>
      </c>
      <c r="F181" s="91">
        <v>42086</v>
      </c>
      <c r="G181">
        <v>519.14</v>
      </c>
      <c r="H181">
        <v>520.48</v>
      </c>
      <c r="I181" s="94">
        <v>483.31</v>
      </c>
      <c r="J181" s="94">
        <v>529.53</v>
      </c>
      <c r="K181" s="94">
        <v>606.26</v>
      </c>
      <c r="L181" s="94">
        <v>573.88</v>
      </c>
      <c r="M181" s="94">
        <v>530.21</v>
      </c>
      <c r="N181" s="94">
        <v>548.11</v>
      </c>
      <c r="O181" s="94">
        <v>554.22</v>
      </c>
      <c r="P181" s="94">
        <v>513.41999999999996</v>
      </c>
      <c r="Q181" s="94">
        <v>565.16999999999996</v>
      </c>
      <c r="R181" s="94">
        <v>539.98</v>
      </c>
      <c r="S181" s="94">
        <v>580.72</v>
      </c>
      <c r="T181" s="94">
        <v>559.16</v>
      </c>
      <c r="U181" s="94">
        <v>479.49</v>
      </c>
    </row>
    <row r="182" spans="1:21">
      <c r="A182" s="91">
        <v>42079</v>
      </c>
      <c r="B182" s="86">
        <v>42079</v>
      </c>
      <c r="C182" s="93">
        <v>1.4023278642546597</v>
      </c>
      <c r="D182" s="85" t="s">
        <v>632</v>
      </c>
      <c r="F182" s="91">
        <v>42079</v>
      </c>
      <c r="G182">
        <v>523.30999999999995</v>
      </c>
      <c r="H182">
        <v>540.07000000000005</v>
      </c>
      <c r="I182" s="94">
        <v>479.61</v>
      </c>
      <c r="J182" s="94">
        <v>536.26</v>
      </c>
      <c r="K182" s="94">
        <v>616.13</v>
      </c>
      <c r="L182" s="94">
        <v>555.33000000000004</v>
      </c>
      <c r="M182" s="94">
        <v>532.02</v>
      </c>
      <c r="N182" s="94">
        <v>547.03</v>
      </c>
      <c r="O182" s="94">
        <v>551.45000000000005</v>
      </c>
      <c r="P182" s="94">
        <v>497.16</v>
      </c>
      <c r="Q182" s="94">
        <v>563.05999999999995</v>
      </c>
      <c r="R182" s="94">
        <v>543.29</v>
      </c>
      <c r="S182" s="94">
        <v>587.09</v>
      </c>
      <c r="T182" s="94">
        <v>558.19000000000005</v>
      </c>
      <c r="U182" s="94">
        <v>484.94</v>
      </c>
    </row>
    <row r="183" spans="1:21">
      <c r="A183" s="91">
        <v>42072</v>
      </c>
      <c r="B183" s="86">
        <v>42072</v>
      </c>
      <c r="C183" s="93">
        <v>1.39159476760367</v>
      </c>
      <c r="D183" s="85" t="s">
        <v>633</v>
      </c>
      <c r="F183" s="91">
        <v>42072</v>
      </c>
      <c r="G183">
        <v>515.80999999999995</v>
      </c>
      <c r="H183">
        <v>529.9</v>
      </c>
      <c r="I183" s="94">
        <v>471.03</v>
      </c>
      <c r="J183" s="94">
        <v>526.16999999999996</v>
      </c>
      <c r="K183" s="94">
        <v>602.38</v>
      </c>
      <c r="L183" s="94">
        <v>541.62</v>
      </c>
      <c r="M183" s="94">
        <v>518.35</v>
      </c>
      <c r="N183" s="94">
        <v>536.54999999999995</v>
      </c>
      <c r="O183" s="94">
        <v>538.98</v>
      </c>
      <c r="P183" s="94">
        <v>489.03</v>
      </c>
      <c r="Q183" s="94">
        <v>552.20000000000005</v>
      </c>
      <c r="R183" s="94">
        <v>533.37</v>
      </c>
      <c r="S183" s="94">
        <v>578.42999999999995</v>
      </c>
      <c r="T183" s="94">
        <v>556.16</v>
      </c>
      <c r="U183" s="94">
        <v>470.03</v>
      </c>
    </row>
    <row r="184" spans="1:21">
      <c r="A184" s="91">
        <v>42065</v>
      </c>
      <c r="B184" s="86">
        <v>42065</v>
      </c>
      <c r="C184" s="93">
        <v>1.3709898546750801</v>
      </c>
      <c r="D184" s="85" t="s">
        <v>446</v>
      </c>
      <c r="F184" s="91">
        <v>42065</v>
      </c>
      <c r="G184">
        <v>503.31</v>
      </c>
      <c r="H184">
        <v>525.69000000000005</v>
      </c>
      <c r="I184" s="94">
        <v>453.32</v>
      </c>
      <c r="J184" s="94">
        <v>511.05</v>
      </c>
      <c r="K184" s="94">
        <v>584.19000000000005</v>
      </c>
      <c r="L184" s="94">
        <v>521.46</v>
      </c>
      <c r="M184" s="94">
        <v>502.17</v>
      </c>
      <c r="N184" s="94">
        <v>516.6</v>
      </c>
      <c r="O184" s="94">
        <v>519.30999999999995</v>
      </c>
      <c r="P184" s="94">
        <v>472.77</v>
      </c>
      <c r="Q184" s="94">
        <v>539.47</v>
      </c>
      <c r="R184" s="94">
        <v>515.19000000000005</v>
      </c>
      <c r="S184" s="94">
        <v>560.58000000000004</v>
      </c>
      <c r="T184" s="94">
        <v>529.69000000000005</v>
      </c>
      <c r="U184" s="94">
        <v>453.1</v>
      </c>
    </row>
    <row r="185" spans="1:21">
      <c r="A185" s="91">
        <v>42058</v>
      </c>
      <c r="B185" s="86">
        <v>42058</v>
      </c>
      <c r="C185" s="93">
        <v>1.3601741022850902</v>
      </c>
      <c r="D185" s="85" t="s">
        <v>634</v>
      </c>
      <c r="F185" s="91">
        <v>42058</v>
      </c>
      <c r="G185">
        <v>492.47</v>
      </c>
      <c r="H185">
        <v>499.33</v>
      </c>
      <c r="I185" s="94">
        <v>450.19</v>
      </c>
      <c r="J185" s="94">
        <v>493.4</v>
      </c>
      <c r="K185" s="94">
        <v>562.72</v>
      </c>
      <c r="L185" s="94">
        <v>507.75</v>
      </c>
      <c r="M185" s="94">
        <v>497.34</v>
      </c>
      <c r="N185" s="94">
        <v>508.71</v>
      </c>
      <c r="O185" s="94">
        <v>511.88</v>
      </c>
      <c r="P185" s="94">
        <v>472.77</v>
      </c>
      <c r="Q185" s="94">
        <v>528.71</v>
      </c>
      <c r="R185" s="94">
        <v>502.79</v>
      </c>
      <c r="S185" s="94">
        <v>550.5</v>
      </c>
      <c r="T185" s="94">
        <v>504.85</v>
      </c>
      <c r="U185" s="94">
        <v>439.84</v>
      </c>
    </row>
    <row r="186" spans="1:21">
      <c r="A186" s="91">
        <v>42051</v>
      </c>
      <c r="B186" s="86">
        <v>42051</v>
      </c>
      <c r="C186" s="93">
        <v>1.3475272874275699</v>
      </c>
      <c r="D186" s="85" t="s">
        <v>580</v>
      </c>
      <c r="F186" s="91">
        <v>42051</v>
      </c>
      <c r="G186">
        <v>482.47</v>
      </c>
      <c r="H186">
        <v>475.03</v>
      </c>
      <c r="I186" s="94">
        <v>431.21</v>
      </c>
      <c r="J186" s="94">
        <v>489.2</v>
      </c>
      <c r="K186" s="94">
        <v>564.21</v>
      </c>
      <c r="L186" s="94">
        <v>499.69</v>
      </c>
      <c r="M186" s="94">
        <v>486.14</v>
      </c>
      <c r="N186" s="94">
        <v>493.41</v>
      </c>
      <c r="O186" s="94">
        <v>498.96</v>
      </c>
      <c r="P186" s="94">
        <v>448.38</v>
      </c>
      <c r="Q186" s="94">
        <v>512.33000000000004</v>
      </c>
      <c r="R186" s="94">
        <v>497</v>
      </c>
      <c r="S186" s="94">
        <v>537.57000000000005</v>
      </c>
      <c r="T186" s="94">
        <v>503.89</v>
      </c>
      <c r="U186" s="94">
        <v>423.57</v>
      </c>
    </row>
    <row r="187" spans="1:21">
      <c r="A187" s="91">
        <v>42044</v>
      </c>
      <c r="B187" s="86">
        <v>42044</v>
      </c>
      <c r="C187" s="93">
        <v>1.34861766689144</v>
      </c>
      <c r="D187" s="85" t="s">
        <v>635</v>
      </c>
      <c r="F187" s="91">
        <v>42044</v>
      </c>
      <c r="G187">
        <v>467.47</v>
      </c>
      <c r="H187">
        <v>480.9</v>
      </c>
      <c r="I187" s="94">
        <v>416.01</v>
      </c>
      <c r="J187" s="94">
        <v>474.07</v>
      </c>
      <c r="K187" s="94">
        <v>544.87</v>
      </c>
      <c r="L187" s="94">
        <v>491.62</v>
      </c>
      <c r="M187" s="94">
        <v>462.36</v>
      </c>
      <c r="N187" s="94">
        <v>468.44</v>
      </c>
      <c r="O187" s="94">
        <v>474.99</v>
      </c>
      <c r="P187" s="94">
        <v>448.38</v>
      </c>
      <c r="Q187" s="94">
        <v>482.47</v>
      </c>
      <c r="R187" s="94">
        <v>463.12</v>
      </c>
      <c r="S187" s="94">
        <v>512.13</v>
      </c>
      <c r="T187" s="94">
        <v>493.13</v>
      </c>
      <c r="U187" s="94">
        <v>413.74</v>
      </c>
    </row>
    <row r="188" spans="1:21">
      <c r="A188" s="91">
        <v>42037</v>
      </c>
      <c r="B188" s="86">
        <v>42037</v>
      </c>
      <c r="C188" s="93">
        <v>1.32872707945788</v>
      </c>
      <c r="D188" s="85" t="s">
        <v>436</v>
      </c>
      <c r="F188" s="91">
        <v>42037</v>
      </c>
      <c r="G188">
        <v>436.64</v>
      </c>
      <c r="H188">
        <v>408.66</v>
      </c>
      <c r="I188" s="94">
        <v>418.35</v>
      </c>
      <c r="J188" s="94">
        <v>436.26</v>
      </c>
      <c r="K188" s="94">
        <v>501.88</v>
      </c>
      <c r="L188" s="94">
        <v>473.07</v>
      </c>
      <c r="M188" s="94">
        <v>433.61</v>
      </c>
      <c r="N188" s="94">
        <v>439.9</v>
      </c>
      <c r="O188" s="94">
        <v>447.57</v>
      </c>
      <c r="P188" s="94">
        <v>415.86</v>
      </c>
      <c r="Q188" s="94">
        <v>456.61</v>
      </c>
      <c r="R188" s="94">
        <v>435.02</v>
      </c>
      <c r="S188" s="94">
        <v>477.04</v>
      </c>
      <c r="T188" s="94">
        <v>445.51</v>
      </c>
      <c r="U188" s="94">
        <v>404.17</v>
      </c>
    </row>
    <row r="189" spans="1:21">
      <c r="A189" s="91">
        <v>42030</v>
      </c>
      <c r="B189" s="86">
        <v>42030</v>
      </c>
      <c r="C189" s="93">
        <v>1.3352026169971303</v>
      </c>
      <c r="D189" s="85" t="s">
        <v>636</v>
      </c>
      <c r="F189" s="91">
        <v>42030</v>
      </c>
      <c r="G189">
        <v>433.31</v>
      </c>
      <c r="H189">
        <v>405.03</v>
      </c>
      <c r="I189" s="94">
        <v>430.81</v>
      </c>
      <c r="J189" s="94">
        <v>429.53</v>
      </c>
      <c r="K189" s="94">
        <v>493.22</v>
      </c>
      <c r="L189" s="94">
        <v>465.82</v>
      </c>
      <c r="M189" s="94">
        <v>425.88</v>
      </c>
      <c r="N189" s="94">
        <v>435.29</v>
      </c>
      <c r="O189" s="94">
        <v>447.72</v>
      </c>
      <c r="P189" s="94">
        <v>415.86</v>
      </c>
      <c r="Q189" s="94">
        <v>449.5</v>
      </c>
      <c r="R189" s="94">
        <v>434.19</v>
      </c>
      <c r="S189" s="94">
        <v>464.8</v>
      </c>
      <c r="T189" s="94">
        <v>438.89</v>
      </c>
      <c r="U189" s="94">
        <v>409.24</v>
      </c>
    </row>
    <row r="190" spans="1:21">
      <c r="A190" s="91">
        <v>42023</v>
      </c>
      <c r="B190" s="86">
        <v>42023</v>
      </c>
      <c r="C190" s="93">
        <v>1.3048016701461398</v>
      </c>
      <c r="D190" s="85" t="s">
        <v>637</v>
      </c>
      <c r="F190" s="91">
        <v>42023</v>
      </c>
      <c r="G190">
        <v>430.81</v>
      </c>
      <c r="H190">
        <v>414.12</v>
      </c>
      <c r="I190" s="94">
        <v>449.12</v>
      </c>
      <c r="J190" s="94">
        <v>420.29</v>
      </c>
      <c r="K190" s="94">
        <v>489.61</v>
      </c>
      <c r="L190" s="94">
        <v>467.43</v>
      </c>
      <c r="M190" s="94">
        <v>425.75</v>
      </c>
      <c r="N190" s="94">
        <v>440.34</v>
      </c>
      <c r="O190" s="94">
        <v>429.53</v>
      </c>
      <c r="P190" s="94">
        <v>448.38</v>
      </c>
      <c r="Q190" s="94">
        <v>458.72</v>
      </c>
      <c r="R190" s="94">
        <v>435.02</v>
      </c>
      <c r="S190" s="94">
        <v>461.41</v>
      </c>
      <c r="T190" s="94">
        <v>428.29</v>
      </c>
      <c r="U190" s="94">
        <v>405.43</v>
      </c>
    </row>
    <row r="191" spans="1:21">
      <c r="A191" s="91">
        <v>42016</v>
      </c>
      <c r="B191" s="86">
        <v>42016</v>
      </c>
      <c r="C191" s="93">
        <v>1.2835322808368599</v>
      </c>
      <c r="D191" s="85" t="s">
        <v>638</v>
      </c>
      <c r="F191" s="91">
        <v>42016</v>
      </c>
      <c r="G191">
        <v>446.64</v>
      </c>
      <c r="H191">
        <v>453.04</v>
      </c>
      <c r="I191" s="94">
        <v>463.33</v>
      </c>
      <c r="J191" s="94">
        <v>434.58</v>
      </c>
      <c r="K191" s="94">
        <v>493.61</v>
      </c>
      <c r="L191" s="94">
        <v>479.53</v>
      </c>
      <c r="M191" s="94">
        <v>438.42</v>
      </c>
      <c r="N191" s="94">
        <v>457.27</v>
      </c>
      <c r="O191" s="94">
        <v>448.92</v>
      </c>
      <c r="P191" s="94">
        <v>448.38</v>
      </c>
      <c r="Q191" s="94">
        <v>478.83</v>
      </c>
      <c r="R191" s="94">
        <v>448.24</v>
      </c>
      <c r="S191" s="94">
        <v>473.63</v>
      </c>
      <c r="T191" s="94">
        <v>430.69</v>
      </c>
      <c r="U191" s="94">
        <v>420.64</v>
      </c>
    </row>
    <row r="192" spans="1:21" ht="15.75" thickBot="1">
      <c r="A192" s="92">
        <v>42009</v>
      </c>
      <c r="B192" s="86">
        <v>42009</v>
      </c>
      <c r="C192" s="93">
        <v>1.2776287210936499</v>
      </c>
      <c r="D192" s="85" t="s">
        <v>639</v>
      </c>
      <c r="F192" s="92">
        <v>42009</v>
      </c>
      <c r="G192">
        <v>479.14</v>
      </c>
      <c r="H192">
        <v>529.65</v>
      </c>
      <c r="I192" s="94">
        <v>497.24</v>
      </c>
      <c r="J192" s="94">
        <v>461.47</v>
      </c>
      <c r="K192" s="94">
        <v>499.93</v>
      </c>
      <c r="L192" s="94">
        <v>494.85</v>
      </c>
      <c r="M192" s="94">
        <v>442.83</v>
      </c>
      <c r="N192" s="94">
        <v>479.82</v>
      </c>
      <c r="O192" s="94">
        <v>463.48</v>
      </c>
      <c r="P192" s="94">
        <v>448.38</v>
      </c>
      <c r="Q192" s="94">
        <v>505.82</v>
      </c>
      <c r="R192" s="94">
        <v>466.43</v>
      </c>
      <c r="S192" s="94">
        <v>488.37</v>
      </c>
      <c r="T192" s="94">
        <v>458.38</v>
      </c>
      <c r="U192" s="94">
        <v>442.09</v>
      </c>
    </row>
    <row r="193" spans="1:21">
      <c r="A193" s="91">
        <v>41988</v>
      </c>
      <c r="B193" s="86">
        <v>41988</v>
      </c>
      <c r="C193" s="93">
        <v>1.2600806451612898</v>
      </c>
      <c r="D193" s="85" t="s">
        <v>490</v>
      </c>
      <c r="F193" s="91">
        <v>41988</v>
      </c>
      <c r="G193">
        <v>499.14</v>
      </c>
      <c r="H193">
        <v>529.65</v>
      </c>
      <c r="I193" s="94">
        <v>553.09</v>
      </c>
      <c r="J193" s="94">
        <v>487.52</v>
      </c>
      <c r="K193" s="94">
        <v>545.32000000000005</v>
      </c>
      <c r="L193" s="94">
        <v>544.85</v>
      </c>
      <c r="M193" s="94">
        <v>502.37</v>
      </c>
      <c r="N193" s="94">
        <v>530.16999999999996</v>
      </c>
      <c r="O193" s="94">
        <v>507.05</v>
      </c>
      <c r="P193" s="94">
        <v>529.67999999999995</v>
      </c>
      <c r="Q193" s="94">
        <v>552.69000000000005</v>
      </c>
      <c r="R193" s="94">
        <v>519.75</v>
      </c>
      <c r="S193" s="94">
        <v>541.14</v>
      </c>
      <c r="T193" s="94">
        <v>469.86</v>
      </c>
      <c r="U193" s="94">
        <v>491.02</v>
      </c>
    </row>
    <row r="194" spans="1:21">
      <c r="A194" s="91">
        <v>41981</v>
      </c>
      <c r="B194" s="86">
        <v>41981</v>
      </c>
      <c r="C194" s="93">
        <v>1.2746972594008901</v>
      </c>
      <c r="D194" s="85" t="s">
        <v>640</v>
      </c>
      <c r="F194" s="91">
        <v>41981</v>
      </c>
      <c r="G194">
        <v>524.14</v>
      </c>
      <c r="H194">
        <v>529.65</v>
      </c>
      <c r="I194" s="94">
        <v>577.13</v>
      </c>
      <c r="J194" s="94">
        <v>520.29</v>
      </c>
      <c r="K194" s="94">
        <v>577.41</v>
      </c>
      <c r="L194" s="94">
        <v>573.07000000000005</v>
      </c>
      <c r="M194" s="94">
        <v>531.12</v>
      </c>
      <c r="N194" s="94">
        <v>558.1</v>
      </c>
      <c r="O194" s="94">
        <v>541.36</v>
      </c>
      <c r="P194" s="94">
        <v>529.67999999999995</v>
      </c>
      <c r="Q194" s="94">
        <v>577.07000000000005</v>
      </c>
      <c r="R194" s="94">
        <v>546.80999999999995</v>
      </c>
      <c r="S194" s="94">
        <v>571.01</v>
      </c>
      <c r="T194" s="94">
        <v>500.89</v>
      </c>
      <c r="U194" s="94">
        <v>534.24</v>
      </c>
    </row>
    <row r="195" spans="1:21">
      <c r="A195" s="91">
        <v>41974</v>
      </c>
      <c r="B195" s="86">
        <v>41974</v>
      </c>
      <c r="C195" s="93">
        <v>1.2615112905260502</v>
      </c>
      <c r="D195" s="85" t="s">
        <v>641</v>
      </c>
      <c r="F195" s="91">
        <v>41974</v>
      </c>
      <c r="G195">
        <v>569.97</v>
      </c>
      <c r="H195">
        <v>524.12</v>
      </c>
      <c r="I195" s="94">
        <v>588.96</v>
      </c>
      <c r="J195" s="94">
        <v>558.95000000000005</v>
      </c>
      <c r="K195" s="94">
        <v>598.91999999999996</v>
      </c>
      <c r="L195" s="94">
        <v>589.20000000000005</v>
      </c>
      <c r="M195" s="94">
        <v>558.95000000000005</v>
      </c>
      <c r="N195" s="94">
        <v>580.16</v>
      </c>
      <c r="O195" s="94">
        <v>565.91999999999996</v>
      </c>
      <c r="P195" s="94">
        <v>578.46</v>
      </c>
      <c r="Q195" s="94">
        <v>600.14</v>
      </c>
      <c r="R195" s="94">
        <v>568.29999999999995</v>
      </c>
      <c r="S195" s="94">
        <v>604.19000000000005</v>
      </c>
      <c r="T195" s="94">
        <v>538.15</v>
      </c>
      <c r="U195" s="94">
        <v>542.85</v>
      </c>
    </row>
    <row r="196" spans="1:21">
      <c r="A196" s="91">
        <v>41967</v>
      </c>
      <c r="B196" s="86">
        <v>41967</v>
      </c>
      <c r="C196" s="93">
        <v>1.2632642748863099</v>
      </c>
      <c r="D196" s="85" t="s">
        <v>483</v>
      </c>
      <c r="F196" s="91">
        <v>41967</v>
      </c>
      <c r="G196">
        <v>584.97</v>
      </c>
      <c r="H196">
        <v>568.99</v>
      </c>
      <c r="I196" s="94">
        <v>599.42999999999995</v>
      </c>
      <c r="J196" s="94">
        <v>581.63</v>
      </c>
      <c r="K196" s="94">
        <v>641.94000000000005</v>
      </c>
      <c r="L196" s="94">
        <v>598.07000000000005</v>
      </c>
      <c r="M196" s="94">
        <v>565.20000000000005</v>
      </c>
      <c r="N196" s="94">
        <v>588.30999999999995</v>
      </c>
      <c r="O196" s="94">
        <v>576.37</v>
      </c>
      <c r="P196" s="94">
        <v>578.46</v>
      </c>
      <c r="Q196" s="94">
        <v>609.13</v>
      </c>
      <c r="R196" s="94">
        <v>580.69000000000005</v>
      </c>
      <c r="S196" s="94">
        <v>616.05999999999995</v>
      </c>
      <c r="T196" s="94">
        <v>556.42999999999995</v>
      </c>
      <c r="U196" s="94">
        <v>555.36</v>
      </c>
    </row>
    <row r="197" spans="1:21">
      <c r="A197" s="91">
        <v>41960</v>
      </c>
      <c r="B197" s="86">
        <v>41960</v>
      </c>
      <c r="C197" s="93">
        <v>1.2517211165352398</v>
      </c>
      <c r="D197" s="85" t="s">
        <v>642</v>
      </c>
      <c r="F197" s="91">
        <v>41960</v>
      </c>
      <c r="G197">
        <v>599.97</v>
      </c>
      <c r="H197">
        <v>584.03</v>
      </c>
      <c r="I197" s="94">
        <v>609.95000000000005</v>
      </c>
      <c r="J197" s="94">
        <v>587.52</v>
      </c>
      <c r="K197" s="94">
        <v>652.39</v>
      </c>
      <c r="L197" s="94">
        <v>601.29999999999995</v>
      </c>
      <c r="M197" s="94">
        <v>577.53</v>
      </c>
      <c r="N197" s="94">
        <v>604.99</v>
      </c>
      <c r="O197" s="94">
        <v>596.76</v>
      </c>
      <c r="P197" s="94">
        <v>586.59</v>
      </c>
      <c r="Q197" s="94">
        <v>619.9</v>
      </c>
      <c r="R197" s="94">
        <v>584.83000000000004</v>
      </c>
      <c r="S197" s="94">
        <v>632.86</v>
      </c>
      <c r="T197" s="94">
        <v>564.77</v>
      </c>
      <c r="U197" s="94">
        <v>552.42999999999995</v>
      </c>
    </row>
    <row r="198" spans="1:21">
      <c r="A198" s="91">
        <v>41953</v>
      </c>
      <c r="B198" s="86">
        <v>41953</v>
      </c>
      <c r="C198" s="93">
        <v>1.27356087620988</v>
      </c>
      <c r="D198" s="85" t="s">
        <v>448</v>
      </c>
      <c r="F198" s="91">
        <v>41953</v>
      </c>
      <c r="G198">
        <v>599.14</v>
      </c>
      <c r="H198">
        <v>585.69000000000005</v>
      </c>
      <c r="I198" s="94">
        <v>612.52</v>
      </c>
      <c r="J198" s="94">
        <v>600.12</v>
      </c>
      <c r="K198" s="94">
        <v>654.95000000000005</v>
      </c>
      <c r="L198" s="94">
        <v>624.69000000000005</v>
      </c>
      <c r="M198" s="94">
        <v>575.62</v>
      </c>
      <c r="N198" s="94">
        <v>608.11</v>
      </c>
      <c r="O198" s="94">
        <v>595.04</v>
      </c>
      <c r="P198" s="94">
        <v>610.98</v>
      </c>
      <c r="Q198" s="94">
        <v>627.65</v>
      </c>
      <c r="R198" s="94">
        <v>584.83000000000004</v>
      </c>
      <c r="S198" s="94">
        <v>635.17999999999995</v>
      </c>
      <c r="T198" s="94">
        <v>575.75</v>
      </c>
      <c r="U198" s="94">
        <v>566.76</v>
      </c>
    </row>
    <row r="199" spans="1:21">
      <c r="A199" s="91">
        <v>41946</v>
      </c>
      <c r="B199" s="86">
        <v>41946</v>
      </c>
      <c r="C199" s="93">
        <v>1.2806556957162099</v>
      </c>
      <c r="D199" s="85" t="s">
        <v>643</v>
      </c>
      <c r="F199" s="91">
        <v>41946</v>
      </c>
      <c r="G199">
        <v>606.64</v>
      </c>
      <c r="H199">
        <v>585.69000000000005</v>
      </c>
      <c r="I199" s="94">
        <v>616.04999999999995</v>
      </c>
      <c r="J199" s="94">
        <v>601.79999999999995</v>
      </c>
      <c r="K199" s="94">
        <v>663.08</v>
      </c>
      <c r="L199" s="94">
        <v>631.95000000000005</v>
      </c>
      <c r="M199" s="94">
        <v>573.70000000000005</v>
      </c>
      <c r="N199" s="94">
        <v>610.42999999999995</v>
      </c>
      <c r="O199" s="94">
        <v>584.54999999999995</v>
      </c>
      <c r="P199" s="94">
        <v>610.98</v>
      </c>
      <c r="Q199" s="94">
        <v>634.71</v>
      </c>
      <c r="R199" s="94">
        <v>585.65</v>
      </c>
      <c r="S199" s="94">
        <v>635.59</v>
      </c>
      <c r="T199" s="94">
        <v>596.01</v>
      </c>
      <c r="U199" s="94">
        <v>580.54999999999995</v>
      </c>
    </row>
    <row r="200" spans="1:21">
      <c r="A200" s="91">
        <v>41939</v>
      </c>
      <c r="B200" s="86">
        <v>41939</v>
      </c>
      <c r="C200" s="93">
        <v>1.27048659636641</v>
      </c>
      <c r="D200" s="85" t="s">
        <v>644</v>
      </c>
      <c r="F200" s="91">
        <v>41939</v>
      </c>
      <c r="G200">
        <v>605.80999999999995</v>
      </c>
      <c r="H200">
        <v>562.78</v>
      </c>
      <c r="I200" s="94">
        <v>622.80999999999995</v>
      </c>
      <c r="J200" s="94">
        <v>600.96</v>
      </c>
      <c r="K200" s="94">
        <v>654.44000000000005</v>
      </c>
      <c r="L200" s="94">
        <v>648.88</v>
      </c>
      <c r="M200" s="94">
        <v>578.37</v>
      </c>
      <c r="N200" s="94">
        <v>614.63</v>
      </c>
      <c r="O200" s="94">
        <v>592.65</v>
      </c>
      <c r="P200" s="94">
        <v>610.98</v>
      </c>
      <c r="Q200" s="94">
        <v>647.04999999999995</v>
      </c>
      <c r="R200" s="94">
        <v>590.61</v>
      </c>
      <c r="S200" s="94">
        <v>632.95000000000005</v>
      </c>
      <c r="T200" s="94">
        <v>572.67999999999995</v>
      </c>
      <c r="U200" s="94">
        <v>588.39</v>
      </c>
    </row>
    <row r="201" spans="1:21">
      <c r="A201" s="91">
        <v>41932</v>
      </c>
      <c r="B201" s="86">
        <v>41932</v>
      </c>
      <c r="C201" s="93">
        <v>1.2635835228708598</v>
      </c>
      <c r="D201" s="85" t="s">
        <v>645</v>
      </c>
      <c r="F201" s="91">
        <v>41932</v>
      </c>
      <c r="G201">
        <v>626.64</v>
      </c>
      <c r="H201">
        <v>632.04999999999995</v>
      </c>
      <c r="I201" s="94">
        <v>633.99</v>
      </c>
      <c r="J201" s="94">
        <v>578.27</v>
      </c>
      <c r="K201" s="94">
        <v>643.48</v>
      </c>
      <c r="L201" s="94">
        <v>652.91</v>
      </c>
      <c r="M201" s="94">
        <v>603.03</v>
      </c>
      <c r="N201" s="94">
        <v>636.5</v>
      </c>
      <c r="O201" s="94">
        <v>619.01</v>
      </c>
      <c r="P201" s="94">
        <v>610.98</v>
      </c>
      <c r="Q201" s="94">
        <v>660.98</v>
      </c>
      <c r="R201" s="94">
        <v>605.49</v>
      </c>
      <c r="S201" s="94">
        <v>652.58000000000004</v>
      </c>
      <c r="T201" s="94">
        <v>567.71</v>
      </c>
      <c r="U201" s="94">
        <v>588.22</v>
      </c>
    </row>
    <row r="202" spans="1:21">
      <c r="A202" s="91">
        <v>41925</v>
      </c>
      <c r="B202" s="86">
        <v>41925</v>
      </c>
      <c r="C202" s="93">
        <v>1.2690355329949199</v>
      </c>
      <c r="D202" s="85" t="s">
        <v>646</v>
      </c>
      <c r="F202" s="91">
        <v>41925</v>
      </c>
      <c r="G202">
        <v>650.80999999999995</v>
      </c>
      <c r="H202">
        <v>676.02</v>
      </c>
      <c r="I202" s="94">
        <v>637.62</v>
      </c>
      <c r="J202" s="94">
        <v>644.66</v>
      </c>
      <c r="K202" s="94">
        <v>699.63</v>
      </c>
      <c r="L202" s="94">
        <v>668.24</v>
      </c>
      <c r="M202" s="94">
        <v>627.28</v>
      </c>
      <c r="N202" s="94">
        <v>664.69</v>
      </c>
      <c r="O202" s="94">
        <v>664.43</v>
      </c>
      <c r="P202" s="94">
        <v>643.5</v>
      </c>
      <c r="Q202" s="94">
        <v>677.11</v>
      </c>
      <c r="R202" s="94">
        <v>641.02</v>
      </c>
      <c r="S202" s="94">
        <v>685.7</v>
      </c>
      <c r="T202" s="94">
        <v>638.97</v>
      </c>
      <c r="U202" s="94">
        <v>602.36</v>
      </c>
    </row>
    <row r="203" spans="1:21">
      <c r="A203" s="91">
        <v>41918</v>
      </c>
      <c r="B203" s="86">
        <v>41918</v>
      </c>
      <c r="C203" s="93">
        <v>1.2726694241170899</v>
      </c>
      <c r="D203" s="85" t="s">
        <v>647</v>
      </c>
      <c r="F203" s="91">
        <v>41918</v>
      </c>
      <c r="G203">
        <v>659.14</v>
      </c>
      <c r="H203">
        <v>623.70000000000005</v>
      </c>
      <c r="I203" s="94">
        <v>640.16</v>
      </c>
      <c r="J203" s="94">
        <v>658.11</v>
      </c>
      <c r="K203" s="94">
        <v>721.13</v>
      </c>
      <c r="L203" s="94">
        <v>674.69</v>
      </c>
      <c r="M203" s="94">
        <v>629.78</v>
      </c>
      <c r="N203" s="94">
        <v>664.69</v>
      </c>
      <c r="O203" s="94">
        <v>658.43</v>
      </c>
      <c r="P203" s="94">
        <v>671.14</v>
      </c>
      <c r="Q203" s="94">
        <v>681.2</v>
      </c>
      <c r="R203" s="94">
        <v>657.55</v>
      </c>
      <c r="S203" s="94">
        <v>696.18</v>
      </c>
      <c r="T203" s="94">
        <v>650.11</v>
      </c>
      <c r="U203" s="94">
        <v>607.11</v>
      </c>
    </row>
    <row r="204" spans="1:21">
      <c r="A204" s="91">
        <v>41911</v>
      </c>
      <c r="B204" s="86">
        <v>41911</v>
      </c>
      <c r="C204" s="93">
        <v>1.2776287210936499</v>
      </c>
      <c r="D204" s="85" t="s">
        <v>648</v>
      </c>
      <c r="F204" s="91">
        <v>41911</v>
      </c>
      <c r="G204">
        <v>655.81</v>
      </c>
      <c r="H204">
        <v>656.68</v>
      </c>
      <c r="I204" s="94">
        <v>639.39</v>
      </c>
      <c r="J204" s="94">
        <v>661.47</v>
      </c>
      <c r="K204" s="94">
        <v>727.64</v>
      </c>
      <c r="L204" s="94">
        <v>685.17</v>
      </c>
      <c r="M204" s="94">
        <v>627.95000000000005</v>
      </c>
      <c r="N204" s="94">
        <v>666.4</v>
      </c>
      <c r="O204" s="94">
        <v>650.42999999999995</v>
      </c>
      <c r="P204" s="94">
        <v>671.14</v>
      </c>
      <c r="Q204" s="94">
        <v>682.45</v>
      </c>
      <c r="R204" s="94">
        <v>653.41999999999996</v>
      </c>
      <c r="S204" s="94">
        <v>693.57</v>
      </c>
      <c r="T204" s="94">
        <v>641.30999999999995</v>
      </c>
      <c r="U204" s="94">
        <v>628.73</v>
      </c>
    </row>
    <row r="205" spans="1:21">
      <c r="A205" s="91">
        <v>41904</v>
      </c>
      <c r="B205" s="86">
        <v>41904</v>
      </c>
      <c r="C205" s="93">
        <v>1.2712941774726698</v>
      </c>
      <c r="D205" s="85" t="s">
        <v>649</v>
      </c>
      <c r="F205" s="91">
        <v>41904</v>
      </c>
      <c r="G205">
        <v>658.31</v>
      </c>
      <c r="H205">
        <v>684.61</v>
      </c>
      <c r="I205" s="94">
        <v>640.52</v>
      </c>
      <c r="J205" s="94">
        <v>660.63</v>
      </c>
      <c r="K205" s="94">
        <v>721.15</v>
      </c>
      <c r="L205" s="94">
        <v>682.75</v>
      </c>
      <c r="M205" s="94">
        <v>632.95000000000005</v>
      </c>
      <c r="N205" s="94">
        <v>669.67</v>
      </c>
      <c r="O205" s="94">
        <v>665.7</v>
      </c>
      <c r="P205" s="94">
        <v>671.14</v>
      </c>
      <c r="Q205" s="94">
        <v>687.27</v>
      </c>
      <c r="R205" s="94">
        <v>660.03</v>
      </c>
      <c r="S205" s="94">
        <v>696.84</v>
      </c>
      <c r="T205" s="94">
        <v>652.15</v>
      </c>
      <c r="U205" s="94">
        <v>625.87</v>
      </c>
    </row>
    <row r="206" spans="1:21">
      <c r="A206" s="91">
        <v>41897</v>
      </c>
      <c r="B206" s="86">
        <v>41897</v>
      </c>
      <c r="C206" s="93">
        <v>1.2579407509906297</v>
      </c>
      <c r="D206" s="85" t="s">
        <v>650</v>
      </c>
      <c r="F206" s="91">
        <v>41897</v>
      </c>
      <c r="G206">
        <v>661.64</v>
      </c>
      <c r="H206">
        <v>722.88</v>
      </c>
      <c r="I206" s="94">
        <v>639.67999999999995</v>
      </c>
      <c r="J206" s="94">
        <v>665.67</v>
      </c>
      <c r="K206" s="94">
        <v>729.7</v>
      </c>
      <c r="L206" s="94">
        <v>682.75</v>
      </c>
      <c r="M206" s="94">
        <v>636.70000000000005</v>
      </c>
      <c r="N206" s="94">
        <v>674.45</v>
      </c>
      <c r="O206" s="94">
        <v>665.26</v>
      </c>
      <c r="P206" s="94">
        <v>671.14</v>
      </c>
      <c r="Q206" s="94">
        <v>691.25</v>
      </c>
      <c r="R206" s="94">
        <v>666.64</v>
      </c>
      <c r="S206" s="94">
        <v>704.94</v>
      </c>
      <c r="T206" s="94">
        <v>652.15</v>
      </c>
      <c r="U206" s="94">
        <v>617.36</v>
      </c>
    </row>
    <row r="207" spans="1:21">
      <c r="A207" s="91">
        <v>41890</v>
      </c>
      <c r="B207" s="86">
        <v>41890</v>
      </c>
      <c r="C207" s="93">
        <v>1.2463388795413499</v>
      </c>
      <c r="D207" s="85" t="s">
        <v>495</v>
      </c>
      <c r="F207" s="91">
        <v>41890</v>
      </c>
      <c r="G207">
        <v>665.81</v>
      </c>
      <c r="H207">
        <v>671.55</v>
      </c>
      <c r="I207" s="94">
        <v>637.98</v>
      </c>
      <c r="J207" s="94">
        <v>673.23</v>
      </c>
      <c r="K207" s="94">
        <v>751.05</v>
      </c>
      <c r="L207" s="94">
        <v>682.75</v>
      </c>
      <c r="M207" s="94">
        <v>620.70000000000005</v>
      </c>
      <c r="N207" s="94">
        <v>673.46</v>
      </c>
      <c r="O207" s="94">
        <v>656.89</v>
      </c>
      <c r="P207" s="94">
        <v>650</v>
      </c>
      <c r="Q207" s="94">
        <v>692.91</v>
      </c>
      <c r="R207" s="94">
        <v>666.64</v>
      </c>
      <c r="S207" s="94">
        <v>705.68</v>
      </c>
      <c r="T207" s="94">
        <v>665.11</v>
      </c>
      <c r="U207" s="94">
        <v>610.73</v>
      </c>
    </row>
    <row r="208" spans="1:21">
      <c r="A208" s="91">
        <v>41883</v>
      </c>
      <c r="B208" s="86">
        <v>41883</v>
      </c>
      <c r="C208" s="93">
        <v>1.26542233470421</v>
      </c>
      <c r="D208" s="85" t="s">
        <v>651</v>
      </c>
      <c r="F208" s="91">
        <v>41883</v>
      </c>
      <c r="G208">
        <v>641.64</v>
      </c>
      <c r="H208">
        <v>702.63</v>
      </c>
      <c r="I208" s="94">
        <v>635.69000000000005</v>
      </c>
      <c r="J208" s="94">
        <v>673.23</v>
      </c>
      <c r="K208" s="94">
        <v>731.33</v>
      </c>
      <c r="L208" s="94">
        <v>682.75</v>
      </c>
      <c r="M208" s="94">
        <v>636.12</v>
      </c>
      <c r="N208" s="94">
        <v>672.74</v>
      </c>
      <c r="O208" s="94">
        <v>651.38</v>
      </c>
      <c r="P208" s="94">
        <v>650</v>
      </c>
      <c r="Q208" s="94">
        <v>694.86</v>
      </c>
      <c r="R208" s="94">
        <v>655.07000000000005</v>
      </c>
      <c r="S208" s="94">
        <v>702.78</v>
      </c>
      <c r="T208" s="94">
        <v>655.04</v>
      </c>
      <c r="U208" s="94">
        <v>616.55999999999995</v>
      </c>
    </row>
    <row r="209" spans="1:21">
      <c r="A209" s="91">
        <v>41876</v>
      </c>
      <c r="B209" s="86">
        <v>41876</v>
      </c>
      <c r="C209" s="93">
        <v>1.25680244322395</v>
      </c>
      <c r="D209" s="85" t="s">
        <v>652</v>
      </c>
      <c r="F209" s="91">
        <v>41876</v>
      </c>
      <c r="G209">
        <v>628.30999999999995</v>
      </c>
      <c r="H209">
        <v>662.96</v>
      </c>
      <c r="I209" s="94">
        <v>631.79999999999995</v>
      </c>
      <c r="J209" s="94">
        <v>653.9</v>
      </c>
      <c r="K209" s="94">
        <v>730.77</v>
      </c>
      <c r="L209" s="94">
        <v>697.27</v>
      </c>
      <c r="M209" s="94">
        <v>632.28</v>
      </c>
      <c r="N209" s="94">
        <v>676.23</v>
      </c>
      <c r="O209" s="94">
        <v>644.34</v>
      </c>
      <c r="P209" s="94">
        <v>668.8</v>
      </c>
      <c r="Q209" s="94">
        <v>696.38</v>
      </c>
      <c r="R209" s="94">
        <v>650.12</v>
      </c>
      <c r="S209" s="94">
        <v>697.73</v>
      </c>
      <c r="T209" s="94">
        <v>649.39</v>
      </c>
      <c r="U209" s="94">
        <v>615.86</v>
      </c>
    </row>
    <row r="210" spans="1:21">
      <c r="A210" s="91">
        <v>41869</v>
      </c>
      <c r="B210" s="86">
        <v>41869</v>
      </c>
      <c r="C210" s="93">
        <v>1.2496875781054699</v>
      </c>
      <c r="D210" s="85" t="s">
        <v>653</v>
      </c>
      <c r="F210" s="91">
        <v>41869</v>
      </c>
      <c r="G210">
        <v>623.30999999999995</v>
      </c>
      <c r="H210">
        <v>673.45</v>
      </c>
      <c r="I210" s="94">
        <v>631.70000000000005</v>
      </c>
      <c r="J210" s="94">
        <v>660.63</v>
      </c>
      <c r="K210" s="94">
        <v>726.44</v>
      </c>
      <c r="L210" s="94">
        <v>701.3</v>
      </c>
      <c r="M210" s="94">
        <v>635.89</v>
      </c>
      <c r="N210" s="94">
        <v>681.71</v>
      </c>
      <c r="O210" s="94">
        <v>651.08000000000004</v>
      </c>
      <c r="P210" s="94">
        <v>668.8</v>
      </c>
      <c r="Q210" s="94">
        <v>702.58</v>
      </c>
      <c r="R210" s="94">
        <v>646.80999999999995</v>
      </c>
      <c r="S210" s="94">
        <v>703.88</v>
      </c>
      <c r="T210" s="94">
        <v>648.37</v>
      </c>
      <c r="U210" s="94">
        <v>622.26</v>
      </c>
    </row>
    <row r="211" spans="1:21">
      <c r="A211" s="91">
        <v>41862</v>
      </c>
      <c r="B211" s="86">
        <v>41862</v>
      </c>
      <c r="C211" s="93">
        <v>1.2537612838515499</v>
      </c>
      <c r="D211" s="85" t="s">
        <v>654</v>
      </c>
      <c r="F211" s="91">
        <v>41862</v>
      </c>
      <c r="G211">
        <v>644.14</v>
      </c>
      <c r="H211">
        <v>671.14</v>
      </c>
      <c r="I211" s="94">
        <v>631.75</v>
      </c>
      <c r="J211" s="94">
        <v>671.55</v>
      </c>
      <c r="K211" s="94">
        <v>730.73</v>
      </c>
      <c r="L211" s="94">
        <v>702.91</v>
      </c>
      <c r="M211" s="94">
        <v>639.16999999999996</v>
      </c>
      <c r="N211" s="94">
        <v>686.68</v>
      </c>
      <c r="O211" s="94">
        <v>659.65</v>
      </c>
      <c r="P211" s="94">
        <v>668.8</v>
      </c>
      <c r="Q211" s="94">
        <v>704.79</v>
      </c>
      <c r="R211" s="94">
        <v>647.64</v>
      </c>
      <c r="S211" s="94">
        <v>700.49</v>
      </c>
      <c r="T211" s="94">
        <v>654.9</v>
      </c>
      <c r="U211" s="94">
        <v>625.55999999999995</v>
      </c>
    </row>
    <row r="212" spans="1:21">
      <c r="A212" s="91">
        <v>41855</v>
      </c>
      <c r="B212" s="86">
        <v>41855</v>
      </c>
      <c r="C212" s="93">
        <v>1.25439036628199</v>
      </c>
      <c r="D212" s="85" t="s">
        <v>655</v>
      </c>
      <c r="F212" s="91">
        <v>41855</v>
      </c>
      <c r="G212">
        <v>657.47</v>
      </c>
      <c r="H212">
        <v>664.03</v>
      </c>
      <c r="I212" s="94">
        <v>638.16</v>
      </c>
      <c r="J212" s="94">
        <v>676.59</v>
      </c>
      <c r="K212" s="94">
        <v>740.38</v>
      </c>
      <c r="L212" s="94">
        <v>706.95</v>
      </c>
      <c r="M212" s="94">
        <v>635.79</v>
      </c>
      <c r="N212" s="94">
        <v>693.63</v>
      </c>
      <c r="O212" s="94">
        <v>656.85</v>
      </c>
      <c r="P212" s="94">
        <v>668.8</v>
      </c>
      <c r="Q212" s="94">
        <v>707.93</v>
      </c>
      <c r="R212" s="94">
        <v>660.03</v>
      </c>
      <c r="S212" s="94">
        <v>696.56</v>
      </c>
      <c r="T212" s="94">
        <v>654.82000000000005</v>
      </c>
      <c r="U212" s="94">
        <v>628.1</v>
      </c>
    </row>
    <row r="213" spans="1:21">
      <c r="A213" s="91">
        <v>41848</v>
      </c>
      <c r="B213" s="86">
        <v>41848</v>
      </c>
      <c r="C213" s="93">
        <v>1.2649421288975999</v>
      </c>
      <c r="D213" s="85" t="s">
        <v>656</v>
      </c>
      <c r="F213" s="91">
        <v>41848</v>
      </c>
      <c r="G213">
        <v>657.47</v>
      </c>
      <c r="H213">
        <v>639.98</v>
      </c>
      <c r="I213" s="94">
        <v>643.59</v>
      </c>
      <c r="J213" s="94">
        <v>684.16</v>
      </c>
      <c r="K213" s="94">
        <v>739.22</v>
      </c>
      <c r="L213" s="94">
        <v>705.33</v>
      </c>
      <c r="M213" s="94">
        <v>654.98</v>
      </c>
      <c r="N213" s="94">
        <v>696.89</v>
      </c>
      <c r="O213" s="94">
        <v>672.98</v>
      </c>
      <c r="P213" s="94">
        <v>668.8</v>
      </c>
      <c r="Q213" s="94">
        <v>710.14</v>
      </c>
      <c r="R213" s="94">
        <v>663.34</v>
      </c>
      <c r="S213" s="94">
        <v>712.09</v>
      </c>
      <c r="T213" s="94">
        <v>662.26</v>
      </c>
      <c r="U213" s="94">
        <v>646.07000000000005</v>
      </c>
    </row>
    <row r="214" spans="1:21">
      <c r="A214" s="91">
        <v>41841</v>
      </c>
      <c r="B214" s="86">
        <v>41841</v>
      </c>
      <c r="C214" s="93">
        <v>1.2634238787113099</v>
      </c>
      <c r="D214" s="85" t="s">
        <v>657</v>
      </c>
      <c r="F214" s="91">
        <v>41841</v>
      </c>
      <c r="G214">
        <v>662.47</v>
      </c>
      <c r="H214">
        <v>712.22</v>
      </c>
      <c r="I214" s="94">
        <v>645.25</v>
      </c>
      <c r="J214" s="94">
        <v>680.79</v>
      </c>
      <c r="K214" s="94">
        <v>741.35</v>
      </c>
      <c r="L214" s="94">
        <v>719.85</v>
      </c>
      <c r="M214" s="94">
        <v>662.83</v>
      </c>
      <c r="N214" s="94">
        <v>702.48</v>
      </c>
      <c r="O214" s="94">
        <v>677.3</v>
      </c>
      <c r="P214" s="94">
        <v>668.8</v>
      </c>
      <c r="Q214" s="94">
        <v>710.82</v>
      </c>
      <c r="R214" s="94">
        <v>669.95</v>
      </c>
      <c r="S214" s="94">
        <v>722.62</v>
      </c>
      <c r="T214" s="94">
        <v>654.61</v>
      </c>
      <c r="U214" s="94">
        <v>647.55999999999995</v>
      </c>
    </row>
    <row r="215" spans="1:21">
      <c r="A215" s="91">
        <v>41834</v>
      </c>
      <c r="B215" s="86">
        <v>41834</v>
      </c>
      <c r="C215" s="93">
        <v>1.2553351744915899</v>
      </c>
      <c r="D215" s="85" t="s">
        <v>658</v>
      </c>
      <c r="F215" s="91">
        <v>41834</v>
      </c>
      <c r="G215">
        <v>662.47</v>
      </c>
      <c r="H215">
        <v>712.22</v>
      </c>
      <c r="I215" s="94">
        <v>646.04999999999995</v>
      </c>
      <c r="J215" s="94">
        <v>692.56</v>
      </c>
      <c r="K215" s="94">
        <v>764.94</v>
      </c>
      <c r="L215" s="94">
        <v>710.98</v>
      </c>
      <c r="M215" s="94">
        <v>658.87</v>
      </c>
      <c r="N215" s="94">
        <v>707.14</v>
      </c>
      <c r="O215" s="94">
        <v>689.58</v>
      </c>
      <c r="P215" s="94">
        <v>668.8</v>
      </c>
      <c r="Q215" s="94">
        <v>714.46</v>
      </c>
      <c r="R215" s="94">
        <v>688.96</v>
      </c>
      <c r="S215" s="94">
        <v>728.44</v>
      </c>
      <c r="T215" s="94">
        <v>685.67</v>
      </c>
      <c r="U215" s="94">
        <v>644.1</v>
      </c>
    </row>
    <row r="216" spans="1:21">
      <c r="A216" s="91">
        <v>41827</v>
      </c>
      <c r="B216" s="86">
        <v>41827</v>
      </c>
      <c r="C216" s="93">
        <v>1.25968381936134</v>
      </c>
      <c r="D216" s="85" t="s">
        <v>659</v>
      </c>
      <c r="F216" s="91">
        <v>41827</v>
      </c>
      <c r="G216">
        <v>667.47</v>
      </c>
      <c r="H216">
        <v>716.35</v>
      </c>
      <c r="I216" s="94">
        <v>646.32000000000005</v>
      </c>
      <c r="J216" s="94">
        <v>696.76</v>
      </c>
      <c r="K216" s="94">
        <v>773.58</v>
      </c>
      <c r="L216" s="94">
        <v>713.4</v>
      </c>
      <c r="M216" s="94">
        <v>673.12</v>
      </c>
      <c r="N216" s="94">
        <v>709.53</v>
      </c>
      <c r="O216" s="94">
        <v>687.75</v>
      </c>
      <c r="P216" s="94">
        <v>648.29999999999995</v>
      </c>
      <c r="Q216" s="94">
        <v>713.79</v>
      </c>
      <c r="R216" s="94">
        <v>693.09</v>
      </c>
      <c r="S216" s="94">
        <v>735.24</v>
      </c>
      <c r="T216" s="94">
        <v>681.13</v>
      </c>
      <c r="U216" s="94">
        <v>646.22</v>
      </c>
    </row>
    <row r="217" spans="1:21">
      <c r="A217" s="91">
        <v>41820</v>
      </c>
      <c r="B217" s="86">
        <v>41820</v>
      </c>
      <c r="C217" s="93">
        <v>1.24766063630692</v>
      </c>
      <c r="D217" s="85" t="s">
        <v>660</v>
      </c>
      <c r="F217" s="91">
        <v>41820</v>
      </c>
      <c r="G217">
        <v>672.47</v>
      </c>
      <c r="H217">
        <v>744.36</v>
      </c>
      <c r="I217" s="94">
        <v>645.29999999999995</v>
      </c>
      <c r="J217" s="94">
        <v>689.2</v>
      </c>
      <c r="K217" s="94">
        <v>773.64</v>
      </c>
      <c r="L217" s="94">
        <v>706.14</v>
      </c>
      <c r="M217" s="94">
        <v>677.45</v>
      </c>
      <c r="N217" s="94">
        <v>706.89</v>
      </c>
      <c r="O217" s="94">
        <v>690.18</v>
      </c>
      <c r="P217" s="94">
        <v>648.29999999999995</v>
      </c>
      <c r="Q217" s="94">
        <v>711.28</v>
      </c>
      <c r="R217" s="94">
        <v>701.36</v>
      </c>
      <c r="S217" s="94">
        <v>738.93</v>
      </c>
      <c r="T217" s="94">
        <v>699.77</v>
      </c>
      <c r="U217" s="94">
        <v>635.76</v>
      </c>
    </row>
    <row r="218" spans="1:21">
      <c r="A218" s="91">
        <v>41813</v>
      </c>
      <c r="B218" s="86">
        <v>41813</v>
      </c>
      <c r="C218" s="93">
        <v>1.2509382036527399</v>
      </c>
      <c r="D218" s="85" t="s">
        <v>412</v>
      </c>
      <c r="F218" s="91">
        <v>41813</v>
      </c>
      <c r="G218">
        <v>671.64</v>
      </c>
      <c r="H218">
        <v>709.65</v>
      </c>
      <c r="I218" s="94">
        <v>633.41</v>
      </c>
      <c r="J218" s="94">
        <v>695.08</v>
      </c>
      <c r="K218" s="94">
        <v>784.45</v>
      </c>
      <c r="L218" s="94">
        <v>710.17</v>
      </c>
      <c r="M218" s="94">
        <v>669.77</v>
      </c>
      <c r="N218" s="94">
        <v>694.83</v>
      </c>
      <c r="O218" s="94">
        <v>689.4</v>
      </c>
      <c r="P218" s="94">
        <v>648.29999999999995</v>
      </c>
      <c r="Q218" s="94">
        <v>706.36</v>
      </c>
      <c r="R218" s="94">
        <v>699.7</v>
      </c>
      <c r="S218" s="94">
        <v>732.38</v>
      </c>
      <c r="T218" s="94">
        <v>694.67</v>
      </c>
      <c r="U218" s="94">
        <v>631.75</v>
      </c>
    </row>
    <row r="219" spans="1:21">
      <c r="A219" s="91">
        <v>41806</v>
      </c>
      <c r="B219" s="86">
        <v>41806</v>
      </c>
      <c r="C219" s="93">
        <v>1.25407574617507</v>
      </c>
      <c r="D219" s="85" t="s">
        <v>661</v>
      </c>
      <c r="F219" s="91">
        <v>41806</v>
      </c>
      <c r="G219">
        <v>659.14</v>
      </c>
      <c r="H219">
        <v>709.57</v>
      </c>
      <c r="I219" s="94">
        <v>624.75</v>
      </c>
      <c r="J219" s="94">
        <v>688.36</v>
      </c>
      <c r="K219" s="94">
        <v>779.93</v>
      </c>
      <c r="L219" s="94">
        <v>693.24</v>
      </c>
      <c r="M219" s="94">
        <v>655.83</v>
      </c>
      <c r="N219" s="94">
        <v>682.96</v>
      </c>
      <c r="O219" s="94">
        <v>664.53</v>
      </c>
      <c r="P219" s="94">
        <v>646.17999999999995</v>
      </c>
      <c r="Q219" s="94">
        <v>696.61</v>
      </c>
      <c r="R219" s="94">
        <v>684</v>
      </c>
      <c r="S219" s="94">
        <v>714.94</v>
      </c>
      <c r="T219" s="94">
        <v>686.76</v>
      </c>
      <c r="U219" s="94">
        <v>630.59</v>
      </c>
    </row>
    <row r="220" spans="1:21">
      <c r="A220" s="91">
        <v>41799</v>
      </c>
      <c r="B220" s="86">
        <v>41799</v>
      </c>
      <c r="C220" s="93">
        <v>1.2347965672655401</v>
      </c>
      <c r="D220" s="85" t="s">
        <v>662</v>
      </c>
      <c r="F220" s="91">
        <v>41799</v>
      </c>
      <c r="G220">
        <v>642.47</v>
      </c>
      <c r="H220">
        <v>700.81</v>
      </c>
      <c r="I220" s="94">
        <v>624.36</v>
      </c>
      <c r="J220" s="94">
        <v>676.59</v>
      </c>
      <c r="K220" s="94">
        <v>740.83</v>
      </c>
      <c r="L220" s="94">
        <v>694.04</v>
      </c>
      <c r="M220" s="94">
        <v>655.51</v>
      </c>
      <c r="N220" s="94">
        <v>683.17</v>
      </c>
      <c r="O220" s="94">
        <v>675.82</v>
      </c>
      <c r="P220" s="94">
        <v>646.17999999999995</v>
      </c>
      <c r="Q220" s="94">
        <v>695.65</v>
      </c>
      <c r="R220" s="94">
        <v>668.3</v>
      </c>
      <c r="S220" s="94">
        <v>710.07</v>
      </c>
      <c r="T220" s="94">
        <v>671.98</v>
      </c>
      <c r="U220" s="94">
        <v>618.97</v>
      </c>
    </row>
    <row r="221" spans="1:21">
      <c r="A221" s="91">
        <v>41792</v>
      </c>
      <c r="B221" s="86">
        <v>41792</v>
      </c>
      <c r="C221" s="93">
        <v>1.2301636117603598</v>
      </c>
      <c r="D221" s="85" t="s">
        <v>663</v>
      </c>
      <c r="F221" s="91">
        <v>41792</v>
      </c>
      <c r="G221">
        <v>648.30999999999995</v>
      </c>
      <c r="H221">
        <v>700.81</v>
      </c>
      <c r="I221" s="94">
        <v>623.33000000000004</v>
      </c>
      <c r="J221" s="94">
        <v>655.58</v>
      </c>
      <c r="K221" s="94">
        <v>751.34</v>
      </c>
      <c r="L221" s="94">
        <v>687.59</v>
      </c>
      <c r="M221" s="94">
        <v>657.27</v>
      </c>
      <c r="N221" s="94">
        <v>682.96</v>
      </c>
      <c r="O221" s="94">
        <v>673.27</v>
      </c>
      <c r="P221" s="94">
        <v>646.17999999999995</v>
      </c>
      <c r="Q221" s="94">
        <v>694.83</v>
      </c>
      <c r="R221" s="94">
        <v>671.6</v>
      </c>
      <c r="S221" s="94">
        <v>715.31</v>
      </c>
      <c r="T221" s="94">
        <v>679.05</v>
      </c>
      <c r="U221" s="94">
        <v>616.03</v>
      </c>
    </row>
    <row r="222" spans="1:21">
      <c r="A222" s="91">
        <v>41785</v>
      </c>
      <c r="B222" s="86">
        <v>41785</v>
      </c>
      <c r="C222" s="93">
        <v>1.23472033584393</v>
      </c>
      <c r="D222" s="85" t="s">
        <v>664</v>
      </c>
      <c r="F222" s="91">
        <v>41785</v>
      </c>
      <c r="G222">
        <v>644.14</v>
      </c>
      <c r="H222">
        <v>713.21</v>
      </c>
      <c r="I222" s="94">
        <v>622.54</v>
      </c>
      <c r="J222" s="94">
        <v>654.74</v>
      </c>
      <c r="K222" s="94">
        <v>751.37</v>
      </c>
      <c r="L222" s="94">
        <v>689.2</v>
      </c>
      <c r="M222" s="94">
        <v>652.64</v>
      </c>
      <c r="N222" s="94">
        <v>678.97</v>
      </c>
      <c r="O222" s="94">
        <v>668.45</v>
      </c>
      <c r="P222" s="94">
        <v>646.17999999999995</v>
      </c>
      <c r="Q222" s="94">
        <v>694.93</v>
      </c>
      <c r="R222" s="94">
        <v>669.12</v>
      </c>
      <c r="S222" s="94">
        <v>711.45</v>
      </c>
      <c r="T222" s="94">
        <v>683.98</v>
      </c>
      <c r="U222" s="94">
        <v>617.05999999999995</v>
      </c>
    </row>
    <row r="223" spans="1:21">
      <c r="A223" s="91">
        <v>41778</v>
      </c>
      <c r="B223" s="86">
        <v>41778</v>
      </c>
      <c r="C223" s="93">
        <v>1.22759636631476</v>
      </c>
      <c r="D223" s="85" t="s">
        <v>665</v>
      </c>
      <c r="F223" s="91">
        <v>41778</v>
      </c>
      <c r="G223">
        <v>644.97</v>
      </c>
      <c r="H223">
        <v>689.57</v>
      </c>
      <c r="I223" s="94">
        <v>618.75</v>
      </c>
      <c r="J223" s="94">
        <v>654.74</v>
      </c>
      <c r="K223" s="94">
        <v>749.15</v>
      </c>
      <c r="L223" s="94">
        <v>682.75</v>
      </c>
      <c r="M223" s="94">
        <v>648.83000000000004</v>
      </c>
      <c r="N223" s="94">
        <v>675.88</v>
      </c>
      <c r="O223" s="94">
        <v>650.76</v>
      </c>
      <c r="P223" s="94">
        <v>634.97</v>
      </c>
      <c r="Q223" s="94">
        <v>691.22</v>
      </c>
      <c r="R223" s="94">
        <v>661.69</v>
      </c>
      <c r="S223" s="94">
        <v>704.74</v>
      </c>
      <c r="T223" s="94">
        <v>665.61</v>
      </c>
      <c r="U223" s="94">
        <v>612.54999999999995</v>
      </c>
    </row>
    <row r="224" spans="1:21">
      <c r="A224" s="91">
        <v>41771</v>
      </c>
      <c r="B224" s="86">
        <v>41771</v>
      </c>
      <c r="C224" s="93">
        <v>1.2267680794945699</v>
      </c>
      <c r="D224" s="85" t="s">
        <v>666</v>
      </c>
      <c r="F224" s="91">
        <v>41771</v>
      </c>
      <c r="G224">
        <v>636.64</v>
      </c>
      <c r="H224">
        <v>684.94</v>
      </c>
      <c r="I224" s="94">
        <v>619.91</v>
      </c>
      <c r="J224" s="94">
        <v>670.71</v>
      </c>
      <c r="K224" s="94">
        <v>727.74</v>
      </c>
      <c r="L224" s="94">
        <v>682.75</v>
      </c>
      <c r="M224" s="94">
        <v>651.22</v>
      </c>
      <c r="N224" s="94">
        <v>680.15</v>
      </c>
      <c r="O224" s="94">
        <v>664.17</v>
      </c>
      <c r="P224" s="94">
        <v>634.97</v>
      </c>
      <c r="Q224" s="94">
        <v>692.43</v>
      </c>
      <c r="R224" s="94">
        <v>657.55</v>
      </c>
      <c r="S224" s="94">
        <v>706.04</v>
      </c>
      <c r="T224" s="94">
        <v>650.12</v>
      </c>
      <c r="U224" s="94">
        <v>612.95000000000005</v>
      </c>
    </row>
    <row r="225" spans="1:21">
      <c r="A225" s="91">
        <v>41764</v>
      </c>
      <c r="B225" s="86">
        <v>41764</v>
      </c>
      <c r="C225" s="93">
        <v>1.2151701845843499</v>
      </c>
      <c r="D225" s="85" t="s">
        <v>667</v>
      </c>
      <c r="F225" s="91">
        <v>41764</v>
      </c>
      <c r="G225">
        <v>646.64</v>
      </c>
      <c r="H225">
        <v>728.25</v>
      </c>
      <c r="I225" s="94">
        <v>619.19000000000005</v>
      </c>
      <c r="J225" s="94">
        <v>658.95</v>
      </c>
      <c r="K225" s="94">
        <v>732.06</v>
      </c>
      <c r="L225" s="94">
        <v>684.36</v>
      </c>
      <c r="M225" s="94">
        <v>659.91</v>
      </c>
      <c r="N225" s="94">
        <v>686.4</v>
      </c>
      <c r="O225" s="94">
        <v>675.42</v>
      </c>
      <c r="P225" s="94">
        <v>634.97</v>
      </c>
      <c r="Q225" s="94">
        <v>694.58</v>
      </c>
      <c r="R225" s="94">
        <v>666.64</v>
      </c>
      <c r="S225" s="94">
        <v>714.67</v>
      </c>
      <c r="T225" s="94">
        <v>667.21</v>
      </c>
      <c r="U225" s="94">
        <v>604.80999999999995</v>
      </c>
    </row>
    <row r="226" spans="1:21">
      <c r="A226" s="91">
        <v>41757</v>
      </c>
      <c r="B226" s="86">
        <v>41757</v>
      </c>
      <c r="C226" s="93">
        <v>1.21536217792902</v>
      </c>
      <c r="D226" s="85" t="s">
        <v>475</v>
      </c>
      <c r="F226" s="91">
        <v>41757</v>
      </c>
      <c r="G226">
        <v>650.80999999999995</v>
      </c>
      <c r="H226">
        <v>670.48</v>
      </c>
      <c r="I226" s="94">
        <v>618.09</v>
      </c>
      <c r="J226" s="94">
        <v>691.72</v>
      </c>
      <c r="K226" s="94">
        <v>753.41</v>
      </c>
      <c r="L226" s="94">
        <v>685.98</v>
      </c>
      <c r="M226" s="94">
        <v>656.24</v>
      </c>
      <c r="N226" s="94">
        <v>685.38</v>
      </c>
      <c r="O226" s="94">
        <v>672.6</v>
      </c>
      <c r="P226" s="94">
        <v>634.97</v>
      </c>
      <c r="Q226" s="94">
        <v>693.41</v>
      </c>
      <c r="R226" s="94">
        <v>671.6</v>
      </c>
      <c r="S226" s="94">
        <v>714.93</v>
      </c>
      <c r="T226" s="94">
        <v>678.44</v>
      </c>
      <c r="U226" s="94">
        <v>603.16</v>
      </c>
    </row>
    <row r="227" spans="1:21">
      <c r="A227" s="91">
        <v>41743</v>
      </c>
      <c r="B227" s="86">
        <v>41743</v>
      </c>
      <c r="C227" s="93">
        <v>1.20860526951898</v>
      </c>
      <c r="D227" s="85" t="s">
        <v>668</v>
      </c>
      <c r="F227" s="91">
        <v>41743</v>
      </c>
      <c r="G227">
        <v>639.14</v>
      </c>
      <c r="H227">
        <v>657.5</v>
      </c>
      <c r="I227" s="94">
        <v>606.48</v>
      </c>
      <c r="J227" s="94">
        <v>666.51</v>
      </c>
      <c r="K227" s="94">
        <v>748.96</v>
      </c>
      <c r="L227" s="94">
        <v>677.11</v>
      </c>
      <c r="M227" s="94">
        <v>647.20000000000005</v>
      </c>
      <c r="N227" s="94">
        <v>671.72</v>
      </c>
      <c r="O227" s="94">
        <v>657.06</v>
      </c>
      <c r="P227" s="94">
        <v>638.42999999999995</v>
      </c>
      <c r="Q227" s="94">
        <v>683.63</v>
      </c>
      <c r="R227" s="94">
        <v>654.25</v>
      </c>
      <c r="S227" s="94">
        <v>700.32</v>
      </c>
      <c r="T227" s="94">
        <v>663.95</v>
      </c>
      <c r="U227" s="94">
        <v>597.76</v>
      </c>
    </row>
    <row r="228" spans="1:21">
      <c r="A228" s="91">
        <v>41736</v>
      </c>
      <c r="B228" s="86">
        <v>41736</v>
      </c>
      <c r="C228" s="93">
        <v>1.2090436464756398</v>
      </c>
      <c r="D228" s="85" t="s">
        <v>669</v>
      </c>
      <c r="F228" s="91">
        <v>41736</v>
      </c>
      <c r="G228">
        <v>629.14</v>
      </c>
      <c r="H228">
        <v>653.12</v>
      </c>
      <c r="I228" s="94">
        <v>609.58000000000004</v>
      </c>
      <c r="J228" s="94">
        <v>655.58</v>
      </c>
      <c r="K228" s="94">
        <v>727.58</v>
      </c>
      <c r="L228" s="94">
        <v>676.3</v>
      </c>
      <c r="M228" s="94">
        <v>645.37</v>
      </c>
      <c r="N228" s="94">
        <v>669.51</v>
      </c>
      <c r="O228" s="94">
        <v>669.79</v>
      </c>
      <c r="P228" s="94">
        <v>638.42999999999995</v>
      </c>
      <c r="Q228" s="94">
        <v>681.37</v>
      </c>
      <c r="R228" s="94">
        <v>645.16</v>
      </c>
      <c r="S228" s="94">
        <v>691.78</v>
      </c>
      <c r="T228" s="94">
        <v>648.72</v>
      </c>
      <c r="U228" s="94">
        <v>596.19000000000005</v>
      </c>
    </row>
    <row r="229" spans="1:21">
      <c r="A229" s="91">
        <v>41729</v>
      </c>
      <c r="B229" s="86">
        <v>41729</v>
      </c>
      <c r="C229" s="93">
        <v>1.2074378169524298</v>
      </c>
      <c r="D229" s="85" t="s">
        <v>670</v>
      </c>
      <c r="F229" s="91">
        <v>41729</v>
      </c>
      <c r="G229">
        <v>627.62</v>
      </c>
      <c r="H229">
        <v>611.54999999999995</v>
      </c>
      <c r="I229" s="94">
        <v>602.07000000000005</v>
      </c>
      <c r="J229" s="94">
        <v>651.38</v>
      </c>
      <c r="K229" s="94">
        <v>740.43</v>
      </c>
      <c r="L229" s="94">
        <v>673.07</v>
      </c>
      <c r="M229" s="94">
        <v>640.45000000000005</v>
      </c>
      <c r="N229" s="94">
        <v>667</v>
      </c>
      <c r="O229" s="94">
        <v>655.73</v>
      </c>
      <c r="P229" s="94">
        <v>628.38</v>
      </c>
      <c r="Q229" s="94">
        <v>674.48</v>
      </c>
      <c r="R229" s="94">
        <v>628.63</v>
      </c>
      <c r="S229" s="94">
        <v>690.87</v>
      </c>
      <c r="T229" s="94">
        <v>661.98</v>
      </c>
      <c r="U229" s="94">
        <v>595.88</v>
      </c>
    </row>
    <row r="230" spans="1:21">
      <c r="A230" s="91">
        <v>41722</v>
      </c>
      <c r="B230" s="86">
        <v>41722</v>
      </c>
      <c r="C230" s="93">
        <v>1.1970313622216899</v>
      </c>
      <c r="D230" s="85" t="s">
        <v>671</v>
      </c>
      <c r="F230" s="91">
        <v>41722</v>
      </c>
      <c r="G230">
        <v>620.96</v>
      </c>
      <c r="H230">
        <v>644.69000000000005</v>
      </c>
      <c r="I230" s="94">
        <v>607.66</v>
      </c>
      <c r="J230" s="94">
        <v>623.65</v>
      </c>
      <c r="K230" s="94">
        <v>727.69</v>
      </c>
      <c r="L230" s="94">
        <v>665.01</v>
      </c>
      <c r="M230" s="94">
        <v>635.19000000000005</v>
      </c>
      <c r="N230" s="94">
        <v>666.41</v>
      </c>
      <c r="O230" s="94">
        <v>639.29</v>
      </c>
      <c r="P230" s="94">
        <v>628.38</v>
      </c>
      <c r="Q230" s="94">
        <v>666.37</v>
      </c>
      <c r="R230" s="94">
        <v>612.92999999999995</v>
      </c>
      <c r="S230" s="94">
        <v>685.87</v>
      </c>
      <c r="T230" s="94">
        <v>641.59</v>
      </c>
      <c r="U230" s="94">
        <v>588.84</v>
      </c>
    </row>
    <row r="231" spans="1:21">
      <c r="A231" s="91">
        <v>41715</v>
      </c>
      <c r="B231" s="86">
        <v>41715</v>
      </c>
      <c r="C231" s="93">
        <v>1.1951000896325101</v>
      </c>
      <c r="D231" s="85" t="s">
        <v>672</v>
      </c>
      <c r="F231" s="91">
        <v>41715</v>
      </c>
      <c r="G231">
        <v>626.79</v>
      </c>
      <c r="H231">
        <v>652.63</v>
      </c>
      <c r="I231" s="94">
        <v>612.94000000000005</v>
      </c>
      <c r="J231" s="94">
        <v>621.97</v>
      </c>
      <c r="K231" s="94">
        <v>710.68</v>
      </c>
      <c r="L231" s="94">
        <v>674.69</v>
      </c>
      <c r="M231" s="94">
        <v>640.45000000000005</v>
      </c>
      <c r="N231" s="94">
        <v>668</v>
      </c>
      <c r="O231" s="94">
        <v>645.02</v>
      </c>
      <c r="P231" s="94">
        <v>628.38</v>
      </c>
      <c r="Q231" s="94">
        <v>673.15</v>
      </c>
      <c r="R231" s="94">
        <v>622.02</v>
      </c>
      <c r="S231" s="94">
        <v>685.69</v>
      </c>
      <c r="T231" s="94">
        <v>641.73</v>
      </c>
      <c r="U231" s="94">
        <v>589.75</v>
      </c>
    </row>
    <row r="232" spans="1:21">
      <c r="A232" s="91">
        <v>41708</v>
      </c>
      <c r="B232" s="86">
        <v>41708</v>
      </c>
      <c r="C232" s="93">
        <v>1.19932837610938</v>
      </c>
      <c r="D232" s="85" t="s">
        <v>673</v>
      </c>
      <c r="F232" s="91">
        <v>41708</v>
      </c>
      <c r="G232">
        <v>626.79</v>
      </c>
      <c r="H232">
        <v>669.74</v>
      </c>
      <c r="I232" s="94">
        <v>614.55999999999995</v>
      </c>
      <c r="J232" s="94">
        <v>627.01</v>
      </c>
      <c r="K232" s="94">
        <v>717.17</v>
      </c>
      <c r="L232" s="94">
        <v>673.88</v>
      </c>
      <c r="M232" s="94">
        <v>646.88</v>
      </c>
      <c r="N232" s="94">
        <v>671.14</v>
      </c>
      <c r="O232" s="94">
        <v>651.91999999999996</v>
      </c>
      <c r="P232" s="94">
        <v>628.38</v>
      </c>
      <c r="Q232" s="94">
        <v>676.66</v>
      </c>
      <c r="R232" s="94">
        <v>635.24</v>
      </c>
      <c r="S232" s="94">
        <v>691.72</v>
      </c>
      <c r="T232" s="94">
        <v>640.78</v>
      </c>
      <c r="U232" s="94">
        <v>598.12</v>
      </c>
    </row>
    <row r="233" spans="1:21">
      <c r="A233" s="91">
        <v>41701</v>
      </c>
      <c r="B233" s="86">
        <v>41701</v>
      </c>
      <c r="C233" s="93">
        <v>1.2149930137901699</v>
      </c>
      <c r="D233" s="85" t="s">
        <v>674</v>
      </c>
      <c r="F233" s="91">
        <v>41701</v>
      </c>
      <c r="G233">
        <v>631.79</v>
      </c>
      <c r="H233">
        <v>621.64</v>
      </c>
      <c r="I233" s="94">
        <v>618.72</v>
      </c>
      <c r="J233" s="94">
        <v>642.14</v>
      </c>
      <c r="K233" s="94">
        <v>727.9</v>
      </c>
      <c r="L233" s="94">
        <v>673.07</v>
      </c>
      <c r="M233" s="94">
        <v>650.66999999999996</v>
      </c>
      <c r="N233" s="94">
        <v>670.18</v>
      </c>
      <c r="O233" s="94">
        <v>651.15</v>
      </c>
      <c r="P233" s="94">
        <v>628.38</v>
      </c>
      <c r="Q233" s="94">
        <v>677.29</v>
      </c>
      <c r="R233" s="94">
        <v>641.02</v>
      </c>
      <c r="S233" s="94">
        <v>698.33</v>
      </c>
      <c r="T233" s="94">
        <v>659.43</v>
      </c>
      <c r="U233" s="94">
        <v>605.65</v>
      </c>
    </row>
    <row r="234" spans="1:21">
      <c r="A234" s="91">
        <v>41694</v>
      </c>
      <c r="B234" s="86">
        <v>41694</v>
      </c>
      <c r="C234" s="93">
        <v>1.2126356636148699</v>
      </c>
      <c r="D234" s="85" t="s">
        <v>675</v>
      </c>
      <c r="F234" s="91">
        <v>41694</v>
      </c>
      <c r="G234">
        <v>638.46</v>
      </c>
      <c r="H234">
        <v>671.64</v>
      </c>
      <c r="I234" s="94">
        <v>623.61</v>
      </c>
      <c r="J234" s="94">
        <v>643.82000000000005</v>
      </c>
      <c r="K234" s="94">
        <v>727.92</v>
      </c>
      <c r="L234" s="94">
        <v>677.11</v>
      </c>
      <c r="M234" s="94">
        <v>646.98</v>
      </c>
      <c r="N234" s="94">
        <v>666.14</v>
      </c>
      <c r="O234" s="94">
        <v>648.6</v>
      </c>
      <c r="P234" s="94">
        <v>638.92999999999995</v>
      </c>
      <c r="Q234" s="94">
        <v>679.69</v>
      </c>
      <c r="R234" s="94">
        <v>641.85</v>
      </c>
      <c r="S234" s="94">
        <v>693.96</v>
      </c>
      <c r="T234" s="94">
        <v>654.12</v>
      </c>
      <c r="U234" s="94">
        <v>602.9</v>
      </c>
    </row>
    <row r="235" spans="1:21">
      <c r="A235" s="91">
        <v>41687</v>
      </c>
      <c r="B235" s="86">
        <v>41687</v>
      </c>
      <c r="C235" s="93">
        <v>1.2212248885632297</v>
      </c>
      <c r="D235" s="85" t="s">
        <v>426</v>
      </c>
      <c r="F235" s="91">
        <v>41687</v>
      </c>
      <c r="G235">
        <v>634.29</v>
      </c>
      <c r="H235">
        <v>653.12</v>
      </c>
      <c r="I235" s="94">
        <v>622.36</v>
      </c>
      <c r="J235" s="94">
        <v>644.66</v>
      </c>
      <c r="K235" s="94">
        <v>722.59</v>
      </c>
      <c r="L235" s="94">
        <v>671.46</v>
      </c>
      <c r="M235" s="94">
        <v>643.6</v>
      </c>
      <c r="N235" s="94">
        <v>659.71</v>
      </c>
      <c r="O235" s="94">
        <v>651.55999999999995</v>
      </c>
      <c r="P235" s="94">
        <v>638.92999999999995</v>
      </c>
      <c r="Q235" s="94">
        <v>677.06</v>
      </c>
      <c r="R235" s="94">
        <v>636.89</v>
      </c>
      <c r="S235" s="94">
        <v>689.01</v>
      </c>
      <c r="T235" s="94">
        <v>653.1</v>
      </c>
      <c r="U235" s="94">
        <v>606.70000000000005</v>
      </c>
    </row>
    <row r="236" spans="1:21">
      <c r="A236" s="91">
        <v>41680</v>
      </c>
      <c r="B236" s="86">
        <v>41680</v>
      </c>
      <c r="C236" s="93">
        <v>1.2025012025012001</v>
      </c>
      <c r="D236" s="85" t="s">
        <v>676</v>
      </c>
      <c r="F236" s="91">
        <v>41680</v>
      </c>
      <c r="G236">
        <v>621.79</v>
      </c>
      <c r="H236">
        <v>659.9</v>
      </c>
      <c r="I236" s="94">
        <v>620.63</v>
      </c>
      <c r="J236" s="94">
        <v>632.89</v>
      </c>
      <c r="K236" s="94">
        <v>719.35</v>
      </c>
      <c r="L236" s="94">
        <v>676.3</v>
      </c>
      <c r="M236" s="94">
        <v>636.45000000000005</v>
      </c>
      <c r="N236" s="94">
        <v>655.13</v>
      </c>
      <c r="O236" s="94">
        <v>636.87</v>
      </c>
      <c r="P236" s="94">
        <v>638.92999999999995</v>
      </c>
      <c r="Q236" s="94">
        <v>674.14</v>
      </c>
      <c r="R236" s="94">
        <v>626.97</v>
      </c>
      <c r="S236" s="94">
        <v>681.81</v>
      </c>
      <c r="T236" s="94">
        <v>642.79999999999995</v>
      </c>
      <c r="U236" s="94">
        <v>593.96</v>
      </c>
    </row>
    <row r="237" spans="1:21">
      <c r="A237" s="91">
        <v>41673</v>
      </c>
      <c r="B237" s="86">
        <v>41673</v>
      </c>
      <c r="C237" s="93">
        <v>1.2108003390240898</v>
      </c>
      <c r="D237" s="85" t="s">
        <v>677</v>
      </c>
      <c r="F237" s="91">
        <v>41673</v>
      </c>
      <c r="G237">
        <v>620.12</v>
      </c>
      <c r="H237">
        <v>643.70000000000005</v>
      </c>
      <c r="I237" s="94">
        <v>621.16999999999996</v>
      </c>
      <c r="J237" s="94">
        <v>632.04999999999995</v>
      </c>
      <c r="K237" s="94">
        <v>719.37</v>
      </c>
      <c r="L237" s="94">
        <v>676.3</v>
      </c>
      <c r="M237" s="94">
        <v>635.02</v>
      </c>
      <c r="N237" s="94">
        <v>653.5</v>
      </c>
      <c r="O237" s="94">
        <v>627.52</v>
      </c>
      <c r="P237" s="94">
        <v>638.92999999999995</v>
      </c>
      <c r="Q237" s="94">
        <v>676.56</v>
      </c>
      <c r="R237" s="94">
        <v>625.32000000000005</v>
      </c>
      <c r="S237" s="94">
        <v>681.42</v>
      </c>
      <c r="T237" s="94">
        <v>643.80999999999995</v>
      </c>
      <c r="U237" s="94">
        <v>598.47</v>
      </c>
    </row>
    <row r="238" spans="1:21">
      <c r="A238" s="91">
        <v>41666</v>
      </c>
      <c r="B238" s="86">
        <v>41666</v>
      </c>
      <c r="C238" s="93">
        <v>1.2120477546815298</v>
      </c>
      <c r="D238" s="85" t="s">
        <v>440</v>
      </c>
      <c r="F238" s="91">
        <v>41666</v>
      </c>
      <c r="G238">
        <v>624.29</v>
      </c>
      <c r="H238">
        <v>648.08000000000004</v>
      </c>
      <c r="I238" s="94">
        <v>623.41999999999996</v>
      </c>
      <c r="J238" s="94">
        <v>630.37</v>
      </c>
      <c r="K238" s="94">
        <v>708.66</v>
      </c>
      <c r="L238" s="94">
        <v>687.59</v>
      </c>
      <c r="M238" s="94">
        <v>632.53</v>
      </c>
      <c r="N238" s="94">
        <v>655.25</v>
      </c>
      <c r="O238" s="94">
        <v>633.96</v>
      </c>
      <c r="P238" s="94">
        <v>641.67999999999995</v>
      </c>
      <c r="Q238" s="94">
        <v>677.64</v>
      </c>
      <c r="R238" s="94">
        <v>626.97</v>
      </c>
      <c r="S238" s="94">
        <v>682.69</v>
      </c>
      <c r="T238" s="94">
        <v>636.63</v>
      </c>
      <c r="U238" s="94">
        <v>600.78</v>
      </c>
    </row>
    <row r="239" spans="1:21">
      <c r="A239" s="91">
        <v>41659</v>
      </c>
      <c r="B239" s="86">
        <v>41659</v>
      </c>
      <c r="C239" s="93">
        <v>1.2103606874848698</v>
      </c>
      <c r="D239" s="85" t="s">
        <v>678</v>
      </c>
      <c r="F239" s="91">
        <v>41659</v>
      </c>
      <c r="G239">
        <v>618.46</v>
      </c>
      <c r="H239">
        <v>628.83000000000004</v>
      </c>
      <c r="I239" s="94">
        <v>622.32000000000005</v>
      </c>
      <c r="J239" s="94">
        <v>626.16999999999996</v>
      </c>
      <c r="K239" s="94">
        <v>704.34</v>
      </c>
      <c r="L239" s="94">
        <v>677.91</v>
      </c>
      <c r="M239" s="94">
        <v>632.37</v>
      </c>
      <c r="N239" s="94">
        <v>655.25</v>
      </c>
      <c r="O239" s="94">
        <v>641.19000000000005</v>
      </c>
      <c r="P239" s="94">
        <v>641.67999999999995</v>
      </c>
      <c r="Q239" s="94">
        <v>680.08</v>
      </c>
      <c r="R239" s="94">
        <v>624.5</v>
      </c>
      <c r="S239" s="94">
        <v>681.31</v>
      </c>
      <c r="T239" s="94">
        <v>629.16999999999996</v>
      </c>
      <c r="U239" s="94">
        <v>603.44000000000005</v>
      </c>
    </row>
    <row r="240" spans="1:21">
      <c r="A240" s="91">
        <v>41652</v>
      </c>
      <c r="B240" s="86">
        <v>41652</v>
      </c>
      <c r="C240" s="93">
        <v>1.20235661897319</v>
      </c>
      <c r="D240" s="85" t="s">
        <v>679</v>
      </c>
      <c r="F240" s="91">
        <v>41652</v>
      </c>
      <c r="G240">
        <v>625.96</v>
      </c>
      <c r="H240">
        <v>636.1</v>
      </c>
      <c r="I240" s="94">
        <v>626.16999999999996</v>
      </c>
      <c r="J240" s="94">
        <v>627.85</v>
      </c>
      <c r="K240" s="94">
        <v>712.95</v>
      </c>
      <c r="L240" s="94">
        <v>681.95</v>
      </c>
      <c r="M240" s="94">
        <v>637.5</v>
      </c>
      <c r="N240" s="94">
        <v>660.06</v>
      </c>
      <c r="O240" s="94">
        <v>647.65</v>
      </c>
      <c r="P240" s="94">
        <v>641.67999999999995</v>
      </c>
      <c r="Q240" s="94">
        <v>683.6</v>
      </c>
      <c r="R240" s="94">
        <v>631.11</v>
      </c>
      <c r="S240" s="94">
        <v>688.22</v>
      </c>
      <c r="T240" s="94">
        <v>645.45000000000005</v>
      </c>
      <c r="U240" s="94">
        <v>609.35</v>
      </c>
    </row>
    <row r="241" spans="1:21" ht="15.75" thickBot="1">
      <c r="A241" s="92">
        <v>41645</v>
      </c>
      <c r="B241" s="86">
        <v>41645</v>
      </c>
      <c r="C241" s="93">
        <v>1.2043839576056801</v>
      </c>
      <c r="D241" s="85" t="s">
        <v>680</v>
      </c>
      <c r="F241" s="92">
        <v>41645</v>
      </c>
      <c r="G241">
        <v>624.29</v>
      </c>
      <c r="H241">
        <v>668.83</v>
      </c>
      <c r="I241" s="94">
        <v>624.30999999999995</v>
      </c>
      <c r="J241" s="94">
        <v>638.78</v>
      </c>
      <c r="K241" s="94">
        <v>719.62</v>
      </c>
      <c r="L241" s="94">
        <v>694.04</v>
      </c>
      <c r="M241" s="94">
        <v>644</v>
      </c>
      <c r="N241" s="94">
        <v>663.11</v>
      </c>
      <c r="O241" s="94">
        <v>657.17</v>
      </c>
      <c r="P241" s="94">
        <v>641.67999999999995</v>
      </c>
      <c r="Q241" s="94">
        <v>689.04</v>
      </c>
      <c r="R241" s="94">
        <v>633.59</v>
      </c>
      <c r="S241" s="94">
        <v>698.15</v>
      </c>
      <c r="T241" s="94">
        <v>645.64</v>
      </c>
      <c r="U241" s="94">
        <v>609.38</v>
      </c>
    </row>
    <row r="242" spans="1:21">
      <c r="A242" s="91">
        <v>41624</v>
      </c>
      <c r="B242" s="86">
        <v>41624</v>
      </c>
      <c r="C242" s="93">
        <v>1.1850447354387599</v>
      </c>
      <c r="D242" s="85" t="s">
        <v>681</v>
      </c>
      <c r="F242" s="91">
        <v>41624</v>
      </c>
      <c r="G242">
        <v>634.29</v>
      </c>
      <c r="H242">
        <v>633.87</v>
      </c>
      <c r="I242" s="94">
        <v>619.34</v>
      </c>
      <c r="J242" s="94">
        <v>644.66</v>
      </c>
      <c r="K242" s="94">
        <v>701.16</v>
      </c>
      <c r="L242" s="94">
        <v>659.36</v>
      </c>
      <c r="M242" s="94">
        <v>637.75</v>
      </c>
      <c r="N242" s="94">
        <v>659.3</v>
      </c>
      <c r="O242" s="94">
        <v>662.33</v>
      </c>
      <c r="P242" s="94">
        <v>659.49</v>
      </c>
      <c r="Q242" s="94">
        <v>688.12</v>
      </c>
      <c r="R242" s="94">
        <v>638.84</v>
      </c>
      <c r="S242" s="94">
        <v>689.82</v>
      </c>
      <c r="T242" s="94">
        <v>625.48</v>
      </c>
      <c r="U242" s="94">
        <v>606.54999999999995</v>
      </c>
    </row>
    <row r="243" spans="1:21">
      <c r="A243" s="91">
        <v>41617</v>
      </c>
      <c r="B243" s="86">
        <v>41617</v>
      </c>
      <c r="C243" s="93">
        <v>1.1938160329493199</v>
      </c>
      <c r="D243" s="85" t="s">
        <v>392</v>
      </c>
      <c r="F243" s="91">
        <v>41617</v>
      </c>
      <c r="G243">
        <v>641.79</v>
      </c>
      <c r="H243">
        <v>649.16</v>
      </c>
      <c r="I243" s="94">
        <v>620.02</v>
      </c>
      <c r="J243" s="94">
        <v>660.63</v>
      </c>
      <c r="K243" s="94">
        <v>719.42</v>
      </c>
      <c r="L243" s="94">
        <v>653.72</v>
      </c>
      <c r="M243" s="94">
        <v>642.6</v>
      </c>
      <c r="N243" s="94">
        <v>657.41</v>
      </c>
      <c r="O243" s="94">
        <v>650.72</v>
      </c>
      <c r="P243" s="94">
        <v>659.49</v>
      </c>
      <c r="Q243" s="94">
        <v>688.34</v>
      </c>
      <c r="R243" s="94">
        <v>644.62</v>
      </c>
      <c r="S243" s="94">
        <v>696.93</v>
      </c>
      <c r="T243" s="94">
        <v>639.39</v>
      </c>
      <c r="U243" s="94">
        <v>609.08000000000004</v>
      </c>
    </row>
    <row r="244" spans="1:21">
      <c r="A244" s="91">
        <v>41610</v>
      </c>
      <c r="B244" s="86">
        <v>41610</v>
      </c>
      <c r="C244" s="93">
        <v>1.2105804733369701</v>
      </c>
      <c r="D244" s="85" t="s">
        <v>682</v>
      </c>
      <c r="F244" s="91">
        <v>41610</v>
      </c>
      <c r="G244">
        <v>630.96</v>
      </c>
      <c r="H244">
        <v>662.55</v>
      </c>
      <c r="I244" s="94">
        <v>619.17999999999995</v>
      </c>
      <c r="J244" s="94">
        <v>668.19</v>
      </c>
      <c r="K244" s="94">
        <v>722.67</v>
      </c>
      <c r="L244" s="94">
        <v>668.24</v>
      </c>
      <c r="M244" s="94">
        <v>640.59</v>
      </c>
      <c r="N244" s="94">
        <v>655.11</v>
      </c>
      <c r="O244" s="94">
        <v>649.21</v>
      </c>
      <c r="P244" s="94">
        <v>659.49</v>
      </c>
      <c r="Q244" s="94">
        <v>686.28</v>
      </c>
      <c r="R244" s="94">
        <v>644.62</v>
      </c>
      <c r="S244" s="94">
        <v>697.65</v>
      </c>
      <c r="T244" s="94">
        <v>653.05999999999995</v>
      </c>
      <c r="U244" s="94">
        <v>612.49</v>
      </c>
    </row>
    <row r="245" spans="1:21">
      <c r="A245" s="91">
        <v>41603</v>
      </c>
      <c r="B245" s="86">
        <v>41603</v>
      </c>
      <c r="C245" s="93">
        <v>1.1978917105893601</v>
      </c>
      <c r="D245" s="85" t="s">
        <v>683</v>
      </c>
      <c r="F245" s="91">
        <v>41603</v>
      </c>
      <c r="G245">
        <v>635.96</v>
      </c>
      <c r="H245">
        <v>628.25</v>
      </c>
      <c r="I245" s="94">
        <v>619.91999999999996</v>
      </c>
      <c r="J245" s="94">
        <v>671.55</v>
      </c>
      <c r="K245" s="94">
        <v>733.53</v>
      </c>
      <c r="L245" s="94">
        <v>659.36</v>
      </c>
      <c r="M245" s="94">
        <v>631.9</v>
      </c>
      <c r="N245" s="94">
        <v>650.26</v>
      </c>
      <c r="O245" s="94">
        <v>653.34</v>
      </c>
      <c r="P245" s="94">
        <v>659.49</v>
      </c>
      <c r="Q245" s="94">
        <v>676.62</v>
      </c>
      <c r="R245" s="94">
        <v>639.66</v>
      </c>
      <c r="S245" s="94">
        <v>692.88</v>
      </c>
      <c r="T245" s="94">
        <v>661.98</v>
      </c>
      <c r="U245" s="94">
        <v>603.87</v>
      </c>
    </row>
    <row r="246" spans="1:21">
      <c r="A246" s="91">
        <v>41596</v>
      </c>
      <c r="B246" s="86">
        <v>41596</v>
      </c>
      <c r="C246" s="93">
        <v>1.1921793037672899</v>
      </c>
      <c r="D246" s="85" t="s">
        <v>684</v>
      </c>
      <c r="F246" s="91">
        <v>41596</v>
      </c>
      <c r="G246">
        <v>627.62</v>
      </c>
      <c r="H246">
        <v>678.08</v>
      </c>
      <c r="I246" s="94">
        <v>608.19000000000005</v>
      </c>
      <c r="J246" s="94">
        <v>659.79</v>
      </c>
      <c r="K246" s="94">
        <v>722.77</v>
      </c>
      <c r="L246" s="94">
        <v>652.91</v>
      </c>
      <c r="M246" s="94">
        <v>620.69000000000005</v>
      </c>
      <c r="N246" s="94">
        <v>645.38</v>
      </c>
      <c r="O246" s="94">
        <v>643.15</v>
      </c>
      <c r="P246" s="94">
        <v>686.82</v>
      </c>
      <c r="Q246" s="94">
        <v>666.47</v>
      </c>
      <c r="R246" s="94">
        <v>631.4</v>
      </c>
      <c r="S246" s="94">
        <v>685.25</v>
      </c>
      <c r="T246" s="94">
        <v>660.19</v>
      </c>
      <c r="U246" s="94">
        <v>599.54999999999995</v>
      </c>
    </row>
    <row r="247" spans="1:21">
      <c r="A247" s="91">
        <v>41589</v>
      </c>
      <c r="B247" s="86">
        <v>41589</v>
      </c>
      <c r="C247" s="93">
        <v>1.1931750387781899</v>
      </c>
      <c r="D247" s="85" t="s">
        <v>685</v>
      </c>
      <c r="F247" s="91">
        <v>41589</v>
      </c>
      <c r="G247">
        <v>614.29</v>
      </c>
      <c r="H247">
        <v>629.67999999999995</v>
      </c>
      <c r="I247" s="94">
        <v>611.4</v>
      </c>
      <c r="J247" s="94">
        <v>636.26</v>
      </c>
      <c r="K247" s="94">
        <v>702.41</v>
      </c>
      <c r="L247" s="94">
        <v>669.04</v>
      </c>
      <c r="M247" s="94">
        <v>614.16999999999996</v>
      </c>
      <c r="N247" s="94">
        <v>644.09</v>
      </c>
      <c r="O247" s="94">
        <v>629.79</v>
      </c>
      <c r="P247" s="94">
        <v>686.82</v>
      </c>
      <c r="Q247" s="94">
        <v>665.37</v>
      </c>
      <c r="R247" s="94">
        <v>623.96</v>
      </c>
      <c r="S247" s="94">
        <v>675.05</v>
      </c>
      <c r="T247" s="94">
        <v>637.28</v>
      </c>
      <c r="U247" s="94">
        <v>598.22</v>
      </c>
    </row>
    <row r="248" spans="1:21">
      <c r="A248" s="91">
        <v>41582</v>
      </c>
      <c r="B248" s="86">
        <v>41582</v>
      </c>
      <c r="C248" s="93">
        <v>1.1825922421948898</v>
      </c>
      <c r="D248" s="85" t="s">
        <v>686</v>
      </c>
      <c r="F248" s="91">
        <v>41582</v>
      </c>
      <c r="G248">
        <v>617.62</v>
      </c>
      <c r="H248">
        <v>629.67999999999995</v>
      </c>
      <c r="I248" s="94">
        <v>640.61</v>
      </c>
      <c r="J248" s="94">
        <v>655.58</v>
      </c>
      <c r="K248" s="94">
        <v>713.16</v>
      </c>
      <c r="L248" s="94">
        <v>656.14</v>
      </c>
      <c r="M248" s="94">
        <v>614.66999999999996</v>
      </c>
      <c r="N248" s="94">
        <v>648.91999999999996</v>
      </c>
      <c r="O248" s="94">
        <v>633.24</v>
      </c>
      <c r="P248" s="94">
        <v>686.82</v>
      </c>
      <c r="Q248" s="94">
        <v>665.63</v>
      </c>
      <c r="R248" s="94">
        <v>633.04999999999995</v>
      </c>
      <c r="S248" s="94">
        <v>679.1</v>
      </c>
      <c r="T248" s="94">
        <v>629.94000000000005</v>
      </c>
      <c r="U248" s="94">
        <v>595.05999999999995</v>
      </c>
    </row>
    <row r="249" spans="1:21">
      <c r="A249" s="91">
        <v>41575</v>
      </c>
      <c r="B249" s="86">
        <v>41575</v>
      </c>
      <c r="C249" s="93">
        <v>1.17178345441762</v>
      </c>
      <c r="D249" s="85" t="s">
        <v>497</v>
      </c>
      <c r="F249" s="91">
        <v>41575</v>
      </c>
      <c r="G249">
        <v>621.79</v>
      </c>
      <c r="H249">
        <v>656.51</v>
      </c>
      <c r="I249" s="94">
        <v>650.24</v>
      </c>
      <c r="J249" s="94">
        <v>646.34</v>
      </c>
      <c r="K249" s="94">
        <v>707.68</v>
      </c>
      <c r="L249" s="94">
        <v>681.14</v>
      </c>
      <c r="M249" s="94">
        <v>628.39</v>
      </c>
      <c r="N249" s="94">
        <v>660.95</v>
      </c>
      <c r="O249" s="94">
        <v>663.62</v>
      </c>
      <c r="P249" s="94">
        <v>686.82</v>
      </c>
      <c r="Q249" s="94">
        <v>679.17</v>
      </c>
      <c r="R249" s="94">
        <v>637.19000000000005</v>
      </c>
      <c r="S249" s="94">
        <v>692.19</v>
      </c>
      <c r="T249" s="94">
        <v>631.79999999999995</v>
      </c>
      <c r="U249" s="94">
        <v>604.23</v>
      </c>
    </row>
    <row r="250" spans="1:21">
      <c r="A250" s="91">
        <v>41568</v>
      </c>
      <c r="B250" s="86">
        <v>41568</v>
      </c>
      <c r="C250" s="93">
        <v>1.1813349084465399</v>
      </c>
      <c r="D250" s="85" t="s">
        <v>687</v>
      </c>
      <c r="F250" s="91">
        <v>41568</v>
      </c>
      <c r="G250">
        <v>641.79</v>
      </c>
      <c r="H250">
        <v>649.07000000000005</v>
      </c>
      <c r="I250" s="94">
        <v>648.45000000000005</v>
      </c>
      <c r="J250" s="94">
        <v>662.31</v>
      </c>
      <c r="K250" s="94">
        <v>731.3</v>
      </c>
      <c r="L250" s="94">
        <v>679.53</v>
      </c>
      <c r="M250" s="94">
        <v>631.73</v>
      </c>
      <c r="N250" s="94">
        <v>662.29</v>
      </c>
      <c r="O250" s="94">
        <v>661.44</v>
      </c>
      <c r="P250" s="94">
        <v>686.82</v>
      </c>
      <c r="Q250" s="94">
        <v>686.9</v>
      </c>
      <c r="R250" s="94">
        <v>649.58000000000004</v>
      </c>
      <c r="S250" s="94">
        <v>699.22</v>
      </c>
      <c r="T250" s="94">
        <v>665.45</v>
      </c>
      <c r="U250" s="94">
        <v>610.29</v>
      </c>
    </row>
    <row r="251" spans="1:21">
      <c r="A251" s="91">
        <v>41561</v>
      </c>
      <c r="B251" s="86">
        <v>41561</v>
      </c>
      <c r="C251" s="93">
        <v>1.17882824472474</v>
      </c>
      <c r="D251" s="85" t="s">
        <v>688</v>
      </c>
      <c r="F251" s="91">
        <v>41561</v>
      </c>
      <c r="G251">
        <v>650.12</v>
      </c>
      <c r="H251">
        <v>655.93</v>
      </c>
      <c r="I251" s="94">
        <v>661.14</v>
      </c>
      <c r="J251" s="94">
        <v>663.99</v>
      </c>
      <c r="K251" s="94">
        <v>734.56</v>
      </c>
      <c r="L251" s="94">
        <v>688.4</v>
      </c>
      <c r="M251" s="94">
        <v>627.97</v>
      </c>
      <c r="N251" s="94">
        <v>662.37</v>
      </c>
      <c r="O251" s="94">
        <v>657.65</v>
      </c>
      <c r="P251" s="94">
        <v>695.06</v>
      </c>
      <c r="Q251" s="94">
        <v>688.54</v>
      </c>
      <c r="R251" s="94">
        <v>652.89</v>
      </c>
      <c r="S251" s="94">
        <v>698.68</v>
      </c>
      <c r="T251" s="94">
        <v>655.32000000000005</v>
      </c>
      <c r="U251" s="94">
        <v>610.37</v>
      </c>
    </row>
    <row r="252" spans="1:21">
      <c r="A252" s="91">
        <v>41554</v>
      </c>
      <c r="B252" s="86">
        <v>41554</v>
      </c>
      <c r="C252" s="93">
        <v>1.1852554225435599</v>
      </c>
      <c r="D252" s="85" t="s">
        <v>689</v>
      </c>
      <c r="F252" s="91">
        <v>41554</v>
      </c>
      <c r="G252">
        <v>635.96</v>
      </c>
      <c r="H252">
        <v>642.96</v>
      </c>
      <c r="I252" s="94">
        <v>673.08</v>
      </c>
      <c r="J252" s="94">
        <v>663.99</v>
      </c>
      <c r="K252" s="94">
        <v>723.76</v>
      </c>
      <c r="L252" s="94">
        <v>705.33</v>
      </c>
      <c r="M252" s="94">
        <v>633.4</v>
      </c>
      <c r="N252" s="94">
        <v>666.47</v>
      </c>
      <c r="O252" s="94">
        <v>668.26</v>
      </c>
      <c r="P252" s="94">
        <v>692.67</v>
      </c>
      <c r="Q252" s="94">
        <v>692.53</v>
      </c>
      <c r="R252" s="94">
        <v>659.5</v>
      </c>
      <c r="S252" s="94">
        <v>702.22</v>
      </c>
      <c r="T252" s="94">
        <v>636.66</v>
      </c>
      <c r="U252" s="94">
        <v>613.17999999999995</v>
      </c>
    </row>
    <row r="253" spans="1:21">
      <c r="A253" s="91">
        <v>41547</v>
      </c>
      <c r="B253" s="86">
        <v>41547</v>
      </c>
      <c r="C253" s="93">
        <v>1.19610071167992</v>
      </c>
      <c r="D253" s="85" t="s">
        <v>690</v>
      </c>
      <c r="F253" s="91">
        <v>41547</v>
      </c>
      <c r="G253">
        <v>652.62</v>
      </c>
      <c r="H253">
        <v>662.13</v>
      </c>
      <c r="I253" s="94">
        <v>674.54</v>
      </c>
      <c r="J253" s="94">
        <v>679.11</v>
      </c>
      <c r="K253" s="94">
        <v>723.92</v>
      </c>
      <c r="L253" s="94">
        <v>703.72</v>
      </c>
      <c r="M253" s="94">
        <v>642.77</v>
      </c>
      <c r="N253" s="94">
        <v>671.35</v>
      </c>
      <c r="O253" s="94">
        <v>663.22</v>
      </c>
      <c r="P253" s="94">
        <v>692.67</v>
      </c>
      <c r="Q253" s="94">
        <v>704.32</v>
      </c>
      <c r="R253" s="94">
        <v>671.07</v>
      </c>
      <c r="S253" s="94">
        <v>705.88</v>
      </c>
      <c r="T253" s="94">
        <v>652.15</v>
      </c>
      <c r="U253" s="94">
        <v>636.54</v>
      </c>
    </row>
    <row r="254" spans="1:21">
      <c r="A254" s="91">
        <v>41540</v>
      </c>
      <c r="B254" s="86">
        <v>41540</v>
      </c>
      <c r="C254" s="93">
        <v>1.1888486001307699</v>
      </c>
      <c r="D254" s="85" t="s">
        <v>691</v>
      </c>
      <c r="F254" s="91">
        <v>41540</v>
      </c>
      <c r="G254">
        <v>662.62</v>
      </c>
      <c r="H254">
        <v>648.91</v>
      </c>
      <c r="I254" s="94">
        <v>677.82</v>
      </c>
      <c r="J254" s="94">
        <v>679.95</v>
      </c>
      <c r="K254" s="94">
        <v>740.05</v>
      </c>
      <c r="L254" s="94">
        <v>725.49</v>
      </c>
      <c r="M254" s="94">
        <v>657.23</v>
      </c>
      <c r="N254" s="94">
        <v>687.51</v>
      </c>
      <c r="O254" s="94">
        <v>678.96</v>
      </c>
      <c r="P254" s="94">
        <v>667.1</v>
      </c>
      <c r="Q254" s="94">
        <v>721.06</v>
      </c>
      <c r="R254" s="94">
        <v>692.56</v>
      </c>
      <c r="S254" s="94">
        <v>713.12</v>
      </c>
      <c r="T254" s="94">
        <v>665.76</v>
      </c>
      <c r="U254" s="94">
        <v>667.87</v>
      </c>
    </row>
    <row r="255" spans="1:21">
      <c r="A255" s="91">
        <v>41533</v>
      </c>
      <c r="B255" s="86">
        <v>41533</v>
      </c>
      <c r="C255" s="93">
        <v>1.19260584376863</v>
      </c>
      <c r="D255" s="85" t="s">
        <v>692</v>
      </c>
      <c r="F255" s="91">
        <v>41533</v>
      </c>
      <c r="G255">
        <v>671.79</v>
      </c>
      <c r="H255">
        <v>716.76</v>
      </c>
      <c r="I255" s="94">
        <v>688.94</v>
      </c>
      <c r="J255" s="94">
        <v>696.76</v>
      </c>
      <c r="K255" s="94">
        <v>750.88</v>
      </c>
      <c r="L255" s="94">
        <v>719.04</v>
      </c>
      <c r="M255" s="94">
        <v>676.55</v>
      </c>
      <c r="N255" s="94">
        <v>702.66</v>
      </c>
      <c r="O255" s="94">
        <v>708.35</v>
      </c>
      <c r="P255" s="94">
        <v>667.1</v>
      </c>
      <c r="Q255" s="94">
        <v>739.26</v>
      </c>
      <c r="R255" s="94">
        <v>700.82</v>
      </c>
      <c r="S255" s="94">
        <v>737.31</v>
      </c>
      <c r="T255" s="94">
        <v>686.2</v>
      </c>
      <c r="U255" s="94">
        <v>675.15</v>
      </c>
    </row>
    <row r="256" spans="1:21">
      <c r="A256" s="91">
        <v>41526</v>
      </c>
      <c r="B256" s="86">
        <v>41526</v>
      </c>
      <c r="C256" s="93">
        <v>1.1886366337810501</v>
      </c>
      <c r="D256" s="85" t="s">
        <v>693</v>
      </c>
      <c r="F256" s="91">
        <v>41526</v>
      </c>
      <c r="G256">
        <v>700.12</v>
      </c>
      <c r="H256">
        <v>741.64</v>
      </c>
      <c r="I256" s="94">
        <v>688.96</v>
      </c>
      <c r="J256" s="94">
        <v>718.61</v>
      </c>
      <c r="K256" s="94">
        <v>783.9</v>
      </c>
      <c r="L256" s="94">
        <v>731.14</v>
      </c>
      <c r="M256" s="94">
        <v>687.92</v>
      </c>
      <c r="N256" s="94">
        <v>724.14</v>
      </c>
      <c r="O256" s="94">
        <v>730.87</v>
      </c>
      <c r="P256" s="94">
        <v>667.1</v>
      </c>
      <c r="Q256" s="94">
        <v>747.66</v>
      </c>
      <c r="R256" s="94">
        <v>715.7</v>
      </c>
      <c r="S256" s="94">
        <v>756.52</v>
      </c>
      <c r="T256" s="94">
        <v>709.32</v>
      </c>
      <c r="U256" s="94">
        <v>674.17</v>
      </c>
    </row>
    <row r="257" spans="1:21">
      <c r="A257" s="91">
        <v>41519</v>
      </c>
      <c r="B257" s="86">
        <v>41519</v>
      </c>
      <c r="C257" s="93">
        <v>1.1795930404010599</v>
      </c>
      <c r="D257" s="85" t="s">
        <v>694</v>
      </c>
      <c r="F257" s="91">
        <v>41519</v>
      </c>
      <c r="G257">
        <v>707.62</v>
      </c>
      <c r="H257">
        <v>748.08</v>
      </c>
      <c r="I257" s="94">
        <v>684.88</v>
      </c>
      <c r="J257" s="94">
        <v>729.53</v>
      </c>
      <c r="K257" s="94">
        <v>798.87</v>
      </c>
      <c r="L257" s="94">
        <v>719.04</v>
      </c>
      <c r="M257" s="94">
        <v>693.1</v>
      </c>
      <c r="N257" s="94">
        <v>718.83</v>
      </c>
      <c r="O257" s="94">
        <v>722.27</v>
      </c>
      <c r="P257" s="94">
        <v>667.1</v>
      </c>
      <c r="Q257" s="94">
        <v>744.02</v>
      </c>
      <c r="R257" s="94">
        <v>714.05</v>
      </c>
      <c r="S257" s="94">
        <v>750.27</v>
      </c>
      <c r="T257" s="94">
        <v>729.86</v>
      </c>
      <c r="U257" s="94">
        <v>664.48</v>
      </c>
    </row>
    <row r="258" spans="1:21">
      <c r="A258" s="91">
        <v>41512</v>
      </c>
      <c r="B258" s="86">
        <v>41512</v>
      </c>
      <c r="C258" s="93">
        <v>1.1648223645894</v>
      </c>
      <c r="D258" s="85" t="s">
        <v>695</v>
      </c>
      <c r="F258" s="91">
        <v>41512</v>
      </c>
      <c r="G258">
        <v>685.96</v>
      </c>
      <c r="H258">
        <v>704.94</v>
      </c>
      <c r="I258" s="94">
        <v>686.53</v>
      </c>
      <c r="J258" s="94">
        <v>713.57</v>
      </c>
      <c r="K258" s="94">
        <v>774.22</v>
      </c>
      <c r="L258" s="94">
        <v>731.95</v>
      </c>
      <c r="M258" s="94">
        <v>681.81</v>
      </c>
      <c r="N258" s="94">
        <v>707.75</v>
      </c>
      <c r="O258" s="94">
        <v>712.01</v>
      </c>
      <c r="P258" s="94">
        <v>667.1</v>
      </c>
      <c r="Q258" s="94">
        <v>733.57</v>
      </c>
      <c r="R258" s="94">
        <v>704.13</v>
      </c>
      <c r="S258" s="94">
        <v>739.21</v>
      </c>
      <c r="T258" s="94">
        <v>692.71</v>
      </c>
      <c r="U258" s="94">
        <v>653.14</v>
      </c>
    </row>
    <row r="259" spans="1:21">
      <c r="A259" s="91">
        <v>41505</v>
      </c>
      <c r="B259" s="86">
        <v>41505</v>
      </c>
      <c r="C259" s="93">
        <v>1.1724703951225199</v>
      </c>
      <c r="D259" s="85" t="s">
        <v>413</v>
      </c>
      <c r="F259" s="91">
        <v>41505</v>
      </c>
      <c r="G259">
        <v>688.46</v>
      </c>
      <c r="H259">
        <v>719.07</v>
      </c>
      <c r="I259" s="94">
        <v>678.98</v>
      </c>
      <c r="J259" s="94">
        <v>715.25</v>
      </c>
      <c r="K259" s="94">
        <v>785.16</v>
      </c>
      <c r="L259" s="94">
        <v>715.01</v>
      </c>
      <c r="M259" s="94">
        <v>673.04</v>
      </c>
      <c r="N259" s="94">
        <v>700.67</v>
      </c>
      <c r="O259" s="94">
        <v>695.65</v>
      </c>
      <c r="P259" s="94">
        <v>667.1</v>
      </c>
      <c r="Q259" s="94">
        <v>727.81</v>
      </c>
      <c r="R259" s="94">
        <v>699.17</v>
      </c>
      <c r="S259" s="94">
        <v>732.7</v>
      </c>
      <c r="T259" s="94">
        <v>703.17</v>
      </c>
      <c r="U259" s="94">
        <v>659.12</v>
      </c>
    </row>
    <row r="260" spans="1:21">
      <c r="A260" s="91">
        <v>41498</v>
      </c>
      <c r="B260" s="86">
        <v>41498</v>
      </c>
      <c r="C260" s="93">
        <v>1.1646866992778899</v>
      </c>
      <c r="D260" s="85" t="s">
        <v>696</v>
      </c>
      <c r="F260" s="91">
        <v>41498</v>
      </c>
      <c r="G260">
        <v>680.12</v>
      </c>
      <c r="H260">
        <v>752.71</v>
      </c>
      <c r="I260" s="94">
        <v>680.62</v>
      </c>
      <c r="J260" s="94">
        <v>693.4</v>
      </c>
      <c r="K260" s="94">
        <v>762.41</v>
      </c>
      <c r="L260" s="94">
        <v>726.3</v>
      </c>
      <c r="M260" s="94">
        <v>678.72</v>
      </c>
      <c r="N260" s="94">
        <v>709.85</v>
      </c>
      <c r="O260" s="94">
        <v>716.11</v>
      </c>
      <c r="P260" s="94">
        <v>667.1</v>
      </c>
      <c r="Q260" s="94">
        <v>733.41</v>
      </c>
      <c r="R260" s="94">
        <v>698.34</v>
      </c>
      <c r="S260" s="94">
        <v>734.42</v>
      </c>
      <c r="T260" s="94">
        <v>682.78</v>
      </c>
      <c r="U260" s="94">
        <v>656.01</v>
      </c>
    </row>
    <row r="261" spans="1:21">
      <c r="A261" s="91">
        <v>41491</v>
      </c>
      <c r="B261" s="86">
        <v>41491</v>
      </c>
      <c r="C261" s="93">
        <v>1.1570726063060499</v>
      </c>
      <c r="D261" s="85" t="s">
        <v>697</v>
      </c>
      <c r="F261" s="91">
        <v>41491</v>
      </c>
      <c r="G261">
        <v>686.79</v>
      </c>
      <c r="H261">
        <v>711.39</v>
      </c>
      <c r="I261" s="94">
        <v>680.85</v>
      </c>
      <c r="J261" s="94">
        <v>713.57</v>
      </c>
      <c r="K261" s="94">
        <v>790.7</v>
      </c>
      <c r="L261" s="94">
        <v>737.59</v>
      </c>
      <c r="M261" s="94">
        <v>679.81</v>
      </c>
      <c r="N261" s="94">
        <v>713.63</v>
      </c>
      <c r="O261" s="94">
        <v>707.22</v>
      </c>
      <c r="P261" s="94">
        <v>667.1</v>
      </c>
      <c r="Q261" s="94">
        <v>734.25</v>
      </c>
      <c r="R261" s="94">
        <v>707.43</v>
      </c>
      <c r="S261" s="94">
        <v>739.95</v>
      </c>
      <c r="T261" s="94">
        <v>708.3</v>
      </c>
      <c r="U261" s="94">
        <v>650.62</v>
      </c>
    </row>
    <row r="262" spans="1:21">
      <c r="A262" s="91">
        <v>41484</v>
      </c>
      <c r="B262" s="86">
        <v>41484</v>
      </c>
      <c r="C262" s="93">
        <v>1.1582117211026199</v>
      </c>
      <c r="D262" s="85" t="s">
        <v>698</v>
      </c>
      <c r="F262" s="91">
        <v>41484</v>
      </c>
      <c r="G262">
        <v>689.29</v>
      </c>
      <c r="H262">
        <v>711.39</v>
      </c>
      <c r="I262" s="94">
        <v>683.91</v>
      </c>
      <c r="J262" s="94">
        <v>705.16</v>
      </c>
      <c r="K262" s="94">
        <v>772.4</v>
      </c>
      <c r="L262" s="94">
        <v>722.27</v>
      </c>
      <c r="M262" s="94">
        <v>667.77</v>
      </c>
      <c r="N262" s="94">
        <v>717.18</v>
      </c>
      <c r="O262" s="94">
        <v>716.79</v>
      </c>
      <c r="P262" s="94">
        <v>667.1</v>
      </c>
      <c r="Q262" s="94">
        <v>735.48</v>
      </c>
      <c r="R262" s="94">
        <v>706.61</v>
      </c>
      <c r="S262" s="94">
        <v>751.44</v>
      </c>
      <c r="T262" s="94">
        <v>704.56</v>
      </c>
      <c r="U262" s="94">
        <v>649.84</v>
      </c>
    </row>
    <row r="263" spans="1:21">
      <c r="A263" s="91">
        <v>41477</v>
      </c>
      <c r="B263" s="86">
        <v>41477</v>
      </c>
      <c r="C263" s="93">
        <v>1.1641443538998799</v>
      </c>
      <c r="D263" s="85" t="s">
        <v>390</v>
      </c>
      <c r="F263" s="91">
        <v>41477</v>
      </c>
      <c r="G263">
        <v>697.62</v>
      </c>
      <c r="H263">
        <v>779.98</v>
      </c>
      <c r="I263" s="94">
        <v>679.25</v>
      </c>
      <c r="J263" s="94">
        <v>731.21</v>
      </c>
      <c r="K263" s="94">
        <v>791.51</v>
      </c>
      <c r="L263" s="94">
        <v>714.2</v>
      </c>
      <c r="M263" s="94">
        <v>691.1</v>
      </c>
      <c r="N263" s="94">
        <v>713.26</v>
      </c>
      <c r="O263" s="94">
        <v>725.48</v>
      </c>
      <c r="P263" s="94">
        <v>672.8</v>
      </c>
      <c r="Q263" s="94">
        <v>735.58</v>
      </c>
      <c r="R263" s="94">
        <v>707.43</v>
      </c>
      <c r="S263" s="94">
        <v>752.54</v>
      </c>
      <c r="T263" s="94">
        <v>725.19</v>
      </c>
      <c r="U263" s="94">
        <v>645.09</v>
      </c>
    </row>
    <row r="264" spans="1:21">
      <c r="A264" s="91">
        <v>41470</v>
      </c>
      <c r="B264" s="86">
        <v>41470</v>
      </c>
      <c r="C264" s="93">
        <v>1.1564704521799498</v>
      </c>
      <c r="D264" s="85" t="s">
        <v>699</v>
      </c>
      <c r="F264" s="91">
        <v>41470</v>
      </c>
      <c r="G264">
        <v>695.96</v>
      </c>
      <c r="H264">
        <v>715.36</v>
      </c>
      <c r="I264" s="94">
        <v>668.07</v>
      </c>
      <c r="J264" s="94">
        <v>720.29</v>
      </c>
      <c r="K264" s="94">
        <v>787.25</v>
      </c>
      <c r="L264" s="94">
        <v>717.43</v>
      </c>
      <c r="M264" s="94">
        <v>672.03</v>
      </c>
      <c r="N264" s="94">
        <v>697.98</v>
      </c>
      <c r="O264" s="94">
        <v>713.92</v>
      </c>
      <c r="P264" s="94">
        <v>672.8</v>
      </c>
      <c r="Q264" s="94">
        <v>727.91</v>
      </c>
      <c r="R264" s="94">
        <v>695.86</v>
      </c>
      <c r="S264" s="94">
        <v>734.38</v>
      </c>
      <c r="T264" s="94">
        <v>710.4</v>
      </c>
      <c r="U264" s="94">
        <v>630.33000000000004</v>
      </c>
    </row>
    <row r="265" spans="1:21">
      <c r="A265" s="91">
        <v>41463</v>
      </c>
      <c r="B265" s="86">
        <v>41463</v>
      </c>
      <c r="C265" s="93">
        <v>1.1606313834726099</v>
      </c>
      <c r="D265" s="85" t="s">
        <v>700</v>
      </c>
      <c r="F265" s="91">
        <v>41463</v>
      </c>
      <c r="G265">
        <v>671.79</v>
      </c>
      <c r="H265">
        <v>684.78</v>
      </c>
      <c r="I265" s="94">
        <v>655.08000000000004</v>
      </c>
      <c r="J265" s="94">
        <v>698.44</v>
      </c>
      <c r="K265" s="94">
        <v>768.83</v>
      </c>
      <c r="L265" s="94">
        <v>698.88</v>
      </c>
      <c r="M265" s="94">
        <v>662.42</v>
      </c>
      <c r="N265" s="94">
        <v>681.43</v>
      </c>
      <c r="O265" s="94">
        <v>685.07</v>
      </c>
      <c r="P265" s="94">
        <v>672.8</v>
      </c>
      <c r="Q265" s="94">
        <v>710.19</v>
      </c>
      <c r="R265" s="94">
        <v>679.33</v>
      </c>
      <c r="S265" s="94">
        <v>710.54</v>
      </c>
      <c r="T265" s="94">
        <v>687.84</v>
      </c>
      <c r="U265" s="94">
        <v>621.22</v>
      </c>
    </row>
    <row r="266" spans="1:21">
      <c r="A266" s="91">
        <v>41456</v>
      </c>
      <c r="B266" s="86">
        <v>41456</v>
      </c>
      <c r="C266" s="93">
        <v>1.16788321167883</v>
      </c>
      <c r="D266" s="85" t="s">
        <v>701</v>
      </c>
      <c r="F266" s="91">
        <v>41456</v>
      </c>
      <c r="G266">
        <v>669.29</v>
      </c>
      <c r="H266">
        <v>686.43</v>
      </c>
      <c r="I266" s="94">
        <v>652.87</v>
      </c>
      <c r="J266" s="94">
        <v>685.84</v>
      </c>
      <c r="K266" s="94">
        <v>742.05</v>
      </c>
      <c r="L266" s="94">
        <v>702.91</v>
      </c>
      <c r="M266" s="94">
        <v>662.75</v>
      </c>
      <c r="N266" s="94">
        <v>683.18</v>
      </c>
      <c r="O266" s="94">
        <v>685.92</v>
      </c>
      <c r="P266" s="94">
        <v>672.8</v>
      </c>
      <c r="Q266" s="94">
        <v>705.51</v>
      </c>
      <c r="R266" s="94">
        <v>673.55</v>
      </c>
      <c r="S266" s="94">
        <v>709.83</v>
      </c>
      <c r="T266" s="94">
        <v>672.28</v>
      </c>
      <c r="U266" s="94">
        <v>621.9</v>
      </c>
    </row>
    <row r="267" spans="1:21">
      <c r="A267" s="91">
        <v>41449</v>
      </c>
      <c r="B267" s="86">
        <v>41449</v>
      </c>
      <c r="C267" s="93">
        <v>1.1748810432943699</v>
      </c>
      <c r="D267" s="85" t="s">
        <v>702</v>
      </c>
      <c r="F267" s="91">
        <v>41449</v>
      </c>
      <c r="G267">
        <v>666.79</v>
      </c>
      <c r="H267">
        <v>704.61</v>
      </c>
      <c r="I267" s="94">
        <v>655.78</v>
      </c>
      <c r="J267" s="94">
        <v>692.56</v>
      </c>
      <c r="K267" s="94">
        <v>747.42</v>
      </c>
      <c r="L267" s="94">
        <v>692.43</v>
      </c>
      <c r="M267" s="94">
        <v>669.27</v>
      </c>
      <c r="N267" s="94">
        <v>686.32</v>
      </c>
      <c r="O267" s="94">
        <v>670.88</v>
      </c>
      <c r="P267" s="94">
        <v>672.8</v>
      </c>
      <c r="Q267" s="94">
        <v>703.13</v>
      </c>
      <c r="R267" s="94">
        <v>674.38</v>
      </c>
      <c r="S267" s="94">
        <v>713.55</v>
      </c>
      <c r="T267" s="94">
        <v>657.71</v>
      </c>
      <c r="U267" s="94">
        <v>636.20000000000005</v>
      </c>
    </row>
    <row r="268" spans="1:21">
      <c r="A268" s="91">
        <v>41442</v>
      </c>
      <c r="B268" s="86">
        <v>41442</v>
      </c>
      <c r="C268" s="93">
        <v>1.1798713940180499</v>
      </c>
      <c r="D268" s="85" t="s">
        <v>703</v>
      </c>
      <c r="F268" s="91">
        <v>41442</v>
      </c>
      <c r="G268">
        <v>665.12</v>
      </c>
      <c r="H268">
        <v>703.37</v>
      </c>
      <c r="I268" s="94">
        <v>658.7</v>
      </c>
      <c r="J268" s="94">
        <v>679.95</v>
      </c>
      <c r="K268" s="94">
        <v>744.24</v>
      </c>
      <c r="L268" s="94">
        <v>696.46</v>
      </c>
      <c r="M268" s="94">
        <v>667.93</v>
      </c>
      <c r="N268" s="94">
        <v>687.98</v>
      </c>
      <c r="O268" s="94">
        <v>698.99</v>
      </c>
      <c r="P268" s="94">
        <v>682.59</v>
      </c>
      <c r="Q268" s="94">
        <v>702.31</v>
      </c>
      <c r="R268" s="94">
        <v>674.38</v>
      </c>
      <c r="S268" s="94">
        <v>712.54</v>
      </c>
      <c r="T268" s="94">
        <v>678.8</v>
      </c>
      <c r="U268" s="94">
        <v>638.29</v>
      </c>
    </row>
    <row r="269" spans="1:21">
      <c r="A269" s="91">
        <v>41435</v>
      </c>
      <c r="B269" s="86">
        <v>41435</v>
      </c>
      <c r="C269" s="93">
        <v>1.17591721542803</v>
      </c>
      <c r="D269" s="85" t="s">
        <v>704</v>
      </c>
      <c r="F269" s="91">
        <v>41435</v>
      </c>
      <c r="G269">
        <v>669.29</v>
      </c>
      <c r="H269">
        <v>691.97</v>
      </c>
      <c r="I269" s="94">
        <v>660.54</v>
      </c>
      <c r="J269" s="94">
        <v>691.72</v>
      </c>
      <c r="K269" s="94">
        <v>755.23</v>
      </c>
      <c r="L269" s="94">
        <v>705.33</v>
      </c>
      <c r="M269" s="94">
        <v>674.96</v>
      </c>
      <c r="N269" s="94">
        <v>689.39</v>
      </c>
      <c r="O269" s="94">
        <v>677.69</v>
      </c>
      <c r="P269" s="94">
        <v>682.59</v>
      </c>
      <c r="Q269" s="94">
        <v>705.86</v>
      </c>
      <c r="R269" s="94">
        <v>675.2</v>
      </c>
      <c r="S269" s="94">
        <v>717.55</v>
      </c>
      <c r="T269" s="94">
        <v>680.02</v>
      </c>
      <c r="U269" s="94">
        <v>634.6</v>
      </c>
    </row>
    <row r="270" spans="1:21">
      <c r="A270" s="91">
        <v>41428</v>
      </c>
      <c r="B270" s="86">
        <v>41428</v>
      </c>
      <c r="C270" s="93">
        <v>1.17398450340456</v>
      </c>
      <c r="D270" s="85" t="s">
        <v>705</v>
      </c>
      <c r="F270" s="91">
        <v>41428</v>
      </c>
      <c r="G270">
        <v>669.29</v>
      </c>
      <c r="H270">
        <v>694.2</v>
      </c>
      <c r="I270" s="94">
        <v>654.97</v>
      </c>
      <c r="J270" s="94">
        <v>697.6</v>
      </c>
      <c r="K270" s="94">
        <v>755.41</v>
      </c>
      <c r="L270" s="94">
        <v>709.63</v>
      </c>
      <c r="M270" s="94">
        <v>676.05</v>
      </c>
      <c r="N270" s="94">
        <v>689.4</v>
      </c>
      <c r="O270" s="94">
        <v>681.56</v>
      </c>
      <c r="P270" s="94">
        <v>682.59</v>
      </c>
      <c r="Q270" s="94">
        <v>706.71</v>
      </c>
      <c r="R270" s="94">
        <v>683.47</v>
      </c>
      <c r="S270" s="94">
        <v>722.32</v>
      </c>
      <c r="T270" s="94">
        <v>695.96</v>
      </c>
      <c r="U270" s="94">
        <v>631.04999999999995</v>
      </c>
    </row>
    <row r="271" spans="1:21">
      <c r="A271" s="91">
        <v>41421</v>
      </c>
      <c r="B271" s="86">
        <v>41421</v>
      </c>
      <c r="C271" s="93">
        <v>1.16877045348294</v>
      </c>
      <c r="D271" s="85" t="s">
        <v>706</v>
      </c>
      <c r="F271" s="91">
        <v>41421</v>
      </c>
      <c r="G271">
        <v>635.46</v>
      </c>
      <c r="H271">
        <v>675.11</v>
      </c>
      <c r="I271" s="94">
        <v>643.63</v>
      </c>
      <c r="J271" s="94">
        <v>714.41</v>
      </c>
      <c r="K271" s="94">
        <v>753.38</v>
      </c>
      <c r="L271" s="94">
        <v>714.51</v>
      </c>
      <c r="M271" s="94">
        <v>675.29</v>
      </c>
      <c r="N271" s="94">
        <v>670.09</v>
      </c>
      <c r="O271" s="94">
        <v>696.43</v>
      </c>
      <c r="P271" s="94">
        <v>682.59</v>
      </c>
      <c r="Q271" s="94">
        <v>703.81</v>
      </c>
      <c r="R271" s="94">
        <v>676.85</v>
      </c>
      <c r="S271" s="94">
        <v>723.22</v>
      </c>
      <c r="T271" s="94">
        <v>694.01</v>
      </c>
      <c r="U271" s="94">
        <v>624.29999999999995</v>
      </c>
    </row>
    <row r="272" spans="1:21">
      <c r="A272" s="91">
        <v>41414</v>
      </c>
      <c r="B272" s="86">
        <v>41414</v>
      </c>
      <c r="C272" s="93">
        <v>1.1825922421948898</v>
      </c>
      <c r="D272" s="85" t="s">
        <v>707</v>
      </c>
      <c r="F272" s="91">
        <v>41414</v>
      </c>
      <c r="G272">
        <v>630.46</v>
      </c>
      <c r="H272">
        <v>675.11</v>
      </c>
      <c r="I272" s="94">
        <v>629.83000000000004</v>
      </c>
      <c r="J272" s="94">
        <v>714.41</v>
      </c>
      <c r="K272" s="94">
        <v>766.29</v>
      </c>
      <c r="L272" s="94">
        <v>690.93</v>
      </c>
      <c r="M272" s="94">
        <v>664.34</v>
      </c>
      <c r="N272" s="94">
        <v>670.09</v>
      </c>
      <c r="O272" s="94">
        <v>685.37</v>
      </c>
      <c r="P272" s="94">
        <v>682.59</v>
      </c>
      <c r="Q272" s="94">
        <v>690.72</v>
      </c>
      <c r="R272" s="94">
        <v>673.55</v>
      </c>
      <c r="S272" s="94">
        <v>702.48</v>
      </c>
      <c r="T272" s="94">
        <v>705.04</v>
      </c>
      <c r="U272" s="94">
        <v>627.09</v>
      </c>
    </row>
    <row r="273" spans="1:21">
      <c r="A273" s="91">
        <v>41407</v>
      </c>
      <c r="B273" s="86">
        <v>41407</v>
      </c>
      <c r="C273" s="93">
        <v>1.1846937566639</v>
      </c>
      <c r="D273" s="85" t="s">
        <v>708</v>
      </c>
      <c r="F273" s="91">
        <v>41407</v>
      </c>
      <c r="G273">
        <v>626.29</v>
      </c>
      <c r="H273">
        <v>675.11</v>
      </c>
      <c r="I273" s="94">
        <v>634.04999999999995</v>
      </c>
      <c r="J273" s="94">
        <v>687.52</v>
      </c>
      <c r="K273" s="94">
        <v>721.15</v>
      </c>
      <c r="L273" s="94">
        <v>691.75</v>
      </c>
      <c r="M273" s="94">
        <v>654.39</v>
      </c>
      <c r="N273" s="94">
        <v>665.47</v>
      </c>
      <c r="O273" s="94">
        <v>675.88</v>
      </c>
      <c r="P273" s="94">
        <v>707.39</v>
      </c>
      <c r="Q273" s="94">
        <v>684.69</v>
      </c>
      <c r="R273" s="94">
        <v>659.5</v>
      </c>
      <c r="S273" s="94">
        <v>696.89</v>
      </c>
      <c r="T273" s="94">
        <v>677.46</v>
      </c>
      <c r="U273" s="94">
        <v>628.02</v>
      </c>
    </row>
    <row r="274" spans="1:21">
      <c r="A274" s="91">
        <v>41400</v>
      </c>
      <c r="B274" s="86">
        <v>41400</v>
      </c>
      <c r="C274" s="93">
        <v>1.1860989206499799</v>
      </c>
      <c r="D274" s="85" t="s">
        <v>709</v>
      </c>
      <c r="F274" s="91">
        <v>41400</v>
      </c>
      <c r="G274">
        <v>612.96</v>
      </c>
      <c r="H274">
        <v>663.21</v>
      </c>
      <c r="I274" s="94">
        <v>643.15</v>
      </c>
      <c r="J274" s="94">
        <v>690.04</v>
      </c>
      <c r="K274" s="94">
        <v>704.03</v>
      </c>
      <c r="L274" s="94">
        <v>699.06</v>
      </c>
      <c r="M274" s="94">
        <v>654.14</v>
      </c>
      <c r="N274" s="94">
        <v>668.08</v>
      </c>
      <c r="O274" s="94">
        <v>675.8</v>
      </c>
      <c r="P274" s="94">
        <v>707.39</v>
      </c>
      <c r="Q274" s="94">
        <v>687.38</v>
      </c>
      <c r="R274" s="94">
        <v>661.15</v>
      </c>
      <c r="S274" s="94">
        <v>690.23</v>
      </c>
      <c r="T274" s="94">
        <v>655.34</v>
      </c>
      <c r="U274" s="94">
        <v>631.37</v>
      </c>
    </row>
    <row r="275" spans="1:21">
      <c r="A275" s="91">
        <v>41393</v>
      </c>
      <c r="B275" s="86">
        <v>41393</v>
      </c>
      <c r="C275" s="93">
        <v>1.1848341232227499</v>
      </c>
      <c r="D275" s="85" t="s">
        <v>710</v>
      </c>
      <c r="F275" s="91">
        <v>41393</v>
      </c>
      <c r="G275">
        <v>617.12</v>
      </c>
      <c r="H275">
        <v>730.23</v>
      </c>
      <c r="I275" s="94">
        <v>647.41999999999996</v>
      </c>
      <c r="J275" s="94">
        <v>684.16</v>
      </c>
      <c r="K275" s="94">
        <v>723</v>
      </c>
      <c r="L275" s="94">
        <v>705.57</v>
      </c>
      <c r="M275" s="94">
        <v>660.91</v>
      </c>
      <c r="N275" s="94">
        <v>666.31</v>
      </c>
      <c r="O275" s="94">
        <v>659.69</v>
      </c>
      <c r="P275" s="94">
        <v>707.39</v>
      </c>
      <c r="Q275" s="94">
        <v>685.77</v>
      </c>
      <c r="R275" s="94">
        <v>667.76</v>
      </c>
      <c r="S275" s="94">
        <v>694.98</v>
      </c>
      <c r="T275" s="94">
        <v>688.4</v>
      </c>
      <c r="U275" s="94">
        <v>642.99</v>
      </c>
    </row>
    <row r="276" spans="1:21">
      <c r="A276" s="91">
        <v>41386</v>
      </c>
      <c r="B276" s="86">
        <v>41386</v>
      </c>
      <c r="C276" s="93">
        <v>1.16781501810113</v>
      </c>
      <c r="D276" s="85" t="s">
        <v>711</v>
      </c>
      <c r="F276" s="91">
        <v>41386</v>
      </c>
      <c r="G276">
        <v>613.79</v>
      </c>
      <c r="H276">
        <v>666.93</v>
      </c>
      <c r="I276" s="94">
        <v>652.51</v>
      </c>
      <c r="J276" s="94">
        <v>691.72</v>
      </c>
      <c r="K276" s="94">
        <v>708.12</v>
      </c>
      <c r="L276" s="94">
        <v>719.39</v>
      </c>
      <c r="M276" s="94">
        <v>662.58</v>
      </c>
      <c r="N276" s="94">
        <v>674.64</v>
      </c>
      <c r="O276" s="94">
        <v>663.12</v>
      </c>
      <c r="P276" s="94">
        <v>707.39</v>
      </c>
      <c r="Q276" s="94">
        <v>695.44</v>
      </c>
      <c r="R276" s="94">
        <v>668.59</v>
      </c>
      <c r="S276" s="94">
        <v>695.67</v>
      </c>
      <c r="T276" s="94">
        <v>663.15</v>
      </c>
      <c r="U276" s="94">
        <v>643.66</v>
      </c>
    </row>
    <row r="277" spans="1:21">
      <c r="A277" s="91">
        <v>41379</v>
      </c>
      <c r="B277" s="86">
        <v>41379</v>
      </c>
      <c r="C277" s="93">
        <v>1.1724703951225199</v>
      </c>
      <c r="D277" s="85" t="s">
        <v>712</v>
      </c>
      <c r="F277" s="91">
        <v>41379</v>
      </c>
      <c r="G277">
        <v>633.79</v>
      </c>
      <c r="H277">
        <v>699.24</v>
      </c>
      <c r="I277" s="94">
        <v>665.39</v>
      </c>
      <c r="J277" s="94">
        <v>698.44</v>
      </c>
      <c r="K277" s="94">
        <v>718.75</v>
      </c>
      <c r="L277" s="94">
        <v>730.77</v>
      </c>
      <c r="M277" s="94">
        <v>693.19</v>
      </c>
      <c r="N277" s="94">
        <v>703.51</v>
      </c>
      <c r="O277" s="94">
        <v>711.18</v>
      </c>
      <c r="P277" s="94">
        <v>707.39</v>
      </c>
      <c r="Q277" s="94">
        <v>720.43</v>
      </c>
      <c r="R277" s="94">
        <v>690.08</v>
      </c>
      <c r="S277" s="94">
        <v>716.09</v>
      </c>
      <c r="T277" s="94">
        <v>688.86</v>
      </c>
      <c r="U277" s="94">
        <v>660.18</v>
      </c>
    </row>
    <row r="278" spans="1:21">
      <c r="A278" s="91">
        <v>41372</v>
      </c>
      <c r="B278" s="86">
        <v>41372</v>
      </c>
      <c r="C278" s="93">
        <v>1.1751571772724601</v>
      </c>
      <c r="D278" s="85" t="s">
        <v>485</v>
      </c>
      <c r="F278" s="91">
        <v>41372</v>
      </c>
      <c r="G278">
        <v>651.29</v>
      </c>
      <c r="H278">
        <v>752.79</v>
      </c>
      <c r="I278" s="94">
        <v>673.62</v>
      </c>
      <c r="J278" s="94">
        <v>715.25</v>
      </c>
      <c r="K278" s="94">
        <v>751.11</v>
      </c>
      <c r="L278" s="94">
        <v>746.22</v>
      </c>
      <c r="M278" s="94">
        <v>722.62</v>
      </c>
      <c r="N278" s="94">
        <v>723.2</v>
      </c>
      <c r="O278" s="94">
        <v>737.14</v>
      </c>
      <c r="P278" s="94">
        <v>684.33</v>
      </c>
      <c r="Q278" s="94">
        <v>735.27</v>
      </c>
      <c r="R278" s="94">
        <v>708.26</v>
      </c>
      <c r="S278" s="94">
        <v>746.08</v>
      </c>
      <c r="T278" s="94">
        <v>708.93</v>
      </c>
      <c r="U278" s="94">
        <v>663.62</v>
      </c>
    </row>
    <row r="279" spans="1:21">
      <c r="A279" s="91">
        <v>41358</v>
      </c>
      <c r="B279" s="86">
        <v>41358</v>
      </c>
      <c r="C279" s="93">
        <v>1.1742602160638798</v>
      </c>
      <c r="D279" s="85" t="s">
        <v>713</v>
      </c>
      <c r="F279" s="91">
        <v>41358</v>
      </c>
      <c r="G279">
        <v>638.42999999999995</v>
      </c>
      <c r="H279">
        <v>682.22</v>
      </c>
      <c r="I279" s="94">
        <v>669.83</v>
      </c>
      <c r="J279" s="94">
        <v>718.61</v>
      </c>
      <c r="K279" s="94">
        <v>772.58</v>
      </c>
      <c r="L279" s="94">
        <v>729.96</v>
      </c>
      <c r="M279" s="94">
        <v>714.09</v>
      </c>
      <c r="N279" s="94">
        <v>721.39</v>
      </c>
      <c r="O279" s="94">
        <v>708.82</v>
      </c>
      <c r="P279" s="94">
        <v>684.33</v>
      </c>
      <c r="Q279" s="94">
        <v>743</v>
      </c>
      <c r="R279" s="94">
        <v>694.66</v>
      </c>
      <c r="S279" s="94">
        <v>736.4</v>
      </c>
      <c r="T279" s="94">
        <v>716.68</v>
      </c>
      <c r="U279" s="94">
        <v>660.97</v>
      </c>
    </row>
    <row r="280" spans="1:21">
      <c r="A280" s="91">
        <v>41351</v>
      </c>
      <c r="B280" s="86">
        <v>41351</v>
      </c>
      <c r="C280" s="93">
        <v>1.1679514132212099</v>
      </c>
      <c r="D280" s="85" t="s">
        <v>714</v>
      </c>
      <c r="F280" s="91">
        <v>41351</v>
      </c>
      <c r="G280">
        <v>637.59</v>
      </c>
      <c r="H280">
        <v>699.82</v>
      </c>
      <c r="I280" s="94">
        <v>678.85</v>
      </c>
      <c r="J280" s="94">
        <v>669.87</v>
      </c>
      <c r="K280" s="94">
        <v>751.07</v>
      </c>
      <c r="L280" s="94">
        <v>737.28</v>
      </c>
      <c r="M280" s="94">
        <v>708.57</v>
      </c>
      <c r="N280" s="94">
        <v>724.11</v>
      </c>
      <c r="O280" s="94">
        <v>700.19</v>
      </c>
      <c r="P280" s="94">
        <v>684.33</v>
      </c>
      <c r="Q280" s="94">
        <v>749.47</v>
      </c>
      <c r="R280" s="94">
        <v>698.79</v>
      </c>
      <c r="S280" s="94">
        <v>728.73</v>
      </c>
      <c r="T280" s="94">
        <v>706.01</v>
      </c>
      <c r="U280" s="94">
        <v>662.25</v>
      </c>
    </row>
    <row r="281" spans="1:21">
      <c r="A281" s="91">
        <v>41344</v>
      </c>
      <c r="B281" s="86">
        <v>41344</v>
      </c>
      <c r="C281" s="93">
        <v>1.14501631648251</v>
      </c>
      <c r="D281" s="85" t="s">
        <v>503</v>
      </c>
      <c r="F281" s="91">
        <v>41344</v>
      </c>
      <c r="G281">
        <v>643.42999999999995</v>
      </c>
      <c r="H281">
        <v>735.93</v>
      </c>
      <c r="I281" s="94">
        <v>686.85</v>
      </c>
      <c r="J281" s="94">
        <v>668.19</v>
      </c>
      <c r="K281" s="94">
        <v>748.7</v>
      </c>
      <c r="L281" s="94">
        <v>745.41</v>
      </c>
      <c r="M281" s="94">
        <v>722.37</v>
      </c>
      <c r="N281" s="94">
        <v>739.33</v>
      </c>
      <c r="O281" s="94">
        <v>714.39</v>
      </c>
      <c r="P281" s="94">
        <v>672.78</v>
      </c>
      <c r="Q281" s="94">
        <v>762.36</v>
      </c>
      <c r="R281" s="94">
        <v>719.45</v>
      </c>
      <c r="S281" s="94">
        <v>737.88</v>
      </c>
      <c r="T281" s="94">
        <v>711.75</v>
      </c>
      <c r="U281" s="94">
        <v>672.28</v>
      </c>
    </row>
    <row r="282" spans="1:21">
      <c r="A282" s="91">
        <v>41337</v>
      </c>
      <c r="B282" s="86">
        <v>41337</v>
      </c>
      <c r="C282" s="93">
        <v>1.1574074074074099</v>
      </c>
      <c r="D282" s="85" t="s">
        <v>715</v>
      </c>
      <c r="F282" s="91">
        <v>41337</v>
      </c>
      <c r="G282">
        <v>662.59</v>
      </c>
      <c r="H282">
        <v>762.22</v>
      </c>
      <c r="I282" s="94">
        <v>687.01</v>
      </c>
      <c r="J282" s="94">
        <v>684.16</v>
      </c>
      <c r="K282" s="94">
        <v>761.72</v>
      </c>
      <c r="L282" s="94">
        <v>751.91</v>
      </c>
      <c r="M282" s="94">
        <v>738.84</v>
      </c>
      <c r="N282" s="94">
        <v>756.85</v>
      </c>
      <c r="O282" s="94">
        <v>750.96</v>
      </c>
      <c r="P282" s="94">
        <v>698.94</v>
      </c>
      <c r="Q282" s="94">
        <v>767.24</v>
      </c>
      <c r="R282" s="94">
        <v>729.37</v>
      </c>
      <c r="S282" s="94">
        <v>765.92</v>
      </c>
      <c r="T282" s="94">
        <v>735.79</v>
      </c>
      <c r="U282" s="94">
        <v>674.5</v>
      </c>
    </row>
    <row r="283" spans="1:21">
      <c r="A283" s="91">
        <v>41330</v>
      </c>
      <c r="B283" s="86">
        <v>41330</v>
      </c>
      <c r="C283" s="93">
        <v>1.1377858686995102</v>
      </c>
      <c r="D283" s="85" t="s">
        <v>716</v>
      </c>
      <c r="F283" s="91">
        <v>41330</v>
      </c>
      <c r="G283">
        <v>690.09</v>
      </c>
      <c r="H283">
        <v>737.01</v>
      </c>
      <c r="I283" s="94">
        <v>687.28</v>
      </c>
      <c r="J283" s="94">
        <v>705.16</v>
      </c>
      <c r="K283" s="94">
        <v>787.92</v>
      </c>
      <c r="L283" s="94">
        <v>738.09</v>
      </c>
      <c r="M283" s="94">
        <v>743.27</v>
      </c>
      <c r="N283" s="94">
        <v>757.26</v>
      </c>
      <c r="O283" s="94">
        <v>760.3</v>
      </c>
      <c r="P283" s="94">
        <v>698.94</v>
      </c>
      <c r="Q283" s="94">
        <v>767.81</v>
      </c>
      <c r="R283" s="94">
        <v>737.63</v>
      </c>
      <c r="S283" s="94">
        <v>783.18</v>
      </c>
      <c r="T283" s="94">
        <v>727.64</v>
      </c>
      <c r="U283" s="94">
        <v>653.82000000000005</v>
      </c>
    </row>
    <row r="284" spans="1:21">
      <c r="A284" s="91">
        <v>41323</v>
      </c>
      <c r="B284" s="86">
        <v>41323</v>
      </c>
      <c r="C284" s="93">
        <v>1.1602274045712999</v>
      </c>
      <c r="D284" s="85" t="s">
        <v>717</v>
      </c>
      <c r="F284" s="91">
        <v>41323</v>
      </c>
      <c r="G284">
        <v>685.93</v>
      </c>
      <c r="H284">
        <v>727.09</v>
      </c>
      <c r="I284" s="94">
        <v>679.75</v>
      </c>
      <c r="J284" s="94">
        <v>738.78</v>
      </c>
      <c r="K284" s="94">
        <v>785.97</v>
      </c>
      <c r="L284" s="94">
        <v>721.83</v>
      </c>
      <c r="M284" s="94">
        <v>735.83</v>
      </c>
      <c r="N284" s="94">
        <v>745.23</v>
      </c>
      <c r="O284" s="94">
        <v>747.92</v>
      </c>
      <c r="P284" s="94">
        <v>698.94</v>
      </c>
      <c r="Q284" s="94">
        <v>755.91</v>
      </c>
      <c r="R284" s="94">
        <v>731.85</v>
      </c>
      <c r="S284" s="94">
        <v>762.28</v>
      </c>
      <c r="T284" s="94">
        <v>733.59</v>
      </c>
      <c r="U284" s="94">
        <v>650.88</v>
      </c>
    </row>
    <row r="285" spans="1:21">
      <c r="A285" s="91">
        <v>41316</v>
      </c>
      <c r="B285" s="86">
        <v>41316</v>
      </c>
      <c r="C285" s="93">
        <v>1.17164616285882</v>
      </c>
      <c r="D285" s="85" t="s">
        <v>718</v>
      </c>
      <c r="F285" s="91">
        <v>41316</v>
      </c>
      <c r="G285">
        <v>672.59</v>
      </c>
      <c r="H285">
        <v>701.97</v>
      </c>
      <c r="I285" s="94">
        <v>680.76</v>
      </c>
      <c r="J285" s="94">
        <v>726.17</v>
      </c>
      <c r="K285" s="94">
        <v>782.53</v>
      </c>
      <c r="L285" s="94">
        <v>720.2</v>
      </c>
      <c r="M285" s="94">
        <v>723.7</v>
      </c>
      <c r="N285" s="94">
        <v>734.08</v>
      </c>
      <c r="O285" s="94">
        <v>749.01</v>
      </c>
      <c r="P285" s="94">
        <v>698.94</v>
      </c>
      <c r="Q285" s="94">
        <v>741.29</v>
      </c>
      <c r="R285" s="94">
        <v>713.67</v>
      </c>
      <c r="S285" s="94">
        <v>743.7</v>
      </c>
      <c r="T285" s="94">
        <v>714.37</v>
      </c>
      <c r="U285" s="94">
        <v>644.6</v>
      </c>
    </row>
    <row r="286" spans="1:21">
      <c r="A286" s="91">
        <v>41309</v>
      </c>
      <c r="B286" s="86">
        <v>41309</v>
      </c>
      <c r="C286" s="93">
        <v>1.1602274045712999</v>
      </c>
      <c r="D286" s="85" t="s">
        <v>719</v>
      </c>
      <c r="F286" s="91">
        <v>41309</v>
      </c>
      <c r="G286">
        <v>656.76</v>
      </c>
      <c r="H286">
        <v>720.98</v>
      </c>
      <c r="I286" s="94">
        <v>653.05999999999995</v>
      </c>
      <c r="J286" s="94">
        <v>711.05</v>
      </c>
      <c r="K286" s="94">
        <v>779.5</v>
      </c>
      <c r="L286" s="94">
        <v>707.19</v>
      </c>
      <c r="M286" s="94">
        <v>714.17</v>
      </c>
      <c r="N286" s="94">
        <v>721.9</v>
      </c>
      <c r="O286" s="94">
        <v>732.67</v>
      </c>
      <c r="P286" s="94">
        <v>698.94</v>
      </c>
      <c r="Q286" s="94">
        <v>729.91</v>
      </c>
      <c r="R286" s="94">
        <v>706.23</v>
      </c>
      <c r="S286" s="94">
        <v>736.58</v>
      </c>
      <c r="T286" s="94">
        <v>723.12</v>
      </c>
      <c r="U286" s="94">
        <v>626.91999999999996</v>
      </c>
    </row>
    <row r="287" spans="1:21">
      <c r="A287" s="91">
        <v>41302</v>
      </c>
      <c r="B287" s="86">
        <v>41302</v>
      </c>
      <c r="C287" s="93">
        <v>1.17027501462844</v>
      </c>
      <c r="D287" s="85" t="s">
        <v>720</v>
      </c>
      <c r="F287" s="91">
        <v>41302</v>
      </c>
      <c r="G287">
        <v>645.09</v>
      </c>
      <c r="H287">
        <v>725.77</v>
      </c>
      <c r="I287" s="94">
        <v>641.13</v>
      </c>
      <c r="J287" s="94">
        <v>694.24</v>
      </c>
      <c r="K287" s="94">
        <v>766.57</v>
      </c>
      <c r="L287" s="94">
        <v>699.06</v>
      </c>
      <c r="M287" s="94">
        <v>701.21</v>
      </c>
      <c r="N287" s="94">
        <v>706.02</v>
      </c>
      <c r="O287" s="94">
        <v>693.6</v>
      </c>
      <c r="P287" s="94">
        <v>698.94</v>
      </c>
      <c r="Q287" s="94">
        <v>719.04</v>
      </c>
      <c r="R287" s="94">
        <v>696.31</v>
      </c>
      <c r="S287" s="94">
        <v>715.28</v>
      </c>
      <c r="T287" s="94">
        <v>701.06</v>
      </c>
      <c r="U287" s="94">
        <v>618.4</v>
      </c>
    </row>
    <row r="288" spans="1:21">
      <c r="A288" s="91">
        <v>41295</v>
      </c>
      <c r="B288" s="86">
        <v>41295</v>
      </c>
      <c r="C288" s="93">
        <v>1.1918951132300399</v>
      </c>
      <c r="D288" s="85" t="s">
        <v>721</v>
      </c>
      <c r="F288" s="91">
        <v>41295</v>
      </c>
      <c r="G288">
        <v>635.92999999999995</v>
      </c>
      <c r="H288">
        <v>706.68</v>
      </c>
      <c r="I288" s="94">
        <v>643.66999999999996</v>
      </c>
      <c r="J288" s="94">
        <v>684.16</v>
      </c>
      <c r="K288" s="94">
        <v>744.84</v>
      </c>
      <c r="L288" s="94">
        <v>705.57</v>
      </c>
      <c r="M288" s="94">
        <v>688.42</v>
      </c>
      <c r="N288" s="94">
        <v>702.34</v>
      </c>
      <c r="O288" s="94">
        <v>713.06</v>
      </c>
      <c r="P288" s="94">
        <v>698.94</v>
      </c>
      <c r="Q288" s="94">
        <v>711.46</v>
      </c>
      <c r="R288" s="94">
        <v>688.05</v>
      </c>
      <c r="S288" s="94">
        <v>703</v>
      </c>
      <c r="T288" s="94">
        <v>675.21</v>
      </c>
      <c r="U288" s="94">
        <v>622.5</v>
      </c>
    </row>
    <row r="289" spans="1:21">
      <c r="A289" s="91">
        <v>41288</v>
      </c>
      <c r="B289" s="86">
        <v>41288</v>
      </c>
      <c r="C289" s="93">
        <v>1.20307988450433</v>
      </c>
      <c r="D289" s="85" t="s">
        <v>722</v>
      </c>
      <c r="F289" s="91">
        <v>41288</v>
      </c>
      <c r="G289">
        <v>646.76</v>
      </c>
      <c r="H289">
        <v>687.59</v>
      </c>
      <c r="I289" s="94">
        <v>635</v>
      </c>
      <c r="J289" s="94">
        <v>696.76</v>
      </c>
      <c r="K289" s="94">
        <v>765.28</v>
      </c>
      <c r="L289" s="94">
        <v>686.87</v>
      </c>
      <c r="M289" s="94">
        <v>687.25</v>
      </c>
      <c r="N289" s="94">
        <v>699.63</v>
      </c>
      <c r="O289" s="94">
        <v>696.76</v>
      </c>
      <c r="P289" s="94">
        <v>698.94</v>
      </c>
      <c r="Q289" s="94">
        <v>725.5</v>
      </c>
      <c r="R289" s="94">
        <v>688.87</v>
      </c>
      <c r="S289" s="94">
        <v>712.41</v>
      </c>
      <c r="T289" s="94">
        <v>699.71</v>
      </c>
      <c r="U289" s="94">
        <v>626.20000000000005</v>
      </c>
    </row>
    <row r="290" spans="1:21" ht="15.75" thickBot="1">
      <c r="A290" s="92">
        <v>41281</v>
      </c>
      <c r="B290" s="86">
        <v>41281</v>
      </c>
      <c r="C290" s="93">
        <v>1.2319822594554599</v>
      </c>
      <c r="D290" s="85" t="s">
        <v>723</v>
      </c>
      <c r="F290" s="92">
        <v>41281</v>
      </c>
      <c r="G290">
        <v>639.26</v>
      </c>
      <c r="H290">
        <v>682.88</v>
      </c>
      <c r="I290" s="94">
        <v>634.92999999999995</v>
      </c>
      <c r="J290" s="94">
        <v>688.36</v>
      </c>
      <c r="K290" s="94">
        <v>758.07</v>
      </c>
      <c r="L290" s="94">
        <v>688.5</v>
      </c>
      <c r="M290" s="94">
        <v>671.75</v>
      </c>
      <c r="N290" s="94">
        <v>685.28</v>
      </c>
      <c r="O290" s="94">
        <v>702.39</v>
      </c>
      <c r="P290" s="94">
        <v>698.94</v>
      </c>
      <c r="Q290" s="94">
        <v>719.03</v>
      </c>
      <c r="R290" s="94">
        <v>680.61</v>
      </c>
      <c r="S290" s="94">
        <v>693.06</v>
      </c>
      <c r="T290" s="94">
        <v>684.72</v>
      </c>
      <c r="U290" s="94">
        <v>639.82000000000005</v>
      </c>
    </row>
    <row r="291" spans="1:21">
      <c r="A291" s="91">
        <v>41260</v>
      </c>
      <c r="B291" s="86">
        <v>41260</v>
      </c>
      <c r="C291" s="93">
        <v>1.2315270935960601</v>
      </c>
      <c r="D291" s="85" t="s">
        <v>502</v>
      </c>
      <c r="F291" s="91">
        <v>41260</v>
      </c>
      <c r="G291">
        <v>635.09</v>
      </c>
      <c r="H291">
        <v>672.38</v>
      </c>
      <c r="I291" s="94">
        <v>647.02</v>
      </c>
      <c r="J291" s="94">
        <v>655.58</v>
      </c>
      <c r="K291" s="94">
        <v>734.32</v>
      </c>
      <c r="L291" s="94">
        <v>686.06</v>
      </c>
      <c r="M291" s="94">
        <v>658.27</v>
      </c>
      <c r="N291" s="94">
        <v>681.41</v>
      </c>
      <c r="O291" s="94">
        <v>678.92</v>
      </c>
      <c r="P291" s="94">
        <v>742.09</v>
      </c>
      <c r="Q291" s="94">
        <v>714.1</v>
      </c>
      <c r="R291" s="94">
        <v>692.55</v>
      </c>
      <c r="S291" s="94">
        <v>672.22</v>
      </c>
      <c r="T291" s="94">
        <v>660.95</v>
      </c>
      <c r="U291" s="94">
        <v>640.78</v>
      </c>
    </row>
    <row r="292" spans="1:21">
      <c r="A292" s="91">
        <v>41253</v>
      </c>
      <c r="B292" s="86">
        <v>41253</v>
      </c>
      <c r="C292" s="93">
        <v>1.2431626056688199</v>
      </c>
      <c r="D292" s="85" t="s">
        <v>724</v>
      </c>
      <c r="F292" s="91">
        <v>41253</v>
      </c>
      <c r="G292">
        <v>637.59</v>
      </c>
      <c r="H292">
        <v>713.29</v>
      </c>
      <c r="I292" s="94">
        <v>653.13</v>
      </c>
      <c r="J292" s="94">
        <v>674.91</v>
      </c>
      <c r="K292" s="94">
        <v>729.18</v>
      </c>
      <c r="L292" s="94">
        <v>684.43</v>
      </c>
      <c r="M292" s="94">
        <v>654.66</v>
      </c>
      <c r="N292" s="94">
        <v>684.77</v>
      </c>
      <c r="O292" s="94">
        <v>689.47</v>
      </c>
      <c r="P292" s="94">
        <v>742.09</v>
      </c>
      <c r="Q292" s="94">
        <v>711.75</v>
      </c>
      <c r="R292" s="94">
        <v>699.16</v>
      </c>
      <c r="S292" s="94">
        <v>673.43</v>
      </c>
      <c r="T292" s="94">
        <v>660.91</v>
      </c>
      <c r="U292" s="94">
        <v>652.75</v>
      </c>
    </row>
    <row r="293" spans="1:21">
      <c r="A293" s="91">
        <v>41246</v>
      </c>
      <c r="B293" s="86">
        <v>41246</v>
      </c>
      <c r="C293" s="93">
        <v>1.2313754463736</v>
      </c>
      <c r="D293" s="85" t="s">
        <v>725</v>
      </c>
      <c r="F293" s="91">
        <v>41246</v>
      </c>
      <c r="G293">
        <v>642.59</v>
      </c>
      <c r="H293">
        <v>662.46</v>
      </c>
      <c r="I293" s="94">
        <v>658.46</v>
      </c>
      <c r="J293" s="94">
        <v>702.64</v>
      </c>
      <c r="K293" s="94">
        <v>747.3</v>
      </c>
      <c r="L293" s="94">
        <v>698.25</v>
      </c>
      <c r="M293" s="94">
        <v>660.81</v>
      </c>
      <c r="N293" s="94">
        <v>684.77</v>
      </c>
      <c r="O293" s="94">
        <v>703.01</v>
      </c>
      <c r="P293" s="94">
        <v>742.09</v>
      </c>
      <c r="Q293" s="94">
        <v>718.05</v>
      </c>
      <c r="R293" s="94">
        <v>714.03</v>
      </c>
      <c r="S293" s="94">
        <v>674.28</v>
      </c>
      <c r="T293" s="94">
        <v>677.7</v>
      </c>
      <c r="U293" s="94">
        <v>652.52</v>
      </c>
    </row>
    <row r="294" spans="1:21">
      <c r="A294" s="91">
        <v>41239</v>
      </c>
      <c r="B294" s="86">
        <v>41239</v>
      </c>
      <c r="C294" s="93">
        <v>1.2346441138341899</v>
      </c>
      <c r="D294" s="85" t="s">
        <v>391</v>
      </c>
      <c r="F294" s="91">
        <v>41239</v>
      </c>
      <c r="G294">
        <v>642.59</v>
      </c>
      <c r="H294">
        <v>697.17</v>
      </c>
      <c r="I294" s="94">
        <v>661.78</v>
      </c>
      <c r="J294" s="94">
        <v>727.01</v>
      </c>
      <c r="K294" s="94">
        <v>756.1</v>
      </c>
      <c r="L294" s="94">
        <v>712.07</v>
      </c>
      <c r="M294" s="94">
        <v>672.1</v>
      </c>
      <c r="N294" s="94">
        <v>684.56</v>
      </c>
      <c r="O294" s="94">
        <v>702.8</v>
      </c>
      <c r="P294" s="94">
        <v>768.8</v>
      </c>
      <c r="Q294" s="94">
        <v>721.69</v>
      </c>
      <c r="R294" s="94">
        <v>717.34</v>
      </c>
      <c r="S294" s="94">
        <v>672.05</v>
      </c>
      <c r="T294" s="94">
        <v>707.3</v>
      </c>
      <c r="U294" s="94">
        <v>667.08</v>
      </c>
    </row>
    <row r="295" spans="1:21">
      <c r="A295" s="91">
        <v>41232</v>
      </c>
      <c r="B295" s="86">
        <v>41232</v>
      </c>
      <c r="C295" s="93">
        <v>1.2450199203187298</v>
      </c>
      <c r="D295" s="85" t="s">
        <v>726</v>
      </c>
      <c r="F295" s="91">
        <v>41232</v>
      </c>
      <c r="G295">
        <v>641.76</v>
      </c>
      <c r="H295">
        <v>689.49</v>
      </c>
      <c r="I295" s="94">
        <v>667.28</v>
      </c>
      <c r="J295" s="94">
        <v>711.89</v>
      </c>
      <c r="K295" s="94">
        <v>758.21</v>
      </c>
      <c r="L295" s="94">
        <v>705.57</v>
      </c>
      <c r="M295" s="94">
        <v>669.84</v>
      </c>
      <c r="N295" s="94">
        <v>681.43</v>
      </c>
      <c r="O295" s="94">
        <v>693.69</v>
      </c>
      <c r="P295" s="94">
        <v>768.8</v>
      </c>
      <c r="Q295" s="94">
        <v>717.63</v>
      </c>
      <c r="R295" s="94">
        <v>718.99</v>
      </c>
      <c r="S295" s="94">
        <v>669.88</v>
      </c>
      <c r="T295" s="94">
        <v>692.67</v>
      </c>
      <c r="U295" s="94">
        <v>674.6</v>
      </c>
    </row>
    <row r="296" spans="1:21">
      <c r="A296" s="91">
        <v>41225</v>
      </c>
      <c r="B296" s="86">
        <v>41225</v>
      </c>
      <c r="C296" s="93">
        <v>1.24688279301746</v>
      </c>
      <c r="D296" s="85" t="s">
        <v>727</v>
      </c>
      <c r="F296" s="91">
        <v>41225</v>
      </c>
      <c r="G296">
        <v>645.92999999999995</v>
      </c>
      <c r="H296">
        <v>691.39</v>
      </c>
      <c r="I296" s="94">
        <v>681.65</v>
      </c>
      <c r="J296" s="94">
        <v>697.6</v>
      </c>
      <c r="K296" s="94">
        <v>721.8</v>
      </c>
      <c r="L296" s="94">
        <v>715.32</v>
      </c>
      <c r="M296" s="94">
        <v>659.56</v>
      </c>
      <c r="N296" s="94">
        <v>680.8</v>
      </c>
      <c r="O296" s="94">
        <v>693.24</v>
      </c>
      <c r="P296" s="94">
        <v>768.8</v>
      </c>
      <c r="Q296" s="94">
        <v>715.05</v>
      </c>
      <c r="R296" s="94">
        <v>722.3</v>
      </c>
      <c r="S296" s="94">
        <v>663.95</v>
      </c>
      <c r="T296" s="94">
        <v>674.29</v>
      </c>
      <c r="U296" s="94">
        <v>681.07</v>
      </c>
    </row>
    <row r="297" spans="1:21">
      <c r="A297" s="91">
        <v>41218</v>
      </c>
      <c r="B297" s="86">
        <v>41218</v>
      </c>
      <c r="C297" s="93">
        <v>1.2501562695336901</v>
      </c>
      <c r="D297" s="85" t="s">
        <v>434</v>
      </c>
      <c r="F297" s="91">
        <v>41218</v>
      </c>
      <c r="G297">
        <v>653.42999999999995</v>
      </c>
      <c r="H297">
        <v>691.39</v>
      </c>
      <c r="I297" s="94">
        <v>705.33</v>
      </c>
      <c r="J297" s="94">
        <v>691.72</v>
      </c>
      <c r="K297" s="94">
        <v>715.25</v>
      </c>
      <c r="L297" s="94">
        <v>721.02</v>
      </c>
      <c r="M297" s="94">
        <v>658.97</v>
      </c>
      <c r="N297" s="94">
        <v>697.89</v>
      </c>
      <c r="O297" s="94">
        <v>717.84</v>
      </c>
      <c r="P297" s="94">
        <v>711.22</v>
      </c>
      <c r="Q297" s="94">
        <v>728.91</v>
      </c>
      <c r="R297" s="94">
        <v>728.91</v>
      </c>
      <c r="S297" s="94">
        <v>677.02</v>
      </c>
      <c r="T297" s="94">
        <v>670.56</v>
      </c>
      <c r="U297" s="94">
        <v>696.89</v>
      </c>
    </row>
    <row r="298" spans="1:21">
      <c r="A298" s="91">
        <v>41211</v>
      </c>
      <c r="B298" s="86">
        <v>41211</v>
      </c>
      <c r="C298" s="93">
        <v>1.2429308308992599</v>
      </c>
      <c r="D298" s="85" t="s">
        <v>728</v>
      </c>
      <c r="F298" s="91">
        <v>41211</v>
      </c>
      <c r="G298">
        <v>663.43</v>
      </c>
      <c r="H298">
        <v>697.42</v>
      </c>
      <c r="I298" s="94">
        <v>726.96</v>
      </c>
      <c r="J298" s="94">
        <v>700.12</v>
      </c>
      <c r="K298" s="94">
        <v>717.32</v>
      </c>
      <c r="L298" s="94">
        <v>744.59</v>
      </c>
      <c r="M298" s="94">
        <v>673.6</v>
      </c>
      <c r="N298" s="94">
        <v>718.71</v>
      </c>
      <c r="O298" s="94">
        <v>738.55</v>
      </c>
      <c r="P298" s="94">
        <v>711.22</v>
      </c>
      <c r="Q298" s="94">
        <v>755.39</v>
      </c>
      <c r="R298" s="94">
        <v>730.56</v>
      </c>
      <c r="S298" s="94">
        <v>687.39</v>
      </c>
      <c r="T298" s="94">
        <v>666.44</v>
      </c>
      <c r="U298" s="94">
        <v>698.56</v>
      </c>
    </row>
    <row r="299" spans="1:21">
      <c r="A299" s="91">
        <v>41204</v>
      </c>
      <c r="B299" s="86">
        <v>41204</v>
      </c>
      <c r="C299" s="93">
        <v>1.2277470841006799</v>
      </c>
      <c r="D299" s="85" t="s">
        <v>729</v>
      </c>
      <c r="F299" s="91">
        <v>41204</v>
      </c>
      <c r="G299">
        <v>693.43</v>
      </c>
      <c r="H299">
        <v>711.06</v>
      </c>
      <c r="I299" s="94">
        <v>743.64</v>
      </c>
      <c r="J299" s="94">
        <v>721.13</v>
      </c>
      <c r="K299" s="94">
        <v>741</v>
      </c>
      <c r="L299" s="94">
        <v>768.17</v>
      </c>
      <c r="M299" s="94">
        <v>706.88</v>
      </c>
      <c r="N299" s="94">
        <v>754.12</v>
      </c>
      <c r="O299" s="94">
        <v>781.96</v>
      </c>
      <c r="P299" s="94">
        <v>711.22</v>
      </c>
      <c r="Q299" s="94">
        <v>779.67</v>
      </c>
      <c r="R299" s="94">
        <v>756.18</v>
      </c>
      <c r="S299" s="94">
        <v>724.63</v>
      </c>
      <c r="T299" s="94">
        <v>696.66</v>
      </c>
      <c r="U299" s="94">
        <v>703.41</v>
      </c>
    </row>
    <row r="300" spans="1:21">
      <c r="A300" s="91">
        <v>41197</v>
      </c>
      <c r="B300" s="86">
        <v>41197</v>
      </c>
      <c r="C300" s="93">
        <v>1.2384667781286798</v>
      </c>
      <c r="D300" s="85" t="s">
        <v>470</v>
      </c>
      <c r="F300" s="91">
        <v>41197</v>
      </c>
      <c r="G300">
        <v>728.43</v>
      </c>
      <c r="H300">
        <v>780.56</v>
      </c>
      <c r="I300" s="94">
        <v>747.9</v>
      </c>
      <c r="J300" s="94">
        <v>734.58</v>
      </c>
      <c r="K300" s="94">
        <v>811.76</v>
      </c>
      <c r="L300" s="94">
        <v>769.8</v>
      </c>
      <c r="M300" s="94">
        <v>738.32</v>
      </c>
      <c r="N300" s="94">
        <v>758.74</v>
      </c>
      <c r="O300" s="94">
        <v>778.95</v>
      </c>
      <c r="P300" s="94">
        <v>711.22</v>
      </c>
      <c r="Q300" s="94">
        <v>796.74</v>
      </c>
      <c r="R300" s="94">
        <v>773.54</v>
      </c>
      <c r="S300" s="94">
        <v>775.54</v>
      </c>
      <c r="T300" s="94">
        <v>765.21</v>
      </c>
      <c r="U300" s="94">
        <v>710.14</v>
      </c>
    </row>
    <row r="301" spans="1:21">
      <c r="A301" s="91">
        <v>41190</v>
      </c>
      <c r="B301" s="86">
        <v>41190</v>
      </c>
      <c r="C301" s="93">
        <v>1.2370113805046998</v>
      </c>
      <c r="D301" s="85" t="s">
        <v>730</v>
      </c>
      <c r="F301" s="91">
        <v>41190</v>
      </c>
      <c r="G301">
        <v>727.59</v>
      </c>
      <c r="H301">
        <v>797.34</v>
      </c>
      <c r="I301" s="94">
        <v>753.01</v>
      </c>
      <c r="J301" s="94">
        <v>777.43</v>
      </c>
      <c r="K301" s="94">
        <v>793.76</v>
      </c>
      <c r="L301" s="94">
        <v>768.98</v>
      </c>
      <c r="M301" s="94">
        <v>719.92</v>
      </c>
      <c r="N301" s="94">
        <v>750.26</v>
      </c>
      <c r="O301" s="94">
        <v>759.62</v>
      </c>
      <c r="P301" s="94">
        <v>711.22</v>
      </c>
      <c r="Q301" s="94">
        <v>789.6</v>
      </c>
      <c r="R301" s="94">
        <v>773.54</v>
      </c>
      <c r="S301" s="94">
        <v>757.97</v>
      </c>
      <c r="T301" s="94">
        <v>746.71</v>
      </c>
      <c r="U301" s="94">
        <v>708.15</v>
      </c>
    </row>
    <row r="302" spans="1:21">
      <c r="A302" s="91">
        <v>41183</v>
      </c>
      <c r="B302" s="86">
        <v>41183</v>
      </c>
      <c r="C302" s="93">
        <v>1.25266190655142</v>
      </c>
      <c r="D302" s="85" t="s">
        <v>731</v>
      </c>
      <c r="F302" s="91">
        <v>41183</v>
      </c>
      <c r="G302">
        <v>729.26</v>
      </c>
      <c r="H302">
        <v>782.05</v>
      </c>
      <c r="I302" s="94">
        <v>748.27</v>
      </c>
      <c r="J302" s="94">
        <v>751.38</v>
      </c>
      <c r="K302" s="94">
        <v>815.38</v>
      </c>
      <c r="L302" s="94">
        <v>782.8</v>
      </c>
      <c r="M302" s="94">
        <v>704.62</v>
      </c>
      <c r="N302" s="94">
        <v>743.84</v>
      </c>
      <c r="O302" s="94">
        <v>755.75</v>
      </c>
      <c r="P302" s="94">
        <v>711.22</v>
      </c>
      <c r="Q302" s="94">
        <v>796.54</v>
      </c>
      <c r="R302" s="94">
        <v>771.06</v>
      </c>
      <c r="S302" s="94">
        <v>756.48</v>
      </c>
      <c r="T302" s="94">
        <v>767.84</v>
      </c>
      <c r="U302" s="94">
        <v>719.17</v>
      </c>
    </row>
    <row r="303" spans="1:21">
      <c r="A303" s="91">
        <v>41176</v>
      </c>
      <c r="B303" s="86">
        <v>41176</v>
      </c>
      <c r="C303" s="93">
        <v>1.2550200803212901</v>
      </c>
      <c r="D303" s="85" t="s">
        <v>732</v>
      </c>
      <c r="F303" s="91">
        <v>41176</v>
      </c>
      <c r="G303">
        <v>733.43</v>
      </c>
      <c r="H303">
        <v>795.93</v>
      </c>
      <c r="I303" s="94">
        <v>771.99</v>
      </c>
      <c r="J303" s="94">
        <v>788.36</v>
      </c>
      <c r="K303" s="94">
        <v>775.59</v>
      </c>
      <c r="L303" s="94">
        <v>786.06</v>
      </c>
      <c r="M303" s="94">
        <v>698.44</v>
      </c>
      <c r="N303" s="94">
        <v>767.67</v>
      </c>
      <c r="O303" s="94">
        <v>788.65</v>
      </c>
      <c r="P303" s="94">
        <v>731.61</v>
      </c>
      <c r="Q303" s="94">
        <v>797</v>
      </c>
      <c r="R303" s="94">
        <v>787.15</v>
      </c>
      <c r="S303" s="94">
        <v>745.35</v>
      </c>
      <c r="T303" s="94">
        <v>742.51</v>
      </c>
      <c r="U303" s="94">
        <v>732.05</v>
      </c>
    </row>
    <row r="304" spans="1:21">
      <c r="A304" s="91">
        <v>41169</v>
      </c>
      <c r="B304" s="86">
        <v>41169</v>
      </c>
      <c r="C304" s="93">
        <v>1.23923415329326</v>
      </c>
      <c r="D304" s="85" t="s">
        <v>733</v>
      </c>
      <c r="F304" s="91">
        <v>41169</v>
      </c>
      <c r="G304">
        <v>757.59</v>
      </c>
      <c r="H304">
        <v>811.06</v>
      </c>
      <c r="I304" s="94">
        <v>785.69</v>
      </c>
      <c r="J304" s="94">
        <v>777.43</v>
      </c>
      <c r="K304" s="94">
        <v>812.18</v>
      </c>
      <c r="L304" s="94">
        <v>799.06</v>
      </c>
      <c r="M304" s="94">
        <v>746.01</v>
      </c>
      <c r="N304" s="94">
        <v>799.34</v>
      </c>
      <c r="O304" s="94">
        <v>812.09</v>
      </c>
      <c r="P304" s="94">
        <v>731.61</v>
      </c>
      <c r="Q304" s="94">
        <v>823.37</v>
      </c>
      <c r="R304" s="94">
        <v>797.23</v>
      </c>
      <c r="S304" s="94">
        <v>778.06</v>
      </c>
      <c r="T304" s="94">
        <v>759.02</v>
      </c>
      <c r="U304" s="94">
        <v>721.66</v>
      </c>
    </row>
    <row r="305" spans="1:21">
      <c r="A305" s="91">
        <v>41162</v>
      </c>
      <c r="B305" s="86">
        <v>41162</v>
      </c>
      <c r="C305" s="93">
        <v>1.2504689258471899</v>
      </c>
      <c r="D305" s="85" t="s">
        <v>734</v>
      </c>
      <c r="F305" s="91">
        <v>41162</v>
      </c>
      <c r="G305">
        <v>763.43</v>
      </c>
      <c r="H305">
        <v>799.65</v>
      </c>
      <c r="I305" s="94">
        <v>770.32</v>
      </c>
      <c r="J305" s="94">
        <v>832.05</v>
      </c>
      <c r="K305" s="94">
        <v>859.76</v>
      </c>
      <c r="L305" s="94">
        <v>797.44</v>
      </c>
      <c r="M305" s="94">
        <v>749.94</v>
      </c>
      <c r="N305" s="94">
        <v>804.56</v>
      </c>
      <c r="O305" s="94">
        <v>782.23</v>
      </c>
      <c r="P305" s="94">
        <v>731.61</v>
      </c>
      <c r="Q305" s="94">
        <v>833.43</v>
      </c>
      <c r="R305" s="94">
        <v>798.07</v>
      </c>
      <c r="S305" s="94">
        <v>792.58</v>
      </c>
      <c r="T305" s="94">
        <v>813.09</v>
      </c>
      <c r="U305" s="94">
        <v>722.83</v>
      </c>
    </row>
    <row r="306" spans="1:21">
      <c r="A306" s="91">
        <v>41155</v>
      </c>
      <c r="B306" s="86">
        <v>41155</v>
      </c>
      <c r="C306" s="93">
        <v>1.2639029322547999</v>
      </c>
      <c r="D306" s="85" t="s">
        <v>735</v>
      </c>
      <c r="F306" s="91">
        <v>41155</v>
      </c>
      <c r="G306">
        <v>728.43</v>
      </c>
      <c r="H306">
        <v>808.17</v>
      </c>
      <c r="I306" s="94">
        <v>760.32</v>
      </c>
      <c r="J306" s="94">
        <v>814.41</v>
      </c>
      <c r="K306" s="94">
        <v>836.24</v>
      </c>
      <c r="L306" s="94">
        <v>790.93</v>
      </c>
      <c r="M306" s="94">
        <v>743.67</v>
      </c>
      <c r="N306" s="94">
        <v>808.89</v>
      </c>
      <c r="O306" s="94">
        <v>784.42</v>
      </c>
      <c r="P306" s="94">
        <v>731.61</v>
      </c>
      <c r="Q306" s="94">
        <v>817.56</v>
      </c>
      <c r="R306" s="94">
        <v>784.63</v>
      </c>
      <c r="S306" s="94">
        <v>795.53</v>
      </c>
      <c r="T306" s="94">
        <v>773.04</v>
      </c>
      <c r="U306" s="94">
        <v>721.36</v>
      </c>
    </row>
    <row r="307" spans="1:21">
      <c r="A307" s="91">
        <v>41148</v>
      </c>
      <c r="B307" s="86">
        <v>41148</v>
      </c>
      <c r="C307" s="93">
        <v>1.2619251930745499</v>
      </c>
      <c r="D307" s="85" t="s">
        <v>736</v>
      </c>
      <c r="F307" s="91">
        <v>41148</v>
      </c>
      <c r="G307">
        <v>740.93</v>
      </c>
      <c r="H307">
        <v>796.43</v>
      </c>
      <c r="I307" s="94">
        <v>758.94</v>
      </c>
      <c r="J307" s="94">
        <v>816.09</v>
      </c>
      <c r="K307" s="94">
        <v>844.09</v>
      </c>
      <c r="L307" s="94">
        <v>792.56</v>
      </c>
      <c r="M307" s="94">
        <v>765.59</v>
      </c>
      <c r="N307" s="94">
        <v>808.43</v>
      </c>
      <c r="O307" s="94">
        <v>805.94</v>
      </c>
      <c r="P307" s="94">
        <v>731.61</v>
      </c>
      <c r="Q307" s="94">
        <v>817.16</v>
      </c>
      <c r="R307" s="94">
        <v>782.95</v>
      </c>
      <c r="S307" s="94">
        <v>819.16</v>
      </c>
      <c r="T307" s="94">
        <v>804.16</v>
      </c>
      <c r="U307" s="94">
        <v>710.44</v>
      </c>
    </row>
    <row r="308" spans="1:21">
      <c r="A308" s="91">
        <v>41141</v>
      </c>
      <c r="B308" s="86">
        <v>41141</v>
      </c>
      <c r="C308" s="93">
        <v>1.2764056417129399</v>
      </c>
      <c r="D308" s="85" t="s">
        <v>737</v>
      </c>
      <c r="F308" s="91">
        <v>41141</v>
      </c>
      <c r="G308">
        <v>731.76</v>
      </c>
      <c r="H308">
        <v>800.56</v>
      </c>
      <c r="I308" s="94">
        <v>734.49</v>
      </c>
      <c r="J308" s="94">
        <v>835.42</v>
      </c>
      <c r="K308" s="94">
        <v>860.51</v>
      </c>
      <c r="L308" s="94">
        <v>773.86</v>
      </c>
      <c r="M308" s="94">
        <v>754.47</v>
      </c>
      <c r="N308" s="94">
        <v>782.6</v>
      </c>
      <c r="O308" s="94">
        <v>785.61</v>
      </c>
      <c r="P308" s="94">
        <v>731.61</v>
      </c>
      <c r="Q308" s="94">
        <v>798.39</v>
      </c>
      <c r="R308" s="94">
        <v>777.07</v>
      </c>
      <c r="S308" s="94">
        <v>818.6</v>
      </c>
      <c r="T308" s="94">
        <v>804.72</v>
      </c>
      <c r="U308" s="94">
        <v>703.98</v>
      </c>
    </row>
    <row r="309" spans="1:21">
      <c r="A309" s="91">
        <v>41134</v>
      </c>
      <c r="B309" s="86">
        <v>41134</v>
      </c>
      <c r="C309" s="93">
        <v>1.2720218787763098</v>
      </c>
      <c r="D309" s="85" t="s">
        <v>738</v>
      </c>
      <c r="F309" s="91">
        <v>41134</v>
      </c>
      <c r="G309">
        <v>701.76</v>
      </c>
      <c r="H309">
        <v>782.38</v>
      </c>
      <c r="I309" s="94">
        <v>708.16</v>
      </c>
      <c r="J309" s="94">
        <v>776.59</v>
      </c>
      <c r="K309" s="94">
        <v>823.18</v>
      </c>
      <c r="L309" s="94">
        <v>747.84</v>
      </c>
      <c r="M309" s="94">
        <v>725.88</v>
      </c>
      <c r="N309" s="94">
        <v>759.6</v>
      </c>
      <c r="O309" s="94">
        <v>764.8</v>
      </c>
      <c r="P309" s="94">
        <v>731.61</v>
      </c>
      <c r="Q309" s="94">
        <v>769.4</v>
      </c>
      <c r="R309" s="94">
        <v>751.01</v>
      </c>
      <c r="S309" s="94">
        <v>783.49</v>
      </c>
      <c r="T309" s="94">
        <v>780.69</v>
      </c>
      <c r="U309" s="94">
        <v>686.13</v>
      </c>
    </row>
    <row r="310" spans="1:21">
      <c r="A310" s="91">
        <v>41127</v>
      </c>
      <c r="B310" s="86">
        <v>41127</v>
      </c>
      <c r="C310" s="93">
        <v>1.2578616352201299</v>
      </c>
      <c r="D310" s="85" t="s">
        <v>439</v>
      </c>
      <c r="F310" s="91">
        <v>41127</v>
      </c>
      <c r="G310">
        <v>686.76</v>
      </c>
      <c r="H310">
        <v>750.07</v>
      </c>
      <c r="I310" s="94">
        <v>698.92</v>
      </c>
      <c r="J310" s="94">
        <v>748.86</v>
      </c>
      <c r="K310" s="94">
        <v>792.1</v>
      </c>
      <c r="L310" s="94">
        <v>730.77</v>
      </c>
      <c r="M310" s="94">
        <v>703.55</v>
      </c>
      <c r="N310" s="94">
        <v>741.2</v>
      </c>
      <c r="O310" s="94">
        <v>775.13</v>
      </c>
      <c r="P310" s="94">
        <v>731.61</v>
      </c>
      <c r="Q310" s="94">
        <v>751.76</v>
      </c>
      <c r="R310" s="94">
        <v>736.73</v>
      </c>
      <c r="S310" s="94">
        <v>758.21</v>
      </c>
      <c r="T310" s="94">
        <v>741.72</v>
      </c>
      <c r="U310" s="94">
        <v>669.28</v>
      </c>
    </row>
    <row r="311" spans="1:21">
      <c r="A311" s="91">
        <v>41120</v>
      </c>
      <c r="B311" s="86">
        <v>41120</v>
      </c>
      <c r="C311" s="93">
        <v>1.28229787779701</v>
      </c>
      <c r="D311" s="85" t="s">
        <v>739</v>
      </c>
      <c r="F311" s="91">
        <v>41120</v>
      </c>
      <c r="G311">
        <v>677.59</v>
      </c>
      <c r="H311">
        <v>779.24</v>
      </c>
      <c r="I311" s="94">
        <v>698.39</v>
      </c>
      <c r="J311" s="94">
        <v>704.32</v>
      </c>
      <c r="K311" s="94">
        <v>774.22</v>
      </c>
      <c r="L311" s="94">
        <v>738.9</v>
      </c>
      <c r="M311" s="94">
        <v>687.67</v>
      </c>
      <c r="N311" s="94">
        <v>732.68</v>
      </c>
      <c r="O311" s="94">
        <v>763.62</v>
      </c>
      <c r="P311" s="94">
        <v>731.61</v>
      </c>
      <c r="Q311" s="94">
        <v>746.44</v>
      </c>
      <c r="R311" s="94">
        <v>737.57</v>
      </c>
      <c r="S311" s="94">
        <v>748.54</v>
      </c>
      <c r="T311" s="94">
        <v>731.36</v>
      </c>
      <c r="U311" s="94">
        <v>675.73</v>
      </c>
    </row>
    <row r="312" spans="1:21">
      <c r="A312" s="91">
        <v>41113</v>
      </c>
      <c r="B312" s="86">
        <v>41113</v>
      </c>
      <c r="C312" s="93">
        <v>1.2823800974608899</v>
      </c>
      <c r="D312" s="85" t="s">
        <v>740</v>
      </c>
      <c r="F312" s="91">
        <v>41113</v>
      </c>
      <c r="G312">
        <v>687.59</v>
      </c>
      <c r="H312">
        <v>756.84</v>
      </c>
      <c r="I312" s="94">
        <v>673.18</v>
      </c>
      <c r="J312" s="94">
        <v>740.46</v>
      </c>
      <c r="K312" s="94">
        <v>791.31</v>
      </c>
      <c r="L312" s="94">
        <v>739.71</v>
      </c>
      <c r="M312" s="94">
        <v>697.87</v>
      </c>
      <c r="N312" s="94">
        <v>722.15</v>
      </c>
      <c r="O312" s="94">
        <v>726.34</v>
      </c>
      <c r="P312" s="94">
        <v>731.61</v>
      </c>
      <c r="Q312" s="94">
        <v>745.11</v>
      </c>
      <c r="R312" s="94">
        <v>737.57</v>
      </c>
      <c r="S312" s="94">
        <v>749.26</v>
      </c>
      <c r="T312" s="94">
        <v>755.67</v>
      </c>
      <c r="U312" s="94">
        <v>669.76</v>
      </c>
    </row>
    <row r="313" spans="1:21">
      <c r="A313" s="91">
        <v>41106</v>
      </c>
      <c r="B313" s="86">
        <v>41106</v>
      </c>
      <c r="C313" s="93">
        <v>1.2748597654258</v>
      </c>
      <c r="D313" s="85" t="s">
        <v>450</v>
      </c>
      <c r="F313" s="91">
        <v>41106</v>
      </c>
      <c r="G313">
        <v>667.59</v>
      </c>
      <c r="H313">
        <v>751.97</v>
      </c>
      <c r="I313" s="94">
        <v>671.54</v>
      </c>
      <c r="J313" s="94">
        <v>720.29</v>
      </c>
      <c r="K313" s="94">
        <v>766.56</v>
      </c>
      <c r="L313" s="94">
        <v>725.89</v>
      </c>
      <c r="M313" s="94">
        <v>684.49</v>
      </c>
      <c r="N313" s="94">
        <v>711.71</v>
      </c>
      <c r="O313" s="94">
        <v>710.4</v>
      </c>
      <c r="P313" s="94">
        <v>731.61</v>
      </c>
      <c r="Q313" s="94">
        <v>728.35</v>
      </c>
      <c r="R313" s="94">
        <v>718.24</v>
      </c>
      <c r="S313" s="94">
        <v>726.19</v>
      </c>
      <c r="T313" s="94">
        <v>713.12</v>
      </c>
      <c r="U313" s="94">
        <v>658.15</v>
      </c>
    </row>
    <row r="314" spans="1:21">
      <c r="A314" s="91">
        <v>41099</v>
      </c>
      <c r="B314" s="86">
        <v>41099</v>
      </c>
      <c r="C314" s="93">
        <v>1.2600806451612898</v>
      </c>
      <c r="D314" s="85" t="s">
        <v>741</v>
      </c>
      <c r="F314" s="91">
        <v>41099</v>
      </c>
      <c r="G314">
        <v>643.42999999999995</v>
      </c>
      <c r="H314">
        <v>736.84</v>
      </c>
      <c r="I314" s="94">
        <v>656.75</v>
      </c>
      <c r="J314" s="94">
        <v>731.21</v>
      </c>
      <c r="K314" s="94">
        <v>777.42</v>
      </c>
      <c r="L314" s="94">
        <v>700.69</v>
      </c>
      <c r="M314" s="94">
        <v>662.83</v>
      </c>
      <c r="N314" s="94">
        <v>680.31</v>
      </c>
      <c r="O314" s="94">
        <v>685.04</v>
      </c>
      <c r="P314" s="94">
        <v>731.61</v>
      </c>
      <c r="Q314" s="94">
        <v>716.49</v>
      </c>
      <c r="R314" s="94">
        <v>707.32</v>
      </c>
      <c r="S314" s="94">
        <v>722.4</v>
      </c>
      <c r="T314" s="94">
        <v>712.79</v>
      </c>
      <c r="U314" s="94">
        <v>645.97</v>
      </c>
    </row>
    <row r="315" spans="1:21">
      <c r="A315" s="91">
        <v>41092</v>
      </c>
      <c r="B315" s="86">
        <v>41092</v>
      </c>
      <c r="C315" s="93">
        <v>1.24362641462505</v>
      </c>
      <c r="D315" s="85" t="s">
        <v>742</v>
      </c>
      <c r="F315" s="91">
        <v>41092</v>
      </c>
      <c r="G315">
        <v>636.76</v>
      </c>
      <c r="H315">
        <v>673.21</v>
      </c>
      <c r="I315" s="94">
        <v>671.93</v>
      </c>
      <c r="J315" s="94">
        <v>675.75</v>
      </c>
      <c r="K315" s="94">
        <v>716.54</v>
      </c>
      <c r="L315" s="94">
        <v>699.06</v>
      </c>
      <c r="M315" s="94">
        <v>643.85</v>
      </c>
      <c r="N315" s="94">
        <v>669.61</v>
      </c>
      <c r="O315" s="94">
        <v>693.2</v>
      </c>
      <c r="P315" s="94">
        <v>731.61</v>
      </c>
      <c r="Q315" s="94">
        <v>697.19</v>
      </c>
      <c r="R315" s="94">
        <v>689.67</v>
      </c>
      <c r="S315" s="94">
        <v>680.08</v>
      </c>
      <c r="T315" s="94">
        <v>675.43</v>
      </c>
      <c r="U315" s="94">
        <v>631.72</v>
      </c>
    </row>
    <row r="316" spans="1:21">
      <c r="A316" s="91">
        <v>41085</v>
      </c>
      <c r="B316" s="86">
        <v>41085</v>
      </c>
      <c r="C316" s="93">
        <v>1.2455626829420199</v>
      </c>
      <c r="D316" s="85" t="s">
        <v>743</v>
      </c>
      <c r="F316" s="91">
        <v>41085</v>
      </c>
      <c r="G316">
        <v>620.92999999999995</v>
      </c>
      <c r="H316">
        <v>694.53</v>
      </c>
      <c r="I316" s="94">
        <v>664.17</v>
      </c>
      <c r="J316" s="94">
        <v>653.9</v>
      </c>
      <c r="K316" s="94">
        <v>713.26</v>
      </c>
      <c r="L316" s="94">
        <v>699.06</v>
      </c>
      <c r="M316" s="94">
        <v>650.29</v>
      </c>
      <c r="N316" s="94">
        <v>681.05</v>
      </c>
      <c r="O316" s="94">
        <v>716.95</v>
      </c>
      <c r="P316" s="94">
        <v>757.71</v>
      </c>
      <c r="Q316" s="94">
        <v>705.99</v>
      </c>
      <c r="R316" s="94">
        <v>690.51</v>
      </c>
      <c r="S316" s="94">
        <v>680.63</v>
      </c>
      <c r="T316" s="94">
        <v>669.88</v>
      </c>
      <c r="U316" s="94">
        <v>643.61</v>
      </c>
    </row>
    <row r="317" spans="1:21">
      <c r="A317" s="91">
        <v>41078</v>
      </c>
      <c r="B317" s="86">
        <v>41078</v>
      </c>
      <c r="C317" s="93">
        <v>1.24069478908189</v>
      </c>
      <c r="D317" s="85" t="s">
        <v>453</v>
      </c>
      <c r="F317" s="91">
        <v>41078</v>
      </c>
      <c r="G317">
        <v>646.76</v>
      </c>
      <c r="H317">
        <v>738.58</v>
      </c>
      <c r="I317" s="94">
        <v>678.85</v>
      </c>
      <c r="J317" s="94">
        <v>690.04</v>
      </c>
      <c r="K317" s="94">
        <v>732.74</v>
      </c>
      <c r="L317" s="94">
        <v>707.19</v>
      </c>
      <c r="M317" s="94">
        <v>658.82</v>
      </c>
      <c r="N317" s="94">
        <v>692.2</v>
      </c>
      <c r="O317" s="94">
        <v>716.87</v>
      </c>
      <c r="P317" s="94">
        <v>757.71</v>
      </c>
      <c r="Q317" s="94">
        <v>726.49</v>
      </c>
      <c r="R317" s="94">
        <v>699.75</v>
      </c>
      <c r="S317" s="94">
        <v>696.87</v>
      </c>
      <c r="T317" s="94">
        <v>668.01</v>
      </c>
      <c r="U317" s="94">
        <v>645.67999999999995</v>
      </c>
    </row>
    <row r="318" spans="1:21">
      <c r="A318" s="91">
        <v>41071</v>
      </c>
      <c r="B318" s="86">
        <v>41071</v>
      </c>
      <c r="C318" s="93">
        <v>1.23808344682432</v>
      </c>
      <c r="D318" s="85" t="s">
        <v>744</v>
      </c>
      <c r="F318" s="91">
        <v>41071</v>
      </c>
      <c r="G318">
        <v>661.76</v>
      </c>
      <c r="H318">
        <v>721.55</v>
      </c>
      <c r="I318" s="94">
        <v>692.07</v>
      </c>
      <c r="J318" s="94">
        <v>687.52</v>
      </c>
      <c r="K318" s="94">
        <v>734.84</v>
      </c>
      <c r="L318" s="94">
        <v>717.76</v>
      </c>
      <c r="M318" s="94">
        <v>677.97</v>
      </c>
      <c r="N318" s="94">
        <v>716.32</v>
      </c>
      <c r="O318" s="94">
        <v>729.23</v>
      </c>
      <c r="P318" s="94">
        <v>757.71</v>
      </c>
      <c r="Q318" s="94">
        <v>737.1</v>
      </c>
      <c r="R318" s="94">
        <v>711.52</v>
      </c>
      <c r="S318" s="94">
        <v>706.74</v>
      </c>
      <c r="T318" s="94">
        <v>688.85</v>
      </c>
      <c r="U318" s="94">
        <v>661.63</v>
      </c>
    </row>
    <row r="319" spans="1:21">
      <c r="A319" s="91">
        <v>41064</v>
      </c>
      <c r="B319" s="86">
        <v>41064</v>
      </c>
      <c r="C319" s="93">
        <v>1.2369348753788101</v>
      </c>
      <c r="D319" s="85" t="s">
        <v>745</v>
      </c>
      <c r="F319" s="91">
        <v>41064</v>
      </c>
      <c r="G319">
        <v>672.59</v>
      </c>
      <c r="H319">
        <v>716.18</v>
      </c>
      <c r="I319" s="94">
        <v>693.66</v>
      </c>
      <c r="J319" s="94">
        <v>714.41</v>
      </c>
      <c r="K319" s="94">
        <v>756.62</v>
      </c>
      <c r="L319" s="94">
        <v>728.33</v>
      </c>
      <c r="M319" s="94">
        <v>697.53</v>
      </c>
      <c r="N319" s="94">
        <v>723.89</v>
      </c>
      <c r="O319" s="94">
        <v>711.85</v>
      </c>
      <c r="P319" s="94">
        <v>757.71</v>
      </c>
      <c r="Q319" s="94">
        <v>765.46</v>
      </c>
      <c r="R319" s="94">
        <v>724.12</v>
      </c>
      <c r="S319" s="94">
        <v>730.92</v>
      </c>
      <c r="T319" s="94">
        <v>709</v>
      </c>
      <c r="U319" s="94">
        <v>665.04</v>
      </c>
    </row>
    <row r="320" spans="1:21">
      <c r="A320" s="91">
        <v>41057</v>
      </c>
      <c r="B320" s="86">
        <v>41057</v>
      </c>
      <c r="C320" s="93">
        <v>1.24984376952881</v>
      </c>
      <c r="D320" s="85" t="s">
        <v>746</v>
      </c>
      <c r="F320" s="91">
        <v>41057</v>
      </c>
      <c r="G320">
        <v>669.26</v>
      </c>
      <c r="H320">
        <v>733.87</v>
      </c>
      <c r="I320" s="94">
        <v>708.61</v>
      </c>
      <c r="J320" s="94">
        <v>734.58</v>
      </c>
      <c r="K320" s="94">
        <v>772.78</v>
      </c>
      <c r="L320" s="94">
        <v>720.2</v>
      </c>
      <c r="M320" s="94">
        <v>694.36</v>
      </c>
      <c r="N320" s="94">
        <v>723.94</v>
      </c>
      <c r="O320" s="94">
        <v>713.69</v>
      </c>
      <c r="P320" s="94">
        <v>744.65</v>
      </c>
      <c r="Q320" s="94">
        <v>762.84</v>
      </c>
      <c r="R320" s="94">
        <v>726.65</v>
      </c>
      <c r="S320" s="94">
        <v>738.48</v>
      </c>
      <c r="T320" s="94">
        <v>703.92</v>
      </c>
      <c r="U320" s="94">
        <v>675.28</v>
      </c>
    </row>
    <row r="321" spans="1:21">
      <c r="A321" s="91">
        <v>41050</v>
      </c>
      <c r="B321" s="86">
        <v>41050</v>
      </c>
      <c r="C321" s="93">
        <v>1.2383900928792599</v>
      </c>
      <c r="D321" s="85" t="s">
        <v>747</v>
      </c>
      <c r="F321" s="91">
        <v>41050</v>
      </c>
      <c r="G321">
        <v>673.43</v>
      </c>
      <c r="H321">
        <v>733.87</v>
      </c>
      <c r="I321" s="94">
        <v>716.15</v>
      </c>
      <c r="J321" s="94">
        <v>716.09</v>
      </c>
      <c r="K321" s="94">
        <v>761.84</v>
      </c>
      <c r="L321" s="94">
        <v>732.4</v>
      </c>
      <c r="M321" s="94">
        <v>699.54</v>
      </c>
      <c r="N321" s="94">
        <v>730.46</v>
      </c>
      <c r="O321" s="94">
        <v>714.78</v>
      </c>
      <c r="P321" s="94">
        <v>744.65</v>
      </c>
      <c r="Q321" s="94">
        <v>764.77</v>
      </c>
      <c r="R321" s="94">
        <v>729.17</v>
      </c>
      <c r="S321" s="94">
        <v>736.35</v>
      </c>
      <c r="T321" s="94">
        <v>694.59</v>
      </c>
      <c r="U321" s="94">
        <v>683.49</v>
      </c>
    </row>
    <row r="322" spans="1:21">
      <c r="A322" s="91">
        <v>41043</v>
      </c>
      <c r="B322" s="86">
        <v>41043</v>
      </c>
      <c r="C322" s="93">
        <v>1.25</v>
      </c>
      <c r="D322" s="85" t="s">
        <v>486</v>
      </c>
      <c r="F322" s="91">
        <v>41043</v>
      </c>
      <c r="G322">
        <v>685.09</v>
      </c>
      <c r="H322">
        <v>790.31</v>
      </c>
      <c r="I322" s="94">
        <v>719.93</v>
      </c>
      <c r="J322" s="94">
        <v>712.73</v>
      </c>
      <c r="K322" s="94">
        <v>758.48</v>
      </c>
      <c r="L322" s="94">
        <v>737.28</v>
      </c>
      <c r="M322" s="94">
        <v>709.82</v>
      </c>
      <c r="N322" s="94">
        <v>746.73</v>
      </c>
      <c r="O322" s="94">
        <v>741.96</v>
      </c>
      <c r="P322" s="94">
        <v>744.65</v>
      </c>
      <c r="Q322" s="94">
        <v>772.48</v>
      </c>
      <c r="R322" s="94">
        <v>739.25</v>
      </c>
      <c r="S322" s="94">
        <v>742.68</v>
      </c>
      <c r="T322" s="94">
        <v>694.73</v>
      </c>
      <c r="U322" s="94">
        <v>716.11</v>
      </c>
    </row>
    <row r="323" spans="1:21">
      <c r="A323" s="91">
        <v>41036</v>
      </c>
      <c r="B323" s="86">
        <v>41036</v>
      </c>
      <c r="C323" s="93">
        <v>1.2399717286445899</v>
      </c>
      <c r="D323" s="85" t="s">
        <v>748</v>
      </c>
      <c r="F323" s="91">
        <v>41036</v>
      </c>
      <c r="G323">
        <v>702.59</v>
      </c>
      <c r="H323">
        <v>748.17</v>
      </c>
      <c r="I323" s="94">
        <v>737.33</v>
      </c>
      <c r="J323" s="94">
        <v>747.18</v>
      </c>
      <c r="K323" s="94">
        <v>771.05</v>
      </c>
      <c r="L323" s="94">
        <v>748.66</v>
      </c>
      <c r="M323" s="94">
        <v>734.44</v>
      </c>
      <c r="N323" s="94">
        <v>773.06</v>
      </c>
      <c r="O323" s="94">
        <v>783.08</v>
      </c>
      <c r="P323" s="94">
        <v>744.65</v>
      </c>
      <c r="Q323" s="94">
        <v>809.04</v>
      </c>
      <c r="R323" s="94">
        <v>750.17</v>
      </c>
      <c r="S323" s="94">
        <v>761.27</v>
      </c>
      <c r="T323" s="94">
        <v>706.36</v>
      </c>
      <c r="U323" s="94">
        <v>729.49</v>
      </c>
    </row>
    <row r="324" spans="1:21">
      <c r="A324" s="91">
        <v>41029</v>
      </c>
      <c r="B324" s="86">
        <v>41029</v>
      </c>
      <c r="C324" s="93">
        <v>1.2300879512885199</v>
      </c>
      <c r="D324" s="85" t="s">
        <v>749</v>
      </c>
      <c r="F324" s="91">
        <v>41029</v>
      </c>
      <c r="G324">
        <v>718.43</v>
      </c>
      <c r="H324">
        <v>804.28</v>
      </c>
      <c r="I324" s="94">
        <v>747.24</v>
      </c>
      <c r="J324" s="94">
        <v>751.38</v>
      </c>
      <c r="K324" s="94">
        <v>786.95</v>
      </c>
      <c r="L324" s="94">
        <v>764.1</v>
      </c>
      <c r="M324" s="94">
        <v>748.87</v>
      </c>
      <c r="N324" s="94">
        <v>798.8</v>
      </c>
      <c r="O324" s="94">
        <v>807.5</v>
      </c>
      <c r="P324" s="94">
        <v>744.65</v>
      </c>
      <c r="Q324" s="94">
        <v>826.31</v>
      </c>
      <c r="R324" s="94">
        <v>762.78</v>
      </c>
      <c r="S324" s="94">
        <v>782.16</v>
      </c>
      <c r="T324" s="94">
        <v>714.69</v>
      </c>
      <c r="U324" s="94">
        <v>732.55</v>
      </c>
    </row>
    <row r="325" spans="1:21">
      <c r="A325" s="91">
        <v>41022</v>
      </c>
      <c r="B325" s="86">
        <v>41022</v>
      </c>
      <c r="C325" s="93">
        <v>1.2245897624295898</v>
      </c>
      <c r="D325" s="85" t="s">
        <v>750</v>
      </c>
      <c r="F325" s="91">
        <v>41022</v>
      </c>
      <c r="G325">
        <v>741.76</v>
      </c>
      <c r="H325">
        <v>804.28</v>
      </c>
      <c r="I325" s="94">
        <v>746.88</v>
      </c>
      <c r="J325" s="94">
        <v>784.16</v>
      </c>
      <c r="K325" s="94">
        <v>811.59</v>
      </c>
      <c r="L325" s="94">
        <v>776.3</v>
      </c>
      <c r="M325" s="94">
        <v>767.68</v>
      </c>
      <c r="N325" s="94">
        <v>821.93</v>
      </c>
      <c r="O325" s="94">
        <v>785.74</v>
      </c>
      <c r="P325" s="94">
        <v>693.15</v>
      </c>
      <c r="Q325" s="94">
        <v>827.88</v>
      </c>
      <c r="R325" s="94">
        <v>777.07</v>
      </c>
      <c r="S325" s="94">
        <v>795.63</v>
      </c>
      <c r="T325" s="94">
        <v>746.35</v>
      </c>
      <c r="U325" s="94">
        <v>736.98</v>
      </c>
    </row>
    <row r="326" spans="1:21">
      <c r="A326" s="91">
        <v>41015</v>
      </c>
      <c r="B326" s="86">
        <v>41015</v>
      </c>
      <c r="C326" s="93">
        <v>1.21550990640574</v>
      </c>
      <c r="D326" s="85" t="s">
        <v>751</v>
      </c>
      <c r="F326" s="91">
        <v>41015</v>
      </c>
      <c r="G326">
        <v>746.25</v>
      </c>
      <c r="H326">
        <v>823.62</v>
      </c>
      <c r="I326" s="94">
        <v>748.62</v>
      </c>
      <c r="J326" s="94">
        <v>801.8</v>
      </c>
      <c r="K326" s="94">
        <v>838.56</v>
      </c>
      <c r="L326" s="94">
        <v>781.99</v>
      </c>
      <c r="M326" s="94">
        <v>780.81</v>
      </c>
      <c r="N326" s="94">
        <v>829.68</v>
      </c>
      <c r="O326" s="94">
        <v>774.91</v>
      </c>
      <c r="P326" s="94">
        <v>693.15</v>
      </c>
      <c r="Q326" s="94">
        <v>829.9</v>
      </c>
      <c r="R326" s="94">
        <v>791.35</v>
      </c>
      <c r="S326" s="94">
        <v>816.99</v>
      </c>
      <c r="T326" s="94">
        <v>762.65</v>
      </c>
      <c r="U326" s="94">
        <v>735.71</v>
      </c>
    </row>
    <row r="327" spans="1:21">
      <c r="A327" s="91">
        <v>41001</v>
      </c>
      <c r="B327" s="86">
        <v>41001</v>
      </c>
      <c r="C327" s="93">
        <v>1.2032970338728097</v>
      </c>
      <c r="D327" s="85" t="s">
        <v>472</v>
      </c>
      <c r="F327" s="91">
        <v>41001</v>
      </c>
      <c r="G327">
        <v>735.41</v>
      </c>
      <c r="H327">
        <v>793.54</v>
      </c>
      <c r="I327" s="94">
        <v>737.7</v>
      </c>
      <c r="J327" s="94">
        <v>776.59</v>
      </c>
      <c r="K327" s="94">
        <v>846.96</v>
      </c>
      <c r="L327" s="94">
        <v>770.61</v>
      </c>
      <c r="M327" s="94">
        <v>770.94</v>
      </c>
      <c r="N327" s="94">
        <v>805.29</v>
      </c>
      <c r="O327" s="94">
        <v>772.41</v>
      </c>
      <c r="P327" s="94">
        <v>693.15</v>
      </c>
      <c r="Q327" s="94">
        <v>818.68</v>
      </c>
      <c r="R327" s="94">
        <v>786.31</v>
      </c>
      <c r="S327" s="94">
        <v>816.34</v>
      </c>
      <c r="T327" s="94">
        <v>782.95</v>
      </c>
      <c r="U327" s="94">
        <v>716.49</v>
      </c>
    </row>
    <row r="328" spans="1:21">
      <c r="A328" s="91">
        <v>40994</v>
      </c>
      <c r="B328" s="86">
        <v>40994</v>
      </c>
      <c r="C328" s="93">
        <v>1.1973180076628398</v>
      </c>
      <c r="D328" s="85" t="s">
        <v>752</v>
      </c>
      <c r="F328" s="91">
        <v>40994</v>
      </c>
      <c r="G328">
        <v>717.08</v>
      </c>
      <c r="H328">
        <v>748.99</v>
      </c>
      <c r="I328" s="94">
        <v>739.31</v>
      </c>
      <c r="J328" s="94">
        <v>764.83</v>
      </c>
      <c r="K328" s="94">
        <v>818.49</v>
      </c>
      <c r="L328" s="94">
        <v>760.04</v>
      </c>
      <c r="M328" s="94">
        <v>767.6</v>
      </c>
      <c r="N328" s="94">
        <v>795.02</v>
      </c>
      <c r="O328" s="94">
        <v>768.29</v>
      </c>
      <c r="P328" s="94">
        <v>662.85</v>
      </c>
      <c r="Q328" s="94">
        <v>807.5</v>
      </c>
      <c r="R328" s="94">
        <v>764.46</v>
      </c>
      <c r="S328" s="94">
        <v>803.23</v>
      </c>
      <c r="T328" s="94">
        <v>763.24</v>
      </c>
      <c r="U328" s="94">
        <v>697.83</v>
      </c>
    </row>
    <row r="329" spans="1:21">
      <c r="A329" s="91">
        <v>40987</v>
      </c>
      <c r="B329" s="86">
        <v>40987</v>
      </c>
      <c r="C329" s="93">
        <v>1.2070734504194598</v>
      </c>
      <c r="D329" s="85" t="s">
        <v>753</v>
      </c>
      <c r="F329" s="91">
        <v>40987</v>
      </c>
      <c r="G329">
        <v>711.25</v>
      </c>
      <c r="H329">
        <v>790.48</v>
      </c>
      <c r="I329" s="94">
        <v>731.8</v>
      </c>
      <c r="J329" s="94">
        <v>764.83</v>
      </c>
      <c r="K329" s="94">
        <v>818.49</v>
      </c>
      <c r="L329" s="94">
        <v>758.41</v>
      </c>
      <c r="M329" s="94">
        <v>763</v>
      </c>
      <c r="N329" s="94">
        <v>781.28</v>
      </c>
      <c r="O329" s="94">
        <v>762.59</v>
      </c>
      <c r="P329" s="94">
        <v>662.85</v>
      </c>
      <c r="Q329" s="94">
        <v>798.52</v>
      </c>
      <c r="R329" s="94">
        <v>766.14</v>
      </c>
      <c r="S329" s="94">
        <v>802.15</v>
      </c>
      <c r="T329" s="94">
        <v>758.59</v>
      </c>
      <c r="U329" s="94">
        <v>698.26</v>
      </c>
    </row>
    <row r="330" spans="1:21">
      <c r="A330" s="91">
        <v>40980</v>
      </c>
      <c r="B330" s="86">
        <v>40980</v>
      </c>
      <c r="C330" s="93">
        <v>1.1916110581506201</v>
      </c>
      <c r="D330" s="85" t="s">
        <v>754</v>
      </c>
      <c r="F330" s="91">
        <v>40980</v>
      </c>
      <c r="G330">
        <v>701.25</v>
      </c>
      <c r="H330">
        <v>744.69</v>
      </c>
      <c r="I330" s="94">
        <v>719.41</v>
      </c>
      <c r="J330" s="94">
        <v>757.26</v>
      </c>
      <c r="K330" s="94">
        <v>815.35</v>
      </c>
      <c r="L330" s="94">
        <v>734.02</v>
      </c>
      <c r="M330" s="94">
        <v>742.93</v>
      </c>
      <c r="N330" s="94">
        <v>761.42</v>
      </c>
      <c r="O330" s="94">
        <v>733.6</v>
      </c>
      <c r="P330" s="94">
        <v>662.85</v>
      </c>
      <c r="Q330" s="94">
        <v>786.41</v>
      </c>
      <c r="R330" s="94">
        <v>751.86</v>
      </c>
      <c r="S330" s="94">
        <v>780.23</v>
      </c>
      <c r="T330" s="94">
        <v>745.03</v>
      </c>
      <c r="U330" s="94">
        <v>678.83</v>
      </c>
    </row>
    <row r="331" spans="1:21">
      <c r="A331" s="91">
        <v>40973</v>
      </c>
      <c r="B331" s="86">
        <v>40973</v>
      </c>
      <c r="C331" s="93">
        <v>1.1981069909542899</v>
      </c>
      <c r="D331" s="85" t="s">
        <v>471</v>
      </c>
      <c r="F331" s="91">
        <v>40973</v>
      </c>
      <c r="G331">
        <v>683.75</v>
      </c>
      <c r="H331">
        <v>757.75</v>
      </c>
      <c r="I331" s="94">
        <v>708.1</v>
      </c>
      <c r="J331" s="94">
        <v>760.63</v>
      </c>
      <c r="K331" s="94">
        <v>799.29</v>
      </c>
      <c r="L331" s="94">
        <v>725.08</v>
      </c>
      <c r="M331" s="94">
        <v>732.68</v>
      </c>
      <c r="N331" s="94">
        <v>758.42</v>
      </c>
      <c r="O331" s="94">
        <v>725.24</v>
      </c>
      <c r="P331" s="94">
        <v>610</v>
      </c>
      <c r="Q331" s="94">
        <v>759.62</v>
      </c>
      <c r="R331" s="94">
        <v>735.05</v>
      </c>
      <c r="S331" s="94">
        <v>768.3</v>
      </c>
      <c r="T331" s="94">
        <v>721.19</v>
      </c>
      <c r="U331" s="94">
        <v>676.56</v>
      </c>
    </row>
    <row r="332" spans="1:21">
      <c r="A332" s="91">
        <v>40966</v>
      </c>
      <c r="B332" s="86">
        <v>40966</v>
      </c>
      <c r="C332" s="93">
        <v>1.1834319526627199</v>
      </c>
      <c r="D332" s="85" t="s">
        <v>755</v>
      </c>
      <c r="F332" s="91">
        <v>40966</v>
      </c>
      <c r="G332">
        <v>671.25</v>
      </c>
      <c r="H332">
        <v>776.26</v>
      </c>
      <c r="I332" s="94">
        <v>698.5</v>
      </c>
      <c r="J332" s="94">
        <v>740.46</v>
      </c>
      <c r="K332" s="94">
        <v>815.22</v>
      </c>
      <c r="L332" s="94">
        <v>718.58</v>
      </c>
      <c r="M332" s="94">
        <v>733.15</v>
      </c>
      <c r="N332" s="94">
        <v>749.42</v>
      </c>
      <c r="O332" s="94">
        <v>724.86</v>
      </c>
      <c r="P332" s="94">
        <v>610</v>
      </c>
      <c r="Q332" s="94">
        <v>755.07</v>
      </c>
      <c r="R332" s="94">
        <v>728.33</v>
      </c>
      <c r="S332" s="94">
        <v>768.15</v>
      </c>
      <c r="T332" s="94">
        <v>721.58</v>
      </c>
      <c r="U332" s="94">
        <v>657.51</v>
      </c>
    </row>
    <row r="333" spans="1:21">
      <c r="A333" s="91">
        <v>40959</v>
      </c>
      <c r="B333" s="86">
        <v>40959</v>
      </c>
      <c r="C333" s="93">
        <v>1.1956001912960299</v>
      </c>
      <c r="D333" s="85" t="s">
        <v>756</v>
      </c>
      <c r="F333" s="91">
        <v>40959</v>
      </c>
      <c r="G333">
        <v>667.08</v>
      </c>
      <c r="H333">
        <v>743.7</v>
      </c>
      <c r="I333" s="94">
        <v>693.95</v>
      </c>
      <c r="J333" s="94">
        <v>748.02</v>
      </c>
      <c r="K333" s="94">
        <v>799.31</v>
      </c>
      <c r="L333" s="94">
        <v>712.89</v>
      </c>
      <c r="M333" s="94">
        <v>708.82</v>
      </c>
      <c r="N333" s="94">
        <v>731.74</v>
      </c>
      <c r="O333" s="94">
        <v>724.82</v>
      </c>
      <c r="P333" s="94">
        <v>610</v>
      </c>
      <c r="Q333" s="94">
        <v>744.14</v>
      </c>
      <c r="R333" s="94">
        <v>722.44</v>
      </c>
      <c r="S333" s="94">
        <v>753.7</v>
      </c>
      <c r="T333" s="94">
        <v>714.33</v>
      </c>
      <c r="U333" s="94">
        <v>654.29999999999995</v>
      </c>
    </row>
    <row r="334" spans="1:21">
      <c r="A334" s="91">
        <v>40952</v>
      </c>
      <c r="B334" s="86">
        <v>40952</v>
      </c>
      <c r="C334" s="93">
        <v>1.1921082434285</v>
      </c>
      <c r="D334" s="85" t="s">
        <v>757</v>
      </c>
      <c r="F334" s="91">
        <v>40952</v>
      </c>
      <c r="G334">
        <v>648.75</v>
      </c>
      <c r="H334">
        <v>731.06</v>
      </c>
      <c r="I334" s="94">
        <v>687.99</v>
      </c>
      <c r="J334" s="94">
        <v>708.53</v>
      </c>
      <c r="K334" s="94">
        <v>770.36</v>
      </c>
      <c r="L334" s="94">
        <v>707.19</v>
      </c>
      <c r="M334" s="94">
        <v>707.48</v>
      </c>
      <c r="N334" s="94">
        <v>720.67</v>
      </c>
      <c r="O334" s="94">
        <v>713.19</v>
      </c>
      <c r="P334" s="94">
        <v>610</v>
      </c>
      <c r="Q334" s="94">
        <v>730.96</v>
      </c>
      <c r="R334" s="94">
        <v>705.64</v>
      </c>
      <c r="S334" s="94">
        <v>734.8</v>
      </c>
      <c r="T334" s="94">
        <v>687.19</v>
      </c>
      <c r="U334" s="94">
        <v>649.27</v>
      </c>
    </row>
    <row r="335" spans="1:21">
      <c r="A335" s="91">
        <v>40945</v>
      </c>
      <c r="B335" s="86">
        <v>40945</v>
      </c>
      <c r="C335" s="93">
        <v>1.2075836251660399</v>
      </c>
      <c r="D335" s="85" t="s">
        <v>758</v>
      </c>
      <c r="F335" s="91">
        <v>40945</v>
      </c>
      <c r="G335">
        <v>638.75</v>
      </c>
      <c r="H335">
        <v>716.35</v>
      </c>
      <c r="I335" s="94">
        <v>691.49</v>
      </c>
      <c r="J335" s="94">
        <v>674.91</v>
      </c>
      <c r="K335" s="94">
        <v>754.08</v>
      </c>
      <c r="L335" s="94">
        <v>695</v>
      </c>
      <c r="M335" s="94">
        <v>695.19</v>
      </c>
      <c r="N335" s="94">
        <v>716.82</v>
      </c>
      <c r="O335" s="94">
        <v>714.36</v>
      </c>
      <c r="P335" s="94">
        <v>610</v>
      </c>
      <c r="Q335" s="94">
        <v>722.91</v>
      </c>
      <c r="R335" s="94">
        <v>692.19</v>
      </c>
      <c r="S335" s="94">
        <v>722.46</v>
      </c>
      <c r="T335" s="94">
        <v>678.67</v>
      </c>
      <c r="U335" s="94">
        <v>651.21</v>
      </c>
    </row>
    <row r="336" spans="1:21">
      <c r="A336" s="91">
        <v>40938</v>
      </c>
      <c r="B336" s="86">
        <v>40938</v>
      </c>
      <c r="C336" s="93">
        <v>1.1964584828906399</v>
      </c>
      <c r="D336" s="85" t="s">
        <v>759</v>
      </c>
      <c r="F336" s="91">
        <v>40938</v>
      </c>
      <c r="G336">
        <v>634.58000000000004</v>
      </c>
      <c r="H336">
        <v>708.83</v>
      </c>
      <c r="I336" s="94">
        <v>685.83</v>
      </c>
      <c r="J336" s="94">
        <v>680.79</v>
      </c>
      <c r="K336" s="94">
        <v>748.71</v>
      </c>
      <c r="L336" s="94">
        <v>681.18</v>
      </c>
      <c r="M336" s="94">
        <v>685.83</v>
      </c>
      <c r="N336" s="94">
        <v>712.83</v>
      </c>
      <c r="O336" s="94">
        <v>719.57</v>
      </c>
      <c r="P336" s="94">
        <v>632.37</v>
      </c>
      <c r="Q336" s="94">
        <v>715.32</v>
      </c>
      <c r="R336" s="94">
        <v>687.15</v>
      </c>
      <c r="S336" s="94">
        <v>716.26</v>
      </c>
      <c r="T336" s="94">
        <v>671.27</v>
      </c>
      <c r="U336" s="94">
        <v>643.71</v>
      </c>
    </row>
    <row r="337" spans="1:21">
      <c r="A337" s="91">
        <v>40931</v>
      </c>
      <c r="B337" s="86">
        <v>40931</v>
      </c>
      <c r="C337" s="93">
        <v>1.1958146487294499</v>
      </c>
      <c r="D337" s="85" t="s">
        <v>760</v>
      </c>
      <c r="F337" s="91">
        <v>40931</v>
      </c>
      <c r="G337">
        <v>636.25</v>
      </c>
      <c r="H337">
        <v>730.89</v>
      </c>
      <c r="I337" s="94">
        <v>685.17</v>
      </c>
      <c r="J337" s="94">
        <v>681.63</v>
      </c>
      <c r="K337" s="94">
        <v>748.54</v>
      </c>
      <c r="L337" s="94">
        <v>686.06</v>
      </c>
      <c r="M337" s="94">
        <v>688.09</v>
      </c>
      <c r="N337" s="94">
        <v>711.17</v>
      </c>
      <c r="O337" s="94">
        <v>705.84</v>
      </c>
      <c r="P337" s="94">
        <v>632.37</v>
      </c>
      <c r="Q337" s="94">
        <v>711.32</v>
      </c>
      <c r="R337" s="94">
        <v>688.83</v>
      </c>
      <c r="S337" s="94">
        <v>715.67</v>
      </c>
      <c r="T337" s="94">
        <v>680.48</v>
      </c>
      <c r="U337" s="94">
        <v>639.57000000000005</v>
      </c>
    </row>
    <row r="338" spans="1:21">
      <c r="A338" s="91">
        <v>40924</v>
      </c>
      <c r="B338" s="86">
        <v>40924</v>
      </c>
      <c r="C338" s="93">
        <v>1.2085322375974399</v>
      </c>
      <c r="D338" s="85" t="s">
        <v>761</v>
      </c>
      <c r="F338" s="91">
        <v>40924</v>
      </c>
      <c r="G338">
        <v>640.41</v>
      </c>
      <c r="H338">
        <v>729.24</v>
      </c>
      <c r="I338" s="94">
        <v>658.89</v>
      </c>
      <c r="J338" s="94">
        <v>672.39</v>
      </c>
      <c r="K338" s="94">
        <v>750.78</v>
      </c>
      <c r="L338" s="94">
        <v>689.31</v>
      </c>
      <c r="M338" s="94">
        <v>690.25</v>
      </c>
      <c r="N338" s="94">
        <v>701.43</v>
      </c>
      <c r="O338" s="94">
        <v>678.42</v>
      </c>
      <c r="P338" s="94">
        <v>632.37</v>
      </c>
      <c r="Q338" s="94">
        <v>708.49</v>
      </c>
      <c r="R338" s="94">
        <v>689.67</v>
      </c>
      <c r="S338" s="94">
        <v>713.34</v>
      </c>
      <c r="T338" s="94">
        <v>668.63</v>
      </c>
      <c r="U338" s="94">
        <v>642.07000000000005</v>
      </c>
    </row>
    <row r="339" spans="1:21" ht="15.75" thickBot="1">
      <c r="A339" s="92">
        <v>40917</v>
      </c>
      <c r="B339" s="86">
        <v>40917</v>
      </c>
      <c r="C339" s="93">
        <v>1.21359223300971</v>
      </c>
      <c r="D339" s="85" t="s">
        <v>762</v>
      </c>
      <c r="F339" s="92">
        <v>40917</v>
      </c>
      <c r="G339">
        <v>619.58000000000004</v>
      </c>
      <c r="H339">
        <v>683.29</v>
      </c>
      <c r="I339" s="94">
        <v>649.64</v>
      </c>
      <c r="J339" s="94">
        <v>690.88</v>
      </c>
      <c r="K339" s="94">
        <v>755.02</v>
      </c>
      <c r="L339" s="94">
        <v>664.92</v>
      </c>
      <c r="M339" s="94">
        <v>673.45</v>
      </c>
      <c r="N339" s="94">
        <v>676.53</v>
      </c>
      <c r="O339" s="94">
        <v>641.36</v>
      </c>
      <c r="P339" s="94">
        <v>647.74</v>
      </c>
      <c r="Q339" s="94">
        <v>695.82</v>
      </c>
      <c r="R339" s="94">
        <v>684.63</v>
      </c>
      <c r="S339" s="94">
        <v>705.4</v>
      </c>
      <c r="T339" s="94">
        <v>671.7</v>
      </c>
      <c r="U339" s="94">
        <v>638.55999999999995</v>
      </c>
    </row>
    <row r="340" spans="1:21">
      <c r="A340" s="91">
        <v>40896</v>
      </c>
      <c r="B340" s="86">
        <v>40896</v>
      </c>
      <c r="C340" s="93">
        <v>1.1907597046915899</v>
      </c>
      <c r="D340" s="85" t="s">
        <v>763</v>
      </c>
      <c r="F340" s="91">
        <v>40896</v>
      </c>
      <c r="G340">
        <v>601.25</v>
      </c>
      <c r="H340">
        <v>659.32</v>
      </c>
      <c r="I340" s="94">
        <v>641.9</v>
      </c>
      <c r="J340" s="94">
        <v>611.89</v>
      </c>
      <c r="K340" s="94">
        <v>694.72</v>
      </c>
      <c r="L340" s="94">
        <v>638.39</v>
      </c>
      <c r="M340" s="94">
        <v>635.74</v>
      </c>
      <c r="N340" s="94">
        <v>652.79</v>
      </c>
      <c r="O340" s="94">
        <v>638.66</v>
      </c>
      <c r="P340" s="94">
        <v>667.94</v>
      </c>
      <c r="Q340" s="94">
        <v>678.86</v>
      </c>
      <c r="R340" s="94">
        <v>639.70000000000005</v>
      </c>
      <c r="S340" s="94">
        <v>655.76</v>
      </c>
      <c r="T340" s="94">
        <v>621.15</v>
      </c>
      <c r="U340" s="94">
        <v>624.62</v>
      </c>
    </row>
    <row r="341" spans="1:21">
      <c r="A341" s="91">
        <v>40889</v>
      </c>
      <c r="B341" s="86">
        <v>40889</v>
      </c>
      <c r="C341" s="93">
        <v>1.1792452830188698</v>
      </c>
      <c r="D341" s="85" t="s">
        <v>764</v>
      </c>
      <c r="F341" s="91">
        <v>40889</v>
      </c>
      <c r="G341">
        <v>602.08000000000004</v>
      </c>
      <c r="H341">
        <v>640.64</v>
      </c>
      <c r="I341" s="94">
        <v>636.97</v>
      </c>
      <c r="J341" s="94">
        <v>607.67999999999995</v>
      </c>
      <c r="K341" s="94">
        <v>688.94</v>
      </c>
      <c r="L341" s="94">
        <v>641.64</v>
      </c>
      <c r="M341" s="94">
        <v>629.13</v>
      </c>
      <c r="N341" s="94">
        <v>650.47</v>
      </c>
      <c r="O341" s="94">
        <v>635.04</v>
      </c>
      <c r="P341" s="94">
        <v>667.94</v>
      </c>
      <c r="Q341" s="94">
        <v>678.22</v>
      </c>
      <c r="R341" s="94">
        <v>634.65</v>
      </c>
      <c r="S341" s="94">
        <v>654.23</v>
      </c>
      <c r="T341" s="94">
        <v>599.16999999999996</v>
      </c>
      <c r="U341" s="94">
        <v>618.99</v>
      </c>
    </row>
    <row r="342" spans="1:21">
      <c r="A342" s="91">
        <v>40882</v>
      </c>
      <c r="B342" s="86">
        <v>40882</v>
      </c>
      <c r="C342" s="93">
        <v>1.1638056444573799</v>
      </c>
      <c r="D342" s="85" t="s">
        <v>765</v>
      </c>
      <c r="F342" s="91">
        <v>40882</v>
      </c>
      <c r="G342">
        <v>602.08000000000004</v>
      </c>
      <c r="H342">
        <v>650.4</v>
      </c>
      <c r="I342" s="94">
        <v>650.83000000000004</v>
      </c>
      <c r="J342" s="94">
        <v>613.57000000000005</v>
      </c>
      <c r="K342" s="94">
        <v>685.78</v>
      </c>
      <c r="L342" s="94">
        <v>643.27</v>
      </c>
      <c r="M342" s="94">
        <v>627.04</v>
      </c>
      <c r="N342" s="94">
        <v>649</v>
      </c>
      <c r="O342" s="94">
        <v>651.71</v>
      </c>
      <c r="P342" s="94">
        <v>679.44</v>
      </c>
      <c r="Q342" s="94">
        <v>679.8</v>
      </c>
      <c r="R342" s="94">
        <v>626.25</v>
      </c>
      <c r="S342" s="94">
        <v>645.63</v>
      </c>
      <c r="T342" s="94">
        <v>608.45000000000005</v>
      </c>
      <c r="U342" s="94">
        <v>613.29</v>
      </c>
    </row>
    <row r="343" spans="1:21">
      <c r="A343" s="91">
        <v>40875</v>
      </c>
      <c r="B343" s="86">
        <v>40875</v>
      </c>
      <c r="C343" s="93">
        <v>1.1652295502213899</v>
      </c>
      <c r="D343" s="85" t="s">
        <v>766</v>
      </c>
      <c r="F343" s="91">
        <v>40875</v>
      </c>
      <c r="G343">
        <v>602.91</v>
      </c>
      <c r="H343">
        <v>623.04</v>
      </c>
      <c r="I343" s="94">
        <v>637.98</v>
      </c>
      <c r="J343" s="94">
        <v>595.91999999999996</v>
      </c>
      <c r="K343" s="94">
        <v>693.11</v>
      </c>
      <c r="L343" s="94">
        <v>651.4</v>
      </c>
      <c r="M343" s="94">
        <v>621.11</v>
      </c>
      <c r="N343" s="94">
        <v>654.78</v>
      </c>
      <c r="O343" s="94">
        <v>633.20000000000005</v>
      </c>
      <c r="P343" s="94">
        <v>687.21</v>
      </c>
      <c r="Q343" s="94">
        <v>681.19</v>
      </c>
      <c r="R343" s="94">
        <v>623.73</v>
      </c>
      <c r="S343" s="94">
        <v>646.96</v>
      </c>
      <c r="T343" s="94">
        <v>598.72</v>
      </c>
      <c r="U343" s="94">
        <v>617.84</v>
      </c>
    </row>
    <row r="344" spans="1:21">
      <c r="A344" s="91">
        <v>40868</v>
      </c>
      <c r="B344" s="86">
        <v>40868</v>
      </c>
      <c r="C344" s="93">
        <v>1.16279069767442</v>
      </c>
      <c r="D344" s="85" t="s">
        <v>767</v>
      </c>
      <c r="F344" s="91">
        <v>40868</v>
      </c>
      <c r="G344">
        <v>617.91</v>
      </c>
      <c r="H344">
        <v>667.83</v>
      </c>
      <c r="I344" s="94">
        <v>643.38</v>
      </c>
      <c r="J344" s="94">
        <v>615.25</v>
      </c>
      <c r="K344" s="94">
        <v>685.11</v>
      </c>
      <c r="L344" s="94">
        <v>657.9</v>
      </c>
      <c r="M344" s="94">
        <v>634.57000000000005</v>
      </c>
      <c r="N344" s="94">
        <v>667.57</v>
      </c>
      <c r="O344" s="94">
        <v>649.85</v>
      </c>
      <c r="P344" s="94">
        <v>687.21</v>
      </c>
      <c r="Q344" s="94">
        <v>689.94</v>
      </c>
      <c r="R344" s="94">
        <v>632.13</v>
      </c>
      <c r="S344" s="94">
        <v>655</v>
      </c>
      <c r="T344" s="94">
        <v>590.88</v>
      </c>
      <c r="U344" s="94">
        <v>618.55999999999995</v>
      </c>
    </row>
    <row r="345" spans="1:21">
      <c r="A345" s="91">
        <v>40861</v>
      </c>
      <c r="B345" s="86">
        <v>40861</v>
      </c>
      <c r="C345" s="93">
        <v>1.1674060238150799</v>
      </c>
      <c r="D345" s="85" t="s">
        <v>768</v>
      </c>
      <c r="F345" s="91">
        <v>40861</v>
      </c>
      <c r="G345">
        <v>622.08000000000004</v>
      </c>
      <c r="H345">
        <v>630.98</v>
      </c>
      <c r="I345" s="94">
        <v>630.29999999999995</v>
      </c>
      <c r="J345" s="94">
        <v>603.48</v>
      </c>
      <c r="K345" s="94">
        <v>711.94</v>
      </c>
      <c r="L345" s="94">
        <v>663.59</v>
      </c>
      <c r="M345" s="94">
        <v>641.41999999999996</v>
      </c>
      <c r="N345" s="94">
        <v>666.48</v>
      </c>
      <c r="O345" s="94">
        <v>619.29</v>
      </c>
      <c r="P345" s="94">
        <v>687.21</v>
      </c>
      <c r="Q345" s="94">
        <v>695.85</v>
      </c>
      <c r="R345" s="94">
        <v>645.58000000000004</v>
      </c>
      <c r="S345" s="94">
        <v>667.34</v>
      </c>
      <c r="T345" s="94">
        <v>612.64</v>
      </c>
      <c r="U345" s="94">
        <v>623.94000000000005</v>
      </c>
    </row>
    <row r="346" spans="1:21">
      <c r="A346" s="91">
        <v>40854</v>
      </c>
      <c r="B346" s="86">
        <v>40854</v>
      </c>
      <c r="C346" s="93">
        <v>1.1674741696339999</v>
      </c>
      <c r="D346" s="85" t="s">
        <v>769</v>
      </c>
      <c r="F346" s="91">
        <v>40854</v>
      </c>
      <c r="G346">
        <v>612.08000000000004</v>
      </c>
      <c r="H346">
        <v>630.98</v>
      </c>
      <c r="I346" s="94">
        <v>645.77</v>
      </c>
      <c r="J346" s="94">
        <v>626.16999999999996</v>
      </c>
      <c r="K346" s="94">
        <v>707.57</v>
      </c>
      <c r="L346" s="94">
        <v>661.97</v>
      </c>
      <c r="M346" s="94">
        <v>635.91</v>
      </c>
      <c r="N346" s="94">
        <v>667.59</v>
      </c>
      <c r="O346" s="94">
        <v>629.76</v>
      </c>
      <c r="P346" s="94">
        <v>687.21</v>
      </c>
      <c r="Q346" s="94">
        <v>693.71</v>
      </c>
      <c r="R346" s="94">
        <v>638.01</v>
      </c>
      <c r="S346" s="94">
        <v>663.87</v>
      </c>
      <c r="T346" s="94">
        <v>614.66999999999996</v>
      </c>
      <c r="U346" s="94">
        <v>631.07000000000005</v>
      </c>
    </row>
    <row r="347" spans="1:21">
      <c r="A347" s="91">
        <v>40847</v>
      </c>
      <c r="B347" s="86">
        <v>40847</v>
      </c>
      <c r="C347" s="93">
        <v>1.1453441759248699</v>
      </c>
      <c r="D347" s="85" t="s">
        <v>770</v>
      </c>
      <c r="F347" s="91">
        <v>40847</v>
      </c>
      <c r="G347">
        <v>608.75</v>
      </c>
      <c r="H347">
        <v>654.20000000000005</v>
      </c>
      <c r="I347" s="94">
        <v>653.97</v>
      </c>
      <c r="J347" s="94">
        <v>632.04999999999995</v>
      </c>
      <c r="K347" s="94">
        <v>712.04</v>
      </c>
      <c r="L347" s="94">
        <v>667.66</v>
      </c>
      <c r="M347" s="94">
        <v>639.33000000000004</v>
      </c>
      <c r="N347" s="94">
        <v>680.32</v>
      </c>
      <c r="O347" s="94">
        <v>644.19000000000005</v>
      </c>
      <c r="P347" s="94">
        <v>687.21</v>
      </c>
      <c r="Q347" s="94">
        <v>699.96</v>
      </c>
      <c r="R347" s="94">
        <v>645.58000000000004</v>
      </c>
      <c r="S347" s="94">
        <v>671.19</v>
      </c>
      <c r="T347" s="94">
        <v>624.26</v>
      </c>
      <c r="U347" s="94">
        <v>622.25</v>
      </c>
    </row>
    <row r="348" spans="1:21">
      <c r="A348" s="91">
        <v>40840</v>
      </c>
      <c r="B348" s="86">
        <v>40840</v>
      </c>
      <c r="C348" s="93">
        <v>1.15061557933494</v>
      </c>
      <c r="D348" s="85" t="s">
        <v>771</v>
      </c>
      <c r="F348" s="91">
        <v>40840</v>
      </c>
      <c r="G348">
        <v>614.58000000000004</v>
      </c>
      <c r="H348">
        <v>654.20000000000005</v>
      </c>
      <c r="I348" s="94">
        <v>644.55999999999995</v>
      </c>
      <c r="J348" s="94">
        <v>631.21</v>
      </c>
      <c r="K348" s="94">
        <v>700.99</v>
      </c>
      <c r="L348" s="94">
        <v>669.28</v>
      </c>
      <c r="M348" s="94">
        <v>641.59</v>
      </c>
      <c r="N348" s="94">
        <v>681.81</v>
      </c>
      <c r="O348" s="94">
        <v>657.55</v>
      </c>
      <c r="P348" s="94">
        <v>687.21</v>
      </c>
      <c r="Q348" s="94">
        <v>706.72</v>
      </c>
      <c r="R348" s="94">
        <v>649.78</v>
      </c>
      <c r="S348" s="94">
        <v>671.44</v>
      </c>
      <c r="T348" s="94">
        <v>626.37</v>
      </c>
      <c r="U348" s="94">
        <v>624.39</v>
      </c>
    </row>
    <row r="349" spans="1:21">
      <c r="A349" s="91">
        <v>40833</v>
      </c>
      <c r="B349" s="86">
        <v>40833</v>
      </c>
      <c r="C349" s="93">
        <v>1.1441647597253999</v>
      </c>
      <c r="D349" s="85" t="s">
        <v>772</v>
      </c>
      <c r="F349" s="91">
        <v>40833</v>
      </c>
      <c r="G349">
        <v>613.75</v>
      </c>
      <c r="H349">
        <v>699.82</v>
      </c>
      <c r="I349" s="94">
        <v>650.29</v>
      </c>
      <c r="J349" s="94">
        <v>649.70000000000005</v>
      </c>
      <c r="K349" s="94">
        <v>727.84</v>
      </c>
      <c r="L349" s="94">
        <v>672.54</v>
      </c>
      <c r="M349" s="94">
        <v>645.19000000000005</v>
      </c>
      <c r="N349" s="94">
        <v>677.64</v>
      </c>
      <c r="O349" s="94">
        <v>660.05</v>
      </c>
      <c r="P349" s="94">
        <v>687.21</v>
      </c>
      <c r="Q349" s="94">
        <v>700.07</v>
      </c>
      <c r="R349" s="94">
        <v>654.82000000000005</v>
      </c>
      <c r="S349" s="94">
        <v>684.54</v>
      </c>
      <c r="T349" s="94">
        <v>622.83000000000004</v>
      </c>
      <c r="U349" s="94">
        <v>619.27</v>
      </c>
    </row>
    <row r="350" spans="1:21">
      <c r="A350" s="91">
        <v>40826</v>
      </c>
      <c r="B350" s="86">
        <v>40826</v>
      </c>
      <c r="C350" s="93">
        <v>1.150880423524</v>
      </c>
      <c r="D350" s="85" t="s">
        <v>773</v>
      </c>
      <c r="F350" s="91">
        <v>40826</v>
      </c>
      <c r="G350">
        <v>610.41</v>
      </c>
      <c r="H350">
        <v>636.84</v>
      </c>
      <c r="I350" s="94">
        <v>648.98</v>
      </c>
      <c r="J350" s="94">
        <v>633.74</v>
      </c>
      <c r="K350" s="94">
        <v>725.88</v>
      </c>
      <c r="L350" s="94">
        <v>661.15</v>
      </c>
      <c r="M350" s="94">
        <v>630.72</v>
      </c>
      <c r="N350" s="94">
        <v>668.27</v>
      </c>
      <c r="O350" s="94">
        <v>649.75</v>
      </c>
      <c r="P350" s="94">
        <v>687.21</v>
      </c>
      <c r="Q350" s="94">
        <v>697.49</v>
      </c>
      <c r="R350" s="94">
        <v>643.9</v>
      </c>
      <c r="S350" s="94">
        <v>672.53</v>
      </c>
      <c r="T350" s="94">
        <v>620.72</v>
      </c>
      <c r="U350" s="94">
        <v>622.74</v>
      </c>
    </row>
    <row r="351" spans="1:21">
      <c r="A351" s="91">
        <v>40819</v>
      </c>
      <c r="B351" s="86">
        <v>40819</v>
      </c>
      <c r="C351" s="93">
        <v>1.1633317822242899</v>
      </c>
      <c r="D351" s="85" t="s">
        <v>774</v>
      </c>
      <c r="F351" s="91">
        <v>40819</v>
      </c>
      <c r="G351">
        <v>612.08000000000004</v>
      </c>
      <c r="H351">
        <v>681.47</v>
      </c>
      <c r="I351" s="94">
        <v>650.41</v>
      </c>
      <c r="J351" s="94">
        <v>616.92999999999995</v>
      </c>
      <c r="K351" s="94">
        <v>704.49</v>
      </c>
      <c r="L351" s="94">
        <v>667.66</v>
      </c>
      <c r="M351" s="94">
        <v>638.75</v>
      </c>
      <c r="N351" s="94">
        <v>684.49</v>
      </c>
      <c r="O351" s="94">
        <v>661.67</v>
      </c>
      <c r="P351" s="94">
        <v>687.21</v>
      </c>
      <c r="Q351" s="94">
        <v>704.25</v>
      </c>
      <c r="R351" s="94">
        <v>648.94000000000005</v>
      </c>
      <c r="S351" s="94">
        <v>668.61</v>
      </c>
      <c r="T351" s="94">
        <v>609.66</v>
      </c>
      <c r="U351" s="94">
        <v>634.80999999999995</v>
      </c>
    </row>
    <row r="352" spans="1:21">
      <c r="A352" s="91">
        <v>40812</v>
      </c>
      <c r="B352" s="86">
        <v>40812</v>
      </c>
      <c r="C352" s="93">
        <v>1.1499540018399299</v>
      </c>
      <c r="D352" s="85" t="s">
        <v>775</v>
      </c>
      <c r="F352" s="91">
        <v>40812</v>
      </c>
      <c r="G352">
        <v>627.91</v>
      </c>
      <c r="H352">
        <v>679.07</v>
      </c>
      <c r="I352" s="94">
        <v>656.16</v>
      </c>
      <c r="J352" s="94">
        <v>614.41</v>
      </c>
      <c r="K352" s="94">
        <v>722.72</v>
      </c>
      <c r="L352" s="94">
        <v>679.85</v>
      </c>
      <c r="M352" s="94">
        <v>656.14</v>
      </c>
      <c r="N352" s="94">
        <v>693.83</v>
      </c>
      <c r="O352" s="94">
        <v>673.08</v>
      </c>
      <c r="P352" s="94">
        <v>687.21</v>
      </c>
      <c r="Q352" s="94">
        <v>712.44</v>
      </c>
      <c r="R352" s="94">
        <v>676.67</v>
      </c>
      <c r="S352" s="94">
        <v>684.1</v>
      </c>
      <c r="T352" s="94">
        <v>616.82000000000005</v>
      </c>
      <c r="U352" s="94">
        <v>633.57000000000005</v>
      </c>
    </row>
    <row r="353" spans="1:21">
      <c r="A353" s="91">
        <v>40805</v>
      </c>
      <c r="B353" s="86">
        <v>40805</v>
      </c>
      <c r="C353" s="93">
        <v>1.1519410206197398</v>
      </c>
      <c r="D353" s="85" t="s">
        <v>776</v>
      </c>
      <c r="F353" s="91">
        <v>40805</v>
      </c>
      <c r="G353">
        <v>636.25</v>
      </c>
      <c r="H353">
        <v>722.71</v>
      </c>
      <c r="I353" s="94">
        <v>659.12</v>
      </c>
      <c r="J353" s="94">
        <v>652.22</v>
      </c>
      <c r="K353" s="94">
        <v>743.76</v>
      </c>
      <c r="L353" s="94">
        <v>685.54</v>
      </c>
      <c r="M353" s="94">
        <v>663.33</v>
      </c>
      <c r="N353" s="94">
        <v>699.46</v>
      </c>
      <c r="O353" s="94">
        <v>654.41</v>
      </c>
      <c r="P353" s="94">
        <v>687.21</v>
      </c>
      <c r="Q353" s="94">
        <v>713.62</v>
      </c>
      <c r="R353" s="94">
        <v>686.75</v>
      </c>
      <c r="S353" s="94">
        <v>703.51</v>
      </c>
      <c r="T353" s="94">
        <v>630.86</v>
      </c>
      <c r="U353" s="94">
        <v>632.24</v>
      </c>
    </row>
    <row r="354" spans="1:21">
      <c r="A354" s="91">
        <v>40798</v>
      </c>
      <c r="B354" s="86">
        <v>40798</v>
      </c>
      <c r="C354" s="93">
        <v>1.1625879207115</v>
      </c>
      <c r="D354" s="85" t="s">
        <v>777</v>
      </c>
      <c r="F354" s="91">
        <v>40798</v>
      </c>
      <c r="G354">
        <v>639.58000000000004</v>
      </c>
      <c r="H354">
        <v>681.39</v>
      </c>
      <c r="I354" s="94">
        <v>656.66</v>
      </c>
      <c r="J354" s="94">
        <v>652.22</v>
      </c>
      <c r="K354" s="94">
        <v>760.96</v>
      </c>
      <c r="L354" s="94">
        <v>675.79</v>
      </c>
      <c r="M354" s="94">
        <v>667.85</v>
      </c>
      <c r="N354" s="94">
        <v>696</v>
      </c>
      <c r="O354" s="94">
        <v>659.32</v>
      </c>
      <c r="P354" s="94">
        <v>687.21</v>
      </c>
      <c r="Q354" s="94">
        <v>712.17</v>
      </c>
      <c r="R354" s="94">
        <v>693.48</v>
      </c>
      <c r="S354" s="94">
        <v>706.97</v>
      </c>
      <c r="T354" s="94">
        <v>661.14</v>
      </c>
      <c r="U354" s="94">
        <v>634.21</v>
      </c>
    </row>
    <row r="355" spans="1:21">
      <c r="A355" s="91">
        <v>40791</v>
      </c>
      <c r="B355" s="86">
        <v>40791</v>
      </c>
      <c r="C355" s="93">
        <v>1.1427265455376499</v>
      </c>
      <c r="D355" s="85" t="s">
        <v>778</v>
      </c>
      <c r="F355" s="91">
        <v>40791</v>
      </c>
      <c r="G355">
        <v>628.75</v>
      </c>
      <c r="H355">
        <v>668.33</v>
      </c>
      <c r="I355" s="94">
        <v>638.85</v>
      </c>
      <c r="J355" s="94">
        <v>616.09</v>
      </c>
      <c r="K355" s="94">
        <v>757.55</v>
      </c>
      <c r="L355" s="94">
        <v>667.66</v>
      </c>
      <c r="M355" s="94">
        <v>650.54</v>
      </c>
      <c r="N355" s="94">
        <v>679.78</v>
      </c>
      <c r="O355" s="94">
        <v>651.29999999999995</v>
      </c>
      <c r="P355" s="94">
        <v>687.21</v>
      </c>
      <c r="Q355" s="94">
        <v>699.62</v>
      </c>
      <c r="R355" s="94">
        <v>673.31</v>
      </c>
      <c r="S355" s="94">
        <v>704.9</v>
      </c>
      <c r="T355" s="94">
        <v>657.76</v>
      </c>
      <c r="U355" s="94">
        <v>619.72</v>
      </c>
    </row>
    <row r="356" spans="1:21">
      <c r="A356" s="91">
        <v>40784</v>
      </c>
      <c r="B356" s="86">
        <v>40784</v>
      </c>
      <c r="C356" s="93">
        <v>1.1304544426859597</v>
      </c>
      <c r="D356" s="85" t="s">
        <v>779</v>
      </c>
      <c r="F356" s="91">
        <v>40784</v>
      </c>
      <c r="G356">
        <v>601.25</v>
      </c>
      <c r="H356">
        <v>658.25</v>
      </c>
      <c r="I356" s="94">
        <v>652.39</v>
      </c>
      <c r="J356" s="94">
        <v>604.32000000000005</v>
      </c>
      <c r="K356" s="94">
        <v>721.94</v>
      </c>
      <c r="L356" s="94">
        <v>661.15</v>
      </c>
      <c r="M356" s="94">
        <v>630.47</v>
      </c>
      <c r="N356" s="94">
        <v>672.97</v>
      </c>
      <c r="O356" s="94">
        <v>664.06</v>
      </c>
      <c r="P356" s="94">
        <v>668.2</v>
      </c>
      <c r="Q356" s="94">
        <v>693.39</v>
      </c>
      <c r="R356" s="94">
        <v>643.9</v>
      </c>
      <c r="S356" s="94">
        <v>675.5</v>
      </c>
      <c r="T356" s="94">
        <v>630.12</v>
      </c>
      <c r="U356" s="94">
        <v>610.24</v>
      </c>
    </row>
    <row r="357" spans="1:21">
      <c r="A357" s="91">
        <v>40777</v>
      </c>
      <c r="B357" s="86">
        <v>40777</v>
      </c>
      <c r="C357" s="93">
        <v>1.1446231328335099</v>
      </c>
      <c r="D357" s="85" t="s">
        <v>780</v>
      </c>
      <c r="F357" s="91">
        <v>40777</v>
      </c>
      <c r="G357">
        <v>600.41</v>
      </c>
      <c r="H357">
        <v>654.78</v>
      </c>
      <c r="I357" s="94">
        <v>648.11</v>
      </c>
      <c r="J357" s="94">
        <v>594.24</v>
      </c>
      <c r="K357" s="94">
        <v>707.13</v>
      </c>
      <c r="L357" s="94">
        <v>667.66</v>
      </c>
      <c r="M357" s="94">
        <v>630.29999999999995</v>
      </c>
      <c r="N357" s="94">
        <v>674.63</v>
      </c>
      <c r="O357" s="94">
        <v>663.73</v>
      </c>
      <c r="P357" s="94">
        <v>668.2</v>
      </c>
      <c r="Q357" s="94">
        <v>694.17</v>
      </c>
      <c r="R357" s="94">
        <v>632.97</v>
      </c>
      <c r="S357" s="94">
        <v>668.61</v>
      </c>
      <c r="T357" s="94">
        <v>619.66999999999996</v>
      </c>
      <c r="U357" s="94">
        <v>620.17999999999995</v>
      </c>
    </row>
    <row r="358" spans="1:21">
      <c r="A358" s="91">
        <v>40763</v>
      </c>
      <c r="B358" s="86">
        <v>40763</v>
      </c>
      <c r="C358" s="93">
        <v>1.15061557933494</v>
      </c>
      <c r="D358" s="85" t="s">
        <v>487</v>
      </c>
      <c r="F358" s="91">
        <v>40763</v>
      </c>
      <c r="G358">
        <v>622.91</v>
      </c>
      <c r="H358">
        <v>700.73</v>
      </c>
      <c r="I358" s="94">
        <v>678.21</v>
      </c>
      <c r="J358" s="94">
        <v>594.24</v>
      </c>
      <c r="K358" s="94">
        <v>727.44</v>
      </c>
      <c r="L358" s="94">
        <v>687.98</v>
      </c>
      <c r="M358" s="94">
        <v>661.24</v>
      </c>
      <c r="N358" s="94">
        <v>705.85</v>
      </c>
      <c r="O358" s="94">
        <v>685.74</v>
      </c>
      <c r="P358" s="94">
        <v>668.2</v>
      </c>
      <c r="Q358" s="94">
        <v>714.08</v>
      </c>
      <c r="R358" s="94">
        <v>667.43</v>
      </c>
      <c r="S358" s="94">
        <v>691.24</v>
      </c>
      <c r="T358" s="94">
        <v>609.59</v>
      </c>
      <c r="U358" s="94">
        <v>641.70000000000005</v>
      </c>
    </row>
    <row r="359" spans="1:21">
      <c r="A359" s="91">
        <v>40756</v>
      </c>
      <c r="B359" s="86">
        <v>40756</v>
      </c>
      <c r="C359" s="93">
        <v>1.13694502870786</v>
      </c>
      <c r="D359" s="85" t="s">
        <v>781</v>
      </c>
      <c r="F359" s="91">
        <v>40756</v>
      </c>
      <c r="G359">
        <v>619.58000000000004</v>
      </c>
      <c r="H359">
        <v>744.28</v>
      </c>
      <c r="I359" s="94">
        <v>683.91</v>
      </c>
      <c r="J359" s="94">
        <v>645.5</v>
      </c>
      <c r="K359" s="94">
        <v>752.07</v>
      </c>
      <c r="L359" s="94">
        <v>691.23</v>
      </c>
      <c r="M359" s="94">
        <v>659.82</v>
      </c>
      <c r="N359" s="94">
        <v>709.78</v>
      </c>
      <c r="O359" s="94">
        <v>700.72</v>
      </c>
      <c r="P359" s="94">
        <v>668.2</v>
      </c>
      <c r="Q359" s="94">
        <v>718.07</v>
      </c>
      <c r="R359" s="94">
        <v>680.03</v>
      </c>
      <c r="S359" s="94">
        <v>705.13</v>
      </c>
      <c r="T359" s="94">
        <v>646.61</v>
      </c>
      <c r="U359" s="94">
        <v>630.30999999999995</v>
      </c>
    </row>
    <row r="360" spans="1:21">
      <c r="A360" s="91">
        <v>40749</v>
      </c>
      <c r="B360" s="86">
        <v>40749</v>
      </c>
      <c r="C360" s="93">
        <v>1.1331444759206799</v>
      </c>
      <c r="D360" s="85" t="s">
        <v>782</v>
      </c>
      <c r="F360" s="91">
        <v>40749</v>
      </c>
      <c r="G360">
        <v>634.58000000000004</v>
      </c>
      <c r="H360">
        <v>698.25</v>
      </c>
      <c r="I360" s="94">
        <v>679.67</v>
      </c>
      <c r="J360" s="94">
        <v>634.58000000000004</v>
      </c>
      <c r="K360" s="94">
        <v>760.32</v>
      </c>
      <c r="L360" s="94">
        <v>692.05</v>
      </c>
      <c r="M360" s="94">
        <v>669.1</v>
      </c>
      <c r="N360" s="94">
        <v>706.4</v>
      </c>
      <c r="O360" s="94">
        <v>689.61</v>
      </c>
      <c r="P360" s="94">
        <v>668.2</v>
      </c>
      <c r="Q360" s="94">
        <v>712</v>
      </c>
      <c r="R360" s="94">
        <v>686.75</v>
      </c>
      <c r="S360" s="94">
        <v>706.55</v>
      </c>
      <c r="T360" s="94">
        <v>648.20000000000005</v>
      </c>
      <c r="U360" s="94">
        <v>624.37</v>
      </c>
    </row>
    <row r="361" spans="1:21">
      <c r="A361" s="91">
        <v>40742</v>
      </c>
      <c r="B361" s="86">
        <v>40742</v>
      </c>
      <c r="C361" s="93">
        <v>1.14527858901678</v>
      </c>
      <c r="D361" s="85" t="s">
        <v>783</v>
      </c>
      <c r="F361" s="91">
        <v>40742</v>
      </c>
      <c r="G361">
        <v>628.75</v>
      </c>
      <c r="H361">
        <v>687.34</v>
      </c>
      <c r="I361" s="94">
        <v>658.85</v>
      </c>
      <c r="J361" s="94">
        <v>635.41999999999996</v>
      </c>
      <c r="K361" s="94">
        <v>755.7</v>
      </c>
      <c r="L361" s="94">
        <v>685.54</v>
      </c>
      <c r="M361" s="94">
        <v>658.15</v>
      </c>
      <c r="N361" s="94">
        <v>691.81</v>
      </c>
      <c r="O361" s="94">
        <v>650.54</v>
      </c>
      <c r="P361" s="94">
        <v>688.87</v>
      </c>
      <c r="Q361" s="94">
        <v>711.63</v>
      </c>
      <c r="R361" s="94">
        <v>683.39</v>
      </c>
      <c r="S361" s="94">
        <v>707</v>
      </c>
      <c r="T361" s="94">
        <v>655.33000000000004</v>
      </c>
      <c r="U361" s="94">
        <v>624.49</v>
      </c>
    </row>
    <row r="362" spans="1:21">
      <c r="A362" s="91">
        <v>40735</v>
      </c>
      <c r="B362" s="86">
        <v>40735</v>
      </c>
      <c r="C362" s="93">
        <v>1.13546042920404</v>
      </c>
      <c r="D362" s="85" t="s">
        <v>784</v>
      </c>
      <c r="F362" s="91">
        <v>40735</v>
      </c>
      <c r="G362">
        <v>614.58000000000004</v>
      </c>
      <c r="H362">
        <v>650.07000000000005</v>
      </c>
      <c r="I362" s="94">
        <v>656.64</v>
      </c>
      <c r="J362" s="94">
        <v>612.73</v>
      </c>
      <c r="K362" s="94">
        <v>744.8</v>
      </c>
      <c r="L362" s="94">
        <v>666.84</v>
      </c>
      <c r="M362" s="94">
        <v>630.14</v>
      </c>
      <c r="N362" s="94">
        <v>667.09</v>
      </c>
      <c r="O362" s="94">
        <v>651.76</v>
      </c>
      <c r="P362" s="94">
        <v>702.92</v>
      </c>
      <c r="Q362" s="94">
        <v>701.08</v>
      </c>
      <c r="R362" s="94">
        <v>661.54</v>
      </c>
      <c r="S362" s="94">
        <v>686.84</v>
      </c>
      <c r="T362" s="94">
        <v>634.98</v>
      </c>
      <c r="U362" s="94">
        <v>611.58000000000004</v>
      </c>
    </row>
    <row r="363" spans="1:21">
      <c r="A363" s="91">
        <v>40728</v>
      </c>
      <c r="B363" s="86">
        <v>40728</v>
      </c>
      <c r="C363" s="93">
        <v>1.10926234054354</v>
      </c>
      <c r="D363" s="85" t="s">
        <v>785</v>
      </c>
      <c r="F363" s="91">
        <v>40728</v>
      </c>
      <c r="G363">
        <v>596.25</v>
      </c>
      <c r="H363">
        <v>618.33000000000004</v>
      </c>
      <c r="I363" s="94">
        <v>664.28</v>
      </c>
      <c r="J363" s="94">
        <v>589.20000000000005</v>
      </c>
      <c r="K363" s="94">
        <v>712.52</v>
      </c>
      <c r="L363" s="94">
        <v>667.66</v>
      </c>
      <c r="M363" s="94">
        <v>612.08000000000004</v>
      </c>
      <c r="N363" s="94">
        <v>660.99</v>
      </c>
      <c r="O363" s="94">
        <v>657.28</v>
      </c>
      <c r="P363" s="94">
        <v>702.92</v>
      </c>
      <c r="Q363" s="94">
        <v>683.16</v>
      </c>
      <c r="R363" s="94">
        <v>637.16999999999996</v>
      </c>
      <c r="S363" s="94">
        <v>667.52</v>
      </c>
      <c r="T363" s="94">
        <v>609.28</v>
      </c>
      <c r="U363" s="94">
        <v>590.57000000000005</v>
      </c>
    </row>
    <row r="364" spans="1:21">
      <c r="A364" s="91">
        <v>40721</v>
      </c>
      <c r="B364" s="86">
        <v>40721</v>
      </c>
      <c r="C364" s="93">
        <v>1.12397437338429</v>
      </c>
      <c r="D364" s="85" t="s">
        <v>786</v>
      </c>
      <c r="F364" s="91">
        <v>40721</v>
      </c>
      <c r="G364">
        <v>600.41</v>
      </c>
      <c r="H364">
        <v>672.38</v>
      </c>
      <c r="I364" s="94">
        <v>659.83</v>
      </c>
      <c r="J364" s="94">
        <v>588.36</v>
      </c>
      <c r="K364" s="94">
        <v>703</v>
      </c>
      <c r="L364" s="94">
        <v>674.16</v>
      </c>
      <c r="M364" s="94">
        <v>628.21</v>
      </c>
      <c r="N364" s="94">
        <v>672.35</v>
      </c>
      <c r="O364" s="94">
        <v>661.52</v>
      </c>
      <c r="P364" s="94">
        <v>702.92</v>
      </c>
      <c r="Q364" s="94">
        <v>684.4</v>
      </c>
      <c r="R364" s="94">
        <v>640.54</v>
      </c>
      <c r="S364" s="94">
        <v>663.79</v>
      </c>
      <c r="T364" s="94">
        <v>590.02</v>
      </c>
      <c r="U364" s="94">
        <v>611.85</v>
      </c>
    </row>
    <row r="365" spans="1:21">
      <c r="A365" s="91">
        <v>40714</v>
      </c>
      <c r="B365" s="86">
        <v>40714</v>
      </c>
      <c r="C365" s="93">
        <v>1.1370096645821499</v>
      </c>
      <c r="D365" s="85" t="s">
        <v>787</v>
      </c>
      <c r="F365" s="91">
        <v>40714</v>
      </c>
      <c r="G365">
        <v>619.58000000000004</v>
      </c>
      <c r="H365">
        <v>664.28</v>
      </c>
      <c r="I365" s="94">
        <v>670.4</v>
      </c>
      <c r="J365" s="94">
        <v>639.62</v>
      </c>
      <c r="K365" s="94">
        <v>730.76</v>
      </c>
      <c r="L365" s="94">
        <v>683.1</v>
      </c>
      <c r="M365" s="94">
        <v>645.69000000000005</v>
      </c>
      <c r="N365" s="94">
        <v>674.48</v>
      </c>
      <c r="O365" s="94">
        <v>655.22</v>
      </c>
      <c r="P365" s="94">
        <v>702.92</v>
      </c>
      <c r="Q365" s="94">
        <v>703.17</v>
      </c>
      <c r="R365" s="94">
        <v>657.34</v>
      </c>
      <c r="S365" s="94">
        <v>678.77</v>
      </c>
      <c r="T365" s="94">
        <v>617.61</v>
      </c>
      <c r="U365" s="94">
        <v>629.96</v>
      </c>
    </row>
    <row r="366" spans="1:21">
      <c r="A366" s="91">
        <v>40707</v>
      </c>
      <c r="B366" s="86">
        <v>40707</v>
      </c>
      <c r="C366" s="93">
        <v>1.1355893708834899</v>
      </c>
      <c r="D366" s="85" t="s">
        <v>788</v>
      </c>
      <c r="F366" s="91">
        <v>40707</v>
      </c>
      <c r="G366">
        <v>621.25</v>
      </c>
      <c r="H366">
        <v>680.73</v>
      </c>
      <c r="I366" s="94">
        <v>673.45</v>
      </c>
      <c r="J366" s="94">
        <v>626.16999999999996</v>
      </c>
      <c r="K366" s="94">
        <v>734.04</v>
      </c>
      <c r="L366" s="94">
        <v>677.41</v>
      </c>
      <c r="M366" s="94">
        <v>642.76</v>
      </c>
      <c r="N366" s="94">
        <v>677.97</v>
      </c>
      <c r="O366" s="94">
        <v>680.52</v>
      </c>
      <c r="P366" s="94">
        <v>702.92</v>
      </c>
      <c r="Q366" s="94">
        <v>704.19</v>
      </c>
      <c r="R366" s="94">
        <v>661.54</v>
      </c>
      <c r="S366" s="94">
        <v>674.84</v>
      </c>
      <c r="T366" s="94">
        <v>629.52</v>
      </c>
      <c r="U366" s="94">
        <v>627.55999999999995</v>
      </c>
    </row>
    <row r="367" spans="1:21">
      <c r="A367" s="91">
        <v>40700</v>
      </c>
      <c r="B367" s="86">
        <v>40700</v>
      </c>
      <c r="C367" s="93">
        <v>1.1232168931820701</v>
      </c>
      <c r="D367" s="85" t="s">
        <v>789</v>
      </c>
      <c r="F367" s="91">
        <v>40700</v>
      </c>
      <c r="G367">
        <v>621.25</v>
      </c>
      <c r="H367">
        <v>680.73</v>
      </c>
      <c r="I367" s="94">
        <v>672.08</v>
      </c>
      <c r="J367" s="94">
        <v>635.41999999999996</v>
      </c>
      <c r="K367" s="94">
        <v>728.98</v>
      </c>
      <c r="L367" s="94">
        <v>682.29</v>
      </c>
      <c r="M367" s="94">
        <v>656.89</v>
      </c>
      <c r="N367" s="94">
        <v>689.75</v>
      </c>
      <c r="O367" s="94">
        <v>693.04</v>
      </c>
      <c r="P367" s="94">
        <v>702.92</v>
      </c>
      <c r="Q367" s="94">
        <v>708.12</v>
      </c>
      <c r="R367" s="94">
        <v>680.03</v>
      </c>
      <c r="S367" s="94">
        <v>679.7</v>
      </c>
      <c r="T367" s="94">
        <v>656.26</v>
      </c>
      <c r="U367" s="94">
        <v>618.47</v>
      </c>
    </row>
    <row r="368" spans="1:21">
      <c r="A368" s="91">
        <v>40693</v>
      </c>
      <c r="B368" s="86">
        <v>40693</v>
      </c>
      <c r="C368" s="93">
        <v>1.1532695190866098</v>
      </c>
      <c r="D368" s="85" t="s">
        <v>790</v>
      </c>
      <c r="F368" s="91">
        <v>40693</v>
      </c>
      <c r="G368">
        <v>626.25</v>
      </c>
      <c r="H368">
        <v>648.99</v>
      </c>
      <c r="I368" s="94">
        <v>664.38</v>
      </c>
      <c r="J368" s="94">
        <v>620.29</v>
      </c>
      <c r="K368" s="94">
        <v>743.96</v>
      </c>
      <c r="L368" s="94">
        <v>679.04</v>
      </c>
      <c r="M368" s="94">
        <v>656.06</v>
      </c>
      <c r="N368" s="94">
        <v>682.31</v>
      </c>
      <c r="O368" s="94">
        <v>669.99</v>
      </c>
      <c r="P368" s="94">
        <v>702.92</v>
      </c>
      <c r="Q368" s="94">
        <v>709.8</v>
      </c>
      <c r="R368" s="94">
        <v>680.87</v>
      </c>
      <c r="S368" s="94">
        <v>700.28</v>
      </c>
      <c r="T368" s="94">
        <v>646.02</v>
      </c>
      <c r="U368" s="94">
        <v>634.55999999999995</v>
      </c>
    </row>
    <row r="369" spans="1:21">
      <c r="A369" s="91">
        <v>40686</v>
      </c>
      <c r="B369" s="86">
        <v>40686</v>
      </c>
      <c r="C369" s="93">
        <v>1.1497556769186499</v>
      </c>
      <c r="D369" s="85" t="s">
        <v>791</v>
      </c>
      <c r="F369" s="91">
        <v>40686</v>
      </c>
      <c r="G369">
        <v>623.75</v>
      </c>
      <c r="H369">
        <v>683.12</v>
      </c>
      <c r="I369" s="94">
        <v>670.74</v>
      </c>
      <c r="J369" s="94">
        <v>664.83</v>
      </c>
      <c r="K369" s="94">
        <v>725.71</v>
      </c>
      <c r="L369" s="94">
        <v>687.17</v>
      </c>
      <c r="M369" s="94">
        <v>655.89</v>
      </c>
      <c r="N369" s="94">
        <v>689.22</v>
      </c>
      <c r="O369" s="94">
        <v>676.61</v>
      </c>
      <c r="P369" s="94">
        <v>679.78</v>
      </c>
      <c r="Q369" s="94">
        <v>710.63</v>
      </c>
      <c r="R369" s="94">
        <v>681.71</v>
      </c>
      <c r="S369" s="94">
        <v>680.67</v>
      </c>
      <c r="T369" s="94">
        <v>635.29999999999995</v>
      </c>
      <c r="U369" s="94">
        <v>637.85</v>
      </c>
    </row>
    <row r="370" spans="1:21">
      <c r="A370" s="91">
        <v>40679</v>
      </c>
      <c r="B370" s="86">
        <v>40679</v>
      </c>
      <c r="C370" s="93">
        <v>1.1461318051575899</v>
      </c>
      <c r="D370" s="85" t="s">
        <v>792</v>
      </c>
      <c r="F370" s="91">
        <v>40679</v>
      </c>
      <c r="G370">
        <v>646.25</v>
      </c>
      <c r="H370">
        <v>697.26</v>
      </c>
      <c r="I370" s="94">
        <v>677.87</v>
      </c>
      <c r="J370" s="94">
        <v>645.5</v>
      </c>
      <c r="K370" s="94">
        <v>748.22</v>
      </c>
      <c r="L370" s="94">
        <v>691.23</v>
      </c>
      <c r="M370" s="94">
        <v>676.79</v>
      </c>
      <c r="N370" s="94">
        <v>703.3</v>
      </c>
      <c r="O370" s="94">
        <v>687.67</v>
      </c>
      <c r="P370" s="94">
        <v>679.78</v>
      </c>
      <c r="Q370" s="94">
        <v>721.04</v>
      </c>
      <c r="R370" s="94">
        <v>696</v>
      </c>
      <c r="S370" s="94">
        <v>697.29</v>
      </c>
      <c r="T370" s="94">
        <v>655.34</v>
      </c>
      <c r="U370" s="94">
        <v>638.58000000000004</v>
      </c>
    </row>
    <row r="371" spans="1:21">
      <c r="A371" s="91">
        <v>40672</v>
      </c>
      <c r="B371" s="86">
        <v>40672</v>
      </c>
      <c r="C371" s="93">
        <v>1.13733295422235</v>
      </c>
      <c r="D371" s="85" t="s">
        <v>793</v>
      </c>
      <c r="F371" s="91">
        <v>40672</v>
      </c>
      <c r="G371">
        <v>644.58000000000004</v>
      </c>
      <c r="H371">
        <v>730.89</v>
      </c>
      <c r="I371" s="94">
        <v>687.25</v>
      </c>
      <c r="J371" s="94">
        <v>647.17999999999995</v>
      </c>
      <c r="K371" s="94">
        <v>750.3</v>
      </c>
      <c r="L371" s="94">
        <v>703.43</v>
      </c>
      <c r="M371" s="94">
        <v>684.32</v>
      </c>
      <c r="N371" s="94">
        <v>712.17</v>
      </c>
      <c r="O371" s="94">
        <v>714.71</v>
      </c>
      <c r="P371" s="94">
        <v>679.78</v>
      </c>
      <c r="Q371" s="94">
        <v>725.4</v>
      </c>
      <c r="R371" s="94">
        <v>688.44</v>
      </c>
      <c r="S371" s="94">
        <v>698.6</v>
      </c>
      <c r="T371" s="94">
        <v>675.35</v>
      </c>
      <c r="U371" s="94">
        <v>639.87</v>
      </c>
    </row>
    <row r="372" spans="1:21">
      <c r="A372" s="91">
        <v>40665</v>
      </c>
      <c r="B372" s="86">
        <v>40665</v>
      </c>
      <c r="C372" s="93">
        <v>1.12460638776428</v>
      </c>
      <c r="D372" s="85" t="s">
        <v>794</v>
      </c>
      <c r="F372" s="91">
        <v>40665</v>
      </c>
      <c r="G372">
        <v>648.75</v>
      </c>
      <c r="H372">
        <v>714.2</v>
      </c>
      <c r="I372" s="94">
        <v>688.07</v>
      </c>
      <c r="J372" s="94">
        <v>713.57</v>
      </c>
      <c r="K372" s="94">
        <v>780.3</v>
      </c>
      <c r="L372" s="94">
        <v>695.3</v>
      </c>
      <c r="M372" s="94">
        <v>682.39</v>
      </c>
      <c r="N372" s="94">
        <v>711.11</v>
      </c>
      <c r="O372" s="94">
        <v>704.11</v>
      </c>
      <c r="P372" s="94">
        <v>679.78</v>
      </c>
      <c r="Q372" s="94">
        <v>722.42</v>
      </c>
      <c r="R372" s="94">
        <v>703.56</v>
      </c>
      <c r="S372" s="94">
        <v>728.18</v>
      </c>
      <c r="T372" s="94">
        <v>692.75</v>
      </c>
      <c r="U372" s="94">
        <v>625.6</v>
      </c>
    </row>
    <row r="373" spans="1:21">
      <c r="A373" s="91">
        <v>40651</v>
      </c>
      <c r="B373" s="86">
        <v>40651</v>
      </c>
      <c r="C373" s="93">
        <v>1.1396011396011398</v>
      </c>
      <c r="D373" s="85" t="s">
        <v>795</v>
      </c>
      <c r="F373" s="91">
        <v>40651</v>
      </c>
      <c r="G373">
        <v>634.58000000000004</v>
      </c>
      <c r="H373">
        <v>729.07</v>
      </c>
      <c r="I373" s="94">
        <v>682.85</v>
      </c>
      <c r="J373" s="94">
        <v>748.02</v>
      </c>
      <c r="K373" s="94">
        <v>765.19</v>
      </c>
      <c r="L373" s="94">
        <v>685.54</v>
      </c>
      <c r="M373" s="94">
        <v>675.2</v>
      </c>
      <c r="N373" s="94">
        <v>703.26</v>
      </c>
      <c r="O373" s="94">
        <v>686.45</v>
      </c>
      <c r="P373" s="94">
        <v>669.03</v>
      </c>
      <c r="Q373" s="94">
        <v>724.37</v>
      </c>
      <c r="R373" s="94">
        <v>700.2</v>
      </c>
      <c r="S373" s="94">
        <v>713.03</v>
      </c>
      <c r="T373" s="94">
        <v>674.19</v>
      </c>
      <c r="U373" s="94">
        <v>622.23</v>
      </c>
    </row>
    <row r="374" spans="1:21">
      <c r="A374" s="91">
        <v>40644</v>
      </c>
      <c r="B374" s="86">
        <v>40644</v>
      </c>
      <c r="C374" s="93">
        <v>1.1317338162064299</v>
      </c>
      <c r="D374" s="85" t="s">
        <v>796</v>
      </c>
      <c r="F374" s="91">
        <v>40644</v>
      </c>
      <c r="G374">
        <v>632.08000000000004</v>
      </c>
      <c r="H374">
        <v>691.14</v>
      </c>
      <c r="I374" s="94">
        <v>662.64</v>
      </c>
      <c r="J374" s="94">
        <v>745.5</v>
      </c>
      <c r="K374" s="94">
        <v>757.77</v>
      </c>
      <c r="L374" s="94">
        <v>679.04</v>
      </c>
      <c r="M374" s="94">
        <v>668.6</v>
      </c>
      <c r="N374" s="94">
        <v>691.16</v>
      </c>
      <c r="O374" s="94">
        <v>691.93</v>
      </c>
      <c r="P374" s="94">
        <v>669.03</v>
      </c>
      <c r="Q374" s="94">
        <v>720.26</v>
      </c>
      <c r="R374" s="94">
        <v>692.64</v>
      </c>
      <c r="S374" s="94">
        <v>705.03</v>
      </c>
      <c r="T374" s="94">
        <v>659.53</v>
      </c>
      <c r="U374" s="94">
        <v>604.92999999999995</v>
      </c>
    </row>
    <row r="375" spans="1:21">
      <c r="A375" s="91">
        <v>40637</v>
      </c>
      <c r="B375" s="86">
        <v>40637</v>
      </c>
      <c r="C375" s="93">
        <v>1.13513820307622</v>
      </c>
      <c r="D375" s="85" t="s">
        <v>677</v>
      </c>
      <c r="F375" s="91">
        <v>40637</v>
      </c>
      <c r="G375">
        <v>609.58000000000004</v>
      </c>
      <c r="H375">
        <v>673.62</v>
      </c>
      <c r="I375" s="94">
        <v>639.36</v>
      </c>
      <c r="J375" s="94">
        <v>725.33</v>
      </c>
      <c r="K375" s="94">
        <v>744.97</v>
      </c>
      <c r="L375" s="94">
        <v>666.84</v>
      </c>
      <c r="M375" s="94">
        <v>681.06</v>
      </c>
      <c r="N375" s="94">
        <v>677.57</v>
      </c>
      <c r="O375" s="94">
        <v>676.35</v>
      </c>
      <c r="P375" s="94">
        <v>669.03</v>
      </c>
      <c r="Q375" s="94">
        <v>705.17</v>
      </c>
      <c r="R375" s="94">
        <v>664.91</v>
      </c>
      <c r="S375" s="94">
        <v>690.21</v>
      </c>
      <c r="T375" s="94">
        <v>652.42999999999995</v>
      </c>
      <c r="U375" s="94">
        <v>598.47</v>
      </c>
    </row>
    <row r="376" spans="1:21">
      <c r="A376" s="91">
        <v>40630</v>
      </c>
      <c r="B376" s="86">
        <v>40630</v>
      </c>
      <c r="C376" s="93">
        <v>1.13862795331625</v>
      </c>
      <c r="D376" s="85" t="s">
        <v>797</v>
      </c>
      <c r="F376" s="91">
        <v>40630</v>
      </c>
      <c r="G376">
        <v>601.58000000000004</v>
      </c>
      <c r="H376">
        <v>637.83000000000004</v>
      </c>
      <c r="I376" s="94">
        <v>636.94000000000005</v>
      </c>
      <c r="J376" s="94">
        <v>703.48</v>
      </c>
      <c r="K376" s="94">
        <v>730.95</v>
      </c>
      <c r="L376" s="94">
        <v>661.15</v>
      </c>
      <c r="M376" s="94">
        <v>644.77</v>
      </c>
      <c r="N376" s="94">
        <v>665.62</v>
      </c>
      <c r="O376" s="94">
        <v>666.01</v>
      </c>
      <c r="P376" s="94">
        <v>631.01</v>
      </c>
      <c r="Q376" s="94">
        <v>703.8</v>
      </c>
      <c r="R376" s="94">
        <v>638.86</v>
      </c>
      <c r="S376" s="94">
        <v>684.94</v>
      </c>
      <c r="T376" s="94">
        <v>644.61</v>
      </c>
      <c r="U376" s="94">
        <v>596.79999999999995</v>
      </c>
    </row>
    <row r="377" spans="1:21">
      <c r="A377" s="91">
        <v>40623</v>
      </c>
      <c r="B377" s="86">
        <v>40623</v>
      </c>
      <c r="C377" s="93">
        <v>1.1471836641046198</v>
      </c>
      <c r="D377" s="85" t="s">
        <v>798</v>
      </c>
      <c r="F377" s="91">
        <v>40623</v>
      </c>
      <c r="G377">
        <v>593.24</v>
      </c>
      <c r="H377">
        <v>646.1</v>
      </c>
      <c r="I377" s="94">
        <v>642.34</v>
      </c>
      <c r="J377" s="94">
        <v>684.16</v>
      </c>
      <c r="K377" s="94">
        <v>712.74</v>
      </c>
      <c r="L377" s="94">
        <v>666.84</v>
      </c>
      <c r="M377" s="94">
        <v>640.59</v>
      </c>
      <c r="N377" s="94">
        <v>677.33</v>
      </c>
      <c r="O377" s="94">
        <v>656.78</v>
      </c>
      <c r="P377" s="94">
        <v>631.01</v>
      </c>
      <c r="Q377" s="94">
        <v>708.62</v>
      </c>
      <c r="R377" s="94">
        <v>634.65</v>
      </c>
      <c r="S377" s="94">
        <v>663.32</v>
      </c>
      <c r="T377" s="94">
        <v>600.41</v>
      </c>
      <c r="U377" s="94">
        <v>596.24</v>
      </c>
    </row>
    <row r="378" spans="1:21">
      <c r="A378" s="91">
        <v>40616</v>
      </c>
      <c r="B378" s="86">
        <v>40616</v>
      </c>
      <c r="C378" s="93">
        <v>1.1548677676406098</v>
      </c>
      <c r="D378" s="85" t="s">
        <v>799</v>
      </c>
      <c r="F378" s="91">
        <v>40616</v>
      </c>
      <c r="G378">
        <v>609.08000000000004</v>
      </c>
      <c r="H378">
        <v>713.04</v>
      </c>
      <c r="I378" s="94">
        <v>645.99</v>
      </c>
      <c r="J378" s="94">
        <v>712.73</v>
      </c>
      <c r="K378" s="94">
        <v>735.14</v>
      </c>
      <c r="L378" s="94">
        <v>673.35</v>
      </c>
      <c r="M378" s="94">
        <v>658.15</v>
      </c>
      <c r="N378" s="94">
        <v>678.47</v>
      </c>
      <c r="O378" s="94">
        <v>652.62</v>
      </c>
      <c r="P378" s="94">
        <v>631.01</v>
      </c>
      <c r="Q378" s="94">
        <v>712.23</v>
      </c>
      <c r="R378" s="94">
        <v>660.7</v>
      </c>
      <c r="S378" s="94">
        <v>679.84</v>
      </c>
      <c r="T378" s="94">
        <v>640.69000000000005</v>
      </c>
      <c r="U378" s="94">
        <v>591.26</v>
      </c>
    </row>
    <row r="379" spans="1:21">
      <c r="A379" s="91">
        <v>40609</v>
      </c>
      <c r="B379" s="86">
        <v>40609</v>
      </c>
      <c r="C379" s="93">
        <v>1.16144018583043</v>
      </c>
      <c r="D379" s="85" t="s">
        <v>800</v>
      </c>
      <c r="F379" s="91">
        <v>40609</v>
      </c>
      <c r="G379">
        <v>603.24</v>
      </c>
      <c r="H379">
        <v>638.66</v>
      </c>
      <c r="I379" s="94">
        <v>646.1</v>
      </c>
      <c r="J379" s="94">
        <v>615.25</v>
      </c>
      <c r="K379" s="94">
        <v>733.12</v>
      </c>
      <c r="L379" s="94">
        <v>673.35</v>
      </c>
      <c r="M379" s="94">
        <v>648.78</v>
      </c>
      <c r="N379" s="94">
        <v>666.43</v>
      </c>
      <c r="O379" s="94">
        <v>641.70000000000005</v>
      </c>
      <c r="P379" s="94">
        <v>631.01</v>
      </c>
      <c r="Q379" s="94">
        <v>706.72</v>
      </c>
      <c r="R379" s="94">
        <v>659.86</v>
      </c>
      <c r="S379" s="94">
        <v>677.48</v>
      </c>
      <c r="T379" s="94">
        <v>633.65</v>
      </c>
      <c r="U379" s="94">
        <v>585.97</v>
      </c>
    </row>
    <row r="380" spans="1:21">
      <c r="A380" s="91">
        <v>40602</v>
      </c>
      <c r="B380" s="86">
        <v>40602</v>
      </c>
      <c r="C380" s="93">
        <v>1.17260787992495</v>
      </c>
      <c r="D380" s="85" t="s">
        <v>801</v>
      </c>
      <c r="F380" s="91">
        <v>40602</v>
      </c>
      <c r="G380">
        <v>583.24</v>
      </c>
      <c r="H380">
        <v>639.32000000000005</v>
      </c>
      <c r="I380" s="94">
        <v>625.04</v>
      </c>
      <c r="J380" s="94">
        <v>600.96</v>
      </c>
      <c r="K380" s="94">
        <v>713.88</v>
      </c>
      <c r="L380" s="94">
        <v>637.58000000000004</v>
      </c>
      <c r="M380" s="94">
        <v>636.07000000000005</v>
      </c>
      <c r="N380" s="94">
        <v>647.91</v>
      </c>
      <c r="O380" s="94">
        <v>629.11</v>
      </c>
      <c r="P380" s="94">
        <v>631.01</v>
      </c>
      <c r="Q380" s="94">
        <v>692.64</v>
      </c>
      <c r="R380" s="94">
        <v>648.1</v>
      </c>
      <c r="S380" s="94">
        <v>666.61</v>
      </c>
      <c r="T380" s="94">
        <v>629.41999999999996</v>
      </c>
      <c r="U380" s="94">
        <v>576.38</v>
      </c>
    </row>
    <row r="381" spans="1:21">
      <c r="A381" s="91">
        <v>40595</v>
      </c>
      <c r="B381" s="86">
        <v>40595</v>
      </c>
      <c r="C381" s="93">
        <v>1.1869436201780399</v>
      </c>
      <c r="D381" s="85" t="s">
        <v>802</v>
      </c>
      <c r="F381" s="91">
        <v>40595</v>
      </c>
      <c r="G381">
        <v>557.41</v>
      </c>
      <c r="H381">
        <v>616.35</v>
      </c>
      <c r="I381" s="94">
        <v>607.91</v>
      </c>
      <c r="J381" s="94">
        <v>567.35</v>
      </c>
      <c r="K381" s="94">
        <v>681.8</v>
      </c>
      <c r="L381" s="94">
        <v>629.45000000000005</v>
      </c>
      <c r="M381" s="94">
        <v>613.41</v>
      </c>
      <c r="N381" s="94">
        <v>634.41999999999996</v>
      </c>
      <c r="O381" s="94">
        <v>613.95000000000005</v>
      </c>
      <c r="P381" s="94">
        <v>614.49</v>
      </c>
      <c r="Q381" s="94">
        <v>664.87</v>
      </c>
      <c r="R381" s="94">
        <v>623.73</v>
      </c>
      <c r="S381" s="94">
        <v>647.96</v>
      </c>
      <c r="T381" s="94">
        <v>587.08000000000004</v>
      </c>
      <c r="U381" s="94">
        <v>575.45000000000005</v>
      </c>
    </row>
    <row r="382" spans="1:21">
      <c r="A382" s="91">
        <v>40588</v>
      </c>
      <c r="B382" s="86">
        <v>40588</v>
      </c>
      <c r="C382" s="93">
        <v>1.1904761904761898</v>
      </c>
      <c r="D382" s="85" t="s">
        <v>803</v>
      </c>
      <c r="F382" s="91">
        <v>40588</v>
      </c>
      <c r="G382">
        <v>554.91</v>
      </c>
      <c r="H382">
        <v>625.11</v>
      </c>
      <c r="I382" s="94">
        <v>616.57000000000005</v>
      </c>
      <c r="J382" s="94">
        <v>577.42999999999995</v>
      </c>
      <c r="K382" s="94">
        <v>663.42</v>
      </c>
      <c r="L382" s="94">
        <v>619.69000000000005</v>
      </c>
      <c r="M382" s="94">
        <v>607.55999999999995</v>
      </c>
      <c r="N382" s="94">
        <v>627.39</v>
      </c>
      <c r="O382" s="94">
        <v>615.03</v>
      </c>
      <c r="P382" s="94">
        <v>614.49</v>
      </c>
      <c r="Q382" s="94">
        <v>657.71</v>
      </c>
      <c r="R382" s="94">
        <v>610.28</v>
      </c>
      <c r="S382" s="94">
        <v>634.66999999999996</v>
      </c>
      <c r="T382" s="94">
        <v>587.47</v>
      </c>
      <c r="U382" s="94">
        <v>575.25</v>
      </c>
    </row>
    <row r="383" spans="1:21">
      <c r="A383" s="91">
        <v>40581</v>
      </c>
      <c r="B383" s="86">
        <v>40581</v>
      </c>
      <c r="C383" s="93">
        <v>1.1901928112354199</v>
      </c>
      <c r="D383" s="85" t="s">
        <v>804</v>
      </c>
      <c r="F383" s="91">
        <v>40581</v>
      </c>
      <c r="G383">
        <v>546.58000000000004</v>
      </c>
      <c r="H383">
        <v>621.14</v>
      </c>
      <c r="I383" s="94">
        <v>617.4</v>
      </c>
      <c r="J383" s="94">
        <v>557.26</v>
      </c>
      <c r="K383" s="94">
        <v>659.32</v>
      </c>
      <c r="L383" s="94">
        <v>612.01</v>
      </c>
      <c r="M383" s="94">
        <v>608.30999999999995</v>
      </c>
      <c r="N383" s="94">
        <v>625.85</v>
      </c>
      <c r="O383" s="94">
        <v>618.29</v>
      </c>
      <c r="P383" s="94">
        <v>614.49</v>
      </c>
      <c r="Q383" s="94">
        <v>657.65</v>
      </c>
      <c r="R383" s="94">
        <v>606.91999999999996</v>
      </c>
      <c r="S383" s="94">
        <v>634.28</v>
      </c>
      <c r="T383" s="94">
        <v>575.13</v>
      </c>
      <c r="U383" s="94">
        <v>574.23</v>
      </c>
    </row>
    <row r="384" spans="1:21">
      <c r="A384" s="91">
        <v>40574</v>
      </c>
      <c r="B384" s="86">
        <v>40574</v>
      </c>
      <c r="C384" s="93">
        <v>1.16157509582995</v>
      </c>
      <c r="D384" s="85" t="s">
        <v>805</v>
      </c>
      <c r="F384" s="91">
        <v>40574</v>
      </c>
      <c r="G384">
        <v>539.08000000000004</v>
      </c>
      <c r="H384">
        <v>602.04999999999995</v>
      </c>
      <c r="I384" s="94">
        <v>618.17999999999995</v>
      </c>
      <c r="J384" s="94">
        <v>558.95000000000005</v>
      </c>
      <c r="K384" s="94">
        <v>648.61</v>
      </c>
      <c r="L384" s="94">
        <v>622.13</v>
      </c>
      <c r="M384" s="94">
        <v>605.55999999999995</v>
      </c>
      <c r="N384" s="94">
        <v>634.09</v>
      </c>
      <c r="O384" s="94">
        <v>619.22</v>
      </c>
      <c r="P384" s="94">
        <v>614.49</v>
      </c>
      <c r="Q384" s="94">
        <v>657.52</v>
      </c>
      <c r="R384" s="94">
        <v>597.67999999999995</v>
      </c>
      <c r="S384" s="94">
        <v>623.92999999999995</v>
      </c>
      <c r="T384" s="94">
        <v>562.08000000000004</v>
      </c>
      <c r="U384" s="94">
        <v>559.57000000000005</v>
      </c>
    </row>
    <row r="385" spans="1:21">
      <c r="A385" s="91">
        <v>40567</v>
      </c>
      <c r="B385" s="86">
        <v>40567</v>
      </c>
      <c r="C385" s="93">
        <v>1.1742602160638798</v>
      </c>
      <c r="D385" s="85" t="s">
        <v>806</v>
      </c>
      <c r="F385" s="91">
        <v>40567</v>
      </c>
      <c r="G385">
        <v>552.41</v>
      </c>
      <c r="H385">
        <v>608.91</v>
      </c>
      <c r="I385" s="94">
        <v>623.79</v>
      </c>
      <c r="J385" s="94">
        <v>579.11</v>
      </c>
      <c r="K385" s="94">
        <v>658.39</v>
      </c>
      <c r="L385" s="94">
        <v>609.54999999999995</v>
      </c>
      <c r="M385" s="94">
        <v>613.75</v>
      </c>
      <c r="N385" s="94">
        <v>646.72</v>
      </c>
      <c r="O385" s="94">
        <v>628.04999999999995</v>
      </c>
      <c r="P385" s="94">
        <v>542.59</v>
      </c>
      <c r="Q385" s="94">
        <v>661.42</v>
      </c>
      <c r="R385" s="94">
        <v>616.16999999999996</v>
      </c>
      <c r="S385" s="94">
        <v>634.71</v>
      </c>
      <c r="T385" s="94">
        <v>574.55999999999995</v>
      </c>
      <c r="U385" s="94">
        <v>563.76</v>
      </c>
    </row>
    <row r="386" spans="1:21">
      <c r="A386" s="91">
        <v>40560</v>
      </c>
      <c r="B386" s="86">
        <v>40560</v>
      </c>
      <c r="C386" s="93">
        <v>1.19602918311207</v>
      </c>
      <c r="D386" s="85" t="s">
        <v>807</v>
      </c>
      <c r="F386" s="91">
        <v>40560</v>
      </c>
      <c r="G386">
        <v>553.24</v>
      </c>
      <c r="H386">
        <v>642.46</v>
      </c>
      <c r="I386" s="94">
        <v>624.82000000000005</v>
      </c>
      <c r="J386" s="94">
        <v>597.6</v>
      </c>
      <c r="K386" s="94">
        <v>674.77</v>
      </c>
      <c r="L386" s="94">
        <v>632.79999999999995</v>
      </c>
      <c r="M386" s="94">
        <v>615.41999999999996</v>
      </c>
      <c r="N386" s="94">
        <v>634.26</v>
      </c>
      <c r="O386" s="94">
        <v>617.88</v>
      </c>
      <c r="P386" s="94">
        <v>542.59</v>
      </c>
      <c r="Q386" s="94">
        <v>657.33</v>
      </c>
      <c r="R386" s="94">
        <v>628.51</v>
      </c>
      <c r="S386" s="94">
        <v>646.87</v>
      </c>
      <c r="T386" s="94">
        <v>585.91</v>
      </c>
      <c r="U386" s="94">
        <v>569.42999999999995</v>
      </c>
    </row>
    <row r="387" spans="1:21">
      <c r="A387" s="91">
        <v>40553</v>
      </c>
      <c r="B387" s="86">
        <v>40553</v>
      </c>
      <c r="C387" s="93">
        <v>1.2022120702091799</v>
      </c>
      <c r="D387" s="85" t="s">
        <v>808</v>
      </c>
      <c r="F387" s="91">
        <v>40553</v>
      </c>
      <c r="G387">
        <v>553.24</v>
      </c>
      <c r="H387">
        <v>619.82000000000005</v>
      </c>
      <c r="I387" s="94">
        <v>609.91999999999996</v>
      </c>
      <c r="J387" s="94">
        <v>586.67999999999995</v>
      </c>
      <c r="K387" s="94">
        <v>674.82</v>
      </c>
      <c r="L387" s="94">
        <v>631.02</v>
      </c>
      <c r="M387" s="94">
        <v>595.69000000000005</v>
      </c>
      <c r="N387" s="94">
        <v>622.59</v>
      </c>
      <c r="O387" s="94">
        <v>596.34</v>
      </c>
      <c r="P387" s="94">
        <v>525.23</v>
      </c>
      <c r="Q387" s="94">
        <v>639.91</v>
      </c>
      <c r="R387" s="94">
        <v>614.86</v>
      </c>
      <c r="S387" s="94">
        <v>629.47</v>
      </c>
      <c r="T387" s="94">
        <v>572.16999999999996</v>
      </c>
      <c r="U387" s="94">
        <v>567.62</v>
      </c>
    </row>
    <row r="388" spans="1:21" ht="15.75" thickBot="1">
      <c r="A388" s="92">
        <v>40546</v>
      </c>
      <c r="B388" s="86">
        <v>40546</v>
      </c>
      <c r="C388" s="93">
        <v>1.16102216391311</v>
      </c>
      <c r="D388" s="85" t="s">
        <v>809</v>
      </c>
      <c r="F388" s="92">
        <v>40546</v>
      </c>
      <c r="G388">
        <v>539.91</v>
      </c>
      <c r="H388">
        <v>611.64</v>
      </c>
      <c r="I388" s="94">
        <v>606.07000000000005</v>
      </c>
      <c r="J388" s="94">
        <v>579.95000000000005</v>
      </c>
      <c r="K388" s="94">
        <v>647.65</v>
      </c>
      <c r="L388" s="94">
        <v>609.15</v>
      </c>
      <c r="M388" s="94">
        <v>587.24</v>
      </c>
      <c r="N388" s="94">
        <v>612.82000000000005</v>
      </c>
      <c r="O388" s="94">
        <v>600.99</v>
      </c>
      <c r="P388" s="94">
        <v>525.23</v>
      </c>
      <c r="Q388" s="94">
        <v>633.91999999999996</v>
      </c>
      <c r="R388" s="94">
        <v>607.38</v>
      </c>
      <c r="S388" s="94">
        <v>622.41999999999996</v>
      </c>
      <c r="T388" s="94">
        <v>571.11</v>
      </c>
      <c r="U388" s="94">
        <v>549.24</v>
      </c>
    </row>
    <row r="389" spans="1:21">
      <c r="A389" s="91">
        <v>40532</v>
      </c>
      <c r="B389" s="86">
        <v>40532</v>
      </c>
      <c r="C389" s="93">
        <v>1.1817537225242301</v>
      </c>
      <c r="D389" s="85" t="s">
        <v>493</v>
      </c>
      <c r="F389" s="91">
        <v>40532</v>
      </c>
      <c r="G389">
        <v>549.08000000000004</v>
      </c>
      <c r="H389">
        <v>593.62</v>
      </c>
      <c r="I389" s="94">
        <v>581.57000000000005</v>
      </c>
      <c r="J389" s="94">
        <v>580.79</v>
      </c>
      <c r="K389" s="94">
        <v>642.96</v>
      </c>
      <c r="L389" s="94">
        <v>588.75</v>
      </c>
      <c r="M389" s="94">
        <v>574.57000000000005</v>
      </c>
      <c r="N389" s="94">
        <v>598.55999999999995</v>
      </c>
      <c r="O389" s="94">
        <v>599.82000000000005</v>
      </c>
      <c r="P389" s="94">
        <v>525.23</v>
      </c>
      <c r="Q389" s="94">
        <v>617.42999999999995</v>
      </c>
      <c r="R389" s="94">
        <v>595.23</v>
      </c>
      <c r="S389" s="94">
        <v>606.07000000000005</v>
      </c>
      <c r="T389" s="94">
        <v>559.09</v>
      </c>
      <c r="U389" s="94">
        <v>542.46</v>
      </c>
    </row>
    <row r="390" spans="1:21">
      <c r="A390" s="91">
        <v>40525</v>
      </c>
      <c r="B390" s="86">
        <v>40525</v>
      </c>
      <c r="C390" s="93">
        <v>1.18518518518519</v>
      </c>
      <c r="D390" s="85" t="s">
        <v>810</v>
      </c>
      <c r="F390" s="91">
        <v>40525</v>
      </c>
      <c r="G390">
        <v>567.41</v>
      </c>
      <c r="H390">
        <v>596.17999999999995</v>
      </c>
      <c r="I390" s="94">
        <v>583.80999999999995</v>
      </c>
      <c r="J390" s="94">
        <v>569.87</v>
      </c>
      <c r="K390" s="94">
        <v>650.08000000000004</v>
      </c>
      <c r="L390" s="94">
        <v>594.9</v>
      </c>
      <c r="M390" s="94">
        <v>572.4</v>
      </c>
      <c r="N390" s="94">
        <v>596.73</v>
      </c>
      <c r="O390" s="94">
        <v>580.54</v>
      </c>
      <c r="P390" s="94">
        <v>525.23</v>
      </c>
      <c r="Q390" s="94">
        <v>618.77</v>
      </c>
      <c r="R390" s="94">
        <v>594.39</v>
      </c>
      <c r="S390" s="94">
        <v>611.73</v>
      </c>
      <c r="T390" s="94">
        <v>558.03</v>
      </c>
      <c r="U390" s="94">
        <v>537.71</v>
      </c>
    </row>
    <row r="391" spans="1:21">
      <c r="A391" s="91">
        <v>40518</v>
      </c>
      <c r="B391" s="86">
        <v>40518</v>
      </c>
      <c r="C391" s="93">
        <v>1.1803588290840401</v>
      </c>
      <c r="D391" s="85" t="s">
        <v>811</v>
      </c>
      <c r="F391" s="91">
        <v>40518</v>
      </c>
      <c r="G391">
        <v>552.41</v>
      </c>
      <c r="H391">
        <v>570.64</v>
      </c>
      <c r="I391" s="94">
        <v>548.96</v>
      </c>
      <c r="J391" s="94">
        <v>561.47</v>
      </c>
      <c r="K391" s="94">
        <v>652.4</v>
      </c>
      <c r="L391" s="94">
        <v>600.78</v>
      </c>
      <c r="M391" s="94">
        <v>559.94000000000005</v>
      </c>
      <c r="N391" s="94">
        <v>573.30999999999995</v>
      </c>
      <c r="O391" s="94">
        <v>553.23</v>
      </c>
      <c r="P391" s="94">
        <v>525.23</v>
      </c>
      <c r="Q391" s="94">
        <v>612.72</v>
      </c>
      <c r="R391" s="94">
        <v>586.82000000000005</v>
      </c>
      <c r="S391" s="94">
        <v>601.75</v>
      </c>
      <c r="T391" s="94">
        <v>560.16999999999996</v>
      </c>
      <c r="U391" s="94">
        <v>524.07000000000005</v>
      </c>
    </row>
    <row r="392" spans="1:21">
      <c r="A392" s="91">
        <v>40511</v>
      </c>
      <c r="B392" s="86">
        <v>40511</v>
      </c>
      <c r="C392" s="93">
        <v>1.1848341232227499</v>
      </c>
      <c r="D392" s="85" t="s">
        <v>812</v>
      </c>
      <c r="F392" s="91">
        <v>40511</v>
      </c>
      <c r="G392">
        <v>527.41</v>
      </c>
      <c r="H392">
        <v>546.1</v>
      </c>
      <c r="I392" s="94">
        <v>545.21</v>
      </c>
      <c r="J392" s="94">
        <v>535.41999999999996</v>
      </c>
      <c r="K392" s="94">
        <v>620.04</v>
      </c>
      <c r="L392" s="94">
        <v>575.76</v>
      </c>
      <c r="M392" s="94">
        <v>535.44000000000005</v>
      </c>
      <c r="N392" s="94">
        <v>554.33000000000004</v>
      </c>
      <c r="O392" s="94">
        <v>538.29</v>
      </c>
      <c r="P392" s="94">
        <v>525.23</v>
      </c>
      <c r="Q392" s="94">
        <v>590.1</v>
      </c>
      <c r="R392" s="94">
        <v>564.97</v>
      </c>
      <c r="S392" s="94">
        <v>582.80999999999995</v>
      </c>
      <c r="T392" s="94">
        <v>518.84</v>
      </c>
      <c r="U392" s="94">
        <v>512.61</v>
      </c>
    </row>
    <row r="393" spans="1:21">
      <c r="A393" s="91">
        <v>40504</v>
      </c>
      <c r="B393" s="86">
        <v>40504</v>
      </c>
      <c r="C393" s="93">
        <v>1.16972745350333</v>
      </c>
      <c r="D393" s="85" t="s">
        <v>813</v>
      </c>
      <c r="F393" s="91">
        <v>40504</v>
      </c>
      <c r="G393">
        <v>515.74</v>
      </c>
      <c r="H393">
        <v>532.22</v>
      </c>
      <c r="I393" s="94">
        <v>552.02</v>
      </c>
      <c r="J393" s="94">
        <v>512.73</v>
      </c>
      <c r="K393" s="94">
        <v>592</v>
      </c>
      <c r="L393" s="94">
        <v>552.1</v>
      </c>
      <c r="M393" s="94">
        <v>532.35</v>
      </c>
      <c r="N393" s="94">
        <v>556.12</v>
      </c>
      <c r="O393" s="94">
        <v>558.69000000000005</v>
      </c>
      <c r="P393" s="94">
        <v>520.27</v>
      </c>
      <c r="Q393" s="94">
        <v>583.59</v>
      </c>
      <c r="R393" s="94">
        <v>539.76</v>
      </c>
      <c r="S393" s="94">
        <v>568.16</v>
      </c>
      <c r="T393" s="94">
        <v>501.2</v>
      </c>
      <c r="U393" s="94">
        <v>503.88</v>
      </c>
    </row>
    <row r="394" spans="1:21">
      <c r="A394" s="91">
        <v>40497</v>
      </c>
      <c r="B394" s="86">
        <v>40497</v>
      </c>
      <c r="C394" s="93">
        <v>1.1793843613633699</v>
      </c>
      <c r="D394" s="85" t="s">
        <v>447</v>
      </c>
      <c r="F394" s="91">
        <v>40497</v>
      </c>
      <c r="G394">
        <v>518.24</v>
      </c>
      <c r="H394">
        <v>542.04999999999995</v>
      </c>
      <c r="I394" s="94">
        <v>540.53</v>
      </c>
      <c r="J394" s="94">
        <v>521.13</v>
      </c>
      <c r="K394" s="94">
        <v>606.11</v>
      </c>
      <c r="L394" s="94">
        <v>558.77</v>
      </c>
      <c r="M394" s="94">
        <v>526.58000000000004</v>
      </c>
      <c r="N394" s="94">
        <v>543.86</v>
      </c>
      <c r="O394" s="94">
        <v>531.92999999999995</v>
      </c>
      <c r="P394" s="94">
        <v>520.27</v>
      </c>
      <c r="Q394" s="94">
        <v>587.22</v>
      </c>
      <c r="R394" s="94">
        <v>546.49</v>
      </c>
      <c r="S394" s="94">
        <v>573.42999999999995</v>
      </c>
      <c r="T394" s="94">
        <v>510.62</v>
      </c>
      <c r="U394" s="94">
        <v>506.12</v>
      </c>
    </row>
    <row r="395" spans="1:21">
      <c r="A395" s="91">
        <v>40490</v>
      </c>
      <c r="B395" s="86">
        <v>40490</v>
      </c>
      <c r="C395" s="93">
        <v>1.1591515011011901</v>
      </c>
      <c r="D395" s="85" t="s">
        <v>478</v>
      </c>
      <c r="F395" s="91">
        <v>40490</v>
      </c>
      <c r="G395">
        <v>506.58</v>
      </c>
      <c r="H395">
        <v>542.04999999999995</v>
      </c>
      <c r="I395" s="94">
        <v>541.51</v>
      </c>
      <c r="J395" s="94">
        <v>524.49</v>
      </c>
      <c r="K395" s="94">
        <v>572.35</v>
      </c>
      <c r="L395" s="94">
        <v>540.03</v>
      </c>
      <c r="M395" s="94">
        <v>527.33000000000004</v>
      </c>
      <c r="N395" s="94">
        <v>540.1</v>
      </c>
      <c r="O395" s="94">
        <v>536.9</v>
      </c>
      <c r="P395" s="94">
        <v>520.27</v>
      </c>
      <c r="Q395" s="94">
        <v>572.65</v>
      </c>
      <c r="R395" s="94">
        <v>529.67999999999995</v>
      </c>
      <c r="S395" s="94">
        <v>552.16</v>
      </c>
      <c r="T395" s="94">
        <v>488.92</v>
      </c>
      <c r="U395" s="94">
        <v>496.2</v>
      </c>
    </row>
    <row r="396" spans="1:21">
      <c r="A396" s="91">
        <v>40476</v>
      </c>
      <c r="B396" s="86">
        <v>40476</v>
      </c>
      <c r="C396" s="93">
        <v>1.1203854125819299</v>
      </c>
      <c r="D396" s="85" t="s">
        <v>418</v>
      </c>
      <c r="F396" s="91">
        <v>40476</v>
      </c>
      <c r="G396">
        <v>508.24</v>
      </c>
      <c r="H396">
        <v>560.4</v>
      </c>
      <c r="I396" s="94">
        <v>549.4</v>
      </c>
      <c r="J396" s="94">
        <v>529.53</v>
      </c>
      <c r="K396" s="94">
        <v>561.28</v>
      </c>
      <c r="L396" s="94">
        <v>532.79</v>
      </c>
      <c r="M396" s="94">
        <v>530.16999999999996</v>
      </c>
      <c r="N396" s="94">
        <v>545.78</v>
      </c>
      <c r="O396" s="94">
        <v>549.25</v>
      </c>
      <c r="P396" s="94">
        <v>524.4</v>
      </c>
      <c r="Q396" s="94">
        <v>562.30999999999995</v>
      </c>
      <c r="R396" s="94">
        <v>531.36</v>
      </c>
      <c r="S396" s="94">
        <v>553.66999999999996</v>
      </c>
      <c r="T396" s="94">
        <v>493.97</v>
      </c>
      <c r="U396" s="94">
        <v>470.71</v>
      </c>
    </row>
    <row r="397" spans="1:21">
      <c r="A397" s="91">
        <v>40469</v>
      </c>
      <c r="B397" s="86">
        <v>40469</v>
      </c>
      <c r="C397" s="93">
        <v>1.1432491139819398</v>
      </c>
      <c r="D397" s="85" t="s">
        <v>814</v>
      </c>
      <c r="F397" s="91">
        <v>40469</v>
      </c>
      <c r="G397">
        <v>513.24</v>
      </c>
      <c r="H397">
        <v>547.75</v>
      </c>
      <c r="I397" s="94">
        <v>547.04999999999995</v>
      </c>
      <c r="J397" s="94">
        <v>503.48</v>
      </c>
      <c r="K397" s="94">
        <v>572.04</v>
      </c>
      <c r="L397" s="94">
        <v>565.19000000000005</v>
      </c>
      <c r="M397" s="94">
        <v>526.24</v>
      </c>
      <c r="N397" s="94">
        <v>540.67999999999995</v>
      </c>
      <c r="O397" s="94">
        <v>530.83000000000004</v>
      </c>
      <c r="P397" s="94">
        <v>524.4</v>
      </c>
      <c r="Q397" s="94">
        <v>568.36</v>
      </c>
      <c r="R397" s="94">
        <v>531.36</v>
      </c>
      <c r="S397" s="94">
        <v>555.5</v>
      </c>
      <c r="T397" s="94">
        <v>493.59</v>
      </c>
      <c r="U397" s="94">
        <v>475.89</v>
      </c>
    </row>
    <row r="398" spans="1:21">
      <c r="A398" s="91">
        <v>40462</v>
      </c>
      <c r="B398" s="86">
        <v>40462</v>
      </c>
      <c r="C398" s="93">
        <v>1.14337983077979</v>
      </c>
      <c r="D398" s="85" t="s">
        <v>815</v>
      </c>
      <c r="F398" s="91">
        <v>40462</v>
      </c>
      <c r="G398">
        <v>509.08</v>
      </c>
      <c r="H398">
        <v>536.76</v>
      </c>
      <c r="I398" s="94">
        <v>537.58000000000004</v>
      </c>
      <c r="J398" s="94">
        <v>504.32</v>
      </c>
      <c r="K398" s="94">
        <v>566.66</v>
      </c>
      <c r="L398" s="94">
        <v>562.87</v>
      </c>
      <c r="M398" s="94">
        <v>511.27</v>
      </c>
      <c r="N398" s="94">
        <v>526.24</v>
      </c>
      <c r="O398" s="94">
        <v>535.46</v>
      </c>
      <c r="P398" s="94">
        <v>524.4</v>
      </c>
      <c r="Q398" s="94">
        <v>564.72</v>
      </c>
      <c r="R398" s="94">
        <v>518.76</v>
      </c>
      <c r="S398" s="94">
        <v>553.13</v>
      </c>
      <c r="T398" s="94">
        <v>494.42</v>
      </c>
      <c r="U398" s="94">
        <v>471.07</v>
      </c>
    </row>
    <row r="399" spans="1:21">
      <c r="A399" s="91">
        <v>40455</v>
      </c>
      <c r="B399" s="86">
        <v>40455</v>
      </c>
      <c r="C399" s="93">
        <v>1.15526802218115</v>
      </c>
      <c r="D399" s="85" t="s">
        <v>816</v>
      </c>
      <c r="F399" s="91">
        <v>40455</v>
      </c>
      <c r="G399">
        <v>495.74</v>
      </c>
      <c r="H399">
        <v>526.02</v>
      </c>
      <c r="I399" s="94">
        <v>543.85</v>
      </c>
      <c r="J399" s="94">
        <v>486.68</v>
      </c>
      <c r="K399" s="94">
        <v>552.98</v>
      </c>
      <c r="L399" s="94">
        <v>549.05999999999995</v>
      </c>
      <c r="M399" s="94">
        <v>493.05</v>
      </c>
      <c r="N399" s="94">
        <v>524.24</v>
      </c>
      <c r="O399" s="94">
        <v>547.59</v>
      </c>
      <c r="P399" s="94">
        <v>524.4</v>
      </c>
      <c r="Q399" s="94">
        <v>556.04999999999995</v>
      </c>
      <c r="R399" s="94">
        <v>516.23</v>
      </c>
      <c r="S399" s="94">
        <v>536.12</v>
      </c>
      <c r="T399" s="94">
        <v>478.8</v>
      </c>
      <c r="U399" s="94">
        <v>468.39</v>
      </c>
    </row>
    <row r="400" spans="1:21">
      <c r="A400" s="91">
        <v>40448</v>
      </c>
      <c r="B400" s="86">
        <v>40448</v>
      </c>
      <c r="C400" s="93">
        <v>1.17591721542803</v>
      </c>
      <c r="D400" s="85" t="s">
        <v>817</v>
      </c>
      <c r="F400" s="91">
        <v>40448</v>
      </c>
      <c r="G400">
        <v>503.24</v>
      </c>
      <c r="H400">
        <v>526.42999999999995</v>
      </c>
      <c r="I400" s="94">
        <v>550.05999999999995</v>
      </c>
      <c r="J400" s="94">
        <v>465.67</v>
      </c>
      <c r="K400" s="94">
        <v>544.67999999999995</v>
      </c>
      <c r="L400" s="94">
        <v>540.45000000000005</v>
      </c>
      <c r="M400" s="94">
        <v>500.66</v>
      </c>
      <c r="N400" s="94">
        <v>538.01</v>
      </c>
      <c r="O400" s="94">
        <v>556.37</v>
      </c>
      <c r="P400" s="94">
        <v>531.01</v>
      </c>
      <c r="Q400" s="94">
        <v>559.29999999999995</v>
      </c>
      <c r="R400" s="94">
        <v>517.91999999999996</v>
      </c>
      <c r="S400" s="94">
        <v>538.13</v>
      </c>
      <c r="T400" s="94">
        <v>469.31</v>
      </c>
      <c r="U400" s="94">
        <v>482.34</v>
      </c>
    </row>
    <row r="401" spans="1:21">
      <c r="A401" s="91">
        <v>40441</v>
      </c>
      <c r="B401" s="86">
        <v>40441</v>
      </c>
      <c r="C401" s="93">
        <v>1.1928903733746901</v>
      </c>
      <c r="D401" s="85" t="s">
        <v>818</v>
      </c>
      <c r="F401" s="91">
        <v>40441</v>
      </c>
      <c r="G401">
        <v>514.91</v>
      </c>
      <c r="H401">
        <v>556.35</v>
      </c>
      <c r="I401" s="94">
        <v>547.72</v>
      </c>
      <c r="J401" s="94">
        <v>497.6</v>
      </c>
      <c r="K401" s="94">
        <v>562.08000000000004</v>
      </c>
      <c r="L401" s="94">
        <v>552.36</v>
      </c>
      <c r="M401" s="94">
        <v>514.62</v>
      </c>
      <c r="N401" s="94">
        <v>540.04</v>
      </c>
      <c r="O401" s="94">
        <v>547.29999999999995</v>
      </c>
      <c r="P401" s="94">
        <v>531.01</v>
      </c>
      <c r="Q401" s="94">
        <v>573.28</v>
      </c>
      <c r="R401" s="94">
        <v>539.76</v>
      </c>
      <c r="S401" s="94">
        <v>558.66</v>
      </c>
      <c r="T401" s="94">
        <v>482.02</v>
      </c>
      <c r="U401" s="94">
        <v>485.96</v>
      </c>
    </row>
    <row r="402" spans="1:21">
      <c r="A402" s="91">
        <v>40434</v>
      </c>
      <c r="B402" s="86">
        <v>40434</v>
      </c>
      <c r="C402" s="93">
        <v>1.20307988450433</v>
      </c>
      <c r="D402" s="85" t="s">
        <v>444</v>
      </c>
      <c r="F402" s="91">
        <v>40434</v>
      </c>
      <c r="G402">
        <v>514.08000000000004</v>
      </c>
      <c r="H402">
        <v>533.54</v>
      </c>
      <c r="I402" s="94">
        <v>542.41999999999996</v>
      </c>
      <c r="J402" s="94">
        <v>512.73</v>
      </c>
      <c r="K402" s="94">
        <v>584.70000000000005</v>
      </c>
      <c r="L402" s="94">
        <v>567.54</v>
      </c>
      <c r="M402" s="94">
        <v>503.58</v>
      </c>
      <c r="N402" s="94">
        <v>529.51</v>
      </c>
      <c r="O402" s="94">
        <v>528.1</v>
      </c>
      <c r="P402" s="94">
        <v>531.01</v>
      </c>
      <c r="Q402" s="94">
        <v>568.61</v>
      </c>
      <c r="R402" s="94">
        <v>538.08000000000004</v>
      </c>
      <c r="S402" s="94">
        <v>550.24</v>
      </c>
      <c r="T402" s="94">
        <v>512.20000000000005</v>
      </c>
      <c r="U402" s="94">
        <v>485.92</v>
      </c>
    </row>
    <row r="403" spans="1:21">
      <c r="A403" s="91">
        <v>40427</v>
      </c>
      <c r="B403" s="86">
        <v>40427</v>
      </c>
      <c r="C403" s="93">
        <v>1.1929615269907499</v>
      </c>
      <c r="D403" s="85" t="s">
        <v>819</v>
      </c>
      <c r="F403" s="91">
        <v>40427</v>
      </c>
      <c r="G403">
        <v>506.58</v>
      </c>
      <c r="H403">
        <v>530.07000000000005</v>
      </c>
      <c r="I403" s="94">
        <v>539.51</v>
      </c>
      <c r="J403" s="94">
        <v>500.12</v>
      </c>
      <c r="K403" s="94">
        <v>567.55999999999995</v>
      </c>
      <c r="L403" s="94">
        <v>574.1</v>
      </c>
      <c r="M403" s="94">
        <v>495.22</v>
      </c>
      <c r="N403" s="94">
        <v>523.96</v>
      </c>
      <c r="O403" s="94">
        <v>517.53</v>
      </c>
      <c r="P403" s="94">
        <v>531.01</v>
      </c>
      <c r="Q403" s="94">
        <v>560.91999999999996</v>
      </c>
      <c r="R403" s="94">
        <v>521.28</v>
      </c>
      <c r="S403" s="94">
        <v>545</v>
      </c>
      <c r="T403" s="94">
        <v>484.23</v>
      </c>
      <c r="U403" s="94">
        <v>481.17</v>
      </c>
    </row>
    <row r="404" spans="1:21">
      <c r="A404" s="91">
        <v>40420</v>
      </c>
      <c r="B404" s="86">
        <v>40420</v>
      </c>
      <c r="C404" s="93">
        <v>1.22473974280465</v>
      </c>
      <c r="D404" s="85" t="s">
        <v>820</v>
      </c>
      <c r="F404" s="91">
        <v>40420</v>
      </c>
      <c r="G404">
        <v>499.91</v>
      </c>
      <c r="H404">
        <v>542.63</v>
      </c>
      <c r="I404" s="94">
        <v>541.02</v>
      </c>
      <c r="J404" s="94">
        <v>498.44</v>
      </c>
      <c r="K404" s="94">
        <v>562.12</v>
      </c>
      <c r="L404" s="94">
        <v>552.36</v>
      </c>
      <c r="M404" s="94">
        <v>491.29</v>
      </c>
      <c r="N404" s="94">
        <v>527.44000000000005</v>
      </c>
      <c r="O404" s="94">
        <v>509.25</v>
      </c>
      <c r="P404" s="94">
        <v>531.01</v>
      </c>
      <c r="Q404" s="94">
        <v>561.29999999999995</v>
      </c>
      <c r="R404" s="94">
        <v>514.54999999999995</v>
      </c>
      <c r="S404" s="94">
        <v>539.33000000000004</v>
      </c>
      <c r="T404" s="94">
        <v>479.8</v>
      </c>
      <c r="U404" s="94">
        <v>498.08</v>
      </c>
    </row>
    <row r="405" spans="1:21">
      <c r="A405" s="91">
        <v>40413</v>
      </c>
      <c r="B405" s="86">
        <v>40413</v>
      </c>
      <c r="C405" s="93">
        <v>1.22414004162076</v>
      </c>
      <c r="D405" s="85" t="s">
        <v>821</v>
      </c>
      <c r="F405" s="91">
        <v>40413</v>
      </c>
      <c r="G405">
        <v>502.41</v>
      </c>
      <c r="H405">
        <v>540.98</v>
      </c>
      <c r="I405" s="94">
        <v>547.84</v>
      </c>
      <c r="J405" s="94">
        <v>517.77</v>
      </c>
      <c r="K405" s="94">
        <v>569.44000000000005</v>
      </c>
      <c r="L405" s="94">
        <v>552.36</v>
      </c>
      <c r="M405" s="94">
        <v>500.57</v>
      </c>
      <c r="N405" s="94">
        <v>536.37</v>
      </c>
      <c r="O405" s="94">
        <v>525.9</v>
      </c>
      <c r="P405" s="94">
        <v>539.28</v>
      </c>
      <c r="Q405" s="94">
        <v>569.07000000000005</v>
      </c>
      <c r="R405" s="94">
        <v>522.96</v>
      </c>
      <c r="S405" s="94">
        <v>535.6</v>
      </c>
      <c r="T405" s="94">
        <v>470.94</v>
      </c>
      <c r="U405" s="94">
        <v>504.71</v>
      </c>
    </row>
    <row r="406" spans="1:21">
      <c r="A406" s="91">
        <v>40406</v>
      </c>
      <c r="B406" s="86">
        <v>40406</v>
      </c>
      <c r="C406" s="93">
        <v>1.2178784557301201</v>
      </c>
      <c r="D406" s="85" t="s">
        <v>427</v>
      </c>
      <c r="F406" s="91">
        <v>40406</v>
      </c>
      <c r="G406">
        <v>509.91</v>
      </c>
      <c r="H406">
        <v>550.89</v>
      </c>
      <c r="I406" s="94">
        <v>551.01</v>
      </c>
      <c r="J406" s="94">
        <v>491.72</v>
      </c>
      <c r="K406" s="94">
        <v>576.92999999999995</v>
      </c>
      <c r="L406" s="94">
        <v>564.74</v>
      </c>
      <c r="M406" s="94">
        <v>511.27</v>
      </c>
      <c r="N406" s="94">
        <v>542.69000000000005</v>
      </c>
      <c r="O406" s="94">
        <v>535.37</v>
      </c>
      <c r="P406" s="94">
        <v>539.28</v>
      </c>
      <c r="Q406" s="94">
        <v>574.28</v>
      </c>
      <c r="R406" s="94">
        <v>528</v>
      </c>
      <c r="S406" s="94">
        <v>548.36</v>
      </c>
      <c r="T406" s="94">
        <v>474.39</v>
      </c>
      <c r="U406" s="94">
        <v>509.32</v>
      </c>
    </row>
    <row r="407" spans="1:21">
      <c r="A407" s="91">
        <v>40399</v>
      </c>
      <c r="B407" s="86">
        <v>40399</v>
      </c>
      <c r="C407" s="93">
        <v>1.20423892100193</v>
      </c>
      <c r="D407" s="85" t="s">
        <v>822</v>
      </c>
      <c r="F407" s="91">
        <v>40399</v>
      </c>
      <c r="G407">
        <v>513.24</v>
      </c>
      <c r="H407">
        <v>555.85</v>
      </c>
      <c r="I407" s="94">
        <v>557.24</v>
      </c>
      <c r="J407" s="94">
        <v>521.13</v>
      </c>
      <c r="K407" s="94">
        <v>588.65</v>
      </c>
      <c r="L407" s="94">
        <v>586.07000000000005</v>
      </c>
      <c r="M407" s="94">
        <v>511.02</v>
      </c>
      <c r="N407" s="94">
        <v>541.66</v>
      </c>
      <c r="O407" s="94">
        <v>536.96</v>
      </c>
      <c r="P407" s="94">
        <v>539.28</v>
      </c>
      <c r="Q407" s="94">
        <v>574.98</v>
      </c>
      <c r="R407" s="94">
        <v>531.36</v>
      </c>
      <c r="S407" s="94">
        <v>555.62</v>
      </c>
      <c r="T407" s="94">
        <v>492.23</v>
      </c>
      <c r="U407" s="94">
        <v>503.71</v>
      </c>
    </row>
    <row r="408" spans="1:21">
      <c r="A408" s="91">
        <v>40392</v>
      </c>
      <c r="B408" s="86">
        <v>40392</v>
      </c>
      <c r="C408" s="93">
        <v>1.2106537530266299</v>
      </c>
      <c r="D408" s="85" t="s">
        <v>823</v>
      </c>
      <c r="F408" s="91">
        <v>40392</v>
      </c>
      <c r="G408">
        <v>507.41</v>
      </c>
      <c r="H408">
        <v>550.07000000000005</v>
      </c>
      <c r="I408" s="94">
        <v>566.15</v>
      </c>
      <c r="J408" s="94">
        <v>508.53</v>
      </c>
      <c r="K408" s="94">
        <v>582.23</v>
      </c>
      <c r="L408" s="94">
        <v>580.32000000000005</v>
      </c>
      <c r="M408" s="94">
        <v>486.94</v>
      </c>
      <c r="N408" s="94">
        <v>551.57000000000005</v>
      </c>
      <c r="O408" s="94">
        <v>532.54999999999995</v>
      </c>
      <c r="P408" s="94">
        <v>538.45000000000005</v>
      </c>
      <c r="Q408" s="94">
        <v>571.66999999999996</v>
      </c>
      <c r="R408" s="94">
        <v>531.36</v>
      </c>
      <c r="S408" s="94">
        <v>548.83000000000004</v>
      </c>
      <c r="T408" s="94">
        <v>497.6</v>
      </c>
      <c r="U408" s="94">
        <v>508.08</v>
      </c>
    </row>
    <row r="409" spans="1:21">
      <c r="A409" s="91">
        <v>40385</v>
      </c>
      <c r="B409" s="86">
        <v>40385</v>
      </c>
      <c r="C409" s="93">
        <v>1.19868145040455</v>
      </c>
      <c r="D409" s="85" t="s">
        <v>824</v>
      </c>
      <c r="F409" s="91">
        <v>40385</v>
      </c>
      <c r="G409">
        <v>511.58</v>
      </c>
      <c r="H409">
        <v>529.41</v>
      </c>
      <c r="I409" s="94">
        <v>561.66</v>
      </c>
      <c r="J409" s="94">
        <v>519.45000000000005</v>
      </c>
      <c r="K409" s="94">
        <v>589.59</v>
      </c>
      <c r="L409" s="94">
        <v>580.32000000000005</v>
      </c>
      <c r="M409" s="94">
        <v>503.58</v>
      </c>
      <c r="N409" s="94">
        <v>537.69000000000005</v>
      </c>
      <c r="O409" s="94">
        <v>521.61</v>
      </c>
      <c r="P409" s="94">
        <v>538.45000000000005</v>
      </c>
      <c r="Q409" s="94">
        <v>565.53</v>
      </c>
      <c r="R409" s="94">
        <v>528</v>
      </c>
      <c r="S409" s="94">
        <v>546.9</v>
      </c>
      <c r="T409" s="94">
        <v>495.03</v>
      </c>
      <c r="U409" s="94">
        <v>504.12</v>
      </c>
    </row>
    <row r="410" spans="1:21">
      <c r="A410" s="91">
        <v>40378</v>
      </c>
      <c r="B410" s="86">
        <v>40378</v>
      </c>
      <c r="C410" s="93">
        <v>1.17882824472474</v>
      </c>
      <c r="D410" s="85" t="s">
        <v>825</v>
      </c>
      <c r="F410" s="91">
        <v>40378</v>
      </c>
      <c r="G410">
        <v>516.58000000000004</v>
      </c>
      <c r="H410">
        <v>583.95000000000005</v>
      </c>
      <c r="I410" s="94">
        <v>558.97</v>
      </c>
      <c r="J410" s="94">
        <v>506.84</v>
      </c>
      <c r="K410" s="94">
        <v>573.47</v>
      </c>
      <c r="L410" s="94">
        <v>564.74</v>
      </c>
      <c r="M410" s="94">
        <v>504.84</v>
      </c>
      <c r="N410" s="94">
        <v>541.70000000000005</v>
      </c>
      <c r="O410" s="94">
        <v>523.59</v>
      </c>
      <c r="P410" s="94">
        <v>538.45000000000005</v>
      </c>
      <c r="Q410" s="94">
        <v>573.97</v>
      </c>
      <c r="R410" s="94">
        <v>529.67999999999995</v>
      </c>
      <c r="S410" s="94">
        <v>546.74</v>
      </c>
      <c r="T410" s="94">
        <v>480.11</v>
      </c>
      <c r="U410" s="94">
        <v>498.13</v>
      </c>
    </row>
    <row r="411" spans="1:21">
      <c r="A411" s="91">
        <v>40371</v>
      </c>
      <c r="B411" s="86">
        <v>40371</v>
      </c>
      <c r="C411" s="93">
        <v>1.19574315437044</v>
      </c>
      <c r="D411" s="85" t="s">
        <v>386</v>
      </c>
      <c r="F411" s="91">
        <v>40371</v>
      </c>
      <c r="G411">
        <v>504.91</v>
      </c>
      <c r="H411">
        <v>583.95000000000005</v>
      </c>
      <c r="I411" s="94">
        <v>565.45000000000005</v>
      </c>
      <c r="J411" s="94">
        <v>510.21</v>
      </c>
      <c r="K411" s="94">
        <v>579.73</v>
      </c>
      <c r="L411" s="94">
        <v>573.62</v>
      </c>
      <c r="M411" s="94">
        <v>508.1</v>
      </c>
      <c r="N411" s="94">
        <v>547.65</v>
      </c>
      <c r="O411" s="94">
        <v>542.52</v>
      </c>
      <c r="P411" s="94">
        <v>538.45000000000005</v>
      </c>
      <c r="Q411" s="94">
        <v>579.64</v>
      </c>
      <c r="R411" s="94">
        <v>531.36</v>
      </c>
      <c r="S411" s="94">
        <v>547.98</v>
      </c>
      <c r="T411" s="94">
        <v>492.39</v>
      </c>
      <c r="U411" s="94">
        <v>510.81</v>
      </c>
    </row>
    <row r="412" spans="1:21">
      <c r="A412" s="91">
        <v>40364</v>
      </c>
      <c r="B412" s="86">
        <v>40364</v>
      </c>
      <c r="C412" s="93">
        <v>1.2084592145015101</v>
      </c>
      <c r="D412" s="85" t="s">
        <v>467</v>
      </c>
      <c r="F412" s="91">
        <v>40364</v>
      </c>
      <c r="G412">
        <v>519.08000000000004</v>
      </c>
      <c r="H412">
        <v>560.80999999999995</v>
      </c>
      <c r="I412" s="94">
        <v>563.33000000000004</v>
      </c>
      <c r="J412" s="94">
        <v>507.68</v>
      </c>
      <c r="K412" s="94">
        <v>578.96</v>
      </c>
      <c r="L412" s="94">
        <v>564.74</v>
      </c>
      <c r="M412" s="94">
        <v>528.33000000000004</v>
      </c>
      <c r="N412" s="94">
        <v>554.41999999999996</v>
      </c>
      <c r="O412" s="94">
        <v>536.66</v>
      </c>
      <c r="P412" s="94">
        <v>538.45000000000005</v>
      </c>
      <c r="Q412" s="94">
        <v>584.04</v>
      </c>
      <c r="R412" s="94">
        <v>538.08000000000004</v>
      </c>
      <c r="S412" s="94">
        <v>562.79</v>
      </c>
      <c r="T412" s="94">
        <v>485.03</v>
      </c>
      <c r="U412" s="94">
        <v>521.54999999999995</v>
      </c>
    </row>
    <row r="413" spans="1:21">
      <c r="A413" s="91">
        <v>40357</v>
      </c>
      <c r="B413" s="86">
        <v>40357</v>
      </c>
      <c r="C413" s="93">
        <v>1.2195121951219499</v>
      </c>
      <c r="D413" s="85" t="s">
        <v>826</v>
      </c>
      <c r="F413" s="91">
        <v>40357</v>
      </c>
      <c r="G413">
        <v>524.08000000000004</v>
      </c>
      <c r="H413">
        <v>566.6</v>
      </c>
      <c r="I413" s="94">
        <v>559.85</v>
      </c>
      <c r="J413" s="94">
        <v>548.86</v>
      </c>
      <c r="K413" s="94">
        <v>593.47</v>
      </c>
      <c r="L413" s="94">
        <v>561.39</v>
      </c>
      <c r="M413" s="94">
        <v>536.11</v>
      </c>
      <c r="N413" s="94">
        <v>558.29</v>
      </c>
      <c r="O413" s="94">
        <v>538.72</v>
      </c>
      <c r="P413" s="94">
        <v>538.45000000000005</v>
      </c>
      <c r="Q413" s="94">
        <v>599.08000000000004</v>
      </c>
      <c r="R413" s="94">
        <v>553.21</v>
      </c>
      <c r="S413" s="94">
        <v>570.16999999999996</v>
      </c>
      <c r="T413" s="94">
        <v>516.4</v>
      </c>
      <c r="U413" s="94">
        <v>525.99</v>
      </c>
    </row>
    <row r="414" spans="1:21">
      <c r="A414" s="91">
        <v>40350</v>
      </c>
      <c r="B414" s="86">
        <v>40350</v>
      </c>
      <c r="C414" s="93">
        <v>1.19889701474643</v>
      </c>
      <c r="D414" s="85" t="s">
        <v>827</v>
      </c>
      <c r="F414" s="91">
        <v>40350</v>
      </c>
      <c r="G414">
        <v>529.08000000000004</v>
      </c>
      <c r="H414">
        <v>587.26</v>
      </c>
      <c r="I414" s="94">
        <v>555.64</v>
      </c>
      <c r="J414" s="94">
        <v>542.98</v>
      </c>
      <c r="K414" s="94">
        <v>611.01</v>
      </c>
      <c r="L414" s="94">
        <v>572.78</v>
      </c>
      <c r="M414" s="94">
        <v>533.17999999999995</v>
      </c>
      <c r="N414" s="94">
        <v>554.13</v>
      </c>
      <c r="O414" s="94">
        <v>546.23</v>
      </c>
      <c r="P414" s="94">
        <v>538.45000000000005</v>
      </c>
      <c r="Q414" s="94">
        <v>595.66</v>
      </c>
      <c r="R414" s="94">
        <v>556.57000000000005</v>
      </c>
      <c r="S414" s="94">
        <v>577.29999999999995</v>
      </c>
      <c r="T414" s="94">
        <v>518.61</v>
      </c>
      <c r="U414" s="94">
        <v>516.33000000000004</v>
      </c>
    </row>
    <row r="415" spans="1:21">
      <c r="A415" s="91">
        <v>40343</v>
      </c>
      <c r="B415" s="86">
        <v>40343</v>
      </c>
      <c r="C415" s="93">
        <v>1.20365912373616</v>
      </c>
      <c r="D415" s="85" t="s">
        <v>397</v>
      </c>
      <c r="F415" s="91">
        <v>40343</v>
      </c>
      <c r="G415">
        <v>523.24</v>
      </c>
      <c r="H415">
        <v>578.16999999999996</v>
      </c>
      <c r="I415" s="94">
        <v>560.08000000000004</v>
      </c>
      <c r="J415" s="94">
        <v>548.02</v>
      </c>
      <c r="K415" s="94">
        <v>609.08000000000004</v>
      </c>
      <c r="L415" s="94">
        <v>596.63</v>
      </c>
      <c r="M415" s="94">
        <v>523.05999999999995</v>
      </c>
      <c r="N415" s="94">
        <v>549.28</v>
      </c>
      <c r="O415" s="94">
        <v>538.52</v>
      </c>
      <c r="P415" s="94">
        <v>544.24</v>
      </c>
      <c r="Q415" s="94">
        <v>582.82000000000005</v>
      </c>
      <c r="R415" s="94">
        <v>548.16999999999996</v>
      </c>
      <c r="S415" s="94">
        <v>568.63</v>
      </c>
      <c r="T415" s="94">
        <v>515.94000000000005</v>
      </c>
      <c r="U415" s="94">
        <v>519.03</v>
      </c>
    </row>
    <row r="416" spans="1:21">
      <c r="A416" s="91">
        <v>40336</v>
      </c>
      <c r="B416" s="86">
        <v>40336</v>
      </c>
      <c r="C416" s="93">
        <v>1.2127091923356801</v>
      </c>
      <c r="D416" s="85" t="s">
        <v>828</v>
      </c>
      <c r="F416" s="91">
        <v>40336</v>
      </c>
      <c r="G416">
        <v>516.58000000000004</v>
      </c>
      <c r="H416">
        <v>583.95000000000005</v>
      </c>
      <c r="I416" s="94">
        <v>542.32000000000005</v>
      </c>
      <c r="J416" s="94">
        <v>542.98</v>
      </c>
      <c r="K416" s="94">
        <v>602.61</v>
      </c>
      <c r="L416" s="94">
        <v>561.07000000000005</v>
      </c>
      <c r="M416" s="94">
        <v>519.39</v>
      </c>
      <c r="N416" s="94">
        <v>546.04</v>
      </c>
      <c r="O416" s="94">
        <v>515.16</v>
      </c>
      <c r="P416" s="94">
        <v>544.24</v>
      </c>
      <c r="Q416" s="94">
        <v>579.48</v>
      </c>
      <c r="R416" s="94">
        <v>549.85</v>
      </c>
      <c r="S416" s="94">
        <v>567.38</v>
      </c>
      <c r="T416" s="94">
        <v>507.63</v>
      </c>
      <c r="U416" s="94">
        <v>526.44000000000005</v>
      </c>
    </row>
    <row r="417" spans="1:21">
      <c r="A417" s="91">
        <v>40329</v>
      </c>
      <c r="B417" s="86">
        <v>40329</v>
      </c>
      <c r="C417" s="93">
        <v>1.17836984315897</v>
      </c>
      <c r="D417" s="85" t="s">
        <v>829</v>
      </c>
      <c r="F417" s="91">
        <v>40329</v>
      </c>
      <c r="G417">
        <v>517.41</v>
      </c>
      <c r="H417">
        <v>552.54999999999995</v>
      </c>
      <c r="I417" s="94">
        <v>552.28</v>
      </c>
      <c r="J417" s="94">
        <v>538.78</v>
      </c>
      <c r="K417" s="94">
        <v>591.71</v>
      </c>
      <c r="L417" s="94">
        <v>557.89</v>
      </c>
      <c r="M417" s="94">
        <v>519.89</v>
      </c>
      <c r="N417" s="94">
        <v>552.92999999999995</v>
      </c>
      <c r="O417" s="94">
        <v>534.13</v>
      </c>
      <c r="P417" s="94">
        <v>527.71</v>
      </c>
      <c r="Q417" s="94">
        <v>568.77</v>
      </c>
      <c r="R417" s="94">
        <v>536.4</v>
      </c>
      <c r="S417" s="94">
        <v>557.35</v>
      </c>
      <c r="T417" s="94">
        <v>500.47</v>
      </c>
      <c r="U417" s="94">
        <v>514.91999999999996</v>
      </c>
    </row>
    <row r="418" spans="1:21">
      <c r="A418" s="91">
        <v>40322</v>
      </c>
      <c r="B418" s="86">
        <v>40322</v>
      </c>
      <c r="C418" s="93">
        <v>1.16171003717472</v>
      </c>
      <c r="D418" s="85" t="s">
        <v>441</v>
      </c>
      <c r="F418" s="91">
        <v>40322</v>
      </c>
      <c r="G418">
        <v>519.08000000000004</v>
      </c>
      <c r="H418">
        <v>595.52</v>
      </c>
      <c r="I418" s="94">
        <v>552.69000000000005</v>
      </c>
      <c r="J418" s="94">
        <v>499.28</v>
      </c>
      <c r="K418" s="94">
        <v>567.85</v>
      </c>
      <c r="L418" s="94">
        <v>546.76</v>
      </c>
      <c r="M418" s="94">
        <v>537.95000000000005</v>
      </c>
      <c r="N418" s="94">
        <v>575.04</v>
      </c>
      <c r="O418" s="94">
        <v>546.42999999999995</v>
      </c>
      <c r="P418" s="94">
        <v>527.71</v>
      </c>
      <c r="Q418" s="94">
        <v>579.82000000000005</v>
      </c>
      <c r="R418" s="94">
        <v>529.67999999999995</v>
      </c>
      <c r="S418" s="94">
        <v>562.64</v>
      </c>
      <c r="T418" s="94">
        <v>487.55</v>
      </c>
      <c r="U418" s="94">
        <v>521.30999999999995</v>
      </c>
    </row>
    <row r="419" spans="1:21">
      <c r="A419" s="91">
        <v>40315</v>
      </c>
      <c r="B419" s="86">
        <v>40315</v>
      </c>
      <c r="C419" s="93">
        <v>1.1690437222352101</v>
      </c>
      <c r="D419" s="85" t="s">
        <v>469</v>
      </c>
      <c r="F419" s="91">
        <v>40315</v>
      </c>
      <c r="G419">
        <v>534.08000000000004</v>
      </c>
      <c r="H419">
        <v>595.52</v>
      </c>
      <c r="I419" s="94">
        <v>557.87</v>
      </c>
      <c r="J419" s="94">
        <v>536.26</v>
      </c>
      <c r="K419" s="94">
        <v>613.13</v>
      </c>
      <c r="L419" s="94">
        <v>588.53</v>
      </c>
      <c r="M419" s="94">
        <v>541.79</v>
      </c>
      <c r="N419" s="94">
        <v>578.02</v>
      </c>
      <c r="O419" s="94">
        <v>546.48</v>
      </c>
      <c r="P419" s="94">
        <v>527.71</v>
      </c>
      <c r="Q419" s="94">
        <v>598.16</v>
      </c>
      <c r="R419" s="94">
        <v>561.61</v>
      </c>
      <c r="S419" s="94">
        <v>582.20000000000005</v>
      </c>
      <c r="T419" s="94">
        <v>518.14</v>
      </c>
      <c r="U419" s="94">
        <v>538.30999999999995</v>
      </c>
    </row>
    <row r="420" spans="1:21">
      <c r="A420" s="91">
        <v>40308</v>
      </c>
      <c r="B420" s="86">
        <v>40308</v>
      </c>
      <c r="C420" s="93">
        <v>1.1573404316879801</v>
      </c>
      <c r="D420" s="85" t="s">
        <v>830</v>
      </c>
      <c r="F420" s="91">
        <v>40308</v>
      </c>
      <c r="G420">
        <v>541.58000000000004</v>
      </c>
      <c r="H420">
        <v>602.96</v>
      </c>
      <c r="I420" s="94">
        <v>559.63</v>
      </c>
      <c r="J420" s="94">
        <v>544.66</v>
      </c>
      <c r="K420" s="94">
        <v>604.41999999999996</v>
      </c>
      <c r="L420" s="94">
        <v>575.58000000000004</v>
      </c>
      <c r="M420" s="94">
        <v>546.55999999999995</v>
      </c>
      <c r="N420" s="94">
        <v>581.16</v>
      </c>
      <c r="O420" s="94">
        <v>549.08000000000004</v>
      </c>
      <c r="P420" s="94">
        <v>527.71</v>
      </c>
      <c r="Q420" s="94">
        <v>602.37</v>
      </c>
      <c r="R420" s="94">
        <v>559.92999999999995</v>
      </c>
      <c r="S420" s="94">
        <v>588.79</v>
      </c>
      <c r="T420" s="94">
        <v>521.99</v>
      </c>
      <c r="U420" s="94">
        <v>532.99</v>
      </c>
    </row>
    <row r="421" spans="1:21">
      <c r="A421" s="91">
        <v>40301</v>
      </c>
      <c r="B421" s="86">
        <v>40301</v>
      </c>
      <c r="C421" s="93">
        <v>1.1520737327188899</v>
      </c>
      <c r="D421" s="85" t="s">
        <v>831</v>
      </c>
      <c r="F421" s="91">
        <v>40301</v>
      </c>
      <c r="G421">
        <v>544.08000000000004</v>
      </c>
      <c r="H421">
        <v>602.96</v>
      </c>
      <c r="I421" s="94">
        <v>551.36</v>
      </c>
      <c r="J421" s="94">
        <v>569.03</v>
      </c>
      <c r="K421" s="94">
        <v>617.27</v>
      </c>
      <c r="L421" s="94">
        <v>575.58000000000004</v>
      </c>
      <c r="M421" s="94">
        <v>544.64</v>
      </c>
      <c r="N421" s="94">
        <v>577.01</v>
      </c>
      <c r="O421" s="94">
        <v>547.01</v>
      </c>
      <c r="P421" s="94">
        <v>527.71</v>
      </c>
      <c r="Q421" s="94">
        <v>606.53</v>
      </c>
      <c r="R421" s="94">
        <v>566.65</v>
      </c>
      <c r="S421" s="94">
        <v>589.16</v>
      </c>
      <c r="T421" s="94">
        <v>534.47</v>
      </c>
      <c r="U421" s="94">
        <v>529.32000000000005</v>
      </c>
    </row>
    <row r="422" spans="1:21">
      <c r="A422" s="91">
        <v>40294</v>
      </c>
      <c r="B422" s="86">
        <v>40294</v>
      </c>
      <c r="C422" s="93">
        <v>1.1595547309832999</v>
      </c>
      <c r="D422" s="85" t="s">
        <v>832</v>
      </c>
      <c r="F422" s="91">
        <v>40294</v>
      </c>
      <c r="G422">
        <v>529.91</v>
      </c>
      <c r="H422">
        <v>553.37</v>
      </c>
      <c r="I422" s="94">
        <v>548.16999999999996</v>
      </c>
      <c r="J422" s="94">
        <v>553.05999999999995</v>
      </c>
      <c r="K422" s="94">
        <v>609.78</v>
      </c>
      <c r="L422" s="94">
        <v>575.58000000000004</v>
      </c>
      <c r="M422" s="94">
        <v>541.79</v>
      </c>
      <c r="N422" s="94">
        <v>573.98</v>
      </c>
      <c r="O422" s="94">
        <v>556.96</v>
      </c>
      <c r="P422" s="94">
        <v>527.71</v>
      </c>
      <c r="Q422" s="94">
        <v>594.05999999999995</v>
      </c>
      <c r="R422" s="94">
        <v>615.39</v>
      </c>
      <c r="S422" s="94">
        <v>577.03</v>
      </c>
      <c r="T422" s="94">
        <v>536.79</v>
      </c>
      <c r="U422" s="94">
        <v>530.82000000000005</v>
      </c>
    </row>
    <row r="423" spans="1:21">
      <c r="A423" s="91">
        <v>40287</v>
      </c>
      <c r="B423" s="86">
        <v>40287</v>
      </c>
      <c r="C423" s="93">
        <v>1.13571834185122</v>
      </c>
      <c r="D423" s="85" t="s">
        <v>833</v>
      </c>
      <c r="F423" s="91">
        <v>40287</v>
      </c>
      <c r="G423">
        <v>535.74</v>
      </c>
      <c r="H423">
        <v>592.22</v>
      </c>
      <c r="I423" s="94">
        <v>553.63</v>
      </c>
      <c r="J423" s="94">
        <v>547.17999999999995</v>
      </c>
      <c r="K423" s="94">
        <v>606.5</v>
      </c>
      <c r="L423" s="94">
        <v>561.46</v>
      </c>
      <c r="M423" s="94">
        <v>539.28</v>
      </c>
      <c r="N423" s="94">
        <v>577.24</v>
      </c>
      <c r="O423" s="94">
        <v>552.44000000000005</v>
      </c>
      <c r="P423" s="94">
        <v>493</v>
      </c>
      <c r="Q423" s="94">
        <v>596.1</v>
      </c>
      <c r="R423" s="94">
        <v>555.73</v>
      </c>
      <c r="S423" s="94">
        <v>578.80999999999995</v>
      </c>
      <c r="T423" s="94">
        <v>513.1</v>
      </c>
      <c r="U423" s="94">
        <v>515.73</v>
      </c>
    </row>
    <row r="424" spans="1:21">
      <c r="A424" s="91">
        <v>40280</v>
      </c>
      <c r="B424" s="86">
        <v>40280</v>
      </c>
      <c r="C424" s="93">
        <v>1.1331444759206799</v>
      </c>
      <c r="D424" s="85" t="s">
        <v>834</v>
      </c>
      <c r="F424" s="91">
        <v>40280</v>
      </c>
      <c r="G424">
        <v>534.91</v>
      </c>
      <c r="H424">
        <v>607.09</v>
      </c>
      <c r="I424" s="94">
        <v>545.1</v>
      </c>
      <c r="J424" s="94">
        <v>538.78</v>
      </c>
      <c r="K424" s="94">
        <v>606.48</v>
      </c>
      <c r="L424" s="94">
        <v>562.70000000000005</v>
      </c>
      <c r="M424" s="94">
        <v>550.91</v>
      </c>
      <c r="N424" s="94">
        <v>570.42999999999995</v>
      </c>
      <c r="O424" s="94">
        <v>552.41</v>
      </c>
      <c r="P424" s="94">
        <v>493</v>
      </c>
      <c r="Q424" s="94">
        <v>596.52</v>
      </c>
      <c r="R424" s="94">
        <v>555.73</v>
      </c>
      <c r="S424" s="94">
        <v>585.15</v>
      </c>
      <c r="T424" s="94">
        <v>518.78</v>
      </c>
      <c r="U424" s="94">
        <v>508.65</v>
      </c>
    </row>
    <row r="425" spans="1:21">
      <c r="A425" s="91">
        <v>40266</v>
      </c>
      <c r="B425" s="86">
        <v>40266</v>
      </c>
      <c r="C425" s="93">
        <v>1.1118523460084497</v>
      </c>
      <c r="D425" s="85" t="s">
        <v>494</v>
      </c>
      <c r="F425" s="91">
        <v>40266</v>
      </c>
      <c r="G425">
        <v>521.15</v>
      </c>
      <c r="H425">
        <v>554.20000000000005</v>
      </c>
      <c r="I425" s="94">
        <v>528.05999999999995</v>
      </c>
      <c r="J425" s="94">
        <v>564.20000000000005</v>
      </c>
      <c r="K425" s="94">
        <v>600.12</v>
      </c>
      <c r="L425" s="94">
        <v>555.12</v>
      </c>
      <c r="M425" s="94">
        <v>528.83000000000004</v>
      </c>
      <c r="N425" s="94">
        <v>561.61</v>
      </c>
      <c r="O425" s="94">
        <v>529.94000000000005</v>
      </c>
      <c r="P425" s="94">
        <v>493</v>
      </c>
      <c r="Q425" s="94">
        <v>583.91</v>
      </c>
      <c r="R425" s="94">
        <v>546.49</v>
      </c>
      <c r="S425" s="94">
        <v>571.23</v>
      </c>
      <c r="T425" s="94">
        <v>509</v>
      </c>
      <c r="U425" s="94">
        <v>485.03</v>
      </c>
    </row>
    <row r="426" spans="1:21">
      <c r="A426" s="91">
        <v>40259</v>
      </c>
      <c r="B426" s="86">
        <v>40259</v>
      </c>
      <c r="C426" s="93">
        <v>1.1123470522803101</v>
      </c>
      <c r="D426" s="85" t="s">
        <v>835</v>
      </c>
      <c r="F426" s="91">
        <v>40259</v>
      </c>
      <c r="G426">
        <v>511.99</v>
      </c>
      <c r="H426">
        <v>543.45000000000005</v>
      </c>
      <c r="I426" s="94">
        <v>530.76</v>
      </c>
      <c r="J426" s="94">
        <v>511.89</v>
      </c>
      <c r="K426" s="94">
        <v>591.63</v>
      </c>
      <c r="L426" s="94">
        <v>555.12</v>
      </c>
      <c r="M426" s="94">
        <v>531.59</v>
      </c>
      <c r="N426" s="94">
        <v>559.23</v>
      </c>
      <c r="O426" s="94">
        <v>531.53</v>
      </c>
      <c r="P426" s="94">
        <v>493</v>
      </c>
      <c r="Q426" s="94">
        <v>583.07000000000005</v>
      </c>
      <c r="R426" s="94">
        <v>538.08000000000004</v>
      </c>
      <c r="S426" s="94">
        <v>562.16999999999996</v>
      </c>
      <c r="T426" s="94">
        <v>501.72</v>
      </c>
      <c r="U426" s="94">
        <v>478.71</v>
      </c>
    </row>
    <row r="427" spans="1:21">
      <c r="A427" s="91">
        <v>40252</v>
      </c>
      <c r="B427" s="86">
        <v>40252</v>
      </c>
      <c r="C427" s="93">
        <v>1.0982976386600798</v>
      </c>
      <c r="D427" s="85" t="s">
        <v>836</v>
      </c>
      <c r="F427" s="91">
        <v>40252</v>
      </c>
      <c r="G427">
        <v>499.49</v>
      </c>
      <c r="H427">
        <v>557.5</v>
      </c>
      <c r="I427" s="94">
        <v>523.77</v>
      </c>
      <c r="J427" s="94">
        <v>548.02</v>
      </c>
      <c r="K427" s="94">
        <v>593.71</v>
      </c>
      <c r="L427" s="94">
        <v>509.18</v>
      </c>
      <c r="M427" s="94">
        <v>525.32000000000005</v>
      </c>
      <c r="N427" s="94">
        <v>550.54999999999995</v>
      </c>
      <c r="O427" s="94">
        <v>534.45000000000005</v>
      </c>
      <c r="P427" s="94">
        <v>469.86</v>
      </c>
      <c r="Q427" s="94">
        <v>571.96</v>
      </c>
      <c r="R427" s="94">
        <v>544.80999999999995</v>
      </c>
      <c r="S427" s="94">
        <v>560.14</v>
      </c>
      <c r="T427" s="94">
        <v>492.47</v>
      </c>
      <c r="U427" s="94">
        <v>462.08</v>
      </c>
    </row>
    <row r="428" spans="1:21">
      <c r="A428" s="91">
        <v>40245</v>
      </c>
      <c r="B428" s="86">
        <v>40245</v>
      </c>
      <c r="C428" s="93">
        <v>1.1081560283687899</v>
      </c>
      <c r="D428" s="85" t="s">
        <v>837</v>
      </c>
      <c r="F428" s="91">
        <v>40245</v>
      </c>
      <c r="G428">
        <v>467.82</v>
      </c>
      <c r="H428">
        <v>498</v>
      </c>
      <c r="I428" s="94">
        <v>509.26</v>
      </c>
      <c r="J428" s="94">
        <v>490.88</v>
      </c>
      <c r="K428" s="94">
        <v>567.86</v>
      </c>
      <c r="L428" s="94">
        <v>505.87</v>
      </c>
      <c r="M428" s="94">
        <v>512.78</v>
      </c>
      <c r="N428" s="94">
        <v>529.75</v>
      </c>
      <c r="O428" s="94">
        <v>513.89</v>
      </c>
      <c r="P428" s="94">
        <v>469.86</v>
      </c>
      <c r="Q428" s="94">
        <v>563.02</v>
      </c>
      <c r="R428" s="94">
        <v>531.36</v>
      </c>
      <c r="S428" s="94">
        <v>542.49</v>
      </c>
      <c r="T428" s="94">
        <v>494.25</v>
      </c>
      <c r="U428" s="94">
        <v>449.76</v>
      </c>
    </row>
    <row r="429" spans="1:21">
      <c r="A429" s="91">
        <v>40238</v>
      </c>
      <c r="B429" s="86">
        <v>40238</v>
      </c>
      <c r="C429" s="93">
        <v>1.10290062865336</v>
      </c>
      <c r="D429" s="85" t="s">
        <v>838</v>
      </c>
      <c r="F429" s="91">
        <v>40238</v>
      </c>
      <c r="G429">
        <v>455.32</v>
      </c>
      <c r="H429">
        <v>515.36</v>
      </c>
      <c r="I429" s="94">
        <v>494.16</v>
      </c>
      <c r="J429" s="94">
        <v>469.87</v>
      </c>
      <c r="K429" s="94">
        <v>557.05999999999995</v>
      </c>
      <c r="L429" s="94">
        <v>490.02</v>
      </c>
      <c r="M429" s="94">
        <v>509.52</v>
      </c>
      <c r="N429" s="94">
        <v>528.79999999999995</v>
      </c>
      <c r="O429" s="94">
        <v>506.32</v>
      </c>
      <c r="P429" s="94">
        <v>469.86</v>
      </c>
      <c r="Q429" s="94">
        <v>546.98</v>
      </c>
      <c r="R429" s="94">
        <v>512.87</v>
      </c>
      <c r="S429" s="94">
        <v>528.53</v>
      </c>
      <c r="T429" s="94">
        <v>481.73</v>
      </c>
      <c r="U429" s="94">
        <v>435.47</v>
      </c>
    </row>
    <row r="430" spans="1:21">
      <c r="A430" s="91">
        <v>40231</v>
      </c>
      <c r="B430" s="86">
        <v>40231</v>
      </c>
      <c r="C430" s="93">
        <v>1.1367511651699398</v>
      </c>
      <c r="D430" s="85" t="s">
        <v>839</v>
      </c>
      <c r="F430" s="91">
        <v>40231</v>
      </c>
      <c r="G430">
        <v>439.49</v>
      </c>
      <c r="H430">
        <v>499.65</v>
      </c>
      <c r="I430" s="94">
        <v>484.3</v>
      </c>
      <c r="J430" s="94">
        <v>447.39</v>
      </c>
      <c r="K430" s="94">
        <v>559.14</v>
      </c>
      <c r="L430" s="94">
        <v>494.43</v>
      </c>
      <c r="M430" s="94">
        <v>483.52</v>
      </c>
      <c r="N430" s="94">
        <v>512.45000000000005</v>
      </c>
      <c r="O430" s="94">
        <v>488.15</v>
      </c>
      <c r="P430" s="94">
        <v>464.9</v>
      </c>
      <c r="Q430" s="94">
        <v>528.58000000000004</v>
      </c>
      <c r="R430" s="94">
        <v>509.51</v>
      </c>
      <c r="S430" s="94">
        <v>518.61</v>
      </c>
      <c r="T430" s="94">
        <v>479.56</v>
      </c>
      <c r="U430" s="94">
        <v>440.59</v>
      </c>
    </row>
    <row r="431" spans="1:21">
      <c r="A431" s="91">
        <v>40224</v>
      </c>
      <c r="B431" s="86">
        <v>40224</v>
      </c>
      <c r="C431" s="93">
        <v>1.1526048870447199</v>
      </c>
      <c r="D431" s="85" t="s">
        <v>840</v>
      </c>
      <c r="F431" s="91">
        <v>40224</v>
      </c>
      <c r="G431">
        <v>423.65</v>
      </c>
      <c r="H431">
        <v>458.33</v>
      </c>
      <c r="I431" s="94">
        <v>482.21</v>
      </c>
      <c r="J431" s="94">
        <v>437.1</v>
      </c>
      <c r="K431" s="94">
        <v>535.49</v>
      </c>
      <c r="L431" s="94">
        <v>510.76</v>
      </c>
      <c r="M431" s="94">
        <v>477.91</v>
      </c>
      <c r="N431" s="94">
        <v>505.05</v>
      </c>
      <c r="O431" s="94">
        <v>485.85</v>
      </c>
      <c r="P431" s="94">
        <v>464.9</v>
      </c>
      <c r="Q431" s="94">
        <v>525.15</v>
      </c>
      <c r="R431" s="94">
        <v>472.54</v>
      </c>
      <c r="S431" s="94">
        <v>510.79</v>
      </c>
      <c r="T431" s="94">
        <v>443.7</v>
      </c>
      <c r="U431" s="94">
        <v>449.95</v>
      </c>
    </row>
    <row r="432" spans="1:21">
      <c r="A432" s="91">
        <v>40217</v>
      </c>
      <c r="B432" s="86">
        <v>40217</v>
      </c>
      <c r="C432" s="93">
        <v>1.1414222120762498</v>
      </c>
      <c r="D432" s="85" t="s">
        <v>393</v>
      </c>
      <c r="F432" s="91">
        <v>40217</v>
      </c>
      <c r="G432">
        <v>441.15</v>
      </c>
      <c r="H432">
        <v>446.76</v>
      </c>
      <c r="I432" s="94">
        <v>481.06</v>
      </c>
      <c r="J432" s="94">
        <v>460.63</v>
      </c>
      <c r="K432" s="94">
        <v>531.15</v>
      </c>
      <c r="L432" s="94">
        <v>510.76</v>
      </c>
      <c r="M432" s="94">
        <v>484.1</v>
      </c>
      <c r="N432" s="94">
        <v>513.64</v>
      </c>
      <c r="O432" s="94">
        <v>472.68</v>
      </c>
      <c r="P432" s="94">
        <v>464.9</v>
      </c>
      <c r="Q432" s="94">
        <v>536.67999999999995</v>
      </c>
      <c r="R432" s="94">
        <v>485.98</v>
      </c>
      <c r="S432" s="94">
        <v>516.32000000000005</v>
      </c>
      <c r="T432" s="94">
        <v>440.09</v>
      </c>
      <c r="U432" s="94">
        <v>446.15</v>
      </c>
    </row>
    <row r="433" spans="1:21">
      <c r="A433" s="91">
        <v>40210</v>
      </c>
      <c r="B433" s="86">
        <v>40210</v>
      </c>
      <c r="C433" s="93">
        <v>1.1430530948162498</v>
      </c>
      <c r="D433" s="85" t="s">
        <v>841</v>
      </c>
      <c r="F433" s="91">
        <v>40210</v>
      </c>
      <c r="G433">
        <v>425.32</v>
      </c>
      <c r="H433">
        <v>464.94</v>
      </c>
      <c r="I433" s="94">
        <v>487.28</v>
      </c>
      <c r="J433" s="94">
        <v>463.99</v>
      </c>
      <c r="K433" s="94">
        <v>527.84</v>
      </c>
      <c r="L433" s="94">
        <v>504.14</v>
      </c>
      <c r="M433" s="94">
        <v>475.41</v>
      </c>
      <c r="N433" s="94">
        <v>512.92999999999995</v>
      </c>
      <c r="O433" s="94">
        <v>477.12</v>
      </c>
      <c r="P433" s="94">
        <v>464.9</v>
      </c>
      <c r="Q433" s="94">
        <v>529.83000000000004</v>
      </c>
      <c r="R433" s="94">
        <v>480.94</v>
      </c>
      <c r="S433" s="94">
        <v>507.63</v>
      </c>
      <c r="T433" s="94">
        <v>444.9</v>
      </c>
      <c r="U433" s="94">
        <v>446.35</v>
      </c>
    </row>
    <row r="434" spans="1:21">
      <c r="A434" s="91">
        <v>40203</v>
      </c>
      <c r="B434" s="86">
        <v>40203</v>
      </c>
      <c r="C434" s="93">
        <v>1.1398609369656898</v>
      </c>
      <c r="D434" s="85" t="s">
        <v>842</v>
      </c>
      <c r="F434" s="91">
        <v>40203</v>
      </c>
      <c r="G434">
        <v>442.82</v>
      </c>
      <c r="H434">
        <v>455.03</v>
      </c>
      <c r="I434" s="94">
        <v>493.32</v>
      </c>
      <c r="J434" s="94">
        <v>470.71</v>
      </c>
      <c r="K434" s="94">
        <v>542.91</v>
      </c>
      <c r="L434" s="94">
        <v>510.76</v>
      </c>
      <c r="M434" s="94">
        <v>478.33</v>
      </c>
      <c r="N434" s="94">
        <v>512.89</v>
      </c>
      <c r="O434" s="94">
        <v>477.55</v>
      </c>
      <c r="P434" s="94">
        <v>464.9</v>
      </c>
      <c r="Q434" s="94">
        <v>530.86</v>
      </c>
      <c r="R434" s="94">
        <v>487.66</v>
      </c>
      <c r="S434" s="94">
        <v>511.93</v>
      </c>
      <c r="T434" s="94">
        <v>431.84</v>
      </c>
      <c r="U434" s="94">
        <v>444.72</v>
      </c>
    </row>
    <row r="435" spans="1:21">
      <c r="A435" s="91">
        <v>40196</v>
      </c>
      <c r="B435" s="86">
        <v>40196</v>
      </c>
      <c r="C435" s="93">
        <v>1.1370096645821499</v>
      </c>
      <c r="D435" s="85" t="s">
        <v>481</v>
      </c>
      <c r="F435" s="91">
        <v>40196</v>
      </c>
      <c r="G435">
        <v>462.82</v>
      </c>
      <c r="H435">
        <v>481.47</v>
      </c>
      <c r="I435" s="94">
        <v>502.14</v>
      </c>
      <c r="J435" s="94">
        <v>476.59</v>
      </c>
      <c r="K435" s="94">
        <v>538.85</v>
      </c>
      <c r="L435" s="94">
        <v>509.34</v>
      </c>
      <c r="M435" s="94">
        <v>486.78</v>
      </c>
      <c r="N435" s="94">
        <v>517.08000000000004</v>
      </c>
      <c r="O435" s="94">
        <v>489.74</v>
      </c>
      <c r="P435" s="94">
        <v>464.9</v>
      </c>
      <c r="Q435" s="94">
        <v>532.62</v>
      </c>
      <c r="R435" s="94">
        <v>487.66</v>
      </c>
      <c r="S435" s="94">
        <v>515.47</v>
      </c>
      <c r="T435" s="94">
        <v>441.48</v>
      </c>
      <c r="U435" s="94">
        <v>441.05</v>
      </c>
    </row>
    <row r="436" spans="1:21">
      <c r="A436" s="91">
        <v>40189</v>
      </c>
      <c r="B436" s="86">
        <v>40189</v>
      </c>
      <c r="C436" s="93">
        <v>1.1124707976415598</v>
      </c>
      <c r="D436" s="85" t="s">
        <v>843</v>
      </c>
      <c r="F436" s="91">
        <v>40189</v>
      </c>
      <c r="G436">
        <v>466.99</v>
      </c>
      <c r="H436">
        <v>488.91</v>
      </c>
      <c r="I436" s="94">
        <v>475.37</v>
      </c>
      <c r="J436" s="94">
        <v>519.45000000000005</v>
      </c>
      <c r="K436" s="94">
        <v>552.88</v>
      </c>
      <c r="L436" s="94">
        <v>520.37</v>
      </c>
      <c r="M436" s="94">
        <v>483.6</v>
      </c>
      <c r="N436" s="94">
        <v>505.17</v>
      </c>
      <c r="O436" s="94">
        <v>492.03</v>
      </c>
      <c r="P436" s="94">
        <v>420.27</v>
      </c>
      <c r="Q436" s="94">
        <v>528.29999999999995</v>
      </c>
      <c r="R436" s="94">
        <v>498.59</v>
      </c>
      <c r="S436" s="94">
        <v>519.12</v>
      </c>
      <c r="T436" s="94">
        <v>454.14</v>
      </c>
      <c r="U436" s="94">
        <v>423.2</v>
      </c>
    </row>
    <row r="437" spans="1:21" ht="15.75" thickBot="1">
      <c r="A437" s="92">
        <v>40182</v>
      </c>
      <c r="B437" s="86">
        <v>40182</v>
      </c>
      <c r="C437" s="93">
        <v>1.12183082791115</v>
      </c>
      <c r="D437" s="85" t="s">
        <v>844</v>
      </c>
      <c r="F437" s="92">
        <v>40182</v>
      </c>
      <c r="G437">
        <v>430.32</v>
      </c>
      <c r="H437">
        <v>438.5</v>
      </c>
      <c r="I437" s="94">
        <v>450.13</v>
      </c>
      <c r="J437" s="94">
        <v>449.7</v>
      </c>
      <c r="K437" s="94">
        <v>527.04</v>
      </c>
      <c r="L437" s="94">
        <v>501.89</v>
      </c>
      <c r="M437" s="94">
        <v>441.37</v>
      </c>
      <c r="N437" s="94">
        <v>485.26</v>
      </c>
      <c r="O437" s="94">
        <v>475.65</v>
      </c>
      <c r="P437" s="94">
        <v>420.27</v>
      </c>
      <c r="Q437" s="94">
        <v>514.30999999999995</v>
      </c>
      <c r="R437" s="94">
        <v>487.66</v>
      </c>
      <c r="S437" s="94">
        <v>502.97</v>
      </c>
      <c r="T437" s="94">
        <v>446.58</v>
      </c>
      <c r="U437" s="94">
        <v>413.56</v>
      </c>
    </row>
    <row r="438" spans="1:21">
      <c r="A438" s="91">
        <v>40168</v>
      </c>
      <c r="B438" s="86">
        <v>40168</v>
      </c>
      <c r="C438" s="93">
        <v>1.1213276519399</v>
      </c>
      <c r="D438" s="85" t="s">
        <v>845</v>
      </c>
      <c r="F438" s="91">
        <v>40168</v>
      </c>
      <c r="G438">
        <v>426.99</v>
      </c>
      <c r="H438">
        <v>424.45</v>
      </c>
      <c r="I438" s="94">
        <v>458.39</v>
      </c>
      <c r="J438" s="94">
        <v>428.69</v>
      </c>
      <c r="K438" s="94">
        <v>493.05</v>
      </c>
      <c r="L438" s="94">
        <v>471.91</v>
      </c>
      <c r="M438" s="94">
        <v>437.36</v>
      </c>
      <c r="N438" s="94">
        <v>475.79</v>
      </c>
      <c r="O438" s="94">
        <v>452.77</v>
      </c>
      <c r="P438" s="94">
        <v>420.27</v>
      </c>
      <c r="Q438" s="94">
        <v>489.32</v>
      </c>
      <c r="R438" s="94">
        <v>457.3</v>
      </c>
      <c r="S438" s="94">
        <v>471.1</v>
      </c>
      <c r="T438" s="94">
        <v>394.48</v>
      </c>
      <c r="U438" s="94">
        <v>417.8</v>
      </c>
    </row>
    <row r="439" spans="1:21">
      <c r="A439" s="91">
        <v>40161</v>
      </c>
      <c r="B439" s="86">
        <v>40161</v>
      </c>
      <c r="C439" s="93">
        <v>1.1103708638685299</v>
      </c>
      <c r="D439" s="85" t="s">
        <v>846</v>
      </c>
      <c r="F439" s="91">
        <v>40161</v>
      </c>
      <c r="G439">
        <v>430.32</v>
      </c>
      <c r="H439">
        <v>439.32</v>
      </c>
      <c r="I439" s="94">
        <v>469.56</v>
      </c>
      <c r="J439" s="94">
        <v>421.13</v>
      </c>
      <c r="K439" s="94">
        <v>488.74</v>
      </c>
      <c r="L439" s="94">
        <v>468.88</v>
      </c>
      <c r="M439" s="94">
        <v>444.97</v>
      </c>
      <c r="N439" s="94">
        <v>484.12</v>
      </c>
      <c r="O439" s="94">
        <v>465.45</v>
      </c>
      <c r="P439" s="94">
        <v>412.83</v>
      </c>
      <c r="Q439" s="94">
        <v>494.59</v>
      </c>
      <c r="R439" s="94">
        <v>460.66</v>
      </c>
      <c r="S439" s="94">
        <v>477.73</v>
      </c>
      <c r="T439" s="94">
        <v>389.16</v>
      </c>
      <c r="U439" s="94">
        <v>423.66</v>
      </c>
    </row>
    <row r="440" spans="1:21">
      <c r="A440" s="91">
        <v>40154</v>
      </c>
      <c r="B440" s="86">
        <v>40154</v>
      </c>
      <c r="C440" s="93">
        <v>1.1049113308656999</v>
      </c>
      <c r="D440" s="85" t="s">
        <v>847</v>
      </c>
      <c r="F440" s="91">
        <v>40154</v>
      </c>
      <c r="G440">
        <v>448.65</v>
      </c>
      <c r="H440">
        <v>449.24</v>
      </c>
      <c r="I440" s="94">
        <v>473.05</v>
      </c>
      <c r="J440" s="94">
        <v>449.7</v>
      </c>
      <c r="K440" s="94">
        <v>511.31</v>
      </c>
      <c r="L440" s="94">
        <v>484.59</v>
      </c>
      <c r="M440" s="94">
        <v>448.65</v>
      </c>
      <c r="N440" s="94">
        <v>483.94</v>
      </c>
      <c r="O440" s="94">
        <v>470.21</v>
      </c>
      <c r="P440" s="94">
        <v>457.23</v>
      </c>
      <c r="Q440" s="94">
        <v>503.56</v>
      </c>
      <c r="R440" s="94">
        <v>473.27</v>
      </c>
      <c r="S440" s="94">
        <v>485.53</v>
      </c>
      <c r="T440" s="94">
        <v>409.56</v>
      </c>
      <c r="U440" s="94">
        <v>422.93</v>
      </c>
    </row>
    <row r="441" spans="1:21">
      <c r="A441" s="91">
        <v>40147</v>
      </c>
      <c r="B441" s="86">
        <v>40147</v>
      </c>
      <c r="C441" s="93">
        <v>1.0970325270144301</v>
      </c>
      <c r="D441" s="85" t="s">
        <v>452</v>
      </c>
      <c r="F441" s="91">
        <v>40147</v>
      </c>
      <c r="G441">
        <v>440.32</v>
      </c>
      <c r="H441">
        <v>452.55</v>
      </c>
      <c r="I441" s="94">
        <v>470.36</v>
      </c>
      <c r="J441" s="94">
        <v>435.42</v>
      </c>
      <c r="K441" s="94">
        <v>509.11</v>
      </c>
      <c r="L441" s="94">
        <v>484.59</v>
      </c>
      <c r="M441" s="94">
        <v>444.97</v>
      </c>
      <c r="N441" s="94">
        <v>488.2</v>
      </c>
      <c r="O441" s="94">
        <v>464</v>
      </c>
      <c r="P441" s="94">
        <v>457.23</v>
      </c>
      <c r="Q441" s="94">
        <v>503.74</v>
      </c>
      <c r="R441" s="94">
        <v>471.59</v>
      </c>
      <c r="S441" s="94">
        <v>482.42</v>
      </c>
      <c r="T441" s="94">
        <v>412.5</v>
      </c>
      <c r="U441" s="94">
        <v>421.39</v>
      </c>
    </row>
    <row r="442" spans="1:21">
      <c r="A442" s="91">
        <v>40140</v>
      </c>
      <c r="B442" s="86">
        <v>40140</v>
      </c>
      <c r="C442" s="93">
        <v>1.1101859561476499</v>
      </c>
      <c r="D442" s="85" t="s">
        <v>848</v>
      </c>
      <c r="F442" s="91">
        <v>40140</v>
      </c>
      <c r="G442">
        <v>448.65</v>
      </c>
      <c r="H442">
        <v>424.45</v>
      </c>
      <c r="I442" s="94">
        <v>471.1</v>
      </c>
      <c r="J442" s="94">
        <v>452.22</v>
      </c>
      <c r="K442" s="94">
        <v>516.70000000000005</v>
      </c>
      <c r="L442" s="94">
        <v>491.07</v>
      </c>
      <c r="M442" s="94">
        <v>452.66</v>
      </c>
      <c r="N442" s="94">
        <v>485.53</v>
      </c>
      <c r="O442" s="94">
        <v>475.76</v>
      </c>
      <c r="P442" s="94">
        <v>442.36</v>
      </c>
      <c r="Q442" s="94">
        <v>509.97</v>
      </c>
      <c r="R442" s="94">
        <v>474.11</v>
      </c>
      <c r="S442" s="94">
        <v>488.24</v>
      </c>
      <c r="T442" s="94">
        <v>418.7</v>
      </c>
      <c r="U442" s="94">
        <v>425.87</v>
      </c>
    </row>
    <row r="443" spans="1:21">
      <c r="A443" s="91">
        <v>40133</v>
      </c>
      <c r="B443" s="86">
        <v>40133</v>
      </c>
      <c r="C443" s="93">
        <v>1.11750572721685</v>
      </c>
      <c r="D443" s="85" t="s">
        <v>849</v>
      </c>
      <c r="F443" s="91">
        <v>40133</v>
      </c>
      <c r="G443">
        <v>441.15</v>
      </c>
      <c r="H443">
        <v>446.76</v>
      </c>
      <c r="I443" s="94">
        <v>480.53</v>
      </c>
      <c r="J443" s="94">
        <v>446.34</v>
      </c>
      <c r="K443" s="94">
        <v>505.99</v>
      </c>
      <c r="L443" s="94">
        <v>452.62</v>
      </c>
      <c r="M443" s="94">
        <v>451.33</v>
      </c>
      <c r="N443" s="94">
        <v>492.37</v>
      </c>
      <c r="O443" s="94">
        <v>485.01</v>
      </c>
      <c r="P443" s="94">
        <v>442.36</v>
      </c>
      <c r="Q443" s="94">
        <v>504.84</v>
      </c>
      <c r="R443" s="94">
        <v>474.11</v>
      </c>
      <c r="S443" s="94">
        <v>486.54</v>
      </c>
      <c r="T443" s="94">
        <v>411.21</v>
      </c>
      <c r="U443" s="94">
        <v>426.26</v>
      </c>
    </row>
    <row r="444" spans="1:21">
      <c r="A444" s="91">
        <v>40126</v>
      </c>
      <c r="B444" s="86">
        <v>40126</v>
      </c>
      <c r="C444" s="93">
        <v>1.1190063223857198</v>
      </c>
      <c r="D444" s="85" t="s">
        <v>850</v>
      </c>
      <c r="F444" s="91">
        <v>40126</v>
      </c>
      <c r="G444">
        <v>446.15</v>
      </c>
      <c r="H444">
        <v>436.84</v>
      </c>
      <c r="I444" s="94">
        <v>481.29</v>
      </c>
      <c r="J444" s="94">
        <v>454.74</v>
      </c>
      <c r="K444" s="94">
        <v>516.71</v>
      </c>
      <c r="L444" s="94">
        <v>467.24</v>
      </c>
      <c r="M444" s="94">
        <v>457.43</v>
      </c>
      <c r="N444" s="94">
        <v>494.71</v>
      </c>
      <c r="O444" s="94">
        <v>475.29</v>
      </c>
      <c r="P444" s="94">
        <v>442.36</v>
      </c>
      <c r="Q444" s="94">
        <v>513.57000000000005</v>
      </c>
      <c r="R444" s="94">
        <v>479.99</v>
      </c>
      <c r="S444" s="94">
        <v>493.79</v>
      </c>
      <c r="T444" s="94">
        <v>417.07</v>
      </c>
      <c r="U444" s="94">
        <v>423.1</v>
      </c>
    </row>
    <row r="445" spans="1:21">
      <c r="A445" s="91">
        <v>40119</v>
      </c>
      <c r="B445" s="86">
        <v>40119</v>
      </c>
      <c r="C445" s="93">
        <v>1.10705192073508</v>
      </c>
      <c r="D445" s="85" t="s">
        <v>851</v>
      </c>
      <c r="F445" s="91">
        <v>40119</v>
      </c>
      <c r="G445">
        <v>436.99</v>
      </c>
      <c r="H445">
        <v>426.93</v>
      </c>
      <c r="I445" s="94">
        <v>456.67</v>
      </c>
      <c r="J445" s="94">
        <v>469.03</v>
      </c>
      <c r="K445" s="94">
        <v>524.16</v>
      </c>
      <c r="L445" s="94">
        <v>476.48</v>
      </c>
      <c r="M445" s="94">
        <v>451.24</v>
      </c>
      <c r="N445" s="94">
        <v>490.44</v>
      </c>
      <c r="O445" s="94">
        <v>458.46</v>
      </c>
      <c r="P445" s="94">
        <v>459.71</v>
      </c>
      <c r="Q445" s="94">
        <v>515.07000000000005</v>
      </c>
      <c r="R445" s="94">
        <v>481.67</v>
      </c>
      <c r="S445" s="94">
        <v>495.31</v>
      </c>
      <c r="T445" s="94">
        <v>435.65</v>
      </c>
      <c r="U445" s="94">
        <v>412.13</v>
      </c>
    </row>
    <row r="446" spans="1:21">
      <c r="A446" s="91">
        <v>40112</v>
      </c>
      <c r="B446" s="86">
        <v>40112</v>
      </c>
      <c r="C446" s="93">
        <v>1.0876658690450298</v>
      </c>
      <c r="D446" s="85" t="s">
        <v>852</v>
      </c>
      <c r="F446" s="91">
        <v>40112</v>
      </c>
      <c r="G446">
        <v>432.82</v>
      </c>
      <c r="H446">
        <v>426.93</v>
      </c>
      <c r="I446" s="94">
        <v>449.7</v>
      </c>
      <c r="J446" s="94">
        <v>443.82</v>
      </c>
      <c r="K446" s="94">
        <v>510.12</v>
      </c>
      <c r="L446" s="94">
        <v>466.27</v>
      </c>
      <c r="M446" s="94">
        <v>444.8</v>
      </c>
      <c r="N446" s="94">
        <v>478.76</v>
      </c>
      <c r="O446" s="94">
        <v>460.8</v>
      </c>
      <c r="P446" s="94">
        <v>469.71</v>
      </c>
      <c r="Q446" s="94">
        <v>508.12</v>
      </c>
      <c r="R446" s="94">
        <v>474.11</v>
      </c>
      <c r="S446" s="94">
        <v>485.07</v>
      </c>
      <c r="T446" s="94">
        <v>429.02</v>
      </c>
      <c r="U446" s="94">
        <v>398.53</v>
      </c>
    </row>
    <row r="447" spans="1:21">
      <c r="A447" s="91">
        <v>40105</v>
      </c>
      <c r="B447" s="86">
        <v>40105</v>
      </c>
      <c r="C447" s="93">
        <v>1.09373291042327</v>
      </c>
      <c r="D447" s="85" t="s">
        <v>853</v>
      </c>
      <c r="F447" s="91">
        <v>40105</v>
      </c>
      <c r="G447">
        <v>408.65</v>
      </c>
      <c r="H447">
        <v>398.83</v>
      </c>
      <c r="I447" s="94">
        <v>434.77</v>
      </c>
      <c r="J447" s="94">
        <v>439.62</v>
      </c>
      <c r="K447" s="94">
        <v>498.27</v>
      </c>
      <c r="L447" s="94">
        <v>464.74</v>
      </c>
      <c r="M447" s="94">
        <v>421.56</v>
      </c>
      <c r="N447" s="94">
        <v>457.35</v>
      </c>
      <c r="O447" s="94">
        <v>446.42</v>
      </c>
      <c r="P447" s="94">
        <v>459.71</v>
      </c>
      <c r="Q447" s="94">
        <v>489.72</v>
      </c>
      <c r="R447" s="94">
        <v>458.14</v>
      </c>
      <c r="S447" s="94">
        <v>473.28</v>
      </c>
      <c r="T447" s="94">
        <v>414.7</v>
      </c>
      <c r="U447" s="94">
        <v>384.85</v>
      </c>
    </row>
    <row r="448" spans="1:21">
      <c r="A448" s="91">
        <v>40098</v>
      </c>
      <c r="B448" s="86">
        <v>40098</v>
      </c>
      <c r="C448" s="93">
        <v>1.0714668381013601</v>
      </c>
      <c r="D448" s="85" t="s">
        <v>854</v>
      </c>
      <c r="F448" s="91">
        <v>40098</v>
      </c>
      <c r="G448">
        <v>388.65</v>
      </c>
      <c r="H448">
        <v>410.4</v>
      </c>
      <c r="I448" s="94">
        <v>435.17</v>
      </c>
      <c r="J448" s="94">
        <v>408.53</v>
      </c>
      <c r="K448" s="94">
        <v>471.37</v>
      </c>
      <c r="L448" s="94">
        <v>445.71</v>
      </c>
      <c r="M448" s="94">
        <v>412.36</v>
      </c>
      <c r="N448" s="94">
        <v>455.03</v>
      </c>
      <c r="O448" s="94">
        <v>441.5</v>
      </c>
      <c r="P448" s="94">
        <v>459.71</v>
      </c>
      <c r="Q448" s="94">
        <v>478.65</v>
      </c>
      <c r="R448" s="94">
        <v>437.98</v>
      </c>
      <c r="S448" s="94">
        <v>458.29</v>
      </c>
      <c r="T448" s="94">
        <v>383.77</v>
      </c>
      <c r="U448" s="94">
        <v>373.57</v>
      </c>
    </row>
    <row r="449" spans="1:21">
      <c r="A449" s="91">
        <v>40091</v>
      </c>
      <c r="B449" s="86">
        <v>40091</v>
      </c>
      <c r="C449" s="93">
        <v>1.09039363210119</v>
      </c>
      <c r="D449" s="85" t="s">
        <v>855</v>
      </c>
      <c r="F449" s="91">
        <v>40091</v>
      </c>
      <c r="G449">
        <v>386.99</v>
      </c>
      <c r="H449">
        <v>422.79</v>
      </c>
      <c r="I449" s="94">
        <v>448.04</v>
      </c>
      <c r="J449" s="94">
        <v>448.02</v>
      </c>
      <c r="K449" s="94">
        <v>473.52</v>
      </c>
      <c r="L449" s="94">
        <v>447.64</v>
      </c>
      <c r="M449" s="94">
        <v>405.51</v>
      </c>
      <c r="N449" s="94">
        <v>456.03</v>
      </c>
      <c r="O449" s="94">
        <v>445.68</v>
      </c>
      <c r="P449" s="94">
        <v>459.71</v>
      </c>
      <c r="Q449" s="94">
        <v>466.32</v>
      </c>
      <c r="R449" s="94">
        <v>431.25</v>
      </c>
      <c r="S449" s="94">
        <v>449.57</v>
      </c>
      <c r="T449" s="94">
        <v>383.58</v>
      </c>
      <c r="U449" s="94">
        <v>381.63</v>
      </c>
    </row>
    <row r="450" spans="1:21">
      <c r="A450" s="91">
        <v>40084</v>
      </c>
      <c r="B450" s="86">
        <v>40084</v>
      </c>
      <c r="C450" s="93">
        <v>1.0838346068389999</v>
      </c>
      <c r="D450" s="85" t="s">
        <v>856</v>
      </c>
      <c r="F450" s="91">
        <v>40084</v>
      </c>
      <c r="G450">
        <v>404.49</v>
      </c>
      <c r="H450">
        <v>385.46</v>
      </c>
      <c r="I450" s="94">
        <v>460.68</v>
      </c>
      <c r="J450" s="94">
        <v>412.31</v>
      </c>
      <c r="K450" s="94">
        <v>454.29</v>
      </c>
      <c r="L450" s="94">
        <v>430.13</v>
      </c>
      <c r="M450" s="94">
        <v>421.39</v>
      </c>
      <c r="N450" s="94">
        <v>469.46</v>
      </c>
      <c r="O450" s="94">
        <v>465.02</v>
      </c>
      <c r="P450" s="94">
        <v>469.71</v>
      </c>
      <c r="Q450" s="94">
        <v>470.17</v>
      </c>
      <c r="R450" s="94">
        <v>421.17</v>
      </c>
      <c r="S450" s="94">
        <v>453.51</v>
      </c>
      <c r="T450" s="94">
        <v>362.87</v>
      </c>
      <c r="U450" s="94">
        <v>384.7</v>
      </c>
    </row>
    <row r="451" spans="1:21">
      <c r="A451" s="91">
        <v>40077</v>
      </c>
      <c r="B451" s="86">
        <v>40077</v>
      </c>
      <c r="C451" s="93">
        <v>1.10302228105008</v>
      </c>
      <c r="D451" s="85" t="s">
        <v>857</v>
      </c>
      <c r="F451" s="91">
        <v>40077</v>
      </c>
      <c r="G451">
        <v>412.82</v>
      </c>
      <c r="H451">
        <v>432.09</v>
      </c>
      <c r="I451" s="94">
        <v>473.29</v>
      </c>
      <c r="J451" s="94">
        <v>428.06</v>
      </c>
      <c r="K451" s="94">
        <v>483.38</v>
      </c>
      <c r="L451" s="94">
        <v>485.95</v>
      </c>
      <c r="M451" s="94">
        <v>421.73</v>
      </c>
      <c r="N451" s="94">
        <v>475.96</v>
      </c>
      <c r="O451" s="94">
        <v>460.16</v>
      </c>
      <c r="P451" s="94">
        <v>469.71</v>
      </c>
      <c r="Q451" s="94">
        <v>491.99</v>
      </c>
      <c r="R451" s="94">
        <v>448.9</v>
      </c>
      <c r="S451" s="94">
        <v>470.61</v>
      </c>
      <c r="T451" s="94">
        <v>400.83</v>
      </c>
      <c r="U451" s="94">
        <v>396.49</v>
      </c>
    </row>
    <row r="452" spans="1:21">
      <c r="A452" s="91">
        <v>40070</v>
      </c>
      <c r="B452" s="86">
        <v>40070</v>
      </c>
      <c r="C452" s="93">
        <v>1.1376564277588199</v>
      </c>
      <c r="D452" s="85" t="s">
        <v>407</v>
      </c>
      <c r="F452" s="91">
        <v>40070</v>
      </c>
      <c r="G452">
        <v>424.49</v>
      </c>
      <c r="H452">
        <v>456.68</v>
      </c>
      <c r="I452" s="94">
        <v>478.63</v>
      </c>
      <c r="J452" s="94">
        <v>443.82</v>
      </c>
      <c r="K452" s="94">
        <v>481.1</v>
      </c>
      <c r="L452" s="94">
        <v>468.99</v>
      </c>
      <c r="M452" s="94">
        <v>431.76</v>
      </c>
      <c r="N452" s="94">
        <v>484.27</v>
      </c>
      <c r="O452" s="94">
        <v>457.17</v>
      </c>
      <c r="P452" s="94">
        <v>458.97</v>
      </c>
      <c r="Q452" s="94">
        <v>494.37</v>
      </c>
      <c r="R452" s="94">
        <v>443.02</v>
      </c>
      <c r="S452" s="94">
        <v>472.77</v>
      </c>
      <c r="T452" s="94">
        <v>392.88</v>
      </c>
      <c r="U452" s="94">
        <v>413.65</v>
      </c>
    </row>
    <row r="453" spans="1:21">
      <c r="A453" s="91">
        <v>40063</v>
      </c>
      <c r="B453" s="86">
        <v>40063</v>
      </c>
      <c r="C453" s="93">
        <v>1.1448196908986801</v>
      </c>
      <c r="D453" s="85" t="s">
        <v>858</v>
      </c>
      <c r="F453" s="91">
        <v>40063</v>
      </c>
      <c r="G453">
        <v>428.65</v>
      </c>
      <c r="H453">
        <v>475.69</v>
      </c>
      <c r="I453" s="94">
        <v>485.4</v>
      </c>
      <c r="J453" s="94">
        <v>456.42</v>
      </c>
      <c r="K453" s="94">
        <v>492.91</v>
      </c>
      <c r="L453" s="94">
        <v>477.82</v>
      </c>
      <c r="M453" s="94">
        <v>443.13</v>
      </c>
      <c r="N453" s="94">
        <v>496.64</v>
      </c>
      <c r="O453" s="94">
        <v>472.51</v>
      </c>
      <c r="P453" s="94">
        <v>458.97</v>
      </c>
      <c r="Q453" s="94">
        <v>496.04</v>
      </c>
      <c r="R453" s="94">
        <v>452.26</v>
      </c>
      <c r="S453" s="94">
        <v>482.65</v>
      </c>
      <c r="T453" s="94">
        <v>411.16</v>
      </c>
      <c r="U453" s="94">
        <v>420.41</v>
      </c>
    </row>
    <row r="454" spans="1:21">
      <c r="A454" s="91">
        <v>40056</v>
      </c>
      <c r="B454" s="86">
        <v>40056</v>
      </c>
      <c r="C454" s="93">
        <v>1.1346230215011099</v>
      </c>
      <c r="D454" s="85" t="s">
        <v>859</v>
      </c>
      <c r="F454" s="91">
        <v>40056</v>
      </c>
      <c r="G454">
        <v>439.49</v>
      </c>
      <c r="H454">
        <v>478.17</v>
      </c>
      <c r="I454" s="94">
        <v>492.6</v>
      </c>
      <c r="J454" s="94">
        <v>444.66</v>
      </c>
      <c r="K454" s="94">
        <v>495.09</v>
      </c>
      <c r="L454" s="94">
        <v>481.54</v>
      </c>
      <c r="M454" s="94">
        <v>451.16</v>
      </c>
      <c r="N454" s="94">
        <v>507.42</v>
      </c>
      <c r="O454" s="94">
        <v>484.96</v>
      </c>
      <c r="P454" s="94">
        <v>458.97</v>
      </c>
      <c r="Q454" s="94">
        <v>512.72</v>
      </c>
      <c r="R454" s="94">
        <v>469.91</v>
      </c>
      <c r="S454" s="94">
        <v>492.24</v>
      </c>
      <c r="T454" s="94">
        <v>418.04</v>
      </c>
      <c r="U454" s="94">
        <v>422.19</v>
      </c>
    </row>
    <row r="455" spans="1:21">
      <c r="A455" s="91">
        <v>40049</v>
      </c>
      <c r="B455" s="86">
        <v>40049</v>
      </c>
      <c r="C455" s="93">
        <v>1.1518083390923799</v>
      </c>
      <c r="D455" s="85" t="s">
        <v>860</v>
      </c>
      <c r="F455" s="91">
        <v>40049</v>
      </c>
      <c r="G455">
        <v>445.32</v>
      </c>
      <c r="H455">
        <v>490.56</v>
      </c>
      <c r="I455" s="94">
        <v>496.65</v>
      </c>
      <c r="J455" s="94">
        <v>465.25</v>
      </c>
      <c r="K455" s="94">
        <v>515.51</v>
      </c>
      <c r="L455" s="94">
        <v>502.49</v>
      </c>
      <c r="M455" s="94">
        <v>458.18</v>
      </c>
      <c r="N455" s="94">
        <v>512.34</v>
      </c>
      <c r="O455" s="94">
        <v>492.01</v>
      </c>
      <c r="P455" s="94">
        <v>458.97</v>
      </c>
      <c r="Q455" s="94">
        <v>516.23</v>
      </c>
      <c r="R455" s="94">
        <v>479.99</v>
      </c>
      <c r="S455" s="94">
        <v>504.64</v>
      </c>
      <c r="T455" s="94">
        <v>430.69</v>
      </c>
      <c r="U455" s="94">
        <v>424.48</v>
      </c>
    </row>
    <row r="456" spans="1:21">
      <c r="A456" s="91">
        <v>40042</v>
      </c>
      <c r="B456" s="86">
        <v>40042</v>
      </c>
      <c r="C456" s="93">
        <v>1.15888283694518</v>
      </c>
      <c r="D456" s="85" t="s">
        <v>861</v>
      </c>
      <c r="F456" s="91">
        <v>40042</v>
      </c>
      <c r="G456">
        <v>451.15</v>
      </c>
      <c r="H456">
        <v>512.88</v>
      </c>
      <c r="I456" s="94">
        <v>496.65</v>
      </c>
      <c r="J456" s="94">
        <v>480.79</v>
      </c>
      <c r="K456" s="94">
        <v>521.92999999999995</v>
      </c>
      <c r="L456" s="94">
        <v>526.73</v>
      </c>
      <c r="M456" s="94">
        <v>462.19</v>
      </c>
      <c r="N456" s="94">
        <v>514.52</v>
      </c>
      <c r="O456" s="94">
        <v>481.68</v>
      </c>
      <c r="P456" s="94">
        <v>467.23</v>
      </c>
      <c r="Q456" s="94">
        <v>522.58000000000004</v>
      </c>
      <c r="R456" s="94">
        <v>484.19</v>
      </c>
      <c r="S456" s="94">
        <v>510.74</v>
      </c>
      <c r="T456" s="94">
        <v>423.02</v>
      </c>
      <c r="U456" s="94">
        <v>419.59</v>
      </c>
    </row>
    <row r="457" spans="1:21">
      <c r="A457" s="91">
        <v>40035</v>
      </c>
      <c r="B457" s="86">
        <v>40035</v>
      </c>
      <c r="C457" s="93">
        <v>1.17157752914299</v>
      </c>
      <c r="D457" s="85" t="s">
        <v>455</v>
      </c>
      <c r="F457" s="91">
        <v>40035</v>
      </c>
      <c r="G457">
        <v>442.82</v>
      </c>
      <c r="H457">
        <v>474.03</v>
      </c>
      <c r="I457" s="94">
        <v>474.08</v>
      </c>
      <c r="J457" s="94">
        <v>453.9</v>
      </c>
      <c r="K457" s="94">
        <v>520.75</v>
      </c>
      <c r="L457" s="94">
        <v>528.94000000000005</v>
      </c>
      <c r="M457" s="94">
        <v>461.86</v>
      </c>
      <c r="N457" s="94">
        <v>504.39</v>
      </c>
      <c r="O457" s="94">
        <v>475.2</v>
      </c>
      <c r="P457" s="94">
        <v>467.23</v>
      </c>
      <c r="Q457" s="94">
        <v>525.53</v>
      </c>
      <c r="R457" s="94">
        <v>496.8</v>
      </c>
      <c r="S457" s="94">
        <v>510.95</v>
      </c>
      <c r="T457" s="94">
        <v>441.79</v>
      </c>
      <c r="U457" s="94">
        <v>414.57</v>
      </c>
    </row>
    <row r="458" spans="1:21">
      <c r="A458" s="91">
        <v>40028</v>
      </c>
      <c r="B458" s="86">
        <v>40028</v>
      </c>
      <c r="C458" s="93">
        <v>1.1775788977861501</v>
      </c>
      <c r="D458" s="85" t="s">
        <v>862</v>
      </c>
      <c r="F458" s="91">
        <v>40028</v>
      </c>
      <c r="G458">
        <v>418.65</v>
      </c>
      <c r="H458">
        <v>477.34</v>
      </c>
      <c r="I458" s="94">
        <v>473.01</v>
      </c>
      <c r="J458" s="94">
        <v>469.03</v>
      </c>
      <c r="K458" s="94">
        <v>510.01</v>
      </c>
      <c r="L458" s="94">
        <v>519.29</v>
      </c>
      <c r="M458" s="94">
        <v>429.67</v>
      </c>
      <c r="N458" s="94">
        <v>483.01</v>
      </c>
      <c r="O458" s="94">
        <v>470.57</v>
      </c>
      <c r="P458" s="94">
        <v>467.23</v>
      </c>
      <c r="Q458" s="94">
        <v>502.69</v>
      </c>
      <c r="R458" s="94">
        <v>469.91</v>
      </c>
      <c r="S458" s="94">
        <v>488.17</v>
      </c>
      <c r="T458" s="94">
        <v>438.13</v>
      </c>
      <c r="U458" s="94">
        <v>409.96</v>
      </c>
    </row>
    <row r="459" spans="1:21">
      <c r="A459" s="91">
        <v>40021</v>
      </c>
      <c r="B459" s="86">
        <v>40021</v>
      </c>
      <c r="C459" s="93">
        <v>1.15566855425864</v>
      </c>
      <c r="D459" s="85" t="s">
        <v>863</v>
      </c>
      <c r="F459" s="91">
        <v>40021</v>
      </c>
      <c r="G459">
        <v>412.82</v>
      </c>
      <c r="H459">
        <v>461.64</v>
      </c>
      <c r="I459" s="94">
        <v>466.7</v>
      </c>
      <c r="J459" s="94">
        <v>428.48</v>
      </c>
      <c r="K459" s="94">
        <v>501.42</v>
      </c>
      <c r="L459" s="94">
        <v>512.39</v>
      </c>
      <c r="M459" s="94">
        <v>422.98</v>
      </c>
      <c r="N459" s="94">
        <v>464</v>
      </c>
      <c r="O459" s="94">
        <v>454.32</v>
      </c>
      <c r="P459" s="94">
        <v>467.23</v>
      </c>
      <c r="Q459" s="94">
        <v>502.17</v>
      </c>
      <c r="R459" s="94">
        <v>464.03</v>
      </c>
      <c r="S459" s="94">
        <v>466.18</v>
      </c>
      <c r="T459" s="94">
        <v>421.03</v>
      </c>
      <c r="U459" s="94">
        <v>400.52</v>
      </c>
    </row>
    <row r="460" spans="1:21">
      <c r="A460" s="91">
        <v>40014</v>
      </c>
      <c r="B460" s="86">
        <v>40014</v>
      </c>
      <c r="C460" s="93">
        <v>1.1626555051738199</v>
      </c>
      <c r="D460" s="85" t="s">
        <v>864</v>
      </c>
      <c r="F460" s="91">
        <v>40014</v>
      </c>
      <c r="G460">
        <v>401.15</v>
      </c>
      <c r="H460">
        <v>393.45</v>
      </c>
      <c r="I460" s="94">
        <v>470.33</v>
      </c>
      <c r="J460" s="94">
        <v>408.53</v>
      </c>
      <c r="K460" s="94">
        <v>471.25</v>
      </c>
      <c r="L460" s="94">
        <v>489.51</v>
      </c>
      <c r="M460" s="94">
        <v>415.71</v>
      </c>
      <c r="N460" s="94">
        <v>462.65</v>
      </c>
      <c r="O460" s="94">
        <v>445.9</v>
      </c>
      <c r="P460" s="94">
        <v>439.13</v>
      </c>
      <c r="Q460" s="94">
        <v>478.74</v>
      </c>
      <c r="R460" s="94">
        <v>429.57</v>
      </c>
      <c r="S460" s="94">
        <v>455.64</v>
      </c>
      <c r="T460" s="94">
        <v>388.28</v>
      </c>
      <c r="U460" s="94">
        <v>403.39</v>
      </c>
    </row>
    <row r="461" spans="1:21">
      <c r="A461" s="91">
        <v>40007</v>
      </c>
      <c r="B461" s="86">
        <v>40007</v>
      </c>
      <c r="C461" s="93">
        <v>1.1523392486748101</v>
      </c>
      <c r="D461" s="85" t="s">
        <v>865</v>
      </c>
      <c r="F461" s="91">
        <v>40007</v>
      </c>
      <c r="G461">
        <v>414.49</v>
      </c>
      <c r="H461">
        <v>393.45</v>
      </c>
      <c r="I461" s="94">
        <v>476.58</v>
      </c>
      <c r="J461" s="94">
        <v>408.74</v>
      </c>
      <c r="K461" s="94">
        <v>461.65</v>
      </c>
      <c r="L461" s="94">
        <v>493.14</v>
      </c>
      <c r="M461" s="94">
        <v>418.97</v>
      </c>
      <c r="N461" s="94">
        <v>476.8</v>
      </c>
      <c r="O461" s="94">
        <v>454.99</v>
      </c>
      <c r="P461" s="94">
        <v>439.13</v>
      </c>
      <c r="Q461" s="94">
        <v>485.61</v>
      </c>
      <c r="R461" s="94">
        <v>431.25</v>
      </c>
      <c r="S461" s="94">
        <v>467.62</v>
      </c>
      <c r="T461" s="94">
        <v>379.3</v>
      </c>
      <c r="U461" s="94">
        <v>405.49</v>
      </c>
    </row>
    <row r="462" spans="1:21">
      <c r="A462" s="91">
        <v>40000</v>
      </c>
      <c r="B462" s="86">
        <v>40000</v>
      </c>
      <c r="C462" s="93">
        <v>1.1611704598235</v>
      </c>
      <c r="D462" s="85" t="s">
        <v>866</v>
      </c>
      <c r="F462" s="91">
        <v>40000</v>
      </c>
      <c r="G462">
        <v>439.49</v>
      </c>
      <c r="H462">
        <v>448.41</v>
      </c>
      <c r="I462" s="94">
        <v>489.21</v>
      </c>
      <c r="J462" s="94">
        <v>441.72</v>
      </c>
      <c r="K462" s="94">
        <v>480.92</v>
      </c>
      <c r="L462" s="94">
        <v>493.14</v>
      </c>
      <c r="M462" s="94">
        <v>440.2</v>
      </c>
      <c r="N462" s="94">
        <v>486.54</v>
      </c>
      <c r="O462" s="94">
        <v>483.79</v>
      </c>
      <c r="P462" s="94">
        <v>439.13</v>
      </c>
      <c r="Q462" s="94">
        <v>502.19</v>
      </c>
      <c r="R462" s="94">
        <v>441.34</v>
      </c>
      <c r="S462" s="94">
        <v>482.91</v>
      </c>
      <c r="T462" s="94">
        <v>398.52</v>
      </c>
      <c r="U462" s="94">
        <v>416.49</v>
      </c>
    </row>
    <row r="463" spans="1:21">
      <c r="A463" s="91">
        <v>39993</v>
      </c>
      <c r="B463" s="86">
        <v>39993</v>
      </c>
      <c r="C463" s="93">
        <v>1.1783420727037099</v>
      </c>
      <c r="D463" s="85" t="s">
        <v>867</v>
      </c>
      <c r="F463" s="91">
        <v>39993</v>
      </c>
      <c r="G463">
        <v>433.65</v>
      </c>
      <c r="H463">
        <v>499.65</v>
      </c>
      <c r="I463" s="94">
        <v>495.27</v>
      </c>
      <c r="J463" s="94">
        <v>456</v>
      </c>
      <c r="K463" s="94">
        <v>500.25</v>
      </c>
      <c r="L463" s="94">
        <v>493.14</v>
      </c>
      <c r="M463" s="94">
        <v>451.24</v>
      </c>
      <c r="N463" s="94">
        <v>458.73</v>
      </c>
      <c r="O463" s="94">
        <v>494.87</v>
      </c>
      <c r="P463" s="94">
        <v>439.13</v>
      </c>
      <c r="Q463" s="94">
        <v>512.22</v>
      </c>
      <c r="R463" s="94">
        <v>468.23</v>
      </c>
      <c r="S463" s="94">
        <v>497.89</v>
      </c>
      <c r="T463" s="94">
        <v>415.25</v>
      </c>
      <c r="U463" s="94">
        <v>419.95</v>
      </c>
    </row>
    <row r="464" spans="1:21">
      <c r="A464" s="91">
        <v>39986</v>
      </c>
      <c r="B464" s="86">
        <v>39986</v>
      </c>
      <c r="C464" s="93">
        <v>1.1868731826004399</v>
      </c>
      <c r="D464" s="85" t="s">
        <v>868</v>
      </c>
      <c r="F464" s="91">
        <v>39986</v>
      </c>
      <c r="G464">
        <v>461.99</v>
      </c>
      <c r="H464">
        <v>499.65</v>
      </c>
      <c r="I464" s="94">
        <v>484.44</v>
      </c>
      <c r="J464" s="94">
        <v>487.52</v>
      </c>
      <c r="K464" s="94">
        <v>533.69000000000005</v>
      </c>
      <c r="L464" s="94">
        <v>514.65</v>
      </c>
      <c r="M464" s="94">
        <v>473.4</v>
      </c>
      <c r="N464" s="94">
        <v>508.58</v>
      </c>
      <c r="O464" s="94">
        <v>488.37</v>
      </c>
      <c r="P464" s="94">
        <v>391.2</v>
      </c>
      <c r="Q464" s="94">
        <v>532.72</v>
      </c>
      <c r="R464" s="94">
        <v>469.91</v>
      </c>
      <c r="S464" s="94">
        <v>512.52</v>
      </c>
      <c r="T464" s="94">
        <v>436.16</v>
      </c>
      <c r="U464" s="94">
        <v>417.87</v>
      </c>
    </row>
    <row r="465" spans="1:21">
      <c r="A465" s="91">
        <v>39979</v>
      </c>
      <c r="B465" s="86">
        <v>39979</v>
      </c>
      <c r="C465" s="93">
        <v>1.1803588290840401</v>
      </c>
      <c r="D465" s="85" t="s">
        <v>869</v>
      </c>
      <c r="F465" s="91">
        <v>39979</v>
      </c>
      <c r="G465">
        <v>449.49</v>
      </c>
      <c r="H465">
        <v>462.18</v>
      </c>
      <c r="I465" s="94">
        <v>459.15</v>
      </c>
      <c r="J465" s="94">
        <v>481.63</v>
      </c>
      <c r="K465" s="94">
        <v>537.84</v>
      </c>
      <c r="L465" s="94">
        <v>509.4</v>
      </c>
      <c r="M465" s="94">
        <v>457.85</v>
      </c>
      <c r="N465" s="94">
        <v>490.34</v>
      </c>
      <c r="O465" s="94">
        <v>471.95</v>
      </c>
      <c r="P465" s="94">
        <v>391.2</v>
      </c>
      <c r="Q465" s="94">
        <v>523.55999999999995</v>
      </c>
      <c r="R465" s="94">
        <v>510.24</v>
      </c>
      <c r="S465" s="94">
        <v>490.51</v>
      </c>
      <c r="T465" s="94">
        <v>453.37</v>
      </c>
      <c r="U465" s="94">
        <v>407.07</v>
      </c>
    </row>
    <row r="466" spans="1:21">
      <c r="A466" s="91">
        <v>39972</v>
      </c>
      <c r="B466" s="86">
        <v>39972</v>
      </c>
      <c r="C466" s="93">
        <v>1.1482374555057999</v>
      </c>
      <c r="D466" s="85" t="s">
        <v>454</v>
      </c>
      <c r="F466" s="91">
        <v>39972</v>
      </c>
      <c r="G466">
        <v>434.49</v>
      </c>
      <c r="H466">
        <v>481.19</v>
      </c>
      <c r="I466" s="94">
        <v>428.99</v>
      </c>
      <c r="J466" s="94">
        <v>455.58</v>
      </c>
      <c r="K466" s="94">
        <v>514.20000000000005</v>
      </c>
      <c r="L466" s="94">
        <v>496.71</v>
      </c>
      <c r="M466" s="94">
        <v>441.54</v>
      </c>
      <c r="N466" s="94">
        <v>475.44</v>
      </c>
      <c r="O466" s="94">
        <v>443.62</v>
      </c>
      <c r="P466" s="94">
        <v>391.2</v>
      </c>
      <c r="Q466" s="94">
        <v>505.47</v>
      </c>
      <c r="R466" s="94">
        <v>485.03</v>
      </c>
      <c r="S466" s="94">
        <v>476.3</v>
      </c>
      <c r="T466" s="94">
        <v>436.26</v>
      </c>
      <c r="U466" s="94">
        <v>382.13</v>
      </c>
    </row>
    <row r="467" spans="1:21">
      <c r="A467" s="91">
        <v>39965</v>
      </c>
      <c r="B467" s="86">
        <v>39965</v>
      </c>
      <c r="C467" s="93">
        <v>1.1520737327188899</v>
      </c>
      <c r="D467" s="85" t="s">
        <v>870</v>
      </c>
      <c r="F467" s="91">
        <v>39965</v>
      </c>
      <c r="G467">
        <v>391.99</v>
      </c>
      <c r="H467">
        <v>459.7</v>
      </c>
      <c r="I467" s="94">
        <v>433.81</v>
      </c>
      <c r="J467" s="94">
        <v>446.55</v>
      </c>
      <c r="K467" s="94">
        <v>501.36</v>
      </c>
      <c r="L467" s="94">
        <v>470.8</v>
      </c>
      <c r="M467" s="94">
        <v>426.66</v>
      </c>
      <c r="N467" s="94">
        <v>469.02</v>
      </c>
      <c r="O467" s="94">
        <v>431.34</v>
      </c>
      <c r="P467" s="94">
        <v>391.2</v>
      </c>
      <c r="Q467" s="94">
        <v>499.17</v>
      </c>
      <c r="R467" s="94">
        <v>466.55</v>
      </c>
      <c r="S467" s="94">
        <v>458.15</v>
      </c>
      <c r="T467" s="94">
        <v>425.8</v>
      </c>
      <c r="U467" s="94">
        <v>371.34</v>
      </c>
    </row>
    <row r="468" spans="1:21">
      <c r="A468" s="91">
        <v>39958</v>
      </c>
      <c r="B468" s="86">
        <v>39958</v>
      </c>
      <c r="C468" s="93">
        <v>1.1359763716914699</v>
      </c>
      <c r="D468" s="85" t="s">
        <v>871</v>
      </c>
      <c r="F468" s="91">
        <v>39958</v>
      </c>
      <c r="G468">
        <v>384.49</v>
      </c>
      <c r="H468">
        <v>459.7</v>
      </c>
      <c r="I468" s="94">
        <v>422.72</v>
      </c>
      <c r="J468" s="94">
        <v>433.95</v>
      </c>
      <c r="K468" s="94">
        <v>498.1</v>
      </c>
      <c r="L468" s="94">
        <v>455.08</v>
      </c>
      <c r="M468" s="94">
        <v>424.4</v>
      </c>
      <c r="N468" s="94">
        <v>454.62</v>
      </c>
      <c r="O468" s="94">
        <v>430.54</v>
      </c>
      <c r="P468" s="94">
        <v>391.2</v>
      </c>
      <c r="Q468" s="94">
        <v>488.55</v>
      </c>
      <c r="R468" s="94">
        <v>456.46</v>
      </c>
      <c r="S468" s="94">
        <v>459.71</v>
      </c>
      <c r="T468" s="94">
        <v>430.86</v>
      </c>
      <c r="U468" s="94">
        <v>361.34</v>
      </c>
    </row>
    <row r="469" spans="1:21">
      <c r="A469" s="91">
        <v>39951</v>
      </c>
      <c r="B469" s="86">
        <v>39951</v>
      </c>
      <c r="C469" s="93">
        <v>1.1331444759206799</v>
      </c>
      <c r="D469" s="85" t="s">
        <v>872</v>
      </c>
      <c r="F469" s="91">
        <v>39951</v>
      </c>
      <c r="G469">
        <v>386.15</v>
      </c>
      <c r="H469">
        <v>411.77</v>
      </c>
      <c r="I469" s="94">
        <v>411.57</v>
      </c>
      <c r="J469" s="94">
        <v>417.35</v>
      </c>
      <c r="K469" s="94">
        <v>483.11</v>
      </c>
      <c r="L469" s="94">
        <v>425.16</v>
      </c>
      <c r="M469" s="94">
        <v>404.17</v>
      </c>
      <c r="N469" s="94">
        <v>435.81</v>
      </c>
      <c r="O469" s="94">
        <v>410.52</v>
      </c>
      <c r="P469" s="94">
        <v>391.2</v>
      </c>
      <c r="Q469" s="94">
        <v>464.37</v>
      </c>
      <c r="R469" s="94">
        <v>456.46</v>
      </c>
      <c r="S469" s="94">
        <v>440.25</v>
      </c>
      <c r="T469" s="94">
        <v>410.38</v>
      </c>
      <c r="U469" s="94">
        <v>347.1</v>
      </c>
    </row>
    <row r="470" spans="1:21">
      <c r="A470" s="91">
        <v>39944</v>
      </c>
      <c r="B470" s="86">
        <v>39944</v>
      </c>
      <c r="C470" s="93">
        <v>1.1128421989761899</v>
      </c>
      <c r="D470" s="85" t="s">
        <v>873</v>
      </c>
      <c r="F470" s="91">
        <v>39944</v>
      </c>
      <c r="G470">
        <v>371.99</v>
      </c>
      <c r="H470">
        <v>411.77</v>
      </c>
      <c r="I470" s="94">
        <v>383.81</v>
      </c>
      <c r="J470" s="94">
        <v>413.57</v>
      </c>
      <c r="K470" s="94">
        <v>462.48</v>
      </c>
      <c r="L470" s="94">
        <v>425.85</v>
      </c>
      <c r="M470" s="94">
        <v>388.11</v>
      </c>
      <c r="N470" s="94">
        <v>418.32</v>
      </c>
      <c r="O470" s="94">
        <v>420.24</v>
      </c>
      <c r="P470" s="94">
        <v>359.8</v>
      </c>
      <c r="Q470" s="94">
        <v>460.48</v>
      </c>
      <c r="R470" s="94">
        <v>437.98</v>
      </c>
      <c r="S470" s="94">
        <v>428.65</v>
      </c>
      <c r="T470" s="94">
        <v>398.46</v>
      </c>
      <c r="U470" s="94">
        <v>331.62</v>
      </c>
    </row>
    <row r="471" spans="1:21">
      <c r="A471" s="91">
        <v>39937</v>
      </c>
      <c r="B471" s="86">
        <v>39937</v>
      </c>
      <c r="C471" s="93">
        <v>1.12397437338429</v>
      </c>
      <c r="D471" s="85" t="s">
        <v>489</v>
      </c>
      <c r="F471" s="91">
        <v>39937</v>
      </c>
      <c r="G471">
        <v>356.99</v>
      </c>
      <c r="H471">
        <v>383.67</v>
      </c>
      <c r="I471" s="94">
        <v>387.99</v>
      </c>
      <c r="J471" s="94">
        <v>360.42</v>
      </c>
      <c r="K471" s="94">
        <v>438.89</v>
      </c>
      <c r="L471" s="94">
        <v>384.9</v>
      </c>
      <c r="M471" s="94">
        <v>370.81</v>
      </c>
      <c r="N471" s="94">
        <v>417.12</v>
      </c>
      <c r="O471" s="94">
        <v>404.73</v>
      </c>
      <c r="P471" s="94">
        <v>359.8</v>
      </c>
      <c r="Q471" s="94">
        <v>422.1</v>
      </c>
      <c r="R471" s="94">
        <v>410.24</v>
      </c>
      <c r="S471" s="94">
        <v>412.31</v>
      </c>
      <c r="T471" s="94">
        <v>363.01</v>
      </c>
      <c r="U471" s="94">
        <v>325.23</v>
      </c>
    </row>
    <row r="472" spans="1:21">
      <c r="A472" s="91">
        <v>39930</v>
      </c>
      <c r="B472" s="86">
        <v>39930</v>
      </c>
      <c r="C472" s="93">
        <v>1.1101859561476499</v>
      </c>
      <c r="D472" s="85" t="s">
        <v>874</v>
      </c>
      <c r="F472" s="91">
        <v>39930</v>
      </c>
      <c r="G472">
        <v>363.65</v>
      </c>
      <c r="H472">
        <v>402.76</v>
      </c>
      <c r="I472" s="94">
        <v>388.98</v>
      </c>
      <c r="J472" s="94">
        <v>383.74</v>
      </c>
      <c r="K472" s="94">
        <v>429.2</v>
      </c>
      <c r="L472" s="94">
        <v>385.31</v>
      </c>
      <c r="M472" s="94">
        <v>378.25</v>
      </c>
      <c r="N472" s="94">
        <v>417.81</v>
      </c>
      <c r="O472" s="94">
        <v>394.54</v>
      </c>
      <c r="P472" s="94">
        <v>359.8</v>
      </c>
      <c r="Q472" s="94">
        <v>433.98</v>
      </c>
      <c r="R472" s="94">
        <v>394.28</v>
      </c>
      <c r="S472" s="94">
        <v>416.85</v>
      </c>
      <c r="T472" s="94">
        <v>353.49</v>
      </c>
      <c r="U472" s="94">
        <v>316.79000000000002</v>
      </c>
    </row>
    <row r="473" spans="1:21">
      <c r="A473" s="91">
        <v>39923</v>
      </c>
      <c r="B473" s="86">
        <v>39923</v>
      </c>
      <c r="C473" s="93">
        <v>1.1241007194244599</v>
      </c>
      <c r="D473" s="85" t="s">
        <v>875</v>
      </c>
      <c r="F473" s="91">
        <v>39923</v>
      </c>
      <c r="G473">
        <v>345.32</v>
      </c>
      <c r="H473">
        <v>402.76</v>
      </c>
      <c r="I473" s="94">
        <v>371.16</v>
      </c>
      <c r="J473" s="94">
        <v>370.29</v>
      </c>
      <c r="K473" s="94">
        <v>444.2</v>
      </c>
      <c r="L473" s="94">
        <v>398.42</v>
      </c>
      <c r="M473" s="94">
        <v>375.74</v>
      </c>
      <c r="N473" s="94">
        <v>405.96</v>
      </c>
      <c r="O473" s="94">
        <v>378.73</v>
      </c>
      <c r="P473" s="94">
        <v>344.92</v>
      </c>
      <c r="Q473" s="94">
        <v>432.92</v>
      </c>
      <c r="R473" s="94">
        <v>401</v>
      </c>
      <c r="S473" s="94">
        <v>413.51</v>
      </c>
      <c r="T473" s="94">
        <v>362.66</v>
      </c>
      <c r="U473" s="94">
        <v>315.77</v>
      </c>
    </row>
    <row r="474" spans="1:21">
      <c r="A474" s="91">
        <v>39909</v>
      </c>
      <c r="B474" s="86">
        <v>39909</v>
      </c>
      <c r="C474" s="93">
        <v>1.1047282368537299</v>
      </c>
      <c r="D474" s="85" t="s">
        <v>876</v>
      </c>
      <c r="F474" s="91">
        <v>39909</v>
      </c>
      <c r="G474">
        <v>321.99</v>
      </c>
      <c r="H474">
        <v>394.5</v>
      </c>
      <c r="I474" s="94">
        <v>380.79</v>
      </c>
      <c r="J474" s="94">
        <v>378.9</v>
      </c>
      <c r="K474" s="94">
        <v>431.36</v>
      </c>
      <c r="L474" s="94">
        <v>387.94</v>
      </c>
      <c r="M474" s="94">
        <v>363.62</v>
      </c>
      <c r="N474" s="94">
        <v>403.01</v>
      </c>
      <c r="O474" s="94">
        <v>390.46</v>
      </c>
      <c r="P474" s="94">
        <v>344.92</v>
      </c>
      <c r="Q474" s="94">
        <v>415.89</v>
      </c>
      <c r="R474" s="94">
        <v>387.56</v>
      </c>
      <c r="S474" s="94">
        <v>404.81</v>
      </c>
      <c r="T474" s="94">
        <v>345.62</v>
      </c>
      <c r="U474" s="94">
        <v>301.63</v>
      </c>
    </row>
    <row r="475" spans="1:21">
      <c r="A475" s="91">
        <v>39902</v>
      </c>
      <c r="B475" s="86">
        <v>39902</v>
      </c>
      <c r="C475" s="93">
        <v>1.0763104079216399</v>
      </c>
      <c r="D475" s="85" t="s">
        <v>877</v>
      </c>
      <c r="F475" s="91">
        <v>39902</v>
      </c>
      <c r="G475">
        <v>311.33</v>
      </c>
      <c r="H475">
        <v>378.39</v>
      </c>
      <c r="I475" s="94">
        <v>344.66</v>
      </c>
      <c r="J475" s="94">
        <v>359.79</v>
      </c>
      <c r="K475" s="94">
        <v>428.12</v>
      </c>
      <c r="L475" s="94">
        <v>387.67</v>
      </c>
      <c r="M475" s="94">
        <v>364.62</v>
      </c>
      <c r="N475" s="94">
        <v>391.89</v>
      </c>
      <c r="O475" s="94">
        <v>355.99</v>
      </c>
      <c r="P475" s="94">
        <v>344.92</v>
      </c>
      <c r="Q475" s="94">
        <v>424.68</v>
      </c>
      <c r="R475" s="94">
        <v>384.19</v>
      </c>
      <c r="S475" s="94">
        <v>402.29</v>
      </c>
      <c r="T475" s="94">
        <v>338.49</v>
      </c>
      <c r="U475" s="94">
        <v>291.45999999999998</v>
      </c>
    </row>
    <row r="476" spans="1:21">
      <c r="A476" s="91">
        <v>39895</v>
      </c>
      <c r="B476" s="86">
        <v>39895</v>
      </c>
      <c r="C476" s="93">
        <v>1.0759051051697199</v>
      </c>
      <c r="D476" s="85" t="s">
        <v>878</v>
      </c>
      <c r="F476" s="91">
        <v>39895</v>
      </c>
      <c r="G476">
        <v>304.66000000000003</v>
      </c>
      <c r="H476">
        <v>370.13</v>
      </c>
      <c r="I476" s="94">
        <v>354.82</v>
      </c>
      <c r="J476" s="94">
        <v>326.38</v>
      </c>
      <c r="K476" s="94">
        <v>407.62</v>
      </c>
      <c r="L476" s="94">
        <v>369.33</v>
      </c>
      <c r="M476" s="94">
        <v>341.12</v>
      </c>
      <c r="N476" s="94">
        <v>375.51</v>
      </c>
      <c r="O476" s="94">
        <v>353.56</v>
      </c>
      <c r="P476" s="94">
        <v>318.47000000000003</v>
      </c>
      <c r="Q476" s="94">
        <v>406.4</v>
      </c>
      <c r="R476" s="94">
        <v>375.79</v>
      </c>
      <c r="S476" s="94">
        <v>378.28</v>
      </c>
      <c r="T476" s="94">
        <v>320.69</v>
      </c>
      <c r="U476" s="94">
        <v>280.32</v>
      </c>
    </row>
    <row r="477" spans="1:21">
      <c r="A477" s="91">
        <v>39888</v>
      </c>
      <c r="B477" s="86">
        <v>39888</v>
      </c>
      <c r="C477" s="93">
        <v>1.0863070990168899</v>
      </c>
      <c r="D477" s="85" t="s">
        <v>879</v>
      </c>
      <c r="F477" s="91">
        <v>39888</v>
      </c>
      <c r="G477">
        <v>308.83</v>
      </c>
      <c r="H477">
        <v>382.11</v>
      </c>
      <c r="I477" s="94">
        <v>365.8</v>
      </c>
      <c r="J477" s="94">
        <v>326.17</v>
      </c>
      <c r="K477" s="94">
        <v>374.05</v>
      </c>
      <c r="L477" s="94">
        <v>314.20999999999998</v>
      </c>
      <c r="M477" s="94">
        <v>338.45</v>
      </c>
      <c r="N477" s="94">
        <v>376.53</v>
      </c>
      <c r="O477" s="94">
        <v>369.72</v>
      </c>
      <c r="P477" s="94">
        <v>318.47000000000003</v>
      </c>
      <c r="Q477" s="94">
        <v>406.83</v>
      </c>
      <c r="R477" s="94">
        <v>359.82</v>
      </c>
      <c r="S477" s="94">
        <v>374.27</v>
      </c>
      <c r="T477" s="94">
        <v>308.73</v>
      </c>
      <c r="U477" s="94">
        <v>282.97000000000003</v>
      </c>
    </row>
    <row r="478" spans="1:21">
      <c r="A478" s="91">
        <v>39881</v>
      </c>
      <c r="B478" s="86">
        <v>39881</v>
      </c>
      <c r="C478" s="93">
        <v>1.0972130787798999</v>
      </c>
      <c r="D478" s="85" t="s">
        <v>880</v>
      </c>
      <c r="F478" s="91">
        <v>39881</v>
      </c>
      <c r="G478">
        <v>302.16000000000003</v>
      </c>
      <c r="H478">
        <v>379.46</v>
      </c>
      <c r="I478" s="94">
        <v>346.36</v>
      </c>
      <c r="J478" s="94">
        <v>326.17</v>
      </c>
      <c r="K478" s="94">
        <v>401.16</v>
      </c>
      <c r="L478" s="94">
        <v>301.81</v>
      </c>
      <c r="M478" s="94">
        <v>345.22</v>
      </c>
      <c r="N478" s="94">
        <v>373.92</v>
      </c>
      <c r="O478" s="94">
        <v>344.14</v>
      </c>
      <c r="P478" s="94">
        <v>318.47000000000003</v>
      </c>
      <c r="Q478" s="94">
        <v>403.23</v>
      </c>
      <c r="R478" s="94">
        <v>366.55</v>
      </c>
      <c r="S478" s="94">
        <v>384.09</v>
      </c>
      <c r="T478" s="94">
        <v>314.04000000000002</v>
      </c>
      <c r="U478" s="94">
        <v>285.77</v>
      </c>
    </row>
    <row r="479" spans="1:21">
      <c r="A479" s="91">
        <v>39874</v>
      </c>
      <c r="B479" s="86">
        <v>39874</v>
      </c>
      <c r="C479" s="93">
        <v>1.1194447554013198</v>
      </c>
      <c r="D479" s="85" t="s">
        <v>881</v>
      </c>
      <c r="F479" s="91">
        <v>39874</v>
      </c>
      <c r="G479">
        <v>302.16000000000003</v>
      </c>
      <c r="H479">
        <v>349.71</v>
      </c>
      <c r="I479" s="94">
        <v>341.54</v>
      </c>
      <c r="J479" s="94">
        <v>317.77</v>
      </c>
      <c r="K479" s="94">
        <v>406.51</v>
      </c>
      <c r="L479" s="94">
        <v>318.62</v>
      </c>
      <c r="M479" s="94">
        <v>335.69</v>
      </c>
      <c r="N479" s="94">
        <v>367.44</v>
      </c>
      <c r="O479" s="94">
        <v>337.37</v>
      </c>
      <c r="P479" s="94">
        <v>318.47000000000003</v>
      </c>
      <c r="Q479" s="94">
        <v>399.52</v>
      </c>
      <c r="R479" s="94">
        <v>364.03</v>
      </c>
      <c r="S479" s="94">
        <v>364.43</v>
      </c>
      <c r="T479" s="94">
        <v>313.77</v>
      </c>
      <c r="U479" s="94">
        <v>292.81</v>
      </c>
    </row>
    <row r="480" spans="1:21">
      <c r="A480" s="91">
        <v>39867</v>
      </c>
      <c r="B480" s="86">
        <v>39867</v>
      </c>
      <c r="C480" s="93">
        <v>1.13895216400911</v>
      </c>
      <c r="D480" s="85" t="s">
        <v>882</v>
      </c>
      <c r="F480" s="91">
        <v>39867</v>
      </c>
      <c r="G480">
        <v>300.49</v>
      </c>
      <c r="H480">
        <v>373.69</v>
      </c>
      <c r="I480" s="94">
        <v>344.91</v>
      </c>
      <c r="J480" s="94">
        <v>313.57</v>
      </c>
      <c r="K480" s="94">
        <v>370.05</v>
      </c>
      <c r="L480" s="94">
        <v>310.22000000000003</v>
      </c>
      <c r="M480" s="94">
        <v>345.72</v>
      </c>
      <c r="N480" s="94">
        <v>386.8</v>
      </c>
      <c r="O480" s="94">
        <v>359.63</v>
      </c>
      <c r="P480" s="94">
        <v>318.47000000000003</v>
      </c>
      <c r="Q480" s="94">
        <v>388.74</v>
      </c>
      <c r="R480" s="94">
        <v>353.94</v>
      </c>
      <c r="S480" s="94">
        <v>369.2</v>
      </c>
      <c r="T480" s="94">
        <v>290.26</v>
      </c>
      <c r="U480" s="94">
        <v>298.41000000000003</v>
      </c>
    </row>
    <row r="481" spans="1:21">
      <c r="A481" s="91">
        <v>39860</v>
      </c>
      <c r="B481" s="86">
        <v>39860</v>
      </c>
      <c r="C481" s="93">
        <v>1.11794298490777</v>
      </c>
      <c r="D481" s="85" t="s">
        <v>883</v>
      </c>
      <c r="F481" s="91">
        <v>39860</v>
      </c>
      <c r="G481">
        <v>327.16000000000003</v>
      </c>
      <c r="H481">
        <v>378.23</v>
      </c>
      <c r="I481" s="94">
        <v>311.79000000000002</v>
      </c>
      <c r="J481" s="94">
        <v>340.88</v>
      </c>
      <c r="K481" s="94">
        <v>416.1</v>
      </c>
      <c r="L481" s="94">
        <v>375.45</v>
      </c>
      <c r="M481" s="94">
        <v>351.43</v>
      </c>
      <c r="N481" s="94">
        <v>382.9</v>
      </c>
      <c r="O481" s="94">
        <v>341.69</v>
      </c>
      <c r="P481" s="94">
        <v>300.29000000000002</v>
      </c>
      <c r="Q481" s="94">
        <v>381.55</v>
      </c>
      <c r="R481" s="94">
        <v>377.47</v>
      </c>
      <c r="S481" s="94">
        <v>387.33</v>
      </c>
      <c r="T481" s="94">
        <v>310.54000000000002</v>
      </c>
      <c r="U481" s="94">
        <v>290.83999999999997</v>
      </c>
    </row>
    <row r="482" spans="1:21">
      <c r="A482" s="91">
        <v>39853</v>
      </c>
      <c r="B482" s="86">
        <v>39853</v>
      </c>
      <c r="C482" s="93">
        <v>1.1481056257175699</v>
      </c>
      <c r="D482" s="85" t="s">
        <v>506</v>
      </c>
      <c r="F482" s="91">
        <v>39853</v>
      </c>
      <c r="G482">
        <v>315.49</v>
      </c>
      <c r="H482">
        <v>378.17</v>
      </c>
      <c r="I482" s="94">
        <v>305.33</v>
      </c>
      <c r="J482" s="94">
        <v>334.58</v>
      </c>
      <c r="K482" s="94">
        <v>392.51</v>
      </c>
      <c r="L482" s="94">
        <v>347.88</v>
      </c>
      <c r="M482" s="94">
        <v>344.9</v>
      </c>
      <c r="N482" s="94">
        <v>374.79</v>
      </c>
      <c r="O482" s="94">
        <v>360.21</v>
      </c>
      <c r="P482" s="94">
        <v>300.29000000000002</v>
      </c>
      <c r="Q482" s="94">
        <v>387.72</v>
      </c>
      <c r="R482" s="94">
        <v>416.13</v>
      </c>
      <c r="S482" s="94">
        <v>380.09</v>
      </c>
      <c r="T482" s="94">
        <v>324.98</v>
      </c>
      <c r="U482" s="94">
        <v>290.26</v>
      </c>
    </row>
    <row r="483" spans="1:21">
      <c r="A483" s="91">
        <v>39846</v>
      </c>
      <c r="B483" s="86">
        <v>39846</v>
      </c>
      <c r="C483" s="93">
        <v>1.10699064592904</v>
      </c>
      <c r="D483" s="85" t="s">
        <v>884</v>
      </c>
      <c r="F483" s="91">
        <v>39846</v>
      </c>
      <c r="G483">
        <v>298.83</v>
      </c>
      <c r="H483">
        <v>348.83</v>
      </c>
      <c r="I483" s="94">
        <v>301.32</v>
      </c>
      <c r="J483" s="94">
        <v>321.97000000000003</v>
      </c>
      <c r="K483" s="94">
        <v>385.99</v>
      </c>
      <c r="L483" s="94">
        <v>348.02</v>
      </c>
      <c r="M483" s="94">
        <v>335.79</v>
      </c>
      <c r="N483" s="94">
        <v>364.72</v>
      </c>
      <c r="O483" s="94">
        <v>325.23</v>
      </c>
      <c r="P483" s="94">
        <v>300.29000000000002</v>
      </c>
      <c r="Q483" s="94">
        <v>389.48</v>
      </c>
      <c r="R483" s="94">
        <v>402.68</v>
      </c>
      <c r="S483" s="94">
        <v>369.89</v>
      </c>
      <c r="T483" s="94">
        <v>325.2</v>
      </c>
      <c r="U483" s="94">
        <v>269.13</v>
      </c>
    </row>
    <row r="484" spans="1:21">
      <c r="A484" s="91">
        <v>39839</v>
      </c>
      <c r="B484" s="86">
        <v>39839</v>
      </c>
      <c r="C484" s="93">
        <v>1.0643959552953699</v>
      </c>
      <c r="D484" s="85" t="s">
        <v>885</v>
      </c>
      <c r="F484" s="91">
        <v>39839</v>
      </c>
      <c r="G484">
        <v>311.33</v>
      </c>
      <c r="H484">
        <v>345.92</v>
      </c>
      <c r="I484" s="94">
        <v>294.49</v>
      </c>
      <c r="J484" s="94">
        <v>317.77</v>
      </c>
      <c r="K484" s="94">
        <v>357.01</v>
      </c>
      <c r="L484" s="94">
        <v>324.44</v>
      </c>
      <c r="M484" s="94">
        <v>329.69</v>
      </c>
      <c r="N484" s="94">
        <v>360.74</v>
      </c>
      <c r="O484" s="94">
        <v>331.09</v>
      </c>
      <c r="P484" s="94">
        <v>300.29000000000002</v>
      </c>
      <c r="Q484" s="94">
        <v>383.02</v>
      </c>
      <c r="R484" s="94">
        <v>387.56</v>
      </c>
      <c r="S484" s="94">
        <v>360.31</v>
      </c>
      <c r="T484" s="94">
        <v>289.81</v>
      </c>
      <c r="U484" s="94">
        <v>251.9</v>
      </c>
    </row>
    <row r="485" spans="1:21">
      <c r="A485" s="91">
        <v>39832</v>
      </c>
      <c r="B485" s="86">
        <v>39832</v>
      </c>
      <c r="C485" s="93">
        <v>1.10533878633801</v>
      </c>
      <c r="D485" s="85" t="s">
        <v>886</v>
      </c>
      <c r="F485" s="91">
        <v>39832</v>
      </c>
      <c r="G485">
        <v>294.66000000000003</v>
      </c>
      <c r="H485">
        <v>318.22000000000003</v>
      </c>
      <c r="I485" s="94">
        <v>298.87</v>
      </c>
      <c r="J485" s="94">
        <v>326.17</v>
      </c>
      <c r="K485" s="94">
        <v>366.8</v>
      </c>
      <c r="L485" s="94">
        <v>357.83</v>
      </c>
      <c r="M485" s="94">
        <v>322.66000000000003</v>
      </c>
      <c r="N485" s="94">
        <v>350.75</v>
      </c>
      <c r="O485" s="94">
        <v>312.58999999999997</v>
      </c>
      <c r="P485" s="94">
        <v>300.29000000000002</v>
      </c>
      <c r="Q485" s="94">
        <v>379.67</v>
      </c>
      <c r="R485" s="94">
        <v>392.6</v>
      </c>
      <c r="S485" s="94">
        <v>352.28</v>
      </c>
      <c r="T485" s="94">
        <v>292.2</v>
      </c>
      <c r="U485" s="94">
        <v>249.82</v>
      </c>
    </row>
    <row r="486" spans="1:21">
      <c r="A486" s="91">
        <v>39825</v>
      </c>
      <c r="B486" s="86">
        <v>39825</v>
      </c>
      <c r="C486" s="93">
        <v>1.11656989727557</v>
      </c>
      <c r="D486" s="85" t="s">
        <v>887</v>
      </c>
      <c r="F486" s="91">
        <v>39825</v>
      </c>
      <c r="G486">
        <v>297.16000000000003</v>
      </c>
      <c r="H486">
        <v>323.45</v>
      </c>
      <c r="I486" s="94">
        <v>261.67</v>
      </c>
      <c r="J486" s="94">
        <v>314.83</v>
      </c>
      <c r="K486" s="94">
        <v>340.95</v>
      </c>
      <c r="L486" s="94">
        <v>340.87</v>
      </c>
      <c r="M486" s="94">
        <v>317.23</v>
      </c>
      <c r="N486" s="94">
        <v>332.36</v>
      </c>
      <c r="O486" s="94">
        <v>298.77</v>
      </c>
      <c r="P486" s="94">
        <v>356.49</v>
      </c>
      <c r="Q486" s="94">
        <v>363.39</v>
      </c>
      <c r="R486" s="94">
        <v>371.59</v>
      </c>
      <c r="S486" s="94">
        <v>340.55</v>
      </c>
      <c r="T486" s="94">
        <v>263.18</v>
      </c>
      <c r="U486" s="94">
        <v>250.66</v>
      </c>
    </row>
    <row r="487" spans="1:21" ht="15.75" thickBot="1">
      <c r="A487" s="92">
        <v>39818</v>
      </c>
      <c r="B487" s="86">
        <v>39818</v>
      </c>
      <c r="C487" s="93">
        <v>1.0686044026501398</v>
      </c>
      <c r="D487" s="85" t="s">
        <v>888</v>
      </c>
      <c r="F487" s="92">
        <v>39818</v>
      </c>
      <c r="G487">
        <v>244.66</v>
      </c>
      <c r="H487">
        <v>295.11</v>
      </c>
      <c r="I487" s="94">
        <v>268.35000000000002</v>
      </c>
      <c r="J487" s="94">
        <v>250.54</v>
      </c>
      <c r="K487" s="94">
        <v>296.02</v>
      </c>
      <c r="L487" s="94">
        <v>305.02999999999997</v>
      </c>
      <c r="M487" s="94">
        <v>266.31</v>
      </c>
      <c r="N487" s="94">
        <v>315.63</v>
      </c>
      <c r="O487" s="94">
        <v>312.76</v>
      </c>
      <c r="P487" s="94">
        <v>356.49</v>
      </c>
      <c r="Q487" s="94">
        <v>338.2</v>
      </c>
      <c r="R487" s="94">
        <v>348.06</v>
      </c>
      <c r="S487" s="94">
        <v>303.81</v>
      </c>
      <c r="T487" s="94">
        <v>226.38</v>
      </c>
      <c r="U487" s="94">
        <v>234.36</v>
      </c>
    </row>
    <row r="488" spans="1:21">
      <c r="A488" s="91">
        <v>39797</v>
      </c>
      <c r="B488" s="86">
        <v>39797</v>
      </c>
      <c r="C488" s="93">
        <v>1.1118523460084497</v>
      </c>
      <c r="D488" s="85" t="s">
        <v>889</v>
      </c>
      <c r="F488" s="91">
        <v>39797</v>
      </c>
      <c r="G488">
        <v>272.16000000000003</v>
      </c>
      <c r="H488">
        <v>368.98</v>
      </c>
      <c r="I488" s="94">
        <v>314.33999999999997</v>
      </c>
      <c r="J488" s="94">
        <v>262.31</v>
      </c>
      <c r="K488" s="94">
        <v>330.86</v>
      </c>
      <c r="L488" s="94">
        <v>339.41</v>
      </c>
      <c r="M488" s="94">
        <v>299.83999999999997</v>
      </c>
      <c r="N488" s="94">
        <v>349.4</v>
      </c>
      <c r="O488" s="94">
        <v>329.48</v>
      </c>
      <c r="P488" s="94">
        <v>446.57</v>
      </c>
      <c r="Q488" s="94">
        <v>364.82</v>
      </c>
      <c r="R488" s="94">
        <v>353.6</v>
      </c>
      <c r="S488" s="94">
        <v>334.75</v>
      </c>
      <c r="T488" s="94">
        <v>252.37</v>
      </c>
      <c r="U488" s="94">
        <v>279.06</v>
      </c>
    </row>
    <row r="489" spans="1:21">
      <c r="A489" s="91">
        <v>39790</v>
      </c>
      <c r="B489" s="86">
        <v>39790</v>
      </c>
      <c r="C489" s="93">
        <v>1.1559357299734099</v>
      </c>
      <c r="D489" s="85" t="s">
        <v>890</v>
      </c>
      <c r="F489" s="91">
        <v>39790</v>
      </c>
      <c r="G489">
        <v>299.66000000000003</v>
      </c>
      <c r="H489">
        <v>380.62</v>
      </c>
      <c r="I489" s="94">
        <v>336.94</v>
      </c>
      <c r="J489" s="94">
        <v>304.32</v>
      </c>
      <c r="K489" s="94">
        <v>345.92</v>
      </c>
      <c r="L489" s="94">
        <v>352.65</v>
      </c>
      <c r="M489" s="94">
        <v>322.02</v>
      </c>
      <c r="N489" s="94">
        <v>370.06</v>
      </c>
      <c r="O489" s="94">
        <v>360.43</v>
      </c>
      <c r="P489" s="94">
        <v>446.57</v>
      </c>
      <c r="Q489" s="94">
        <v>375.84</v>
      </c>
      <c r="R489" s="94">
        <v>357.8</v>
      </c>
      <c r="S489" s="94">
        <v>359.01</v>
      </c>
      <c r="T489" s="94">
        <v>270.95999999999998</v>
      </c>
      <c r="U489" s="94">
        <v>301.08999999999997</v>
      </c>
    </row>
    <row r="490" spans="1:21">
      <c r="A490" s="91">
        <v>39783</v>
      </c>
      <c r="B490" s="86">
        <v>39783</v>
      </c>
      <c r="C490" s="93">
        <v>1.18828352444893</v>
      </c>
      <c r="D490" s="85" t="s">
        <v>891</v>
      </c>
      <c r="F490" s="91">
        <v>39783</v>
      </c>
      <c r="G490">
        <v>327.99</v>
      </c>
      <c r="H490">
        <v>388.31</v>
      </c>
      <c r="I490" s="94">
        <v>348.64</v>
      </c>
      <c r="J490" s="94">
        <v>299.27999999999997</v>
      </c>
      <c r="K490" s="94">
        <v>377.06</v>
      </c>
      <c r="L490" s="94">
        <v>377.19</v>
      </c>
      <c r="M490" s="94">
        <v>330.61</v>
      </c>
      <c r="N490" s="94">
        <v>372.23</v>
      </c>
      <c r="O490" s="94">
        <v>379.15</v>
      </c>
      <c r="P490" s="94">
        <v>446.57</v>
      </c>
      <c r="Q490" s="94">
        <v>391.8</v>
      </c>
      <c r="R490" s="94">
        <v>388.89</v>
      </c>
      <c r="S490" s="94">
        <v>369.87</v>
      </c>
      <c r="T490" s="94">
        <v>303.32</v>
      </c>
      <c r="U490" s="94">
        <v>323.08</v>
      </c>
    </row>
    <row r="491" spans="1:21">
      <c r="A491" s="91">
        <v>39776</v>
      </c>
      <c r="B491" s="86">
        <v>39776</v>
      </c>
      <c r="C491" s="93">
        <v>1.1741223435481998</v>
      </c>
      <c r="D491" s="85" t="s">
        <v>892</v>
      </c>
      <c r="F491" s="91">
        <v>39776</v>
      </c>
      <c r="G491">
        <v>347.16</v>
      </c>
      <c r="H491">
        <v>388.98</v>
      </c>
      <c r="I491" s="94">
        <v>386.4</v>
      </c>
      <c r="J491" s="94">
        <v>321.97000000000003</v>
      </c>
      <c r="K491" s="94">
        <v>341.38</v>
      </c>
      <c r="L491" s="94">
        <v>353.62</v>
      </c>
      <c r="M491" s="94">
        <v>348.58</v>
      </c>
      <c r="N491" s="94">
        <v>404.26</v>
      </c>
      <c r="O491" s="94">
        <v>402.35</v>
      </c>
      <c r="P491" s="94">
        <v>446.57</v>
      </c>
      <c r="Q491" s="94">
        <v>397.76</v>
      </c>
      <c r="R491" s="94">
        <v>372.09</v>
      </c>
      <c r="S491" s="94">
        <v>375.9</v>
      </c>
      <c r="T491" s="94">
        <v>286.66000000000003</v>
      </c>
      <c r="U491" s="94">
        <v>336.02</v>
      </c>
    </row>
    <row r="492" spans="1:21">
      <c r="A492" s="91">
        <v>39769</v>
      </c>
      <c r="B492" s="86">
        <v>39769</v>
      </c>
      <c r="C492" s="93">
        <v>1.1788977306218698</v>
      </c>
      <c r="D492" s="85" t="s">
        <v>893</v>
      </c>
      <c r="F492" s="91">
        <v>39769</v>
      </c>
      <c r="G492">
        <v>387.16</v>
      </c>
      <c r="H492">
        <v>405.32</v>
      </c>
      <c r="I492" s="94">
        <v>405.34</v>
      </c>
      <c r="J492" s="94">
        <v>337.94</v>
      </c>
      <c r="K492" s="94">
        <v>393.29</v>
      </c>
      <c r="L492" s="94">
        <v>493.8</v>
      </c>
      <c r="M492" s="94">
        <v>376.17</v>
      </c>
      <c r="N492" s="94">
        <v>428.02</v>
      </c>
      <c r="O492" s="94">
        <v>406.63</v>
      </c>
      <c r="P492" s="94">
        <v>530.87</v>
      </c>
      <c r="Q492" s="94">
        <v>435.8</v>
      </c>
      <c r="R492" s="94">
        <v>420.83</v>
      </c>
      <c r="S492" s="94">
        <v>406.42</v>
      </c>
      <c r="T492" s="94">
        <v>329.78</v>
      </c>
      <c r="U492" s="94">
        <v>357.89</v>
      </c>
    </row>
    <row r="493" spans="1:21">
      <c r="A493" s="91">
        <v>39762</v>
      </c>
      <c r="B493" s="86">
        <v>39762</v>
      </c>
      <c r="C493" s="93">
        <v>1.22473974280465</v>
      </c>
      <c r="D493" s="85" t="s">
        <v>894</v>
      </c>
      <c r="F493" s="91">
        <v>39762</v>
      </c>
      <c r="G493">
        <v>417.16</v>
      </c>
      <c r="H493">
        <v>436.67</v>
      </c>
      <c r="I493" s="94">
        <v>428.51</v>
      </c>
      <c r="J493" s="94">
        <v>366.51</v>
      </c>
      <c r="K493" s="94">
        <v>390.12</v>
      </c>
      <c r="L493" s="94">
        <v>496.96</v>
      </c>
      <c r="M493" s="94">
        <v>398.86</v>
      </c>
      <c r="N493" s="94">
        <v>457.11</v>
      </c>
      <c r="O493" s="94">
        <v>433.12</v>
      </c>
      <c r="P493" s="94">
        <v>530.87</v>
      </c>
      <c r="Q493" s="94">
        <v>454.76</v>
      </c>
      <c r="R493" s="94">
        <v>430.07</v>
      </c>
      <c r="S493" s="94">
        <v>425.91</v>
      </c>
      <c r="T493" s="94">
        <v>331.04</v>
      </c>
      <c r="U493" s="94">
        <v>382.84</v>
      </c>
    </row>
    <row r="494" spans="1:21">
      <c r="A494" s="91">
        <v>39755</v>
      </c>
      <c r="B494" s="86">
        <v>39755</v>
      </c>
      <c r="C494" s="93">
        <v>1.2548625925461199</v>
      </c>
      <c r="D494" s="85" t="s">
        <v>895</v>
      </c>
      <c r="F494" s="91">
        <v>39755</v>
      </c>
      <c r="G494">
        <v>417.16</v>
      </c>
      <c r="H494">
        <v>436.67</v>
      </c>
      <c r="I494" s="94">
        <v>485.11</v>
      </c>
      <c r="J494" s="94">
        <v>399.7</v>
      </c>
      <c r="K494" s="94">
        <v>414.95</v>
      </c>
      <c r="L494" s="94">
        <v>546.87</v>
      </c>
      <c r="M494" s="94">
        <v>422.77</v>
      </c>
      <c r="N494" s="94">
        <v>479.93</v>
      </c>
      <c r="O494" s="94">
        <v>467.71</v>
      </c>
      <c r="P494" s="94">
        <v>530.87</v>
      </c>
      <c r="Q494" s="94">
        <v>482.41</v>
      </c>
      <c r="R494" s="94">
        <v>449.4</v>
      </c>
      <c r="S494" s="94">
        <v>446.44</v>
      </c>
      <c r="T494" s="94">
        <v>359.55</v>
      </c>
      <c r="U494" s="94">
        <v>408.38</v>
      </c>
    </row>
    <row r="495" spans="1:21">
      <c r="A495" s="91">
        <v>39748</v>
      </c>
      <c r="B495" s="86">
        <v>39748</v>
      </c>
      <c r="C495" s="93">
        <v>1.2402331638347999</v>
      </c>
      <c r="D495" s="85" t="s">
        <v>896</v>
      </c>
      <c r="F495" s="91">
        <v>39748</v>
      </c>
      <c r="G495">
        <v>435.49</v>
      </c>
      <c r="H495">
        <v>468.56</v>
      </c>
      <c r="I495" s="94">
        <v>527.32000000000005</v>
      </c>
      <c r="J495" s="94">
        <v>422.81</v>
      </c>
      <c r="K495" s="94">
        <v>452.06</v>
      </c>
      <c r="L495" s="94">
        <v>546.87</v>
      </c>
      <c r="M495" s="94">
        <v>432.76</v>
      </c>
      <c r="N495" s="94">
        <v>487.43</v>
      </c>
      <c r="O495" s="94">
        <v>455.04</v>
      </c>
      <c r="P495" s="94">
        <v>530.87</v>
      </c>
      <c r="Q495" s="94">
        <v>491.44</v>
      </c>
      <c r="R495" s="94">
        <v>471.25</v>
      </c>
      <c r="S495" s="94">
        <v>474.14</v>
      </c>
      <c r="T495" s="94">
        <v>374.6</v>
      </c>
      <c r="U495" s="94">
        <v>416.52</v>
      </c>
    </row>
    <row r="496" spans="1:21">
      <c r="A496" s="91">
        <v>39741</v>
      </c>
      <c r="B496" s="86">
        <v>39741</v>
      </c>
      <c r="C496" s="93">
        <v>1.2959243180198299</v>
      </c>
      <c r="D496" s="85" t="s">
        <v>897</v>
      </c>
      <c r="F496" s="91">
        <v>39741</v>
      </c>
      <c r="G496">
        <v>448.83</v>
      </c>
      <c r="H496">
        <v>500.96</v>
      </c>
      <c r="I496" s="94">
        <v>520.61</v>
      </c>
      <c r="J496" s="94">
        <v>410.21</v>
      </c>
      <c r="K496" s="94">
        <v>434.81</v>
      </c>
      <c r="L496" s="94">
        <v>538.11</v>
      </c>
      <c r="M496" s="94">
        <v>461.51</v>
      </c>
      <c r="N496" s="94">
        <v>529.25</v>
      </c>
      <c r="O496" s="94">
        <v>491.02</v>
      </c>
      <c r="P496" s="94">
        <v>530.87</v>
      </c>
      <c r="Q496" s="94">
        <v>513.38</v>
      </c>
      <c r="R496" s="94">
        <v>484.69</v>
      </c>
      <c r="S496" s="94">
        <v>504.22</v>
      </c>
      <c r="T496" s="94">
        <v>381.29</v>
      </c>
      <c r="U496" s="94">
        <v>479.74</v>
      </c>
    </row>
    <row r="497" spans="1:21">
      <c r="A497" s="91">
        <v>39734</v>
      </c>
      <c r="B497" s="86">
        <v>39734</v>
      </c>
      <c r="C497" s="93">
        <v>1.2732365673542101</v>
      </c>
      <c r="D497" s="85" t="s">
        <v>898</v>
      </c>
      <c r="F497" s="91">
        <v>39734</v>
      </c>
      <c r="G497">
        <v>490.49</v>
      </c>
      <c r="H497">
        <v>542.98</v>
      </c>
      <c r="I497" s="94">
        <v>556.48</v>
      </c>
      <c r="J497" s="94">
        <v>481.63</v>
      </c>
      <c r="K497" s="94">
        <v>518.61</v>
      </c>
      <c r="L497" s="94">
        <v>604.01</v>
      </c>
      <c r="M497" s="94">
        <v>516.34</v>
      </c>
      <c r="N497" s="94">
        <v>583.76</v>
      </c>
      <c r="O497" s="94">
        <v>546.67999999999995</v>
      </c>
      <c r="P497" s="94">
        <v>611.87</v>
      </c>
      <c r="Q497" s="94">
        <v>562.26</v>
      </c>
      <c r="R497" s="94">
        <v>537.63</v>
      </c>
      <c r="S497" s="94">
        <v>550.51</v>
      </c>
      <c r="T497" s="94">
        <v>440.79</v>
      </c>
      <c r="U497" s="94">
        <v>518.82000000000005</v>
      </c>
    </row>
    <row r="498" spans="1:21">
      <c r="A498" s="91">
        <v>39727</v>
      </c>
      <c r="B498" s="86">
        <v>39727</v>
      </c>
      <c r="C498" s="93">
        <v>1.2939958592132501</v>
      </c>
      <c r="D498" s="85" t="s">
        <v>899</v>
      </c>
      <c r="F498" s="91">
        <v>39727</v>
      </c>
      <c r="G498">
        <v>499.66</v>
      </c>
      <c r="H498">
        <v>529.64</v>
      </c>
      <c r="I498" s="94">
        <v>560.67999999999995</v>
      </c>
      <c r="J498" s="94">
        <v>535.21</v>
      </c>
      <c r="K498" s="94">
        <v>563.15</v>
      </c>
      <c r="L498" s="94">
        <v>639.44000000000005</v>
      </c>
      <c r="M498" s="94">
        <v>549.5</v>
      </c>
      <c r="N498" s="94">
        <v>609.09</v>
      </c>
      <c r="O498" s="94">
        <v>572.25</v>
      </c>
      <c r="P498" s="94">
        <v>611.87</v>
      </c>
      <c r="Q498" s="94">
        <v>605.86</v>
      </c>
      <c r="R498" s="94">
        <v>592.25</v>
      </c>
      <c r="S498" s="94">
        <v>575.63</v>
      </c>
      <c r="T498" s="94">
        <v>501.95</v>
      </c>
      <c r="U498" s="94">
        <v>553.84</v>
      </c>
    </row>
    <row r="499" spans="1:21">
      <c r="A499" s="91">
        <v>39720</v>
      </c>
      <c r="B499" s="86">
        <v>39720</v>
      </c>
      <c r="C499" s="93">
        <v>1.2564392511622098</v>
      </c>
      <c r="D499" s="85" t="s">
        <v>900</v>
      </c>
      <c r="F499" s="91">
        <v>39720</v>
      </c>
      <c r="G499">
        <v>530.49</v>
      </c>
      <c r="H499">
        <v>588.47</v>
      </c>
      <c r="I499" s="94">
        <v>570.95000000000005</v>
      </c>
      <c r="J499" s="94">
        <v>537.52</v>
      </c>
      <c r="K499" s="94">
        <v>577.04999999999995</v>
      </c>
      <c r="L499" s="94">
        <v>648.12</v>
      </c>
      <c r="M499" s="94">
        <v>554.5</v>
      </c>
      <c r="N499" s="94">
        <v>618.79999999999995</v>
      </c>
      <c r="O499" s="94">
        <v>593.17999999999995</v>
      </c>
      <c r="P499" s="94">
        <v>611.87</v>
      </c>
      <c r="Q499" s="94">
        <v>613.83000000000004</v>
      </c>
      <c r="R499" s="94">
        <v>624.19000000000005</v>
      </c>
      <c r="S499" s="94">
        <v>578.80999999999995</v>
      </c>
      <c r="T499" s="94">
        <v>521.80999999999995</v>
      </c>
      <c r="U499" s="94">
        <v>542.02</v>
      </c>
    </row>
    <row r="500" spans="1:21">
      <c r="A500" s="91">
        <v>39713</v>
      </c>
      <c r="B500" s="86">
        <v>39713</v>
      </c>
      <c r="C500" s="93">
        <v>1.2626262626262601</v>
      </c>
      <c r="D500" s="85" t="s">
        <v>496</v>
      </c>
      <c r="F500" s="91">
        <v>39713</v>
      </c>
      <c r="G500">
        <v>531.33000000000004</v>
      </c>
      <c r="H500">
        <v>589.74</v>
      </c>
      <c r="I500" s="94">
        <v>597.34</v>
      </c>
      <c r="J500" s="94">
        <v>539.62</v>
      </c>
      <c r="K500" s="94">
        <v>547.1</v>
      </c>
      <c r="L500" s="94">
        <v>617.38</v>
      </c>
      <c r="M500" s="94">
        <v>557.19000000000005</v>
      </c>
      <c r="N500" s="94">
        <v>613.38</v>
      </c>
      <c r="O500" s="94">
        <v>626.69000000000005</v>
      </c>
      <c r="P500" s="94">
        <v>655.67</v>
      </c>
      <c r="Q500" s="94">
        <v>607.23</v>
      </c>
      <c r="R500" s="94">
        <v>662.84</v>
      </c>
      <c r="S500" s="94">
        <v>593.92999999999995</v>
      </c>
      <c r="T500" s="94">
        <v>505.66</v>
      </c>
      <c r="U500" s="94">
        <v>555</v>
      </c>
    </row>
    <row r="501" spans="1:21">
      <c r="A501" s="91">
        <v>39706</v>
      </c>
      <c r="B501" s="86">
        <v>39706</v>
      </c>
      <c r="C501" s="93">
        <v>1.25952515901505</v>
      </c>
      <c r="D501" s="85" t="s">
        <v>901</v>
      </c>
      <c r="F501" s="91">
        <v>39706</v>
      </c>
      <c r="G501">
        <v>564.66</v>
      </c>
      <c r="H501">
        <v>628.91</v>
      </c>
      <c r="I501" s="94">
        <v>591.08000000000004</v>
      </c>
      <c r="J501" s="94">
        <v>552.85</v>
      </c>
      <c r="K501" s="94">
        <v>644.87</v>
      </c>
      <c r="L501" s="94">
        <v>639.54</v>
      </c>
      <c r="M501" s="94">
        <v>586.76</v>
      </c>
      <c r="N501" s="94">
        <v>641.57000000000005</v>
      </c>
      <c r="O501" s="94">
        <v>606.46</v>
      </c>
      <c r="P501" s="94">
        <v>655.67</v>
      </c>
      <c r="Q501" s="94">
        <v>639.77</v>
      </c>
      <c r="R501" s="94">
        <v>676.29</v>
      </c>
      <c r="S501" s="94">
        <v>612.48</v>
      </c>
      <c r="T501" s="94">
        <v>580.20000000000005</v>
      </c>
      <c r="U501" s="94">
        <v>571.89</v>
      </c>
    </row>
    <row r="502" spans="1:21">
      <c r="A502" s="91">
        <v>39699</v>
      </c>
      <c r="B502" s="86">
        <v>39699</v>
      </c>
      <c r="C502" s="93">
        <v>1.2388503468781</v>
      </c>
      <c r="D502" s="85" t="s">
        <v>902</v>
      </c>
      <c r="F502" s="91">
        <v>39699</v>
      </c>
      <c r="G502">
        <v>571.33000000000004</v>
      </c>
      <c r="H502">
        <v>625.08000000000004</v>
      </c>
      <c r="I502" s="94">
        <v>580.44000000000005</v>
      </c>
      <c r="J502" s="94">
        <v>567.98</v>
      </c>
      <c r="K502" s="94">
        <v>614.88</v>
      </c>
      <c r="L502" s="94">
        <v>613.07000000000005</v>
      </c>
      <c r="M502" s="94">
        <v>585.79999999999995</v>
      </c>
      <c r="N502" s="94">
        <v>647.79</v>
      </c>
      <c r="O502" s="94">
        <v>606.25</v>
      </c>
      <c r="P502" s="94">
        <v>655.67</v>
      </c>
      <c r="Q502" s="94">
        <v>640.74</v>
      </c>
      <c r="R502" s="94">
        <v>674.61</v>
      </c>
      <c r="S502" s="94">
        <v>614.83000000000004</v>
      </c>
      <c r="T502" s="94">
        <v>560.52</v>
      </c>
      <c r="U502" s="94">
        <v>559.19000000000005</v>
      </c>
    </row>
    <row r="503" spans="1:21">
      <c r="A503" s="91">
        <v>39692</v>
      </c>
      <c r="B503" s="86">
        <v>39692</v>
      </c>
      <c r="C503" s="93">
        <v>1.2320581531448298</v>
      </c>
      <c r="D503" s="85" t="s">
        <v>461</v>
      </c>
      <c r="F503" s="91">
        <v>39692</v>
      </c>
      <c r="G503">
        <v>601.33000000000004</v>
      </c>
      <c r="H503">
        <v>605.20000000000005</v>
      </c>
      <c r="I503" s="94">
        <v>577.72</v>
      </c>
      <c r="J503" s="94">
        <v>580.58000000000004</v>
      </c>
      <c r="K503" s="94">
        <v>635.25</v>
      </c>
      <c r="L503" s="94">
        <v>631.54</v>
      </c>
      <c r="M503" s="94">
        <v>594.94000000000005</v>
      </c>
      <c r="N503" s="94">
        <v>643.19000000000005</v>
      </c>
      <c r="O503" s="94">
        <v>604.66999999999996</v>
      </c>
      <c r="P503" s="94">
        <v>655.67</v>
      </c>
      <c r="Q503" s="94">
        <v>647.78</v>
      </c>
      <c r="R503" s="94">
        <v>674.61</v>
      </c>
      <c r="S503" s="94">
        <v>622.27</v>
      </c>
      <c r="T503" s="94">
        <v>568.87</v>
      </c>
      <c r="U503" s="94">
        <v>556.12</v>
      </c>
    </row>
    <row r="504" spans="1:21">
      <c r="A504" s="91">
        <v>39685</v>
      </c>
      <c r="B504" s="86">
        <v>39685</v>
      </c>
      <c r="C504" s="93">
        <v>1.2553351744915899</v>
      </c>
      <c r="D504" s="85" t="s">
        <v>903</v>
      </c>
      <c r="F504" s="91">
        <v>39685</v>
      </c>
      <c r="G504">
        <v>579.66</v>
      </c>
      <c r="H504">
        <v>616.82000000000005</v>
      </c>
      <c r="I504" s="94">
        <v>590.44000000000005</v>
      </c>
      <c r="J504" s="94">
        <v>593.82000000000005</v>
      </c>
      <c r="K504" s="94">
        <v>642.54</v>
      </c>
      <c r="L504" s="94">
        <v>636.51</v>
      </c>
      <c r="M504" s="94">
        <v>582.01</v>
      </c>
      <c r="N504" s="94">
        <v>635.04</v>
      </c>
      <c r="O504" s="94">
        <v>612.65</v>
      </c>
      <c r="P504" s="94">
        <v>655.67</v>
      </c>
      <c r="Q504" s="94">
        <v>644.63</v>
      </c>
      <c r="R504" s="94">
        <v>695.56</v>
      </c>
      <c r="S504" s="94">
        <v>617.82000000000005</v>
      </c>
      <c r="T504" s="94">
        <v>549.89</v>
      </c>
      <c r="U504" s="94">
        <v>564.75</v>
      </c>
    </row>
    <row r="505" spans="1:21">
      <c r="A505" s="91">
        <v>39678</v>
      </c>
      <c r="B505" s="86">
        <v>39678</v>
      </c>
      <c r="C505" s="93">
        <v>1.2688745083111299</v>
      </c>
      <c r="D505" s="85" t="s">
        <v>904</v>
      </c>
      <c r="F505" s="91">
        <v>39678</v>
      </c>
      <c r="G505">
        <v>573.83000000000004</v>
      </c>
      <c r="H505">
        <v>621.73</v>
      </c>
      <c r="I505" s="94">
        <v>592.95000000000005</v>
      </c>
      <c r="J505" s="94">
        <v>551.59</v>
      </c>
      <c r="K505" s="94">
        <v>619.01</v>
      </c>
      <c r="L505" s="94">
        <v>656.38</v>
      </c>
      <c r="M505" s="94">
        <v>578.52</v>
      </c>
      <c r="N505" s="94">
        <v>641.05999999999995</v>
      </c>
      <c r="O505" s="94">
        <v>607.79</v>
      </c>
      <c r="P505" s="94">
        <v>655.67</v>
      </c>
      <c r="Q505" s="94">
        <v>643.12</v>
      </c>
      <c r="R505" s="94">
        <v>678.76</v>
      </c>
      <c r="S505" s="94">
        <v>620.22</v>
      </c>
      <c r="T505" s="94">
        <v>550.09</v>
      </c>
      <c r="U505" s="94">
        <v>572.91999999999996</v>
      </c>
    </row>
    <row r="506" spans="1:21">
      <c r="A506" s="91">
        <v>39671</v>
      </c>
      <c r="B506" s="86">
        <v>39671</v>
      </c>
      <c r="C506" s="93">
        <v>1.27934497537261</v>
      </c>
      <c r="D506" s="85" t="s">
        <v>798</v>
      </c>
      <c r="F506" s="91">
        <v>39671</v>
      </c>
      <c r="G506">
        <v>585.49</v>
      </c>
      <c r="H506">
        <v>629.61</v>
      </c>
      <c r="I506" s="94">
        <v>614.75</v>
      </c>
      <c r="J506" s="94">
        <v>578.29999999999995</v>
      </c>
      <c r="K506" s="94">
        <v>616.78</v>
      </c>
      <c r="L506" s="94">
        <v>663.27</v>
      </c>
      <c r="M506" s="94">
        <v>579.77</v>
      </c>
      <c r="N506" s="94">
        <v>647.80999999999995</v>
      </c>
      <c r="O506" s="94">
        <v>618.6</v>
      </c>
      <c r="P506" s="94">
        <v>656.49</v>
      </c>
      <c r="Q506" s="94">
        <v>647</v>
      </c>
      <c r="R506" s="94">
        <v>677.08</v>
      </c>
      <c r="S506" s="94">
        <v>624.26</v>
      </c>
      <c r="T506" s="94">
        <v>547.16</v>
      </c>
      <c r="U506" s="94">
        <v>596.24</v>
      </c>
    </row>
    <row r="507" spans="1:21">
      <c r="A507" s="91">
        <v>39664</v>
      </c>
      <c r="B507" s="86">
        <v>39664</v>
      </c>
      <c r="C507" s="93">
        <v>1.2631844880944898</v>
      </c>
      <c r="D507" s="85" t="s">
        <v>905</v>
      </c>
      <c r="F507" s="91">
        <v>39664</v>
      </c>
      <c r="G507">
        <v>584.66</v>
      </c>
      <c r="H507">
        <v>633.22</v>
      </c>
      <c r="I507" s="94">
        <v>628.42999999999995</v>
      </c>
      <c r="J507" s="94">
        <v>561.5</v>
      </c>
      <c r="K507" s="94">
        <v>621</v>
      </c>
      <c r="L507" s="94">
        <v>650.73</v>
      </c>
      <c r="M507" s="94">
        <v>580.70000000000005</v>
      </c>
      <c r="N507" s="94">
        <v>656.13</v>
      </c>
      <c r="O507" s="94">
        <v>626.6</v>
      </c>
      <c r="P507" s="94">
        <v>656.49</v>
      </c>
      <c r="Q507" s="94">
        <v>658.87</v>
      </c>
      <c r="R507" s="94">
        <v>687.16</v>
      </c>
      <c r="S507" s="94">
        <v>637.72</v>
      </c>
      <c r="T507" s="94">
        <v>560.70000000000005</v>
      </c>
      <c r="U507" s="94">
        <v>600.94000000000005</v>
      </c>
    </row>
    <row r="508" spans="1:21">
      <c r="A508" s="91">
        <v>39657</v>
      </c>
      <c r="B508" s="86">
        <v>39657</v>
      </c>
      <c r="C508" s="93">
        <v>1.2618296529968498</v>
      </c>
      <c r="D508" s="85" t="s">
        <v>906</v>
      </c>
      <c r="F508" s="91">
        <v>39657</v>
      </c>
      <c r="G508">
        <v>580.49</v>
      </c>
      <c r="H508">
        <v>662.45</v>
      </c>
      <c r="I508" s="94">
        <v>650.73</v>
      </c>
      <c r="J508" s="94">
        <v>559.37</v>
      </c>
      <c r="K508" s="94">
        <v>615.54</v>
      </c>
      <c r="L508" s="94">
        <v>768.18</v>
      </c>
      <c r="M508" s="94">
        <v>600.20000000000005</v>
      </c>
      <c r="N508" s="94">
        <v>685.37</v>
      </c>
      <c r="O508" s="94">
        <v>659.65</v>
      </c>
      <c r="P508" s="94">
        <v>630.04999999999995</v>
      </c>
      <c r="Q508" s="94">
        <v>677.37</v>
      </c>
      <c r="R508" s="94">
        <v>688.84</v>
      </c>
      <c r="S508" s="94">
        <v>656.34</v>
      </c>
      <c r="T508" s="94">
        <v>552.37</v>
      </c>
      <c r="U508" s="94">
        <v>620.16999999999996</v>
      </c>
    </row>
    <row r="509" spans="1:21">
      <c r="A509" s="91">
        <v>39650</v>
      </c>
      <c r="B509" s="86">
        <v>39650</v>
      </c>
      <c r="C509" s="93">
        <v>1.25849484017116</v>
      </c>
      <c r="D509" s="85" t="s">
        <v>907</v>
      </c>
      <c r="F509" s="91">
        <v>39650</v>
      </c>
      <c r="G509">
        <v>612.16</v>
      </c>
      <c r="H509">
        <v>693.88</v>
      </c>
      <c r="I509" s="94">
        <v>678.29</v>
      </c>
      <c r="J509" s="94">
        <v>590.88</v>
      </c>
      <c r="K509" s="94">
        <v>650.95000000000005</v>
      </c>
      <c r="L509" s="94">
        <v>649.42999999999995</v>
      </c>
      <c r="M509" s="94">
        <v>629.92999999999995</v>
      </c>
      <c r="N509" s="94">
        <v>704.91</v>
      </c>
      <c r="O509" s="94">
        <v>681.99</v>
      </c>
      <c r="P509" s="94">
        <v>630.04999999999995</v>
      </c>
      <c r="Q509" s="94">
        <v>706.1</v>
      </c>
      <c r="R509" s="94">
        <v>752.71</v>
      </c>
      <c r="S509" s="94">
        <v>682.35</v>
      </c>
      <c r="T509" s="94">
        <v>569.29</v>
      </c>
      <c r="U509" s="94">
        <v>645.20000000000005</v>
      </c>
    </row>
    <row r="510" spans="1:21">
      <c r="A510" s="91">
        <v>39643</v>
      </c>
      <c r="B510" s="86">
        <v>39643</v>
      </c>
      <c r="C510" s="93">
        <v>1.25391849529781</v>
      </c>
      <c r="D510" s="85" t="s">
        <v>908</v>
      </c>
      <c r="F510" s="91">
        <v>39643</v>
      </c>
      <c r="G510">
        <v>608.83000000000004</v>
      </c>
      <c r="H510">
        <v>693.88</v>
      </c>
      <c r="I510" s="94">
        <v>671.99</v>
      </c>
      <c r="J510" s="94">
        <v>638.99</v>
      </c>
      <c r="K510" s="94">
        <v>673.53</v>
      </c>
      <c r="L510" s="94">
        <v>649.42999999999995</v>
      </c>
      <c r="M510" s="94">
        <v>636.52</v>
      </c>
      <c r="N510" s="94">
        <v>706.46</v>
      </c>
      <c r="O510" s="94">
        <v>699.88</v>
      </c>
      <c r="P510" s="94">
        <v>630.04999999999995</v>
      </c>
      <c r="Q510" s="94">
        <v>712.96</v>
      </c>
      <c r="R510" s="94">
        <v>752.71</v>
      </c>
      <c r="S510" s="94">
        <v>693.34</v>
      </c>
      <c r="T510" s="94">
        <v>610.73</v>
      </c>
      <c r="U510" s="94">
        <v>643.25</v>
      </c>
    </row>
    <row r="511" spans="1:21">
      <c r="A511" s="91">
        <v>39636</v>
      </c>
      <c r="B511" s="86">
        <v>39636</v>
      </c>
      <c r="C511" s="93">
        <v>1.2558081125204101</v>
      </c>
      <c r="D511" s="85" t="s">
        <v>909</v>
      </c>
      <c r="F511" s="91">
        <v>39636</v>
      </c>
      <c r="G511">
        <v>622.16</v>
      </c>
      <c r="H511">
        <v>704.71</v>
      </c>
      <c r="I511" s="94">
        <v>666.65</v>
      </c>
      <c r="J511" s="94">
        <v>656.63</v>
      </c>
      <c r="K511" s="94">
        <v>684.57</v>
      </c>
      <c r="L511" s="94">
        <v>649.42999999999995</v>
      </c>
      <c r="M511" s="94">
        <v>639.86</v>
      </c>
      <c r="N511" s="94">
        <v>705.34</v>
      </c>
      <c r="O511" s="94">
        <v>671.98</v>
      </c>
      <c r="P511" s="94">
        <v>630.04999999999995</v>
      </c>
      <c r="Q511" s="94">
        <v>709.58</v>
      </c>
      <c r="R511" s="94">
        <v>838.42</v>
      </c>
      <c r="S511" s="94">
        <v>688.02</v>
      </c>
      <c r="T511" s="94">
        <v>623.19000000000005</v>
      </c>
      <c r="U511" s="94">
        <v>642.49</v>
      </c>
    </row>
    <row r="512" spans="1:21">
      <c r="A512" s="91">
        <v>39629</v>
      </c>
      <c r="B512" s="86">
        <v>39629</v>
      </c>
      <c r="C512" s="93">
        <v>1.2622278321236999</v>
      </c>
      <c r="D512" s="85" t="s">
        <v>910</v>
      </c>
      <c r="F512" s="91">
        <v>39629</v>
      </c>
      <c r="G512">
        <v>637.16</v>
      </c>
      <c r="H512">
        <v>698.14</v>
      </c>
      <c r="I512" s="94">
        <v>658.83</v>
      </c>
      <c r="J512" s="94">
        <v>643.4</v>
      </c>
      <c r="K512" s="94">
        <v>680.22</v>
      </c>
      <c r="L512" s="94">
        <v>649.42999999999995</v>
      </c>
      <c r="M512" s="94">
        <v>640.5</v>
      </c>
      <c r="N512" s="94">
        <v>702.9</v>
      </c>
      <c r="O512" s="94">
        <v>664.7</v>
      </c>
      <c r="P512" s="94">
        <v>630.04999999999995</v>
      </c>
      <c r="Q512" s="94">
        <v>706.81</v>
      </c>
      <c r="R512" s="94">
        <v>748</v>
      </c>
      <c r="S512" s="94">
        <v>679.33</v>
      </c>
      <c r="T512" s="94">
        <v>610.54</v>
      </c>
      <c r="U512" s="94">
        <v>641.15</v>
      </c>
    </row>
    <row r="513" spans="1:21">
      <c r="A513" s="91">
        <v>39622</v>
      </c>
      <c r="B513" s="86">
        <v>39622</v>
      </c>
      <c r="C513" s="93">
        <v>1.2633440717579401</v>
      </c>
      <c r="D513" s="85" t="s">
        <v>911</v>
      </c>
      <c r="F513" s="91">
        <v>39622</v>
      </c>
      <c r="G513">
        <v>615.49</v>
      </c>
      <c r="H513">
        <v>672.5</v>
      </c>
      <c r="I513" s="94">
        <v>654.09</v>
      </c>
      <c r="J513" s="94">
        <v>615.25</v>
      </c>
      <c r="K513" s="94">
        <v>674.82</v>
      </c>
      <c r="L513" s="94">
        <v>649.42999999999995</v>
      </c>
      <c r="M513" s="94">
        <v>645.67999999999995</v>
      </c>
      <c r="N513" s="94">
        <v>702.86</v>
      </c>
      <c r="O513" s="94">
        <v>653.66</v>
      </c>
      <c r="P513" s="94">
        <v>579.63</v>
      </c>
      <c r="Q513" s="94">
        <v>706.86</v>
      </c>
      <c r="R513" s="94">
        <v>751.03</v>
      </c>
      <c r="S513" s="94">
        <v>674.97</v>
      </c>
      <c r="T513" s="94">
        <v>615.55999999999995</v>
      </c>
      <c r="U513" s="94">
        <v>637.35</v>
      </c>
    </row>
    <row r="514" spans="1:21">
      <c r="A514" s="91">
        <v>39615</v>
      </c>
      <c r="B514" s="86">
        <v>39615</v>
      </c>
      <c r="C514" s="93">
        <v>1.2701638511367999</v>
      </c>
      <c r="D514" s="85" t="s">
        <v>912</v>
      </c>
      <c r="F514" s="91">
        <v>39615</v>
      </c>
      <c r="G514">
        <v>635.49</v>
      </c>
      <c r="H514">
        <v>676.11</v>
      </c>
      <c r="I514" s="94">
        <v>652.54999999999995</v>
      </c>
      <c r="J514" s="94">
        <v>619.03</v>
      </c>
      <c r="K514" s="94">
        <v>675.91</v>
      </c>
      <c r="L514" s="94">
        <v>649.42999999999995</v>
      </c>
      <c r="M514" s="94">
        <v>642.66</v>
      </c>
      <c r="N514" s="94">
        <v>693.67</v>
      </c>
      <c r="O514" s="94">
        <v>616.52</v>
      </c>
      <c r="P514" s="94">
        <v>579.63</v>
      </c>
      <c r="Q514" s="94">
        <v>706.53</v>
      </c>
      <c r="R514" s="94">
        <v>747.66</v>
      </c>
      <c r="S514" s="94">
        <v>671.52</v>
      </c>
      <c r="T514" s="94">
        <v>610.11</v>
      </c>
      <c r="U514" s="94">
        <v>632.72</v>
      </c>
    </row>
    <row r="515" spans="1:21">
      <c r="A515" s="91">
        <v>39608</v>
      </c>
      <c r="B515" s="86">
        <v>39608</v>
      </c>
      <c r="C515" s="93">
        <v>1.25407574617507</v>
      </c>
      <c r="D515" s="85" t="s">
        <v>913</v>
      </c>
      <c r="F515" s="91">
        <v>39608</v>
      </c>
      <c r="G515">
        <v>632.16</v>
      </c>
      <c r="H515">
        <v>664.39</v>
      </c>
      <c r="I515" s="94">
        <v>641.91</v>
      </c>
      <c r="J515" s="94">
        <v>610.41999999999996</v>
      </c>
      <c r="K515" s="94">
        <v>642.5</v>
      </c>
      <c r="L515" s="94">
        <v>614.20000000000005</v>
      </c>
      <c r="M515" s="94">
        <v>624.07000000000005</v>
      </c>
      <c r="N515" s="94">
        <v>688.03</v>
      </c>
      <c r="O515" s="94">
        <v>616.75</v>
      </c>
      <c r="P515" s="94">
        <v>579.63</v>
      </c>
      <c r="Q515" s="94">
        <v>688.32</v>
      </c>
      <c r="R515" s="94">
        <v>749.35</v>
      </c>
      <c r="S515" s="94">
        <v>658.98</v>
      </c>
      <c r="T515" s="94">
        <v>584.29999999999995</v>
      </c>
      <c r="U515" s="94">
        <v>615.79</v>
      </c>
    </row>
    <row r="516" spans="1:21">
      <c r="A516" s="91">
        <v>39601</v>
      </c>
      <c r="B516" s="86">
        <v>39601</v>
      </c>
      <c r="C516" s="93">
        <v>1.2722646310432599</v>
      </c>
      <c r="D516" s="85" t="s">
        <v>914</v>
      </c>
      <c r="F516" s="91">
        <v>39601</v>
      </c>
      <c r="G516">
        <v>613.83000000000004</v>
      </c>
      <c r="H516">
        <v>670.81</v>
      </c>
      <c r="I516" s="94">
        <v>630.78</v>
      </c>
      <c r="J516" s="94">
        <v>603.5</v>
      </c>
      <c r="K516" s="94">
        <v>672.63</v>
      </c>
      <c r="L516" s="94">
        <v>638.33000000000004</v>
      </c>
      <c r="M516" s="94">
        <v>627.62</v>
      </c>
      <c r="N516" s="94">
        <v>679.63</v>
      </c>
      <c r="O516" s="94">
        <v>632.32000000000005</v>
      </c>
      <c r="P516" s="94">
        <v>554.01</v>
      </c>
      <c r="Q516" s="94">
        <v>683</v>
      </c>
      <c r="R516" s="94">
        <v>728</v>
      </c>
      <c r="S516" s="94">
        <v>655.93</v>
      </c>
      <c r="T516" s="94">
        <v>602.70000000000005</v>
      </c>
      <c r="U516" s="94">
        <v>615.73</v>
      </c>
    </row>
    <row r="517" spans="1:21">
      <c r="A517" s="91">
        <v>39594</v>
      </c>
      <c r="B517" s="86">
        <v>39594</v>
      </c>
      <c r="C517" s="93">
        <v>1.25881168177241</v>
      </c>
      <c r="D517" s="85" t="s">
        <v>915</v>
      </c>
      <c r="F517" s="91">
        <v>39594</v>
      </c>
      <c r="G517">
        <v>607.16</v>
      </c>
      <c r="H517">
        <v>661.96</v>
      </c>
      <c r="I517" s="94">
        <v>617.58000000000004</v>
      </c>
      <c r="J517" s="94">
        <v>595.1</v>
      </c>
      <c r="K517" s="94">
        <v>654.27</v>
      </c>
      <c r="L517" s="94">
        <v>620.27</v>
      </c>
      <c r="M517" s="94">
        <v>619.55999999999995</v>
      </c>
      <c r="N517" s="94">
        <v>670.6</v>
      </c>
      <c r="O517" s="94">
        <v>622.91</v>
      </c>
      <c r="P517" s="94">
        <v>554.01</v>
      </c>
      <c r="Q517" s="94">
        <v>683.58</v>
      </c>
      <c r="R517" s="94">
        <v>726.7</v>
      </c>
      <c r="S517" s="94">
        <v>651.58000000000004</v>
      </c>
      <c r="T517" s="94">
        <v>587.16</v>
      </c>
      <c r="U517" s="94">
        <v>595.92999999999995</v>
      </c>
    </row>
    <row r="518" spans="1:21">
      <c r="A518" s="91">
        <v>39587</v>
      </c>
      <c r="B518" s="86">
        <v>39587</v>
      </c>
      <c r="C518" s="93">
        <v>1.2537612838515499</v>
      </c>
      <c r="D518" s="85" t="s">
        <v>465</v>
      </c>
      <c r="F518" s="91">
        <v>39587</v>
      </c>
      <c r="G518">
        <v>615.49</v>
      </c>
      <c r="H518">
        <v>637.75</v>
      </c>
      <c r="I518" s="94">
        <v>607.67999999999995</v>
      </c>
      <c r="J518" s="94">
        <v>597.80999999999995</v>
      </c>
      <c r="K518" s="94">
        <v>639.16999999999996</v>
      </c>
      <c r="L518" s="94">
        <v>602.07000000000005</v>
      </c>
      <c r="M518" s="94">
        <v>602.41</v>
      </c>
      <c r="N518" s="94">
        <v>664.9</v>
      </c>
      <c r="O518" s="94">
        <v>612.86</v>
      </c>
      <c r="P518" s="94">
        <v>554.01</v>
      </c>
      <c r="Q518" s="94">
        <v>663.63</v>
      </c>
      <c r="R518" s="94">
        <v>701.49</v>
      </c>
      <c r="S518" s="94">
        <v>631.36</v>
      </c>
      <c r="T518" s="94">
        <v>588.1</v>
      </c>
      <c r="U518" s="94">
        <v>574.04</v>
      </c>
    </row>
    <row r="519" spans="1:21">
      <c r="A519" s="91">
        <v>39580</v>
      </c>
      <c r="B519" s="86">
        <v>39580</v>
      </c>
      <c r="C519" s="93">
        <v>1.2676681244850101</v>
      </c>
      <c r="D519" s="85" t="s">
        <v>916</v>
      </c>
      <c r="F519" s="91">
        <v>39580</v>
      </c>
      <c r="G519">
        <v>589.66</v>
      </c>
      <c r="H519">
        <v>605.48</v>
      </c>
      <c r="I519" s="94">
        <v>585.61</v>
      </c>
      <c r="J519" s="94">
        <v>557.26</v>
      </c>
      <c r="K519" s="94">
        <v>624.16999999999996</v>
      </c>
      <c r="L519" s="94">
        <v>597.52</v>
      </c>
      <c r="M519" s="94">
        <v>577.44000000000005</v>
      </c>
      <c r="N519" s="94">
        <v>627.49</v>
      </c>
      <c r="O519" s="94">
        <v>586.16</v>
      </c>
      <c r="P519" s="94">
        <v>554.01</v>
      </c>
      <c r="Q519" s="94">
        <v>651.9</v>
      </c>
      <c r="R519" s="94">
        <v>696</v>
      </c>
      <c r="S519" s="94">
        <v>615.29999999999995</v>
      </c>
      <c r="T519" s="94">
        <v>562.27</v>
      </c>
      <c r="U519" s="94">
        <v>559.73</v>
      </c>
    </row>
    <row r="520" spans="1:21">
      <c r="A520" s="91">
        <v>39573</v>
      </c>
      <c r="B520" s="86">
        <v>39573</v>
      </c>
      <c r="C520" s="93">
        <v>1.27356087620988</v>
      </c>
      <c r="D520" s="85" t="s">
        <v>395</v>
      </c>
      <c r="F520" s="91">
        <v>39573</v>
      </c>
      <c r="G520">
        <v>577.16</v>
      </c>
      <c r="H520">
        <v>605.48</v>
      </c>
      <c r="I520" s="94">
        <v>577.79</v>
      </c>
      <c r="J520" s="94">
        <v>556.84</v>
      </c>
      <c r="K520" s="94">
        <v>570.46</v>
      </c>
      <c r="L520" s="94">
        <v>556.58000000000004</v>
      </c>
      <c r="M520" s="94">
        <v>571.25</v>
      </c>
      <c r="N520" s="94">
        <v>623.70000000000005</v>
      </c>
      <c r="O520" s="94">
        <v>572.29</v>
      </c>
      <c r="P520" s="94">
        <v>554.01</v>
      </c>
      <c r="Q520" s="94">
        <v>629</v>
      </c>
      <c r="R520" s="94">
        <v>680</v>
      </c>
      <c r="S520" s="94">
        <v>604.53</v>
      </c>
      <c r="T520" s="94">
        <v>524.36</v>
      </c>
      <c r="U520" s="94">
        <v>554.26</v>
      </c>
    </row>
    <row r="521" spans="1:21">
      <c r="A521" s="91">
        <v>39566</v>
      </c>
      <c r="B521" s="86">
        <v>39566</v>
      </c>
      <c r="C521" s="93">
        <v>1.2743723716069799</v>
      </c>
      <c r="D521" s="85" t="s">
        <v>464</v>
      </c>
      <c r="F521" s="91">
        <v>39566</v>
      </c>
      <c r="G521">
        <v>560.49</v>
      </c>
      <c r="H521">
        <v>599.75</v>
      </c>
      <c r="I521" s="94">
        <v>558.07000000000005</v>
      </c>
      <c r="J521" s="94">
        <v>556.84</v>
      </c>
      <c r="K521" s="94">
        <v>598.34</v>
      </c>
      <c r="L521" s="94">
        <v>550.51</v>
      </c>
      <c r="M521" s="94">
        <v>565.86</v>
      </c>
      <c r="N521" s="94">
        <v>598.39</v>
      </c>
      <c r="O521" s="94">
        <v>568.63</v>
      </c>
      <c r="P521" s="94">
        <v>554.01</v>
      </c>
      <c r="Q521" s="94">
        <v>616.04</v>
      </c>
      <c r="R521" s="94">
        <v>676</v>
      </c>
      <c r="S521" s="94">
        <v>597.94000000000005</v>
      </c>
      <c r="T521" s="94">
        <v>532.75</v>
      </c>
      <c r="U521" s="94">
        <v>545.96</v>
      </c>
    </row>
    <row r="522" spans="1:21">
      <c r="A522" s="91">
        <v>39559</v>
      </c>
      <c r="B522" s="86">
        <v>39559</v>
      </c>
      <c r="C522" s="93">
        <v>1.2489072061945801</v>
      </c>
      <c r="D522" s="85" t="s">
        <v>917</v>
      </c>
      <c r="F522" s="91">
        <v>39559</v>
      </c>
      <c r="G522">
        <v>548.83000000000004</v>
      </c>
      <c r="H522">
        <v>563.21</v>
      </c>
      <c r="I522" s="94">
        <v>558.61</v>
      </c>
      <c r="J522" s="94">
        <v>541.72</v>
      </c>
      <c r="K522" s="94">
        <v>571.58000000000004</v>
      </c>
      <c r="L522" s="94">
        <v>571.04999999999995</v>
      </c>
      <c r="M522" s="94">
        <v>550.19000000000005</v>
      </c>
      <c r="N522" s="94">
        <v>590.35</v>
      </c>
      <c r="O522" s="94">
        <v>558.53</v>
      </c>
      <c r="P522" s="94">
        <v>554.01</v>
      </c>
      <c r="Q522" s="94">
        <v>603.42999999999995</v>
      </c>
      <c r="R522" s="94">
        <v>660</v>
      </c>
      <c r="S522" s="94">
        <v>578.72</v>
      </c>
      <c r="T522" s="94">
        <v>518.30999999999995</v>
      </c>
      <c r="U522" s="94">
        <v>525.17999999999995</v>
      </c>
    </row>
    <row r="523" spans="1:21">
      <c r="A523" s="91">
        <v>39552</v>
      </c>
      <c r="B523" s="86">
        <v>39552</v>
      </c>
      <c r="C523" s="93">
        <v>1.2521913348359601</v>
      </c>
      <c r="D523" s="85" t="s">
        <v>918</v>
      </c>
      <c r="F523" s="91">
        <v>39552</v>
      </c>
      <c r="G523">
        <v>545.49</v>
      </c>
      <c r="H523">
        <v>554.82000000000005</v>
      </c>
      <c r="I523" s="94">
        <v>562.35</v>
      </c>
      <c r="J523" s="94">
        <v>531</v>
      </c>
      <c r="K523" s="94">
        <v>562.19000000000005</v>
      </c>
      <c r="L523" s="94">
        <v>548.16999999999996</v>
      </c>
      <c r="M523" s="94">
        <v>548.08000000000004</v>
      </c>
      <c r="N523" s="94">
        <v>583.80999999999995</v>
      </c>
      <c r="O523" s="94">
        <v>558.73</v>
      </c>
      <c r="P523" s="94">
        <v>539.96</v>
      </c>
      <c r="Q523" s="94">
        <v>603.16</v>
      </c>
      <c r="R523" s="94">
        <v>643.5</v>
      </c>
      <c r="S523" s="94">
        <v>567.20000000000005</v>
      </c>
      <c r="T523" s="94">
        <v>495.64</v>
      </c>
      <c r="U523" s="94">
        <v>516.35</v>
      </c>
    </row>
    <row r="524" spans="1:21">
      <c r="A524" s="91">
        <v>39545</v>
      </c>
      <c r="B524" s="86">
        <v>39545</v>
      </c>
      <c r="C524" s="93">
        <v>1.2668651422056099</v>
      </c>
      <c r="D524" s="85" t="s">
        <v>456</v>
      </c>
      <c r="F524" s="91">
        <v>39545</v>
      </c>
      <c r="G524">
        <v>528.83000000000004</v>
      </c>
      <c r="H524">
        <v>552.63</v>
      </c>
      <c r="I524" s="94">
        <v>557.70000000000005</v>
      </c>
      <c r="J524" s="94">
        <v>507.68</v>
      </c>
      <c r="K524" s="94">
        <v>579.28</v>
      </c>
      <c r="L524" s="94">
        <v>562.09</v>
      </c>
      <c r="M524" s="94">
        <v>540.17999999999995</v>
      </c>
      <c r="N524" s="94">
        <v>578.86</v>
      </c>
      <c r="O524" s="94">
        <v>554.97</v>
      </c>
      <c r="P524" s="94">
        <v>539.96</v>
      </c>
      <c r="Q524" s="94">
        <v>589.66</v>
      </c>
      <c r="R524" s="94">
        <v>641</v>
      </c>
      <c r="S524" s="94">
        <v>561.15</v>
      </c>
      <c r="T524" s="94">
        <v>506.15</v>
      </c>
      <c r="U524" s="94">
        <v>518.34</v>
      </c>
    </row>
    <row r="525" spans="1:21">
      <c r="A525" s="91">
        <v>39538</v>
      </c>
      <c r="B525" s="86">
        <v>39538</v>
      </c>
      <c r="C525" s="93">
        <v>1.2565971349585299</v>
      </c>
      <c r="D525" s="85" t="s">
        <v>919</v>
      </c>
      <c r="F525" s="91">
        <v>39538</v>
      </c>
      <c r="G525">
        <v>535.04</v>
      </c>
      <c r="H525">
        <v>539.01</v>
      </c>
      <c r="I525" s="94">
        <v>551.25</v>
      </c>
      <c r="J525" s="94">
        <v>513.15</v>
      </c>
      <c r="K525" s="94">
        <v>559.09</v>
      </c>
      <c r="L525" s="94">
        <v>542.79</v>
      </c>
      <c r="M525" s="94">
        <v>535.66999999999996</v>
      </c>
      <c r="N525" s="94">
        <v>577.24</v>
      </c>
      <c r="O525" s="94">
        <v>543.54999999999995</v>
      </c>
      <c r="P525" s="94">
        <v>539.96</v>
      </c>
      <c r="Q525" s="94">
        <v>588.77</v>
      </c>
      <c r="R525" s="94">
        <v>629</v>
      </c>
      <c r="S525" s="94">
        <v>563</v>
      </c>
      <c r="T525" s="94">
        <v>496.12</v>
      </c>
      <c r="U525" s="94">
        <v>512.69000000000005</v>
      </c>
    </row>
    <row r="526" spans="1:21">
      <c r="A526" s="91">
        <v>39524</v>
      </c>
      <c r="B526" s="86">
        <v>39524</v>
      </c>
      <c r="C526" s="93">
        <v>1.2727504136438801</v>
      </c>
      <c r="D526" s="85" t="s">
        <v>920</v>
      </c>
      <c r="F526" s="91">
        <v>39524</v>
      </c>
      <c r="G526">
        <v>553.37</v>
      </c>
      <c r="H526">
        <v>566.01</v>
      </c>
      <c r="I526" s="94">
        <v>560.14</v>
      </c>
      <c r="J526" s="94">
        <v>548.44000000000005</v>
      </c>
      <c r="K526" s="94">
        <v>556.75</v>
      </c>
      <c r="L526" s="94">
        <v>542.79</v>
      </c>
      <c r="M526" s="94">
        <v>538.51</v>
      </c>
      <c r="N526" s="94">
        <v>579.77</v>
      </c>
      <c r="O526" s="94">
        <v>554.24</v>
      </c>
      <c r="P526" s="94">
        <v>520.96</v>
      </c>
      <c r="Q526" s="94">
        <v>590.6</v>
      </c>
      <c r="R526" s="94">
        <v>623</v>
      </c>
      <c r="S526" s="94">
        <v>567.02</v>
      </c>
      <c r="T526" s="94">
        <v>483.69</v>
      </c>
      <c r="U526" s="94">
        <v>511.84</v>
      </c>
    </row>
    <row r="527" spans="1:21">
      <c r="A527" s="91">
        <v>39517</v>
      </c>
      <c r="B527" s="86">
        <v>39517</v>
      </c>
      <c r="C527" s="93">
        <v>1.31492439184747</v>
      </c>
      <c r="D527" s="85" t="s">
        <v>445</v>
      </c>
      <c r="F527" s="91">
        <v>39517</v>
      </c>
      <c r="G527">
        <v>545.87</v>
      </c>
      <c r="H527">
        <v>569.97</v>
      </c>
      <c r="I527" s="94">
        <v>560.84</v>
      </c>
      <c r="J527" s="94">
        <v>537.1</v>
      </c>
      <c r="K527" s="94">
        <v>548.29999999999995</v>
      </c>
      <c r="L527" s="94">
        <v>534.66</v>
      </c>
      <c r="M527" s="94">
        <v>537.44000000000005</v>
      </c>
      <c r="N527" s="94">
        <v>580.03</v>
      </c>
      <c r="O527" s="94">
        <v>547.88</v>
      </c>
      <c r="P527" s="94">
        <v>520.96</v>
      </c>
      <c r="Q527" s="94">
        <v>593.29</v>
      </c>
      <c r="R527" s="94">
        <v>623.34</v>
      </c>
      <c r="S527" s="94">
        <v>558.51</v>
      </c>
      <c r="T527" s="94">
        <v>487.87</v>
      </c>
      <c r="U527" s="94">
        <v>523.69000000000005</v>
      </c>
    </row>
    <row r="528" spans="1:21">
      <c r="A528" s="91">
        <v>39510</v>
      </c>
      <c r="B528" s="86">
        <v>39510</v>
      </c>
      <c r="C528" s="93">
        <v>1.30548302872063</v>
      </c>
      <c r="D528" s="85" t="s">
        <v>921</v>
      </c>
      <c r="F528" s="91">
        <v>39510</v>
      </c>
      <c r="G528">
        <v>534.20000000000005</v>
      </c>
      <c r="H528">
        <v>559.09</v>
      </c>
      <c r="I528" s="94">
        <v>564.96</v>
      </c>
      <c r="J528" s="94">
        <v>531.63</v>
      </c>
      <c r="K528" s="94">
        <v>559.55999999999995</v>
      </c>
      <c r="L528" s="94">
        <v>542.79</v>
      </c>
      <c r="M528" s="94">
        <v>543.29</v>
      </c>
      <c r="N528" s="94">
        <v>581.41</v>
      </c>
      <c r="O528" s="94">
        <v>546.01</v>
      </c>
      <c r="P528" s="94">
        <v>520.96</v>
      </c>
      <c r="Q528" s="94">
        <v>593.04999999999995</v>
      </c>
      <c r="R528" s="94">
        <v>627</v>
      </c>
      <c r="S528" s="94">
        <v>564.41</v>
      </c>
      <c r="T528" s="94">
        <v>489.24</v>
      </c>
      <c r="U528" s="94">
        <v>511.94</v>
      </c>
    </row>
    <row r="529" spans="1:21">
      <c r="A529" s="91">
        <v>39503</v>
      </c>
      <c r="B529" s="86">
        <v>39503</v>
      </c>
      <c r="C529" s="93">
        <v>1.3267878466233198</v>
      </c>
      <c r="D529" s="85" t="s">
        <v>922</v>
      </c>
      <c r="F529" s="91">
        <v>39503</v>
      </c>
      <c r="G529">
        <v>546.70000000000005</v>
      </c>
      <c r="H529">
        <v>583.25</v>
      </c>
      <c r="I529" s="94">
        <v>569.04</v>
      </c>
      <c r="J529" s="94">
        <v>525.54</v>
      </c>
      <c r="K529" s="94">
        <v>574.17999999999995</v>
      </c>
      <c r="L529" s="94">
        <v>554.37</v>
      </c>
      <c r="M529" s="94">
        <v>547.29999999999995</v>
      </c>
      <c r="N529" s="94">
        <v>572.89</v>
      </c>
      <c r="O529" s="94">
        <v>542.91999999999996</v>
      </c>
      <c r="P529" s="94">
        <v>520.96</v>
      </c>
      <c r="Q529" s="94">
        <v>590.21</v>
      </c>
      <c r="R529" s="94">
        <v>638</v>
      </c>
      <c r="S529" s="94">
        <v>565.38</v>
      </c>
      <c r="T529" s="94">
        <v>500.46</v>
      </c>
      <c r="U529" s="94">
        <v>513.63</v>
      </c>
    </row>
    <row r="530" spans="1:21">
      <c r="A530" s="91">
        <v>39496</v>
      </c>
      <c r="B530" s="86">
        <v>39496</v>
      </c>
      <c r="C530" s="93">
        <v>1.3328002132480299</v>
      </c>
      <c r="D530" s="85" t="s">
        <v>923</v>
      </c>
      <c r="F530" s="91">
        <v>39496</v>
      </c>
      <c r="G530">
        <v>537.54</v>
      </c>
      <c r="H530">
        <v>558.85</v>
      </c>
      <c r="I530" s="94">
        <v>544.20000000000005</v>
      </c>
      <c r="J530" s="94">
        <v>511.26</v>
      </c>
      <c r="K530" s="94">
        <v>561.33000000000004</v>
      </c>
      <c r="L530" s="94">
        <v>588.89</v>
      </c>
      <c r="M530" s="94">
        <v>527.27</v>
      </c>
      <c r="N530" s="94">
        <v>555.48</v>
      </c>
      <c r="O530" s="94">
        <v>526.1</v>
      </c>
      <c r="P530" s="94">
        <v>544.91999999999996</v>
      </c>
      <c r="Q530" s="94">
        <v>575.17999999999995</v>
      </c>
      <c r="R530" s="94">
        <v>637</v>
      </c>
      <c r="S530" s="94">
        <v>551.57000000000005</v>
      </c>
      <c r="T530" s="94">
        <v>505.59</v>
      </c>
      <c r="U530" s="94">
        <v>505.15</v>
      </c>
    </row>
    <row r="531" spans="1:21">
      <c r="A531" s="91">
        <v>39489</v>
      </c>
      <c r="B531" s="86">
        <v>39489</v>
      </c>
      <c r="C531" s="93">
        <v>1.3401232913428001</v>
      </c>
      <c r="D531" s="85" t="s">
        <v>924</v>
      </c>
      <c r="F531" s="91">
        <v>39489</v>
      </c>
      <c r="G531">
        <v>490.04</v>
      </c>
      <c r="H531">
        <v>528.49</v>
      </c>
      <c r="I531" s="94">
        <v>539.41999999999996</v>
      </c>
      <c r="J531" s="94">
        <v>465.88</v>
      </c>
      <c r="K531" s="94">
        <v>526.04</v>
      </c>
      <c r="L531" s="94">
        <v>558.69000000000005</v>
      </c>
      <c r="M531" s="94">
        <v>500</v>
      </c>
      <c r="N531" s="94">
        <v>545.96</v>
      </c>
      <c r="O531" s="94">
        <v>513.58000000000004</v>
      </c>
      <c r="P531" s="94">
        <v>544.91999999999996</v>
      </c>
      <c r="Q531" s="94">
        <v>562.96</v>
      </c>
      <c r="R531" s="94">
        <v>610.73</v>
      </c>
      <c r="S531" s="94">
        <v>540.19000000000005</v>
      </c>
      <c r="T531" s="94">
        <v>473.66</v>
      </c>
      <c r="U531" s="94">
        <v>507.64</v>
      </c>
    </row>
    <row r="532" spans="1:21">
      <c r="A532" s="91">
        <v>39482</v>
      </c>
      <c r="B532" s="86">
        <v>39482</v>
      </c>
      <c r="C532" s="93">
        <v>1.3329778725673198</v>
      </c>
      <c r="D532" s="85" t="s">
        <v>425</v>
      </c>
      <c r="F532" s="91">
        <v>39482</v>
      </c>
      <c r="G532">
        <v>499.2</v>
      </c>
      <c r="H532">
        <v>514.27</v>
      </c>
      <c r="I532" s="94">
        <v>543.20000000000005</v>
      </c>
      <c r="J532" s="94">
        <v>497.18</v>
      </c>
      <c r="K532" s="94">
        <v>525.04999999999995</v>
      </c>
      <c r="L532" s="94">
        <v>557.73</v>
      </c>
      <c r="M532" s="94">
        <v>506.7</v>
      </c>
      <c r="N532" s="94">
        <v>549.26</v>
      </c>
      <c r="O532" s="94">
        <v>528.58000000000004</v>
      </c>
      <c r="P532" s="94">
        <v>544.91999999999996</v>
      </c>
      <c r="Q532" s="94">
        <v>563.42999999999995</v>
      </c>
      <c r="R532" s="94">
        <v>581</v>
      </c>
      <c r="S532" s="94">
        <v>534.87</v>
      </c>
      <c r="T532" s="94">
        <v>474.18</v>
      </c>
      <c r="U532" s="94">
        <v>508.98</v>
      </c>
    </row>
    <row r="533" spans="1:21">
      <c r="A533" s="91">
        <v>39475</v>
      </c>
      <c r="B533" s="86">
        <v>39475</v>
      </c>
      <c r="C533" s="93">
        <v>1.3458950201884299</v>
      </c>
      <c r="D533" s="85" t="s">
        <v>925</v>
      </c>
      <c r="F533" s="91">
        <v>39475</v>
      </c>
      <c r="G533">
        <v>497.54</v>
      </c>
      <c r="H533">
        <v>537.74</v>
      </c>
      <c r="I533" s="94">
        <v>546.44000000000005</v>
      </c>
      <c r="J533" s="94">
        <v>471.97</v>
      </c>
      <c r="K533" s="94">
        <v>520.76</v>
      </c>
      <c r="L533" s="94">
        <v>552.63</v>
      </c>
      <c r="M533" s="94">
        <v>502.4</v>
      </c>
      <c r="N533" s="94">
        <v>553.44000000000005</v>
      </c>
      <c r="O533" s="94">
        <v>524.85</v>
      </c>
      <c r="P533" s="94">
        <v>544.91999999999996</v>
      </c>
      <c r="Q533" s="94">
        <v>562.46</v>
      </c>
      <c r="R533" s="94">
        <v>590.55999999999995</v>
      </c>
      <c r="S533" s="94">
        <v>536.09</v>
      </c>
      <c r="T533" s="94">
        <v>462.09</v>
      </c>
      <c r="U533" s="94">
        <v>516.17999999999995</v>
      </c>
    </row>
    <row r="534" spans="1:21">
      <c r="A534" s="91">
        <v>39468</v>
      </c>
      <c r="B534" s="86">
        <v>39468</v>
      </c>
      <c r="C534" s="93">
        <v>1.3454423141607801</v>
      </c>
      <c r="D534" s="85" t="s">
        <v>926</v>
      </c>
      <c r="F534" s="91">
        <v>39468</v>
      </c>
      <c r="G534">
        <v>501.7</v>
      </c>
      <c r="H534">
        <v>546.39</v>
      </c>
      <c r="I534" s="94">
        <v>545.07000000000005</v>
      </c>
      <c r="J534" s="94">
        <v>479.53</v>
      </c>
      <c r="K534" s="94">
        <v>517.59</v>
      </c>
      <c r="L534" s="94">
        <v>498.99</v>
      </c>
      <c r="M534" s="94">
        <v>516.79999999999995</v>
      </c>
      <c r="N534" s="94">
        <v>565.20000000000005</v>
      </c>
      <c r="O534" s="94">
        <v>533.66</v>
      </c>
      <c r="P534" s="94">
        <v>544.91999999999996</v>
      </c>
      <c r="Q534" s="94">
        <v>565.99</v>
      </c>
      <c r="R534" s="94">
        <v>590.55999999999995</v>
      </c>
      <c r="S534" s="94">
        <v>539.39</v>
      </c>
      <c r="T534" s="94">
        <v>449.81</v>
      </c>
      <c r="U534" s="94">
        <v>515.99</v>
      </c>
    </row>
    <row r="535" spans="1:21">
      <c r="A535" s="91">
        <v>39461</v>
      </c>
      <c r="B535" s="86">
        <v>39461</v>
      </c>
      <c r="C535" s="93">
        <v>1.31578947368421</v>
      </c>
      <c r="D535" s="85" t="s">
        <v>927</v>
      </c>
      <c r="F535" s="91">
        <v>39461</v>
      </c>
      <c r="G535">
        <v>519.20000000000005</v>
      </c>
      <c r="H535">
        <v>514.29999999999995</v>
      </c>
      <c r="I535" s="94">
        <v>560.16</v>
      </c>
      <c r="J535" s="94">
        <v>508.74</v>
      </c>
      <c r="K535" s="94">
        <v>542.76</v>
      </c>
      <c r="L535" s="94">
        <v>518.84</v>
      </c>
      <c r="M535" s="94">
        <v>543.16999999999996</v>
      </c>
      <c r="N535" s="94">
        <v>574.04</v>
      </c>
      <c r="O535" s="94">
        <v>544.36</v>
      </c>
      <c r="P535" s="94">
        <v>538.30999999999995</v>
      </c>
      <c r="Q535" s="94">
        <v>579.28</v>
      </c>
      <c r="R535" s="94">
        <v>598.92999999999995</v>
      </c>
      <c r="S535" s="94">
        <v>551.54</v>
      </c>
      <c r="T535" s="94">
        <v>470.49</v>
      </c>
      <c r="U535" s="94">
        <v>500.13</v>
      </c>
    </row>
    <row r="536" spans="1:21" ht="15.75" thickBot="1">
      <c r="A536" s="92">
        <v>39454</v>
      </c>
      <c r="B536" s="86">
        <v>39454</v>
      </c>
      <c r="C536" s="93">
        <v>1.3400335008375199</v>
      </c>
      <c r="D536" s="85" t="s">
        <v>928</v>
      </c>
      <c r="F536" s="92">
        <v>39454</v>
      </c>
      <c r="G536">
        <v>516.70000000000005</v>
      </c>
      <c r="H536">
        <v>553.64</v>
      </c>
      <c r="I536" s="94">
        <v>540.69000000000005</v>
      </c>
      <c r="J536" s="94">
        <v>525.12</v>
      </c>
      <c r="K536" s="94">
        <v>572.5</v>
      </c>
      <c r="L536" s="94">
        <v>543.65</v>
      </c>
      <c r="M536" s="94">
        <v>543.24</v>
      </c>
      <c r="N536" s="94">
        <v>562.04999999999995</v>
      </c>
      <c r="O536" s="94">
        <v>523.34</v>
      </c>
      <c r="P536" s="94">
        <v>538.30999999999995</v>
      </c>
      <c r="Q536" s="94">
        <v>583.65</v>
      </c>
      <c r="R536" s="94">
        <v>633.41999999999996</v>
      </c>
      <c r="S536" s="94">
        <v>553.41999999999996</v>
      </c>
      <c r="T536" s="94">
        <v>489.4</v>
      </c>
      <c r="U536" s="94">
        <v>504.19</v>
      </c>
    </row>
    <row r="537" spans="1:21">
      <c r="A537" s="91">
        <v>39433</v>
      </c>
      <c r="B537" s="86">
        <v>39433</v>
      </c>
      <c r="C537" s="93">
        <v>1.4011489421325498</v>
      </c>
      <c r="D537" s="85" t="s">
        <v>421</v>
      </c>
      <c r="F537" s="91">
        <v>39433</v>
      </c>
      <c r="G537">
        <v>523.37</v>
      </c>
      <c r="H537">
        <v>526.64</v>
      </c>
      <c r="I537" s="94">
        <v>537.07000000000005</v>
      </c>
      <c r="J537" s="94">
        <v>485.42</v>
      </c>
      <c r="K537" s="94">
        <v>549.16</v>
      </c>
      <c r="L537" s="94">
        <v>521.30999999999995</v>
      </c>
      <c r="M537" s="94">
        <v>503.38</v>
      </c>
      <c r="N537" s="94">
        <v>548.84</v>
      </c>
      <c r="O537" s="94">
        <v>525.34</v>
      </c>
      <c r="P537" s="94">
        <v>538.30999999999995</v>
      </c>
      <c r="Q537" s="94">
        <v>568.22</v>
      </c>
      <c r="R537" s="94">
        <v>582</v>
      </c>
      <c r="S537" s="94">
        <v>537.14</v>
      </c>
      <c r="T537" s="94">
        <v>474.88</v>
      </c>
      <c r="U537" s="94">
        <v>517.98</v>
      </c>
    </row>
    <row r="538" spans="1:21">
      <c r="A538" s="91">
        <v>39426</v>
      </c>
      <c r="B538" s="86">
        <v>39426</v>
      </c>
      <c r="C538" s="93">
        <v>1.3898540653231399</v>
      </c>
      <c r="D538" s="85" t="s">
        <v>929</v>
      </c>
      <c r="F538" s="91">
        <v>39426</v>
      </c>
      <c r="G538">
        <v>522.54</v>
      </c>
      <c r="H538">
        <v>518.67999999999995</v>
      </c>
      <c r="I538" s="94">
        <v>548.92999999999995</v>
      </c>
      <c r="J538" s="94">
        <v>452.22</v>
      </c>
      <c r="K538" s="94">
        <v>529.98</v>
      </c>
      <c r="L538" s="94">
        <v>506.97</v>
      </c>
      <c r="M538" s="94">
        <v>500.37</v>
      </c>
      <c r="N538" s="94">
        <v>554.97</v>
      </c>
      <c r="O538" s="94">
        <v>537.07000000000005</v>
      </c>
      <c r="P538" s="94">
        <v>538.30999999999995</v>
      </c>
      <c r="Q538" s="94">
        <v>570.99</v>
      </c>
      <c r="R538" s="94">
        <v>582</v>
      </c>
      <c r="S538" s="94">
        <v>537.05999999999995</v>
      </c>
      <c r="T538" s="94">
        <v>459.96</v>
      </c>
      <c r="U538" s="94">
        <v>514.61</v>
      </c>
    </row>
    <row r="539" spans="1:21">
      <c r="A539" s="91">
        <v>39419</v>
      </c>
      <c r="B539" s="86">
        <v>39419</v>
      </c>
      <c r="C539" s="93">
        <v>1.4070634585619799</v>
      </c>
      <c r="D539" s="85" t="s">
        <v>387</v>
      </c>
      <c r="F539" s="91">
        <v>39419</v>
      </c>
      <c r="G539">
        <v>538.37</v>
      </c>
      <c r="H539">
        <v>571.65</v>
      </c>
      <c r="I539" s="94">
        <v>545.71</v>
      </c>
      <c r="J539" s="94">
        <v>488.15</v>
      </c>
      <c r="K539" s="94">
        <v>536.71</v>
      </c>
      <c r="L539" s="94">
        <v>512.35</v>
      </c>
      <c r="M539" s="94">
        <v>516.13</v>
      </c>
      <c r="N539" s="94">
        <v>569.79</v>
      </c>
      <c r="O539" s="94">
        <v>543.36</v>
      </c>
      <c r="P539" s="94">
        <v>538.30999999999995</v>
      </c>
      <c r="Q539" s="94">
        <v>572.20000000000005</v>
      </c>
      <c r="R539" s="94">
        <v>579</v>
      </c>
      <c r="S539" s="94">
        <v>549.29</v>
      </c>
      <c r="T539" s="94">
        <v>461.96</v>
      </c>
      <c r="U539" s="94">
        <v>519.97</v>
      </c>
    </row>
    <row r="540" spans="1:21">
      <c r="A540" s="91">
        <v>39412</v>
      </c>
      <c r="B540" s="86">
        <v>39412</v>
      </c>
      <c r="C540" s="93">
        <v>1.3928546556166901</v>
      </c>
      <c r="D540" s="85" t="s">
        <v>930</v>
      </c>
      <c r="F540" s="91">
        <v>39412</v>
      </c>
      <c r="G540">
        <v>545.87</v>
      </c>
      <c r="H540">
        <v>568.59</v>
      </c>
      <c r="I540" s="94">
        <v>535.96</v>
      </c>
      <c r="J540" s="94">
        <v>529.53</v>
      </c>
      <c r="K540" s="94">
        <v>547.52</v>
      </c>
      <c r="L540" s="94">
        <v>523.92999999999995</v>
      </c>
      <c r="M540" s="94">
        <v>521.26</v>
      </c>
      <c r="N540" s="94">
        <v>568.82000000000005</v>
      </c>
      <c r="O540" s="94">
        <v>525.66</v>
      </c>
      <c r="P540" s="94">
        <v>538.30999999999995</v>
      </c>
      <c r="Q540" s="94">
        <v>572.57000000000005</v>
      </c>
      <c r="R540" s="94">
        <v>605</v>
      </c>
      <c r="S540" s="94">
        <v>545.19000000000005</v>
      </c>
      <c r="T540" s="94">
        <v>483.58</v>
      </c>
      <c r="U540" s="94">
        <v>509.35</v>
      </c>
    </row>
    <row r="541" spans="1:21">
      <c r="A541" s="91">
        <v>39405</v>
      </c>
      <c r="B541" s="86">
        <v>39405</v>
      </c>
      <c r="C541" s="93">
        <v>1.39967807404297</v>
      </c>
      <c r="D541" s="85" t="s">
        <v>457</v>
      </c>
      <c r="F541" s="91">
        <v>39405</v>
      </c>
      <c r="G541">
        <v>548.37</v>
      </c>
      <c r="H541">
        <v>568.85</v>
      </c>
      <c r="I541" s="94">
        <v>537.74</v>
      </c>
      <c r="J541" s="94">
        <v>540.88</v>
      </c>
      <c r="K541" s="94">
        <v>540.19000000000005</v>
      </c>
      <c r="L541" s="94">
        <v>475.91</v>
      </c>
      <c r="M541" s="94">
        <v>521.78</v>
      </c>
      <c r="N541" s="94">
        <v>569.66</v>
      </c>
      <c r="O541" s="94">
        <v>532.27</v>
      </c>
      <c r="P541" s="94">
        <v>538.30999999999995</v>
      </c>
      <c r="Q541" s="94">
        <v>569.70000000000005</v>
      </c>
      <c r="R541" s="94">
        <v>603.16999999999996</v>
      </c>
      <c r="S541" s="94">
        <v>534.03</v>
      </c>
      <c r="T541" s="94">
        <v>483.9</v>
      </c>
      <c r="U541" s="94">
        <v>503.97</v>
      </c>
    </row>
    <row r="542" spans="1:21">
      <c r="A542" s="91">
        <v>39398</v>
      </c>
      <c r="B542" s="86">
        <v>39398</v>
      </c>
      <c r="C542" s="93">
        <v>1.4195471644545399</v>
      </c>
      <c r="D542" s="85" t="s">
        <v>931</v>
      </c>
      <c r="F542" s="91">
        <v>39398</v>
      </c>
      <c r="G542">
        <v>552.54</v>
      </c>
      <c r="H542">
        <v>560.11</v>
      </c>
      <c r="I542" s="94">
        <v>531.21</v>
      </c>
      <c r="J542" s="94">
        <v>562.30999999999995</v>
      </c>
      <c r="K542" s="94">
        <v>569.20000000000005</v>
      </c>
      <c r="L542" s="94">
        <v>498.38</v>
      </c>
      <c r="M542" s="94">
        <v>522.25</v>
      </c>
      <c r="N542" s="94">
        <v>561.9</v>
      </c>
      <c r="O542" s="94">
        <v>522.95000000000005</v>
      </c>
      <c r="P542" s="94">
        <v>493.68</v>
      </c>
      <c r="Q542" s="94">
        <v>566.35</v>
      </c>
      <c r="R542" s="94">
        <v>616.61</v>
      </c>
      <c r="S542" s="94">
        <v>533.5</v>
      </c>
      <c r="T542" s="94">
        <v>499.07</v>
      </c>
      <c r="U542" s="94">
        <v>502.35</v>
      </c>
    </row>
    <row r="543" spans="1:21">
      <c r="A543" s="91">
        <v>39391</v>
      </c>
      <c r="B543" s="86">
        <v>39391</v>
      </c>
      <c r="C543" s="93">
        <v>1.4363688595231299</v>
      </c>
      <c r="D543" s="85" t="s">
        <v>932</v>
      </c>
      <c r="F543" s="91">
        <v>39391</v>
      </c>
      <c r="G543">
        <v>527.54</v>
      </c>
      <c r="H543">
        <v>529.78</v>
      </c>
      <c r="I543" s="94">
        <v>501.22</v>
      </c>
      <c r="J543" s="94">
        <v>503.9</v>
      </c>
      <c r="K543" s="94">
        <v>562.63</v>
      </c>
      <c r="L543" s="94">
        <v>492.59</v>
      </c>
      <c r="M543" s="94">
        <v>497.43</v>
      </c>
      <c r="N543" s="94">
        <v>539.46</v>
      </c>
      <c r="O543" s="94">
        <v>512.39</v>
      </c>
      <c r="P543" s="94">
        <v>493.68</v>
      </c>
      <c r="Q543" s="94">
        <v>545.71</v>
      </c>
      <c r="R543" s="94">
        <v>617.45000000000005</v>
      </c>
      <c r="S543" s="94">
        <v>526.69000000000005</v>
      </c>
      <c r="T543" s="94">
        <v>502.48</v>
      </c>
      <c r="U543" s="94">
        <v>491.47</v>
      </c>
    </row>
    <row r="544" spans="1:21">
      <c r="A544" s="91">
        <v>39384</v>
      </c>
      <c r="B544" s="86">
        <v>39384</v>
      </c>
      <c r="C544" s="93">
        <v>1.43071750482867</v>
      </c>
      <c r="D544" s="85" t="s">
        <v>933</v>
      </c>
      <c r="F544" s="91">
        <v>39384</v>
      </c>
      <c r="G544">
        <v>495.04</v>
      </c>
      <c r="H544">
        <v>516.48</v>
      </c>
      <c r="I544" s="94">
        <v>502.08</v>
      </c>
      <c r="J544" s="94">
        <v>490.04</v>
      </c>
      <c r="K544" s="94">
        <v>526.12</v>
      </c>
      <c r="L544" s="94">
        <v>461.3</v>
      </c>
      <c r="M544" s="94">
        <v>480.09</v>
      </c>
      <c r="N544" s="94">
        <v>527.32000000000005</v>
      </c>
      <c r="O544" s="94">
        <v>504.37</v>
      </c>
      <c r="P544" s="94">
        <v>493.68</v>
      </c>
      <c r="Q544" s="94">
        <v>535.24</v>
      </c>
      <c r="R544" s="94">
        <v>589.72</v>
      </c>
      <c r="S544" s="94">
        <v>519.61</v>
      </c>
      <c r="T544" s="94">
        <v>466.93</v>
      </c>
      <c r="U544" s="94">
        <v>476.12</v>
      </c>
    </row>
    <row r="545" spans="1:21">
      <c r="A545" s="91">
        <v>39377</v>
      </c>
      <c r="B545" s="86">
        <v>39377</v>
      </c>
      <c r="C545" s="93">
        <v>1.4336917562723999</v>
      </c>
      <c r="D545" s="85" t="s">
        <v>934</v>
      </c>
      <c r="F545" s="91">
        <v>39377</v>
      </c>
      <c r="G545">
        <v>491.7</v>
      </c>
      <c r="H545">
        <v>520.36</v>
      </c>
      <c r="I545" s="94">
        <v>495.65</v>
      </c>
      <c r="J545" s="94">
        <v>496.13</v>
      </c>
      <c r="K545" s="94">
        <v>526.1</v>
      </c>
      <c r="L545" s="94">
        <v>461.3</v>
      </c>
      <c r="M545" s="94">
        <v>473.58</v>
      </c>
      <c r="N545" s="94">
        <v>518.09</v>
      </c>
      <c r="O545" s="94">
        <v>499.54</v>
      </c>
      <c r="P545" s="94">
        <v>493.68</v>
      </c>
      <c r="Q545" s="94">
        <v>530.54999999999995</v>
      </c>
      <c r="R545" s="94">
        <v>573.76</v>
      </c>
      <c r="S545" s="94">
        <v>510.63</v>
      </c>
      <c r="T545" s="94">
        <v>457.11</v>
      </c>
      <c r="U545" s="94">
        <v>471.53</v>
      </c>
    </row>
    <row r="546" spans="1:21">
      <c r="A546" s="91">
        <v>39370</v>
      </c>
      <c r="B546" s="86">
        <v>39370</v>
      </c>
      <c r="C546" s="93">
        <v>1.43482315804577</v>
      </c>
      <c r="D546" s="85" t="s">
        <v>935</v>
      </c>
      <c r="F546" s="91">
        <v>39370</v>
      </c>
      <c r="G546">
        <v>475.87</v>
      </c>
      <c r="H546">
        <v>500.61</v>
      </c>
      <c r="I546" s="94">
        <v>490.66</v>
      </c>
      <c r="J546" s="94">
        <v>465.46</v>
      </c>
      <c r="K546" s="94">
        <v>507.04</v>
      </c>
      <c r="L546" s="94">
        <v>489.17</v>
      </c>
      <c r="M546" s="94">
        <v>459.35</v>
      </c>
      <c r="N546" s="94">
        <v>513.42999999999995</v>
      </c>
      <c r="O546" s="94">
        <v>511.35</v>
      </c>
      <c r="P546" s="94">
        <v>506.91</v>
      </c>
      <c r="Q546" s="94">
        <v>529.19000000000005</v>
      </c>
      <c r="R546" s="94">
        <v>562</v>
      </c>
      <c r="S546" s="94">
        <v>502.68</v>
      </c>
      <c r="T546" s="94">
        <v>436.85</v>
      </c>
      <c r="U546" s="94">
        <v>464.4</v>
      </c>
    </row>
    <row r="547" spans="1:21">
      <c r="A547" s="91">
        <v>39363</v>
      </c>
      <c r="B547" s="86">
        <v>39363</v>
      </c>
      <c r="C547" s="93">
        <v>1.4466546112115699</v>
      </c>
      <c r="D547" s="85" t="s">
        <v>936</v>
      </c>
      <c r="F547" s="91">
        <v>39363</v>
      </c>
      <c r="G547">
        <v>477.54</v>
      </c>
      <c r="H547">
        <v>505.04</v>
      </c>
      <c r="I547" s="94">
        <v>492.06</v>
      </c>
      <c r="J547" s="94">
        <v>471.55</v>
      </c>
      <c r="K547" s="94">
        <v>496.26</v>
      </c>
      <c r="L547" s="94">
        <v>474.56</v>
      </c>
      <c r="M547" s="94">
        <v>457.95</v>
      </c>
      <c r="N547" s="94">
        <v>519.46</v>
      </c>
      <c r="O547" s="94">
        <v>517.66</v>
      </c>
      <c r="P547" s="94">
        <v>515.16999999999996</v>
      </c>
      <c r="Q547" s="94">
        <v>528.9</v>
      </c>
      <c r="R547" s="94">
        <v>553</v>
      </c>
      <c r="S547" s="94">
        <v>502.31</v>
      </c>
      <c r="T547" s="94">
        <v>442.04</v>
      </c>
      <c r="U547" s="94">
        <v>467.57</v>
      </c>
    </row>
    <row r="548" spans="1:21">
      <c r="A548" s="91">
        <v>39356</v>
      </c>
      <c r="B548" s="86">
        <v>39356</v>
      </c>
      <c r="C548" s="93">
        <v>1.43400014340001</v>
      </c>
      <c r="D548" s="85" t="s">
        <v>937</v>
      </c>
      <c r="F548" s="91">
        <v>39356</v>
      </c>
      <c r="G548">
        <v>501.7</v>
      </c>
      <c r="H548">
        <v>508.01</v>
      </c>
      <c r="I548" s="94">
        <v>492.32</v>
      </c>
      <c r="J548" s="94">
        <v>494.87</v>
      </c>
      <c r="K548" s="94">
        <v>499.27</v>
      </c>
      <c r="L548" s="94">
        <v>478.97</v>
      </c>
      <c r="M548" s="94">
        <v>465.52</v>
      </c>
      <c r="N548" s="94">
        <v>523.39</v>
      </c>
      <c r="O548" s="94">
        <v>514.54</v>
      </c>
      <c r="P548" s="94">
        <v>515.16999999999996</v>
      </c>
      <c r="Q548" s="94">
        <v>531.08000000000004</v>
      </c>
      <c r="R548" s="94">
        <v>564.51</v>
      </c>
      <c r="S548" s="94">
        <v>512.28</v>
      </c>
      <c r="T548" s="94">
        <v>440.72</v>
      </c>
      <c r="U548" s="94">
        <v>454.39</v>
      </c>
    </row>
    <row r="549" spans="1:21">
      <c r="A549" s="91">
        <v>39349</v>
      </c>
      <c r="B549" s="86">
        <v>39349</v>
      </c>
      <c r="C549" s="93">
        <v>1.4349261013057799</v>
      </c>
      <c r="D549" s="85" t="s">
        <v>938</v>
      </c>
      <c r="F549" s="91">
        <v>39349</v>
      </c>
      <c r="G549">
        <v>527.20000000000005</v>
      </c>
      <c r="H549">
        <v>527.26</v>
      </c>
      <c r="I549" s="94">
        <v>491.98</v>
      </c>
      <c r="J549" s="94">
        <v>497.8</v>
      </c>
      <c r="K549" s="94">
        <v>504.68</v>
      </c>
      <c r="L549" s="94">
        <v>501.64</v>
      </c>
      <c r="M549" s="94">
        <v>471.3</v>
      </c>
      <c r="N549" s="94">
        <v>522.4</v>
      </c>
      <c r="O549" s="94">
        <v>517.6</v>
      </c>
      <c r="P549" s="94">
        <v>515.16999999999996</v>
      </c>
      <c r="Q549" s="94">
        <v>530.37</v>
      </c>
      <c r="R549" s="94">
        <v>570.39</v>
      </c>
      <c r="S549" s="94">
        <v>511.98</v>
      </c>
      <c r="T549" s="94">
        <v>450.04</v>
      </c>
      <c r="U549" s="94">
        <v>465.29</v>
      </c>
    </row>
    <row r="550" spans="1:21">
      <c r="A550" s="91">
        <v>39342</v>
      </c>
      <c r="B550" s="86">
        <v>39342</v>
      </c>
      <c r="C550" s="93">
        <v>1.4402995823131199</v>
      </c>
      <c r="D550" s="85" t="s">
        <v>466</v>
      </c>
      <c r="F550" s="91">
        <v>39342</v>
      </c>
      <c r="G550">
        <v>525.54</v>
      </c>
      <c r="H550">
        <v>516.57000000000005</v>
      </c>
      <c r="I550" s="94">
        <v>495.04</v>
      </c>
      <c r="J550" s="94">
        <v>489.41</v>
      </c>
      <c r="K550" s="94">
        <v>509.32</v>
      </c>
      <c r="L550" s="94">
        <v>506.33</v>
      </c>
      <c r="M550" s="94">
        <v>465.05</v>
      </c>
      <c r="N550" s="94">
        <v>520.14</v>
      </c>
      <c r="O550" s="94">
        <v>500.8</v>
      </c>
      <c r="P550" s="94">
        <v>528.39</v>
      </c>
      <c r="Q550" s="94">
        <v>525.58000000000004</v>
      </c>
      <c r="R550" s="94">
        <v>575.44000000000005</v>
      </c>
      <c r="S550" s="94">
        <v>509.79</v>
      </c>
      <c r="T550" s="94">
        <v>453.66</v>
      </c>
      <c r="U550" s="94">
        <v>463.86</v>
      </c>
    </row>
    <row r="551" spans="1:21">
      <c r="A551" s="91">
        <v>39335</v>
      </c>
      <c r="B551" s="86">
        <v>39335</v>
      </c>
      <c r="C551" s="93">
        <v>1.4717786444918701</v>
      </c>
      <c r="D551" s="85" t="s">
        <v>939</v>
      </c>
      <c r="F551" s="91">
        <v>39335</v>
      </c>
      <c r="G551">
        <v>513.04</v>
      </c>
      <c r="H551">
        <v>528.28</v>
      </c>
      <c r="I551" s="94">
        <v>495.51</v>
      </c>
      <c r="J551" s="94">
        <v>486.26</v>
      </c>
      <c r="K551" s="94">
        <v>520.21</v>
      </c>
      <c r="L551" s="94">
        <v>510.6</v>
      </c>
      <c r="M551" s="94">
        <v>473.87</v>
      </c>
      <c r="N551" s="94">
        <v>518.07000000000005</v>
      </c>
      <c r="O551" s="94">
        <v>497.3</v>
      </c>
      <c r="P551" s="94">
        <v>528.39</v>
      </c>
      <c r="Q551" s="94">
        <v>526.69000000000005</v>
      </c>
      <c r="R551" s="94">
        <v>571</v>
      </c>
      <c r="S551" s="94">
        <v>509.11</v>
      </c>
      <c r="T551" s="94">
        <v>445.13</v>
      </c>
      <c r="U551" s="94">
        <v>473.77</v>
      </c>
    </row>
    <row r="552" spans="1:21">
      <c r="A552" s="91">
        <v>39328</v>
      </c>
      <c r="B552" s="86">
        <v>39328</v>
      </c>
      <c r="C552" s="93">
        <v>1.47983721790603</v>
      </c>
      <c r="D552" s="85" t="s">
        <v>940</v>
      </c>
      <c r="F552" s="91">
        <v>39328</v>
      </c>
      <c r="G552">
        <v>493.04</v>
      </c>
      <c r="H552">
        <v>493.18</v>
      </c>
      <c r="I552" s="94">
        <v>495.47</v>
      </c>
      <c r="J552" s="94">
        <v>460.21</v>
      </c>
      <c r="K552" s="94">
        <v>515.80999999999995</v>
      </c>
      <c r="L552" s="94">
        <v>509.64</v>
      </c>
      <c r="M552" s="94">
        <v>462.06</v>
      </c>
      <c r="N552" s="94">
        <v>509.9</v>
      </c>
      <c r="O552" s="94">
        <v>500.82</v>
      </c>
      <c r="P552" s="94">
        <v>528.39</v>
      </c>
      <c r="Q552" s="94">
        <v>517.64</v>
      </c>
      <c r="R552" s="94">
        <v>576</v>
      </c>
      <c r="S552" s="94">
        <v>502.59</v>
      </c>
      <c r="T552" s="94">
        <v>453.21</v>
      </c>
      <c r="U552" s="94">
        <v>478.49</v>
      </c>
    </row>
    <row r="553" spans="1:21">
      <c r="A553" s="91">
        <v>39321</v>
      </c>
      <c r="B553" s="86">
        <v>39321</v>
      </c>
      <c r="C553" s="93">
        <v>1.4755791648221899</v>
      </c>
      <c r="D553" s="85" t="s">
        <v>411</v>
      </c>
      <c r="F553" s="91">
        <v>39321</v>
      </c>
      <c r="G553">
        <v>498.87</v>
      </c>
      <c r="H553">
        <v>491.59</v>
      </c>
      <c r="I553" s="94">
        <v>496.4</v>
      </c>
      <c r="J553" s="94">
        <v>458.53</v>
      </c>
      <c r="K553" s="94">
        <v>493.66</v>
      </c>
      <c r="L553" s="94">
        <v>489.78</v>
      </c>
      <c r="M553" s="94">
        <v>456.45</v>
      </c>
      <c r="N553" s="94">
        <v>513.54999999999995</v>
      </c>
      <c r="O553" s="94">
        <v>492.05</v>
      </c>
      <c r="P553" s="94">
        <v>528.39</v>
      </c>
      <c r="Q553" s="94">
        <v>514.02</v>
      </c>
      <c r="R553" s="94">
        <v>550</v>
      </c>
      <c r="S553" s="94">
        <v>499.97</v>
      </c>
      <c r="T553" s="94">
        <v>440.89</v>
      </c>
      <c r="U553" s="94">
        <v>479.61</v>
      </c>
    </row>
    <row r="554" spans="1:21">
      <c r="A554" s="91">
        <v>39314</v>
      </c>
      <c r="B554" s="86">
        <v>39314</v>
      </c>
      <c r="C554" s="93">
        <v>1.4729709824716499</v>
      </c>
      <c r="D554" s="85" t="s">
        <v>941</v>
      </c>
      <c r="F554" s="91">
        <v>39314</v>
      </c>
      <c r="G554">
        <v>502.2</v>
      </c>
      <c r="H554">
        <v>498.83</v>
      </c>
      <c r="I554" s="94">
        <v>501.9</v>
      </c>
      <c r="J554" s="94">
        <v>463.36</v>
      </c>
      <c r="K554" s="94">
        <v>495.89</v>
      </c>
      <c r="L554" s="94">
        <v>489.11</v>
      </c>
      <c r="M554" s="94">
        <v>462.07</v>
      </c>
      <c r="N554" s="94">
        <v>515.05999999999995</v>
      </c>
      <c r="O554" s="94">
        <v>487.98</v>
      </c>
      <c r="P554" s="94">
        <v>528.39</v>
      </c>
      <c r="Q554" s="94">
        <v>520.29</v>
      </c>
      <c r="R554" s="94">
        <v>560.30999999999995</v>
      </c>
      <c r="S554" s="94">
        <v>503.25</v>
      </c>
      <c r="T554" s="94">
        <v>442.89</v>
      </c>
      <c r="U554" s="94">
        <v>482.57</v>
      </c>
    </row>
    <row r="555" spans="1:21">
      <c r="A555" s="91">
        <v>39307</v>
      </c>
      <c r="B555" s="86">
        <v>39307</v>
      </c>
      <c r="C555" s="93">
        <v>1.4754703061600898</v>
      </c>
      <c r="D555" s="85" t="s">
        <v>942</v>
      </c>
      <c r="F555" s="91">
        <v>39307</v>
      </c>
      <c r="G555">
        <v>502.2</v>
      </c>
      <c r="H555">
        <v>495.77</v>
      </c>
      <c r="I555" s="94">
        <v>497.93</v>
      </c>
      <c r="J555" s="94">
        <v>469.4</v>
      </c>
      <c r="K555" s="94">
        <v>483.96</v>
      </c>
      <c r="L555" s="94">
        <v>483.18</v>
      </c>
      <c r="M555" s="94">
        <v>460.09</v>
      </c>
      <c r="N555" s="94">
        <v>521.97</v>
      </c>
      <c r="O555" s="94">
        <v>521.35</v>
      </c>
      <c r="P555" s="94">
        <v>528.39</v>
      </c>
      <c r="Q555" s="94">
        <v>521.33000000000004</v>
      </c>
      <c r="R555" s="94">
        <v>569.54999999999995</v>
      </c>
      <c r="S555" s="94">
        <v>502.78</v>
      </c>
      <c r="T555" s="94">
        <v>426.44</v>
      </c>
      <c r="U555" s="94">
        <v>492.1</v>
      </c>
    </row>
    <row r="556" spans="1:21">
      <c r="A556" s="91">
        <v>39300</v>
      </c>
      <c r="B556" s="86">
        <v>39300</v>
      </c>
      <c r="C556" s="93">
        <v>1.4702639123722698</v>
      </c>
      <c r="D556" s="85" t="s">
        <v>943</v>
      </c>
      <c r="F556" s="91">
        <v>39300</v>
      </c>
      <c r="G556">
        <v>512.20000000000005</v>
      </c>
      <c r="H556">
        <v>509.71</v>
      </c>
      <c r="I556" s="94">
        <v>499.36</v>
      </c>
      <c r="J556" s="94">
        <v>474.91</v>
      </c>
      <c r="K556" s="94">
        <v>502.24</v>
      </c>
      <c r="L556" s="94">
        <v>496.41</v>
      </c>
      <c r="M556" s="94">
        <v>469.73</v>
      </c>
      <c r="N556" s="94">
        <v>528.37</v>
      </c>
      <c r="O556" s="94">
        <v>516.72</v>
      </c>
      <c r="P556" s="94">
        <v>528.39</v>
      </c>
      <c r="Q556" s="94">
        <v>546.78</v>
      </c>
      <c r="R556" s="94">
        <v>562.83000000000004</v>
      </c>
      <c r="S556" s="94">
        <v>512.91999999999996</v>
      </c>
      <c r="T556" s="94">
        <v>452.53</v>
      </c>
      <c r="U556" s="94">
        <v>492.2</v>
      </c>
    </row>
    <row r="557" spans="1:21">
      <c r="A557" s="91">
        <v>39293</v>
      </c>
      <c r="B557" s="86">
        <v>39293</v>
      </c>
      <c r="C557" s="93">
        <v>1.4808233377758</v>
      </c>
      <c r="D557" s="85" t="s">
        <v>944</v>
      </c>
      <c r="F557" s="91">
        <v>39293</v>
      </c>
      <c r="G557">
        <v>513.87</v>
      </c>
      <c r="H557">
        <v>498.02</v>
      </c>
      <c r="I557" s="94">
        <v>501.93</v>
      </c>
      <c r="J557" s="94">
        <v>471.97</v>
      </c>
      <c r="K557" s="94">
        <v>505.59</v>
      </c>
      <c r="L557" s="94">
        <v>499.17</v>
      </c>
      <c r="M557" s="94">
        <v>474.31</v>
      </c>
      <c r="N557" s="94">
        <v>534.22</v>
      </c>
      <c r="O557" s="94">
        <v>514.39</v>
      </c>
      <c r="P557" s="94">
        <v>528.39</v>
      </c>
      <c r="Q557" s="94">
        <v>559.77</v>
      </c>
      <c r="R557" s="94">
        <v>564.51</v>
      </c>
      <c r="S557" s="94">
        <v>516.08000000000004</v>
      </c>
      <c r="T557" s="94">
        <v>453.75</v>
      </c>
      <c r="U557" s="94">
        <v>496.36</v>
      </c>
    </row>
    <row r="558" spans="1:21">
      <c r="A558" s="91">
        <v>39286</v>
      </c>
      <c r="B558" s="86">
        <v>39286</v>
      </c>
      <c r="C558" s="93">
        <v>1.48909239818331</v>
      </c>
      <c r="D558" s="85" t="s">
        <v>423</v>
      </c>
      <c r="F558" s="91">
        <v>39286</v>
      </c>
      <c r="G558">
        <v>515.54</v>
      </c>
      <c r="H558">
        <v>519.9</v>
      </c>
      <c r="I558" s="94">
        <v>498.04</v>
      </c>
      <c r="J558" s="94">
        <v>491.93</v>
      </c>
      <c r="K558" s="94">
        <v>507.74</v>
      </c>
      <c r="L558" s="94">
        <v>501.93</v>
      </c>
      <c r="M558" s="94">
        <v>491.08</v>
      </c>
      <c r="N558" s="94">
        <v>547.54</v>
      </c>
      <c r="O558" s="94">
        <v>544.46</v>
      </c>
      <c r="P558" s="94">
        <v>528.39</v>
      </c>
      <c r="Q558" s="94">
        <v>566.58000000000004</v>
      </c>
      <c r="R558" s="94">
        <v>583</v>
      </c>
      <c r="S558" s="94">
        <v>526.07000000000005</v>
      </c>
      <c r="T558" s="94">
        <v>454.19</v>
      </c>
      <c r="U558" s="94">
        <v>499.59</v>
      </c>
    </row>
    <row r="559" spans="1:21">
      <c r="A559" s="91">
        <v>39279</v>
      </c>
      <c r="B559" s="86">
        <v>39279</v>
      </c>
      <c r="C559" s="93">
        <v>1.4780873549626798</v>
      </c>
      <c r="D559" s="85" t="s">
        <v>438</v>
      </c>
      <c r="F559" s="91">
        <v>39279</v>
      </c>
      <c r="G559">
        <v>521.37</v>
      </c>
      <c r="H559">
        <v>531.38</v>
      </c>
      <c r="I559" s="94">
        <v>497.57</v>
      </c>
      <c r="J559" s="94">
        <v>515.46</v>
      </c>
      <c r="K559" s="94">
        <v>541.03</v>
      </c>
      <c r="L559" s="94">
        <v>526.04999999999995</v>
      </c>
      <c r="M559" s="94">
        <v>506.12</v>
      </c>
      <c r="N559" s="94">
        <v>548.66999999999996</v>
      </c>
      <c r="O559" s="94">
        <v>544.66999999999996</v>
      </c>
      <c r="P559" s="94">
        <v>528.39</v>
      </c>
      <c r="Q559" s="94">
        <v>568.4</v>
      </c>
      <c r="R559" s="94">
        <v>598.13</v>
      </c>
      <c r="S559" s="94">
        <v>535.03</v>
      </c>
      <c r="T559" s="94">
        <v>490.91</v>
      </c>
      <c r="U559" s="94">
        <v>495.61</v>
      </c>
    </row>
    <row r="560" spans="1:21">
      <c r="A560" s="91">
        <v>39272</v>
      </c>
      <c r="B560" s="86">
        <v>39272</v>
      </c>
      <c r="C560" s="93">
        <v>1.478633742422</v>
      </c>
      <c r="D560" s="85" t="s">
        <v>945</v>
      </c>
      <c r="F560" s="91">
        <v>39272</v>
      </c>
      <c r="G560">
        <v>512.20000000000005</v>
      </c>
      <c r="H560">
        <v>521.53</v>
      </c>
      <c r="I560" s="94">
        <v>487.92</v>
      </c>
      <c r="J560" s="94">
        <v>487.73</v>
      </c>
      <c r="K560" s="94">
        <v>535.72</v>
      </c>
      <c r="L560" s="94">
        <v>526.04999999999995</v>
      </c>
      <c r="M560" s="94">
        <v>495.47</v>
      </c>
      <c r="N560" s="94">
        <v>546.35</v>
      </c>
      <c r="O560" s="94">
        <v>544.47</v>
      </c>
      <c r="P560" s="94">
        <v>528.39</v>
      </c>
      <c r="Q560" s="94">
        <v>562.96</v>
      </c>
      <c r="R560" s="94">
        <v>600.65</v>
      </c>
      <c r="S560" s="94">
        <v>532.87</v>
      </c>
      <c r="T560" s="94">
        <v>481.25</v>
      </c>
      <c r="U560" s="94">
        <v>495.63</v>
      </c>
    </row>
    <row r="561" spans="1:21">
      <c r="A561" s="91">
        <v>39265</v>
      </c>
      <c r="B561" s="86">
        <v>39265</v>
      </c>
      <c r="C561" s="93">
        <v>1.4800562421372001</v>
      </c>
      <c r="D561" s="85" t="s">
        <v>946</v>
      </c>
      <c r="F561" s="91">
        <v>39265</v>
      </c>
      <c r="G561">
        <v>521.37</v>
      </c>
      <c r="H561">
        <v>539.22</v>
      </c>
      <c r="I561" s="94">
        <v>486.27</v>
      </c>
      <c r="J561" s="94">
        <v>479.11</v>
      </c>
      <c r="K561" s="94">
        <v>538.91</v>
      </c>
      <c r="L561" s="94">
        <v>515.20000000000005</v>
      </c>
      <c r="M561" s="94">
        <v>497.81</v>
      </c>
      <c r="N561" s="94">
        <v>548.86</v>
      </c>
      <c r="O561" s="94">
        <v>544.92999999999995</v>
      </c>
      <c r="P561" s="94">
        <v>511.04</v>
      </c>
      <c r="Q561" s="94">
        <v>561.91</v>
      </c>
      <c r="R561" s="94">
        <v>595.73</v>
      </c>
      <c r="S561" s="94">
        <v>539.47</v>
      </c>
      <c r="T561" s="94">
        <v>476.18</v>
      </c>
      <c r="U561" s="94">
        <v>498.14</v>
      </c>
    </row>
    <row r="562" spans="1:21">
      <c r="A562" s="91">
        <v>39258</v>
      </c>
      <c r="B562" s="86">
        <v>39258</v>
      </c>
      <c r="C562" s="93">
        <v>1.48478099480327</v>
      </c>
      <c r="D562" s="85" t="s">
        <v>437</v>
      </c>
      <c r="F562" s="91">
        <v>39258</v>
      </c>
      <c r="G562">
        <v>519.70000000000005</v>
      </c>
      <c r="H562">
        <v>532.36</v>
      </c>
      <c r="I562" s="94">
        <v>481.09</v>
      </c>
      <c r="J562" s="94">
        <v>517.98</v>
      </c>
      <c r="K562" s="94">
        <v>547.39</v>
      </c>
      <c r="L562" s="94">
        <v>516.16999999999996</v>
      </c>
      <c r="M562" s="94">
        <v>497.46</v>
      </c>
      <c r="N562" s="94">
        <v>548.76</v>
      </c>
      <c r="O562" s="94">
        <v>542.99</v>
      </c>
      <c r="P562" s="94">
        <v>511.04</v>
      </c>
      <c r="Q562" s="94">
        <v>561.77</v>
      </c>
      <c r="R562" s="94">
        <v>610</v>
      </c>
      <c r="S562" s="94">
        <v>539.20000000000005</v>
      </c>
      <c r="T562" s="94">
        <v>507.51</v>
      </c>
      <c r="U562" s="94">
        <v>502.06</v>
      </c>
    </row>
    <row r="563" spans="1:21">
      <c r="A563" s="91">
        <v>39251</v>
      </c>
      <c r="B563" s="86">
        <v>39251</v>
      </c>
      <c r="C563" s="93">
        <v>1.478633742422</v>
      </c>
      <c r="D563" s="85" t="s">
        <v>947</v>
      </c>
      <c r="F563" s="91">
        <v>39251</v>
      </c>
      <c r="G563">
        <v>519.70000000000005</v>
      </c>
      <c r="H563">
        <v>509.03</v>
      </c>
      <c r="I563" s="94">
        <v>482.6</v>
      </c>
      <c r="J563" s="94">
        <v>514.20000000000005</v>
      </c>
      <c r="K563" s="94">
        <v>547.29</v>
      </c>
      <c r="L563" s="94">
        <v>521.96</v>
      </c>
      <c r="M563" s="94">
        <v>493.96</v>
      </c>
      <c r="N563" s="94">
        <v>540.29999999999995</v>
      </c>
      <c r="O563" s="94">
        <v>532.35</v>
      </c>
      <c r="P563" s="94">
        <v>511.04</v>
      </c>
      <c r="Q563" s="94">
        <v>557.78</v>
      </c>
      <c r="R563" s="94">
        <v>601.49</v>
      </c>
      <c r="S563" s="94">
        <v>534.44000000000005</v>
      </c>
      <c r="T563" s="94">
        <v>493.08</v>
      </c>
      <c r="U563" s="94">
        <v>500.2</v>
      </c>
    </row>
    <row r="564" spans="1:21">
      <c r="A564" s="91">
        <v>39244</v>
      </c>
      <c r="B564" s="86">
        <v>39244</v>
      </c>
      <c r="C564" s="93">
        <v>1.4740566037735801</v>
      </c>
      <c r="D564" s="85" t="s">
        <v>399</v>
      </c>
      <c r="F564" s="91">
        <v>39244</v>
      </c>
      <c r="G564">
        <v>513.87</v>
      </c>
      <c r="H564">
        <v>503.6</v>
      </c>
      <c r="I564" s="94">
        <v>486.82</v>
      </c>
      <c r="J564" s="94">
        <v>503.1</v>
      </c>
      <c r="K564" s="94">
        <v>539.64</v>
      </c>
      <c r="L564" s="94">
        <v>512.15</v>
      </c>
      <c r="M564" s="94">
        <v>496.99</v>
      </c>
      <c r="N564" s="94">
        <v>549.75</v>
      </c>
      <c r="O564" s="94">
        <v>524.02</v>
      </c>
      <c r="P564" s="94">
        <v>511.04</v>
      </c>
      <c r="Q564" s="94">
        <v>557.84</v>
      </c>
      <c r="R564" s="94">
        <v>597.28</v>
      </c>
      <c r="S564" s="94">
        <v>529.5</v>
      </c>
      <c r="T564" s="94">
        <v>463.98</v>
      </c>
      <c r="U564" s="94">
        <v>499.33</v>
      </c>
    </row>
    <row r="565" spans="1:21">
      <c r="A565" s="91">
        <v>39237</v>
      </c>
      <c r="B565" s="86">
        <v>39237</v>
      </c>
      <c r="C565" s="93">
        <v>1.4750350320820098</v>
      </c>
      <c r="D565" s="85" t="s">
        <v>422</v>
      </c>
      <c r="F565" s="91">
        <v>39237</v>
      </c>
      <c r="G565">
        <v>514.70000000000005</v>
      </c>
      <c r="H565">
        <v>505.33</v>
      </c>
      <c r="I565" s="94">
        <v>489.85</v>
      </c>
      <c r="J565" s="94">
        <v>530</v>
      </c>
      <c r="K565" s="94">
        <v>539.39</v>
      </c>
      <c r="L565" s="94">
        <v>505.12</v>
      </c>
      <c r="M565" s="94">
        <v>502.56</v>
      </c>
      <c r="N565" s="94">
        <v>556.29999999999995</v>
      </c>
      <c r="O565" s="94">
        <v>530.65</v>
      </c>
      <c r="P565" s="94">
        <v>511.04</v>
      </c>
      <c r="Q565" s="94">
        <v>555.87</v>
      </c>
      <c r="R565" s="94">
        <v>596.44000000000005</v>
      </c>
      <c r="S565" s="94">
        <v>534</v>
      </c>
      <c r="T565" s="94">
        <v>473.17</v>
      </c>
      <c r="U565" s="94">
        <v>498.4</v>
      </c>
    </row>
    <row r="566" spans="1:21">
      <c r="A566" s="91">
        <v>39230</v>
      </c>
      <c r="B566" s="86">
        <v>39230</v>
      </c>
      <c r="C566" s="93">
        <v>1.47377418831887</v>
      </c>
      <c r="D566" s="85" t="s">
        <v>948</v>
      </c>
      <c r="F566" s="91">
        <v>39230</v>
      </c>
      <c r="G566">
        <v>507.2</v>
      </c>
      <c r="H566">
        <v>510.7</v>
      </c>
      <c r="I566" s="94">
        <v>489.57</v>
      </c>
      <c r="J566" s="94">
        <v>526.79999999999995</v>
      </c>
      <c r="K566" s="94">
        <v>552.08000000000004</v>
      </c>
      <c r="L566" s="94">
        <v>516.84</v>
      </c>
      <c r="M566" s="94">
        <v>506.87</v>
      </c>
      <c r="N566" s="94">
        <v>556.15</v>
      </c>
      <c r="O566" s="94">
        <v>520.97</v>
      </c>
      <c r="P566" s="94">
        <v>511.04</v>
      </c>
      <c r="Q566" s="94">
        <v>554.94000000000005</v>
      </c>
      <c r="R566" s="94">
        <v>611.57000000000005</v>
      </c>
      <c r="S566" s="94">
        <v>537.95000000000005</v>
      </c>
      <c r="T566" s="94">
        <v>496.78</v>
      </c>
      <c r="U566" s="94">
        <v>493.57</v>
      </c>
    </row>
    <row r="567" spans="1:21">
      <c r="A567" s="91">
        <v>39223</v>
      </c>
      <c r="B567" s="86">
        <v>39223</v>
      </c>
      <c r="C567" s="93">
        <v>1.4648795136600001</v>
      </c>
      <c r="D567" s="85" t="s">
        <v>949</v>
      </c>
      <c r="F567" s="91">
        <v>39223</v>
      </c>
      <c r="G567">
        <v>502.2</v>
      </c>
      <c r="H567">
        <v>510.7</v>
      </c>
      <c r="I567" s="94">
        <v>476.81</v>
      </c>
      <c r="J567" s="94">
        <v>516.92999999999995</v>
      </c>
      <c r="K567" s="94">
        <v>560.54999999999995</v>
      </c>
      <c r="L567" s="94">
        <v>495.18</v>
      </c>
      <c r="M567" s="94">
        <v>499.04</v>
      </c>
      <c r="N567" s="94">
        <v>545.11</v>
      </c>
      <c r="O567" s="94">
        <v>505.11</v>
      </c>
      <c r="P567" s="94">
        <v>473.85</v>
      </c>
      <c r="Q567" s="94">
        <v>541.46</v>
      </c>
      <c r="R567" s="94">
        <v>616.61</v>
      </c>
      <c r="S567" s="94">
        <v>534.09</v>
      </c>
      <c r="T567" s="94">
        <v>495.95</v>
      </c>
      <c r="U567" s="94">
        <v>484.9</v>
      </c>
    </row>
    <row r="568" spans="1:21">
      <c r="A568" s="91">
        <v>39216</v>
      </c>
      <c r="B568" s="86">
        <v>39216</v>
      </c>
      <c r="C568" s="93">
        <v>1.4612405932636798</v>
      </c>
      <c r="D568" s="85" t="s">
        <v>950</v>
      </c>
      <c r="F568" s="91">
        <v>39216</v>
      </c>
      <c r="G568">
        <v>500.54</v>
      </c>
      <c r="H568">
        <v>499.11</v>
      </c>
      <c r="I568" s="94">
        <v>474.31</v>
      </c>
      <c r="J568" s="94">
        <v>505.8</v>
      </c>
      <c r="K568" s="94">
        <v>539.23</v>
      </c>
      <c r="L568" s="94">
        <v>481.81</v>
      </c>
      <c r="M568" s="94">
        <v>493.14</v>
      </c>
      <c r="N568" s="94">
        <v>543.74</v>
      </c>
      <c r="O568" s="94">
        <v>509.15</v>
      </c>
      <c r="P568" s="94">
        <v>473.85</v>
      </c>
      <c r="Q568" s="94">
        <v>530.03</v>
      </c>
      <c r="R568" s="94">
        <v>605</v>
      </c>
      <c r="S568" s="94">
        <v>524.59</v>
      </c>
      <c r="T568" s="94">
        <v>486.61</v>
      </c>
      <c r="U568" s="94">
        <v>475.81</v>
      </c>
    </row>
    <row r="569" spans="1:21">
      <c r="A569" s="91">
        <v>39209</v>
      </c>
      <c r="B569" s="86">
        <v>39209</v>
      </c>
      <c r="C569" s="93">
        <v>1.46563095412575</v>
      </c>
      <c r="D569" s="85" t="s">
        <v>951</v>
      </c>
      <c r="F569" s="91">
        <v>39209</v>
      </c>
      <c r="G569">
        <v>503.87</v>
      </c>
      <c r="H569">
        <v>492.42</v>
      </c>
      <c r="I569" s="94">
        <v>472.75</v>
      </c>
      <c r="J569" s="94">
        <v>494.03</v>
      </c>
      <c r="K569" s="94">
        <v>543.51</v>
      </c>
      <c r="L569" s="94">
        <v>484.57</v>
      </c>
      <c r="M569" s="94">
        <v>498.34</v>
      </c>
      <c r="N569" s="94">
        <v>536.89</v>
      </c>
      <c r="O569" s="94">
        <v>497.47</v>
      </c>
      <c r="P569" s="94">
        <v>473.85</v>
      </c>
      <c r="Q569" s="94">
        <v>527.19000000000005</v>
      </c>
      <c r="R569" s="94">
        <v>600</v>
      </c>
      <c r="S569" s="94">
        <v>519.63</v>
      </c>
      <c r="T569" s="94">
        <v>490.1</v>
      </c>
      <c r="U569" s="94">
        <v>469.19</v>
      </c>
    </row>
    <row r="570" spans="1:21">
      <c r="A570" s="91">
        <v>39202</v>
      </c>
      <c r="B570" s="86">
        <v>39202</v>
      </c>
      <c r="C570" s="93">
        <v>1.46477222791856</v>
      </c>
      <c r="D570" s="85" t="s">
        <v>952</v>
      </c>
      <c r="F570" s="91">
        <v>39202</v>
      </c>
      <c r="G570">
        <v>493.04</v>
      </c>
      <c r="H570">
        <v>496.13</v>
      </c>
      <c r="I570" s="94">
        <v>449.15</v>
      </c>
      <c r="J570" s="94">
        <v>498.4</v>
      </c>
      <c r="K570" s="94">
        <v>528.55999999999995</v>
      </c>
      <c r="L570" s="94">
        <v>481.26</v>
      </c>
      <c r="M570" s="94">
        <v>483.93</v>
      </c>
      <c r="N570" s="94">
        <v>519.4</v>
      </c>
      <c r="O570" s="94">
        <v>496.57</v>
      </c>
      <c r="P570" s="94">
        <v>473.85</v>
      </c>
      <c r="Q570" s="94">
        <v>514.02</v>
      </c>
      <c r="R570" s="94">
        <v>599.80999999999995</v>
      </c>
      <c r="S570" s="94">
        <v>509.34</v>
      </c>
      <c r="T570" s="94">
        <v>490.81</v>
      </c>
      <c r="U570" s="94">
        <v>456.79</v>
      </c>
    </row>
    <row r="571" spans="1:21">
      <c r="A571" s="91">
        <v>39195</v>
      </c>
      <c r="B571" s="86">
        <v>39195</v>
      </c>
      <c r="C571" s="93">
        <v>1.47492625368732</v>
      </c>
      <c r="D571" s="85" t="s">
        <v>953</v>
      </c>
      <c r="F571" s="91">
        <v>39195</v>
      </c>
      <c r="G571">
        <v>473.87</v>
      </c>
      <c r="H571">
        <v>496.13</v>
      </c>
      <c r="I571" s="94">
        <v>450.19</v>
      </c>
      <c r="J571" s="94">
        <v>472.28</v>
      </c>
      <c r="K571" s="94">
        <v>509.12</v>
      </c>
      <c r="L571" s="94">
        <v>464.58</v>
      </c>
      <c r="M571" s="94">
        <v>466.64</v>
      </c>
      <c r="N571" s="94">
        <v>513.72</v>
      </c>
      <c r="O571" s="94">
        <v>499.93</v>
      </c>
      <c r="P571" s="94">
        <v>473.85</v>
      </c>
      <c r="Q571" s="94">
        <v>502.34</v>
      </c>
      <c r="R571" s="94">
        <v>575</v>
      </c>
      <c r="S571" s="94">
        <v>494.3</v>
      </c>
      <c r="T571" s="94">
        <v>453.58</v>
      </c>
      <c r="U571" s="94">
        <v>453.42</v>
      </c>
    </row>
    <row r="572" spans="1:21">
      <c r="A572" s="91">
        <v>39188</v>
      </c>
      <c r="B572" s="86">
        <v>39188</v>
      </c>
      <c r="C572" s="93">
        <v>1.4693997502020399</v>
      </c>
      <c r="D572" s="85" t="s">
        <v>492</v>
      </c>
      <c r="F572" s="91">
        <v>39188</v>
      </c>
      <c r="G572">
        <v>469.7</v>
      </c>
      <c r="H572">
        <v>489.33</v>
      </c>
      <c r="I572" s="94">
        <v>444.69</v>
      </c>
      <c r="J572" s="94">
        <v>445.71</v>
      </c>
      <c r="K572" s="94">
        <v>506.81</v>
      </c>
      <c r="L572" s="94">
        <v>493.95</v>
      </c>
      <c r="M572" s="94">
        <v>467.27</v>
      </c>
      <c r="N572" s="94">
        <v>506.37</v>
      </c>
      <c r="O572" s="94">
        <v>489.12</v>
      </c>
      <c r="P572" s="94">
        <v>428.39</v>
      </c>
      <c r="Q572" s="94">
        <v>499.51</v>
      </c>
      <c r="R572" s="94">
        <v>571</v>
      </c>
      <c r="S572" s="94">
        <v>494.54</v>
      </c>
      <c r="T572" s="94">
        <v>460.97</v>
      </c>
      <c r="U572" s="94">
        <v>439.98</v>
      </c>
    </row>
    <row r="573" spans="1:21">
      <c r="A573" s="91">
        <v>39174</v>
      </c>
      <c r="B573" s="86">
        <v>39174</v>
      </c>
      <c r="C573" s="93">
        <v>1.4790711433219901</v>
      </c>
      <c r="D573" s="85" t="s">
        <v>424</v>
      </c>
      <c r="F573" s="91">
        <v>39174</v>
      </c>
      <c r="G573">
        <v>457.2</v>
      </c>
      <c r="H573">
        <v>470.54</v>
      </c>
      <c r="I573" s="94">
        <v>419.86</v>
      </c>
      <c r="J573" s="94">
        <v>451.8</v>
      </c>
      <c r="K573" s="94">
        <v>493.13</v>
      </c>
      <c r="L573" s="94">
        <v>484.99</v>
      </c>
      <c r="M573" s="94">
        <v>447.15</v>
      </c>
      <c r="N573" s="94">
        <v>484</v>
      </c>
      <c r="O573" s="94">
        <v>465.04</v>
      </c>
      <c r="P573" s="94">
        <v>428.39</v>
      </c>
      <c r="Q573" s="94">
        <v>483</v>
      </c>
      <c r="R573" s="94">
        <v>559.47</v>
      </c>
      <c r="S573" s="94">
        <v>475.34</v>
      </c>
      <c r="T573" s="94">
        <v>453.93</v>
      </c>
      <c r="U573" s="94">
        <v>423.7</v>
      </c>
    </row>
    <row r="574" spans="1:21">
      <c r="A574" s="91">
        <v>39167</v>
      </c>
      <c r="B574" s="86">
        <v>39167</v>
      </c>
      <c r="C574" s="93">
        <v>1.4785244326162499</v>
      </c>
      <c r="D574" s="85" t="s">
        <v>954</v>
      </c>
      <c r="F574" s="91">
        <v>39167</v>
      </c>
      <c r="G574">
        <v>435.93</v>
      </c>
      <c r="H574">
        <v>453.02</v>
      </c>
      <c r="I574" s="94">
        <v>412.35</v>
      </c>
      <c r="J574" s="94">
        <v>420.5</v>
      </c>
      <c r="K574" s="94">
        <v>464.18</v>
      </c>
      <c r="L574" s="94">
        <v>459.77</v>
      </c>
      <c r="M574" s="94">
        <v>425.23</v>
      </c>
      <c r="N574" s="94">
        <v>469.34</v>
      </c>
      <c r="O574" s="94">
        <v>465.51</v>
      </c>
      <c r="P574" s="94">
        <v>396.99</v>
      </c>
      <c r="Q574" s="94">
        <v>469.69</v>
      </c>
      <c r="R574" s="94">
        <v>534.26</v>
      </c>
      <c r="S574" s="94">
        <v>456.04</v>
      </c>
      <c r="T574" s="94">
        <v>431.01</v>
      </c>
      <c r="U574" s="94">
        <v>409.06</v>
      </c>
    </row>
    <row r="575" spans="1:21">
      <c r="A575" s="91">
        <v>39160</v>
      </c>
      <c r="B575" s="86">
        <v>39160</v>
      </c>
      <c r="C575" s="93">
        <v>1.4635931211123299</v>
      </c>
      <c r="D575" s="85" t="s">
        <v>955</v>
      </c>
      <c r="F575" s="91">
        <v>39160</v>
      </c>
      <c r="G575">
        <v>441.76</v>
      </c>
      <c r="H575">
        <v>464.89</v>
      </c>
      <c r="I575" s="94">
        <v>414.92</v>
      </c>
      <c r="J575" s="94">
        <v>421.76</v>
      </c>
      <c r="K575" s="94">
        <v>447.09</v>
      </c>
      <c r="L575" s="94">
        <v>433.19</v>
      </c>
      <c r="M575" s="94">
        <v>429.09</v>
      </c>
      <c r="N575" s="94">
        <v>474.44</v>
      </c>
      <c r="O575" s="94">
        <v>467.28</v>
      </c>
      <c r="P575" s="94">
        <v>396.99</v>
      </c>
      <c r="Q575" s="94">
        <v>469.96</v>
      </c>
      <c r="R575" s="94">
        <v>519</v>
      </c>
      <c r="S575" s="94">
        <v>455.79</v>
      </c>
      <c r="T575" s="94">
        <v>423.18</v>
      </c>
      <c r="U575" s="94">
        <v>400.13</v>
      </c>
    </row>
    <row r="576" spans="1:21">
      <c r="A576" s="91">
        <v>39153</v>
      </c>
      <c r="B576" s="86">
        <v>39153</v>
      </c>
      <c r="C576" s="93">
        <v>1.4658457930225699</v>
      </c>
      <c r="D576" s="85" t="s">
        <v>956</v>
      </c>
      <c r="F576" s="91">
        <v>39153</v>
      </c>
      <c r="G576">
        <v>440.1</v>
      </c>
      <c r="H576">
        <v>455.09</v>
      </c>
      <c r="I576" s="94">
        <v>399.77</v>
      </c>
      <c r="J576" s="94">
        <v>424.28</v>
      </c>
      <c r="K576" s="94">
        <v>469.55</v>
      </c>
      <c r="L576" s="94">
        <v>450.69</v>
      </c>
      <c r="M576" s="94">
        <v>433.26</v>
      </c>
      <c r="N576" s="94">
        <v>472.71</v>
      </c>
      <c r="O576" s="94">
        <v>453.35</v>
      </c>
      <c r="P576" s="94">
        <v>396.99</v>
      </c>
      <c r="Q576" s="94">
        <v>470.39</v>
      </c>
      <c r="R576" s="94">
        <v>537.62</v>
      </c>
      <c r="S576" s="94">
        <v>462.43</v>
      </c>
      <c r="T576" s="94">
        <v>431.72</v>
      </c>
      <c r="U576" s="94">
        <v>395.07</v>
      </c>
    </row>
    <row r="577" spans="1:21">
      <c r="A577" s="91">
        <v>39146</v>
      </c>
      <c r="B577" s="86">
        <v>39146</v>
      </c>
      <c r="C577" s="93">
        <v>1.4658457930225699</v>
      </c>
      <c r="D577" s="85" t="s">
        <v>957</v>
      </c>
      <c r="F577" s="91">
        <v>39146</v>
      </c>
      <c r="G577">
        <v>434.26</v>
      </c>
      <c r="H577">
        <v>427.32</v>
      </c>
      <c r="I577" s="94">
        <v>377.5</v>
      </c>
      <c r="J577" s="94">
        <v>436.68</v>
      </c>
      <c r="K577" s="94">
        <v>475.01</v>
      </c>
      <c r="L577" s="94">
        <v>455.11</v>
      </c>
      <c r="M577" s="94">
        <v>421.05</v>
      </c>
      <c r="N577" s="94">
        <v>454.09</v>
      </c>
      <c r="O577" s="94">
        <v>425.5</v>
      </c>
      <c r="P577" s="94">
        <v>396.99</v>
      </c>
      <c r="Q577" s="94">
        <v>462.24</v>
      </c>
      <c r="R577" s="94">
        <v>538</v>
      </c>
      <c r="S577" s="94">
        <v>453.09</v>
      </c>
      <c r="T577" s="94">
        <v>438.55</v>
      </c>
      <c r="U577" s="94">
        <v>385.91</v>
      </c>
    </row>
    <row r="578" spans="1:21">
      <c r="A578" s="91">
        <v>39139</v>
      </c>
      <c r="B578" s="86">
        <v>39139</v>
      </c>
      <c r="C578" s="93">
        <v>1.4912019087384401</v>
      </c>
      <c r="D578" s="85" t="s">
        <v>958</v>
      </c>
      <c r="F578" s="91">
        <v>39139</v>
      </c>
      <c r="G578">
        <v>411.76</v>
      </c>
      <c r="H578">
        <v>386.99</v>
      </c>
      <c r="I578" s="94">
        <v>366.46</v>
      </c>
      <c r="J578" s="94">
        <v>385</v>
      </c>
      <c r="K578" s="94">
        <v>453.2</v>
      </c>
      <c r="L578" s="94">
        <v>425.19</v>
      </c>
      <c r="M578" s="94">
        <v>389.77</v>
      </c>
      <c r="N578" s="94">
        <v>429.38</v>
      </c>
      <c r="O578" s="94">
        <v>408.96</v>
      </c>
      <c r="P578" s="94">
        <v>396.99</v>
      </c>
      <c r="Q578" s="94">
        <v>454.05</v>
      </c>
      <c r="R578" s="94">
        <v>511</v>
      </c>
      <c r="S578" s="94">
        <v>428.01</v>
      </c>
      <c r="T578" s="94">
        <v>406.4</v>
      </c>
      <c r="U578" s="94">
        <v>383.97</v>
      </c>
    </row>
    <row r="579" spans="1:21">
      <c r="A579" s="91">
        <v>39132</v>
      </c>
      <c r="B579" s="86">
        <v>39132</v>
      </c>
      <c r="C579" s="93">
        <v>1.4812620352540398</v>
      </c>
      <c r="D579" s="85" t="s">
        <v>959</v>
      </c>
      <c r="F579" s="91">
        <v>39132</v>
      </c>
      <c r="G579">
        <v>412.6</v>
      </c>
      <c r="H579">
        <v>394.59</v>
      </c>
      <c r="I579" s="94">
        <v>371.02</v>
      </c>
      <c r="J579" s="94">
        <v>385.63</v>
      </c>
      <c r="K579" s="94">
        <v>418.76</v>
      </c>
      <c r="L579" s="94">
        <v>397.93</v>
      </c>
      <c r="M579" s="94">
        <v>384.8</v>
      </c>
      <c r="N579" s="94">
        <v>423.83</v>
      </c>
      <c r="O579" s="94">
        <v>411.38</v>
      </c>
      <c r="P579" s="94">
        <v>411.04</v>
      </c>
      <c r="Q579" s="94">
        <v>437.22</v>
      </c>
      <c r="R579" s="94">
        <v>483</v>
      </c>
      <c r="S579" s="94">
        <v>417.15</v>
      </c>
      <c r="T579" s="94">
        <v>373.49</v>
      </c>
      <c r="U579" s="94">
        <v>375.52</v>
      </c>
    </row>
    <row r="580" spans="1:21">
      <c r="A580" s="91">
        <v>39125</v>
      </c>
      <c r="B580" s="86">
        <v>39125</v>
      </c>
      <c r="C580" s="93">
        <v>1.5022909937654898</v>
      </c>
      <c r="D580" s="85" t="s">
        <v>960</v>
      </c>
      <c r="F580" s="91">
        <v>39125</v>
      </c>
      <c r="G580">
        <v>406.76</v>
      </c>
      <c r="H580">
        <v>415.72</v>
      </c>
      <c r="I580" s="94">
        <v>365.67</v>
      </c>
      <c r="J580" s="94">
        <v>383.74</v>
      </c>
      <c r="K580" s="94">
        <v>425.29</v>
      </c>
      <c r="L580" s="94">
        <v>400.69</v>
      </c>
      <c r="M580" s="94">
        <v>386.35</v>
      </c>
      <c r="N580" s="94">
        <v>423.83</v>
      </c>
      <c r="O580" s="94">
        <v>407.11</v>
      </c>
      <c r="P580" s="94">
        <v>411.04</v>
      </c>
      <c r="Q580" s="94">
        <v>436.66</v>
      </c>
      <c r="R580" s="94">
        <v>482</v>
      </c>
      <c r="S580" s="94">
        <v>417.2</v>
      </c>
      <c r="T580" s="94">
        <v>379.13</v>
      </c>
      <c r="U580" s="94">
        <v>374.76</v>
      </c>
    </row>
    <row r="581" spans="1:21">
      <c r="A581" s="91">
        <v>39118</v>
      </c>
      <c r="B581" s="86">
        <v>39118</v>
      </c>
      <c r="C581" s="93">
        <v>1.5125160704832499</v>
      </c>
      <c r="D581" s="85" t="s">
        <v>389</v>
      </c>
      <c r="F581" s="91">
        <v>39118</v>
      </c>
      <c r="G581">
        <v>400.1</v>
      </c>
      <c r="H581">
        <v>394.67</v>
      </c>
      <c r="I581" s="94">
        <v>371.56</v>
      </c>
      <c r="J581" s="94">
        <v>376.38</v>
      </c>
      <c r="K581" s="94">
        <v>420.99</v>
      </c>
      <c r="L581" s="94">
        <v>399.86</v>
      </c>
      <c r="M581" s="94">
        <v>374.8</v>
      </c>
      <c r="N581" s="94">
        <v>412.23</v>
      </c>
      <c r="O581" s="94">
        <v>391.12</v>
      </c>
      <c r="P581" s="94">
        <v>411.04</v>
      </c>
      <c r="Q581" s="94">
        <v>434.83</v>
      </c>
      <c r="R581" s="94">
        <v>474</v>
      </c>
      <c r="S581" s="94">
        <v>409.02</v>
      </c>
      <c r="T581" s="94">
        <v>369.89</v>
      </c>
      <c r="U581" s="94">
        <v>370.81</v>
      </c>
    </row>
    <row r="582" spans="1:21">
      <c r="A582" s="91">
        <v>39111</v>
      </c>
      <c r="B582" s="86">
        <v>39111</v>
      </c>
      <c r="C582" s="93">
        <v>1.5146925174189598</v>
      </c>
      <c r="D582" s="85" t="s">
        <v>961</v>
      </c>
      <c r="F582" s="91">
        <v>39111</v>
      </c>
      <c r="G582">
        <v>390.93</v>
      </c>
      <c r="H582">
        <v>371.2</v>
      </c>
      <c r="I582" s="94">
        <v>377.34</v>
      </c>
      <c r="J582" s="94">
        <v>365.25</v>
      </c>
      <c r="K582" s="94">
        <v>408.05</v>
      </c>
      <c r="L582" s="94">
        <v>388.15</v>
      </c>
      <c r="M582" s="94">
        <v>362.9</v>
      </c>
      <c r="N582" s="94">
        <v>403.99</v>
      </c>
      <c r="O582" s="94">
        <v>389.83</v>
      </c>
      <c r="P582" s="94">
        <v>411.04</v>
      </c>
      <c r="Q582" s="94">
        <v>434.52</v>
      </c>
      <c r="R582" s="94">
        <v>464.51</v>
      </c>
      <c r="S582" s="94">
        <v>404.17</v>
      </c>
      <c r="T582" s="94">
        <v>354.04</v>
      </c>
      <c r="U582" s="94">
        <v>371.85</v>
      </c>
    </row>
    <row r="583" spans="1:21">
      <c r="A583" s="91">
        <v>39104</v>
      </c>
      <c r="B583" s="86">
        <v>39104</v>
      </c>
      <c r="C583" s="93">
        <v>1.52706726731313</v>
      </c>
      <c r="D583" s="85" t="s">
        <v>962</v>
      </c>
      <c r="F583" s="91">
        <v>39104</v>
      </c>
      <c r="G583">
        <v>390.1</v>
      </c>
      <c r="H583">
        <v>392.28</v>
      </c>
      <c r="I583" s="94">
        <v>388.71</v>
      </c>
      <c r="J583" s="94">
        <v>358.32</v>
      </c>
      <c r="K583" s="94">
        <v>382.36</v>
      </c>
      <c r="L583" s="94">
        <v>365.4</v>
      </c>
      <c r="M583" s="94">
        <v>358.86</v>
      </c>
      <c r="N583" s="94">
        <v>411.9</v>
      </c>
      <c r="O583" s="94">
        <v>399.37</v>
      </c>
      <c r="P583" s="94">
        <v>411.04</v>
      </c>
      <c r="Q583" s="94">
        <v>434.99</v>
      </c>
      <c r="R583" s="94">
        <v>459</v>
      </c>
      <c r="S583" s="94">
        <v>402.99</v>
      </c>
      <c r="T583" s="94">
        <v>334.47</v>
      </c>
      <c r="U583" s="94">
        <v>382.97</v>
      </c>
    </row>
    <row r="584" spans="1:21">
      <c r="A584" s="91">
        <v>39097</v>
      </c>
      <c r="B584" s="86">
        <v>39097</v>
      </c>
      <c r="C584" s="93">
        <v>1.5187182018376499</v>
      </c>
      <c r="D584" s="85" t="s">
        <v>963</v>
      </c>
      <c r="F584" s="91">
        <v>39097</v>
      </c>
      <c r="G584">
        <v>397.6</v>
      </c>
      <c r="H584">
        <v>400.19</v>
      </c>
      <c r="I584" s="94">
        <v>397.19</v>
      </c>
      <c r="J584" s="94">
        <v>357.68</v>
      </c>
      <c r="K584" s="94">
        <v>397.48</v>
      </c>
      <c r="L584" s="94">
        <v>370.67</v>
      </c>
      <c r="M584" s="94">
        <v>374.96</v>
      </c>
      <c r="N584" s="94">
        <v>428.48</v>
      </c>
      <c r="O584" s="94">
        <v>415.74</v>
      </c>
      <c r="P584" s="94">
        <v>411.87</v>
      </c>
      <c r="Q584" s="94">
        <v>442.41</v>
      </c>
      <c r="R584" s="94">
        <v>463</v>
      </c>
      <c r="S584" s="94">
        <v>411.24</v>
      </c>
      <c r="T584" s="94">
        <v>353.63</v>
      </c>
      <c r="U584" s="94">
        <v>391.43</v>
      </c>
    </row>
    <row r="585" spans="1:21" ht="15.75" thickBot="1">
      <c r="A585" s="92">
        <v>39090</v>
      </c>
      <c r="B585" s="86">
        <v>39090</v>
      </c>
      <c r="C585" s="93">
        <v>1.48566334868519</v>
      </c>
      <c r="D585" s="85" t="s">
        <v>964</v>
      </c>
      <c r="F585" s="92">
        <v>39090</v>
      </c>
      <c r="G585">
        <v>415.93</v>
      </c>
      <c r="H585">
        <v>426.08</v>
      </c>
      <c r="I585" s="94">
        <v>406.31</v>
      </c>
      <c r="J585" s="94">
        <v>399.7</v>
      </c>
      <c r="K585" s="94">
        <v>416.76</v>
      </c>
      <c r="L585" s="94">
        <v>384.73</v>
      </c>
      <c r="M585" s="94">
        <v>390.01</v>
      </c>
      <c r="N585" s="94">
        <v>436.54</v>
      </c>
      <c r="O585" s="94">
        <v>427.99</v>
      </c>
      <c r="P585" s="94">
        <v>411.87</v>
      </c>
      <c r="Q585" s="94">
        <v>451.57</v>
      </c>
      <c r="R585" s="94">
        <v>474</v>
      </c>
      <c r="S585" s="94">
        <v>420.02</v>
      </c>
      <c r="T585" s="94">
        <v>363.32</v>
      </c>
      <c r="U585" s="94">
        <v>390.06</v>
      </c>
    </row>
    <row r="586" spans="1:21">
      <c r="A586" s="91">
        <v>39069</v>
      </c>
      <c r="B586" s="86">
        <v>39069</v>
      </c>
      <c r="C586" s="93">
        <v>1.48909239818331</v>
      </c>
      <c r="D586" s="85" t="s">
        <v>965</v>
      </c>
      <c r="F586" s="91">
        <v>39069</v>
      </c>
      <c r="G586">
        <v>419.26</v>
      </c>
      <c r="H586">
        <v>438.72</v>
      </c>
      <c r="I586" s="94">
        <v>412.74</v>
      </c>
      <c r="J586" s="94">
        <v>383.43</v>
      </c>
      <c r="K586" s="94">
        <v>444.61</v>
      </c>
      <c r="L586" s="94">
        <v>427.91</v>
      </c>
      <c r="M586" s="94">
        <v>384.08</v>
      </c>
      <c r="N586" s="94">
        <v>446.71</v>
      </c>
      <c r="O586" s="94">
        <v>429.59</v>
      </c>
      <c r="P586" s="94">
        <v>408.56</v>
      </c>
      <c r="Q586" s="94">
        <v>452.02</v>
      </c>
      <c r="R586" s="94">
        <v>473</v>
      </c>
      <c r="S586" s="94">
        <v>424.88</v>
      </c>
      <c r="T586" s="94">
        <v>388.93</v>
      </c>
      <c r="U586" s="94">
        <v>391.87</v>
      </c>
    </row>
    <row r="587" spans="1:21">
      <c r="A587" s="91">
        <v>39062</v>
      </c>
      <c r="B587" s="86">
        <v>39062</v>
      </c>
      <c r="C587" s="93">
        <v>1.4788524105294298</v>
      </c>
      <c r="D587" s="85" t="s">
        <v>966</v>
      </c>
      <c r="F587" s="91">
        <v>39062</v>
      </c>
      <c r="G587">
        <v>420.93</v>
      </c>
      <c r="H587">
        <v>431.92</v>
      </c>
      <c r="I587" s="94">
        <v>411.53</v>
      </c>
      <c r="J587" s="94">
        <v>386.23</v>
      </c>
      <c r="K587" s="94">
        <v>429.5</v>
      </c>
      <c r="L587" s="94">
        <v>418.68</v>
      </c>
      <c r="M587" s="94">
        <v>386.96</v>
      </c>
      <c r="N587" s="94">
        <v>446.77</v>
      </c>
      <c r="O587" s="94">
        <v>423.77</v>
      </c>
      <c r="P587" s="94">
        <v>408.56</v>
      </c>
      <c r="Q587" s="94">
        <v>452.02</v>
      </c>
      <c r="R587" s="94">
        <v>469.55</v>
      </c>
      <c r="S587" s="94">
        <v>423.68</v>
      </c>
      <c r="T587" s="94">
        <v>379.97</v>
      </c>
      <c r="U587" s="94">
        <v>385.54</v>
      </c>
    </row>
    <row r="588" spans="1:21">
      <c r="A588" s="91">
        <v>39055</v>
      </c>
      <c r="B588" s="86">
        <v>39055</v>
      </c>
      <c r="C588" s="93">
        <v>1.4850014850014901</v>
      </c>
      <c r="D588" s="85" t="s">
        <v>856</v>
      </c>
      <c r="F588" s="91">
        <v>39055</v>
      </c>
      <c r="G588">
        <v>412.6</v>
      </c>
      <c r="H588">
        <v>418.94</v>
      </c>
      <c r="I588" s="94">
        <v>412.42</v>
      </c>
      <c r="J588" s="94">
        <v>381.92</v>
      </c>
      <c r="K588" s="94">
        <v>450.81</v>
      </c>
      <c r="L588" s="94">
        <v>428.05</v>
      </c>
      <c r="M588" s="94">
        <v>381.16</v>
      </c>
      <c r="N588" s="94">
        <v>442.49</v>
      </c>
      <c r="O588" s="94">
        <v>423.15</v>
      </c>
      <c r="P588" s="94">
        <v>408.56</v>
      </c>
      <c r="Q588" s="94">
        <v>452.02</v>
      </c>
      <c r="R588" s="94">
        <v>472</v>
      </c>
      <c r="S588" s="94">
        <v>418.76</v>
      </c>
      <c r="T588" s="94">
        <v>382.82</v>
      </c>
      <c r="U588" s="94">
        <v>384.7</v>
      </c>
    </row>
    <row r="589" spans="1:21">
      <c r="A589" s="91">
        <v>39048</v>
      </c>
      <c r="B589" s="86">
        <v>39048</v>
      </c>
      <c r="C589" s="93">
        <v>1.4755791648221899</v>
      </c>
      <c r="D589" s="85" t="s">
        <v>967</v>
      </c>
      <c r="F589" s="91">
        <v>39048</v>
      </c>
      <c r="G589">
        <v>415.1</v>
      </c>
      <c r="H589">
        <v>411.48</v>
      </c>
      <c r="I589" s="94">
        <v>415</v>
      </c>
      <c r="J589" s="94">
        <v>361.7</v>
      </c>
      <c r="K589" s="94">
        <v>425.22</v>
      </c>
      <c r="L589" s="94">
        <v>418.68</v>
      </c>
      <c r="M589" s="94">
        <v>379.02</v>
      </c>
      <c r="N589" s="94">
        <v>443.48</v>
      </c>
      <c r="O589" s="94">
        <v>420.24</v>
      </c>
      <c r="P589" s="94">
        <v>408.56</v>
      </c>
      <c r="Q589" s="94">
        <v>451.74</v>
      </c>
      <c r="R589" s="94">
        <v>458</v>
      </c>
      <c r="S589" s="94">
        <v>417.73</v>
      </c>
      <c r="T589" s="94">
        <v>382.42</v>
      </c>
      <c r="U589" s="94">
        <v>378.34</v>
      </c>
    </row>
    <row r="590" spans="1:21">
      <c r="A590" s="91">
        <v>39041</v>
      </c>
      <c r="B590" s="86">
        <v>39041</v>
      </c>
      <c r="C590" s="93">
        <v>1.47754137115839</v>
      </c>
      <c r="D590" s="85" t="s">
        <v>968</v>
      </c>
      <c r="F590" s="91">
        <v>39041</v>
      </c>
      <c r="G590">
        <v>416.76</v>
      </c>
      <c r="H590">
        <v>393.16</v>
      </c>
      <c r="I590" s="94">
        <v>416.96</v>
      </c>
      <c r="J590" s="94">
        <v>382.78</v>
      </c>
      <c r="K590" s="94">
        <v>435.79</v>
      </c>
      <c r="L590" s="94">
        <v>427.22</v>
      </c>
      <c r="M590" s="94">
        <v>378.95</v>
      </c>
      <c r="N590" s="94">
        <v>444.33</v>
      </c>
      <c r="O590" s="94">
        <v>424.56</v>
      </c>
      <c r="P590" s="94">
        <v>408.56</v>
      </c>
      <c r="Q590" s="94">
        <v>451.65</v>
      </c>
      <c r="R590" s="94">
        <v>456</v>
      </c>
      <c r="S590" s="94">
        <v>416.86</v>
      </c>
      <c r="T590" s="94">
        <v>371.93</v>
      </c>
      <c r="U590" s="94">
        <v>378.65</v>
      </c>
    </row>
    <row r="591" spans="1:21">
      <c r="A591" s="91">
        <v>39034</v>
      </c>
      <c r="B591" s="86">
        <v>39034</v>
      </c>
      <c r="C591" s="93">
        <v>1.48434021077631</v>
      </c>
      <c r="D591" s="85" t="s">
        <v>969</v>
      </c>
      <c r="F591" s="91">
        <v>39034</v>
      </c>
      <c r="G591">
        <v>420.93</v>
      </c>
      <c r="H591">
        <v>356.57</v>
      </c>
      <c r="I591" s="94">
        <v>420.63</v>
      </c>
      <c r="J591" s="94">
        <v>377.61</v>
      </c>
      <c r="K591" s="94">
        <v>435.8</v>
      </c>
      <c r="L591" s="94">
        <v>428.73</v>
      </c>
      <c r="M591" s="94">
        <v>376.42</v>
      </c>
      <c r="N591" s="94">
        <v>440.87</v>
      </c>
      <c r="O591" s="94">
        <v>421.41</v>
      </c>
      <c r="P591" s="94">
        <v>432.53</v>
      </c>
      <c r="Q591" s="94">
        <v>452.61</v>
      </c>
      <c r="R591" s="94">
        <v>460</v>
      </c>
      <c r="S591" s="94">
        <v>416.36</v>
      </c>
      <c r="T591" s="94">
        <v>371.47</v>
      </c>
      <c r="U591" s="94">
        <v>380.82</v>
      </c>
    </row>
    <row r="592" spans="1:21">
      <c r="A592" s="91">
        <v>39027</v>
      </c>
      <c r="B592" s="86">
        <v>39027</v>
      </c>
      <c r="C592" s="93">
        <v>1.49298297999403</v>
      </c>
      <c r="D592" s="85" t="s">
        <v>500</v>
      </c>
      <c r="F592" s="91">
        <v>39027</v>
      </c>
      <c r="G592">
        <v>423.43</v>
      </c>
      <c r="H592">
        <v>393.87</v>
      </c>
      <c r="I592" s="94">
        <v>427.37</v>
      </c>
      <c r="J592" s="94">
        <v>356.49</v>
      </c>
      <c r="K592" s="94">
        <v>396.15</v>
      </c>
      <c r="L592" s="94">
        <v>412.19</v>
      </c>
      <c r="M592" s="94">
        <v>374.64</v>
      </c>
      <c r="N592" s="94">
        <v>443.63</v>
      </c>
      <c r="O592" s="94">
        <v>428.62</v>
      </c>
      <c r="P592" s="94">
        <v>432.53</v>
      </c>
      <c r="Q592" s="94">
        <v>452.69</v>
      </c>
      <c r="R592" s="94">
        <v>448.55</v>
      </c>
      <c r="S592" s="94">
        <v>411.98</v>
      </c>
      <c r="T592" s="94">
        <v>360.58</v>
      </c>
      <c r="U592" s="94">
        <v>383.68</v>
      </c>
    </row>
    <row r="593" spans="1:21">
      <c r="A593" s="91">
        <v>39020</v>
      </c>
      <c r="B593" s="86">
        <v>39020</v>
      </c>
      <c r="C593" s="93">
        <v>1.4970059880239499</v>
      </c>
      <c r="D593" s="85" t="s">
        <v>970</v>
      </c>
      <c r="F593" s="91">
        <v>39020</v>
      </c>
      <c r="G593">
        <v>423.43</v>
      </c>
      <c r="H593">
        <v>408.97</v>
      </c>
      <c r="I593" s="94">
        <v>424.3</v>
      </c>
      <c r="J593" s="94">
        <v>368.13</v>
      </c>
      <c r="K593" s="94">
        <v>417.75</v>
      </c>
      <c r="L593" s="94">
        <v>428.46</v>
      </c>
      <c r="M593" s="94">
        <v>375.11</v>
      </c>
      <c r="N593" s="94">
        <v>438.31</v>
      </c>
      <c r="O593" s="94">
        <v>422.9</v>
      </c>
      <c r="P593" s="94">
        <v>432.53</v>
      </c>
      <c r="Q593" s="94">
        <v>452.49</v>
      </c>
      <c r="R593" s="94">
        <v>461</v>
      </c>
      <c r="S593" s="94">
        <v>420.43</v>
      </c>
      <c r="T593" s="94">
        <v>375.57</v>
      </c>
      <c r="U593" s="94">
        <v>385.52</v>
      </c>
    </row>
    <row r="594" spans="1:21">
      <c r="A594" s="91">
        <v>39013</v>
      </c>
      <c r="B594" s="86">
        <v>39013</v>
      </c>
      <c r="C594" s="93">
        <v>1.4912019087384401</v>
      </c>
      <c r="D594" s="85" t="s">
        <v>971</v>
      </c>
      <c r="F594" s="91">
        <v>39013</v>
      </c>
      <c r="G594">
        <v>432.6</v>
      </c>
      <c r="H594">
        <v>409.66</v>
      </c>
      <c r="I594" s="94">
        <v>428.72</v>
      </c>
      <c r="J594" s="94">
        <v>379.34</v>
      </c>
      <c r="K594" s="94">
        <v>402.64</v>
      </c>
      <c r="L594" s="94">
        <v>419.5</v>
      </c>
      <c r="M594" s="94">
        <v>379.77</v>
      </c>
      <c r="N594" s="94">
        <v>438.52</v>
      </c>
      <c r="O594" s="94">
        <v>430.99</v>
      </c>
      <c r="P594" s="94">
        <v>432.53</v>
      </c>
      <c r="Q594" s="94">
        <v>452.49</v>
      </c>
      <c r="R594" s="94">
        <v>459</v>
      </c>
      <c r="S594" s="94">
        <v>420.66</v>
      </c>
      <c r="T594" s="94">
        <v>366.99</v>
      </c>
      <c r="U594" s="94">
        <v>385.72</v>
      </c>
    </row>
    <row r="595" spans="1:21">
      <c r="A595" s="91">
        <v>39006</v>
      </c>
      <c r="B595" s="86">
        <v>39006</v>
      </c>
      <c r="C595" s="93">
        <v>1.4865467518953499</v>
      </c>
      <c r="D595" s="85" t="s">
        <v>972</v>
      </c>
      <c r="F595" s="91">
        <v>39006</v>
      </c>
      <c r="G595">
        <v>432.6</v>
      </c>
      <c r="H595">
        <v>387.76</v>
      </c>
      <c r="I595" s="94">
        <v>437.01</v>
      </c>
      <c r="J595" s="94">
        <v>393.78</v>
      </c>
      <c r="K595" s="94">
        <v>396.22</v>
      </c>
      <c r="L595" s="94">
        <v>436.2</v>
      </c>
      <c r="M595" s="94">
        <v>378.7</v>
      </c>
      <c r="N595" s="94">
        <v>439.37</v>
      </c>
      <c r="O595" s="94">
        <v>433.27</v>
      </c>
      <c r="P595" s="94">
        <v>500.3</v>
      </c>
      <c r="Q595" s="94">
        <v>452.49</v>
      </c>
      <c r="R595" s="94">
        <v>456</v>
      </c>
      <c r="S595" s="94">
        <v>425.89</v>
      </c>
      <c r="T595" s="94">
        <v>374.12</v>
      </c>
      <c r="U595" s="94">
        <v>386.72</v>
      </c>
    </row>
    <row r="596" spans="1:21">
      <c r="A596" s="91">
        <v>38999</v>
      </c>
      <c r="B596" s="86">
        <v>38999</v>
      </c>
      <c r="C596" s="93">
        <v>1.4801657785672</v>
      </c>
      <c r="D596" s="85" t="s">
        <v>973</v>
      </c>
      <c r="F596" s="91">
        <v>38999</v>
      </c>
      <c r="G596">
        <v>431.76</v>
      </c>
      <c r="H596">
        <v>400.57</v>
      </c>
      <c r="I596" s="94">
        <v>448.26</v>
      </c>
      <c r="J596" s="94">
        <v>389.03</v>
      </c>
      <c r="K596" s="94">
        <v>406.89</v>
      </c>
      <c r="L596" s="94">
        <v>438.68</v>
      </c>
      <c r="M596" s="94">
        <v>382.13</v>
      </c>
      <c r="N596" s="94">
        <v>442.86</v>
      </c>
      <c r="O596" s="94">
        <v>431.65</v>
      </c>
      <c r="P596" s="94">
        <v>500.3</v>
      </c>
      <c r="Q596" s="94">
        <v>452.69</v>
      </c>
      <c r="R596" s="94">
        <v>454</v>
      </c>
      <c r="S596" s="94">
        <v>428.14</v>
      </c>
      <c r="T596" s="94">
        <v>372.63</v>
      </c>
      <c r="U596" s="94">
        <v>393.72</v>
      </c>
    </row>
    <row r="597" spans="1:21">
      <c r="A597" s="91">
        <v>38992</v>
      </c>
      <c r="B597" s="86">
        <v>38992</v>
      </c>
      <c r="C597" s="93">
        <v>1.4751438265230898</v>
      </c>
      <c r="D597" s="85" t="s">
        <v>974</v>
      </c>
      <c r="F597" s="91">
        <v>38992</v>
      </c>
      <c r="G597">
        <v>431.76</v>
      </c>
      <c r="H597">
        <v>403.4</v>
      </c>
      <c r="I597" s="94">
        <v>462.07</v>
      </c>
      <c r="J597" s="94">
        <v>393.78</v>
      </c>
      <c r="K597" s="94">
        <v>417.58</v>
      </c>
      <c r="L597" s="94">
        <v>453.29</v>
      </c>
      <c r="M597" s="94">
        <v>386.59</v>
      </c>
      <c r="N597" s="94">
        <v>445.96</v>
      </c>
      <c r="O597" s="94">
        <v>426.63</v>
      </c>
      <c r="P597" s="94">
        <v>500.3</v>
      </c>
      <c r="Q597" s="94">
        <v>461.13</v>
      </c>
      <c r="R597" s="94">
        <v>464.51</v>
      </c>
      <c r="S597" s="94">
        <v>434.16</v>
      </c>
      <c r="T597" s="94">
        <v>379.14</v>
      </c>
      <c r="U597" s="94">
        <v>396.77</v>
      </c>
    </row>
    <row r="598" spans="1:21">
      <c r="A598" s="91">
        <v>38985</v>
      </c>
      <c r="B598" s="86">
        <v>38985</v>
      </c>
      <c r="C598" s="93">
        <v>1.48986889153754</v>
      </c>
      <c r="D598" s="85" t="s">
        <v>388</v>
      </c>
      <c r="F598" s="91">
        <v>38985</v>
      </c>
      <c r="G598">
        <v>447.6</v>
      </c>
      <c r="H598">
        <v>449.96</v>
      </c>
      <c r="I598" s="94">
        <v>470.07</v>
      </c>
      <c r="J598" s="94">
        <v>389.3</v>
      </c>
      <c r="K598" s="94">
        <v>431.4</v>
      </c>
      <c r="L598" s="94">
        <v>447.37</v>
      </c>
      <c r="M598" s="94">
        <v>390.57</v>
      </c>
      <c r="N598" s="94">
        <v>456.09</v>
      </c>
      <c r="O598" s="94">
        <v>438.89</v>
      </c>
      <c r="P598" s="94">
        <v>500.3</v>
      </c>
      <c r="Q598" s="94">
        <v>462.27</v>
      </c>
      <c r="R598" s="94">
        <v>460</v>
      </c>
      <c r="S598" s="94">
        <v>448.72</v>
      </c>
      <c r="T598" s="94">
        <v>380.35</v>
      </c>
      <c r="U598" s="94">
        <v>416.64</v>
      </c>
    </row>
    <row r="599" spans="1:21">
      <c r="A599" s="91">
        <v>38978</v>
      </c>
      <c r="B599" s="86">
        <v>38978</v>
      </c>
      <c r="C599" s="93">
        <v>1.4819205690574999</v>
      </c>
      <c r="D599" s="85" t="s">
        <v>498</v>
      </c>
      <c r="F599" s="91">
        <v>38978</v>
      </c>
      <c r="G599">
        <v>472.6</v>
      </c>
      <c r="H599">
        <v>460.7</v>
      </c>
      <c r="I599" s="94">
        <v>487.96</v>
      </c>
      <c r="J599" s="94">
        <v>424.2</v>
      </c>
      <c r="K599" s="94">
        <v>437.76</v>
      </c>
      <c r="L599" s="94">
        <v>478.37</v>
      </c>
      <c r="M599" s="94">
        <v>404.53</v>
      </c>
      <c r="N599" s="94">
        <v>470.26</v>
      </c>
      <c r="O599" s="94">
        <v>464.37</v>
      </c>
      <c r="P599" s="94">
        <v>556.49</v>
      </c>
      <c r="Q599" s="94">
        <v>478.97</v>
      </c>
      <c r="R599" s="94">
        <v>468</v>
      </c>
      <c r="S599" s="94">
        <v>460.29</v>
      </c>
      <c r="T599" s="94">
        <v>384.87</v>
      </c>
      <c r="U599" s="94">
        <v>434.29</v>
      </c>
    </row>
    <row r="600" spans="1:21">
      <c r="A600" s="91">
        <v>38971</v>
      </c>
      <c r="B600" s="86">
        <v>38971</v>
      </c>
      <c r="C600" s="93">
        <v>1.46713615023474</v>
      </c>
      <c r="D600" s="85" t="s">
        <v>451</v>
      </c>
      <c r="F600" s="91">
        <v>38971</v>
      </c>
      <c r="G600">
        <v>500.1</v>
      </c>
      <c r="H600">
        <v>461.37</v>
      </c>
      <c r="I600" s="94">
        <v>501.61</v>
      </c>
      <c r="J600" s="94">
        <v>428.47</v>
      </c>
      <c r="K600" s="94">
        <v>459.18</v>
      </c>
      <c r="L600" s="94">
        <v>497.12</v>
      </c>
      <c r="M600" s="94">
        <v>429.67</v>
      </c>
      <c r="N600" s="94">
        <v>498.48</v>
      </c>
      <c r="O600" s="94">
        <v>475.87</v>
      </c>
      <c r="P600" s="94">
        <v>556.49</v>
      </c>
      <c r="Q600" s="94">
        <v>495.45</v>
      </c>
      <c r="R600" s="94">
        <v>484</v>
      </c>
      <c r="S600" s="94">
        <v>477.32</v>
      </c>
      <c r="T600" s="94">
        <v>414.52</v>
      </c>
      <c r="U600" s="94">
        <v>451.24</v>
      </c>
    </row>
    <row r="601" spans="1:21">
      <c r="A601" s="91">
        <v>38964</v>
      </c>
      <c r="B601" s="86">
        <v>38964</v>
      </c>
      <c r="C601" s="93">
        <v>1.48203038162282</v>
      </c>
      <c r="D601" s="85" t="s">
        <v>975</v>
      </c>
      <c r="F601" s="91">
        <v>38964</v>
      </c>
      <c r="G601">
        <v>520.92999999999995</v>
      </c>
      <c r="H601">
        <v>484.2</v>
      </c>
      <c r="I601" s="94">
        <v>516.23</v>
      </c>
      <c r="J601" s="94">
        <v>470.28</v>
      </c>
      <c r="K601" s="94">
        <v>480.66</v>
      </c>
      <c r="L601" s="94">
        <v>511.18</v>
      </c>
      <c r="M601" s="94">
        <v>456.39</v>
      </c>
      <c r="N601" s="94">
        <v>526.75</v>
      </c>
      <c r="O601" s="94">
        <v>499.68</v>
      </c>
      <c r="P601" s="94">
        <v>556.49</v>
      </c>
      <c r="Q601" s="94">
        <v>513.76</v>
      </c>
      <c r="R601" s="94">
        <v>494.76</v>
      </c>
      <c r="S601" s="94">
        <v>507.55</v>
      </c>
      <c r="T601" s="94">
        <v>420.92</v>
      </c>
      <c r="U601" s="94">
        <v>473.47</v>
      </c>
    </row>
    <row r="602" spans="1:21">
      <c r="A602" s="91">
        <v>38957</v>
      </c>
      <c r="B602" s="86">
        <v>38957</v>
      </c>
      <c r="C602" s="93">
        <v>1.4803849000740199</v>
      </c>
      <c r="D602" s="85" t="s">
        <v>942</v>
      </c>
      <c r="F602" s="91">
        <v>38957</v>
      </c>
      <c r="G602">
        <v>537.6</v>
      </c>
      <c r="H602">
        <v>517.15</v>
      </c>
      <c r="I602" s="94">
        <v>523.20000000000005</v>
      </c>
      <c r="J602" s="94">
        <v>483.65</v>
      </c>
      <c r="K602" s="94">
        <v>495.68</v>
      </c>
      <c r="L602" s="94">
        <v>466.44</v>
      </c>
      <c r="M602" s="94">
        <v>473.56</v>
      </c>
      <c r="N602" s="94">
        <v>553.08000000000004</v>
      </c>
      <c r="O602" s="94">
        <v>510.04</v>
      </c>
      <c r="P602" s="94">
        <v>556.49</v>
      </c>
      <c r="Q602" s="94">
        <v>544.29</v>
      </c>
      <c r="R602" s="94">
        <v>537.62</v>
      </c>
      <c r="S602" s="94">
        <v>522.07000000000005</v>
      </c>
      <c r="T602" s="94">
        <v>450.12</v>
      </c>
      <c r="U602" s="94">
        <v>492.1</v>
      </c>
    </row>
    <row r="603" spans="1:21">
      <c r="A603" s="91">
        <v>38950</v>
      </c>
      <c r="B603" s="86">
        <v>38950</v>
      </c>
      <c r="C603" s="93">
        <v>1.4688601645123398</v>
      </c>
      <c r="D603" s="85" t="s">
        <v>463</v>
      </c>
      <c r="F603" s="91">
        <v>38950</v>
      </c>
      <c r="G603">
        <v>551.76</v>
      </c>
      <c r="H603">
        <v>531.66</v>
      </c>
      <c r="I603" s="94">
        <v>528.16999999999996</v>
      </c>
      <c r="J603" s="94">
        <v>500</v>
      </c>
      <c r="K603" s="94">
        <v>506.35</v>
      </c>
      <c r="L603" s="94">
        <v>478.57</v>
      </c>
      <c r="M603" s="94">
        <v>499.18</v>
      </c>
      <c r="N603" s="94">
        <v>586.35</v>
      </c>
      <c r="O603" s="94">
        <v>523.15</v>
      </c>
      <c r="P603" s="94">
        <v>556.49</v>
      </c>
      <c r="Q603" s="94">
        <v>571.05999999999995</v>
      </c>
      <c r="R603" s="94">
        <v>555</v>
      </c>
      <c r="S603" s="94">
        <v>545.71</v>
      </c>
      <c r="T603" s="94">
        <v>469.3</v>
      </c>
      <c r="U603" s="94">
        <v>505.05</v>
      </c>
    </row>
    <row r="604" spans="1:21">
      <c r="A604" s="91">
        <v>38943</v>
      </c>
      <c r="B604" s="86">
        <v>38943</v>
      </c>
      <c r="C604" s="93">
        <v>1.4829094683769599</v>
      </c>
      <c r="D604" s="85" t="s">
        <v>976</v>
      </c>
      <c r="F604" s="91">
        <v>38943</v>
      </c>
      <c r="G604">
        <v>570.1</v>
      </c>
      <c r="H604">
        <v>551.91999999999996</v>
      </c>
      <c r="I604" s="94">
        <v>529.14</v>
      </c>
      <c r="J604" s="94">
        <v>536.9</v>
      </c>
      <c r="K604" s="94">
        <v>532.11</v>
      </c>
      <c r="L604" s="94">
        <v>500.22</v>
      </c>
      <c r="M604" s="94">
        <v>520.14</v>
      </c>
      <c r="N604" s="94">
        <v>603.5</v>
      </c>
      <c r="O604" s="94">
        <v>549.44000000000005</v>
      </c>
      <c r="P604" s="94">
        <v>533.35</v>
      </c>
      <c r="Q604" s="94">
        <v>593.9</v>
      </c>
      <c r="R604" s="94">
        <v>578.79999999999995</v>
      </c>
      <c r="S604" s="94">
        <v>565.01</v>
      </c>
      <c r="T604" s="94">
        <v>504.54</v>
      </c>
      <c r="U604" s="94">
        <v>536.04999999999995</v>
      </c>
    </row>
    <row r="605" spans="1:21">
      <c r="A605" s="91">
        <v>38936</v>
      </c>
      <c r="B605" s="86">
        <v>38936</v>
      </c>
      <c r="C605" s="93">
        <v>1.4836795252225499</v>
      </c>
      <c r="D605" s="85" t="s">
        <v>977</v>
      </c>
      <c r="F605" s="91">
        <v>38936</v>
      </c>
      <c r="G605">
        <v>570.92999999999995</v>
      </c>
      <c r="H605">
        <v>551.91999999999996</v>
      </c>
      <c r="I605" s="94">
        <v>526.97</v>
      </c>
      <c r="J605" s="94">
        <v>540.33000000000004</v>
      </c>
      <c r="K605" s="94">
        <v>563.16999999999996</v>
      </c>
      <c r="L605" s="94">
        <v>535.51</v>
      </c>
      <c r="M605" s="94">
        <v>529.70000000000005</v>
      </c>
      <c r="N605" s="94">
        <v>602.95000000000005</v>
      </c>
      <c r="O605" s="94">
        <v>557.27</v>
      </c>
      <c r="P605" s="94">
        <v>533.35</v>
      </c>
      <c r="Q605" s="94">
        <v>593.15</v>
      </c>
      <c r="R605" s="94">
        <v>610.73</v>
      </c>
      <c r="S605" s="94">
        <v>572.37</v>
      </c>
      <c r="T605" s="94">
        <v>540.23</v>
      </c>
      <c r="U605" s="94">
        <v>539.29</v>
      </c>
    </row>
    <row r="606" spans="1:21">
      <c r="A606" s="91">
        <v>38929</v>
      </c>
      <c r="B606" s="86">
        <v>38929</v>
      </c>
      <c r="C606" s="93">
        <v>1.46134736226801</v>
      </c>
      <c r="D606" s="85" t="s">
        <v>978</v>
      </c>
      <c r="F606" s="91">
        <v>38929</v>
      </c>
      <c r="G606">
        <v>554.26</v>
      </c>
      <c r="H606">
        <v>566.6</v>
      </c>
      <c r="I606" s="94">
        <v>522.67999999999995</v>
      </c>
      <c r="J606" s="94">
        <v>548.1</v>
      </c>
      <c r="K606" s="94">
        <v>567.41999999999996</v>
      </c>
      <c r="L606" s="94">
        <v>540.20000000000005</v>
      </c>
      <c r="M606" s="94">
        <v>524.83000000000004</v>
      </c>
      <c r="N606" s="94">
        <v>605.51</v>
      </c>
      <c r="O606" s="94">
        <v>553.79999999999995</v>
      </c>
      <c r="P606" s="94">
        <v>533.35</v>
      </c>
      <c r="Q606" s="94">
        <v>591.97</v>
      </c>
      <c r="R606" s="94">
        <v>617.45000000000005</v>
      </c>
      <c r="S606" s="94">
        <v>573.54999999999995</v>
      </c>
      <c r="T606" s="94">
        <v>537.41999999999996</v>
      </c>
      <c r="U606" s="94">
        <v>528.41</v>
      </c>
    </row>
    <row r="607" spans="1:21">
      <c r="A607" s="91">
        <v>38922</v>
      </c>
      <c r="B607" s="86">
        <v>38922</v>
      </c>
      <c r="C607" s="93">
        <v>1.46713615023474</v>
      </c>
      <c r="D607" s="85" t="s">
        <v>488</v>
      </c>
      <c r="F607" s="91">
        <v>38922</v>
      </c>
      <c r="G607">
        <v>551.76</v>
      </c>
      <c r="H607">
        <v>591.61</v>
      </c>
      <c r="I607" s="94">
        <v>526.29</v>
      </c>
      <c r="J607" s="94">
        <v>555.6</v>
      </c>
      <c r="K607" s="94">
        <v>563.24</v>
      </c>
      <c r="L607" s="94">
        <v>547.37</v>
      </c>
      <c r="M607" s="94">
        <v>531.80999999999995</v>
      </c>
      <c r="N607" s="94">
        <v>607.21</v>
      </c>
      <c r="O607" s="94">
        <v>546.37</v>
      </c>
      <c r="P607" s="94">
        <v>533.35</v>
      </c>
      <c r="Q607" s="94">
        <v>592.17999999999995</v>
      </c>
      <c r="R607" s="94">
        <v>611</v>
      </c>
      <c r="S607" s="94">
        <v>571.33000000000004</v>
      </c>
      <c r="T607" s="94">
        <v>548.84</v>
      </c>
      <c r="U607" s="94">
        <v>529.94000000000005</v>
      </c>
    </row>
    <row r="608" spans="1:21">
      <c r="A608" s="91">
        <v>38915</v>
      </c>
      <c r="B608" s="86">
        <v>38915</v>
      </c>
      <c r="C608" s="93">
        <v>1.4526438117373599</v>
      </c>
      <c r="D608" s="85" t="s">
        <v>443</v>
      </c>
      <c r="F608" s="91">
        <v>38915</v>
      </c>
      <c r="G608">
        <v>537.6</v>
      </c>
      <c r="H608">
        <v>575.64</v>
      </c>
      <c r="I608" s="94">
        <v>519.72</v>
      </c>
      <c r="J608" s="94">
        <v>531.1</v>
      </c>
      <c r="K608" s="94">
        <v>574.09</v>
      </c>
      <c r="L608" s="94">
        <v>560.04999999999995</v>
      </c>
      <c r="M608" s="94">
        <v>517.1</v>
      </c>
      <c r="N608" s="94">
        <v>586.16</v>
      </c>
      <c r="O608" s="94">
        <v>537.79</v>
      </c>
      <c r="P608" s="94">
        <v>520.96</v>
      </c>
      <c r="Q608" s="94">
        <v>590.23</v>
      </c>
      <c r="R608" s="94">
        <v>625</v>
      </c>
      <c r="S608" s="94">
        <v>567.23</v>
      </c>
      <c r="T608" s="94">
        <v>550.21</v>
      </c>
      <c r="U608" s="94">
        <v>513.54999999999995</v>
      </c>
    </row>
    <row r="609" spans="1:21">
      <c r="A609" s="91">
        <v>38908</v>
      </c>
      <c r="B609" s="86">
        <v>38908</v>
      </c>
      <c r="C609" s="93">
        <v>1.4449822989668399</v>
      </c>
      <c r="D609" s="85" t="s">
        <v>979</v>
      </c>
      <c r="F609" s="91">
        <v>38908</v>
      </c>
      <c r="G609">
        <v>530.1</v>
      </c>
      <c r="H609">
        <v>565.91</v>
      </c>
      <c r="I609" s="94">
        <v>521.27</v>
      </c>
      <c r="J609" s="94">
        <v>518.79999999999995</v>
      </c>
      <c r="K609" s="94">
        <v>561.19000000000005</v>
      </c>
      <c r="L609" s="94">
        <v>520.04999999999995</v>
      </c>
      <c r="M609" s="94">
        <v>509.58</v>
      </c>
      <c r="N609" s="94">
        <v>598.63</v>
      </c>
      <c r="O609" s="94">
        <v>528.21</v>
      </c>
      <c r="P609" s="94">
        <v>520.96</v>
      </c>
      <c r="Q609" s="94">
        <v>575.26</v>
      </c>
      <c r="R609" s="94">
        <v>604.85</v>
      </c>
      <c r="S609" s="94">
        <v>549.66</v>
      </c>
      <c r="T609" s="94">
        <v>545.38</v>
      </c>
      <c r="U609" s="94">
        <v>496.24</v>
      </c>
    </row>
    <row r="610" spans="1:21">
      <c r="A610" s="91">
        <v>38901</v>
      </c>
      <c r="B610" s="86">
        <v>38901</v>
      </c>
      <c r="C610" s="93">
        <v>1.4423770373575699</v>
      </c>
      <c r="D610" s="85" t="s">
        <v>396</v>
      </c>
      <c r="F610" s="91">
        <v>38901</v>
      </c>
      <c r="G610">
        <v>533.42999999999995</v>
      </c>
      <c r="H610">
        <v>552.33000000000004</v>
      </c>
      <c r="I610" s="94">
        <v>499.79</v>
      </c>
      <c r="J610" s="94">
        <v>519.6</v>
      </c>
      <c r="K610" s="94">
        <v>556.86</v>
      </c>
      <c r="L610" s="94">
        <v>520.87</v>
      </c>
      <c r="M610" s="94">
        <v>501.27</v>
      </c>
      <c r="N610" s="94">
        <v>549.53</v>
      </c>
      <c r="O610" s="94">
        <v>501.79</v>
      </c>
      <c r="P610" s="94">
        <v>520.96</v>
      </c>
      <c r="Q610" s="94">
        <v>564.41</v>
      </c>
      <c r="R610" s="94">
        <v>590.55999999999995</v>
      </c>
      <c r="S610" s="94">
        <v>541.69000000000005</v>
      </c>
      <c r="T610" s="94">
        <v>525.36</v>
      </c>
      <c r="U610" s="94">
        <v>490.1</v>
      </c>
    </row>
    <row r="611" spans="1:21">
      <c r="A611" s="91">
        <v>38894</v>
      </c>
      <c r="B611" s="86">
        <v>38894</v>
      </c>
      <c r="C611" s="93">
        <v>1.4490653528474098</v>
      </c>
      <c r="D611" s="85" t="s">
        <v>980</v>
      </c>
      <c r="F611" s="91">
        <v>38894</v>
      </c>
      <c r="G611">
        <v>519.26</v>
      </c>
      <c r="H611">
        <v>528.97</v>
      </c>
      <c r="I611" s="94">
        <v>499.74</v>
      </c>
      <c r="J611" s="94">
        <v>499.6</v>
      </c>
      <c r="K611" s="94">
        <v>549.61</v>
      </c>
      <c r="L611" s="94">
        <v>489.44</v>
      </c>
      <c r="M611" s="94">
        <v>484.97</v>
      </c>
      <c r="N611" s="94">
        <v>551.65</v>
      </c>
      <c r="O611" s="94">
        <v>491.58</v>
      </c>
      <c r="P611" s="94">
        <v>520.96</v>
      </c>
      <c r="Q611" s="94">
        <v>549.92999999999995</v>
      </c>
      <c r="R611" s="94">
        <v>590</v>
      </c>
      <c r="S611" s="94">
        <v>528.41999999999996</v>
      </c>
      <c r="T611" s="94">
        <v>494.89</v>
      </c>
      <c r="U611" s="94">
        <v>488.73</v>
      </c>
    </row>
    <row r="612" spans="1:21">
      <c r="A612" s="91">
        <v>38887</v>
      </c>
      <c r="B612" s="86">
        <v>38887</v>
      </c>
      <c r="C612" s="93">
        <v>1.46681334800147</v>
      </c>
      <c r="D612" s="85" t="s">
        <v>981</v>
      </c>
      <c r="F612" s="91">
        <v>38887</v>
      </c>
      <c r="G612">
        <v>527.6</v>
      </c>
      <c r="H612">
        <v>529.96</v>
      </c>
      <c r="I612" s="94">
        <v>501</v>
      </c>
      <c r="J612" s="94">
        <v>492.05</v>
      </c>
      <c r="K612" s="94">
        <v>543.28</v>
      </c>
      <c r="L612" s="94">
        <v>504.74</v>
      </c>
      <c r="M612" s="94">
        <v>491.88</v>
      </c>
      <c r="N612" s="94">
        <v>558.77</v>
      </c>
      <c r="O612" s="94">
        <v>499.65</v>
      </c>
      <c r="P612" s="94">
        <v>517.65</v>
      </c>
      <c r="Q612" s="94">
        <v>549.92999999999995</v>
      </c>
      <c r="R612" s="94">
        <v>571</v>
      </c>
      <c r="S612" s="94">
        <v>535.52</v>
      </c>
      <c r="T612" s="94">
        <v>491.55</v>
      </c>
      <c r="U612" s="94">
        <v>500.59</v>
      </c>
    </row>
    <row r="613" spans="1:21">
      <c r="A613" s="91">
        <v>38880</v>
      </c>
      <c r="B613" s="86">
        <v>38880</v>
      </c>
      <c r="C613" s="93">
        <v>1.4654161781946098</v>
      </c>
      <c r="D613" s="85" t="s">
        <v>982</v>
      </c>
      <c r="F613" s="91">
        <v>38880</v>
      </c>
      <c r="G613">
        <v>532.6</v>
      </c>
      <c r="H613">
        <v>552.74</v>
      </c>
      <c r="I613" s="94">
        <v>501.84</v>
      </c>
      <c r="J613" s="94">
        <v>511.85</v>
      </c>
      <c r="K613" s="94">
        <v>538.95000000000005</v>
      </c>
      <c r="L613" s="94">
        <v>548.07000000000005</v>
      </c>
      <c r="M613" s="94">
        <v>494.8</v>
      </c>
      <c r="N613" s="94">
        <v>558.59</v>
      </c>
      <c r="O613" s="94">
        <v>513.30999999999995</v>
      </c>
      <c r="P613" s="94">
        <v>521.78</v>
      </c>
      <c r="Q613" s="94">
        <v>549.92999999999995</v>
      </c>
      <c r="R613" s="94">
        <v>591.4</v>
      </c>
      <c r="S613" s="94">
        <v>532.29999999999995</v>
      </c>
      <c r="T613" s="94">
        <v>512.80999999999995</v>
      </c>
      <c r="U613" s="94">
        <v>500.77</v>
      </c>
    </row>
    <row r="614" spans="1:21">
      <c r="A614" s="91">
        <v>38873</v>
      </c>
      <c r="B614" s="86">
        <v>38873</v>
      </c>
      <c r="C614" s="93">
        <v>1.4526438117373599</v>
      </c>
      <c r="D614" s="85" t="s">
        <v>983</v>
      </c>
      <c r="F614" s="91">
        <v>38873</v>
      </c>
      <c r="G614">
        <v>523.42999999999995</v>
      </c>
      <c r="H614">
        <v>491.34</v>
      </c>
      <c r="I614" s="94">
        <v>494.11</v>
      </c>
      <c r="J614" s="94">
        <v>497.44</v>
      </c>
      <c r="K614" s="94">
        <v>549.42999999999995</v>
      </c>
      <c r="L614" s="94">
        <v>501.06</v>
      </c>
      <c r="M614" s="94">
        <v>487.51</v>
      </c>
      <c r="N614" s="94">
        <v>555.15</v>
      </c>
      <c r="O614" s="94">
        <v>504.91</v>
      </c>
      <c r="P614" s="94">
        <v>521.78</v>
      </c>
      <c r="Q614" s="94">
        <v>549.66999999999996</v>
      </c>
      <c r="R614" s="94">
        <v>575</v>
      </c>
      <c r="S614" s="94">
        <v>526.75</v>
      </c>
      <c r="T614" s="94">
        <v>518.21</v>
      </c>
      <c r="U614" s="94">
        <v>493.21</v>
      </c>
    </row>
    <row r="615" spans="1:21">
      <c r="A615" s="91">
        <v>38866</v>
      </c>
      <c r="B615" s="86">
        <v>38866</v>
      </c>
      <c r="C615" s="93">
        <v>1.4587892049598798</v>
      </c>
      <c r="D615" s="85" t="s">
        <v>984</v>
      </c>
      <c r="F615" s="91">
        <v>38866</v>
      </c>
      <c r="G615">
        <v>522.6</v>
      </c>
      <c r="H615">
        <v>491.34</v>
      </c>
      <c r="I615" s="94">
        <v>498.67</v>
      </c>
      <c r="J615" s="94">
        <v>470.5</v>
      </c>
      <c r="K615" s="94">
        <v>528.05999999999995</v>
      </c>
      <c r="L615" s="94">
        <v>538.84</v>
      </c>
      <c r="M615" s="94">
        <v>480.87</v>
      </c>
      <c r="N615" s="94">
        <v>548.57000000000005</v>
      </c>
      <c r="O615" s="94">
        <v>510.31</v>
      </c>
      <c r="P615" s="94">
        <v>521.78</v>
      </c>
      <c r="Q615" s="94">
        <v>549.17999999999995</v>
      </c>
      <c r="R615" s="94">
        <v>566</v>
      </c>
      <c r="S615" s="94">
        <v>532.01</v>
      </c>
      <c r="T615" s="94">
        <v>495.08</v>
      </c>
      <c r="U615" s="94">
        <v>496.88</v>
      </c>
    </row>
    <row r="616" spans="1:21">
      <c r="A616" s="91">
        <v>38859</v>
      </c>
      <c r="B616" s="86">
        <v>38859</v>
      </c>
      <c r="C616" s="93">
        <v>1.46993973247097</v>
      </c>
      <c r="D616" s="85" t="s">
        <v>491</v>
      </c>
      <c r="F616" s="91">
        <v>38859</v>
      </c>
      <c r="G616">
        <v>524.26</v>
      </c>
      <c r="H616">
        <v>530.29</v>
      </c>
      <c r="I616" s="94">
        <v>499.33</v>
      </c>
      <c r="J616" s="94">
        <v>503.26</v>
      </c>
      <c r="K616" s="94">
        <v>521.74</v>
      </c>
      <c r="L616" s="94">
        <v>530.15</v>
      </c>
      <c r="M616" s="94">
        <v>489.86</v>
      </c>
      <c r="N616" s="94">
        <v>564.02</v>
      </c>
      <c r="O616" s="94">
        <v>512.51</v>
      </c>
      <c r="P616" s="94">
        <v>521.78</v>
      </c>
      <c r="Q616" s="94">
        <v>550.45000000000005</v>
      </c>
      <c r="R616" s="94">
        <v>576</v>
      </c>
      <c r="S616" s="94">
        <v>529.79</v>
      </c>
      <c r="T616" s="94">
        <v>483.57</v>
      </c>
      <c r="U616" s="94">
        <v>509.87</v>
      </c>
    </row>
    <row r="617" spans="1:21">
      <c r="A617" s="91">
        <v>38852</v>
      </c>
      <c r="B617" s="86">
        <v>38852</v>
      </c>
      <c r="C617" s="93">
        <v>1.46799765120376</v>
      </c>
      <c r="D617" s="85" t="s">
        <v>985</v>
      </c>
      <c r="F617" s="91">
        <v>38852</v>
      </c>
      <c r="G617">
        <v>527.6</v>
      </c>
      <c r="H617">
        <v>513.07000000000005</v>
      </c>
      <c r="I617" s="94">
        <v>499.01</v>
      </c>
      <c r="J617" s="94">
        <v>499.59</v>
      </c>
      <c r="K617" s="94">
        <v>547.6</v>
      </c>
      <c r="L617" s="94">
        <v>478.9</v>
      </c>
      <c r="M617" s="94">
        <v>501.87</v>
      </c>
      <c r="N617" s="94">
        <v>564.35</v>
      </c>
      <c r="O617" s="94">
        <v>505.21</v>
      </c>
      <c r="P617" s="94">
        <v>487.07</v>
      </c>
      <c r="Q617" s="94">
        <v>556.17999999999995</v>
      </c>
      <c r="R617" s="94">
        <v>571</v>
      </c>
      <c r="S617" s="94">
        <v>539.51</v>
      </c>
      <c r="T617" s="94">
        <v>512.44000000000005</v>
      </c>
      <c r="U617" s="94">
        <v>512.85</v>
      </c>
    </row>
    <row r="618" spans="1:21">
      <c r="A618" s="91">
        <v>38845</v>
      </c>
      <c r="B618" s="86">
        <v>38845</v>
      </c>
      <c r="C618" s="93">
        <v>1.4607069821793699</v>
      </c>
      <c r="D618" s="85" t="s">
        <v>986</v>
      </c>
      <c r="F618" s="91">
        <v>38845</v>
      </c>
      <c r="G618">
        <v>534.26</v>
      </c>
      <c r="H618">
        <v>516.99</v>
      </c>
      <c r="I618" s="94">
        <v>502.82</v>
      </c>
      <c r="J618" s="94">
        <v>515.76</v>
      </c>
      <c r="K618" s="94">
        <v>532.36</v>
      </c>
      <c r="L618" s="94">
        <v>496.55</v>
      </c>
      <c r="M618" s="94">
        <v>510.06</v>
      </c>
      <c r="N618" s="94">
        <v>569.32000000000005</v>
      </c>
      <c r="O618" s="94">
        <v>521.59</v>
      </c>
      <c r="P618" s="94">
        <v>487.07</v>
      </c>
      <c r="Q618" s="94">
        <v>557.07000000000005</v>
      </c>
      <c r="R618" s="94">
        <v>569.54999999999995</v>
      </c>
      <c r="S618" s="94">
        <v>539.1</v>
      </c>
      <c r="T618" s="94">
        <v>507.82</v>
      </c>
      <c r="U618" s="94">
        <v>511.17</v>
      </c>
    </row>
    <row r="619" spans="1:21">
      <c r="A619" s="91">
        <v>38838</v>
      </c>
      <c r="B619" s="86">
        <v>38838</v>
      </c>
      <c r="C619" s="93">
        <v>1.44050705848459</v>
      </c>
      <c r="D619" s="85" t="s">
        <v>410</v>
      </c>
      <c r="F619" s="91">
        <v>38838</v>
      </c>
      <c r="G619">
        <v>525.1</v>
      </c>
      <c r="H619">
        <v>524.48</v>
      </c>
      <c r="I619" s="94">
        <v>500.14</v>
      </c>
      <c r="J619" s="94">
        <v>530.63</v>
      </c>
      <c r="K619" s="94">
        <v>541.76</v>
      </c>
      <c r="L619" s="94">
        <v>502.89</v>
      </c>
      <c r="M619" s="94">
        <v>510.05</v>
      </c>
      <c r="N619" s="94">
        <v>567.74</v>
      </c>
      <c r="O619" s="94">
        <v>501.78</v>
      </c>
      <c r="P619" s="94">
        <v>487.07</v>
      </c>
      <c r="Q619" s="94">
        <v>554.38</v>
      </c>
      <c r="R619" s="94">
        <v>576</v>
      </c>
      <c r="S619" s="94">
        <v>535.91</v>
      </c>
      <c r="T619" s="94">
        <v>525.12</v>
      </c>
      <c r="U619" s="94">
        <v>500.06</v>
      </c>
    </row>
    <row r="620" spans="1:21">
      <c r="A620" s="91">
        <v>38831</v>
      </c>
      <c r="B620" s="86">
        <v>38831</v>
      </c>
      <c r="C620" s="93">
        <v>1.4452955629426201</v>
      </c>
      <c r="D620" s="85" t="s">
        <v>987</v>
      </c>
      <c r="F620" s="91">
        <v>38831</v>
      </c>
      <c r="G620">
        <v>525.1</v>
      </c>
      <c r="H620">
        <v>524.48</v>
      </c>
      <c r="I620" s="94">
        <v>494.31</v>
      </c>
      <c r="J620" s="94">
        <v>513.39</v>
      </c>
      <c r="K620" s="94">
        <v>533.19000000000005</v>
      </c>
      <c r="L620" s="94">
        <v>496.55</v>
      </c>
      <c r="M620" s="94">
        <v>503.09</v>
      </c>
      <c r="N620" s="94">
        <v>548.42999999999995</v>
      </c>
      <c r="O620" s="94">
        <v>478.32</v>
      </c>
      <c r="P620" s="94">
        <v>452.36</v>
      </c>
      <c r="Q620" s="94">
        <v>551.02</v>
      </c>
      <c r="R620" s="94">
        <v>587</v>
      </c>
      <c r="S620" s="94">
        <v>527.28</v>
      </c>
      <c r="T620" s="94">
        <v>514.02</v>
      </c>
      <c r="U620" s="94">
        <v>492.13</v>
      </c>
    </row>
    <row r="621" spans="1:21">
      <c r="A621" s="91">
        <v>38817</v>
      </c>
      <c r="B621" s="86">
        <v>38817</v>
      </c>
      <c r="C621" s="93">
        <v>1.4413375612568498</v>
      </c>
      <c r="D621" s="85" t="s">
        <v>988</v>
      </c>
      <c r="F621" s="91">
        <v>38817</v>
      </c>
      <c r="G621">
        <v>490.1</v>
      </c>
      <c r="H621">
        <v>509.02</v>
      </c>
      <c r="I621" s="94">
        <v>452.71</v>
      </c>
      <c r="J621" s="94">
        <v>467.27</v>
      </c>
      <c r="K621" s="94">
        <v>513.80999999999995</v>
      </c>
      <c r="L621" s="94">
        <v>463.09</v>
      </c>
      <c r="M621" s="94">
        <v>468.97</v>
      </c>
      <c r="N621" s="94">
        <v>525.44000000000005</v>
      </c>
      <c r="O621" s="94">
        <v>453.46</v>
      </c>
      <c r="P621" s="94">
        <v>452.36</v>
      </c>
      <c r="Q621" s="94">
        <v>510.98</v>
      </c>
      <c r="R621" s="94">
        <v>570</v>
      </c>
      <c r="S621" s="94">
        <v>498.58</v>
      </c>
      <c r="T621" s="94">
        <v>481.91</v>
      </c>
      <c r="U621" s="94">
        <v>459.12</v>
      </c>
    </row>
    <row r="622" spans="1:21">
      <c r="A622" s="91">
        <v>38810</v>
      </c>
      <c r="B622" s="86">
        <v>38810</v>
      </c>
      <c r="C622" s="93">
        <v>1.43328077970474</v>
      </c>
      <c r="D622" s="85" t="s">
        <v>989</v>
      </c>
      <c r="F622" s="91">
        <v>38810</v>
      </c>
      <c r="G622">
        <v>485.1</v>
      </c>
      <c r="H622">
        <v>493.24</v>
      </c>
      <c r="I622" s="94">
        <v>433.92</v>
      </c>
      <c r="J622" s="94">
        <v>470.07</v>
      </c>
      <c r="K622" s="94">
        <v>503.06</v>
      </c>
      <c r="L622" s="94">
        <v>443.1</v>
      </c>
      <c r="M622" s="94">
        <v>459.82</v>
      </c>
      <c r="N622" s="94">
        <v>511.21</v>
      </c>
      <c r="O622" s="94">
        <v>460.36</v>
      </c>
      <c r="P622" s="94">
        <v>452.36</v>
      </c>
      <c r="Q622" s="94">
        <v>508.21</v>
      </c>
      <c r="R622" s="94">
        <v>601.49</v>
      </c>
      <c r="S622" s="94">
        <v>486.54</v>
      </c>
      <c r="T622" s="94">
        <v>479.22</v>
      </c>
      <c r="U622" s="94">
        <v>444.52</v>
      </c>
    </row>
    <row r="623" spans="1:21">
      <c r="A623" s="91">
        <v>38803</v>
      </c>
      <c r="B623" s="86">
        <v>38803</v>
      </c>
      <c r="C623" s="93">
        <v>1.4528548597995099</v>
      </c>
      <c r="D623" s="85" t="s">
        <v>990</v>
      </c>
      <c r="F623" s="91">
        <v>38803</v>
      </c>
      <c r="G623">
        <v>466.53</v>
      </c>
      <c r="H623">
        <v>454.18</v>
      </c>
      <c r="I623" s="94">
        <v>431.18</v>
      </c>
      <c r="J623" s="94">
        <v>436.66</v>
      </c>
      <c r="K623" s="94">
        <v>474.15</v>
      </c>
      <c r="L623" s="94">
        <v>420.76</v>
      </c>
      <c r="M623" s="94">
        <v>445.11</v>
      </c>
      <c r="N623" s="94">
        <v>504.92</v>
      </c>
      <c r="O623" s="94">
        <v>443.11</v>
      </c>
      <c r="P623" s="94">
        <v>452.36</v>
      </c>
      <c r="Q623" s="94">
        <v>487.23</v>
      </c>
      <c r="R623" s="94">
        <v>521</v>
      </c>
      <c r="S623" s="94">
        <v>473.64</v>
      </c>
      <c r="T623" s="94">
        <v>456.01</v>
      </c>
      <c r="U623" s="94">
        <v>438.87</v>
      </c>
    </row>
    <row r="624" spans="1:21">
      <c r="A624" s="91">
        <v>38796</v>
      </c>
      <c r="B624" s="86">
        <v>38796</v>
      </c>
      <c r="C624" s="93">
        <v>1.4415453366008399</v>
      </c>
      <c r="D624" s="85" t="s">
        <v>991</v>
      </c>
      <c r="F624" s="91">
        <v>38796</v>
      </c>
      <c r="G624">
        <v>467.36</v>
      </c>
      <c r="H624">
        <v>420.43</v>
      </c>
      <c r="I624" s="94">
        <v>410.33</v>
      </c>
      <c r="J624" s="94">
        <v>442.91</v>
      </c>
      <c r="K624" s="94">
        <v>460.2</v>
      </c>
      <c r="L624" s="94">
        <v>499.3</v>
      </c>
      <c r="M624" s="94">
        <v>443.4</v>
      </c>
      <c r="N624" s="94">
        <v>495.58</v>
      </c>
      <c r="O624" s="94">
        <v>431.86</v>
      </c>
      <c r="P624" s="94">
        <v>452.36</v>
      </c>
      <c r="Q624" s="94">
        <v>487.51</v>
      </c>
      <c r="R624" s="94">
        <v>510.73</v>
      </c>
      <c r="S624" s="94">
        <v>469.5</v>
      </c>
      <c r="T624" s="94">
        <v>463.04</v>
      </c>
      <c r="U624" s="94">
        <v>427.55</v>
      </c>
    </row>
    <row r="625" spans="1:21">
      <c r="A625" s="91">
        <v>38789</v>
      </c>
      <c r="B625" s="86">
        <v>38789</v>
      </c>
      <c r="C625" s="93">
        <v>1.4489603709338501</v>
      </c>
      <c r="D625" s="85" t="s">
        <v>992</v>
      </c>
      <c r="F625" s="91">
        <v>38789</v>
      </c>
      <c r="G625">
        <v>459.03</v>
      </c>
      <c r="H625">
        <v>443.29</v>
      </c>
      <c r="I625" s="94">
        <v>405.06</v>
      </c>
      <c r="J625" s="94">
        <v>412.96</v>
      </c>
      <c r="K625" s="94">
        <v>456.03</v>
      </c>
      <c r="L625" s="94">
        <v>472.14</v>
      </c>
      <c r="M625" s="94">
        <v>420.89</v>
      </c>
      <c r="N625" s="94">
        <v>484.29</v>
      </c>
      <c r="O625" s="94">
        <v>422.82</v>
      </c>
      <c r="P625" s="94">
        <v>458.15</v>
      </c>
      <c r="Q625" s="94">
        <v>482.67</v>
      </c>
      <c r="R625" s="94">
        <v>510.73</v>
      </c>
      <c r="S625" s="94">
        <v>457.22</v>
      </c>
      <c r="T625" s="94">
        <v>439.51</v>
      </c>
      <c r="U625" s="94">
        <v>421.89</v>
      </c>
    </row>
    <row r="626" spans="1:21">
      <c r="A626" s="91">
        <v>38782</v>
      </c>
      <c r="B626" s="86">
        <v>38782</v>
      </c>
      <c r="C626" s="93">
        <v>1.4587892049598798</v>
      </c>
      <c r="D626" s="85" t="s">
        <v>993</v>
      </c>
      <c r="F626" s="91">
        <v>38782</v>
      </c>
      <c r="G626">
        <v>457.36</v>
      </c>
      <c r="H626">
        <v>427.48</v>
      </c>
      <c r="I626" s="94">
        <v>407.45</v>
      </c>
      <c r="J626" s="94">
        <v>410.16</v>
      </c>
      <c r="K626" s="94">
        <v>445.18</v>
      </c>
      <c r="L626" s="94">
        <v>464.01</v>
      </c>
      <c r="M626" s="94">
        <v>417.24</v>
      </c>
      <c r="N626" s="94">
        <v>472.41</v>
      </c>
      <c r="O626" s="94">
        <v>434.18</v>
      </c>
      <c r="P626" s="94">
        <v>458.15</v>
      </c>
      <c r="Q626" s="94">
        <v>482.67</v>
      </c>
      <c r="R626" s="94">
        <v>490.56</v>
      </c>
      <c r="S626" s="94">
        <v>453.15</v>
      </c>
      <c r="T626" s="94">
        <v>423.3</v>
      </c>
      <c r="U626" s="94">
        <v>422.45</v>
      </c>
    </row>
    <row r="627" spans="1:21">
      <c r="A627" s="91">
        <v>38775</v>
      </c>
      <c r="B627" s="86">
        <v>38775</v>
      </c>
      <c r="C627" s="93">
        <v>1.4683209749651298</v>
      </c>
      <c r="D627" s="85" t="s">
        <v>400</v>
      </c>
      <c r="F627" s="91">
        <v>38775</v>
      </c>
      <c r="G627">
        <v>454.86</v>
      </c>
      <c r="H627">
        <v>428.01</v>
      </c>
      <c r="I627" s="94">
        <v>414.08</v>
      </c>
      <c r="J627" s="94">
        <v>415.76</v>
      </c>
      <c r="K627" s="94">
        <v>426.02</v>
      </c>
      <c r="L627" s="94">
        <v>451.46</v>
      </c>
      <c r="M627" s="94">
        <v>412.68</v>
      </c>
      <c r="N627" s="94">
        <v>460.9</v>
      </c>
      <c r="O627" s="94">
        <v>431.78</v>
      </c>
      <c r="P627" s="94">
        <v>458.15</v>
      </c>
      <c r="Q627" s="94">
        <v>457.97</v>
      </c>
      <c r="R627" s="94">
        <v>480.48</v>
      </c>
      <c r="S627" s="94">
        <v>455.31</v>
      </c>
      <c r="T627" s="94">
        <v>409.36</v>
      </c>
      <c r="U627" s="94">
        <v>426.93</v>
      </c>
    </row>
    <row r="628" spans="1:21">
      <c r="A628" s="91">
        <v>38768</v>
      </c>
      <c r="B628" s="86">
        <v>38768</v>
      </c>
      <c r="C628" s="93">
        <v>1.46028037383178</v>
      </c>
      <c r="D628" s="85" t="s">
        <v>994</v>
      </c>
      <c r="F628" s="91">
        <v>38768</v>
      </c>
      <c r="G628">
        <v>450.69</v>
      </c>
      <c r="H628">
        <v>440.26</v>
      </c>
      <c r="I628" s="94">
        <v>418.59</v>
      </c>
      <c r="J628" s="94">
        <v>423.09</v>
      </c>
      <c r="K628" s="94">
        <v>427.99</v>
      </c>
      <c r="L628" s="94">
        <v>397.86</v>
      </c>
      <c r="M628" s="94">
        <v>408.41</v>
      </c>
      <c r="N628" s="94">
        <v>460.73</v>
      </c>
      <c r="O628" s="94">
        <v>452.11</v>
      </c>
      <c r="P628" s="94">
        <v>458.15</v>
      </c>
      <c r="Q628" s="94">
        <v>459.63</v>
      </c>
      <c r="R628" s="94">
        <v>489.72</v>
      </c>
      <c r="S628" s="94">
        <v>439.72</v>
      </c>
      <c r="T628" s="94">
        <v>398.36</v>
      </c>
      <c r="U628" s="94">
        <v>425.7</v>
      </c>
    </row>
    <row r="629" spans="1:21">
      <c r="A629" s="91">
        <v>38761</v>
      </c>
      <c r="B629" s="86">
        <v>38761</v>
      </c>
      <c r="C629" s="93">
        <v>1.4626298083955001</v>
      </c>
      <c r="D629" s="85" t="s">
        <v>995</v>
      </c>
      <c r="F629" s="91">
        <v>38761</v>
      </c>
      <c r="G629">
        <v>462.36</v>
      </c>
      <c r="H629">
        <v>453.96</v>
      </c>
      <c r="I629" s="94">
        <v>423.96</v>
      </c>
      <c r="J629" s="94">
        <v>433.22</v>
      </c>
      <c r="K629" s="94">
        <v>452.52</v>
      </c>
      <c r="L629" s="94">
        <v>401.99</v>
      </c>
      <c r="M629" s="94">
        <v>426.36</v>
      </c>
      <c r="N629" s="94">
        <v>482.14</v>
      </c>
      <c r="O629" s="94">
        <v>452.68</v>
      </c>
      <c r="P629" s="94">
        <v>446.58</v>
      </c>
      <c r="Q629" s="94">
        <v>484.27</v>
      </c>
      <c r="R629" s="94">
        <v>477</v>
      </c>
      <c r="S629" s="94">
        <v>457.58</v>
      </c>
      <c r="T629" s="94">
        <v>406.3</v>
      </c>
      <c r="U629" s="94">
        <v>427.05</v>
      </c>
    </row>
    <row r="630" spans="1:21">
      <c r="A630" s="91">
        <v>38754</v>
      </c>
      <c r="B630" s="86">
        <v>38754</v>
      </c>
      <c r="C630" s="93">
        <v>1.4634860237084699</v>
      </c>
      <c r="D630" s="85" t="s">
        <v>996</v>
      </c>
      <c r="F630" s="91">
        <v>38754</v>
      </c>
      <c r="G630">
        <v>465.69</v>
      </c>
      <c r="H630">
        <v>451.17</v>
      </c>
      <c r="I630" s="94">
        <v>427.53</v>
      </c>
      <c r="J630" s="94">
        <v>459.29</v>
      </c>
      <c r="K630" s="94">
        <v>456.69</v>
      </c>
      <c r="L630" s="94">
        <v>405.16</v>
      </c>
      <c r="M630" s="94">
        <v>435.62</v>
      </c>
      <c r="N630" s="94">
        <v>489.46</v>
      </c>
      <c r="O630" s="94">
        <v>463.82</v>
      </c>
      <c r="P630" s="94">
        <v>446.58</v>
      </c>
      <c r="Q630" s="94">
        <v>484.48</v>
      </c>
      <c r="R630" s="94">
        <v>494</v>
      </c>
      <c r="S630" s="94">
        <v>461.51</v>
      </c>
      <c r="T630" s="94">
        <v>421.85</v>
      </c>
      <c r="U630" s="94">
        <v>428.36</v>
      </c>
    </row>
    <row r="631" spans="1:21">
      <c r="A631" s="91">
        <v>38747</v>
      </c>
      <c r="B631" s="86">
        <v>38747</v>
      </c>
      <c r="C631" s="93">
        <v>1.46273678051635</v>
      </c>
      <c r="D631" s="85" t="s">
        <v>997</v>
      </c>
      <c r="F631" s="91">
        <v>38747</v>
      </c>
      <c r="G631">
        <v>462.36</v>
      </c>
      <c r="H631">
        <v>469.33</v>
      </c>
      <c r="I631" s="94">
        <v>427.43</v>
      </c>
      <c r="J631" s="94">
        <v>435.6</v>
      </c>
      <c r="K631" s="94">
        <v>456.87</v>
      </c>
      <c r="L631" s="94">
        <v>404.89</v>
      </c>
      <c r="M631" s="94">
        <v>435.37</v>
      </c>
      <c r="N631" s="94">
        <v>490.16</v>
      </c>
      <c r="O631" s="94">
        <v>461.98</v>
      </c>
      <c r="P631" s="94">
        <v>446.58</v>
      </c>
      <c r="Q631" s="94">
        <v>486.27</v>
      </c>
      <c r="R631" s="94">
        <v>511</v>
      </c>
      <c r="S631" s="94">
        <v>459.7</v>
      </c>
      <c r="T631" s="94">
        <v>420.74</v>
      </c>
      <c r="U631" s="94">
        <v>429.95</v>
      </c>
    </row>
    <row r="632" spans="1:21">
      <c r="A632" s="91">
        <v>38740</v>
      </c>
      <c r="B632" s="86">
        <v>38740</v>
      </c>
      <c r="C632" s="93">
        <v>1.4539110206455399</v>
      </c>
      <c r="D632" s="85" t="s">
        <v>998</v>
      </c>
      <c r="F632" s="91">
        <v>38740</v>
      </c>
      <c r="G632">
        <v>455.69</v>
      </c>
      <c r="H632">
        <v>481.61</v>
      </c>
      <c r="I632" s="94">
        <v>415.41</v>
      </c>
      <c r="J632" s="94">
        <v>428.69</v>
      </c>
      <c r="K632" s="94">
        <v>478.42</v>
      </c>
      <c r="L632" s="94">
        <v>418.4</v>
      </c>
      <c r="M632" s="94">
        <v>435.79</v>
      </c>
      <c r="N632" s="94">
        <v>488.34</v>
      </c>
      <c r="O632" s="94">
        <v>452.06</v>
      </c>
      <c r="P632" s="94">
        <v>446.58</v>
      </c>
      <c r="Q632" s="94">
        <v>486.07</v>
      </c>
      <c r="R632" s="94">
        <v>468.71</v>
      </c>
      <c r="S632" s="94">
        <v>459.05</v>
      </c>
      <c r="T632" s="94">
        <v>445.14</v>
      </c>
      <c r="U632" s="94">
        <v>423.26</v>
      </c>
    </row>
    <row r="633" spans="1:21">
      <c r="A633" s="91">
        <v>38733</v>
      </c>
      <c r="B633" s="86">
        <v>38733</v>
      </c>
      <c r="C633" s="93">
        <v>1.4588956160186699</v>
      </c>
      <c r="D633" s="85" t="s">
        <v>999</v>
      </c>
      <c r="F633" s="91">
        <v>38733</v>
      </c>
      <c r="G633">
        <v>451.53</v>
      </c>
      <c r="H633">
        <v>486.24</v>
      </c>
      <c r="I633" s="94">
        <v>409.94</v>
      </c>
      <c r="J633" s="94">
        <v>433.65</v>
      </c>
      <c r="K633" s="94">
        <v>473.11</v>
      </c>
      <c r="L633" s="94">
        <v>422.25</v>
      </c>
      <c r="M633" s="94">
        <v>430.6</v>
      </c>
      <c r="N633" s="94">
        <v>486.69</v>
      </c>
      <c r="O633" s="94">
        <v>453.29</v>
      </c>
      <c r="P633" s="94">
        <v>446.58</v>
      </c>
      <c r="Q633" s="94">
        <v>485.75</v>
      </c>
      <c r="R633" s="94">
        <v>517.45000000000005</v>
      </c>
      <c r="S633" s="94">
        <v>455.35</v>
      </c>
      <c r="T633" s="94">
        <v>428.97</v>
      </c>
      <c r="U633" s="94">
        <v>417.99</v>
      </c>
    </row>
    <row r="634" spans="1:21" ht="15.75" thickBot="1">
      <c r="A634" s="92">
        <v>38726</v>
      </c>
      <c r="B634" s="86">
        <v>38726</v>
      </c>
      <c r="C634" s="93">
        <v>1.46327187591454</v>
      </c>
      <c r="D634" s="85" t="s">
        <v>1000</v>
      </c>
      <c r="F634" s="92">
        <v>38726</v>
      </c>
      <c r="G634">
        <v>446.53</v>
      </c>
      <c r="H634">
        <v>458.8</v>
      </c>
      <c r="I634" s="94">
        <v>404.95</v>
      </c>
      <c r="J634" s="94">
        <v>435.59</v>
      </c>
      <c r="K634" s="94">
        <v>475.36</v>
      </c>
      <c r="L634" s="94">
        <v>408.6</v>
      </c>
      <c r="M634" s="94">
        <v>421.63</v>
      </c>
      <c r="N634" s="94">
        <v>463.86</v>
      </c>
      <c r="O634" s="94">
        <v>438.18</v>
      </c>
      <c r="P634" s="94">
        <v>446.58</v>
      </c>
      <c r="Q634" s="94">
        <v>482.43</v>
      </c>
      <c r="R634" s="94">
        <v>488</v>
      </c>
      <c r="S634" s="94">
        <v>447.66</v>
      </c>
      <c r="T634" s="94">
        <v>447.42</v>
      </c>
      <c r="U634" s="94">
        <v>413.67</v>
      </c>
    </row>
    <row r="635" spans="1:21">
      <c r="A635" s="91">
        <v>38705</v>
      </c>
      <c r="B635" s="86">
        <v>38705</v>
      </c>
      <c r="C635" s="93">
        <v>1.4714537963507899</v>
      </c>
      <c r="D635" s="85" t="s">
        <v>1001</v>
      </c>
      <c r="F635" s="91">
        <v>38705</v>
      </c>
      <c r="G635">
        <v>439.86</v>
      </c>
      <c r="H635">
        <v>445.06</v>
      </c>
      <c r="I635" s="94">
        <v>415.28</v>
      </c>
      <c r="J635" s="94">
        <v>412.31</v>
      </c>
      <c r="K635" s="94">
        <v>455.26</v>
      </c>
      <c r="L635" s="94">
        <v>406.53</v>
      </c>
      <c r="M635" s="94">
        <v>397.97</v>
      </c>
      <c r="N635" s="94">
        <v>460.99</v>
      </c>
      <c r="O635" s="94">
        <v>433.91</v>
      </c>
      <c r="P635" s="94">
        <v>446.58</v>
      </c>
      <c r="Q635" s="94">
        <v>459.36</v>
      </c>
      <c r="R635" s="94">
        <v>475.44</v>
      </c>
      <c r="S635" s="94">
        <v>442.34</v>
      </c>
      <c r="T635" s="94">
        <v>393.66</v>
      </c>
      <c r="U635" s="94">
        <v>403.43</v>
      </c>
    </row>
    <row r="636" spans="1:21">
      <c r="A636" s="91">
        <v>38698</v>
      </c>
      <c r="B636" s="86">
        <v>38698</v>
      </c>
      <c r="C636" s="93">
        <v>1.4830194275544999</v>
      </c>
      <c r="D636" s="85" t="s">
        <v>1002</v>
      </c>
      <c r="F636" s="91">
        <v>38698</v>
      </c>
      <c r="G636">
        <v>434.86</v>
      </c>
      <c r="H636">
        <v>426.16</v>
      </c>
      <c r="I636" s="94">
        <v>418.42</v>
      </c>
      <c r="J636" s="94">
        <v>389.47</v>
      </c>
      <c r="K636" s="94">
        <v>444.91</v>
      </c>
      <c r="L636" s="94">
        <v>398.26</v>
      </c>
      <c r="M636" s="94">
        <v>389.58</v>
      </c>
      <c r="N636" s="94">
        <v>451.78</v>
      </c>
      <c r="O636" s="94">
        <v>422.24</v>
      </c>
      <c r="P636" s="94">
        <v>473.85</v>
      </c>
      <c r="Q636" s="94">
        <v>448.07</v>
      </c>
      <c r="R636" s="94">
        <v>490</v>
      </c>
      <c r="S636" s="94">
        <v>439.63</v>
      </c>
      <c r="T636" s="94">
        <v>393.2</v>
      </c>
      <c r="U636" s="94">
        <v>402.12</v>
      </c>
    </row>
    <row r="637" spans="1:21">
      <c r="A637" s="91">
        <v>38691</v>
      </c>
      <c r="B637" s="86">
        <v>38691</v>
      </c>
      <c r="C637" s="93">
        <v>1.4764506127270001</v>
      </c>
      <c r="D637" s="85" t="s">
        <v>1003</v>
      </c>
      <c r="F637" s="91">
        <v>38691</v>
      </c>
      <c r="G637">
        <v>432.36</v>
      </c>
      <c r="H637">
        <v>414.92</v>
      </c>
      <c r="I637" s="94">
        <v>433.48</v>
      </c>
      <c r="J637" s="94">
        <v>390.54</v>
      </c>
      <c r="K637" s="94">
        <v>431.82</v>
      </c>
      <c r="L637" s="94">
        <v>389.99</v>
      </c>
      <c r="M637" s="94">
        <v>377.12</v>
      </c>
      <c r="N637" s="94">
        <v>441.22</v>
      </c>
      <c r="O637" s="94">
        <v>427.58</v>
      </c>
      <c r="P637" s="94">
        <v>539.14</v>
      </c>
      <c r="Q637" s="94">
        <v>442.01</v>
      </c>
      <c r="R637" s="94">
        <v>474.6</v>
      </c>
      <c r="S637" s="94">
        <v>423.07</v>
      </c>
      <c r="T637" s="94">
        <v>393.88</v>
      </c>
      <c r="U637" s="94">
        <v>402.15</v>
      </c>
    </row>
    <row r="638" spans="1:21">
      <c r="A638" s="91">
        <v>38684</v>
      </c>
      <c r="B638" s="86">
        <v>38684</v>
      </c>
      <c r="C638" s="93">
        <v>1.4587892049598798</v>
      </c>
      <c r="D638" s="85" t="s">
        <v>1004</v>
      </c>
      <c r="F638" s="91">
        <v>38684</v>
      </c>
      <c r="G638">
        <v>447.36</v>
      </c>
      <c r="H638">
        <v>423.18</v>
      </c>
      <c r="I638" s="94">
        <v>443.41</v>
      </c>
      <c r="J638" s="94">
        <v>404.77</v>
      </c>
      <c r="K638" s="94">
        <v>433.69</v>
      </c>
      <c r="L638" s="94">
        <v>389.99</v>
      </c>
      <c r="M638" s="94">
        <v>381.41</v>
      </c>
      <c r="N638" s="94">
        <v>447.97</v>
      </c>
      <c r="O638" s="94">
        <v>430.57</v>
      </c>
      <c r="P638" s="94">
        <v>539.14</v>
      </c>
      <c r="Q638" s="94">
        <v>457.83</v>
      </c>
      <c r="R638" s="94">
        <v>468</v>
      </c>
      <c r="S638" s="94">
        <v>425.08</v>
      </c>
      <c r="T638" s="94">
        <v>402.6</v>
      </c>
      <c r="U638" s="94">
        <v>404.64</v>
      </c>
    </row>
    <row r="639" spans="1:21">
      <c r="A639" s="91">
        <v>38677</v>
      </c>
      <c r="B639" s="86">
        <v>38677</v>
      </c>
      <c r="C639" s="93">
        <v>1.45613396432472</v>
      </c>
      <c r="D639" s="85" t="s">
        <v>1005</v>
      </c>
      <c r="F639" s="91">
        <v>38677</v>
      </c>
      <c r="G639">
        <v>449.86</v>
      </c>
      <c r="H639">
        <v>417.54</v>
      </c>
      <c r="I639" s="94">
        <v>453.4</v>
      </c>
      <c r="J639" s="94">
        <v>384.51</v>
      </c>
      <c r="K639" s="94">
        <v>430.33</v>
      </c>
      <c r="L639" s="94">
        <v>428.32</v>
      </c>
      <c r="M639" s="94">
        <v>383.42</v>
      </c>
      <c r="N639" s="94">
        <v>451.29</v>
      </c>
      <c r="O639" s="94">
        <v>432.83</v>
      </c>
      <c r="P639" s="94">
        <v>539.14</v>
      </c>
      <c r="Q639" s="94">
        <v>458.18</v>
      </c>
      <c r="R639" s="94">
        <v>469</v>
      </c>
      <c r="S639" s="94">
        <v>442.71</v>
      </c>
      <c r="T639" s="94">
        <v>407.85</v>
      </c>
      <c r="U639" s="94">
        <v>412.25</v>
      </c>
    </row>
    <row r="640" spans="1:21">
      <c r="A640" s="91">
        <v>38670</v>
      </c>
      <c r="B640" s="86">
        <v>38670</v>
      </c>
      <c r="C640" s="93">
        <v>1.4862153526045898</v>
      </c>
      <c r="D640" s="85" t="s">
        <v>1006</v>
      </c>
      <c r="F640" s="91">
        <v>38670</v>
      </c>
      <c r="G640">
        <v>465.69</v>
      </c>
      <c r="H640">
        <v>458.47</v>
      </c>
      <c r="I640" s="94">
        <v>474.53</v>
      </c>
      <c r="J640" s="94">
        <v>416.4</v>
      </c>
      <c r="K640" s="94">
        <v>436.92</v>
      </c>
      <c r="L640" s="94">
        <v>426.25</v>
      </c>
      <c r="M640" s="94">
        <v>391.4</v>
      </c>
      <c r="N640" s="94">
        <v>453.65</v>
      </c>
      <c r="O640" s="94">
        <v>446.31</v>
      </c>
      <c r="P640" s="94">
        <v>539.14</v>
      </c>
      <c r="Q640" s="94">
        <v>474.29</v>
      </c>
      <c r="R640" s="94">
        <v>470</v>
      </c>
      <c r="S640" s="94">
        <v>452.7</v>
      </c>
      <c r="T640" s="94">
        <v>415.68</v>
      </c>
      <c r="U640" s="94">
        <v>445.1</v>
      </c>
    </row>
    <row r="641" spans="1:21">
      <c r="A641" s="91">
        <v>38663</v>
      </c>
      <c r="B641" s="86">
        <v>38663</v>
      </c>
      <c r="C641" s="93">
        <v>1.4780873549626798</v>
      </c>
      <c r="D641" s="85" t="s">
        <v>1007</v>
      </c>
      <c r="F641" s="91">
        <v>38663</v>
      </c>
      <c r="G641">
        <v>482.36</v>
      </c>
      <c r="H641">
        <v>458.47</v>
      </c>
      <c r="I641" s="94">
        <v>492</v>
      </c>
      <c r="J641" s="94">
        <v>423.5</v>
      </c>
      <c r="K641" s="94">
        <v>449.36</v>
      </c>
      <c r="L641" s="94">
        <v>431.63</v>
      </c>
      <c r="M641" s="94">
        <v>398.33</v>
      </c>
      <c r="N641" s="94">
        <v>465.52</v>
      </c>
      <c r="O641" s="94">
        <v>448.17</v>
      </c>
      <c r="P641" s="94">
        <v>539.14</v>
      </c>
      <c r="Q641" s="94">
        <v>481.9</v>
      </c>
      <c r="R641" s="94">
        <v>486.36</v>
      </c>
      <c r="S641" s="94">
        <v>463.91</v>
      </c>
      <c r="T641" s="94">
        <v>421.47</v>
      </c>
      <c r="U641" s="94">
        <v>466.98</v>
      </c>
    </row>
    <row r="642" spans="1:21">
      <c r="A642" s="91">
        <v>38649</v>
      </c>
      <c r="B642" s="86">
        <v>38649</v>
      </c>
      <c r="C642" s="93">
        <v>1.4795088030773798</v>
      </c>
      <c r="D642" s="85" t="s">
        <v>504</v>
      </c>
      <c r="F642" s="91">
        <v>38649</v>
      </c>
      <c r="G642">
        <v>503.19</v>
      </c>
      <c r="H642">
        <v>473.65</v>
      </c>
      <c r="I642" s="94">
        <v>505.63</v>
      </c>
      <c r="J642" s="94">
        <v>466.6</v>
      </c>
      <c r="K642" s="94">
        <v>447.45</v>
      </c>
      <c r="L642" s="94">
        <v>480.15</v>
      </c>
      <c r="M642" s="94">
        <v>422.43</v>
      </c>
      <c r="N642" s="94">
        <v>502.94</v>
      </c>
      <c r="O642" s="94">
        <v>473.89</v>
      </c>
      <c r="P642" s="94">
        <v>539.14</v>
      </c>
      <c r="Q642" s="94">
        <v>515.65</v>
      </c>
      <c r="R642" s="94">
        <v>523</v>
      </c>
      <c r="S642" s="94">
        <v>488.42</v>
      </c>
      <c r="T642" s="94">
        <v>424.78</v>
      </c>
      <c r="U642" s="94">
        <v>480.11</v>
      </c>
    </row>
    <row r="643" spans="1:21">
      <c r="A643" s="91">
        <v>38642</v>
      </c>
      <c r="B643" s="86">
        <v>38642</v>
      </c>
      <c r="C643" s="93">
        <v>1.4607069821793699</v>
      </c>
      <c r="D643" s="85" t="s">
        <v>817</v>
      </c>
      <c r="F643" s="91">
        <v>38642</v>
      </c>
      <c r="G643">
        <v>519.03</v>
      </c>
      <c r="H643">
        <v>511.2</v>
      </c>
      <c r="I643" s="94">
        <v>520.32000000000005</v>
      </c>
      <c r="J643" s="94">
        <v>480.6</v>
      </c>
      <c r="K643" s="94">
        <v>493.36</v>
      </c>
      <c r="L643" s="94">
        <v>509.71</v>
      </c>
      <c r="M643" s="94">
        <v>451.98</v>
      </c>
      <c r="N643" s="94">
        <v>531.38</v>
      </c>
      <c r="O643" s="94">
        <v>483.02</v>
      </c>
      <c r="P643" s="94">
        <v>539.14</v>
      </c>
      <c r="Q643" s="94">
        <v>547.72</v>
      </c>
      <c r="R643" s="94">
        <v>522</v>
      </c>
      <c r="S643" s="94">
        <v>503.43</v>
      </c>
      <c r="T643" s="94">
        <v>448.91</v>
      </c>
      <c r="U643" s="94">
        <v>482.34</v>
      </c>
    </row>
    <row r="644" spans="1:21">
      <c r="A644" s="91">
        <v>38635</v>
      </c>
      <c r="B644" s="86">
        <v>38635</v>
      </c>
      <c r="C644" s="93">
        <v>1.4529604068289099</v>
      </c>
      <c r="D644" s="85" t="s">
        <v>416</v>
      </c>
      <c r="F644" s="91">
        <v>38635</v>
      </c>
      <c r="G644">
        <v>532.36</v>
      </c>
      <c r="H644">
        <v>527.91999999999996</v>
      </c>
      <c r="I644" s="94">
        <v>526.63</v>
      </c>
      <c r="J644" s="94">
        <v>507.6</v>
      </c>
      <c r="K644" s="94">
        <v>498.77</v>
      </c>
      <c r="L644" s="94">
        <v>519.5</v>
      </c>
      <c r="M644" s="94">
        <v>487.69</v>
      </c>
      <c r="N644" s="94">
        <v>558.42999999999995</v>
      </c>
      <c r="O644" s="94">
        <v>483.6</v>
      </c>
      <c r="P644" s="94">
        <v>539.14</v>
      </c>
      <c r="Q644" s="94">
        <v>550.88</v>
      </c>
      <c r="R644" s="94">
        <v>536</v>
      </c>
      <c r="S644" s="94">
        <v>514.54</v>
      </c>
      <c r="T644" s="94">
        <v>480.67</v>
      </c>
      <c r="U644" s="94">
        <v>481.09</v>
      </c>
    </row>
    <row r="645" spans="1:21">
      <c r="A645" s="91">
        <v>38628</v>
      </c>
      <c r="B645" s="86">
        <v>38628</v>
      </c>
      <c r="C645" s="93">
        <v>1.47058823529412</v>
      </c>
      <c r="D645" s="85" t="s">
        <v>435</v>
      </c>
      <c r="F645" s="91">
        <v>38628</v>
      </c>
      <c r="G645">
        <v>536.53</v>
      </c>
      <c r="H645">
        <v>535.05999999999995</v>
      </c>
      <c r="I645" s="94">
        <v>526.61</v>
      </c>
      <c r="J645" s="94">
        <v>514</v>
      </c>
      <c r="K645" s="94">
        <v>552.34</v>
      </c>
      <c r="L645" s="94">
        <v>559.75</v>
      </c>
      <c r="M645" s="94">
        <v>489.52</v>
      </c>
      <c r="N645" s="94">
        <v>544.78</v>
      </c>
      <c r="O645" s="94">
        <v>483.96</v>
      </c>
      <c r="P645" s="94">
        <v>539.14</v>
      </c>
      <c r="Q645" s="94">
        <v>548.67999999999995</v>
      </c>
      <c r="R645" s="94">
        <v>585.52</v>
      </c>
      <c r="S645" s="94">
        <v>514.76</v>
      </c>
      <c r="T645" s="94">
        <v>529.4</v>
      </c>
      <c r="U645" s="94">
        <v>477.73</v>
      </c>
    </row>
    <row r="646" spans="1:21">
      <c r="A646" s="91">
        <v>38621</v>
      </c>
      <c r="B646" s="86">
        <v>38621</v>
      </c>
      <c r="C646" s="93">
        <v>1.4728625082848499</v>
      </c>
      <c r="D646" s="85" t="s">
        <v>1008</v>
      </c>
      <c r="F646" s="91">
        <v>38621</v>
      </c>
      <c r="G646">
        <v>529.86</v>
      </c>
      <c r="H646">
        <v>531.72</v>
      </c>
      <c r="I646" s="94">
        <v>533.16999999999996</v>
      </c>
      <c r="J646" s="94">
        <v>501.1</v>
      </c>
      <c r="K646" s="94">
        <v>533.12</v>
      </c>
      <c r="L646" s="94">
        <v>546.38</v>
      </c>
      <c r="M646" s="94">
        <v>468.23</v>
      </c>
      <c r="N646" s="94">
        <v>515.97</v>
      </c>
      <c r="O646" s="94">
        <v>490.62</v>
      </c>
      <c r="P646" s="94">
        <v>539.14</v>
      </c>
      <c r="Q646" s="94">
        <v>513.85</v>
      </c>
      <c r="R646" s="94">
        <v>569</v>
      </c>
      <c r="S646" s="94">
        <v>523.17999999999995</v>
      </c>
      <c r="T646" s="94">
        <v>518.11</v>
      </c>
      <c r="U646" s="94">
        <v>476.2</v>
      </c>
    </row>
    <row r="647" spans="1:21">
      <c r="A647" s="91">
        <v>38614</v>
      </c>
      <c r="B647" s="86">
        <v>38614</v>
      </c>
      <c r="C647" s="93">
        <v>1.4863258026159298</v>
      </c>
      <c r="D647" s="85" t="s">
        <v>1009</v>
      </c>
      <c r="F647" s="91">
        <v>38614</v>
      </c>
      <c r="G647">
        <v>533.19000000000005</v>
      </c>
      <c r="H647">
        <v>510.13</v>
      </c>
      <c r="I647" s="94">
        <v>554.45000000000005</v>
      </c>
      <c r="J647" s="94">
        <v>507.4</v>
      </c>
      <c r="K647" s="94">
        <v>501.21</v>
      </c>
      <c r="L647" s="94">
        <v>454.65</v>
      </c>
      <c r="M647" s="94">
        <v>457.47</v>
      </c>
      <c r="N647" s="94">
        <v>528.75</v>
      </c>
      <c r="O647" s="94">
        <v>502.74</v>
      </c>
      <c r="P647" s="94">
        <v>539.14</v>
      </c>
      <c r="Q647" s="94">
        <v>516.38</v>
      </c>
      <c r="R647" s="94">
        <v>571</v>
      </c>
      <c r="S647" s="94">
        <v>522.41999999999996</v>
      </c>
      <c r="T647" s="94">
        <v>475.88</v>
      </c>
      <c r="U647" s="94">
        <v>494.24</v>
      </c>
    </row>
    <row r="648" spans="1:21">
      <c r="A648" s="91">
        <v>38607</v>
      </c>
      <c r="B648" s="86">
        <v>38607</v>
      </c>
      <c r="C648" s="93">
        <v>1.4829094683769599</v>
      </c>
      <c r="D648" s="85" t="s">
        <v>1010</v>
      </c>
      <c r="F648" s="91">
        <v>38607</v>
      </c>
      <c r="G648">
        <v>557.36</v>
      </c>
      <c r="H648">
        <v>531.39</v>
      </c>
      <c r="I648" s="94">
        <v>562.37</v>
      </c>
      <c r="J648" s="94">
        <v>521.36</v>
      </c>
      <c r="K648" s="94">
        <v>531.44000000000005</v>
      </c>
      <c r="L648" s="94">
        <v>564.94000000000005</v>
      </c>
      <c r="M648" s="94">
        <v>503.29</v>
      </c>
      <c r="N648" s="94">
        <v>585.52</v>
      </c>
      <c r="O648" s="94">
        <v>518.73</v>
      </c>
      <c r="P648" s="94">
        <v>461.45</v>
      </c>
      <c r="Q648" s="94">
        <v>544.20000000000005</v>
      </c>
      <c r="R648" s="94">
        <v>600</v>
      </c>
      <c r="S648" s="94">
        <v>539.34</v>
      </c>
      <c r="T648" s="94">
        <v>511.02</v>
      </c>
      <c r="U648" s="94">
        <v>501.43</v>
      </c>
    </row>
    <row r="649" spans="1:21">
      <c r="A649" s="91">
        <v>38600</v>
      </c>
      <c r="B649" s="86">
        <v>38600</v>
      </c>
      <c r="C649" s="93">
        <v>1.4737307493920899</v>
      </c>
      <c r="D649" s="85" t="s">
        <v>1011</v>
      </c>
      <c r="F649" s="91">
        <v>38600</v>
      </c>
      <c r="G649">
        <v>540.69000000000005</v>
      </c>
      <c r="H649">
        <v>556.24</v>
      </c>
      <c r="I649" s="94">
        <v>523.29999999999995</v>
      </c>
      <c r="J649" s="94">
        <v>564.47</v>
      </c>
      <c r="K649" s="94">
        <v>631.16999999999996</v>
      </c>
      <c r="L649" s="94">
        <v>556.79999999999995</v>
      </c>
      <c r="M649" s="94">
        <v>521.94000000000005</v>
      </c>
      <c r="N649" s="94">
        <v>547.14</v>
      </c>
      <c r="O649" s="94">
        <v>489.13</v>
      </c>
      <c r="P649" s="94">
        <v>461.45</v>
      </c>
      <c r="Q649" s="94">
        <v>525.08000000000004</v>
      </c>
      <c r="R649" s="94">
        <v>617.45000000000005</v>
      </c>
      <c r="S649" s="94">
        <v>544.87</v>
      </c>
      <c r="T649" s="94">
        <v>510.44</v>
      </c>
      <c r="U649" s="94">
        <v>489.55</v>
      </c>
    </row>
    <row r="650" spans="1:21">
      <c r="A650" s="91">
        <v>38593</v>
      </c>
      <c r="B650" s="86">
        <v>38593</v>
      </c>
      <c r="C650" s="93">
        <v>1.46713615023474</v>
      </c>
      <c r="D650" s="85" t="s">
        <v>1012</v>
      </c>
      <c r="F650" s="91">
        <v>38593</v>
      </c>
      <c r="G650">
        <v>500.69</v>
      </c>
      <c r="H650">
        <v>509.33</v>
      </c>
      <c r="I650" s="94">
        <v>442.13</v>
      </c>
      <c r="J650" s="94">
        <v>461.7</v>
      </c>
      <c r="K650" s="94">
        <v>493.52</v>
      </c>
      <c r="L650" s="94">
        <v>458.65</v>
      </c>
      <c r="M650" s="94">
        <v>447.55</v>
      </c>
      <c r="N650" s="94">
        <v>491.01</v>
      </c>
      <c r="O650" s="94">
        <v>478.86</v>
      </c>
      <c r="P650" s="94">
        <v>461.45</v>
      </c>
      <c r="Q650" s="94">
        <v>500.21</v>
      </c>
      <c r="R650" s="94">
        <v>538.46</v>
      </c>
      <c r="S650" s="94">
        <v>498.31</v>
      </c>
      <c r="T650" s="94">
        <v>483.3</v>
      </c>
      <c r="U650" s="94">
        <v>450.42</v>
      </c>
    </row>
    <row r="651" spans="1:21">
      <c r="A651" s="91">
        <v>38586</v>
      </c>
      <c r="B651" s="86">
        <v>38586</v>
      </c>
      <c r="C651" s="93">
        <v>1.4746000147459999</v>
      </c>
      <c r="D651" s="85" t="s">
        <v>1013</v>
      </c>
      <c r="F651" s="91">
        <v>38586</v>
      </c>
      <c r="G651">
        <v>494.86</v>
      </c>
      <c r="H651">
        <v>508.2</v>
      </c>
      <c r="I651" s="94">
        <v>444.13</v>
      </c>
      <c r="J651" s="94">
        <v>470.9</v>
      </c>
      <c r="K651" s="94">
        <v>489.54</v>
      </c>
      <c r="L651" s="94">
        <v>477.11</v>
      </c>
      <c r="M651" s="94">
        <v>446.08</v>
      </c>
      <c r="N651" s="94">
        <v>515.64</v>
      </c>
      <c r="O651" s="94">
        <v>483.79</v>
      </c>
      <c r="P651" s="94">
        <v>461.45</v>
      </c>
      <c r="Q651" s="94">
        <v>499</v>
      </c>
      <c r="R651" s="94">
        <v>534</v>
      </c>
      <c r="S651" s="94">
        <v>488.72</v>
      </c>
      <c r="T651" s="94">
        <v>480.9</v>
      </c>
      <c r="U651" s="94">
        <v>444.65</v>
      </c>
    </row>
    <row r="652" spans="1:21">
      <c r="A652" s="91">
        <v>38579</v>
      </c>
      <c r="B652" s="86">
        <v>38579</v>
      </c>
      <c r="C652" s="93">
        <v>1.46284376828555</v>
      </c>
      <c r="D652" s="85" t="s">
        <v>499</v>
      </c>
      <c r="F652" s="91">
        <v>38579</v>
      </c>
      <c r="G652">
        <v>479.03</v>
      </c>
      <c r="H652">
        <v>449.86</v>
      </c>
      <c r="I652" s="94">
        <v>444.32</v>
      </c>
      <c r="J652" s="94">
        <v>467.65</v>
      </c>
      <c r="K652" s="94">
        <v>493.44</v>
      </c>
      <c r="L652" s="94">
        <v>469.66</v>
      </c>
      <c r="M652" s="94">
        <v>421.41</v>
      </c>
      <c r="N652" s="94">
        <v>486.68</v>
      </c>
      <c r="O652" s="94">
        <v>468.47</v>
      </c>
      <c r="P652" s="94">
        <v>461.45</v>
      </c>
      <c r="Q652" s="94">
        <v>474.55</v>
      </c>
      <c r="R652" s="94">
        <v>525.86</v>
      </c>
      <c r="S652" s="94">
        <v>473.36</v>
      </c>
      <c r="T652" s="94">
        <v>470.21</v>
      </c>
      <c r="U652" s="94">
        <v>436.51</v>
      </c>
    </row>
    <row r="653" spans="1:21">
      <c r="A653" s="91">
        <v>38572</v>
      </c>
      <c r="B653" s="86">
        <v>38572</v>
      </c>
      <c r="C653" s="93">
        <v>1.4459224985540799</v>
      </c>
      <c r="D653" s="85" t="s">
        <v>1014</v>
      </c>
      <c r="F653" s="91">
        <v>38572</v>
      </c>
      <c r="G653">
        <v>479.03</v>
      </c>
      <c r="H653">
        <v>449.86</v>
      </c>
      <c r="I653" s="94">
        <v>443.23</v>
      </c>
      <c r="J653" s="94">
        <v>453.5</v>
      </c>
      <c r="K653" s="94">
        <v>482.74</v>
      </c>
      <c r="L653" s="94">
        <v>469.66</v>
      </c>
      <c r="M653" s="94">
        <v>421.41</v>
      </c>
      <c r="N653" s="94">
        <v>486.68</v>
      </c>
      <c r="O653" s="94">
        <v>468.86</v>
      </c>
      <c r="P653" s="94">
        <v>428.39</v>
      </c>
      <c r="Q653" s="94">
        <v>474.55</v>
      </c>
      <c r="R653" s="94">
        <v>525.86</v>
      </c>
      <c r="S653" s="94">
        <v>473.36</v>
      </c>
      <c r="T653" s="94">
        <v>469.32</v>
      </c>
      <c r="U653" s="94">
        <v>422.39</v>
      </c>
    </row>
    <row r="654" spans="1:21">
      <c r="A654" s="91">
        <v>38565</v>
      </c>
      <c r="B654" s="86">
        <v>38565</v>
      </c>
      <c r="C654" s="93">
        <v>1.44634075788256</v>
      </c>
      <c r="D654" s="85" t="s">
        <v>1015</v>
      </c>
      <c r="F654" s="91">
        <v>38565</v>
      </c>
      <c r="G654">
        <v>474.86</v>
      </c>
      <c r="H654">
        <v>436.35</v>
      </c>
      <c r="I654" s="94">
        <v>434.36</v>
      </c>
      <c r="J654" s="94">
        <v>443.99</v>
      </c>
      <c r="K654" s="94">
        <v>467.8</v>
      </c>
      <c r="L654" s="94">
        <v>459.18</v>
      </c>
      <c r="M654" s="94">
        <v>414.57</v>
      </c>
      <c r="N654" s="94">
        <v>480.94</v>
      </c>
      <c r="O654" s="94">
        <v>457.29</v>
      </c>
      <c r="P654" s="94">
        <v>428.39</v>
      </c>
      <c r="Q654" s="94">
        <v>474.55</v>
      </c>
      <c r="R654" s="94">
        <v>519.09</v>
      </c>
      <c r="S654" s="94">
        <v>467.01</v>
      </c>
      <c r="T654" s="94">
        <v>465.88</v>
      </c>
      <c r="U654" s="94">
        <v>417.32</v>
      </c>
    </row>
    <row r="655" spans="1:21">
      <c r="A655" s="91">
        <v>38558</v>
      </c>
      <c r="B655" s="86">
        <v>38558</v>
      </c>
      <c r="C655" s="93">
        <v>1.4400921658986199</v>
      </c>
      <c r="D655" s="85" t="s">
        <v>505</v>
      </c>
      <c r="F655" s="91">
        <v>38558</v>
      </c>
      <c r="G655">
        <v>473.19</v>
      </c>
      <c r="H655">
        <v>457.05</v>
      </c>
      <c r="I655" s="94">
        <v>433.08</v>
      </c>
      <c r="J655" s="94">
        <v>435.8</v>
      </c>
      <c r="K655" s="94">
        <v>467.8</v>
      </c>
      <c r="L655" s="94">
        <v>459.32</v>
      </c>
      <c r="M655" s="94">
        <v>415.99</v>
      </c>
      <c r="N655" s="94">
        <v>487.26</v>
      </c>
      <c r="O655" s="94">
        <v>453.88</v>
      </c>
      <c r="P655" s="94">
        <v>428.39</v>
      </c>
      <c r="Q655" s="94">
        <v>474.08</v>
      </c>
      <c r="R655" s="94">
        <v>524.14</v>
      </c>
      <c r="S655" s="94">
        <v>458.55</v>
      </c>
      <c r="T655" s="94">
        <v>464.49</v>
      </c>
      <c r="U655" s="94">
        <v>412.5</v>
      </c>
    </row>
    <row r="656" spans="1:21">
      <c r="A656" s="91">
        <v>38551</v>
      </c>
      <c r="B656" s="86">
        <v>38551</v>
      </c>
      <c r="C656" s="93">
        <v>1.44938038988332</v>
      </c>
      <c r="D656" s="85" t="s">
        <v>1016</v>
      </c>
      <c r="F656" s="91">
        <v>38551</v>
      </c>
      <c r="G656">
        <v>467.36</v>
      </c>
      <c r="H656">
        <v>474.2</v>
      </c>
      <c r="I656" s="94">
        <v>433.72</v>
      </c>
      <c r="J656" s="94">
        <v>432.4</v>
      </c>
      <c r="K656" s="94">
        <v>457.08</v>
      </c>
      <c r="L656" s="94">
        <v>451.46</v>
      </c>
      <c r="M656" s="94">
        <v>413.59</v>
      </c>
      <c r="N656" s="94">
        <v>487.26</v>
      </c>
      <c r="O656" s="94">
        <v>451.71</v>
      </c>
      <c r="P656" s="94">
        <v>428.39</v>
      </c>
      <c r="Q656" s="94">
        <v>475.72</v>
      </c>
      <c r="R656" s="94">
        <v>507.33</v>
      </c>
      <c r="S656" s="94">
        <v>459.28</v>
      </c>
      <c r="T656" s="94">
        <v>458.34</v>
      </c>
      <c r="U656" s="94">
        <v>409.62</v>
      </c>
    </row>
    <row r="657" spans="1:21">
      <c r="A657" s="91">
        <v>38544</v>
      </c>
      <c r="B657" s="86">
        <v>38544</v>
      </c>
      <c r="C657" s="93">
        <v>1.4534883720930198</v>
      </c>
      <c r="D657" s="85" t="s">
        <v>1017</v>
      </c>
      <c r="F657" s="91">
        <v>38544</v>
      </c>
      <c r="G657">
        <v>476.53</v>
      </c>
      <c r="H657">
        <v>478.34</v>
      </c>
      <c r="I657" s="94">
        <v>408.09</v>
      </c>
      <c r="J657" s="94">
        <v>426.8</v>
      </c>
      <c r="K657" s="94">
        <v>475.58</v>
      </c>
      <c r="L657" s="94">
        <v>427.56</v>
      </c>
      <c r="M657" s="94">
        <v>417.68</v>
      </c>
      <c r="N657" s="94">
        <v>473.98</v>
      </c>
      <c r="O657" s="94">
        <v>436.88</v>
      </c>
      <c r="P657" s="94">
        <v>394.51</v>
      </c>
      <c r="Q657" s="94">
        <v>474.46</v>
      </c>
      <c r="R657" s="94">
        <v>527.54</v>
      </c>
      <c r="S657" s="94">
        <v>455.92</v>
      </c>
      <c r="T657" s="94">
        <v>466.1</v>
      </c>
      <c r="U657" s="94">
        <v>400.67</v>
      </c>
    </row>
    <row r="658" spans="1:21">
      <c r="A658" s="91">
        <v>38537</v>
      </c>
      <c r="B658" s="86">
        <v>38537</v>
      </c>
      <c r="C658" s="93">
        <v>1.47830586148274</v>
      </c>
      <c r="D658" s="85" t="s">
        <v>482</v>
      </c>
      <c r="F658" s="91">
        <v>38537</v>
      </c>
      <c r="G658">
        <v>450.69</v>
      </c>
      <c r="H658">
        <v>447.76</v>
      </c>
      <c r="I658" s="94">
        <v>406.67</v>
      </c>
      <c r="J658" s="94">
        <v>423.7</v>
      </c>
      <c r="K658" s="94">
        <v>440.4</v>
      </c>
      <c r="L658" s="94">
        <v>397.37</v>
      </c>
      <c r="M658" s="94">
        <v>394.02</v>
      </c>
      <c r="N658" s="94">
        <v>471.24</v>
      </c>
      <c r="O658" s="94">
        <v>423.65</v>
      </c>
      <c r="P658" s="94">
        <v>394.51</v>
      </c>
      <c r="Q658" s="94">
        <v>474.16</v>
      </c>
      <c r="R658" s="94">
        <v>501.49</v>
      </c>
      <c r="S658" s="94">
        <v>442.84</v>
      </c>
      <c r="T658" s="94">
        <v>434.03</v>
      </c>
      <c r="U658" s="94">
        <v>404.41</v>
      </c>
    </row>
    <row r="659" spans="1:21">
      <c r="A659" s="91">
        <v>38530</v>
      </c>
      <c r="B659" s="86">
        <v>38530</v>
      </c>
      <c r="C659" s="93">
        <v>1.5035333032626701</v>
      </c>
      <c r="D659" s="85" t="s">
        <v>1018</v>
      </c>
      <c r="F659" s="91">
        <v>38530</v>
      </c>
      <c r="G659">
        <v>445.69</v>
      </c>
      <c r="H659">
        <v>443.35</v>
      </c>
      <c r="I659" s="94">
        <v>407.2</v>
      </c>
      <c r="J659" s="94">
        <v>408.2</v>
      </c>
      <c r="K659" s="94">
        <v>451.33</v>
      </c>
      <c r="L659" s="94">
        <v>397.37</v>
      </c>
      <c r="M659" s="94">
        <v>391.96</v>
      </c>
      <c r="N659" s="94">
        <v>462.91</v>
      </c>
      <c r="O659" s="94">
        <v>422.71</v>
      </c>
      <c r="P659" s="94">
        <v>394.51</v>
      </c>
      <c r="Q659" s="94">
        <v>461.99</v>
      </c>
      <c r="R659" s="94">
        <v>493</v>
      </c>
      <c r="S659" s="94">
        <v>443.38</v>
      </c>
      <c r="T659" s="94">
        <v>421.67</v>
      </c>
      <c r="U659" s="94">
        <v>401.64</v>
      </c>
    </row>
    <row r="660" spans="1:21">
      <c r="A660" s="91">
        <v>38523</v>
      </c>
      <c r="B660" s="86">
        <v>38523</v>
      </c>
      <c r="C660" s="93">
        <v>1.49577443721487</v>
      </c>
      <c r="D660" s="85" t="s">
        <v>1019</v>
      </c>
      <c r="F660" s="91">
        <v>38523</v>
      </c>
      <c r="G660">
        <v>433.19</v>
      </c>
      <c r="H660">
        <v>423.24</v>
      </c>
      <c r="I660" s="94">
        <v>399.68</v>
      </c>
      <c r="J660" s="94">
        <v>408.2</v>
      </c>
      <c r="K660" s="94">
        <v>440.8</v>
      </c>
      <c r="L660" s="94">
        <v>410.05</v>
      </c>
      <c r="M660" s="94">
        <v>381.08</v>
      </c>
      <c r="N660" s="94">
        <v>445.97</v>
      </c>
      <c r="O660" s="94">
        <v>421.35</v>
      </c>
      <c r="P660" s="94">
        <v>396.16</v>
      </c>
      <c r="Q660" s="94">
        <v>449.7</v>
      </c>
      <c r="R660" s="94">
        <v>481</v>
      </c>
      <c r="S660" s="94">
        <v>429.19</v>
      </c>
      <c r="T660" s="94">
        <v>428.29</v>
      </c>
      <c r="U660" s="94">
        <v>384.22</v>
      </c>
    </row>
    <row r="661" spans="1:21">
      <c r="A661" s="91">
        <v>38516</v>
      </c>
      <c r="B661" s="86">
        <v>38516</v>
      </c>
      <c r="C661" s="93">
        <v>1.4963339817447299</v>
      </c>
      <c r="D661" s="85" t="s">
        <v>1020</v>
      </c>
      <c r="F661" s="91">
        <v>38516</v>
      </c>
      <c r="G661">
        <v>425.69</v>
      </c>
      <c r="H661">
        <v>421.59</v>
      </c>
      <c r="I661" s="94">
        <v>398.79</v>
      </c>
      <c r="J661" s="94">
        <v>398.7</v>
      </c>
      <c r="K661" s="94">
        <v>419.56</v>
      </c>
      <c r="L661" s="94">
        <v>395.99</v>
      </c>
      <c r="M661" s="94">
        <v>368.41</v>
      </c>
      <c r="N661" s="94">
        <v>437.21</v>
      </c>
      <c r="O661" s="94">
        <v>412.87</v>
      </c>
      <c r="P661" s="94">
        <v>396.16</v>
      </c>
      <c r="Q661" s="94">
        <v>449.55</v>
      </c>
      <c r="R661" s="94">
        <v>469</v>
      </c>
      <c r="S661" s="94">
        <v>413.07</v>
      </c>
      <c r="T661" s="94">
        <v>400.58</v>
      </c>
      <c r="U661" s="94">
        <v>377.54</v>
      </c>
    </row>
    <row r="662" spans="1:21">
      <c r="A662" s="91">
        <v>38509</v>
      </c>
      <c r="B662" s="86">
        <v>38509</v>
      </c>
      <c r="C662" s="93">
        <v>1.4819205690574999</v>
      </c>
      <c r="D662" s="85" t="s">
        <v>1021</v>
      </c>
      <c r="F662" s="91">
        <v>38509</v>
      </c>
      <c r="G662">
        <v>424.03</v>
      </c>
      <c r="H662">
        <v>415.25</v>
      </c>
      <c r="I662" s="94">
        <v>383.5</v>
      </c>
      <c r="J662" s="94">
        <v>380.6</v>
      </c>
      <c r="K662" s="94">
        <v>415.35</v>
      </c>
      <c r="L662" s="94">
        <v>395.3</v>
      </c>
      <c r="M662" s="94">
        <v>359.43</v>
      </c>
      <c r="N662" s="94">
        <v>419.58</v>
      </c>
      <c r="O662" s="94">
        <v>401.33</v>
      </c>
      <c r="P662" s="94">
        <v>396.16</v>
      </c>
      <c r="Q662" s="94">
        <v>434.22</v>
      </c>
      <c r="R662" s="94">
        <v>465</v>
      </c>
      <c r="S662" s="94">
        <v>399.38</v>
      </c>
      <c r="T662" s="94">
        <v>406.32</v>
      </c>
      <c r="U662" s="94">
        <v>361.59</v>
      </c>
    </row>
    <row r="663" spans="1:21">
      <c r="A663" s="91">
        <v>38502</v>
      </c>
      <c r="B663" s="86">
        <v>38502</v>
      </c>
      <c r="C663" s="93">
        <v>1.4599605810643099</v>
      </c>
      <c r="D663" s="85" t="s">
        <v>1022</v>
      </c>
      <c r="F663" s="91">
        <v>38502</v>
      </c>
      <c r="G663">
        <v>404.86</v>
      </c>
      <c r="H663">
        <v>362.91</v>
      </c>
      <c r="I663" s="94">
        <v>375.39</v>
      </c>
      <c r="J663" s="94">
        <v>350</v>
      </c>
      <c r="K663" s="94">
        <v>393.67</v>
      </c>
      <c r="L663" s="94">
        <v>378.2</v>
      </c>
      <c r="M663" s="94">
        <v>349.46</v>
      </c>
      <c r="N663" s="94">
        <v>415.01</v>
      </c>
      <c r="O663" s="94">
        <v>387.72</v>
      </c>
      <c r="P663" s="94">
        <v>396.16</v>
      </c>
      <c r="Q663" s="94">
        <v>424.55</v>
      </c>
      <c r="R663" s="94">
        <v>437</v>
      </c>
      <c r="S663" s="94">
        <v>396.4</v>
      </c>
      <c r="T663" s="94">
        <v>387.06</v>
      </c>
      <c r="U663" s="94">
        <v>358.28</v>
      </c>
    </row>
    <row r="664" spans="1:21">
      <c r="A664" s="91">
        <v>38495</v>
      </c>
      <c r="B664" s="86">
        <v>38495</v>
      </c>
      <c r="C664" s="93">
        <v>1.4570887367040699</v>
      </c>
      <c r="D664" s="85" t="s">
        <v>1023</v>
      </c>
      <c r="F664" s="91">
        <v>38495</v>
      </c>
      <c r="G664">
        <v>404.86</v>
      </c>
      <c r="H664">
        <v>339.22</v>
      </c>
      <c r="I664" s="94">
        <v>377.63</v>
      </c>
      <c r="J664" s="94">
        <v>369.2</v>
      </c>
      <c r="K664" s="94">
        <v>386.89</v>
      </c>
      <c r="L664" s="94">
        <v>373.93</v>
      </c>
      <c r="M664" s="94">
        <v>347.88</v>
      </c>
      <c r="N664" s="94">
        <v>415.1</v>
      </c>
      <c r="O664" s="94">
        <v>390.09</v>
      </c>
      <c r="P664" s="94">
        <v>396.16</v>
      </c>
      <c r="Q664" s="94">
        <v>424.55</v>
      </c>
      <c r="R664" s="94">
        <v>427</v>
      </c>
      <c r="S664" s="94">
        <v>399.29</v>
      </c>
      <c r="T664" s="94">
        <v>371.24</v>
      </c>
      <c r="U664" s="94">
        <v>364.91</v>
      </c>
    </row>
    <row r="665" spans="1:21">
      <c r="A665" s="91">
        <v>38488</v>
      </c>
      <c r="B665" s="86">
        <v>38488</v>
      </c>
      <c r="C665" s="93">
        <v>1.4558159848595098</v>
      </c>
      <c r="D665" s="85" t="s">
        <v>1024</v>
      </c>
      <c r="F665" s="91">
        <v>38488</v>
      </c>
      <c r="G665">
        <v>410.69</v>
      </c>
      <c r="H665">
        <v>414.7</v>
      </c>
      <c r="I665" s="94">
        <v>380.73</v>
      </c>
      <c r="J665" s="94">
        <v>379.1</v>
      </c>
      <c r="K665" s="94">
        <v>380.79</v>
      </c>
      <c r="L665" s="94">
        <v>390.72</v>
      </c>
      <c r="M665" s="94">
        <v>352.89</v>
      </c>
      <c r="N665" s="94">
        <v>423.62</v>
      </c>
      <c r="O665" s="94">
        <v>389.84</v>
      </c>
      <c r="P665" s="94">
        <v>396.16</v>
      </c>
      <c r="Q665" s="94">
        <v>436.93</v>
      </c>
      <c r="R665" s="94">
        <v>427</v>
      </c>
      <c r="S665" s="94">
        <v>397.86</v>
      </c>
      <c r="T665" s="94">
        <v>378.14</v>
      </c>
      <c r="U665" s="94">
        <v>370.77</v>
      </c>
    </row>
    <row r="666" spans="1:21">
      <c r="A666" s="91">
        <v>38481</v>
      </c>
      <c r="B666" s="86">
        <v>38481</v>
      </c>
      <c r="C666" s="93">
        <v>1.4673514306676398</v>
      </c>
      <c r="D666" s="85" t="s">
        <v>1025</v>
      </c>
      <c r="F666" s="91">
        <v>38481</v>
      </c>
      <c r="G666">
        <v>418.19</v>
      </c>
      <c r="H666">
        <v>414.7</v>
      </c>
      <c r="I666" s="94">
        <v>386.2</v>
      </c>
      <c r="J666" s="94">
        <v>375.5</v>
      </c>
      <c r="K666" s="94">
        <v>380.85</v>
      </c>
      <c r="L666" s="94">
        <v>391.47</v>
      </c>
      <c r="M666" s="94">
        <v>359.29</v>
      </c>
      <c r="N666" s="94">
        <v>440.43</v>
      </c>
      <c r="O666" s="94">
        <v>401.21</v>
      </c>
      <c r="P666" s="94">
        <v>382.94</v>
      </c>
      <c r="Q666" s="94">
        <v>448.82</v>
      </c>
      <c r="R666" s="94">
        <v>434</v>
      </c>
      <c r="S666" s="94">
        <v>403.32</v>
      </c>
      <c r="T666" s="94">
        <v>379.86</v>
      </c>
      <c r="U666" s="94">
        <v>374.86</v>
      </c>
    </row>
    <row r="667" spans="1:21">
      <c r="A667" s="91">
        <v>38474</v>
      </c>
      <c r="B667" s="86">
        <v>38474</v>
      </c>
      <c r="C667" s="93">
        <v>1.4787430683918699</v>
      </c>
      <c r="D667" s="85" t="s">
        <v>1026</v>
      </c>
      <c r="F667" s="91">
        <v>38474</v>
      </c>
      <c r="G667">
        <v>419.86</v>
      </c>
      <c r="H667">
        <v>414.42</v>
      </c>
      <c r="I667" s="94">
        <v>377.13</v>
      </c>
      <c r="J667" s="94">
        <v>384.5</v>
      </c>
      <c r="K667" s="94">
        <v>393.53</v>
      </c>
      <c r="L667" s="94">
        <v>400.64</v>
      </c>
      <c r="M667" s="94">
        <v>370.51</v>
      </c>
      <c r="N667" s="94">
        <v>441.35</v>
      </c>
      <c r="O667" s="94">
        <v>397.16</v>
      </c>
      <c r="P667" s="94">
        <v>382.94</v>
      </c>
      <c r="Q667" s="94">
        <v>465.08</v>
      </c>
      <c r="R667" s="94">
        <v>444</v>
      </c>
      <c r="S667" s="94">
        <v>410.45</v>
      </c>
      <c r="T667" s="94">
        <v>396.55</v>
      </c>
      <c r="U667" s="94">
        <v>378.77</v>
      </c>
    </row>
    <row r="668" spans="1:21">
      <c r="A668" s="91">
        <v>38467</v>
      </c>
      <c r="B668" s="86">
        <v>38467</v>
      </c>
      <c r="C668" s="93">
        <v>1.4735135931628998</v>
      </c>
      <c r="D668" s="85" t="s">
        <v>408</v>
      </c>
      <c r="F668" s="91">
        <v>38467</v>
      </c>
      <c r="G668">
        <v>418.19</v>
      </c>
      <c r="H668">
        <v>402.58</v>
      </c>
      <c r="I668" s="94">
        <v>373.35</v>
      </c>
      <c r="J668" s="94">
        <v>367.3</v>
      </c>
      <c r="K668" s="94">
        <v>399.79</v>
      </c>
      <c r="L668" s="94">
        <v>403.61</v>
      </c>
      <c r="M668" s="94">
        <v>363.52</v>
      </c>
      <c r="N668" s="94">
        <v>432.03</v>
      </c>
      <c r="O668" s="94">
        <v>400.48</v>
      </c>
      <c r="P668" s="94">
        <v>382.94</v>
      </c>
      <c r="Q668" s="94">
        <v>465.08</v>
      </c>
      <c r="R668" s="94">
        <v>464.51</v>
      </c>
      <c r="S668" s="94">
        <v>410.23</v>
      </c>
      <c r="T668" s="94">
        <v>394.22</v>
      </c>
      <c r="U668" s="94">
        <v>378.26</v>
      </c>
    </row>
    <row r="669" spans="1:21">
      <c r="A669" s="91">
        <v>38460</v>
      </c>
      <c r="B669" s="86">
        <v>38460</v>
      </c>
      <c r="C669" s="93">
        <v>1.46370023419204</v>
      </c>
      <c r="D669" s="85" t="s">
        <v>1027</v>
      </c>
      <c r="F669" s="91">
        <v>38460</v>
      </c>
      <c r="G669">
        <v>420.69</v>
      </c>
      <c r="H669">
        <v>400.65</v>
      </c>
      <c r="I669" s="94">
        <v>374.23</v>
      </c>
      <c r="J669" s="94">
        <v>373.3</v>
      </c>
      <c r="K669" s="94">
        <v>398.47</v>
      </c>
      <c r="L669" s="94">
        <v>339.27</v>
      </c>
      <c r="M669" s="94">
        <v>364.64</v>
      </c>
      <c r="N669" s="94">
        <v>443.4</v>
      </c>
      <c r="O669" s="94">
        <v>409.51</v>
      </c>
      <c r="P669" s="94">
        <v>382.94</v>
      </c>
      <c r="Q669" s="94">
        <v>466.29</v>
      </c>
      <c r="R669" s="94">
        <v>440</v>
      </c>
      <c r="S669" s="94">
        <v>401.63</v>
      </c>
      <c r="T669" s="94">
        <v>382.7</v>
      </c>
      <c r="U669" s="94">
        <v>377.27</v>
      </c>
    </row>
    <row r="670" spans="1:21">
      <c r="A670" s="91">
        <v>38453</v>
      </c>
      <c r="B670" s="86">
        <v>38453</v>
      </c>
      <c r="C670" s="93">
        <v>1.4568764568764598</v>
      </c>
      <c r="D670" s="85" t="s">
        <v>1028</v>
      </c>
      <c r="F670" s="91">
        <v>38453</v>
      </c>
      <c r="G670">
        <v>431.53</v>
      </c>
      <c r="H670">
        <v>421.13</v>
      </c>
      <c r="I670" s="94">
        <v>371.48</v>
      </c>
      <c r="J670" s="94">
        <v>386</v>
      </c>
      <c r="K670" s="94">
        <v>420.18</v>
      </c>
      <c r="L670" s="94">
        <v>359.54</v>
      </c>
      <c r="M670" s="94">
        <v>383.65</v>
      </c>
      <c r="N670" s="94">
        <v>453.8</v>
      </c>
      <c r="O670" s="94">
        <v>413.94</v>
      </c>
      <c r="P670" s="94">
        <v>349.06</v>
      </c>
      <c r="Q670" s="94">
        <v>466.29</v>
      </c>
      <c r="R670" s="94">
        <v>454</v>
      </c>
      <c r="S670" s="94">
        <v>392.59</v>
      </c>
      <c r="T670" s="94">
        <v>410.89</v>
      </c>
      <c r="U670" s="94">
        <v>375.27</v>
      </c>
    </row>
    <row r="671" spans="1:21">
      <c r="A671" s="91">
        <v>38446</v>
      </c>
      <c r="B671" s="86">
        <v>38446</v>
      </c>
      <c r="C671" s="93">
        <v>1.4556040756914099</v>
      </c>
      <c r="D671" s="85" t="s">
        <v>1029</v>
      </c>
      <c r="F671" s="91">
        <v>38446</v>
      </c>
      <c r="G671">
        <v>399.03</v>
      </c>
      <c r="H671">
        <v>406.8</v>
      </c>
      <c r="I671" s="94">
        <v>342.31</v>
      </c>
      <c r="J671" s="94">
        <v>359.3</v>
      </c>
      <c r="K671" s="94">
        <v>423.34</v>
      </c>
      <c r="L671" s="94">
        <v>361.19</v>
      </c>
      <c r="M671" s="94">
        <v>362.22</v>
      </c>
      <c r="N671" s="94">
        <v>420.27</v>
      </c>
      <c r="O671" s="94">
        <v>389.35</v>
      </c>
      <c r="P671" s="94">
        <v>349.06</v>
      </c>
      <c r="Q671" s="94">
        <v>425.93</v>
      </c>
      <c r="R671" s="94">
        <v>456</v>
      </c>
      <c r="S671" s="94">
        <v>385.62</v>
      </c>
      <c r="T671" s="94">
        <v>392.95</v>
      </c>
      <c r="U671" s="94">
        <v>353.95</v>
      </c>
    </row>
    <row r="672" spans="1:21">
      <c r="A672" s="91">
        <v>38432</v>
      </c>
      <c r="B672" s="86">
        <v>38432</v>
      </c>
      <c r="C672" s="93">
        <v>1.4407145944388398</v>
      </c>
      <c r="D672" s="85" t="s">
        <v>1030</v>
      </c>
      <c r="F672" s="91">
        <v>38432</v>
      </c>
      <c r="G672">
        <v>368.63</v>
      </c>
      <c r="H672">
        <v>367.69</v>
      </c>
      <c r="I672" s="94">
        <v>307.08</v>
      </c>
      <c r="J672" s="94">
        <v>330.4</v>
      </c>
      <c r="K672" s="94">
        <v>370.86</v>
      </c>
      <c r="L672" s="94">
        <v>326.45</v>
      </c>
      <c r="M672" s="94">
        <v>336.56</v>
      </c>
      <c r="N672" s="94">
        <v>395.52</v>
      </c>
      <c r="O672" s="94">
        <v>365.18</v>
      </c>
      <c r="P672" s="94">
        <v>331.7</v>
      </c>
      <c r="Q672" s="94">
        <v>424.32</v>
      </c>
      <c r="R672" s="94">
        <v>414</v>
      </c>
      <c r="S672" s="94">
        <v>375.55</v>
      </c>
      <c r="T672" s="94">
        <v>362.48</v>
      </c>
      <c r="U672" s="94">
        <v>335.4</v>
      </c>
    </row>
    <row r="673" spans="1:21">
      <c r="A673" s="91">
        <v>38425</v>
      </c>
      <c r="B673" s="86">
        <v>38425</v>
      </c>
      <c r="C673" s="93">
        <v>1.4338973329509599</v>
      </c>
      <c r="D673" s="85" t="s">
        <v>1031</v>
      </c>
      <c r="F673" s="91">
        <v>38425</v>
      </c>
      <c r="G673">
        <v>379.47</v>
      </c>
      <c r="H673">
        <v>360.8</v>
      </c>
      <c r="I673" s="94">
        <v>311.01</v>
      </c>
      <c r="J673" s="94">
        <v>338.4</v>
      </c>
      <c r="K673" s="94">
        <v>359.09</v>
      </c>
      <c r="L673" s="94">
        <v>331.74</v>
      </c>
      <c r="M673" s="94">
        <v>336.32</v>
      </c>
      <c r="N673" s="94">
        <v>393.06</v>
      </c>
      <c r="O673" s="94">
        <v>368.35</v>
      </c>
      <c r="P673" s="94">
        <v>331.7</v>
      </c>
      <c r="Q673" s="94">
        <v>424.25</v>
      </c>
      <c r="R673" s="94">
        <v>411.57</v>
      </c>
      <c r="S673" s="94">
        <v>375.14</v>
      </c>
      <c r="T673" s="94">
        <v>360.55</v>
      </c>
      <c r="U673" s="94">
        <v>320.86</v>
      </c>
    </row>
    <row r="674" spans="1:21">
      <c r="A674" s="91">
        <v>38418</v>
      </c>
      <c r="B674" s="86">
        <v>38418</v>
      </c>
      <c r="C674" s="93">
        <v>1.4501160092807399</v>
      </c>
      <c r="D674" s="85" t="s">
        <v>1032</v>
      </c>
      <c r="F674" s="91">
        <v>38418</v>
      </c>
      <c r="G674">
        <v>369.47</v>
      </c>
      <c r="H674">
        <v>348.68</v>
      </c>
      <c r="I674" s="94">
        <v>309.56</v>
      </c>
      <c r="J674" s="94">
        <v>316.2</v>
      </c>
      <c r="K674" s="94">
        <v>364.62</v>
      </c>
      <c r="L674" s="94">
        <v>315.64</v>
      </c>
      <c r="M674" s="94">
        <v>326.12</v>
      </c>
      <c r="N674" s="94">
        <v>383.84</v>
      </c>
      <c r="O674" s="94">
        <v>356.77</v>
      </c>
      <c r="P674" s="94">
        <v>331.7</v>
      </c>
      <c r="Q674" s="94">
        <v>401.65</v>
      </c>
      <c r="R674" s="94">
        <v>406.53</v>
      </c>
      <c r="S674" s="94">
        <v>375.19</v>
      </c>
      <c r="T674" s="94">
        <v>348.81</v>
      </c>
      <c r="U674" s="94">
        <v>318.68</v>
      </c>
    </row>
    <row r="675" spans="1:21">
      <c r="A675" s="91">
        <v>38411</v>
      </c>
      <c r="B675" s="86">
        <v>38411</v>
      </c>
      <c r="C675" s="93">
        <v>1.44980065241029</v>
      </c>
      <c r="D675" s="85" t="s">
        <v>1033</v>
      </c>
      <c r="F675" s="91">
        <v>38411</v>
      </c>
      <c r="G675">
        <v>356.13</v>
      </c>
      <c r="H675">
        <v>361.9</v>
      </c>
      <c r="I675" s="94">
        <v>301.11</v>
      </c>
      <c r="J675" s="94">
        <v>318.8</v>
      </c>
      <c r="K675" s="94">
        <v>349.59</v>
      </c>
      <c r="L675" s="94">
        <v>306.39999999999998</v>
      </c>
      <c r="M675" s="94">
        <v>322.41000000000003</v>
      </c>
      <c r="N675" s="94">
        <v>381.41</v>
      </c>
      <c r="O675" s="94">
        <v>356.79</v>
      </c>
      <c r="P675" s="94">
        <v>331.7</v>
      </c>
      <c r="Q675" s="94">
        <v>382.7</v>
      </c>
      <c r="R675" s="94">
        <v>396.44</v>
      </c>
      <c r="S675" s="94">
        <v>363.21</v>
      </c>
      <c r="T675" s="94">
        <v>334.75</v>
      </c>
      <c r="U675" s="94">
        <v>309.74</v>
      </c>
    </row>
    <row r="676" spans="1:21">
      <c r="A676" s="91">
        <v>38404</v>
      </c>
      <c r="B676" s="86">
        <v>38404</v>
      </c>
      <c r="C676" s="93">
        <v>1.4511681903932701</v>
      </c>
      <c r="D676" s="85" t="s">
        <v>1034</v>
      </c>
      <c r="F676" s="91">
        <v>38404</v>
      </c>
      <c r="G676">
        <v>350.3</v>
      </c>
      <c r="H676">
        <v>349.4</v>
      </c>
      <c r="I676" s="94">
        <v>297.97000000000003</v>
      </c>
      <c r="J676" s="94">
        <v>304.3</v>
      </c>
      <c r="K676" s="94">
        <v>344.17</v>
      </c>
      <c r="L676" s="94">
        <v>320.70999999999998</v>
      </c>
      <c r="M676" s="94">
        <v>319.58</v>
      </c>
      <c r="N676" s="94">
        <v>383.16</v>
      </c>
      <c r="O676" s="94">
        <v>354.15</v>
      </c>
      <c r="P676" s="94">
        <v>331.7</v>
      </c>
      <c r="Q676" s="94">
        <v>388.06</v>
      </c>
      <c r="R676" s="94">
        <v>392</v>
      </c>
      <c r="S676" s="94">
        <v>359.82</v>
      </c>
      <c r="T676" s="94">
        <v>341.23</v>
      </c>
      <c r="U676" s="94">
        <v>306.39</v>
      </c>
    </row>
    <row r="677" spans="1:21">
      <c r="A677" s="91">
        <v>38397</v>
      </c>
      <c r="B677" s="86">
        <v>38397</v>
      </c>
      <c r="C677" s="93">
        <v>1.4549687181725601</v>
      </c>
      <c r="D677" s="85" t="s">
        <v>1035</v>
      </c>
      <c r="F677" s="91">
        <v>38397</v>
      </c>
      <c r="G677">
        <v>342.8</v>
      </c>
      <c r="H677">
        <v>337.38</v>
      </c>
      <c r="I677" s="94">
        <v>289.35000000000002</v>
      </c>
      <c r="J677" s="94">
        <v>302.60000000000002</v>
      </c>
      <c r="K677" s="94">
        <v>350.62</v>
      </c>
      <c r="L677" s="94">
        <v>305.02</v>
      </c>
      <c r="M677" s="94">
        <v>315.89999999999998</v>
      </c>
      <c r="N677" s="94">
        <v>380.57</v>
      </c>
      <c r="O677" s="94">
        <v>353.28</v>
      </c>
      <c r="P677" s="94">
        <v>335.01</v>
      </c>
      <c r="Q677" s="94">
        <v>387.93</v>
      </c>
      <c r="R677" s="94">
        <v>399</v>
      </c>
      <c r="S677" s="94">
        <v>358.94</v>
      </c>
      <c r="T677" s="94">
        <v>340.32</v>
      </c>
      <c r="U677" s="94">
        <v>305.74</v>
      </c>
    </row>
    <row r="678" spans="1:21">
      <c r="A678" s="91">
        <v>38390</v>
      </c>
      <c r="B678" s="86">
        <v>38390</v>
      </c>
      <c r="C678" s="93">
        <v>1.4562399883500798</v>
      </c>
      <c r="D678" s="85" t="s">
        <v>1036</v>
      </c>
      <c r="F678" s="91">
        <v>38390</v>
      </c>
      <c r="G678">
        <v>352.8</v>
      </c>
      <c r="H678">
        <v>357.3</v>
      </c>
      <c r="I678" s="94">
        <v>292.62</v>
      </c>
      <c r="J678" s="94">
        <v>316.8</v>
      </c>
      <c r="K678" s="94">
        <v>352.78</v>
      </c>
      <c r="L678" s="94">
        <v>299.77999999999997</v>
      </c>
      <c r="M678" s="94">
        <v>319.76</v>
      </c>
      <c r="N678" s="94">
        <v>380.53</v>
      </c>
      <c r="O678" s="94">
        <v>353.75</v>
      </c>
      <c r="P678" s="94">
        <v>335.01</v>
      </c>
      <c r="Q678" s="94">
        <v>387.92</v>
      </c>
      <c r="R678" s="94">
        <v>400</v>
      </c>
      <c r="S678" s="94">
        <v>349.46</v>
      </c>
      <c r="T678" s="94">
        <v>348.31</v>
      </c>
      <c r="U678" s="94">
        <v>303.64999999999998</v>
      </c>
    </row>
    <row r="679" spans="1:21">
      <c r="A679" s="91">
        <v>38383</v>
      </c>
      <c r="B679" s="86">
        <v>38383</v>
      </c>
      <c r="C679" s="93">
        <v>1.44675925925926</v>
      </c>
      <c r="D679" s="85" t="s">
        <v>1037</v>
      </c>
      <c r="F679" s="91">
        <v>38383</v>
      </c>
      <c r="G679">
        <v>354.47</v>
      </c>
      <c r="H679">
        <v>352.34</v>
      </c>
      <c r="I679" s="94">
        <v>287.29000000000002</v>
      </c>
      <c r="J679" s="94">
        <v>305.2</v>
      </c>
      <c r="K679" s="94">
        <v>360.4</v>
      </c>
      <c r="L679" s="94">
        <v>306.12</v>
      </c>
      <c r="M679" s="94">
        <v>314.66000000000003</v>
      </c>
      <c r="N679" s="94">
        <v>372.89</v>
      </c>
      <c r="O679" s="94">
        <v>351.34</v>
      </c>
      <c r="P679" s="94">
        <v>335.01</v>
      </c>
      <c r="Q679" s="94">
        <v>384.79</v>
      </c>
      <c r="R679" s="94">
        <v>401.49</v>
      </c>
      <c r="S679" s="94">
        <v>339.88</v>
      </c>
      <c r="T679" s="94">
        <v>347.04</v>
      </c>
      <c r="U679" s="94">
        <v>297.94</v>
      </c>
    </row>
    <row r="680" spans="1:21">
      <c r="A680" s="91">
        <v>38376</v>
      </c>
      <c r="B680" s="86">
        <v>38376</v>
      </c>
      <c r="C680" s="93">
        <v>1.4376078205865399</v>
      </c>
      <c r="D680" s="85" t="s">
        <v>1038</v>
      </c>
      <c r="F680" s="91">
        <v>38376</v>
      </c>
      <c r="G680">
        <v>341.13</v>
      </c>
      <c r="H680">
        <v>337.46</v>
      </c>
      <c r="I680" s="94">
        <v>284.79000000000002</v>
      </c>
      <c r="J680" s="94">
        <v>288.8</v>
      </c>
      <c r="K680" s="94">
        <v>339.94</v>
      </c>
      <c r="L680" s="94">
        <v>293.02999999999997</v>
      </c>
      <c r="M680" s="94">
        <v>294.27999999999997</v>
      </c>
      <c r="N680" s="94">
        <v>362.09</v>
      </c>
      <c r="O680" s="94">
        <v>350.3</v>
      </c>
      <c r="P680" s="94">
        <v>335.01</v>
      </c>
      <c r="Q680" s="94">
        <v>349.7</v>
      </c>
      <c r="R680" s="94">
        <v>387</v>
      </c>
      <c r="S680" s="94">
        <v>332.25</v>
      </c>
      <c r="T680" s="94">
        <v>339.9</v>
      </c>
      <c r="U680" s="94">
        <v>288.58999999999997</v>
      </c>
    </row>
    <row r="681" spans="1:21">
      <c r="A681" s="91">
        <v>38369</v>
      </c>
      <c r="B681" s="86">
        <v>38369</v>
      </c>
      <c r="C681" s="93">
        <v>1.4222727919214899</v>
      </c>
      <c r="D681" s="85" t="s">
        <v>1039</v>
      </c>
      <c r="F681" s="91">
        <v>38369</v>
      </c>
      <c r="G681">
        <v>333.63</v>
      </c>
      <c r="H681">
        <v>319.01</v>
      </c>
      <c r="I681" s="94">
        <v>288.52999999999997</v>
      </c>
      <c r="J681" s="94">
        <v>303.5</v>
      </c>
      <c r="K681" s="94">
        <v>336.79</v>
      </c>
      <c r="L681" s="94">
        <v>339.52</v>
      </c>
      <c r="M681" s="94">
        <v>278.89</v>
      </c>
      <c r="N681" s="94">
        <v>348.72</v>
      </c>
      <c r="O681" s="94">
        <v>334.53</v>
      </c>
      <c r="P681" s="94">
        <v>335.01</v>
      </c>
      <c r="Q681" s="94">
        <v>348.14</v>
      </c>
      <c r="R681" s="94">
        <v>384</v>
      </c>
      <c r="S681" s="94">
        <v>324.94</v>
      </c>
      <c r="T681" s="94">
        <v>334.39</v>
      </c>
      <c r="U681" s="94">
        <v>285.57</v>
      </c>
    </row>
    <row r="682" spans="1:21">
      <c r="A682" s="91">
        <v>38362</v>
      </c>
      <c r="B682" s="86">
        <v>38362</v>
      </c>
      <c r="C682" s="93">
        <v>1.4330753797649798</v>
      </c>
      <c r="D682" s="85" t="s">
        <v>1040</v>
      </c>
      <c r="F682" s="91">
        <v>38362</v>
      </c>
      <c r="G682">
        <v>331.13</v>
      </c>
      <c r="H682">
        <v>270.8</v>
      </c>
      <c r="I682" s="94">
        <v>296.31</v>
      </c>
      <c r="J682" s="94">
        <v>280.8</v>
      </c>
      <c r="K682" s="94">
        <v>328.21</v>
      </c>
      <c r="L682" s="94">
        <v>332.35</v>
      </c>
      <c r="M682" s="94">
        <v>270.01</v>
      </c>
      <c r="N682" s="94">
        <v>332.81</v>
      </c>
      <c r="O682" s="94">
        <v>312.85000000000002</v>
      </c>
      <c r="P682" s="94">
        <v>391.2</v>
      </c>
      <c r="Q682" s="94">
        <v>348.03</v>
      </c>
      <c r="R682" s="94">
        <v>358.63</v>
      </c>
      <c r="S682" s="94">
        <v>321.89</v>
      </c>
      <c r="T682" s="94">
        <v>325.56</v>
      </c>
      <c r="U682" s="94">
        <v>298.73</v>
      </c>
    </row>
    <row r="683" spans="1:21" ht="15.75" thickBot="1">
      <c r="A683" s="92">
        <v>38355</v>
      </c>
      <c r="B683" s="86">
        <v>38355</v>
      </c>
      <c r="C683" s="93">
        <v>1.4139271827500899</v>
      </c>
      <c r="D683" s="85" t="s">
        <v>1041</v>
      </c>
      <c r="F683" s="92">
        <v>38355</v>
      </c>
      <c r="G683">
        <v>338.63</v>
      </c>
      <c r="H683">
        <v>303.02999999999997</v>
      </c>
      <c r="I683" s="94">
        <v>305.79000000000002</v>
      </c>
      <c r="J683" s="94">
        <v>287.10000000000002</v>
      </c>
      <c r="K683" s="94">
        <v>293.93</v>
      </c>
      <c r="L683" s="94">
        <v>314.16000000000003</v>
      </c>
      <c r="M683" s="94">
        <v>259.55</v>
      </c>
      <c r="N683" s="94">
        <v>334.07</v>
      </c>
      <c r="O683" s="94">
        <v>325.43</v>
      </c>
      <c r="P683" s="94">
        <v>391.2</v>
      </c>
      <c r="Q683" s="94">
        <v>371.15</v>
      </c>
      <c r="R683" s="94">
        <v>337.62</v>
      </c>
      <c r="S683" s="94">
        <v>322.62</v>
      </c>
      <c r="T683" s="94">
        <v>303.04000000000002</v>
      </c>
      <c r="U683" s="94">
        <v>310.74</v>
      </c>
    </row>
  </sheetData>
  <sortState ref="X3:AM16">
    <sortCondition ref="X3"/>
  </sortState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714"/>
  <sheetViews>
    <sheetView topLeftCell="E13" zoomScale="75" zoomScaleNormal="75" workbookViewId="0">
      <selection activeCell="X20" sqref="X20"/>
    </sheetView>
  </sheetViews>
  <sheetFormatPr defaultRowHeight="15"/>
  <cols>
    <col min="1" max="1" width="12.85546875" style="91" customWidth="1"/>
    <col min="2" max="2" width="10.7109375" style="91" bestFit="1" customWidth="1"/>
    <col min="6" max="6" width="13" style="91" customWidth="1"/>
    <col min="23" max="23" width="11.85546875" customWidth="1"/>
    <col min="24" max="24" width="8.140625" customWidth="1"/>
  </cols>
  <sheetData>
    <row r="1" spans="6:38">
      <c r="F1" s="91" t="s">
        <v>1888</v>
      </c>
      <c r="G1" t="s">
        <v>219</v>
      </c>
      <c r="H1" t="s">
        <v>146</v>
      </c>
      <c r="I1" t="s">
        <v>124</v>
      </c>
      <c r="J1" t="s">
        <v>170</v>
      </c>
      <c r="K1" t="s">
        <v>125</v>
      </c>
      <c r="L1" t="s">
        <v>165</v>
      </c>
      <c r="M1" t="s">
        <v>168</v>
      </c>
      <c r="W1" s="91"/>
      <c r="X1" t="s">
        <v>219</v>
      </c>
      <c r="Y1" t="s">
        <v>146</v>
      </c>
      <c r="Z1" t="s">
        <v>124</v>
      </c>
      <c r="AA1" t="s">
        <v>170</v>
      </c>
      <c r="AB1" t="s">
        <v>125</v>
      </c>
      <c r="AC1" t="s">
        <v>165</v>
      </c>
      <c r="AD1" t="s">
        <v>168</v>
      </c>
    </row>
    <row r="2" spans="6:38">
      <c r="G2" t="s">
        <v>363</v>
      </c>
      <c r="H2" t="s">
        <v>403</v>
      </c>
      <c r="I2" t="s">
        <v>358</v>
      </c>
      <c r="J2" t="s">
        <v>359</v>
      </c>
      <c r="K2" t="s">
        <v>365</v>
      </c>
      <c r="L2" t="s">
        <v>430</v>
      </c>
      <c r="M2" t="s">
        <v>431</v>
      </c>
      <c r="N2" t="s">
        <v>362</v>
      </c>
      <c r="O2" t="s">
        <v>366</v>
      </c>
      <c r="P2" t="s">
        <v>369</v>
      </c>
      <c r="Q2" t="s">
        <v>367</v>
      </c>
      <c r="R2" t="s">
        <v>373</v>
      </c>
      <c r="S2" t="s">
        <v>374</v>
      </c>
      <c r="T2" t="s">
        <v>375</v>
      </c>
      <c r="U2" t="s">
        <v>432</v>
      </c>
      <c r="W2" s="91"/>
      <c r="X2" t="s">
        <v>363</v>
      </c>
      <c r="Y2" t="s">
        <v>403</v>
      </c>
      <c r="Z2" t="s">
        <v>358</v>
      </c>
      <c r="AA2" t="s">
        <v>359</v>
      </c>
      <c r="AB2" t="s">
        <v>365</v>
      </c>
      <c r="AC2" t="s">
        <v>430</v>
      </c>
      <c r="AD2" t="s">
        <v>431</v>
      </c>
      <c r="AE2" t="s">
        <v>362</v>
      </c>
      <c r="AF2" t="s">
        <v>366</v>
      </c>
      <c r="AG2" t="s">
        <v>369</v>
      </c>
      <c r="AH2" t="s">
        <v>367</v>
      </c>
      <c r="AI2" t="s">
        <v>373</v>
      </c>
      <c r="AJ2" t="s">
        <v>374</v>
      </c>
      <c r="AK2" t="s">
        <v>375</v>
      </c>
      <c r="AL2" t="s">
        <v>432</v>
      </c>
    </row>
    <row r="3" spans="6:38">
      <c r="F3">
        <v>2018</v>
      </c>
      <c r="G3" s="3">
        <f>AVERAGE(G23:G74)</f>
        <v>1.247807692307692</v>
      </c>
      <c r="H3" s="3">
        <f t="shared" ref="H3:U3" si="0">AVERAGE(H23:H74)</f>
        <v>1.402274615384616</v>
      </c>
      <c r="I3" s="3">
        <f t="shared" si="0"/>
        <v>1.2422657692307695</v>
      </c>
      <c r="J3" s="3">
        <f t="shared" si="0"/>
        <v>1.4169038461538466</v>
      </c>
      <c r="K3" s="3">
        <f t="shared" si="0"/>
        <v>1.5928665384615395</v>
      </c>
      <c r="L3" s="1">
        <f>AVERAGE(L23:L74)</f>
        <v>1.5126153846153843</v>
      </c>
      <c r="M3" s="3">
        <f t="shared" si="0"/>
        <v>1.5038761538461536</v>
      </c>
      <c r="N3" s="3">
        <f t="shared" si="0"/>
        <v>1.5917884615384623</v>
      </c>
      <c r="O3" s="3">
        <f t="shared" si="0"/>
        <v>1.1998417307692306</v>
      </c>
      <c r="P3" s="3">
        <f t="shared" si="0"/>
        <v>1.4220769230769226</v>
      </c>
      <c r="Q3" s="3">
        <f t="shared" si="0"/>
        <v>1.5965511538461534</v>
      </c>
      <c r="R3" s="3">
        <f t="shared" si="0"/>
        <v>1.6277923076923086</v>
      </c>
      <c r="S3" s="3">
        <f t="shared" si="0"/>
        <v>1.286630576923077</v>
      </c>
      <c r="T3" s="3">
        <f>AVERAGE(T23:T74)</f>
        <v>1.5088871153846151</v>
      </c>
      <c r="U3" s="3">
        <f t="shared" si="0"/>
        <v>1.4032582692307696</v>
      </c>
      <c r="W3">
        <v>2005</v>
      </c>
      <c r="X3" s="3">
        <v>1.0335306122448977</v>
      </c>
      <c r="Y3" s="3">
        <v>1.2219444897959186</v>
      </c>
      <c r="Z3" s="3">
        <v>0.95358040816326528</v>
      </c>
      <c r="AA3" s="3">
        <v>1.2216826530612246</v>
      </c>
      <c r="AB3" s="3">
        <v>1.2116324489795913</v>
      </c>
      <c r="AC3" s="3">
        <v>1.2169655102040813</v>
      </c>
      <c r="AD3" s="3">
        <v>1.162654489795919</v>
      </c>
      <c r="AE3" s="3">
        <v>0.89179591836734706</v>
      </c>
      <c r="AF3" s="3">
        <v>1.0507422448979593</v>
      </c>
      <c r="AG3" s="3">
        <v>1.0487346938775512</v>
      </c>
      <c r="AH3" s="3">
        <v>1.2199861224489794</v>
      </c>
      <c r="AI3" s="3">
        <v>1.3532244897959183</v>
      </c>
      <c r="AJ3" s="3">
        <v>0.96293061224489807</v>
      </c>
      <c r="AK3" s="3">
        <v>1.1831071428571429</v>
      </c>
      <c r="AL3" s="3">
        <v>1.2685624489795915</v>
      </c>
    </row>
    <row r="4" spans="6:38">
      <c r="F4">
        <v>2017</v>
      </c>
      <c r="G4" s="3">
        <f t="shared" ref="G4:U4" si="1">AVERAGE(G75:G124)</f>
        <v>1.1774400000000003</v>
      </c>
      <c r="H4" s="3">
        <f t="shared" si="1"/>
        <v>1.3504262</v>
      </c>
      <c r="I4" s="3">
        <f t="shared" si="1"/>
        <v>1.1509199999999999</v>
      </c>
      <c r="J4" s="3">
        <f t="shared" si="1"/>
        <v>1.3738800000000004</v>
      </c>
      <c r="K4" s="3">
        <f t="shared" si="1"/>
        <v>1.4959421999999998</v>
      </c>
      <c r="L4" s="3">
        <f t="shared" si="1"/>
        <v>1.4643200000000001</v>
      </c>
      <c r="M4" s="3">
        <f t="shared" si="1"/>
        <v>1.3753759999999999</v>
      </c>
      <c r="N4" s="3">
        <f t="shared" si="1"/>
        <v>1.51092</v>
      </c>
      <c r="O4" s="3">
        <f t="shared" si="1"/>
        <v>1.1473538000000003</v>
      </c>
      <c r="P4" s="3">
        <f t="shared" si="1"/>
        <v>1.3638000000000006</v>
      </c>
      <c r="Q4" s="3">
        <f t="shared" si="1"/>
        <v>1.5276388000000001</v>
      </c>
      <c r="R4" s="3">
        <f t="shared" si="1"/>
        <v>1.5521100000000001</v>
      </c>
      <c r="S4" s="3">
        <f t="shared" si="1"/>
        <v>1.2168797999999996</v>
      </c>
      <c r="T4" s="3">
        <f t="shared" si="1"/>
        <v>1.4555204000000004</v>
      </c>
      <c r="U4" s="3">
        <f t="shared" si="1"/>
        <v>1.341021</v>
      </c>
      <c r="W4">
        <v>2006</v>
      </c>
      <c r="X4" s="3">
        <v>1.0917959183673471</v>
      </c>
      <c r="Y4" s="3">
        <v>1.2928206122448986</v>
      </c>
      <c r="Z4" s="3">
        <v>1.0474738775510206</v>
      </c>
      <c r="AA4" s="3">
        <v>1.2833436734693877</v>
      </c>
      <c r="AB4" s="3">
        <v>1.2792567346938777</v>
      </c>
      <c r="AC4" s="3">
        <v>1.2874046938775505</v>
      </c>
      <c r="AD4" s="3">
        <v>1.2384579591836735</v>
      </c>
      <c r="AE4" s="3">
        <v>0.97828571428571431</v>
      </c>
      <c r="AF4" s="3">
        <v>1.0489961224489792</v>
      </c>
      <c r="AG4" s="3">
        <v>1.1187551020408166</v>
      </c>
      <c r="AH4" s="3">
        <v>1.2867630612244898</v>
      </c>
      <c r="AI4" s="3">
        <v>1.4147346938775507</v>
      </c>
      <c r="AJ4" s="3">
        <v>1.0352216326530614</v>
      </c>
      <c r="AK4" s="3">
        <v>1.233984285714286</v>
      </c>
      <c r="AL4" s="3">
        <v>1.3413716326530609</v>
      </c>
    </row>
    <row r="5" spans="6:38">
      <c r="F5">
        <v>2016</v>
      </c>
      <c r="G5" s="3">
        <f t="shared" ref="G5:U5" si="2">AVERAGE(G125:G174)</f>
        <v>1.1114200000000001</v>
      </c>
      <c r="H5" s="3">
        <f t="shared" si="2"/>
        <v>1.2633165999999993</v>
      </c>
      <c r="I5" s="3">
        <f t="shared" si="2"/>
        <v>1.0584250000000002</v>
      </c>
      <c r="J5" s="3">
        <f t="shared" si="2"/>
        <v>1.30542</v>
      </c>
      <c r="K5" s="3">
        <f t="shared" si="2"/>
        <v>1.4134422</v>
      </c>
      <c r="L5" s="3">
        <f t="shared" si="2"/>
        <v>1.3808399999999998</v>
      </c>
      <c r="M5" s="3">
        <f t="shared" si="2"/>
        <v>1.3011673999999998</v>
      </c>
      <c r="N5" s="3">
        <f t="shared" si="2"/>
        <v>1.3937399999999993</v>
      </c>
      <c r="O5" s="3">
        <f t="shared" si="2"/>
        <v>1.0690576000000001</v>
      </c>
      <c r="P5" s="3">
        <f t="shared" si="2"/>
        <v>1.2830179999999998</v>
      </c>
      <c r="Q5" s="3">
        <f t="shared" si="2"/>
        <v>1.4432363999999998</v>
      </c>
      <c r="R5" s="3">
        <f t="shared" si="2"/>
        <v>1.4769999999999996</v>
      </c>
      <c r="S5" s="3">
        <f t="shared" si="2"/>
        <v>1.1494630000000006</v>
      </c>
      <c r="T5" s="3">
        <f t="shared" si="2"/>
        <v>1.3844369999999997</v>
      </c>
      <c r="U5" s="3">
        <f t="shared" si="2"/>
        <v>1.3308655999999999</v>
      </c>
      <c r="W5">
        <v>2007</v>
      </c>
      <c r="X5" s="3">
        <v>1.1212448979591836</v>
      </c>
      <c r="Y5" s="3">
        <v>1.3198008163265307</v>
      </c>
      <c r="Z5" s="3">
        <v>1.0639034693877554</v>
      </c>
      <c r="AA5" s="3">
        <v>1.3354469387755099</v>
      </c>
      <c r="AB5" s="3">
        <v>1.3044885714285714</v>
      </c>
      <c r="AC5" s="3">
        <v>1.2983773469387754</v>
      </c>
      <c r="AD5" s="3">
        <v>1.2741457142857142</v>
      </c>
      <c r="AE5" s="3">
        <v>1.0119795918367347</v>
      </c>
      <c r="AF5" s="3">
        <v>1.1006040816326528</v>
      </c>
      <c r="AG5" s="3">
        <v>1.120571428571429</v>
      </c>
      <c r="AH5" s="3">
        <v>1.2995093877551021</v>
      </c>
      <c r="AI5" s="3">
        <v>1.4612081632653062</v>
      </c>
      <c r="AJ5" s="3">
        <v>1.0497285714285713</v>
      </c>
      <c r="AK5" s="3">
        <v>1.2441920408163263</v>
      </c>
      <c r="AL5" s="3">
        <v>1.3801851020408162</v>
      </c>
    </row>
    <row r="6" spans="6:38">
      <c r="F6">
        <v>2015</v>
      </c>
      <c r="G6" s="3">
        <f t="shared" ref="G6:U6" si="3">AVERAGE(G175:G223)</f>
        <v>1.2020816326530612</v>
      </c>
      <c r="H6" s="3">
        <f t="shared" si="3"/>
        <v>1.3658259183673467</v>
      </c>
      <c r="I6" s="3">
        <f t="shared" si="3"/>
        <v>1.1541879591836737</v>
      </c>
      <c r="J6" s="3">
        <f t="shared" si="3"/>
        <v>1.3970408163265309</v>
      </c>
      <c r="K6" s="3">
        <f t="shared" si="3"/>
        <v>1.5021897959183672</v>
      </c>
      <c r="L6" s="3">
        <f t="shared" si="3"/>
        <v>1.468081632653061</v>
      </c>
      <c r="M6" s="3">
        <f t="shared" si="3"/>
        <v>1.3563706122448982</v>
      </c>
      <c r="N6" s="3">
        <f t="shared" si="3"/>
        <v>1.480571428571428</v>
      </c>
      <c r="O6" s="3">
        <f t="shared" si="3"/>
        <v>1.1580304081632655</v>
      </c>
      <c r="P6" s="3">
        <f t="shared" si="3"/>
        <v>1.369</v>
      </c>
      <c r="Q6" s="3">
        <f t="shared" si="3"/>
        <v>1.5376844897959185</v>
      </c>
      <c r="R6" s="3">
        <f t="shared" si="3"/>
        <v>1.5633469387755101</v>
      </c>
      <c r="S6" s="3">
        <f t="shared" si="3"/>
        <v>1.2317565306122449</v>
      </c>
      <c r="T6" s="3">
        <f t="shared" si="3"/>
        <v>1.4094679591836734</v>
      </c>
      <c r="U6" s="3">
        <f t="shared" si="3"/>
        <v>1.5355140816326531</v>
      </c>
      <c r="W6">
        <v>2008</v>
      </c>
      <c r="X6" s="3">
        <v>1.2156938775510202</v>
      </c>
      <c r="Y6" s="3">
        <v>1.4177234693877554</v>
      </c>
      <c r="Z6" s="3">
        <v>1.2316148979591837</v>
      </c>
      <c r="AA6" s="3">
        <v>1.3933520408163265</v>
      </c>
      <c r="AB6" s="3">
        <v>1.3872093877551019</v>
      </c>
      <c r="AC6" s="3">
        <v>1.4456232653061227</v>
      </c>
      <c r="AD6" s="3">
        <v>1.3654628571428569</v>
      </c>
      <c r="AE6" s="3">
        <v>1.128020408163265</v>
      </c>
      <c r="AF6" s="3">
        <v>1.1794771428571427</v>
      </c>
      <c r="AG6" s="3">
        <v>1.2367142857142861</v>
      </c>
      <c r="AH6" s="3">
        <v>1.3875367346938776</v>
      </c>
      <c r="AI6" s="3">
        <v>1.5427346938775515</v>
      </c>
      <c r="AJ6" s="3">
        <v>1.131721632653061</v>
      </c>
      <c r="AK6" s="3">
        <v>1.3107324489795917</v>
      </c>
      <c r="AL6" s="3">
        <v>1.3647618367346939</v>
      </c>
    </row>
    <row r="7" spans="6:38">
      <c r="F7">
        <v>2014</v>
      </c>
      <c r="G7" s="3">
        <f t="shared" ref="G7:U7" si="4">AVERAGE(G224:G272)</f>
        <v>1.3496938775510205</v>
      </c>
      <c r="H7" s="3">
        <f t="shared" si="4"/>
        <v>1.5342485714285712</v>
      </c>
      <c r="I7" s="3">
        <f t="shared" si="4"/>
        <v>1.3176712244897963</v>
      </c>
      <c r="J7" s="3">
        <f t="shared" si="4"/>
        <v>1.5431632653061222</v>
      </c>
      <c r="K7" s="3">
        <f t="shared" si="4"/>
        <v>1.6463885714285711</v>
      </c>
      <c r="L7" s="3">
        <f t="shared" si="4"/>
        <v>1.6073265306122448</v>
      </c>
      <c r="M7" s="3">
        <f t="shared" si="4"/>
        <v>1.4919118367346942</v>
      </c>
      <c r="N7" s="3">
        <f t="shared" si="4"/>
        <v>1.653061224489796</v>
      </c>
      <c r="O7" s="3">
        <f t="shared" si="4"/>
        <v>1.3260777551020408</v>
      </c>
      <c r="P7" s="3">
        <f t="shared" si="4"/>
        <v>1.5298546938775504</v>
      </c>
      <c r="Q7" s="3">
        <f t="shared" si="4"/>
        <v>1.7162004081632651</v>
      </c>
      <c r="R7" s="3">
        <f t="shared" si="4"/>
        <v>1.7019032653061219</v>
      </c>
      <c r="S7" s="3">
        <f t="shared" si="4"/>
        <v>1.3926463265306119</v>
      </c>
      <c r="T7" s="3">
        <f t="shared" si="4"/>
        <v>1.5726628571428574</v>
      </c>
      <c r="U7" s="3">
        <f t="shared" si="4"/>
        <v>1.5863832653061223</v>
      </c>
      <c r="W7">
        <v>2009</v>
      </c>
      <c r="X7" s="3">
        <v>1.0448600000000001</v>
      </c>
      <c r="Y7" s="3">
        <v>1.2404210000000004</v>
      </c>
      <c r="Z7" s="3">
        <v>1.0322018000000002</v>
      </c>
      <c r="AA7" s="3">
        <v>1.2620200000000001</v>
      </c>
      <c r="AB7" s="3">
        <v>1.2810302000000002</v>
      </c>
      <c r="AC7" s="3">
        <v>1.2772444000000001</v>
      </c>
      <c r="AD7" s="3">
        <v>1.209292</v>
      </c>
      <c r="AE7" s="3">
        <v>0.99615999999999982</v>
      </c>
      <c r="AF7" s="3">
        <v>0.99889379999999972</v>
      </c>
      <c r="AG7" s="3">
        <v>1.1057199999999994</v>
      </c>
      <c r="AH7" s="3">
        <v>1.2341379999999997</v>
      </c>
      <c r="AI7" s="3">
        <v>1.3514800000000005</v>
      </c>
      <c r="AJ7" s="3">
        <v>1.0062034</v>
      </c>
      <c r="AK7" s="3">
        <v>1.1244969999999999</v>
      </c>
      <c r="AL7" s="3">
        <v>1.1183175999999997</v>
      </c>
    </row>
    <row r="8" spans="6:38">
      <c r="F8">
        <v>2013</v>
      </c>
      <c r="G8" s="3">
        <f t="shared" ref="G8:U8" si="5">AVERAGE(G273:G321)</f>
        <v>1.3929795918367349</v>
      </c>
      <c r="H8" s="3">
        <f t="shared" si="5"/>
        <v>1.5820440816326535</v>
      </c>
      <c r="I8" s="3">
        <f t="shared" si="5"/>
        <v>1.3955702040816327</v>
      </c>
      <c r="J8" s="3">
        <f t="shared" si="5"/>
        <v>1.6011020408163263</v>
      </c>
      <c r="K8" s="3">
        <f t="shared" si="5"/>
        <v>1.6761663265306124</v>
      </c>
      <c r="L8" s="3">
        <f t="shared" si="5"/>
        <v>1.6425306122448979</v>
      </c>
      <c r="M8" s="3">
        <f t="shared" si="5"/>
        <v>1.5371897959183671</v>
      </c>
      <c r="N8" s="3">
        <f t="shared" si="5"/>
        <v>1.6926734693877552</v>
      </c>
      <c r="O8" s="3">
        <f t="shared" si="5"/>
        <v>1.4074732653061226</v>
      </c>
      <c r="P8" s="3">
        <f t="shared" si="5"/>
        <v>1.5880748979591839</v>
      </c>
      <c r="Q8" s="3">
        <f t="shared" si="5"/>
        <v>1.7487510204081635</v>
      </c>
      <c r="R8" s="3">
        <f t="shared" si="5"/>
        <v>1.73765306122449</v>
      </c>
      <c r="S8" s="3">
        <f t="shared" si="5"/>
        <v>1.43182306122449</v>
      </c>
      <c r="T8" s="3">
        <f t="shared" si="5"/>
        <v>1.6696210204081638</v>
      </c>
      <c r="U8" s="3">
        <f t="shared" si="5"/>
        <v>1.5822991836734692</v>
      </c>
      <c r="W8">
        <v>2010</v>
      </c>
      <c r="X8" s="3">
        <v>1.1874897959183672</v>
      </c>
      <c r="Y8" s="3">
        <v>1.4007326530612245</v>
      </c>
      <c r="Z8" s="3">
        <v>1.2546514285714285</v>
      </c>
      <c r="AA8" s="3">
        <v>1.3910510204081636</v>
      </c>
      <c r="AB8" s="3">
        <v>1.4409142857142856</v>
      </c>
      <c r="AC8" s="3">
        <v>1.4260102040816327</v>
      </c>
      <c r="AD8" s="3">
        <v>1.3426140816326526</v>
      </c>
      <c r="AE8" s="3">
        <v>1.4298163265306119</v>
      </c>
      <c r="AF8" s="3">
        <v>1.2227826530612247</v>
      </c>
      <c r="AG8" s="3">
        <v>1.3004897959183672</v>
      </c>
      <c r="AH8" s="3">
        <v>1.3631312244897962</v>
      </c>
      <c r="AI8" s="3">
        <v>1.4929795918367346</v>
      </c>
      <c r="AJ8" s="3">
        <v>1.1621830612244899</v>
      </c>
      <c r="AK8" s="3">
        <v>1.3404159183673463</v>
      </c>
      <c r="AL8" s="3">
        <v>1.360952244897959</v>
      </c>
    </row>
    <row r="9" spans="6:38">
      <c r="F9">
        <v>2012</v>
      </c>
      <c r="G9" s="3">
        <f t="shared" ref="G9:U9" si="6">AVERAGE(G322:G370)</f>
        <v>1.4497755102040817</v>
      </c>
      <c r="H9" s="3">
        <f t="shared" si="6"/>
        <v>1.646034693877551</v>
      </c>
      <c r="I9" s="3">
        <f t="shared" si="6"/>
        <v>1.4628981632653064</v>
      </c>
      <c r="J9" s="3">
        <f t="shared" si="6"/>
        <v>1.6512653061224487</v>
      </c>
      <c r="K9" s="3">
        <f t="shared" si="6"/>
        <v>1.7002977551020406</v>
      </c>
      <c r="L9" s="3">
        <f t="shared" si="6"/>
        <v>1.6707346938775509</v>
      </c>
      <c r="M9" s="3">
        <f t="shared" si="6"/>
        <v>1.5664159183673463</v>
      </c>
      <c r="N9" s="3">
        <f t="shared" si="6"/>
        <v>1.7497755102040815</v>
      </c>
      <c r="O9" s="3">
        <f t="shared" si="6"/>
        <v>1.4793159183673465</v>
      </c>
      <c r="P9" s="3">
        <f t="shared" si="6"/>
        <v>1.6159222448979589</v>
      </c>
      <c r="Q9" s="3">
        <f t="shared" si="6"/>
        <v>1.7882118367346937</v>
      </c>
      <c r="R9" s="3">
        <f t="shared" si="6"/>
        <v>1.7604081632653061</v>
      </c>
      <c r="S9" s="3">
        <f t="shared" si="6"/>
        <v>1.4256442857142855</v>
      </c>
      <c r="T9" s="3">
        <f t="shared" si="6"/>
        <v>1.710400612244898</v>
      </c>
      <c r="U9" s="3">
        <f t="shared" si="6"/>
        <v>1.6771808163265303</v>
      </c>
      <c r="W9">
        <v>2011</v>
      </c>
      <c r="X9" s="3">
        <v>1.3574081632653059</v>
      </c>
      <c r="Y9" s="3">
        <v>1.5445285714285724</v>
      </c>
      <c r="Z9" s="3">
        <v>1.4070151020408159</v>
      </c>
      <c r="AA9" s="3">
        <v>1.5269387755102037</v>
      </c>
      <c r="AB9" s="3">
        <v>1.6102555102040816</v>
      </c>
      <c r="AC9" s="3">
        <v>1.5597993877551026</v>
      </c>
      <c r="AD9" s="3">
        <v>1.4981204081632651</v>
      </c>
      <c r="AE9" s="3">
        <v>1.6665714285714293</v>
      </c>
      <c r="AF9" s="3">
        <v>1.3720989795918364</v>
      </c>
      <c r="AG9" s="3">
        <v>1.4814857142857127</v>
      </c>
      <c r="AH9" s="3">
        <v>1.5512561224489789</v>
      </c>
      <c r="AI9" s="3">
        <v>1.6389526530612242</v>
      </c>
      <c r="AJ9" s="3">
        <v>1.3174802040816329</v>
      </c>
      <c r="AK9" s="3">
        <v>1.5431112244897964</v>
      </c>
      <c r="AL9" s="3">
        <v>1.5375706122448975</v>
      </c>
    </row>
    <row r="10" spans="6:38">
      <c r="F10">
        <v>2011</v>
      </c>
      <c r="G10" s="3">
        <f t="shared" ref="G10:U10" si="7">AVERAGE(G371:G419)</f>
        <v>1.3574081632653059</v>
      </c>
      <c r="H10" s="3">
        <f t="shared" si="7"/>
        <v>1.5445285714285724</v>
      </c>
      <c r="I10" s="3">
        <f t="shared" si="7"/>
        <v>1.4070151020408159</v>
      </c>
      <c r="J10" s="3">
        <f t="shared" si="7"/>
        <v>1.5269387755102037</v>
      </c>
      <c r="K10" s="3">
        <f t="shared" si="7"/>
        <v>1.6102555102040816</v>
      </c>
      <c r="L10" s="3">
        <f t="shared" si="7"/>
        <v>1.5597993877551026</v>
      </c>
      <c r="M10" s="3">
        <f t="shared" si="7"/>
        <v>1.4981204081632651</v>
      </c>
      <c r="N10" s="3">
        <f t="shared" si="7"/>
        <v>1.6665714285714293</v>
      </c>
      <c r="O10" s="3">
        <f t="shared" si="7"/>
        <v>1.3720989795918364</v>
      </c>
      <c r="P10" s="3">
        <f t="shared" si="7"/>
        <v>1.4814857142857127</v>
      </c>
      <c r="Q10" s="3">
        <f t="shared" si="7"/>
        <v>1.5512561224489789</v>
      </c>
      <c r="R10" s="3">
        <f t="shared" si="7"/>
        <v>1.6389526530612242</v>
      </c>
      <c r="S10" s="3">
        <f t="shared" si="7"/>
        <v>1.3174802040816329</v>
      </c>
      <c r="T10" s="3">
        <f t="shared" si="7"/>
        <v>1.5431112244897964</v>
      </c>
      <c r="U10" s="3">
        <f t="shared" si="7"/>
        <v>1.5375706122448975</v>
      </c>
      <c r="W10">
        <v>2012</v>
      </c>
      <c r="X10" s="3">
        <v>1.4497755102040817</v>
      </c>
      <c r="Y10" s="3">
        <v>1.646034693877551</v>
      </c>
      <c r="Z10" s="3">
        <v>1.4628981632653064</v>
      </c>
      <c r="AA10" s="3">
        <v>1.6512653061224487</v>
      </c>
      <c r="AB10" s="3">
        <v>1.7002977551020406</v>
      </c>
      <c r="AC10" s="3">
        <v>1.6707346938775509</v>
      </c>
      <c r="AD10" s="3">
        <v>1.5664159183673463</v>
      </c>
      <c r="AE10" s="3">
        <v>1.7497755102040815</v>
      </c>
      <c r="AF10" s="3">
        <v>1.4793159183673465</v>
      </c>
      <c r="AG10" s="3">
        <v>1.6159222448979589</v>
      </c>
      <c r="AH10" s="3">
        <v>1.7882118367346937</v>
      </c>
      <c r="AI10" s="3">
        <v>1.7604081632653061</v>
      </c>
      <c r="AJ10" s="3">
        <v>1.4256442857142855</v>
      </c>
      <c r="AK10" s="3">
        <v>1.710400612244898</v>
      </c>
      <c r="AL10" s="3">
        <v>1.6771808163265303</v>
      </c>
    </row>
    <row r="11" spans="6:38">
      <c r="F11">
        <v>2010</v>
      </c>
      <c r="G11" s="3">
        <f t="shared" ref="G11:U11" si="8">AVERAGE(G420:G468)</f>
        <v>1.1874897959183672</v>
      </c>
      <c r="H11" s="3">
        <f t="shared" si="8"/>
        <v>1.4007326530612245</v>
      </c>
      <c r="I11" s="3">
        <f t="shared" si="8"/>
        <v>1.2546514285714285</v>
      </c>
      <c r="J11" s="3">
        <f t="shared" si="8"/>
        <v>1.3910510204081636</v>
      </c>
      <c r="K11" s="3">
        <f t="shared" si="8"/>
        <v>1.4409142857142856</v>
      </c>
      <c r="L11" s="3">
        <f t="shared" si="8"/>
        <v>1.4260102040816327</v>
      </c>
      <c r="M11" s="3">
        <f t="shared" si="8"/>
        <v>1.3426140816326526</v>
      </c>
      <c r="N11" s="3">
        <f t="shared" si="8"/>
        <v>1.4298163265306119</v>
      </c>
      <c r="O11" s="3">
        <f t="shared" si="8"/>
        <v>1.2227826530612247</v>
      </c>
      <c r="P11" s="3">
        <f t="shared" si="8"/>
        <v>1.3004897959183672</v>
      </c>
      <c r="Q11" s="3">
        <f t="shared" si="8"/>
        <v>1.3631312244897962</v>
      </c>
      <c r="R11" s="3">
        <f t="shared" si="8"/>
        <v>1.4929795918367346</v>
      </c>
      <c r="S11" s="3">
        <f t="shared" si="8"/>
        <v>1.1621830612244899</v>
      </c>
      <c r="T11" s="3">
        <f t="shared" si="8"/>
        <v>1.3404159183673463</v>
      </c>
      <c r="U11" s="3">
        <f t="shared" si="8"/>
        <v>1.360952244897959</v>
      </c>
      <c r="W11">
        <v>2013</v>
      </c>
      <c r="X11" s="3">
        <v>1.3929795918367349</v>
      </c>
      <c r="Y11" s="3">
        <v>1.5820440816326535</v>
      </c>
      <c r="Z11" s="3">
        <v>1.3955702040816327</v>
      </c>
      <c r="AA11" s="3">
        <v>1.6011020408163263</v>
      </c>
      <c r="AB11" s="3">
        <v>1.6761663265306124</v>
      </c>
      <c r="AC11" s="3">
        <v>1.6425306122448979</v>
      </c>
      <c r="AD11" s="3">
        <v>1.5371897959183671</v>
      </c>
      <c r="AE11" s="3">
        <v>1.6926734693877552</v>
      </c>
      <c r="AF11" s="3">
        <v>1.4074732653061226</v>
      </c>
      <c r="AG11" s="3">
        <v>1.5880748979591839</v>
      </c>
      <c r="AH11" s="3">
        <v>1.7487510204081635</v>
      </c>
      <c r="AI11" s="3">
        <v>1.73765306122449</v>
      </c>
      <c r="AJ11" s="3">
        <v>1.43182306122449</v>
      </c>
      <c r="AK11" s="3">
        <v>1.6696210204081638</v>
      </c>
      <c r="AL11" s="3">
        <v>1.5822991836734692</v>
      </c>
    </row>
    <row r="12" spans="6:38">
      <c r="F12">
        <v>2009</v>
      </c>
      <c r="G12" s="3">
        <f t="shared" ref="G12:U12" si="9">AVERAGE(G469:G518)</f>
        <v>1.0448600000000001</v>
      </c>
      <c r="H12" s="3">
        <f t="shared" si="9"/>
        <v>1.2404210000000004</v>
      </c>
      <c r="I12" s="3">
        <f t="shared" si="9"/>
        <v>1.0322018000000002</v>
      </c>
      <c r="J12" s="3">
        <f t="shared" si="9"/>
        <v>1.2620200000000001</v>
      </c>
      <c r="K12" s="3">
        <f t="shared" si="9"/>
        <v>1.2810302000000002</v>
      </c>
      <c r="L12" s="3">
        <f t="shared" si="9"/>
        <v>1.2772444000000001</v>
      </c>
      <c r="M12" s="3">
        <f t="shared" si="9"/>
        <v>1.209292</v>
      </c>
      <c r="N12" s="3">
        <f t="shared" si="9"/>
        <v>0.99615999999999982</v>
      </c>
      <c r="O12" s="3">
        <f t="shared" si="9"/>
        <v>0.99889379999999972</v>
      </c>
      <c r="P12" s="3">
        <f t="shared" si="9"/>
        <v>1.1057199999999994</v>
      </c>
      <c r="Q12" s="3">
        <f t="shared" si="9"/>
        <v>1.2341379999999997</v>
      </c>
      <c r="R12" s="3">
        <f t="shared" si="9"/>
        <v>1.3514800000000005</v>
      </c>
      <c r="S12" s="3">
        <f t="shared" si="9"/>
        <v>1.0062034</v>
      </c>
      <c r="T12" s="3">
        <f t="shared" si="9"/>
        <v>1.1244969999999999</v>
      </c>
      <c r="U12" s="3">
        <f t="shared" si="9"/>
        <v>1.1183175999999997</v>
      </c>
      <c r="W12">
        <v>2014</v>
      </c>
      <c r="X12" s="3">
        <v>1.3496938775510205</v>
      </c>
      <c r="Y12" s="3">
        <v>1.5342485714285712</v>
      </c>
      <c r="Z12" s="3">
        <v>1.3176712244897963</v>
      </c>
      <c r="AA12" s="3">
        <v>1.5431632653061222</v>
      </c>
      <c r="AB12" s="3">
        <v>1.6463885714285711</v>
      </c>
      <c r="AC12" s="3">
        <v>1.6073265306122448</v>
      </c>
      <c r="AD12" s="3">
        <v>1.4919118367346942</v>
      </c>
      <c r="AE12" s="3">
        <v>1.653061224489796</v>
      </c>
      <c r="AF12" s="3">
        <v>1.3260777551020408</v>
      </c>
      <c r="AG12" s="3">
        <v>1.5298546938775504</v>
      </c>
      <c r="AH12" s="3">
        <v>1.7162004081632651</v>
      </c>
      <c r="AI12" s="3">
        <v>1.7019032653061219</v>
      </c>
      <c r="AJ12" s="3">
        <v>1.3926463265306119</v>
      </c>
      <c r="AK12" s="3">
        <v>1.5726628571428574</v>
      </c>
      <c r="AL12" s="3">
        <v>1.5863832653061223</v>
      </c>
    </row>
    <row r="13" spans="6:38">
      <c r="F13">
        <v>2008</v>
      </c>
      <c r="G13" s="3">
        <f t="shared" ref="G13:U13" si="10">AVERAGE(G519:G567)</f>
        <v>1.2156938775510202</v>
      </c>
      <c r="H13" s="3">
        <f t="shared" si="10"/>
        <v>1.4177234693877554</v>
      </c>
      <c r="I13" s="3">
        <f t="shared" si="10"/>
        <v>1.2316148979591837</v>
      </c>
      <c r="J13" s="3">
        <f t="shared" si="10"/>
        <v>1.3933520408163265</v>
      </c>
      <c r="K13" s="3">
        <f t="shared" si="10"/>
        <v>1.3872093877551019</v>
      </c>
      <c r="L13" s="3">
        <f t="shared" si="10"/>
        <v>1.4456232653061227</v>
      </c>
      <c r="M13" s="3">
        <f t="shared" si="10"/>
        <v>1.3654628571428569</v>
      </c>
      <c r="N13" s="3">
        <f t="shared" si="10"/>
        <v>1.128020408163265</v>
      </c>
      <c r="O13" s="3">
        <f t="shared" si="10"/>
        <v>1.1794771428571427</v>
      </c>
      <c r="P13" s="3">
        <f t="shared" si="10"/>
        <v>1.2367142857142861</v>
      </c>
      <c r="Q13" s="3">
        <f t="shared" si="10"/>
        <v>1.3875367346938776</v>
      </c>
      <c r="R13" s="3">
        <f t="shared" si="10"/>
        <v>1.5427346938775515</v>
      </c>
      <c r="S13" s="3">
        <f t="shared" si="10"/>
        <v>1.131721632653061</v>
      </c>
      <c r="T13" s="3">
        <f t="shared" si="10"/>
        <v>1.3107324489795917</v>
      </c>
      <c r="U13" s="3">
        <f t="shared" si="10"/>
        <v>1.3647618367346939</v>
      </c>
      <c r="W13">
        <v>2015</v>
      </c>
      <c r="X13" s="3">
        <v>1.2020816326530612</v>
      </c>
      <c r="Y13" s="3">
        <v>1.3658259183673467</v>
      </c>
      <c r="Z13" s="3">
        <v>1.1541879591836737</v>
      </c>
      <c r="AA13" s="3">
        <v>1.3970408163265309</v>
      </c>
      <c r="AB13" s="3">
        <v>1.5021897959183672</v>
      </c>
      <c r="AC13" s="3">
        <v>1.468081632653061</v>
      </c>
      <c r="AD13" s="3">
        <v>1.3563706122448982</v>
      </c>
      <c r="AE13" s="3">
        <v>1.480571428571428</v>
      </c>
      <c r="AF13" s="3">
        <v>1.1580304081632655</v>
      </c>
      <c r="AG13" s="3">
        <v>1.369</v>
      </c>
      <c r="AH13" s="3">
        <v>1.5376844897959185</v>
      </c>
      <c r="AI13" s="3">
        <v>1.5633469387755101</v>
      </c>
      <c r="AJ13" s="3">
        <v>1.2317565306122449</v>
      </c>
      <c r="AK13" s="3">
        <v>1.4094679591836734</v>
      </c>
      <c r="AL13" s="3">
        <v>1.5355140816326531</v>
      </c>
    </row>
    <row r="14" spans="6:38">
      <c r="F14">
        <v>2007</v>
      </c>
      <c r="G14" s="3">
        <f t="shared" ref="G14:U14" si="11">AVERAGE(G568:G616)</f>
        <v>1.1212448979591836</v>
      </c>
      <c r="H14" s="3">
        <f t="shared" si="11"/>
        <v>1.3198008163265307</v>
      </c>
      <c r="I14" s="3">
        <f t="shared" si="11"/>
        <v>1.0639034693877554</v>
      </c>
      <c r="J14" s="3">
        <f t="shared" si="11"/>
        <v>1.3354469387755099</v>
      </c>
      <c r="K14" s="3">
        <f t="shared" si="11"/>
        <v>1.3044885714285714</v>
      </c>
      <c r="L14" s="3">
        <f t="shared" si="11"/>
        <v>1.2983773469387754</v>
      </c>
      <c r="M14" s="3">
        <f t="shared" si="11"/>
        <v>1.2741457142857142</v>
      </c>
      <c r="N14" s="3">
        <f t="shared" si="11"/>
        <v>1.0119795918367347</v>
      </c>
      <c r="O14" s="3">
        <f t="shared" si="11"/>
        <v>1.1006040816326528</v>
      </c>
      <c r="P14" s="3">
        <f t="shared" si="11"/>
        <v>1.120571428571429</v>
      </c>
      <c r="Q14" s="3">
        <f t="shared" si="11"/>
        <v>1.2995093877551021</v>
      </c>
      <c r="R14" s="3">
        <f t="shared" si="11"/>
        <v>1.4612081632653062</v>
      </c>
      <c r="S14" s="3">
        <f t="shared" si="11"/>
        <v>1.0497285714285713</v>
      </c>
      <c r="T14" s="3">
        <f t="shared" si="11"/>
        <v>1.2441920408163263</v>
      </c>
      <c r="U14" s="3">
        <f t="shared" si="11"/>
        <v>1.3801851020408162</v>
      </c>
      <c r="W14">
        <v>2016</v>
      </c>
      <c r="X14" s="3">
        <v>1.1114200000000001</v>
      </c>
      <c r="Y14" s="3">
        <v>1.2633165999999993</v>
      </c>
      <c r="Z14" s="3">
        <v>1.0584250000000002</v>
      </c>
      <c r="AA14" s="3">
        <v>1.30542</v>
      </c>
      <c r="AB14" s="3">
        <v>1.4134422</v>
      </c>
      <c r="AC14" s="3">
        <v>1.3808399999999998</v>
      </c>
      <c r="AD14" s="3">
        <v>1.3011673999999998</v>
      </c>
      <c r="AE14" s="3">
        <v>1.3937399999999993</v>
      </c>
      <c r="AF14" s="3">
        <v>1.0690576000000001</v>
      </c>
      <c r="AG14" s="3">
        <v>1.2830179999999998</v>
      </c>
      <c r="AH14" s="3">
        <v>1.4432363999999998</v>
      </c>
      <c r="AI14" s="3">
        <v>1.4769999999999996</v>
      </c>
      <c r="AJ14" s="3">
        <v>1.1494630000000006</v>
      </c>
      <c r="AK14" s="3">
        <v>1.3844369999999997</v>
      </c>
      <c r="AL14" s="3">
        <v>1.3308655999999999</v>
      </c>
    </row>
    <row r="15" spans="6:38">
      <c r="F15">
        <v>2006</v>
      </c>
      <c r="G15" s="3">
        <f t="shared" ref="G15:U15" si="12">AVERAGE(G617:G665)</f>
        <v>1.0917959183673471</v>
      </c>
      <c r="H15" s="3">
        <f t="shared" si="12"/>
        <v>1.2928206122448986</v>
      </c>
      <c r="I15" s="3">
        <f t="shared" si="12"/>
        <v>1.0474738775510206</v>
      </c>
      <c r="J15" s="3">
        <f t="shared" si="12"/>
        <v>1.2833436734693877</v>
      </c>
      <c r="K15" s="3">
        <f t="shared" si="12"/>
        <v>1.2792567346938777</v>
      </c>
      <c r="L15" s="3">
        <f t="shared" si="12"/>
        <v>1.2874046938775505</v>
      </c>
      <c r="M15" s="3">
        <f t="shared" si="12"/>
        <v>1.2384579591836735</v>
      </c>
      <c r="N15" s="3">
        <f t="shared" si="12"/>
        <v>0.97828571428571431</v>
      </c>
      <c r="O15" s="3">
        <f t="shared" si="12"/>
        <v>1.0489961224489792</v>
      </c>
      <c r="P15" s="3">
        <f t="shared" si="12"/>
        <v>1.1187551020408166</v>
      </c>
      <c r="Q15" s="3">
        <f t="shared" si="12"/>
        <v>1.2867630612244898</v>
      </c>
      <c r="R15" s="3">
        <f t="shared" si="12"/>
        <v>1.4147346938775507</v>
      </c>
      <c r="S15" s="3">
        <f t="shared" si="12"/>
        <v>1.0352216326530614</v>
      </c>
      <c r="T15" s="3">
        <f t="shared" si="12"/>
        <v>1.233984285714286</v>
      </c>
      <c r="U15" s="3">
        <f t="shared" si="12"/>
        <v>1.3413716326530609</v>
      </c>
      <c r="W15">
        <v>2017</v>
      </c>
      <c r="X15" s="3">
        <v>1.1774400000000003</v>
      </c>
      <c r="Y15" s="3">
        <v>1.3504262</v>
      </c>
      <c r="Z15" s="3">
        <v>1.1509199999999999</v>
      </c>
      <c r="AA15" s="3">
        <v>1.3738800000000004</v>
      </c>
      <c r="AB15" s="3">
        <v>1.4959421999999998</v>
      </c>
      <c r="AC15" s="3">
        <v>1.4643200000000001</v>
      </c>
      <c r="AD15" s="3">
        <v>1.3753759999999999</v>
      </c>
      <c r="AE15" s="3">
        <v>1.51092</v>
      </c>
      <c r="AF15" s="3">
        <v>1.1473538000000003</v>
      </c>
      <c r="AG15" s="3">
        <v>1.3638000000000006</v>
      </c>
      <c r="AH15" s="3">
        <v>1.5276388000000001</v>
      </c>
      <c r="AI15" s="3">
        <v>1.5521100000000001</v>
      </c>
      <c r="AJ15" s="3">
        <v>1.2168797999999996</v>
      </c>
      <c r="AK15" s="3">
        <v>1.4555204000000004</v>
      </c>
      <c r="AL15" s="3">
        <v>1.341021</v>
      </c>
    </row>
    <row r="16" spans="6:38">
      <c r="F16">
        <v>2005</v>
      </c>
      <c r="G16" s="3">
        <f>AVERAGE(G666:G714)</f>
        <v>1.0335306122448977</v>
      </c>
      <c r="H16" s="3">
        <f t="shared" ref="H16:U16" si="13">AVERAGE(H666:H714)</f>
        <v>1.2219444897959186</v>
      </c>
      <c r="I16" s="3">
        <f t="shared" si="13"/>
        <v>0.95358040816326528</v>
      </c>
      <c r="J16" s="3">
        <f t="shared" si="13"/>
        <v>1.2216826530612246</v>
      </c>
      <c r="K16" s="3">
        <f t="shared" si="13"/>
        <v>1.2116324489795913</v>
      </c>
      <c r="L16" s="3">
        <f t="shared" si="13"/>
        <v>1.2169655102040813</v>
      </c>
      <c r="M16" s="3">
        <f t="shared" si="13"/>
        <v>1.162654489795919</v>
      </c>
      <c r="N16" s="3">
        <f t="shared" si="13"/>
        <v>0.89179591836734706</v>
      </c>
      <c r="O16" s="3">
        <f t="shared" si="13"/>
        <v>1.0507422448979593</v>
      </c>
      <c r="P16" s="3">
        <f t="shared" si="13"/>
        <v>1.0487346938775512</v>
      </c>
      <c r="Q16" s="3">
        <f t="shared" si="13"/>
        <v>1.2199861224489794</v>
      </c>
      <c r="R16" s="3">
        <f t="shared" si="13"/>
        <v>1.3532244897959183</v>
      </c>
      <c r="S16" s="3">
        <f t="shared" si="13"/>
        <v>0.96293061224489807</v>
      </c>
      <c r="T16" s="3">
        <f t="shared" si="13"/>
        <v>1.1831071428571429</v>
      </c>
      <c r="U16" s="3">
        <f t="shared" si="13"/>
        <v>1.2685624489795915</v>
      </c>
      <c r="W16">
        <v>2018</v>
      </c>
      <c r="X16" s="3">
        <v>1.247807692307692</v>
      </c>
      <c r="Y16" s="3">
        <v>1.402274615384616</v>
      </c>
      <c r="Z16" s="3">
        <v>1.2422657692307695</v>
      </c>
      <c r="AA16" s="3">
        <v>1.4169038461538466</v>
      </c>
      <c r="AB16" s="3">
        <v>1.5928665384615395</v>
      </c>
      <c r="AC16" s="3">
        <v>1.5078461538461536</v>
      </c>
      <c r="AD16" s="3">
        <v>1.5038761538461536</v>
      </c>
      <c r="AE16" s="3">
        <v>1.5917884615384623</v>
      </c>
      <c r="AF16" s="3">
        <v>1.1998417307692306</v>
      </c>
      <c r="AG16" s="3">
        <v>1.4220769230769226</v>
      </c>
      <c r="AH16" s="3">
        <v>1.5965511538461534</v>
      </c>
      <c r="AI16" s="3">
        <v>1.6277923076923086</v>
      </c>
      <c r="AJ16" s="3">
        <v>1.286630576923077</v>
      </c>
      <c r="AK16" s="3">
        <v>1.5088871153846151</v>
      </c>
      <c r="AL16" s="3">
        <v>1.4032582692307696</v>
      </c>
    </row>
    <row r="20" spans="1:38">
      <c r="X20" t="s">
        <v>353</v>
      </c>
    </row>
    <row r="21" spans="1:38" ht="25.5">
      <c r="A21" s="91" t="s">
        <v>385</v>
      </c>
      <c r="B21" s="90" t="s">
        <v>385</v>
      </c>
      <c r="C21" s="90" t="s">
        <v>384</v>
      </c>
      <c r="D21" s="89" t="s">
        <v>383</v>
      </c>
      <c r="F21" s="91" t="s">
        <v>385</v>
      </c>
    </row>
    <row r="22" spans="1:38">
      <c r="B22" s="88"/>
      <c r="C22" s="88"/>
      <c r="D22" s="87" t="s">
        <v>382</v>
      </c>
      <c r="G22" t="s">
        <v>363</v>
      </c>
      <c r="H22" t="s">
        <v>403</v>
      </c>
      <c r="I22" t="s">
        <v>358</v>
      </c>
      <c r="J22" t="s">
        <v>359</v>
      </c>
      <c r="K22" t="s">
        <v>365</v>
      </c>
      <c r="L22" t="s">
        <v>430</v>
      </c>
      <c r="M22" t="s">
        <v>431</v>
      </c>
      <c r="N22" t="s">
        <v>362</v>
      </c>
      <c r="O22" t="s">
        <v>366</v>
      </c>
      <c r="P22" t="s">
        <v>369</v>
      </c>
      <c r="Q22" t="s">
        <v>367</v>
      </c>
      <c r="R22" t="s">
        <v>373</v>
      </c>
      <c r="S22" t="s">
        <v>374</v>
      </c>
      <c r="T22" t="s">
        <v>375</v>
      </c>
      <c r="U22" t="s">
        <v>432</v>
      </c>
      <c r="X22" t="s">
        <v>363</v>
      </c>
      <c r="Y22" t="s">
        <v>403</v>
      </c>
      <c r="Z22" t="s">
        <v>358</v>
      </c>
      <c r="AA22" t="s">
        <v>359</v>
      </c>
      <c r="AB22" t="s">
        <v>365</v>
      </c>
      <c r="AC22" t="s">
        <v>430</v>
      </c>
      <c r="AD22" t="s">
        <v>431</v>
      </c>
      <c r="AE22" t="s">
        <v>362</v>
      </c>
      <c r="AF22" t="s">
        <v>366</v>
      </c>
      <c r="AG22" t="s">
        <v>369</v>
      </c>
      <c r="AH22" t="s">
        <v>367</v>
      </c>
      <c r="AI22" t="s">
        <v>373</v>
      </c>
      <c r="AJ22" t="s">
        <v>374</v>
      </c>
      <c r="AK22" t="s">
        <v>375</v>
      </c>
      <c r="AL22" t="s">
        <v>432</v>
      </c>
    </row>
    <row r="23" spans="1:38">
      <c r="A23" s="91">
        <v>43465</v>
      </c>
      <c r="B23" s="88"/>
      <c r="C23" s="88"/>
      <c r="D23" s="87"/>
      <c r="F23" s="91">
        <v>43465</v>
      </c>
      <c r="G23" s="8">
        <f t="shared" ref="G23:U30" si="14">G66</f>
        <v>1.181</v>
      </c>
      <c r="H23" s="8">
        <f t="shared" si="14"/>
        <v>1.3742999999999999</v>
      </c>
      <c r="I23" s="8">
        <f t="shared" si="14"/>
        <v>1.19865</v>
      </c>
      <c r="J23" s="8">
        <f t="shared" si="14"/>
        <v>1.34</v>
      </c>
      <c r="K23" s="8">
        <f t="shared" si="14"/>
        <v>1.4974700000000001</v>
      </c>
      <c r="L23" s="8">
        <f t="shared" si="14"/>
        <v>1.4490000000000001</v>
      </c>
      <c r="M23" s="8">
        <f t="shared" si="14"/>
        <v>1.45404</v>
      </c>
      <c r="N23" s="8">
        <f t="shared" si="14"/>
        <v>1.55</v>
      </c>
      <c r="O23" s="8">
        <f t="shared" si="14"/>
        <v>1.1258699999999999</v>
      </c>
      <c r="P23" s="8">
        <f t="shared" si="14"/>
        <v>1.379</v>
      </c>
      <c r="Q23" s="8">
        <f t="shared" si="14"/>
        <v>1.54671</v>
      </c>
      <c r="R23" s="8">
        <f t="shared" si="14"/>
        <v>1.554</v>
      </c>
      <c r="S23" s="8">
        <f t="shared" si="14"/>
        <v>1.2244900000000001</v>
      </c>
      <c r="T23" s="8">
        <f t="shared" si="14"/>
        <v>1.43984</v>
      </c>
      <c r="U23" s="8">
        <f t="shared" si="14"/>
        <v>1.3613199999999999</v>
      </c>
      <c r="W23" s="91">
        <v>43465</v>
      </c>
    </row>
    <row r="24" spans="1:38">
      <c r="A24" s="91">
        <v>43458</v>
      </c>
      <c r="B24" s="88"/>
      <c r="C24" s="88"/>
      <c r="D24" s="87"/>
      <c r="F24" s="91">
        <v>43458</v>
      </c>
      <c r="G24" s="8">
        <f t="shared" si="14"/>
        <v>1.1950000000000001</v>
      </c>
      <c r="H24" s="8">
        <f t="shared" si="14"/>
        <v>1.3303</v>
      </c>
      <c r="I24" s="8">
        <f t="shared" si="14"/>
        <v>1.2059900000000001</v>
      </c>
      <c r="J24" s="8">
        <f t="shared" si="14"/>
        <v>1.339</v>
      </c>
      <c r="K24" s="8">
        <f t="shared" si="14"/>
        <v>1.49705</v>
      </c>
      <c r="L24" s="8">
        <f t="shared" si="14"/>
        <v>1.452</v>
      </c>
      <c r="M24" s="8">
        <f t="shared" si="14"/>
        <v>1.46061</v>
      </c>
      <c r="N24" s="8">
        <f t="shared" si="14"/>
        <v>1.55</v>
      </c>
      <c r="O24" s="8">
        <f t="shared" si="14"/>
        <v>1.13845</v>
      </c>
      <c r="P24" s="8">
        <f t="shared" si="14"/>
        <v>1.389</v>
      </c>
      <c r="Q24" s="8">
        <f t="shared" si="14"/>
        <v>1.55348</v>
      </c>
      <c r="R24" s="8">
        <f t="shared" si="14"/>
        <v>1.548</v>
      </c>
      <c r="S24" s="8">
        <f t="shared" si="14"/>
        <v>1.2280899999999999</v>
      </c>
      <c r="T24" s="8">
        <f t="shared" si="14"/>
        <v>1.4377500000000001</v>
      </c>
      <c r="U24" s="8">
        <f t="shared" si="14"/>
        <v>1.3603900000000002</v>
      </c>
      <c r="W24" s="91">
        <v>43458</v>
      </c>
    </row>
    <row r="25" spans="1:38">
      <c r="A25" s="91">
        <v>43451</v>
      </c>
      <c r="B25" s="88"/>
      <c r="C25" s="88"/>
      <c r="D25" s="87"/>
      <c r="F25" s="91">
        <v>43451</v>
      </c>
      <c r="G25" s="8">
        <f t="shared" si="14"/>
        <v>1.198</v>
      </c>
      <c r="H25" s="8">
        <f t="shared" si="14"/>
        <v>1.3628</v>
      </c>
      <c r="I25" s="8">
        <f t="shared" si="14"/>
        <v>1.2121999999999999</v>
      </c>
      <c r="J25" s="8">
        <f t="shared" si="14"/>
        <v>1.355</v>
      </c>
      <c r="K25" s="8">
        <f t="shared" si="14"/>
        <v>1.5203199999999999</v>
      </c>
      <c r="L25" s="8">
        <f t="shared" si="14"/>
        <v>1.456</v>
      </c>
      <c r="M25" s="8">
        <f t="shared" si="14"/>
        <v>1.47682</v>
      </c>
      <c r="N25" s="8">
        <f t="shared" si="14"/>
        <v>1.55</v>
      </c>
      <c r="O25" s="8">
        <f t="shared" si="14"/>
        <v>1.17031</v>
      </c>
      <c r="P25" s="8">
        <f t="shared" si="14"/>
        <v>1.389</v>
      </c>
      <c r="Q25" s="8">
        <f t="shared" si="14"/>
        <v>1.5699100000000001</v>
      </c>
      <c r="R25" s="8">
        <f t="shared" si="14"/>
        <v>1.57216</v>
      </c>
      <c r="S25" s="8">
        <f t="shared" si="14"/>
        <v>1.24824</v>
      </c>
      <c r="T25" s="8">
        <f t="shared" si="14"/>
        <v>1.4664000000000001</v>
      </c>
      <c r="U25" s="8">
        <f t="shared" si="14"/>
        <v>1.3722799999999999</v>
      </c>
      <c r="W25" s="91">
        <v>43451</v>
      </c>
    </row>
    <row r="26" spans="1:38">
      <c r="A26" s="91">
        <v>43444</v>
      </c>
      <c r="B26" s="88"/>
      <c r="C26" s="88"/>
      <c r="D26" s="87"/>
      <c r="F26" s="91">
        <v>43444</v>
      </c>
      <c r="G26" s="8">
        <f t="shared" si="14"/>
        <v>1.21</v>
      </c>
      <c r="H26" s="8">
        <f t="shared" si="14"/>
        <v>1.3692</v>
      </c>
      <c r="I26" s="8">
        <f t="shared" si="14"/>
        <v>1.2199599999999999</v>
      </c>
      <c r="J26" s="8">
        <f t="shared" si="14"/>
        <v>1.371</v>
      </c>
      <c r="K26" s="8">
        <f t="shared" si="14"/>
        <v>1.53427</v>
      </c>
      <c r="L26" s="8">
        <f t="shared" si="14"/>
        <v>1.458</v>
      </c>
      <c r="M26" s="8">
        <f t="shared" si="14"/>
        <v>1.4789100000000002</v>
      </c>
      <c r="N26" s="8">
        <f t="shared" si="14"/>
        <v>1.5489999999999999</v>
      </c>
      <c r="O26" s="8">
        <f t="shared" si="14"/>
        <v>1.18892</v>
      </c>
      <c r="P26" s="8">
        <f t="shared" si="14"/>
        <v>1.389</v>
      </c>
      <c r="Q26" s="8">
        <f t="shared" si="14"/>
        <v>1.57342</v>
      </c>
      <c r="R26" s="8">
        <f t="shared" si="14"/>
        <v>1.5944400000000001</v>
      </c>
      <c r="S26" s="8">
        <f t="shared" si="14"/>
        <v>1.25671</v>
      </c>
      <c r="T26" s="8">
        <f t="shared" si="14"/>
        <v>1.51305</v>
      </c>
      <c r="U26" s="8">
        <f t="shared" si="14"/>
        <v>1.37439</v>
      </c>
      <c r="W26" s="91">
        <v>43444</v>
      </c>
    </row>
    <row r="27" spans="1:38">
      <c r="A27" s="91">
        <v>43437</v>
      </c>
      <c r="B27" s="88"/>
      <c r="C27" s="88"/>
      <c r="D27" s="87"/>
      <c r="F27" s="91">
        <v>43437</v>
      </c>
      <c r="G27" s="8">
        <f t="shared" si="14"/>
        <v>1.2090000000000001</v>
      </c>
      <c r="H27" s="8">
        <f t="shared" si="14"/>
        <v>1.3627</v>
      </c>
      <c r="I27" s="8">
        <f t="shared" si="14"/>
        <v>1.2143699999999999</v>
      </c>
      <c r="J27" s="8">
        <f t="shared" si="14"/>
        <v>1.371</v>
      </c>
      <c r="K27" s="8">
        <f t="shared" si="14"/>
        <v>1.5478299999999998</v>
      </c>
      <c r="L27" s="8">
        <f t="shared" si="14"/>
        <v>1.4610000000000001</v>
      </c>
      <c r="M27" s="8">
        <f t="shared" si="14"/>
        <v>1.4775999999999998</v>
      </c>
      <c r="N27" s="8">
        <f t="shared" si="14"/>
        <v>1.55</v>
      </c>
      <c r="O27" s="8">
        <f t="shared" si="14"/>
        <v>1.1837299999999999</v>
      </c>
      <c r="P27" s="8">
        <f t="shared" si="14"/>
        <v>1.389</v>
      </c>
      <c r="Q27" s="8">
        <f t="shared" si="14"/>
        <v>1.57283</v>
      </c>
      <c r="R27" s="8">
        <f t="shared" si="14"/>
        <v>1.6020000000000001</v>
      </c>
      <c r="S27" s="8">
        <f t="shared" si="14"/>
        <v>1.2560499999999999</v>
      </c>
      <c r="T27" s="8">
        <f t="shared" si="14"/>
        <v>1.52101</v>
      </c>
      <c r="U27" s="8">
        <f t="shared" si="14"/>
        <v>1.38384</v>
      </c>
      <c r="W27" s="91">
        <v>43437</v>
      </c>
    </row>
    <row r="28" spans="1:38">
      <c r="A28" s="91">
        <v>43430</v>
      </c>
      <c r="B28" s="88"/>
      <c r="C28" s="88"/>
      <c r="D28" s="87"/>
      <c r="F28" s="91">
        <v>43430</v>
      </c>
      <c r="G28" s="8">
        <f t="shared" si="14"/>
        <v>1.2050000000000001</v>
      </c>
      <c r="H28" s="8">
        <f t="shared" si="14"/>
        <v>1.3512999999999999</v>
      </c>
      <c r="I28" s="8">
        <f t="shared" si="14"/>
        <v>1.20631</v>
      </c>
      <c r="J28" s="8">
        <f t="shared" si="14"/>
        <v>1.3560000000000001</v>
      </c>
      <c r="K28" s="8">
        <f t="shared" si="14"/>
        <v>1.5340799999999999</v>
      </c>
      <c r="L28" s="8">
        <f t="shared" si="14"/>
        <v>1.4450000000000001</v>
      </c>
      <c r="M28" s="8">
        <f t="shared" si="14"/>
        <v>1.47627</v>
      </c>
      <c r="N28" s="8">
        <f t="shared" si="14"/>
        <v>1.5489999999999999</v>
      </c>
      <c r="O28" s="8">
        <f t="shared" si="14"/>
        <v>1.18293</v>
      </c>
      <c r="P28" s="8">
        <f t="shared" si="14"/>
        <v>1.399</v>
      </c>
      <c r="Q28" s="8">
        <f t="shared" si="14"/>
        <v>1.5713699999999999</v>
      </c>
      <c r="R28" s="8">
        <f t="shared" si="14"/>
        <v>1.59</v>
      </c>
      <c r="S28" s="8">
        <f t="shared" si="14"/>
        <v>1.2548699999999999</v>
      </c>
      <c r="T28" s="8">
        <f t="shared" si="14"/>
        <v>1.50356</v>
      </c>
      <c r="U28" s="8">
        <f t="shared" si="14"/>
        <v>1.3793299999999999</v>
      </c>
      <c r="W28" s="91">
        <v>43430</v>
      </c>
    </row>
    <row r="29" spans="1:38">
      <c r="A29" s="91">
        <v>43423</v>
      </c>
      <c r="B29" s="88"/>
      <c r="C29" s="88"/>
      <c r="D29" s="87"/>
      <c r="F29" s="91">
        <v>43423</v>
      </c>
      <c r="G29" s="8">
        <f t="shared" si="14"/>
        <v>1.2070000000000001</v>
      </c>
      <c r="H29" s="8">
        <f t="shared" si="14"/>
        <v>1.3664000000000001</v>
      </c>
      <c r="I29" s="8">
        <f t="shared" si="14"/>
        <v>1.19702</v>
      </c>
      <c r="J29" s="8">
        <f t="shared" si="14"/>
        <v>1.3520000000000001</v>
      </c>
      <c r="K29" s="8">
        <f t="shared" si="14"/>
        <v>1.5329699999999999</v>
      </c>
      <c r="L29" s="8">
        <f t="shared" si="14"/>
        <v>1.4750000000000001</v>
      </c>
      <c r="M29" s="8">
        <f t="shared" si="14"/>
        <v>1.47509</v>
      </c>
      <c r="N29" s="8">
        <f t="shared" si="14"/>
        <v>1.544</v>
      </c>
      <c r="O29" s="8">
        <f t="shared" si="14"/>
        <v>1.17642</v>
      </c>
      <c r="P29" s="8">
        <f t="shared" si="14"/>
        <v>1.399</v>
      </c>
      <c r="Q29" s="8">
        <f t="shared" si="14"/>
        <v>1.5666199999999999</v>
      </c>
      <c r="R29" s="8">
        <f t="shared" si="14"/>
        <v>1.6</v>
      </c>
      <c r="S29" s="8">
        <f t="shared" si="14"/>
        <v>1.2541199999999999</v>
      </c>
      <c r="T29" s="8">
        <f t="shared" si="14"/>
        <v>1.5033299999999998</v>
      </c>
      <c r="U29" s="8">
        <f t="shared" si="14"/>
        <v>1.3584700000000001</v>
      </c>
      <c r="W29" s="91">
        <v>43423</v>
      </c>
    </row>
    <row r="30" spans="1:38">
      <c r="A30" s="91">
        <v>43416</v>
      </c>
      <c r="B30" s="88"/>
      <c r="C30" s="88"/>
      <c r="D30" s="87"/>
      <c r="F30" s="91">
        <v>43416</v>
      </c>
      <c r="G30" s="8">
        <f t="shared" si="14"/>
        <v>1.2050000000000001</v>
      </c>
      <c r="H30" s="8">
        <f t="shared" si="14"/>
        <v>1.3617000000000001</v>
      </c>
      <c r="I30" s="8">
        <f t="shared" si="14"/>
        <v>1.1910399999999999</v>
      </c>
      <c r="J30" s="8">
        <f t="shared" si="14"/>
        <v>1.3759999999999999</v>
      </c>
      <c r="K30" s="8">
        <f t="shared" si="14"/>
        <v>1.5335699999999999</v>
      </c>
      <c r="L30" s="8">
        <f t="shared" si="14"/>
        <v>1.4650000000000001</v>
      </c>
      <c r="M30" s="8">
        <f t="shared" si="14"/>
        <v>1.4682200000000001</v>
      </c>
      <c r="N30" s="8">
        <f t="shared" si="14"/>
        <v>1.54</v>
      </c>
      <c r="O30" s="8">
        <f t="shared" si="14"/>
        <v>1.1703800000000002</v>
      </c>
      <c r="P30" s="8">
        <f t="shared" si="14"/>
        <v>1.389</v>
      </c>
      <c r="Q30" s="8">
        <f t="shared" si="14"/>
        <v>1.56151</v>
      </c>
      <c r="R30" s="8">
        <f t="shared" si="14"/>
        <v>1.581</v>
      </c>
      <c r="S30" s="8">
        <f t="shared" si="14"/>
        <v>1.24899</v>
      </c>
      <c r="T30" s="8">
        <f t="shared" si="14"/>
        <v>1.5005299999999999</v>
      </c>
      <c r="U30" s="8">
        <f t="shared" si="14"/>
        <v>1.36317</v>
      </c>
      <c r="W30" s="91">
        <v>43416</v>
      </c>
    </row>
    <row r="31" spans="1:38">
      <c r="A31" s="91">
        <v>43409</v>
      </c>
      <c r="B31" s="88"/>
      <c r="C31" s="88"/>
      <c r="D31" s="87"/>
      <c r="F31" s="91">
        <v>43409</v>
      </c>
      <c r="G31" s="8">
        <f>G74</f>
        <v>1.2050000000000001</v>
      </c>
      <c r="H31" s="8">
        <f t="shared" ref="H31:U31" si="15">H74</f>
        <v>1.3494000000000002</v>
      </c>
      <c r="I31" s="8">
        <f t="shared" si="15"/>
        <v>1.19268</v>
      </c>
      <c r="J31" s="8">
        <f t="shared" si="15"/>
        <v>1.3779999999999999</v>
      </c>
      <c r="K31" s="8">
        <f t="shared" si="15"/>
        <v>1.5473699999999999</v>
      </c>
      <c r="L31" s="8">
        <f t="shared" si="15"/>
        <v>1.456</v>
      </c>
      <c r="M31" s="8">
        <f t="shared" si="15"/>
        <v>1.40794</v>
      </c>
      <c r="N31" s="8">
        <f t="shared" si="15"/>
        <v>1.534</v>
      </c>
      <c r="O31" s="8">
        <f t="shared" si="15"/>
        <v>1.1549800000000001</v>
      </c>
      <c r="P31" s="8">
        <f t="shared" si="15"/>
        <v>1.389</v>
      </c>
      <c r="Q31" s="8">
        <f t="shared" si="15"/>
        <v>1.55454</v>
      </c>
      <c r="R31" s="8">
        <f t="shared" si="15"/>
        <v>1.5760000000000001</v>
      </c>
      <c r="S31" s="8">
        <f t="shared" si="15"/>
        <v>1.2425200000000001</v>
      </c>
      <c r="T31" s="8">
        <f t="shared" si="15"/>
        <v>1.49475</v>
      </c>
      <c r="U31" s="8">
        <f t="shared" si="15"/>
        <v>1.3546099999999999</v>
      </c>
      <c r="W31" s="91">
        <v>43409</v>
      </c>
    </row>
    <row r="32" spans="1:38">
      <c r="A32" s="91">
        <v>43402</v>
      </c>
      <c r="B32" s="88"/>
      <c r="C32" s="88"/>
      <c r="D32" s="87"/>
      <c r="F32" s="91">
        <v>43402</v>
      </c>
      <c r="G32" s="8">
        <f t="shared" ref="G32:G38" si="16">G33</f>
        <v>1.31</v>
      </c>
      <c r="H32" s="8">
        <f t="shared" ref="H32:H39" si="17">H33</f>
        <v>1.4550999999999998</v>
      </c>
      <c r="I32" s="8">
        <f t="shared" ref="I32:I39" si="18">I33</f>
        <v>1.28976</v>
      </c>
      <c r="J32" s="8">
        <f t="shared" ref="J32:J39" si="19">J33</f>
        <v>1.4990000000000001</v>
      </c>
      <c r="K32" s="8">
        <f t="shared" ref="K32:K39" si="20">K33</f>
        <v>1.6676500000000001</v>
      </c>
      <c r="L32" s="8">
        <f t="shared" ref="L32:L38" si="21">L33</f>
        <v>1.581</v>
      </c>
      <c r="M32" s="8">
        <f t="shared" ref="M32:M39" si="22">M33</f>
        <v>1.54403</v>
      </c>
      <c r="N32" s="8">
        <f t="shared" ref="N32:N39" si="23">N33</f>
        <v>1.643</v>
      </c>
      <c r="O32" s="8">
        <f t="shared" ref="O32:O39" si="24">O33</f>
        <v>1.2366700000000002</v>
      </c>
      <c r="P32" s="8">
        <f t="shared" ref="P32:P39" si="25">P33</f>
        <v>1.4590000000000001</v>
      </c>
      <c r="Q32" s="8">
        <f t="shared" ref="Q32:Q39" si="26">Q33</f>
        <v>1.6336600000000001</v>
      </c>
      <c r="R32" s="8">
        <f t="shared" ref="R32:R39" si="27">R33</f>
        <v>1.6870000000000001</v>
      </c>
      <c r="S32" s="8">
        <f t="shared" ref="S32:S39" si="28">S33</f>
        <v>1.3363499999999999</v>
      </c>
      <c r="T32" s="8">
        <f t="shared" ref="T32:T39" si="29">T33</f>
        <v>1.55142</v>
      </c>
      <c r="U32" s="8">
        <f t="shared" ref="U32:U39" si="30">U33</f>
        <v>1.4392400000000001</v>
      </c>
      <c r="W32" s="91">
        <v>43402</v>
      </c>
    </row>
    <row r="33" spans="1:38">
      <c r="A33" s="91">
        <v>43395</v>
      </c>
      <c r="B33" s="88"/>
      <c r="C33" s="88"/>
      <c r="D33" s="87"/>
      <c r="F33" s="91">
        <v>43395</v>
      </c>
      <c r="G33" s="8">
        <f t="shared" si="16"/>
        <v>1.31</v>
      </c>
      <c r="H33" s="8">
        <f t="shared" si="17"/>
        <v>1.4550999999999998</v>
      </c>
      <c r="I33" s="8">
        <f t="shared" si="18"/>
        <v>1.28976</v>
      </c>
      <c r="J33" s="8">
        <f t="shared" si="19"/>
        <v>1.4990000000000001</v>
      </c>
      <c r="K33" s="8">
        <f t="shared" si="20"/>
        <v>1.6676500000000001</v>
      </c>
      <c r="L33" s="8">
        <f t="shared" si="21"/>
        <v>1.581</v>
      </c>
      <c r="M33" s="8">
        <f t="shared" si="22"/>
        <v>1.54403</v>
      </c>
      <c r="N33" s="8">
        <f t="shared" si="23"/>
        <v>1.643</v>
      </c>
      <c r="O33" s="8">
        <f t="shared" si="24"/>
        <v>1.2366700000000002</v>
      </c>
      <c r="P33" s="8">
        <f t="shared" si="25"/>
        <v>1.4590000000000001</v>
      </c>
      <c r="Q33" s="8">
        <f t="shared" si="26"/>
        <v>1.6336600000000001</v>
      </c>
      <c r="R33" s="8">
        <f t="shared" si="27"/>
        <v>1.6870000000000001</v>
      </c>
      <c r="S33" s="8">
        <f t="shared" si="28"/>
        <v>1.3363499999999999</v>
      </c>
      <c r="T33" s="8">
        <f t="shared" si="29"/>
        <v>1.55142</v>
      </c>
      <c r="U33" s="8">
        <f t="shared" si="30"/>
        <v>1.4392400000000001</v>
      </c>
      <c r="W33" s="91">
        <v>43395</v>
      </c>
    </row>
    <row r="34" spans="1:38">
      <c r="A34" s="91">
        <v>43388</v>
      </c>
      <c r="B34" s="88"/>
      <c r="C34" s="88"/>
      <c r="D34" s="87"/>
      <c r="F34" s="91">
        <v>43388</v>
      </c>
      <c r="G34" s="8">
        <f t="shared" si="16"/>
        <v>1.31</v>
      </c>
      <c r="H34" s="8">
        <f t="shared" si="17"/>
        <v>1.4550999999999998</v>
      </c>
      <c r="I34" s="8">
        <f t="shared" si="18"/>
        <v>1.28976</v>
      </c>
      <c r="J34" s="8">
        <f t="shared" si="19"/>
        <v>1.4990000000000001</v>
      </c>
      <c r="K34" s="8">
        <f t="shared" si="20"/>
        <v>1.6676500000000001</v>
      </c>
      <c r="L34" s="8">
        <f t="shared" si="21"/>
        <v>1.581</v>
      </c>
      <c r="M34" s="8">
        <f t="shared" si="22"/>
        <v>1.54403</v>
      </c>
      <c r="N34" s="8">
        <f t="shared" si="23"/>
        <v>1.643</v>
      </c>
      <c r="O34" s="8">
        <f t="shared" si="24"/>
        <v>1.2366700000000002</v>
      </c>
      <c r="P34" s="8">
        <f t="shared" si="25"/>
        <v>1.4590000000000001</v>
      </c>
      <c r="Q34" s="8">
        <f t="shared" si="26"/>
        <v>1.6336600000000001</v>
      </c>
      <c r="R34" s="8">
        <f t="shared" si="27"/>
        <v>1.6870000000000001</v>
      </c>
      <c r="S34" s="8">
        <f t="shared" si="28"/>
        <v>1.3363499999999999</v>
      </c>
      <c r="T34" s="8">
        <f t="shared" si="29"/>
        <v>1.55142</v>
      </c>
      <c r="U34" s="8">
        <f t="shared" si="30"/>
        <v>1.4392400000000001</v>
      </c>
      <c r="W34" s="91">
        <v>43388</v>
      </c>
    </row>
    <row r="35" spans="1:38">
      <c r="A35" s="91">
        <v>43381</v>
      </c>
      <c r="B35" s="88"/>
      <c r="C35" s="88"/>
      <c r="D35" s="87"/>
      <c r="F35" s="91">
        <v>43381</v>
      </c>
      <c r="G35" s="8">
        <f t="shared" si="16"/>
        <v>1.31</v>
      </c>
      <c r="H35" s="8">
        <f t="shared" si="17"/>
        <v>1.4550999999999998</v>
      </c>
      <c r="I35" s="8">
        <f t="shared" si="18"/>
        <v>1.28976</v>
      </c>
      <c r="J35" s="8">
        <f t="shared" si="19"/>
        <v>1.4990000000000001</v>
      </c>
      <c r="K35" s="8">
        <f t="shared" si="20"/>
        <v>1.6676500000000001</v>
      </c>
      <c r="L35" s="8">
        <f t="shared" si="21"/>
        <v>1.581</v>
      </c>
      <c r="M35" s="8">
        <f t="shared" si="22"/>
        <v>1.54403</v>
      </c>
      <c r="N35" s="8">
        <f t="shared" si="23"/>
        <v>1.643</v>
      </c>
      <c r="O35" s="8">
        <f t="shared" si="24"/>
        <v>1.2366700000000002</v>
      </c>
      <c r="P35" s="8">
        <f t="shared" si="25"/>
        <v>1.4590000000000001</v>
      </c>
      <c r="Q35" s="8">
        <f t="shared" si="26"/>
        <v>1.6336600000000001</v>
      </c>
      <c r="R35" s="8">
        <f t="shared" si="27"/>
        <v>1.6870000000000001</v>
      </c>
      <c r="S35" s="8">
        <f t="shared" si="28"/>
        <v>1.3363499999999999</v>
      </c>
      <c r="T35" s="8">
        <f t="shared" si="29"/>
        <v>1.55142</v>
      </c>
      <c r="U35" s="8">
        <f t="shared" si="30"/>
        <v>1.4392400000000001</v>
      </c>
      <c r="W35" s="91">
        <v>43381</v>
      </c>
    </row>
    <row r="36" spans="1:38">
      <c r="A36" s="91">
        <v>43374</v>
      </c>
      <c r="B36" s="88"/>
      <c r="C36" s="88"/>
      <c r="D36" s="87"/>
      <c r="F36" s="91">
        <v>43374</v>
      </c>
      <c r="G36" s="8">
        <f t="shared" si="16"/>
        <v>1.31</v>
      </c>
      <c r="H36" s="8">
        <f t="shared" si="17"/>
        <v>1.4550999999999998</v>
      </c>
      <c r="I36" s="8">
        <f t="shared" si="18"/>
        <v>1.28976</v>
      </c>
      <c r="J36" s="8">
        <f t="shared" si="19"/>
        <v>1.4990000000000001</v>
      </c>
      <c r="K36" s="8">
        <f t="shared" si="20"/>
        <v>1.6676500000000001</v>
      </c>
      <c r="L36" s="8">
        <f t="shared" si="21"/>
        <v>1.581</v>
      </c>
      <c r="M36" s="8">
        <f t="shared" si="22"/>
        <v>1.54403</v>
      </c>
      <c r="N36" s="8">
        <f t="shared" si="23"/>
        <v>1.643</v>
      </c>
      <c r="O36" s="8">
        <f t="shared" si="24"/>
        <v>1.2366700000000002</v>
      </c>
      <c r="P36" s="8">
        <f t="shared" si="25"/>
        <v>1.4590000000000001</v>
      </c>
      <c r="Q36" s="8">
        <f t="shared" si="26"/>
        <v>1.6336600000000001</v>
      </c>
      <c r="R36" s="8">
        <f t="shared" si="27"/>
        <v>1.6870000000000001</v>
      </c>
      <c r="S36" s="8">
        <f t="shared" si="28"/>
        <v>1.3363499999999999</v>
      </c>
      <c r="T36" s="8">
        <f t="shared" si="29"/>
        <v>1.55142</v>
      </c>
      <c r="U36" s="8">
        <f t="shared" si="30"/>
        <v>1.4392400000000001</v>
      </c>
      <c r="W36" s="91">
        <v>43374</v>
      </c>
    </row>
    <row r="37" spans="1:38">
      <c r="A37" s="91">
        <v>43367</v>
      </c>
      <c r="B37" s="88"/>
      <c r="C37" s="88"/>
      <c r="D37" s="87"/>
      <c r="F37" s="91">
        <v>43367</v>
      </c>
      <c r="G37" s="8">
        <f t="shared" si="16"/>
        <v>1.31</v>
      </c>
      <c r="H37" s="8">
        <f t="shared" si="17"/>
        <v>1.4550999999999998</v>
      </c>
      <c r="I37" s="8">
        <f t="shared" si="18"/>
        <v>1.28976</v>
      </c>
      <c r="J37" s="8">
        <f t="shared" si="19"/>
        <v>1.4990000000000001</v>
      </c>
      <c r="K37" s="8">
        <f t="shared" si="20"/>
        <v>1.6676500000000001</v>
      </c>
      <c r="L37" s="8">
        <f t="shared" si="21"/>
        <v>1.581</v>
      </c>
      <c r="M37" s="8">
        <f t="shared" si="22"/>
        <v>1.54403</v>
      </c>
      <c r="N37" s="8">
        <f t="shared" si="23"/>
        <v>1.643</v>
      </c>
      <c r="O37" s="8">
        <f t="shared" si="24"/>
        <v>1.2366700000000002</v>
      </c>
      <c r="P37" s="8">
        <f t="shared" si="25"/>
        <v>1.4590000000000001</v>
      </c>
      <c r="Q37" s="8">
        <f t="shared" si="26"/>
        <v>1.6336600000000001</v>
      </c>
      <c r="R37" s="8">
        <f t="shared" si="27"/>
        <v>1.6870000000000001</v>
      </c>
      <c r="S37" s="8">
        <f t="shared" si="28"/>
        <v>1.3363499999999999</v>
      </c>
      <c r="T37" s="8">
        <f t="shared" si="29"/>
        <v>1.55142</v>
      </c>
      <c r="U37" s="8">
        <f t="shared" si="30"/>
        <v>1.4392400000000001</v>
      </c>
      <c r="W37" s="91">
        <v>43367</v>
      </c>
    </row>
    <row r="38" spans="1:38">
      <c r="A38" s="91">
        <v>43360</v>
      </c>
      <c r="B38" s="88"/>
      <c r="C38" s="88"/>
      <c r="D38" s="87"/>
      <c r="F38" s="91">
        <v>43360</v>
      </c>
      <c r="G38" s="8">
        <f t="shared" si="16"/>
        <v>1.31</v>
      </c>
      <c r="H38" s="8">
        <f t="shared" si="17"/>
        <v>1.4550999999999998</v>
      </c>
      <c r="I38" s="8">
        <f t="shared" si="18"/>
        <v>1.28976</v>
      </c>
      <c r="J38" s="8">
        <f t="shared" si="19"/>
        <v>1.4990000000000001</v>
      </c>
      <c r="K38" s="8">
        <f t="shared" si="20"/>
        <v>1.6676500000000001</v>
      </c>
      <c r="L38" s="8">
        <f t="shared" si="21"/>
        <v>1.581</v>
      </c>
      <c r="M38" s="8">
        <f t="shared" si="22"/>
        <v>1.54403</v>
      </c>
      <c r="N38" s="8">
        <f t="shared" si="23"/>
        <v>1.643</v>
      </c>
      <c r="O38" s="8">
        <f t="shared" si="24"/>
        <v>1.2366700000000002</v>
      </c>
      <c r="P38" s="8">
        <f t="shared" si="25"/>
        <v>1.4590000000000001</v>
      </c>
      <c r="Q38" s="8">
        <f t="shared" si="26"/>
        <v>1.6336600000000001</v>
      </c>
      <c r="R38" s="8">
        <f t="shared" si="27"/>
        <v>1.6870000000000001</v>
      </c>
      <c r="S38" s="8">
        <f t="shared" si="28"/>
        <v>1.3363499999999999</v>
      </c>
      <c r="T38" s="8">
        <f t="shared" si="29"/>
        <v>1.55142</v>
      </c>
      <c r="U38" s="8">
        <f t="shared" si="30"/>
        <v>1.4392400000000001</v>
      </c>
      <c r="W38" s="91">
        <v>43360</v>
      </c>
    </row>
    <row r="39" spans="1:38">
      <c r="A39" s="91">
        <v>43353</v>
      </c>
      <c r="B39" s="88"/>
      <c r="C39" s="88"/>
      <c r="D39" s="87"/>
      <c r="F39" s="91">
        <v>43353</v>
      </c>
      <c r="G39" s="8">
        <f>G40</f>
        <v>1.31</v>
      </c>
      <c r="H39" s="8">
        <f t="shared" si="17"/>
        <v>1.4550999999999998</v>
      </c>
      <c r="I39" s="8">
        <f t="shared" si="18"/>
        <v>1.28976</v>
      </c>
      <c r="J39" s="8">
        <f t="shared" si="19"/>
        <v>1.4990000000000001</v>
      </c>
      <c r="K39" s="8">
        <f t="shared" si="20"/>
        <v>1.6676500000000001</v>
      </c>
      <c r="L39" s="8">
        <f>L41</f>
        <v>1.581</v>
      </c>
      <c r="M39" s="8">
        <f t="shared" si="22"/>
        <v>1.54403</v>
      </c>
      <c r="N39" s="8">
        <f t="shared" si="23"/>
        <v>1.643</v>
      </c>
      <c r="O39" s="8">
        <f t="shared" si="24"/>
        <v>1.2366700000000002</v>
      </c>
      <c r="P39" s="8">
        <f t="shared" si="25"/>
        <v>1.4590000000000001</v>
      </c>
      <c r="Q39" s="8">
        <f t="shared" si="26"/>
        <v>1.6336600000000001</v>
      </c>
      <c r="R39" s="8">
        <f t="shared" si="27"/>
        <v>1.6870000000000001</v>
      </c>
      <c r="S39" s="8">
        <f t="shared" si="28"/>
        <v>1.3363499999999999</v>
      </c>
      <c r="T39" s="8">
        <f t="shared" si="29"/>
        <v>1.55142</v>
      </c>
      <c r="U39" s="8">
        <f t="shared" si="30"/>
        <v>1.4392400000000001</v>
      </c>
      <c r="W39" s="91">
        <v>43353</v>
      </c>
    </row>
    <row r="40" spans="1:38">
      <c r="A40" s="91">
        <v>43346</v>
      </c>
      <c r="B40" s="88"/>
      <c r="C40" s="88"/>
      <c r="D40" s="87"/>
      <c r="F40" s="91">
        <v>43346</v>
      </c>
      <c r="G40">
        <f>X40/1000</f>
        <v>1.31</v>
      </c>
      <c r="H40">
        <f t="shared" ref="H40:H53" si="31">Y40/1000</f>
        <v>1.4550999999999998</v>
      </c>
      <c r="I40">
        <f t="shared" ref="I40:I53" si="32">Z40/1000</f>
        <v>1.28976</v>
      </c>
      <c r="J40">
        <f t="shared" ref="J40:J53" si="33">AA40/1000</f>
        <v>1.4990000000000001</v>
      </c>
      <c r="K40">
        <f t="shared" ref="K40:K53" si="34">AB40/1000</f>
        <v>1.6676500000000001</v>
      </c>
      <c r="L40">
        <f t="shared" ref="L40:L53" si="35">AC40/1000</f>
        <v>1.55</v>
      </c>
      <c r="M40">
        <f t="shared" ref="M40:M53" si="36">AD40/1000</f>
        <v>1.54403</v>
      </c>
      <c r="N40">
        <f t="shared" ref="N40:N53" si="37">AE40/1000</f>
        <v>1.643</v>
      </c>
      <c r="O40">
        <f t="shared" ref="O40:O53" si="38">AF40/1000</f>
        <v>1.2366700000000002</v>
      </c>
      <c r="P40">
        <f t="shared" ref="P40:P53" si="39">AG40/1000</f>
        <v>1.4590000000000001</v>
      </c>
      <c r="Q40">
        <f t="shared" ref="Q40:Q53" si="40">AH40/1000</f>
        <v>1.6336600000000001</v>
      </c>
      <c r="R40">
        <f t="shared" ref="R40:R53" si="41">AI40/1000</f>
        <v>1.6870000000000001</v>
      </c>
      <c r="S40">
        <f t="shared" ref="S40:S53" si="42">AJ40/1000</f>
        <v>1.3363499999999999</v>
      </c>
      <c r="T40">
        <f t="shared" ref="T40:T53" si="43">AK40/1000</f>
        <v>1.55142</v>
      </c>
      <c r="U40">
        <f t="shared" ref="U40:U53" si="44">AL40/1000</f>
        <v>1.4392400000000001</v>
      </c>
      <c r="W40" s="91">
        <v>43346</v>
      </c>
      <c r="X40" s="2" t="s">
        <v>2212</v>
      </c>
      <c r="Y40" t="s">
        <v>2226</v>
      </c>
      <c r="Z40" t="s">
        <v>2241</v>
      </c>
      <c r="AA40" t="s">
        <v>2256</v>
      </c>
      <c r="AB40" t="s">
        <v>2270</v>
      </c>
      <c r="AC40" t="s">
        <v>2300</v>
      </c>
      <c r="AD40" t="s">
        <v>2313</v>
      </c>
      <c r="AE40" t="s">
        <v>2327</v>
      </c>
      <c r="AF40" t="s">
        <v>2337</v>
      </c>
      <c r="AG40" t="s">
        <v>2268</v>
      </c>
      <c r="AH40" t="s">
        <v>2356</v>
      </c>
      <c r="AI40" t="s">
        <v>2370</v>
      </c>
      <c r="AJ40" t="s">
        <v>2285</v>
      </c>
      <c r="AK40" t="s">
        <v>2383</v>
      </c>
      <c r="AL40" t="s">
        <v>2398</v>
      </c>
    </row>
    <row r="41" spans="1:38">
      <c r="A41" s="91">
        <v>43339</v>
      </c>
      <c r="B41" s="88"/>
      <c r="C41" s="88"/>
      <c r="D41" s="87"/>
      <c r="F41" s="91">
        <v>43339</v>
      </c>
      <c r="G41">
        <f t="shared" ref="G41:G52" si="45">X41/1000</f>
        <v>1.2969999999999999</v>
      </c>
      <c r="H41">
        <f t="shared" si="31"/>
        <v>1.4701</v>
      </c>
      <c r="I41">
        <f t="shared" si="32"/>
        <v>1.2843800000000001</v>
      </c>
      <c r="J41">
        <f t="shared" si="33"/>
        <v>1.49</v>
      </c>
      <c r="K41">
        <f t="shared" si="34"/>
        <v>1.6532100000000001</v>
      </c>
      <c r="L41">
        <f t="shared" si="35"/>
        <v>1.581</v>
      </c>
      <c r="M41">
        <f t="shared" si="36"/>
        <v>1.5468599999999999</v>
      </c>
      <c r="N41">
        <f t="shared" si="37"/>
        <v>1.643</v>
      </c>
      <c r="O41">
        <f t="shared" si="38"/>
        <v>1.2327000000000001</v>
      </c>
      <c r="P41">
        <f t="shared" si="39"/>
        <v>1.4590000000000001</v>
      </c>
      <c r="Q41">
        <f t="shared" si="40"/>
        <v>1.6289800000000001</v>
      </c>
      <c r="R41">
        <f t="shared" si="41"/>
        <v>1.6879999999999999</v>
      </c>
      <c r="S41">
        <f t="shared" si="42"/>
        <v>1.32938</v>
      </c>
      <c r="T41">
        <f t="shared" si="43"/>
        <v>1.53711</v>
      </c>
      <c r="U41">
        <f t="shared" si="44"/>
        <v>1.4295499999999999</v>
      </c>
      <c r="W41" s="91">
        <v>43339</v>
      </c>
      <c r="X41" s="2" t="s">
        <v>2213</v>
      </c>
      <c r="Y41" t="s">
        <v>2227</v>
      </c>
      <c r="Z41" t="s">
        <v>2242</v>
      </c>
      <c r="AA41" t="s">
        <v>2257</v>
      </c>
      <c r="AB41" t="s">
        <v>2271</v>
      </c>
      <c r="AC41" t="s">
        <v>2301</v>
      </c>
      <c r="AD41" t="s">
        <v>2314</v>
      </c>
      <c r="AE41" t="s">
        <v>2327</v>
      </c>
      <c r="AF41" t="s">
        <v>2338</v>
      </c>
      <c r="AG41" t="s">
        <v>2268</v>
      </c>
      <c r="AH41" t="s">
        <v>2357</v>
      </c>
      <c r="AI41" t="s">
        <v>2371</v>
      </c>
      <c r="AJ41" t="s">
        <v>2286</v>
      </c>
      <c r="AK41" t="s">
        <v>2384</v>
      </c>
      <c r="AL41" t="s">
        <v>2399</v>
      </c>
    </row>
    <row r="42" spans="1:38">
      <c r="A42" s="91">
        <v>43332</v>
      </c>
      <c r="B42" s="88"/>
      <c r="C42" s="88"/>
      <c r="D42" s="87"/>
      <c r="F42" s="91">
        <v>43332</v>
      </c>
      <c r="G42">
        <f t="shared" si="45"/>
        <v>1.298</v>
      </c>
      <c r="H42">
        <f t="shared" si="31"/>
        <v>1.4334</v>
      </c>
      <c r="I42">
        <f t="shared" si="32"/>
        <v>1.28573</v>
      </c>
      <c r="J42">
        <f t="shared" si="33"/>
        <v>1.4810000000000001</v>
      </c>
      <c r="K42">
        <f t="shared" si="34"/>
        <v>1.6530799999999999</v>
      </c>
      <c r="L42">
        <f t="shared" si="35"/>
        <v>1.5840000000000001</v>
      </c>
      <c r="M42">
        <f t="shared" si="36"/>
        <v>1.54495</v>
      </c>
      <c r="N42">
        <f t="shared" si="37"/>
        <v>1.6439999999999999</v>
      </c>
      <c r="O42">
        <f t="shared" si="38"/>
        <v>1.2404000000000002</v>
      </c>
      <c r="P42">
        <f t="shared" si="39"/>
        <v>1.4590000000000001</v>
      </c>
      <c r="Q42">
        <f t="shared" si="40"/>
        <v>1.6278599999999999</v>
      </c>
      <c r="R42">
        <f t="shared" si="41"/>
        <v>1.6819999999999999</v>
      </c>
      <c r="S42">
        <f t="shared" si="42"/>
        <v>1.3278599999999998</v>
      </c>
      <c r="T42">
        <f t="shared" si="43"/>
        <v>1.5301500000000001</v>
      </c>
      <c r="U42">
        <f t="shared" si="44"/>
        <v>1.4393399999999998</v>
      </c>
      <c r="W42" s="91">
        <v>43332</v>
      </c>
      <c r="X42" s="2" t="s">
        <v>2214</v>
      </c>
      <c r="Y42" t="s">
        <v>2228</v>
      </c>
      <c r="Z42" t="s">
        <v>2243</v>
      </c>
      <c r="AA42" t="s">
        <v>2258</v>
      </c>
      <c r="AB42" t="s">
        <v>2272</v>
      </c>
      <c r="AC42" t="s">
        <v>2302</v>
      </c>
      <c r="AD42" t="s">
        <v>2315</v>
      </c>
      <c r="AE42" t="s">
        <v>2328</v>
      </c>
      <c r="AF42" t="s">
        <v>2339</v>
      </c>
      <c r="AG42" t="s">
        <v>2268</v>
      </c>
      <c r="AH42" t="s">
        <v>2358</v>
      </c>
      <c r="AI42" t="s">
        <v>2372</v>
      </c>
      <c r="AJ42" t="s">
        <v>2287</v>
      </c>
      <c r="AK42" t="s">
        <v>2385</v>
      </c>
      <c r="AL42" t="s">
        <v>2400</v>
      </c>
    </row>
    <row r="43" spans="1:38">
      <c r="A43" s="91">
        <v>43325</v>
      </c>
      <c r="B43" s="88"/>
      <c r="C43" s="88"/>
      <c r="D43" s="87"/>
      <c r="F43" s="91">
        <v>43325</v>
      </c>
      <c r="G43">
        <f t="shared" si="45"/>
        <v>1.294</v>
      </c>
      <c r="H43">
        <f t="shared" si="31"/>
        <v>1.4390999999999998</v>
      </c>
      <c r="I43">
        <f t="shared" si="32"/>
        <v>1.2883499999999999</v>
      </c>
      <c r="J43">
        <f t="shared" si="33"/>
        <v>1.4790000000000001</v>
      </c>
      <c r="K43">
        <f t="shared" si="34"/>
        <v>1.6542300000000001</v>
      </c>
      <c r="L43">
        <f t="shared" si="35"/>
        <v>1.554</v>
      </c>
      <c r="M43">
        <f t="shared" si="36"/>
        <v>1.5469600000000001</v>
      </c>
      <c r="N43">
        <f t="shared" si="37"/>
        <v>1.6439999999999999</v>
      </c>
      <c r="O43">
        <f t="shared" si="38"/>
        <v>1.2379899999999999</v>
      </c>
      <c r="P43">
        <f t="shared" si="39"/>
        <v>1.4590000000000001</v>
      </c>
      <c r="Q43">
        <f t="shared" si="40"/>
        <v>1.6293</v>
      </c>
      <c r="R43">
        <f t="shared" si="41"/>
        <v>1.679</v>
      </c>
      <c r="S43">
        <f t="shared" si="42"/>
        <v>1.32691</v>
      </c>
      <c r="T43">
        <f t="shared" si="43"/>
        <v>1.5455399999999999</v>
      </c>
      <c r="U43">
        <f t="shared" si="44"/>
        <v>1.43729</v>
      </c>
      <c r="W43" s="91">
        <v>43325</v>
      </c>
      <c r="X43" s="2" t="s">
        <v>2215</v>
      </c>
      <c r="Y43" t="s">
        <v>2229</v>
      </c>
      <c r="Z43" t="s">
        <v>2244</v>
      </c>
      <c r="AA43" t="s">
        <v>2259</v>
      </c>
      <c r="AB43" t="s">
        <v>2273</v>
      </c>
      <c r="AC43" t="s">
        <v>2303</v>
      </c>
      <c r="AD43" t="s">
        <v>2316</v>
      </c>
      <c r="AE43" t="s">
        <v>2328</v>
      </c>
      <c r="AF43" t="s">
        <v>2340</v>
      </c>
      <c r="AG43" t="s">
        <v>2268</v>
      </c>
      <c r="AH43" t="s">
        <v>2359</v>
      </c>
      <c r="AI43" t="s">
        <v>2373</v>
      </c>
      <c r="AJ43" t="s">
        <v>2288</v>
      </c>
      <c r="AK43" t="s">
        <v>2386</v>
      </c>
      <c r="AL43" t="s">
        <v>2401</v>
      </c>
    </row>
    <row r="44" spans="1:38">
      <c r="A44" s="91">
        <v>43318</v>
      </c>
      <c r="B44" s="88"/>
      <c r="C44" s="88"/>
      <c r="D44" s="87"/>
      <c r="F44" s="91">
        <v>43318</v>
      </c>
      <c r="G44">
        <f t="shared" si="45"/>
        <v>1.2889999999999999</v>
      </c>
      <c r="H44">
        <f t="shared" si="31"/>
        <v>1.4487999999999999</v>
      </c>
      <c r="I44">
        <f t="shared" si="32"/>
        <v>1.2894300000000001</v>
      </c>
      <c r="J44">
        <f t="shared" si="33"/>
        <v>1.4750000000000001</v>
      </c>
      <c r="K44">
        <f t="shared" si="34"/>
        <v>1.66801</v>
      </c>
      <c r="L44">
        <f t="shared" si="35"/>
        <v>1.583</v>
      </c>
      <c r="M44">
        <f t="shared" si="36"/>
        <v>1.54478</v>
      </c>
      <c r="N44">
        <f t="shared" si="37"/>
        <v>1.643</v>
      </c>
      <c r="O44">
        <f t="shared" si="38"/>
        <v>1.25708</v>
      </c>
      <c r="P44">
        <f t="shared" si="39"/>
        <v>1.4790000000000001</v>
      </c>
      <c r="Q44">
        <f t="shared" si="40"/>
        <v>1.62876</v>
      </c>
      <c r="R44">
        <f t="shared" si="41"/>
        <v>1.6879999999999999</v>
      </c>
      <c r="S44">
        <f t="shared" si="42"/>
        <v>1.3251300000000001</v>
      </c>
      <c r="T44">
        <f t="shared" si="43"/>
        <v>1.5627899999999999</v>
      </c>
      <c r="U44">
        <f t="shared" si="44"/>
        <v>1.4339600000000001</v>
      </c>
      <c r="W44" s="91">
        <v>43318</v>
      </c>
      <c r="X44" s="2" t="s">
        <v>2216</v>
      </c>
      <c r="Y44" t="s">
        <v>2230</v>
      </c>
      <c r="Z44" t="s">
        <v>2245</v>
      </c>
      <c r="AA44" t="s">
        <v>2260</v>
      </c>
      <c r="AB44" t="s">
        <v>2274</v>
      </c>
      <c r="AC44" t="s">
        <v>2304</v>
      </c>
      <c r="AD44" t="s">
        <v>2317</v>
      </c>
      <c r="AE44" t="s">
        <v>2327</v>
      </c>
      <c r="AF44" t="s">
        <v>2341</v>
      </c>
      <c r="AG44" t="s">
        <v>2259</v>
      </c>
      <c r="AH44" t="s">
        <v>2360</v>
      </c>
      <c r="AI44" t="s">
        <v>2371</v>
      </c>
      <c r="AJ44" t="s">
        <v>2289</v>
      </c>
      <c r="AK44" t="s">
        <v>2387</v>
      </c>
      <c r="AL44" t="s">
        <v>2402</v>
      </c>
    </row>
    <row r="45" spans="1:38">
      <c r="A45" s="91">
        <v>43311</v>
      </c>
      <c r="B45" s="88"/>
      <c r="C45" s="88"/>
      <c r="D45" s="87"/>
      <c r="F45" s="91">
        <v>43311</v>
      </c>
      <c r="G45">
        <f t="shared" si="45"/>
        <v>1.2829999999999999</v>
      </c>
      <c r="H45">
        <f t="shared" si="31"/>
        <v>1.4279000000000002</v>
      </c>
      <c r="I45">
        <f t="shared" si="32"/>
        <v>1.2853599999999998</v>
      </c>
      <c r="J45">
        <f t="shared" si="33"/>
        <v>1.466</v>
      </c>
      <c r="K45">
        <f t="shared" si="34"/>
        <v>1.65787</v>
      </c>
      <c r="L45">
        <f t="shared" si="35"/>
        <v>1.552</v>
      </c>
      <c r="M45">
        <f t="shared" si="36"/>
        <v>1.5245299999999999</v>
      </c>
      <c r="N45">
        <f t="shared" si="37"/>
        <v>1.637</v>
      </c>
      <c r="O45">
        <f t="shared" si="38"/>
        <v>1.2348800000000002</v>
      </c>
      <c r="P45">
        <f t="shared" si="39"/>
        <v>1.4590000000000001</v>
      </c>
      <c r="Q45">
        <f t="shared" si="40"/>
        <v>1.6277000000000001</v>
      </c>
      <c r="R45">
        <f t="shared" si="41"/>
        <v>1.6759999999999999</v>
      </c>
      <c r="S45">
        <f t="shared" si="42"/>
        <v>1.31884</v>
      </c>
      <c r="T45">
        <f t="shared" si="43"/>
        <v>1.57098</v>
      </c>
      <c r="U45">
        <f t="shared" si="44"/>
        <v>1.4318900000000001</v>
      </c>
      <c r="W45" s="91">
        <v>43311</v>
      </c>
      <c r="X45" s="2" t="s">
        <v>2217</v>
      </c>
      <c r="Y45" t="s">
        <v>2231</v>
      </c>
      <c r="Z45" t="s">
        <v>2246</v>
      </c>
      <c r="AA45" t="s">
        <v>2261</v>
      </c>
      <c r="AB45" t="s">
        <v>2275</v>
      </c>
      <c r="AC45" t="s">
        <v>2305</v>
      </c>
      <c r="AD45" t="s">
        <v>2318</v>
      </c>
      <c r="AE45" t="s">
        <v>2329</v>
      </c>
      <c r="AF45" t="s">
        <v>2342</v>
      </c>
      <c r="AG45" t="s">
        <v>2268</v>
      </c>
      <c r="AH45" t="s">
        <v>2361</v>
      </c>
      <c r="AI45" t="s">
        <v>2374</v>
      </c>
      <c r="AJ45" t="s">
        <v>2290</v>
      </c>
      <c r="AK45" t="s">
        <v>2388</v>
      </c>
      <c r="AL45" t="s">
        <v>2403</v>
      </c>
    </row>
    <row r="46" spans="1:38">
      <c r="A46" s="91">
        <v>43304</v>
      </c>
      <c r="B46" s="88"/>
      <c r="C46" s="88"/>
      <c r="D46" s="87"/>
      <c r="F46" s="91">
        <v>43304</v>
      </c>
      <c r="G46">
        <f t="shared" si="45"/>
        <v>1.28</v>
      </c>
      <c r="H46">
        <f t="shared" si="31"/>
        <v>1.40655</v>
      </c>
      <c r="I46">
        <f t="shared" si="32"/>
        <v>1.2758399999999999</v>
      </c>
      <c r="J46">
        <f t="shared" si="33"/>
        <v>1.4510000000000001</v>
      </c>
      <c r="K46">
        <f t="shared" si="34"/>
        <v>1.6575199999999999</v>
      </c>
      <c r="L46">
        <f t="shared" si="35"/>
        <v>1.552</v>
      </c>
      <c r="M46">
        <f t="shared" si="36"/>
        <v>1.53244</v>
      </c>
      <c r="N46">
        <f t="shared" si="37"/>
        <v>1.639</v>
      </c>
      <c r="O46">
        <f t="shared" si="38"/>
        <v>1.21024</v>
      </c>
      <c r="P46">
        <f t="shared" si="39"/>
        <v>1.4390000000000001</v>
      </c>
      <c r="Q46">
        <f t="shared" si="40"/>
        <v>1.6293</v>
      </c>
      <c r="R46">
        <f t="shared" si="41"/>
        <v>1.649</v>
      </c>
      <c r="S46">
        <f t="shared" si="42"/>
        <v>1.3181700000000001</v>
      </c>
      <c r="T46">
        <f t="shared" si="43"/>
        <v>1.52887</v>
      </c>
      <c r="U46">
        <f t="shared" si="44"/>
        <v>1.4299000000000002</v>
      </c>
      <c r="W46" s="91">
        <v>43304</v>
      </c>
      <c r="X46" s="2" t="s">
        <v>2218</v>
      </c>
      <c r="Y46" t="s">
        <v>2232</v>
      </c>
      <c r="Z46" t="s">
        <v>2247</v>
      </c>
      <c r="AA46" t="s">
        <v>2262</v>
      </c>
      <c r="AB46" t="s">
        <v>2276</v>
      </c>
      <c r="AC46" t="s">
        <v>2305</v>
      </c>
      <c r="AD46" t="s">
        <v>1425</v>
      </c>
      <c r="AE46" t="s">
        <v>2330</v>
      </c>
      <c r="AF46" t="s">
        <v>2343</v>
      </c>
      <c r="AG46" t="s">
        <v>2352</v>
      </c>
      <c r="AH46" t="s">
        <v>2359</v>
      </c>
      <c r="AI46" t="s">
        <v>2375</v>
      </c>
      <c r="AJ46" t="s">
        <v>2291</v>
      </c>
      <c r="AK46" t="s">
        <v>2389</v>
      </c>
      <c r="AL46" t="s">
        <v>2404</v>
      </c>
    </row>
    <row r="47" spans="1:38">
      <c r="A47" s="91">
        <v>43297</v>
      </c>
      <c r="B47" s="88"/>
      <c r="C47" s="88"/>
      <c r="D47" s="87"/>
      <c r="F47" s="91">
        <v>43297</v>
      </c>
      <c r="G47">
        <f t="shared" si="45"/>
        <v>1.2869999999999999</v>
      </c>
      <c r="H47">
        <f t="shared" si="31"/>
        <v>1.4439000000000002</v>
      </c>
      <c r="I47">
        <f t="shared" si="32"/>
        <v>1.2798</v>
      </c>
      <c r="J47">
        <f t="shared" si="33"/>
        <v>1.4550000000000001</v>
      </c>
      <c r="K47">
        <f t="shared" si="34"/>
        <v>1.6432100000000001</v>
      </c>
      <c r="L47">
        <f t="shared" si="35"/>
        <v>1.5329999999999999</v>
      </c>
      <c r="M47">
        <f t="shared" si="36"/>
        <v>1.5422199999999999</v>
      </c>
      <c r="N47">
        <f t="shared" si="37"/>
        <v>1.645</v>
      </c>
      <c r="O47">
        <f t="shared" si="38"/>
        <v>1.25153</v>
      </c>
      <c r="P47">
        <f t="shared" si="39"/>
        <v>1.4790000000000001</v>
      </c>
      <c r="Q47">
        <f t="shared" si="40"/>
        <v>1.6324000000000001</v>
      </c>
      <c r="R47">
        <f t="shared" si="41"/>
        <v>1.6579999999999999</v>
      </c>
      <c r="S47">
        <f t="shared" si="42"/>
        <v>1.3259700000000001</v>
      </c>
      <c r="T47">
        <f t="shared" si="43"/>
        <v>1.5309699999999999</v>
      </c>
      <c r="U47">
        <f t="shared" si="44"/>
        <v>1.44411</v>
      </c>
      <c r="W47" s="91">
        <v>43297</v>
      </c>
      <c r="X47" s="2" t="s">
        <v>2219</v>
      </c>
      <c r="Y47" t="s">
        <v>2233</v>
      </c>
      <c r="Z47" t="s">
        <v>2248</v>
      </c>
      <c r="AA47" t="s">
        <v>2263</v>
      </c>
      <c r="AB47" t="s">
        <v>2277</v>
      </c>
      <c r="AC47" t="s">
        <v>2306</v>
      </c>
      <c r="AD47" t="s">
        <v>2319</v>
      </c>
      <c r="AE47" t="s">
        <v>2331</v>
      </c>
      <c r="AF47" t="s">
        <v>2344</v>
      </c>
      <c r="AG47" t="s">
        <v>2259</v>
      </c>
      <c r="AH47" t="s">
        <v>2362</v>
      </c>
      <c r="AI47" t="s">
        <v>2376</v>
      </c>
      <c r="AJ47" t="s">
        <v>2292</v>
      </c>
      <c r="AK47" t="s">
        <v>2390</v>
      </c>
      <c r="AL47" t="s">
        <v>2405</v>
      </c>
    </row>
    <row r="48" spans="1:38">
      <c r="A48" s="91">
        <v>43290</v>
      </c>
      <c r="B48" s="88"/>
      <c r="C48" s="88"/>
      <c r="D48" s="87"/>
      <c r="F48" s="91">
        <v>43290</v>
      </c>
      <c r="G48">
        <f t="shared" si="45"/>
        <v>1.292</v>
      </c>
      <c r="H48">
        <f t="shared" si="31"/>
        <v>1.4325600000000001</v>
      </c>
      <c r="I48">
        <f t="shared" si="32"/>
        <v>1.28243</v>
      </c>
      <c r="J48">
        <f t="shared" si="33"/>
        <v>1.458</v>
      </c>
      <c r="K48">
        <f t="shared" si="34"/>
        <v>1.6435499999999998</v>
      </c>
      <c r="L48">
        <f t="shared" si="35"/>
        <v>1.5660000000000001</v>
      </c>
      <c r="M48">
        <f t="shared" si="36"/>
        <v>1.5315099999999999</v>
      </c>
      <c r="N48">
        <f t="shared" si="37"/>
        <v>1.643</v>
      </c>
      <c r="O48">
        <f t="shared" si="38"/>
        <v>1.25308</v>
      </c>
      <c r="P48">
        <f t="shared" si="39"/>
        <v>1.4390000000000001</v>
      </c>
      <c r="Q48">
        <f t="shared" si="40"/>
        <v>1.63266</v>
      </c>
      <c r="R48">
        <f t="shared" si="41"/>
        <v>1.6659999999999999</v>
      </c>
      <c r="S48">
        <f t="shared" si="42"/>
        <v>1.32575</v>
      </c>
      <c r="T48">
        <f t="shared" si="43"/>
        <v>1.5452300000000001</v>
      </c>
      <c r="U48">
        <f t="shared" si="44"/>
        <v>1.4372400000000001</v>
      </c>
      <c r="W48" s="91">
        <v>43290</v>
      </c>
      <c r="X48" s="2" t="s">
        <v>2220</v>
      </c>
      <c r="Y48" t="s">
        <v>2234</v>
      </c>
      <c r="Z48" t="s">
        <v>2249</v>
      </c>
      <c r="AA48" t="s">
        <v>2264</v>
      </c>
      <c r="AB48" t="s">
        <v>2278</v>
      </c>
      <c r="AC48" t="s">
        <v>2307</v>
      </c>
      <c r="AD48" t="s">
        <v>2320</v>
      </c>
      <c r="AE48" t="s">
        <v>2327</v>
      </c>
      <c r="AF48" t="s">
        <v>2345</v>
      </c>
      <c r="AG48" t="s">
        <v>2352</v>
      </c>
      <c r="AH48" t="s">
        <v>2363</v>
      </c>
      <c r="AI48" t="s">
        <v>2377</v>
      </c>
      <c r="AJ48" t="s">
        <v>2293</v>
      </c>
      <c r="AK48" t="s">
        <v>2391</v>
      </c>
      <c r="AL48" t="s">
        <v>2406</v>
      </c>
    </row>
    <row r="49" spans="1:38">
      <c r="A49" s="91">
        <v>43283</v>
      </c>
      <c r="B49" s="88"/>
      <c r="C49" s="88"/>
      <c r="D49" s="87"/>
      <c r="F49" s="91">
        <v>43283</v>
      </c>
      <c r="G49">
        <f t="shared" si="45"/>
        <v>1.288</v>
      </c>
      <c r="H49">
        <f t="shared" si="31"/>
        <v>1.4890999999999999</v>
      </c>
      <c r="I49">
        <f t="shared" si="32"/>
        <v>1.2679800000000001</v>
      </c>
      <c r="J49">
        <f t="shared" si="33"/>
        <v>1.462</v>
      </c>
      <c r="K49">
        <f t="shared" si="34"/>
        <v>1.6442099999999999</v>
      </c>
      <c r="L49">
        <f t="shared" si="35"/>
        <v>1.5409999999999999</v>
      </c>
      <c r="M49">
        <f t="shared" si="36"/>
        <v>1.5341</v>
      </c>
      <c r="N49">
        <f t="shared" si="37"/>
        <v>1.633</v>
      </c>
      <c r="O49">
        <f t="shared" si="38"/>
        <v>1.19529</v>
      </c>
      <c r="P49">
        <f t="shared" si="39"/>
        <v>1.4490000000000001</v>
      </c>
      <c r="Q49">
        <f t="shared" si="40"/>
        <v>1.6322399999999999</v>
      </c>
      <c r="R49">
        <f t="shared" si="41"/>
        <v>1.667</v>
      </c>
      <c r="S49">
        <f t="shared" si="42"/>
        <v>1.3184500000000001</v>
      </c>
      <c r="T49">
        <f t="shared" si="43"/>
        <v>1.52129</v>
      </c>
      <c r="U49">
        <f t="shared" si="44"/>
        <v>1.4274200000000001</v>
      </c>
      <c r="W49" s="91">
        <v>43283</v>
      </c>
      <c r="X49" s="2" t="s">
        <v>2221</v>
      </c>
      <c r="Y49" t="s">
        <v>2235</v>
      </c>
      <c r="Z49" t="s">
        <v>2250</v>
      </c>
      <c r="AA49" t="s">
        <v>2265</v>
      </c>
      <c r="AB49" t="s">
        <v>2279</v>
      </c>
      <c r="AC49" t="s">
        <v>2308</v>
      </c>
      <c r="AD49" t="s">
        <v>2321</v>
      </c>
      <c r="AE49" t="s">
        <v>2332</v>
      </c>
      <c r="AF49" t="s">
        <v>2346</v>
      </c>
      <c r="AG49" t="s">
        <v>2353</v>
      </c>
      <c r="AH49" t="s">
        <v>2364</v>
      </c>
      <c r="AI49" t="s">
        <v>2378</v>
      </c>
      <c r="AJ49" t="s">
        <v>2294</v>
      </c>
      <c r="AK49" t="s">
        <v>2392</v>
      </c>
      <c r="AL49" t="s">
        <v>2407</v>
      </c>
    </row>
    <row r="50" spans="1:38">
      <c r="A50" s="91">
        <v>43276</v>
      </c>
      <c r="B50" s="88"/>
      <c r="C50" s="88"/>
      <c r="D50" s="87"/>
      <c r="F50" s="91">
        <v>43276</v>
      </c>
      <c r="G50">
        <f t="shared" si="45"/>
        <v>1.2809999999999999</v>
      </c>
      <c r="H50">
        <f t="shared" si="31"/>
        <v>1.4382999999999999</v>
      </c>
      <c r="I50">
        <f t="shared" si="32"/>
        <v>1.2715999999999998</v>
      </c>
      <c r="J50">
        <f t="shared" si="33"/>
        <v>1.444</v>
      </c>
      <c r="K50">
        <f t="shared" si="34"/>
        <v>1.6170799999999999</v>
      </c>
      <c r="L50">
        <f t="shared" si="35"/>
        <v>1.5629999999999999</v>
      </c>
      <c r="M50">
        <f t="shared" si="36"/>
        <v>1.5390999999999999</v>
      </c>
      <c r="N50">
        <f t="shared" si="37"/>
        <v>1.635</v>
      </c>
      <c r="O50">
        <f t="shared" si="38"/>
        <v>1.21122</v>
      </c>
      <c r="P50">
        <f t="shared" si="39"/>
        <v>1.4990000000000001</v>
      </c>
      <c r="Q50">
        <f t="shared" si="40"/>
        <v>1.63672</v>
      </c>
      <c r="R50">
        <f t="shared" si="41"/>
        <v>1.65</v>
      </c>
      <c r="S50">
        <f t="shared" si="42"/>
        <v>1.3195999999999999</v>
      </c>
      <c r="T50">
        <f t="shared" si="43"/>
        <v>1.5152999999999999</v>
      </c>
      <c r="U50">
        <f t="shared" si="44"/>
        <v>1.4445399999999999</v>
      </c>
      <c r="W50" s="91">
        <v>43276</v>
      </c>
      <c r="X50" s="2" t="s">
        <v>2222</v>
      </c>
      <c r="Y50" t="s">
        <v>2236</v>
      </c>
      <c r="Z50" t="s">
        <v>2251</v>
      </c>
      <c r="AA50" t="s">
        <v>2266</v>
      </c>
      <c r="AB50" t="s">
        <v>2280</v>
      </c>
      <c r="AC50" t="s">
        <v>2309</v>
      </c>
      <c r="AD50" t="s">
        <v>2322</v>
      </c>
      <c r="AE50" t="s">
        <v>2333</v>
      </c>
      <c r="AF50" t="s">
        <v>2347</v>
      </c>
      <c r="AG50" t="s">
        <v>2256</v>
      </c>
      <c r="AH50" t="s">
        <v>2365</v>
      </c>
      <c r="AI50" t="s">
        <v>2379</v>
      </c>
      <c r="AJ50" t="s">
        <v>2295</v>
      </c>
      <c r="AK50" t="s">
        <v>2393</v>
      </c>
      <c r="AL50" t="s">
        <v>2408</v>
      </c>
    </row>
    <row r="51" spans="1:38">
      <c r="A51" s="91">
        <v>43269</v>
      </c>
      <c r="B51" s="88"/>
      <c r="C51" s="88"/>
      <c r="D51" s="87"/>
      <c r="F51" s="91">
        <v>43269</v>
      </c>
      <c r="G51">
        <f t="shared" si="45"/>
        <v>1.294</v>
      </c>
      <c r="H51">
        <f t="shared" si="31"/>
        <v>1.4424999999999999</v>
      </c>
      <c r="I51">
        <f t="shared" si="32"/>
        <v>1.2866099999999998</v>
      </c>
      <c r="J51">
        <f t="shared" si="33"/>
        <v>1.454</v>
      </c>
      <c r="K51">
        <f t="shared" si="34"/>
        <v>1.6308699999999998</v>
      </c>
      <c r="L51">
        <f t="shared" si="35"/>
        <v>1.5680000000000001</v>
      </c>
      <c r="M51">
        <f t="shared" si="36"/>
        <v>1.5468299999999999</v>
      </c>
      <c r="N51">
        <f t="shared" si="37"/>
        <v>1.6419999999999999</v>
      </c>
      <c r="O51">
        <f t="shared" si="38"/>
        <v>1.22007</v>
      </c>
      <c r="P51">
        <f t="shared" si="39"/>
        <v>1.4490000000000001</v>
      </c>
      <c r="Q51">
        <f t="shared" si="40"/>
        <v>1.64527</v>
      </c>
      <c r="R51">
        <f t="shared" si="41"/>
        <v>1.6579999999999999</v>
      </c>
      <c r="S51">
        <f t="shared" si="42"/>
        <v>1.32843</v>
      </c>
      <c r="T51">
        <f t="shared" si="43"/>
        <v>1.5209900000000001</v>
      </c>
      <c r="U51">
        <f t="shared" si="44"/>
        <v>1.4594100000000001</v>
      </c>
      <c r="W51" s="91">
        <v>43269</v>
      </c>
      <c r="X51" s="2" t="s">
        <v>2215</v>
      </c>
      <c r="Y51" t="s">
        <v>2237</v>
      </c>
      <c r="Z51" t="s">
        <v>2252</v>
      </c>
      <c r="AA51" t="s">
        <v>2267</v>
      </c>
      <c r="AB51" t="s">
        <v>2281</v>
      </c>
      <c r="AC51" t="s">
        <v>2310</v>
      </c>
      <c r="AD51" t="s">
        <v>2323</v>
      </c>
      <c r="AE51" t="s">
        <v>2334</v>
      </c>
      <c r="AF51" t="s">
        <v>2348</v>
      </c>
      <c r="AG51" t="s">
        <v>2353</v>
      </c>
      <c r="AH51" t="s">
        <v>2366</v>
      </c>
      <c r="AI51" t="s">
        <v>2376</v>
      </c>
      <c r="AJ51" t="s">
        <v>2296</v>
      </c>
      <c r="AK51" t="s">
        <v>2394</v>
      </c>
      <c r="AL51" t="s">
        <v>2409</v>
      </c>
    </row>
    <row r="52" spans="1:38">
      <c r="A52" s="91">
        <v>43262</v>
      </c>
      <c r="B52" s="88"/>
      <c r="C52" s="88"/>
      <c r="D52" s="87"/>
      <c r="F52" s="91">
        <v>43262</v>
      </c>
      <c r="G52">
        <f t="shared" si="45"/>
        <v>1.2949999999999999</v>
      </c>
      <c r="H52">
        <f t="shared" si="31"/>
        <v>1.4105999999999999</v>
      </c>
      <c r="I52">
        <f t="shared" si="32"/>
        <v>1.2937100000000001</v>
      </c>
      <c r="J52">
        <f t="shared" si="33"/>
        <v>1.4590000000000001</v>
      </c>
      <c r="K52">
        <f t="shared" si="34"/>
        <v>1.6444700000000001</v>
      </c>
      <c r="L52">
        <f t="shared" si="35"/>
        <v>1.583</v>
      </c>
      <c r="M52">
        <f t="shared" si="36"/>
        <v>1.5489000000000002</v>
      </c>
      <c r="N52">
        <f t="shared" si="37"/>
        <v>1.6539999999999999</v>
      </c>
      <c r="O52">
        <f t="shared" si="38"/>
        <v>1.2307600000000001</v>
      </c>
      <c r="P52">
        <f t="shared" si="39"/>
        <v>1.4890000000000001</v>
      </c>
      <c r="Q52">
        <f t="shared" si="40"/>
        <v>1.6480699999999999</v>
      </c>
      <c r="R52">
        <f t="shared" si="41"/>
        <v>1.6639999999999999</v>
      </c>
      <c r="S52">
        <f t="shared" si="42"/>
        <v>1.3334300000000001</v>
      </c>
      <c r="T52">
        <f t="shared" si="43"/>
        <v>1.53701</v>
      </c>
      <c r="U52">
        <f t="shared" si="44"/>
        <v>1.4584600000000001</v>
      </c>
      <c r="W52" s="91">
        <v>43262</v>
      </c>
      <c r="X52" s="2" t="s">
        <v>2223</v>
      </c>
      <c r="Y52" t="s">
        <v>2238</v>
      </c>
      <c r="Z52" t="s">
        <v>2253</v>
      </c>
      <c r="AA52" t="s">
        <v>2268</v>
      </c>
      <c r="AB52" t="s">
        <v>2282</v>
      </c>
      <c r="AC52" t="s">
        <v>2304</v>
      </c>
      <c r="AD52" t="s">
        <v>2324</v>
      </c>
      <c r="AE52" t="s">
        <v>2335</v>
      </c>
      <c r="AF52" t="s">
        <v>2349</v>
      </c>
      <c r="AG52" t="s">
        <v>2354</v>
      </c>
      <c r="AH52" t="s">
        <v>2367</v>
      </c>
      <c r="AI52" t="s">
        <v>2380</v>
      </c>
      <c r="AJ52" t="s">
        <v>2297</v>
      </c>
      <c r="AK52" t="s">
        <v>2395</v>
      </c>
      <c r="AL52" t="s">
        <v>2410</v>
      </c>
    </row>
    <row r="53" spans="1:38">
      <c r="A53" s="91">
        <v>43255</v>
      </c>
      <c r="B53" s="88"/>
      <c r="C53" s="88"/>
      <c r="D53" s="87"/>
      <c r="F53" s="91">
        <v>43255</v>
      </c>
      <c r="G53">
        <f>X53/1000</f>
        <v>1.3080000000000001</v>
      </c>
      <c r="H53">
        <f t="shared" si="31"/>
        <v>1.4904000000000002</v>
      </c>
      <c r="I53">
        <f t="shared" si="32"/>
        <v>1.29094</v>
      </c>
      <c r="J53">
        <f t="shared" si="33"/>
        <v>1.472</v>
      </c>
      <c r="K53">
        <f t="shared" si="34"/>
        <v>1.6591900000000002</v>
      </c>
      <c r="L53">
        <f t="shared" si="35"/>
        <v>1.585</v>
      </c>
      <c r="M53">
        <f t="shared" si="36"/>
        <v>1.56071</v>
      </c>
      <c r="N53">
        <f t="shared" si="37"/>
        <v>1.6539999999999999</v>
      </c>
      <c r="O53">
        <f t="shared" si="38"/>
        <v>1.2526900000000001</v>
      </c>
      <c r="P53">
        <f t="shared" si="39"/>
        <v>1.4590000000000001</v>
      </c>
      <c r="Q53">
        <f t="shared" si="40"/>
        <v>1.64866</v>
      </c>
      <c r="R53">
        <f t="shared" si="41"/>
        <v>1.68</v>
      </c>
      <c r="S53">
        <f t="shared" si="42"/>
        <v>1.33718</v>
      </c>
      <c r="T53">
        <f t="shared" si="43"/>
        <v>1.5538599999999998</v>
      </c>
      <c r="U53">
        <f t="shared" si="44"/>
        <v>1.4648800000000002</v>
      </c>
      <c r="W53" s="91">
        <v>43255</v>
      </c>
      <c r="X53" s="2" t="s">
        <v>2224</v>
      </c>
      <c r="Y53" t="s">
        <v>2239</v>
      </c>
      <c r="Z53" t="s">
        <v>2254</v>
      </c>
      <c r="AA53" t="s">
        <v>2269</v>
      </c>
      <c r="AB53" t="s">
        <v>2283</v>
      </c>
      <c r="AC53" t="s">
        <v>2311</v>
      </c>
      <c r="AD53" t="s">
        <v>2325</v>
      </c>
      <c r="AE53" t="s">
        <v>2335</v>
      </c>
      <c r="AF53" t="s">
        <v>2350</v>
      </c>
      <c r="AG53" t="s">
        <v>2268</v>
      </c>
      <c r="AH53" t="s">
        <v>2368</v>
      </c>
      <c r="AI53" t="s">
        <v>2381</v>
      </c>
      <c r="AJ53" t="s">
        <v>2298</v>
      </c>
      <c r="AK53" t="s">
        <v>2396</v>
      </c>
      <c r="AL53" t="s">
        <v>2411</v>
      </c>
    </row>
    <row r="54" spans="1:38">
      <c r="A54" s="91">
        <v>43248</v>
      </c>
      <c r="B54" s="86">
        <v>43248</v>
      </c>
      <c r="C54" s="93">
        <v>1.1433144686446</v>
      </c>
      <c r="D54" s="85" t="s">
        <v>1102</v>
      </c>
      <c r="F54" s="91">
        <v>43248</v>
      </c>
      <c r="G54">
        <f>X54/1000</f>
        <v>1.3109999999999999</v>
      </c>
      <c r="H54">
        <v>1.4544999999999999</v>
      </c>
      <c r="I54">
        <v>1.2776800000000001</v>
      </c>
      <c r="J54">
        <v>1.4750000000000001</v>
      </c>
      <c r="K54">
        <v>1.6717200000000001</v>
      </c>
      <c r="L54">
        <v>1.579</v>
      </c>
      <c r="M54">
        <v>1.56369</v>
      </c>
      <c r="N54">
        <v>1.647</v>
      </c>
      <c r="O54">
        <v>1.2497199999999999</v>
      </c>
      <c r="P54">
        <v>1.4690000000000001</v>
      </c>
      <c r="Q54">
        <v>1.6424400000000001</v>
      </c>
      <c r="R54">
        <v>1.6890000000000001</v>
      </c>
      <c r="S54">
        <v>1.3353199999999998</v>
      </c>
      <c r="T54">
        <v>1.55226</v>
      </c>
      <c r="U54">
        <v>1.45858</v>
      </c>
      <c r="X54" s="2" t="s">
        <v>2225</v>
      </c>
      <c r="Y54" t="s">
        <v>2240</v>
      </c>
      <c r="Z54" t="s">
        <v>2255</v>
      </c>
      <c r="AA54" t="s">
        <v>2260</v>
      </c>
      <c r="AB54" t="s">
        <v>2284</v>
      </c>
      <c r="AC54" t="s">
        <v>2312</v>
      </c>
      <c r="AD54" t="s">
        <v>2326</v>
      </c>
      <c r="AE54" t="s">
        <v>2336</v>
      </c>
      <c r="AF54" t="s">
        <v>2351</v>
      </c>
      <c r="AG54" t="s">
        <v>2355</v>
      </c>
      <c r="AH54" t="s">
        <v>2369</v>
      </c>
      <c r="AI54" t="s">
        <v>2382</v>
      </c>
      <c r="AJ54" t="s">
        <v>2299</v>
      </c>
      <c r="AK54" t="s">
        <v>2397</v>
      </c>
      <c r="AL54" t="s">
        <v>1102</v>
      </c>
    </row>
    <row r="55" spans="1:38">
      <c r="A55" s="91">
        <v>43241</v>
      </c>
      <c r="B55" s="86">
        <v>43241</v>
      </c>
      <c r="C55" s="93">
        <v>1.14103149246919</v>
      </c>
      <c r="D55" s="85" t="s">
        <v>1103</v>
      </c>
      <c r="F55" s="91">
        <v>43241</v>
      </c>
      <c r="G55">
        <v>1.2849999999999999</v>
      </c>
      <c r="H55">
        <v>1.4567999999999999</v>
      </c>
      <c r="I55">
        <v>1.25101</v>
      </c>
      <c r="J55">
        <v>1.474</v>
      </c>
      <c r="K55">
        <v>1.6717899999999999</v>
      </c>
      <c r="L55">
        <v>1.5640000000000001</v>
      </c>
      <c r="M55">
        <v>1.5433299999999999</v>
      </c>
      <c r="N55">
        <v>1.6240000000000001</v>
      </c>
      <c r="O55">
        <v>1.2341199999999999</v>
      </c>
      <c r="P55">
        <v>1.429</v>
      </c>
      <c r="Q55">
        <v>1.62324</v>
      </c>
      <c r="R55">
        <v>1.6879999999999999</v>
      </c>
      <c r="S55">
        <v>1.3225</v>
      </c>
      <c r="T55">
        <v>1.5592600000000001</v>
      </c>
      <c r="U55">
        <v>1.4368599999999998</v>
      </c>
    </row>
    <row r="56" spans="1:38">
      <c r="A56" s="91">
        <v>43234</v>
      </c>
      <c r="B56" s="86">
        <v>43234</v>
      </c>
      <c r="C56" s="93">
        <v>1.13327289211242</v>
      </c>
      <c r="D56" s="85" t="s">
        <v>1104</v>
      </c>
      <c r="F56" s="91">
        <v>43234</v>
      </c>
      <c r="G56">
        <v>1.2669999999999999</v>
      </c>
      <c r="H56">
        <v>1.4042000000000001</v>
      </c>
      <c r="I56">
        <v>1.2421500000000001</v>
      </c>
      <c r="J56">
        <v>1.4410000000000001</v>
      </c>
      <c r="K56">
        <v>1.64418</v>
      </c>
      <c r="L56">
        <v>1.512</v>
      </c>
      <c r="M56">
        <v>1.5201</v>
      </c>
      <c r="N56">
        <v>1.601</v>
      </c>
      <c r="O56">
        <v>1.2117800000000001</v>
      </c>
      <c r="P56">
        <v>1.429</v>
      </c>
      <c r="Q56">
        <v>1.60599</v>
      </c>
      <c r="R56">
        <v>1.665</v>
      </c>
      <c r="S56">
        <v>1.30236</v>
      </c>
      <c r="T56">
        <v>1.5326600000000001</v>
      </c>
      <c r="U56">
        <v>1.4089</v>
      </c>
    </row>
    <row r="57" spans="1:38">
      <c r="A57" s="91">
        <v>43227</v>
      </c>
      <c r="B57" s="86">
        <v>43227</v>
      </c>
      <c r="C57" s="93">
        <v>1.1362345188046801</v>
      </c>
      <c r="D57" s="85" t="s">
        <v>1105</v>
      </c>
      <c r="F57" s="91">
        <v>43227</v>
      </c>
      <c r="G57">
        <v>1.25</v>
      </c>
      <c r="H57">
        <v>1.4395</v>
      </c>
      <c r="I57">
        <v>1.2301099999999998</v>
      </c>
      <c r="J57">
        <v>1.4119999999999999</v>
      </c>
      <c r="K57">
        <v>1.60433</v>
      </c>
      <c r="L57">
        <v>1.526</v>
      </c>
      <c r="M57">
        <v>1.5039899999999999</v>
      </c>
      <c r="N57">
        <v>1.587</v>
      </c>
      <c r="O57">
        <v>1.20665</v>
      </c>
      <c r="P57">
        <v>1.399</v>
      </c>
      <c r="Q57">
        <v>1.5926</v>
      </c>
      <c r="R57">
        <v>1.639</v>
      </c>
      <c r="S57">
        <v>1.2862799999999999</v>
      </c>
      <c r="T57">
        <v>1.49322</v>
      </c>
      <c r="U57">
        <v>1.4005999999999998</v>
      </c>
    </row>
    <row r="58" spans="1:38">
      <c r="A58" s="91">
        <v>43220</v>
      </c>
      <c r="B58" s="86">
        <v>43220</v>
      </c>
      <c r="C58" s="93">
        <v>1.1368804001819</v>
      </c>
      <c r="D58" s="85" t="s">
        <v>1094</v>
      </c>
      <c r="F58" s="91">
        <v>43220</v>
      </c>
      <c r="G58">
        <v>1.242</v>
      </c>
      <c r="H58">
        <v>1.409</v>
      </c>
      <c r="I58">
        <v>1.21557</v>
      </c>
      <c r="J58">
        <v>1.4119999999999999</v>
      </c>
      <c r="K58">
        <v>1.5771600000000001</v>
      </c>
      <c r="L58">
        <v>1.4990000000000001</v>
      </c>
      <c r="M58">
        <v>1.5005200000000001</v>
      </c>
      <c r="N58">
        <v>1.575</v>
      </c>
      <c r="O58">
        <v>1.2014200000000002</v>
      </c>
      <c r="P58">
        <v>1.399</v>
      </c>
      <c r="Q58">
        <v>1.58517</v>
      </c>
      <c r="R58">
        <v>1.639</v>
      </c>
      <c r="S58">
        <v>1.27905</v>
      </c>
      <c r="T58">
        <v>1.4768599999999998</v>
      </c>
      <c r="U58">
        <v>1.38948</v>
      </c>
      <c r="W58" s="91"/>
      <c r="X58" t="s">
        <v>363</v>
      </c>
      <c r="Y58" t="s">
        <v>403</v>
      </c>
      <c r="Z58" t="s">
        <v>358</v>
      </c>
      <c r="AA58" t="s">
        <v>359</v>
      </c>
      <c r="AB58" t="s">
        <v>365</v>
      </c>
      <c r="AC58" t="s">
        <v>430</v>
      </c>
      <c r="AD58" t="s">
        <v>431</v>
      </c>
      <c r="AE58" t="s">
        <v>362</v>
      </c>
      <c r="AF58" t="s">
        <v>366</v>
      </c>
      <c r="AG58" t="s">
        <v>369</v>
      </c>
      <c r="AH58" t="s">
        <v>367</v>
      </c>
      <c r="AI58" t="s">
        <v>373</v>
      </c>
      <c r="AJ58" t="s">
        <v>374</v>
      </c>
      <c r="AK58" t="s">
        <v>375</v>
      </c>
      <c r="AL58" t="s">
        <v>432</v>
      </c>
    </row>
    <row r="59" spans="1:38">
      <c r="A59" s="91">
        <v>43213</v>
      </c>
      <c r="B59" s="86">
        <v>43213</v>
      </c>
      <c r="C59" s="93">
        <v>1.14103149246919</v>
      </c>
      <c r="D59" s="85" t="s">
        <v>1106</v>
      </c>
      <c r="F59" s="91">
        <v>43213</v>
      </c>
      <c r="G59">
        <v>1.2250000000000001</v>
      </c>
      <c r="H59">
        <v>1.3835999999999999</v>
      </c>
      <c r="I59">
        <v>1.2164699999999999</v>
      </c>
      <c r="J59">
        <v>1.3939999999999999</v>
      </c>
      <c r="K59">
        <v>1.5776700000000001</v>
      </c>
      <c r="L59">
        <v>1.4770000000000001</v>
      </c>
      <c r="M59">
        <v>1.4909300000000001</v>
      </c>
      <c r="N59">
        <v>1.5640000000000001</v>
      </c>
      <c r="O59">
        <v>1.1884000000000001</v>
      </c>
      <c r="P59">
        <v>1.399</v>
      </c>
      <c r="Q59">
        <v>1.5733199999999998</v>
      </c>
      <c r="R59">
        <v>1.62</v>
      </c>
      <c r="S59">
        <v>1.2690599999999999</v>
      </c>
      <c r="T59">
        <v>1.4818399999999998</v>
      </c>
      <c r="U59">
        <v>1.38571</v>
      </c>
      <c r="W59" s="78">
        <v>43313</v>
      </c>
      <c r="X59" s="3">
        <f>AVERAGE(G41:G44)</f>
        <v>1.2945</v>
      </c>
      <c r="Y59" s="3">
        <f t="shared" ref="Y59:AL59" si="46">AVERAGE(H41:H44)</f>
        <v>1.4478499999999999</v>
      </c>
      <c r="Z59" s="3">
        <f t="shared" si="46"/>
        <v>1.2869725000000001</v>
      </c>
      <c r="AA59" s="3">
        <f t="shared" si="46"/>
        <v>1.4812500000000002</v>
      </c>
      <c r="AB59" s="3">
        <f t="shared" si="46"/>
        <v>1.6571324999999999</v>
      </c>
      <c r="AC59" s="3">
        <f t="shared" si="46"/>
        <v>1.5755000000000001</v>
      </c>
      <c r="AD59" s="3">
        <f t="shared" si="46"/>
        <v>1.5458875000000001</v>
      </c>
      <c r="AE59" s="3">
        <f t="shared" si="46"/>
        <v>1.6435</v>
      </c>
      <c r="AF59" s="3">
        <f t="shared" si="46"/>
        <v>1.2420425000000002</v>
      </c>
      <c r="AG59" s="3">
        <f t="shared" si="46"/>
        <v>1.4640000000000002</v>
      </c>
      <c r="AH59" s="3">
        <f t="shared" si="46"/>
        <v>1.628725</v>
      </c>
      <c r="AI59" s="3">
        <f t="shared" si="46"/>
        <v>1.68425</v>
      </c>
      <c r="AJ59" s="3">
        <f t="shared" si="46"/>
        <v>1.3273199999999998</v>
      </c>
      <c r="AK59" s="3">
        <f t="shared" si="46"/>
        <v>1.5438974999999999</v>
      </c>
      <c r="AL59" s="3">
        <f t="shared" si="46"/>
        <v>1.4350349999999998</v>
      </c>
    </row>
    <row r="60" spans="1:38">
      <c r="A60" s="91">
        <v>43206</v>
      </c>
      <c r="B60" s="86">
        <v>43206</v>
      </c>
      <c r="C60" s="93">
        <v>1.1565373272422399</v>
      </c>
      <c r="D60" s="85" t="s">
        <v>1107</v>
      </c>
      <c r="F60" s="91">
        <v>43206</v>
      </c>
      <c r="G60">
        <v>1.2170000000000001</v>
      </c>
      <c r="H60">
        <v>1.39517</v>
      </c>
      <c r="I60">
        <v>1.21654</v>
      </c>
      <c r="J60">
        <v>1.383</v>
      </c>
      <c r="K60">
        <v>1.56433</v>
      </c>
      <c r="L60">
        <v>1.472</v>
      </c>
      <c r="M60">
        <v>1.4844600000000001</v>
      </c>
      <c r="N60">
        <v>1.5569999999999999</v>
      </c>
      <c r="O60">
        <v>1.18618</v>
      </c>
      <c r="P60">
        <v>1.389</v>
      </c>
      <c r="Q60">
        <v>1.56298</v>
      </c>
      <c r="R60">
        <v>1.6160000000000001</v>
      </c>
      <c r="S60">
        <v>1.26074</v>
      </c>
      <c r="T60">
        <v>1.4621600000000001</v>
      </c>
      <c r="U60">
        <v>1.3943599999999998</v>
      </c>
      <c r="W60" s="78">
        <v>43282</v>
      </c>
      <c r="X60" s="3">
        <f>AVERAGE(G45:G49)</f>
        <v>1.286</v>
      </c>
      <c r="Y60" s="3">
        <f t="shared" ref="Y60:AL60" si="47">AVERAGE(H45:H49)</f>
        <v>1.440002</v>
      </c>
      <c r="Z60" s="3">
        <f t="shared" si="47"/>
        <v>1.2782819999999997</v>
      </c>
      <c r="AA60" s="3">
        <f t="shared" si="47"/>
        <v>1.4583999999999999</v>
      </c>
      <c r="AB60" s="3">
        <f t="shared" si="47"/>
        <v>1.6492719999999998</v>
      </c>
      <c r="AC60" s="3">
        <f t="shared" si="47"/>
        <v>1.5488</v>
      </c>
      <c r="AD60" s="3">
        <f t="shared" si="47"/>
        <v>1.5329599999999999</v>
      </c>
      <c r="AE60" s="3">
        <f t="shared" si="47"/>
        <v>1.6393999999999997</v>
      </c>
      <c r="AF60" s="3">
        <f t="shared" si="47"/>
        <v>1.229004</v>
      </c>
      <c r="AG60" s="3">
        <f t="shared" si="47"/>
        <v>1.4530000000000001</v>
      </c>
      <c r="AH60" s="3">
        <f t="shared" si="47"/>
        <v>1.6308599999999998</v>
      </c>
      <c r="AI60" s="3">
        <f t="shared" si="47"/>
        <v>1.6632000000000002</v>
      </c>
      <c r="AJ60" s="3">
        <f t="shared" si="47"/>
        <v>1.3214360000000001</v>
      </c>
      <c r="AK60" s="3">
        <f t="shared" si="47"/>
        <v>1.5394680000000001</v>
      </c>
      <c r="AL60" s="3">
        <f t="shared" si="47"/>
        <v>1.4341120000000001</v>
      </c>
    </row>
    <row r="61" spans="1:38">
      <c r="A61" s="91">
        <v>43199</v>
      </c>
      <c r="B61" s="86">
        <v>43199</v>
      </c>
      <c r="C61" s="93">
        <v>1.1482638250964501</v>
      </c>
      <c r="D61" s="85" t="s">
        <v>1108</v>
      </c>
      <c r="F61" s="91">
        <v>43199</v>
      </c>
      <c r="G61">
        <v>1.2050000000000001</v>
      </c>
      <c r="H61">
        <v>1.3934000000000002</v>
      </c>
      <c r="I61">
        <v>1.2072400000000001</v>
      </c>
      <c r="J61">
        <v>1.3660000000000001</v>
      </c>
      <c r="K61">
        <v>1.55098</v>
      </c>
      <c r="L61">
        <v>1.4670000000000001</v>
      </c>
      <c r="M61">
        <v>1.48075</v>
      </c>
      <c r="N61">
        <v>1.5329999999999999</v>
      </c>
      <c r="O61">
        <v>1.1804600000000001</v>
      </c>
      <c r="P61">
        <v>1.379</v>
      </c>
      <c r="Q61">
        <v>1.55626</v>
      </c>
      <c r="R61">
        <v>1.5960000000000001</v>
      </c>
      <c r="S61">
        <v>1.25349</v>
      </c>
      <c r="T61">
        <v>1.4662999999999999</v>
      </c>
      <c r="U61">
        <v>1.37748</v>
      </c>
    </row>
    <row r="62" spans="1:38">
      <c r="A62" s="91">
        <v>43185</v>
      </c>
      <c r="B62" s="86">
        <v>43185</v>
      </c>
      <c r="C62" s="93">
        <v>1.1461580781221301</v>
      </c>
      <c r="D62" s="85" t="s">
        <v>1109</v>
      </c>
      <c r="F62" s="91">
        <v>43185</v>
      </c>
      <c r="G62">
        <v>1.175</v>
      </c>
      <c r="H62">
        <v>1.3265</v>
      </c>
      <c r="I62">
        <v>1.1908399999999999</v>
      </c>
      <c r="J62">
        <v>1.3180000000000001</v>
      </c>
      <c r="K62">
        <v>1.55071</v>
      </c>
      <c r="L62">
        <v>1.446</v>
      </c>
      <c r="M62">
        <v>1.46532</v>
      </c>
      <c r="N62">
        <v>1.5329999999999999</v>
      </c>
      <c r="O62">
        <v>1.1509500000000001</v>
      </c>
      <c r="P62">
        <v>1.369</v>
      </c>
      <c r="Q62">
        <v>1.54708</v>
      </c>
      <c r="R62">
        <v>1.55</v>
      </c>
      <c r="S62">
        <v>1.2365200000000001</v>
      </c>
      <c r="T62">
        <v>1.4253699999999998</v>
      </c>
      <c r="U62">
        <v>1.3665099999999999</v>
      </c>
    </row>
    <row r="63" spans="1:38">
      <c r="A63" s="91">
        <v>43178</v>
      </c>
      <c r="B63" s="86">
        <v>43178</v>
      </c>
      <c r="C63" s="93">
        <v>1.1416437386549199</v>
      </c>
      <c r="D63" s="85" t="s">
        <v>1110</v>
      </c>
      <c r="F63" s="91">
        <v>43178</v>
      </c>
      <c r="G63">
        <v>1.161</v>
      </c>
      <c r="H63">
        <v>1.3185</v>
      </c>
      <c r="I63">
        <v>1.19224</v>
      </c>
      <c r="J63">
        <v>1.325</v>
      </c>
      <c r="K63">
        <v>1.5103900000000001</v>
      </c>
      <c r="L63">
        <v>1.4370000000000001</v>
      </c>
      <c r="M63">
        <v>1.4468699999999999</v>
      </c>
      <c r="N63">
        <v>1.524</v>
      </c>
      <c r="O63">
        <v>1.14456</v>
      </c>
      <c r="P63">
        <v>1.359</v>
      </c>
      <c r="Q63">
        <v>1.5442</v>
      </c>
      <c r="R63">
        <v>1.5309999999999999</v>
      </c>
      <c r="S63">
        <v>1.22052</v>
      </c>
      <c r="T63">
        <v>1.4399300000000002</v>
      </c>
      <c r="U63">
        <v>1.3604499999999999</v>
      </c>
    </row>
    <row r="64" spans="1:38">
      <c r="A64" s="91">
        <v>43171</v>
      </c>
      <c r="B64" s="86">
        <v>43171</v>
      </c>
      <c r="C64" s="93">
        <v>1.1287955751213501</v>
      </c>
      <c r="D64" s="85" t="s">
        <v>1111</v>
      </c>
      <c r="F64" s="91">
        <v>43171</v>
      </c>
      <c r="G64">
        <v>1.1619999999999999</v>
      </c>
      <c r="H64">
        <v>1.2782</v>
      </c>
      <c r="I64">
        <v>1.1943199999999998</v>
      </c>
      <c r="J64">
        <v>1.3260000000000001</v>
      </c>
      <c r="K64">
        <v>1.4833000000000001</v>
      </c>
      <c r="L64">
        <v>1.4419999999999999</v>
      </c>
      <c r="M64">
        <v>1.4534200000000002</v>
      </c>
      <c r="N64">
        <v>1.5249999999999999</v>
      </c>
      <c r="O64">
        <v>1.1511099999999999</v>
      </c>
      <c r="P64">
        <v>1.369</v>
      </c>
      <c r="Q64">
        <v>1.54687</v>
      </c>
      <c r="R64">
        <v>1.534</v>
      </c>
      <c r="S64">
        <v>1.2216099999999999</v>
      </c>
      <c r="T64">
        <v>1.4265999999999999</v>
      </c>
      <c r="U64">
        <v>1.3445199999999999</v>
      </c>
    </row>
    <row r="65" spans="1:21">
      <c r="A65" s="91">
        <v>43164</v>
      </c>
      <c r="B65" s="86">
        <v>43164</v>
      </c>
      <c r="C65" s="93">
        <v>1.12271247333558</v>
      </c>
      <c r="D65" s="85" t="s">
        <v>1112</v>
      </c>
      <c r="F65" s="91">
        <v>43164</v>
      </c>
      <c r="G65">
        <v>1.18</v>
      </c>
      <c r="H65">
        <v>1.3335999999999999</v>
      </c>
      <c r="I65">
        <v>1.1972100000000001</v>
      </c>
      <c r="J65">
        <v>1.34</v>
      </c>
      <c r="K65">
        <v>1.49729</v>
      </c>
      <c r="L65">
        <v>1.458</v>
      </c>
      <c r="M65">
        <v>1.45702</v>
      </c>
      <c r="N65">
        <v>1.528</v>
      </c>
      <c r="O65">
        <v>1.1444799999999999</v>
      </c>
      <c r="P65">
        <v>1.389</v>
      </c>
      <c r="Q65">
        <v>1.54887</v>
      </c>
      <c r="R65">
        <v>1.5549999999999999</v>
      </c>
      <c r="S65">
        <v>1.2269300000000001</v>
      </c>
      <c r="T65">
        <v>1.4223599999999998</v>
      </c>
      <c r="U65">
        <v>1.3392299999999999</v>
      </c>
    </row>
    <row r="66" spans="1:21">
      <c r="A66" s="91">
        <v>43157</v>
      </c>
      <c r="B66" s="86">
        <v>43157</v>
      </c>
      <c r="C66" s="93">
        <v>1.13869278068777</v>
      </c>
      <c r="D66" s="85" t="s">
        <v>1113</v>
      </c>
      <c r="F66" s="91">
        <v>43157</v>
      </c>
      <c r="G66">
        <v>1.181</v>
      </c>
      <c r="H66">
        <v>1.3742999999999999</v>
      </c>
      <c r="I66">
        <v>1.19865</v>
      </c>
      <c r="J66">
        <v>1.34</v>
      </c>
      <c r="K66">
        <v>1.4974700000000001</v>
      </c>
      <c r="L66">
        <v>1.4490000000000001</v>
      </c>
      <c r="M66">
        <v>1.45404</v>
      </c>
      <c r="N66">
        <v>1.55</v>
      </c>
      <c r="O66">
        <v>1.1258699999999999</v>
      </c>
      <c r="P66">
        <v>1.379</v>
      </c>
      <c r="Q66">
        <v>1.54671</v>
      </c>
      <c r="R66">
        <v>1.554</v>
      </c>
      <c r="S66">
        <v>1.2244900000000001</v>
      </c>
      <c r="T66">
        <v>1.43984</v>
      </c>
      <c r="U66">
        <v>1.3613199999999999</v>
      </c>
    </row>
    <row r="67" spans="1:21">
      <c r="A67" s="91">
        <v>43150</v>
      </c>
      <c r="B67" s="86">
        <v>43150</v>
      </c>
      <c r="C67" s="93">
        <v>1.1287955751213501</v>
      </c>
      <c r="D67" s="85" t="s">
        <v>1114</v>
      </c>
      <c r="F67" s="91">
        <v>43150</v>
      </c>
      <c r="G67">
        <v>1.1950000000000001</v>
      </c>
      <c r="H67">
        <v>1.3303</v>
      </c>
      <c r="I67">
        <v>1.2059900000000001</v>
      </c>
      <c r="J67">
        <v>1.339</v>
      </c>
      <c r="K67">
        <v>1.49705</v>
      </c>
      <c r="L67">
        <v>1.452</v>
      </c>
      <c r="M67">
        <v>1.46061</v>
      </c>
      <c r="N67">
        <v>1.55</v>
      </c>
      <c r="O67">
        <v>1.13845</v>
      </c>
      <c r="P67">
        <v>1.389</v>
      </c>
      <c r="Q67">
        <v>1.55348</v>
      </c>
      <c r="R67">
        <v>1.548</v>
      </c>
      <c r="S67">
        <v>1.2280899999999999</v>
      </c>
      <c r="T67">
        <v>1.4377500000000001</v>
      </c>
      <c r="U67">
        <v>1.3603900000000002</v>
      </c>
    </row>
    <row r="68" spans="1:21">
      <c r="A68" s="91">
        <v>43143</v>
      </c>
      <c r="B68" s="86">
        <v>43143</v>
      </c>
      <c r="C68" s="93">
        <v>1.1286681715575599</v>
      </c>
      <c r="D68" s="85" t="s">
        <v>1115</v>
      </c>
      <c r="F68" s="91">
        <v>43143</v>
      </c>
      <c r="G68">
        <v>1.198</v>
      </c>
      <c r="H68">
        <v>1.3628</v>
      </c>
      <c r="I68">
        <v>1.2121999999999999</v>
      </c>
      <c r="J68">
        <v>1.355</v>
      </c>
      <c r="K68">
        <v>1.5203199999999999</v>
      </c>
      <c r="L68">
        <v>1.456</v>
      </c>
      <c r="M68">
        <v>1.47682</v>
      </c>
      <c r="N68">
        <v>1.55</v>
      </c>
      <c r="O68">
        <v>1.17031</v>
      </c>
      <c r="P68">
        <v>1.389</v>
      </c>
      <c r="Q68">
        <v>1.5699100000000001</v>
      </c>
      <c r="R68">
        <v>1.57216</v>
      </c>
      <c r="S68">
        <v>1.24824</v>
      </c>
      <c r="T68">
        <v>1.4664000000000001</v>
      </c>
      <c r="U68">
        <v>1.3722799999999999</v>
      </c>
    </row>
    <row r="69" spans="1:21">
      <c r="A69" s="91">
        <v>43136</v>
      </c>
      <c r="B69" s="86">
        <v>43136</v>
      </c>
      <c r="C69" s="93">
        <v>1.1290759642308701</v>
      </c>
      <c r="D69" s="85" t="s">
        <v>1078</v>
      </c>
      <c r="F69" s="91">
        <v>43136</v>
      </c>
      <c r="G69">
        <v>1.21</v>
      </c>
      <c r="H69">
        <v>1.3692</v>
      </c>
      <c r="I69">
        <v>1.2199599999999999</v>
      </c>
      <c r="J69">
        <v>1.371</v>
      </c>
      <c r="K69">
        <v>1.53427</v>
      </c>
      <c r="L69">
        <v>1.458</v>
      </c>
      <c r="M69">
        <v>1.4789100000000002</v>
      </c>
      <c r="N69">
        <v>1.5489999999999999</v>
      </c>
      <c r="O69">
        <v>1.18892</v>
      </c>
      <c r="P69">
        <v>1.389</v>
      </c>
      <c r="Q69">
        <v>1.57342</v>
      </c>
      <c r="R69">
        <v>1.5944400000000001</v>
      </c>
      <c r="S69">
        <v>1.25671</v>
      </c>
      <c r="T69">
        <v>1.51305</v>
      </c>
      <c r="U69">
        <v>1.37439</v>
      </c>
    </row>
    <row r="70" spans="1:21">
      <c r="A70" s="91">
        <v>43129</v>
      </c>
      <c r="B70" s="86">
        <v>43129</v>
      </c>
      <c r="C70" s="93">
        <v>1.1371389583807099</v>
      </c>
      <c r="D70" s="85" t="s">
        <v>1116</v>
      </c>
      <c r="F70" s="91">
        <v>43129</v>
      </c>
      <c r="G70">
        <v>1.2090000000000001</v>
      </c>
      <c r="H70">
        <v>1.3627</v>
      </c>
      <c r="I70">
        <v>1.2143699999999999</v>
      </c>
      <c r="J70">
        <v>1.371</v>
      </c>
      <c r="K70">
        <v>1.5478299999999998</v>
      </c>
      <c r="L70">
        <v>1.4610000000000001</v>
      </c>
      <c r="M70">
        <v>1.4775999999999998</v>
      </c>
      <c r="N70">
        <v>1.55</v>
      </c>
      <c r="O70">
        <v>1.1837299999999999</v>
      </c>
      <c r="P70">
        <v>1.389</v>
      </c>
      <c r="Q70">
        <v>1.57283</v>
      </c>
      <c r="R70">
        <v>1.6020000000000001</v>
      </c>
      <c r="S70">
        <v>1.2560499999999999</v>
      </c>
      <c r="T70">
        <v>1.52101</v>
      </c>
      <c r="U70">
        <v>1.38384</v>
      </c>
    </row>
    <row r="71" spans="1:21">
      <c r="A71" s="91">
        <v>43122</v>
      </c>
      <c r="B71" s="86">
        <v>43122</v>
      </c>
      <c r="C71" s="93">
        <v>1.13526707157859</v>
      </c>
      <c r="D71" s="85" t="s">
        <v>1073</v>
      </c>
      <c r="F71" s="91">
        <v>43122</v>
      </c>
      <c r="G71">
        <v>1.2050000000000001</v>
      </c>
      <c r="H71">
        <v>1.3512999999999999</v>
      </c>
      <c r="I71">
        <v>1.20631</v>
      </c>
      <c r="J71">
        <v>1.3560000000000001</v>
      </c>
      <c r="K71">
        <v>1.5340799999999999</v>
      </c>
      <c r="L71">
        <v>1.4450000000000001</v>
      </c>
      <c r="M71">
        <v>1.47627</v>
      </c>
      <c r="N71">
        <v>1.5489999999999999</v>
      </c>
      <c r="O71">
        <v>1.18293</v>
      </c>
      <c r="P71">
        <v>1.399</v>
      </c>
      <c r="Q71">
        <v>1.5713699999999999</v>
      </c>
      <c r="R71">
        <v>1.59</v>
      </c>
      <c r="S71">
        <v>1.2548699999999999</v>
      </c>
      <c r="T71">
        <v>1.50356</v>
      </c>
      <c r="U71">
        <v>1.3793299999999999</v>
      </c>
    </row>
    <row r="72" spans="1:21">
      <c r="A72" s="91">
        <v>43115</v>
      </c>
      <c r="B72" s="86">
        <v>43115</v>
      </c>
      <c r="C72" s="93">
        <v>1.12305290702245</v>
      </c>
      <c r="D72" s="85" t="s">
        <v>1055</v>
      </c>
      <c r="F72" s="91">
        <v>43115</v>
      </c>
      <c r="G72">
        <v>1.2070000000000001</v>
      </c>
      <c r="H72">
        <v>1.3664000000000001</v>
      </c>
      <c r="I72">
        <v>1.19702</v>
      </c>
      <c r="J72">
        <v>1.3520000000000001</v>
      </c>
      <c r="K72">
        <v>1.5329699999999999</v>
      </c>
      <c r="L72">
        <v>1.4750000000000001</v>
      </c>
      <c r="M72">
        <v>1.47509</v>
      </c>
      <c r="N72">
        <v>1.544</v>
      </c>
      <c r="O72">
        <v>1.17642</v>
      </c>
      <c r="P72">
        <v>1.399</v>
      </c>
      <c r="Q72">
        <v>1.5666199999999999</v>
      </c>
      <c r="R72">
        <v>1.6</v>
      </c>
      <c r="S72">
        <v>1.2541199999999999</v>
      </c>
      <c r="T72">
        <v>1.5033299999999998</v>
      </c>
      <c r="U72">
        <v>1.3584700000000001</v>
      </c>
    </row>
    <row r="73" spans="1:21">
      <c r="A73" s="91">
        <v>43108</v>
      </c>
      <c r="B73" s="86">
        <v>43108</v>
      </c>
      <c r="C73" s="93">
        <v>1.1310553877823399</v>
      </c>
      <c r="D73" s="85" t="s">
        <v>1117</v>
      </c>
      <c r="F73" s="91">
        <v>43108</v>
      </c>
      <c r="G73">
        <v>1.2050000000000001</v>
      </c>
      <c r="H73">
        <v>1.3617000000000001</v>
      </c>
      <c r="I73">
        <v>1.1910399999999999</v>
      </c>
      <c r="J73">
        <v>1.3759999999999999</v>
      </c>
      <c r="K73">
        <v>1.5335699999999999</v>
      </c>
      <c r="L73">
        <v>1.4650000000000001</v>
      </c>
      <c r="M73">
        <v>1.4682200000000001</v>
      </c>
      <c r="N73">
        <v>1.54</v>
      </c>
      <c r="O73">
        <v>1.1703800000000002</v>
      </c>
      <c r="P73">
        <v>1.389</v>
      </c>
      <c r="Q73">
        <v>1.56151</v>
      </c>
      <c r="R73">
        <v>1.581</v>
      </c>
      <c r="S73">
        <v>1.24899</v>
      </c>
      <c r="T73">
        <v>1.5005299999999999</v>
      </c>
      <c r="U73">
        <v>1.36317</v>
      </c>
    </row>
    <row r="74" spans="1:21" ht="15.75" thickBot="1">
      <c r="A74" s="92">
        <v>43101</v>
      </c>
      <c r="B74" s="86">
        <v>43101</v>
      </c>
      <c r="C74" s="93">
        <v>1.1271034568262999</v>
      </c>
      <c r="D74" s="85" t="s">
        <v>1118</v>
      </c>
      <c r="F74" s="92">
        <v>43101</v>
      </c>
      <c r="G74">
        <v>1.2050000000000001</v>
      </c>
      <c r="H74">
        <v>1.3494000000000002</v>
      </c>
      <c r="I74">
        <v>1.19268</v>
      </c>
      <c r="J74">
        <v>1.3779999999999999</v>
      </c>
      <c r="K74">
        <v>1.5473699999999999</v>
      </c>
      <c r="L74">
        <v>1.456</v>
      </c>
      <c r="M74">
        <v>1.40794</v>
      </c>
      <c r="N74">
        <v>1.534</v>
      </c>
      <c r="O74">
        <v>1.1549800000000001</v>
      </c>
      <c r="P74">
        <v>1.389</v>
      </c>
      <c r="Q74">
        <v>1.55454</v>
      </c>
      <c r="R74">
        <v>1.5760000000000001</v>
      </c>
      <c r="S74">
        <v>1.2425200000000001</v>
      </c>
      <c r="T74">
        <v>1.49475</v>
      </c>
      <c r="U74">
        <v>1.3546099999999999</v>
      </c>
    </row>
    <row r="75" spans="1:21">
      <c r="A75" s="91">
        <v>43087</v>
      </c>
      <c r="B75" s="86">
        <v>43087</v>
      </c>
      <c r="C75" s="93">
        <v>1.1336840195900599</v>
      </c>
      <c r="D75" s="85" t="s">
        <v>1119</v>
      </c>
      <c r="F75" s="91">
        <v>43087</v>
      </c>
      <c r="G75">
        <v>1.194</v>
      </c>
      <c r="H75">
        <v>1.3314999999999999</v>
      </c>
      <c r="I75">
        <v>1.18404</v>
      </c>
      <c r="J75">
        <v>1.355</v>
      </c>
      <c r="K75">
        <v>1.5341199999999999</v>
      </c>
      <c r="L75">
        <v>1.4350000000000001</v>
      </c>
      <c r="M75">
        <v>1.4032</v>
      </c>
      <c r="N75">
        <v>1.534</v>
      </c>
      <c r="O75">
        <v>1.13815</v>
      </c>
      <c r="P75">
        <v>1.399</v>
      </c>
      <c r="Q75">
        <v>1.54932</v>
      </c>
      <c r="R75">
        <v>1.5645</v>
      </c>
      <c r="S75">
        <v>1.2354799999999999</v>
      </c>
      <c r="T75">
        <v>1.4405399999999999</v>
      </c>
      <c r="U75">
        <v>1.3601700000000001</v>
      </c>
    </row>
    <row r="76" spans="1:21">
      <c r="A76" s="91">
        <v>43080</v>
      </c>
      <c r="B76" s="86">
        <v>43080</v>
      </c>
      <c r="C76" s="93">
        <v>1.1331444759206799</v>
      </c>
      <c r="D76" s="85" t="s">
        <v>1120</v>
      </c>
      <c r="F76" s="91">
        <v>43080</v>
      </c>
      <c r="G76">
        <v>1.1910000000000001</v>
      </c>
      <c r="H76">
        <v>1.3065</v>
      </c>
      <c r="I76">
        <v>1.1889000000000001</v>
      </c>
      <c r="J76">
        <v>1.3480000000000001</v>
      </c>
      <c r="K76">
        <v>1.5074000000000001</v>
      </c>
      <c r="L76">
        <v>1.4610000000000001</v>
      </c>
      <c r="M76">
        <v>1.4016199999999999</v>
      </c>
      <c r="N76">
        <v>1.534</v>
      </c>
      <c r="O76">
        <v>1.13723</v>
      </c>
      <c r="P76">
        <v>1.389</v>
      </c>
      <c r="Q76">
        <v>1.5435699999999999</v>
      </c>
      <c r="R76">
        <v>1.5549999999999999</v>
      </c>
      <c r="S76">
        <v>1.23472</v>
      </c>
      <c r="T76">
        <v>1.4296099999999998</v>
      </c>
      <c r="U76">
        <v>1.3587100000000001</v>
      </c>
    </row>
    <row r="77" spans="1:21">
      <c r="A77" s="91">
        <v>43073</v>
      </c>
      <c r="B77" s="86">
        <v>43073</v>
      </c>
      <c r="C77" s="93">
        <v>1.1399259048161898</v>
      </c>
      <c r="D77" s="85" t="s">
        <v>1121</v>
      </c>
      <c r="F77" s="91">
        <v>43073</v>
      </c>
      <c r="G77">
        <v>1.202</v>
      </c>
      <c r="H77">
        <v>1.3751</v>
      </c>
      <c r="I77">
        <v>1.1921600000000001</v>
      </c>
      <c r="J77">
        <v>1.359</v>
      </c>
      <c r="K77">
        <v>1.5211400000000002</v>
      </c>
      <c r="L77">
        <v>1.4370000000000001</v>
      </c>
      <c r="M77">
        <v>1.40754</v>
      </c>
      <c r="N77">
        <v>1.5349999999999999</v>
      </c>
      <c r="O77">
        <v>1.14019</v>
      </c>
      <c r="P77">
        <v>1.399</v>
      </c>
      <c r="Q77">
        <v>1.5458399999999999</v>
      </c>
      <c r="R77">
        <v>1.5660000000000001</v>
      </c>
      <c r="S77">
        <v>1.2378399999999998</v>
      </c>
      <c r="T77">
        <v>1.4369400000000001</v>
      </c>
      <c r="U77">
        <v>1.3651199999999999</v>
      </c>
    </row>
    <row r="78" spans="1:21">
      <c r="A78" s="91">
        <v>43066</v>
      </c>
      <c r="B78" s="86">
        <v>43066</v>
      </c>
      <c r="C78" s="93">
        <v>1.1188811188811201</v>
      </c>
      <c r="D78" s="85" t="s">
        <v>1052</v>
      </c>
      <c r="F78" s="91">
        <v>43066</v>
      </c>
      <c r="G78">
        <v>1.1990000000000001</v>
      </c>
      <c r="H78">
        <v>1.3853</v>
      </c>
      <c r="I78">
        <v>1.1989700000000001</v>
      </c>
      <c r="J78">
        <v>1.363</v>
      </c>
      <c r="K78">
        <v>1.52101</v>
      </c>
      <c r="L78">
        <v>1.466</v>
      </c>
      <c r="M78">
        <v>1.4084000000000001</v>
      </c>
      <c r="N78">
        <v>1.538</v>
      </c>
      <c r="O78">
        <v>1.1470100000000001</v>
      </c>
      <c r="P78">
        <v>1.399</v>
      </c>
      <c r="Q78">
        <v>1.5456400000000001</v>
      </c>
      <c r="R78">
        <v>1.577</v>
      </c>
      <c r="S78">
        <v>1.23804</v>
      </c>
      <c r="T78">
        <v>1.44882</v>
      </c>
      <c r="U78">
        <v>1.34409</v>
      </c>
    </row>
    <row r="79" spans="1:21">
      <c r="A79" s="91">
        <v>43059</v>
      </c>
      <c r="B79" s="86">
        <v>43059</v>
      </c>
      <c r="C79" s="93">
        <v>1.12435349673937</v>
      </c>
      <c r="D79" s="85" t="s">
        <v>1122</v>
      </c>
      <c r="F79" s="91">
        <v>43059</v>
      </c>
      <c r="G79">
        <v>1.2110000000000001</v>
      </c>
      <c r="H79">
        <v>1.3614999999999999</v>
      </c>
      <c r="I79">
        <v>1.1968099999999999</v>
      </c>
      <c r="J79">
        <v>1.3580000000000001</v>
      </c>
      <c r="K79">
        <v>1.5077799999999999</v>
      </c>
      <c r="L79">
        <v>1.476</v>
      </c>
      <c r="M79">
        <v>1.4160999999999999</v>
      </c>
      <c r="N79">
        <v>1.5309999999999999</v>
      </c>
      <c r="O79">
        <v>1.17479</v>
      </c>
      <c r="P79">
        <v>1.389</v>
      </c>
      <c r="Q79">
        <v>1.5478000000000001</v>
      </c>
      <c r="R79">
        <v>1.591</v>
      </c>
      <c r="S79">
        <v>1.2414499999999999</v>
      </c>
      <c r="T79">
        <v>1.4339500000000001</v>
      </c>
      <c r="U79">
        <v>1.3455299999999999</v>
      </c>
    </row>
    <row r="80" spans="1:21">
      <c r="A80" s="91">
        <v>43052</v>
      </c>
      <c r="B80" s="86">
        <v>43052</v>
      </c>
      <c r="C80" s="93">
        <v>1.1233683075333099</v>
      </c>
      <c r="D80" s="85" t="s">
        <v>1045</v>
      </c>
      <c r="F80" s="91">
        <v>43052</v>
      </c>
      <c r="G80">
        <v>1.216</v>
      </c>
      <c r="H80">
        <v>1.385</v>
      </c>
      <c r="I80">
        <v>1.19326</v>
      </c>
      <c r="J80">
        <v>1.3480000000000001</v>
      </c>
      <c r="K80">
        <v>1.5077400000000001</v>
      </c>
      <c r="L80">
        <v>1.4750000000000001</v>
      </c>
      <c r="M80">
        <v>1.41107</v>
      </c>
      <c r="N80">
        <v>1.5309999999999999</v>
      </c>
      <c r="O80">
        <v>1.1641300000000001</v>
      </c>
      <c r="P80">
        <v>1.379</v>
      </c>
      <c r="Q80">
        <v>1.54413</v>
      </c>
      <c r="R80">
        <v>1.605</v>
      </c>
      <c r="S80">
        <v>1.2390999999999999</v>
      </c>
      <c r="T80">
        <v>1.49962</v>
      </c>
      <c r="U80">
        <v>1.3357999999999999</v>
      </c>
    </row>
    <row r="81" spans="1:21">
      <c r="A81" s="91">
        <v>43045</v>
      </c>
      <c r="B81" s="86">
        <v>43045</v>
      </c>
      <c r="C81" s="93">
        <v>1.1313497001923298</v>
      </c>
      <c r="D81" s="85" t="s">
        <v>1123</v>
      </c>
      <c r="F81" s="91">
        <v>43045</v>
      </c>
      <c r="G81">
        <v>1.194</v>
      </c>
      <c r="H81">
        <v>1.3492</v>
      </c>
      <c r="I81">
        <v>1.1788599999999998</v>
      </c>
      <c r="J81">
        <v>1.399</v>
      </c>
      <c r="K81">
        <v>1.4848399999999999</v>
      </c>
      <c r="L81">
        <v>1.4630000000000001</v>
      </c>
      <c r="M81">
        <v>1.37598</v>
      </c>
      <c r="N81">
        <v>1.5129999999999999</v>
      </c>
      <c r="O81">
        <v>1.14611</v>
      </c>
      <c r="P81">
        <v>1.349</v>
      </c>
      <c r="Q81">
        <v>1.5329000000000002</v>
      </c>
      <c r="R81">
        <v>1.581</v>
      </c>
      <c r="S81">
        <v>1.22068</v>
      </c>
      <c r="T81">
        <v>1.48183</v>
      </c>
      <c r="U81">
        <v>1.3301800000000001</v>
      </c>
    </row>
    <row r="82" spans="1:21">
      <c r="A82" s="91">
        <v>43038</v>
      </c>
      <c r="B82" s="86">
        <v>43038</v>
      </c>
      <c r="C82" s="93">
        <v>1.1366219595362599</v>
      </c>
      <c r="D82" s="85" t="s">
        <v>1124</v>
      </c>
      <c r="F82" s="91">
        <v>43038</v>
      </c>
      <c r="G82">
        <v>1.175</v>
      </c>
      <c r="H82">
        <v>1.3360000000000001</v>
      </c>
      <c r="I82">
        <v>1.16927</v>
      </c>
      <c r="J82">
        <v>1.3759999999999999</v>
      </c>
      <c r="K82">
        <v>1.5118900000000002</v>
      </c>
      <c r="L82">
        <v>1.4510000000000001</v>
      </c>
      <c r="M82">
        <v>1.3599400000000001</v>
      </c>
      <c r="N82">
        <v>1.504</v>
      </c>
      <c r="O82">
        <v>1.1210100000000001</v>
      </c>
      <c r="P82">
        <v>1.359</v>
      </c>
      <c r="Q82">
        <v>1.52424</v>
      </c>
      <c r="R82">
        <v>1.5509999999999999</v>
      </c>
      <c r="S82">
        <v>1.2067000000000001</v>
      </c>
      <c r="T82">
        <v>1.4411400000000001</v>
      </c>
      <c r="U82">
        <v>1.33053</v>
      </c>
    </row>
    <row r="83" spans="1:21">
      <c r="A83" s="91">
        <v>43031</v>
      </c>
      <c r="B83" s="86">
        <v>43031</v>
      </c>
      <c r="C83" s="93">
        <v>1.1224604332697301</v>
      </c>
      <c r="D83" s="85" t="s">
        <v>1125</v>
      </c>
      <c r="F83" s="91">
        <v>43031</v>
      </c>
      <c r="G83">
        <v>1.1739999999999999</v>
      </c>
      <c r="H83">
        <v>1.3264</v>
      </c>
      <c r="I83">
        <v>1.1699200000000001</v>
      </c>
      <c r="J83">
        <v>1.36</v>
      </c>
      <c r="K83">
        <v>1.4710399999999999</v>
      </c>
      <c r="L83">
        <v>1.421</v>
      </c>
      <c r="M83">
        <v>1.34276</v>
      </c>
      <c r="N83">
        <v>1.5029999999999999</v>
      </c>
      <c r="O83">
        <v>1.1349800000000001</v>
      </c>
      <c r="P83">
        <v>1.359</v>
      </c>
      <c r="Q83">
        <v>1.5237799999999999</v>
      </c>
      <c r="R83">
        <v>1.5329999999999999</v>
      </c>
      <c r="S83">
        <v>1.2034200000000002</v>
      </c>
      <c r="T83">
        <v>1.43187</v>
      </c>
      <c r="U83">
        <v>1.3137799999999999</v>
      </c>
    </row>
    <row r="84" spans="1:21">
      <c r="A84" s="91">
        <v>43024</v>
      </c>
      <c r="B84" s="86">
        <v>43024</v>
      </c>
      <c r="C84" s="93">
        <v>1.1267224769866899</v>
      </c>
      <c r="D84" s="85" t="s">
        <v>1126</v>
      </c>
      <c r="F84" s="91">
        <v>43024</v>
      </c>
      <c r="G84">
        <v>1.173</v>
      </c>
      <c r="H84">
        <v>1.3120999999999998</v>
      </c>
      <c r="I84">
        <v>1.16364</v>
      </c>
      <c r="J84">
        <v>1.3620000000000001</v>
      </c>
      <c r="K84">
        <v>1.4710000000000001</v>
      </c>
      <c r="L84">
        <v>1.4530000000000001</v>
      </c>
      <c r="M84">
        <v>1.35866</v>
      </c>
      <c r="N84">
        <v>1.504</v>
      </c>
      <c r="O84">
        <v>1.13368</v>
      </c>
      <c r="P84">
        <v>1.359</v>
      </c>
      <c r="Q84">
        <v>1.5241400000000001</v>
      </c>
      <c r="R84">
        <v>1.5249999999999999</v>
      </c>
      <c r="S84">
        <v>1.2034899999999999</v>
      </c>
      <c r="T84">
        <v>1.4436</v>
      </c>
      <c r="U84">
        <v>1.31836</v>
      </c>
    </row>
    <row r="85" spans="1:21">
      <c r="A85" s="91">
        <v>43017</v>
      </c>
      <c r="B85" s="86">
        <v>43017</v>
      </c>
      <c r="C85" s="93">
        <v>1.1211390773025398</v>
      </c>
      <c r="D85" s="85" t="s">
        <v>1127</v>
      </c>
      <c r="F85" s="91">
        <v>43017</v>
      </c>
      <c r="G85">
        <v>1.181</v>
      </c>
      <c r="H85">
        <v>1.3172999999999999</v>
      </c>
      <c r="I85">
        <v>1.1583399999999999</v>
      </c>
      <c r="J85">
        <v>1.369</v>
      </c>
      <c r="K85">
        <v>1.4980499999999999</v>
      </c>
      <c r="L85">
        <v>1.4490000000000001</v>
      </c>
      <c r="M85">
        <v>1.3625399999999999</v>
      </c>
      <c r="N85">
        <v>1.506</v>
      </c>
      <c r="O85">
        <v>1.1167199999999999</v>
      </c>
      <c r="P85">
        <v>1.359</v>
      </c>
      <c r="Q85">
        <v>1.5257700000000001</v>
      </c>
      <c r="R85">
        <v>1.532</v>
      </c>
      <c r="S85">
        <v>1.2060599999999999</v>
      </c>
      <c r="T85">
        <v>1.4545699999999999</v>
      </c>
      <c r="U85">
        <v>1.31355</v>
      </c>
    </row>
    <row r="86" spans="1:21">
      <c r="A86" s="91">
        <v>43010</v>
      </c>
      <c r="B86" s="86">
        <v>43010</v>
      </c>
      <c r="C86" s="93">
        <v>1.1309914270849799</v>
      </c>
      <c r="D86" s="85" t="s">
        <v>1128</v>
      </c>
      <c r="F86" s="91">
        <v>43010</v>
      </c>
      <c r="G86">
        <v>1.1839999999999999</v>
      </c>
      <c r="H86">
        <v>1.3520999999999999</v>
      </c>
      <c r="I86">
        <v>1.1542999999999999</v>
      </c>
      <c r="J86">
        <v>1.3759999999999999</v>
      </c>
      <c r="K86">
        <v>1.4982899999999999</v>
      </c>
      <c r="L86">
        <v>1.4450000000000001</v>
      </c>
      <c r="M86">
        <v>1.3726800000000001</v>
      </c>
      <c r="N86">
        <v>1.508</v>
      </c>
      <c r="O86">
        <v>1.1259600000000001</v>
      </c>
      <c r="P86">
        <v>1.369</v>
      </c>
      <c r="Q86">
        <v>1.5254799999999999</v>
      </c>
      <c r="R86">
        <v>1.5409999999999999</v>
      </c>
      <c r="S86">
        <v>1.2114500000000001</v>
      </c>
      <c r="T86">
        <v>1.43699</v>
      </c>
      <c r="U86">
        <v>1.3360699999999999</v>
      </c>
    </row>
    <row r="87" spans="1:21">
      <c r="A87" s="91">
        <v>43003</v>
      </c>
      <c r="B87" s="86">
        <v>43003</v>
      </c>
      <c r="C87" s="93">
        <v>1.1371648206691098</v>
      </c>
      <c r="D87" s="85" t="s">
        <v>1129</v>
      </c>
      <c r="F87" s="91">
        <v>43003</v>
      </c>
      <c r="G87">
        <v>1.181</v>
      </c>
      <c r="H87">
        <v>1.3337999999999999</v>
      </c>
      <c r="I87">
        <v>1.1508499999999999</v>
      </c>
      <c r="J87">
        <v>1.3759999999999999</v>
      </c>
      <c r="K87">
        <v>1.5080199999999999</v>
      </c>
      <c r="L87">
        <v>1.466</v>
      </c>
      <c r="M87">
        <v>1.3706800000000001</v>
      </c>
      <c r="N87">
        <v>1.5089999999999999</v>
      </c>
      <c r="O87">
        <v>1.1364799999999999</v>
      </c>
      <c r="P87">
        <v>1.359</v>
      </c>
      <c r="Q87">
        <v>1.5215399999999999</v>
      </c>
      <c r="R87">
        <v>1.554</v>
      </c>
      <c r="S87">
        <v>1.2110300000000001</v>
      </c>
      <c r="T87">
        <v>1.4479900000000001</v>
      </c>
      <c r="U87">
        <v>1.3517399999999999</v>
      </c>
    </row>
    <row r="88" spans="1:21">
      <c r="A88" s="91">
        <v>42996</v>
      </c>
      <c r="B88" s="86">
        <v>42996</v>
      </c>
      <c r="C88" s="93">
        <v>1.13310595673801</v>
      </c>
      <c r="D88" s="85" t="s">
        <v>1130</v>
      </c>
      <c r="F88" s="91">
        <v>42996</v>
      </c>
      <c r="G88">
        <v>1.1839999999999999</v>
      </c>
      <c r="H88">
        <v>1.3077999999999999</v>
      </c>
      <c r="I88">
        <v>1.1504700000000001</v>
      </c>
      <c r="J88">
        <v>1.381</v>
      </c>
      <c r="K88">
        <v>1.52118</v>
      </c>
      <c r="L88">
        <v>1.4710000000000001</v>
      </c>
      <c r="M88">
        <v>1.37456</v>
      </c>
      <c r="N88">
        <v>1.506</v>
      </c>
      <c r="O88">
        <v>1.1447100000000001</v>
      </c>
      <c r="P88">
        <v>1.359</v>
      </c>
      <c r="Q88">
        <v>1.5249600000000001</v>
      </c>
      <c r="R88">
        <v>1.5620000000000001</v>
      </c>
      <c r="S88">
        <v>1.21438</v>
      </c>
      <c r="T88">
        <v>1.4719599999999999</v>
      </c>
      <c r="U88">
        <v>1.3467199999999999</v>
      </c>
    </row>
    <row r="89" spans="1:21">
      <c r="A89" s="91">
        <v>42989</v>
      </c>
      <c r="B89" s="86">
        <v>42989</v>
      </c>
      <c r="C89" s="93">
        <v>1.1016248967226698</v>
      </c>
      <c r="D89" s="85" t="s">
        <v>1131</v>
      </c>
      <c r="F89" s="91">
        <v>42989</v>
      </c>
      <c r="G89">
        <v>1.196</v>
      </c>
      <c r="H89">
        <v>1.3484</v>
      </c>
      <c r="I89">
        <v>1.1466800000000001</v>
      </c>
      <c r="J89">
        <v>1.395</v>
      </c>
      <c r="K89">
        <v>1.53501</v>
      </c>
      <c r="L89">
        <v>1.4410000000000001</v>
      </c>
      <c r="M89">
        <v>1.3738699999999999</v>
      </c>
      <c r="N89">
        <v>1.506</v>
      </c>
      <c r="O89">
        <v>1.1684600000000001</v>
      </c>
      <c r="P89">
        <v>1.359</v>
      </c>
      <c r="Q89">
        <v>1.52342</v>
      </c>
      <c r="R89">
        <v>1.58</v>
      </c>
      <c r="S89">
        <v>1.2177200000000001</v>
      </c>
      <c r="T89">
        <v>1.4717100000000001</v>
      </c>
      <c r="U89">
        <v>1.30149</v>
      </c>
    </row>
    <row r="90" spans="1:21">
      <c r="A90" s="91">
        <v>42982</v>
      </c>
      <c r="B90" s="86">
        <v>42982</v>
      </c>
      <c r="C90" s="93">
        <v>1.0886723640520399</v>
      </c>
      <c r="D90" s="85" t="s">
        <v>1132</v>
      </c>
      <c r="F90" s="91">
        <v>42982</v>
      </c>
      <c r="G90">
        <v>1.179</v>
      </c>
      <c r="H90">
        <v>1.361</v>
      </c>
      <c r="I90">
        <v>1.13307</v>
      </c>
      <c r="J90">
        <v>1.393</v>
      </c>
      <c r="K90">
        <v>1.5489900000000001</v>
      </c>
      <c r="L90">
        <v>1.444</v>
      </c>
      <c r="M90">
        <v>1.3388199999999999</v>
      </c>
      <c r="N90">
        <v>1.488</v>
      </c>
      <c r="O90">
        <v>1.12727</v>
      </c>
      <c r="P90">
        <v>1.329</v>
      </c>
      <c r="Q90">
        <v>1.5086600000000001</v>
      </c>
      <c r="R90">
        <v>1.5649999999999999</v>
      </c>
      <c r="S90">
        <v>1.2001600000000001</v>
      </c>
      <c r="T90">
        <v>1.47953</v>
      </c>
      <c r="U90">
        <v>1.27321</v>
      </c>
    </row>
    <row r="91" spans="1:21">
      <c r="A91" s="91">
        <v>42975</v>
      </c>
      <c r="B91" s="86">
        <v>42975</v>
      </c>
      <c r="C91" s="93">
        <v>1.0830950524217999</v>
      </c>
      <c r="D91" s="85" t="s">
        <v>1068</v>
      </c>
      <c r="F91" s="91">
        <v>42975</v>
      </c>
      <c r="G91">
        <v>1.1519999999999999</v>
      </c>
      <c r="H91">
        <v>1.3152000000000001</v>
      </c>
      <c r="I91">
        <v>1.12616</v>
      </c>
      <c r="J91">
        <v>1.3620000000000001</v>
      </c>
      <c r="K91">
        <v>1.4678800000000001</v>
      </c>
      <c r="L91">
        <v>1.423</v>
      </c>
      <c r="M91">
        <v>1.3399400000000001</v>
      </c>
      <c r="N91">
        <v>1.488</v>
      </c>
      <c r="O91">
        <v>1.13066</v>
      </c>
      <c r="P91">
        <v>1.2989999999999999</v>
      </c>
      <c r="Q91">
        <v>1.4992999999999999</v>
      </c>
      <c r="R91">
        <v>1.538</v>
      </c>
      <c r="S91">
        <v>1.18977</v>
      </c>
      <c r="T91">
        <v>1.45468</v>
      </c>
      <c r="U91">
        <v>1.26074</v>
      </c>
    </row>
    <row r="92" spans="1:21">
      <c r="A92" s="91">
        <v>42968</v>
      </c>
      <c r="B92" s="86">
        <v>42968</v>
      </c>
      <c r="C92" s="93">
        <v>1.0950743555487399</v>
      </c>
      <c r="D92" s="85" t="s">
        <v>1133</v>
      </c>
      <c r="F92" s="91">
        <v>42968</v>
      </c>
      <c r="G92">
        <v>1.151</v>
      </c>
      <c r="H92">
        <v>1.3168</v>
      </c>
      <c r="I92">
        <v>1.1285399999999999</v>
      </c>
      <c r="J92">
        <v>1.35</v>
      </c>
      <c r="K92">
        <v>1.4548299999999998</v>
      </c>
      <c r="L92">
        <v>1.4470000000000001</v>
      </c>
      <c r="M92">
        <v>1.3404800000000001</v>
      </c>
      <c r="N92">
        <v>1.47</v>
      </c>
      <c r="O92">
        <v>1.1396500000000001</v>
      </c>
      <c r="P92">
        <v>1.319</v>
      </c>
      <c r="Q92">
        <v>1.49935</v>
      </c>
      <c r="R92">
        <v>1.522</v>
      </c>
      <c r="S92">
        <v>1.1907300000000001</v>
      </c>
      <c r="T92">
        <v>1.44516</v>
      </c>
      <c r="U92">
        <v>1.2707599999999999</v>
      </c>
    </row>
    <row r="93" spans="1:21">
      <c r="A93" s="91">
        <v>42961</v>
      </c>
      <c r="B93" s="86">
        <v>42961</v>
      </c>
      <c r="C93" s="93">
        <v>1.09968658932204</v>
      </c>
      <c r="D93" s="85" t="s">
        <v>1134</v>
      </c>
      <c r="F93" s="91">
        <v>42961</v>
      </c>
      <c r="G93">
        <v>1.153</v>
      </c>
      <c r="H93">
        <v>1.3564000000000001</v>
      </c>
      <c r="I93">
        <v>1.1274200000000001</v>
      </c>
      <c r="J93">
        <v>1.3560000000000001</v>
      </c>
      <c r="K93">
        <v>1.45631</v>
      </c>
      <c r="L93">
        <v>1.4319999999999999</v>
      </c>
      <c r="M93">
        <v>1.3386300000000002</v>
      </c>
      <c r="N93">
        <v>1.47</v>
      </c>
      <c r="O93">
        <v>1.13632</v>
      </c>
      <c r="P93">
        <v>1.329</v>
      </c>
      <c r="Q93">
        <v>1.49851</v>
      </c>
      <c r="R93">
        <v>1.534</v>
      </c>
      <c r="S93">
        <v>1.19154</v>
      </c>
      <c r="T93">
        <v>1.45278</v>
      </c>
      <c r="U93">
        <v>1.2704200000000001</v>
      </c>
    </row>
    <row r="94" spans="1:21">
      <c r="A94" s="91">
        <v>42954</v>
      </c>
      <c r="B94" s="86">
        <v>42954</v>
      </c>
      <c r="C94" s="93">
        <v>1.10576657267651</v>
      </c>
      <c r="D94" s="85" t="s">
        <v>1135</v>
      </c>
      <c r="F94" s="91">
        <v>42954</v>
      </c>
      <c r="G94">
        <v>1.1519999999999999</v>
      </c>
      <c r="H94">
        <v>1.3366</v>
      </c>
      <c r="I94">
        <v>1.1274300000000002</v>
      </c>
      <c r="J94">
        <v>1.355</v>
      </c>
      <c r="K94">
        <v>1.48285</v>
      </c>
      <c r="L94">
        <v>1.456</v>
      </c>
      <c r="M94">
        <v>1.3366300000000002</v>
      </c>
      <c r="N94">
        <v>1.47</v>
      </c>
      <c r="O94">
        <v>1.1285399999999999</v>
      </c>
      <c r="P94">
        <v>1.329</v>
      </c>
      <c r="Q94">
        <v>1.49719</v>
      </c>
      <c r="R94">
        <v>1.53</v>
      </c>
      <c r="S94">
        <v>1.1878299999999999</v>
      </c>
      <c r="T94">
        <v>1.4131500000000001</v>
      </c>
      <c r="U94">
        <v>1.26922</v>
      </c>
    </row>
    <row r="95" spans="1:21">
      <c r="A95" s="91">
        <v>42947</v>
      </c>
      <c r="B95" s="86">
        <v>42947</v>
      </c>
      <c r="C95" s="93">
        <v>1.1183180496533198</v>
      </c>
      <c r="D95" s="85" t="s">
        <v>1136</v>
      </c>
      <c r="F95" s="91">
        <v>42947</v>
      </c>
      <c r="G95">
        <v>1.1439999999999999</v>
      </c>
      <c r="H95">
        <v>1.2975999999999999</v>
      </c>
      <c r="I95">
        <v>1.12259</v>
      </c>
      <c r="J95">
        <v>1.3480000000000001</v>
      </c>
      <c r="K95">
        <v>1.4698</v>
      </c>
      <c r="L95">
        <v>1.4510000000000001</v>
      </c>
      <c r="M95">
        <v>1.3179000000000001</v>
      </c>
      <c r="N95">
        <v>1.47</v>
      </c>
      <c r="O95">
        <v>1.1194200000000001</v>
      </c>
      <c r="P95">
        <v>1.2989999999999999</v>
      </c>
      <c r="Q95">
        <v>1.4941900000000001</v>
      </c>
      <c r="R95">
        <v>1.522</v>
      </c>
      <c r="S95">
        <v>1.1808599999999998</v>
      </c>
      <c r="T95">
        <v>1.4242900000000001</v>
      </c>
      <c r="U95">
        <v>1.27668</v>
      </c>
    </row>
    <row r="96" spans="1:21">
      <c r="A96" s="91">
        <v>42940</v>
      </c>
      <c r="B96" s="86">
        <v>42940</v>
      </c>
      <c r="C96" s="93">
        <v>1.1191941801902601</v>
      </c>
      <c r="D96" s="85" t="s">
        <v>1137</v>
      </c>
      <c r="F96" s="91">
        <v>42940</v>
      </c>
      <c r="G96">
        <v>1.1459999999999999</v>
      </c>
      <c r="H96">
        <v>1.3080000000000001</v>
      </c>
      <c r="I96">
        <v>1.1270799999999999</v>
      </c>
      <c r="J96">
        <v>1.347</v>
      </c>
      <c r="K96">
        <v>1.4698599999999999</v>
      </c>
      <c r="L96">
        <v>1.452</v>
      </c>
      <c r="M96">
        <v>1.3282700000000001</v>
      </c>
      <c r="N96">
        <v>1.4690000000000001</v>
      </c>
      <c r="O96">
        <v>1.11673</v>
      </c>
      <c r="P96">
        <v>1.319</v>
      </c>
      <c r="Q96">
        <v>1.48983</v>
      </c>
      <c r="R96">
        <v>1.522</v>
      </c>
      <c r="S96">
        <v>1.17692</v>
      </c>
      <c r="T96">
        <v>1.4174599999999999</v>
      </c>
      <c r="U96">
        <v>1.2758</v>
      </c>
    </row>
    <row r="97" spans="1:21">
      <c r="A97" s="91">
        <v>42933</v>
      </c>
      <c r="B97" s="86">
        <v>42933</v>
      </c>
      <c r="C97" s="93">
        <v>1.1395362087630299</v>
      </c>
      <c r="D97" s="85" t="s">
        <v>1138</v>
      </c>
      <c r="F97" s="91">
        <v>42933</v>
      </c>
      <c r="G97">
        <v>1.1439999999999999</v>
      </c>
      <c r="H97">
        <v>1.2949999999999999</v>
      </c>
      <c r="I97">
        <v>1.1260999999999999</v>
      </c>
      <c r="J97">
        <v>1.349</v>
      </c>
      <c r="K97">
        <v>1.4697799999999999</v>
      </c>
      <c r="L97">
        <v>1.4510000000000001</v>
      </c>
      <c r="M97">
        <v>1.3225499999999999</v>
      </c>
      <c r="N97">
        <v>1.46</v>
      </c>
      <c r="O97">
        <v>1.1131</v>
      </c>
      <c r="P97">
        <v>1.329</v>
      </c>
      <c r="Q97">
        <v>1.4873299999999998</v>
      </c>
      <c r="R97">
        <v>1.506</v>
      </c>
      <c r="S97">
        <v>1.17249</v>
      </c>
      <c r="T97">
        <v>1.4246300000000001</v>
      </c>
      <c r="U97">
        <v>1.29779</v>
      </c>
    </row>
    <row r="98" spans="1:21">
      <c r="A98" s="91">
        <v>42926</v>
      </c>
      <c r="B98" s="86">
        <v>42926</v>
      </c>
      <c r="C98" s="93">
        <v>1.13067173207603</v>
      </c>
      <c r="D98" s="85" t="s">
        <v>1139</v>
      </c>
      <c r="F98" s="91">
        <v>42926</v>
      </c>
      <c r="G98">
        <v>1.1479999999999999</v>
      </c>
      <c r="H98">
        <v>1.32324</v>
      </c>
      <c r="I98">
        <v>1.1279100000000002</v>
      </c>
      <c r="J98">
        <v>1.3420000000000001</v>
      </c>
      <c r="K98">
        <v>1.45631</v>
      </c>
      <c r="L98">
        <v>1.448</v>
      </c>
      <c r="M98">
        <v>1.3154000000000001</v>
      </c>
      <c r="N98">
        <v>1.46</v>
      </c>
      <c r="O98">
        <v>1.1059400000000001</v>
      </c>
      <c r="P98">
        <v>1.329</v>
      </c>
      <c r="Q98">
        <v>1.49068</v>
      </c>
      <c r="R98">
        <v>1.512</v>
      </c>
      <c r="S98">
        <v>1.17455</v>
      </c>
      <c r="T98">
        <v>1.4131500000000001</v>
      </c>
      <c r="U98">
        <v>1.2841800000000001</v>
      </c>
    </row>
    <row r="99" spans="1:21">
      <c r="A99" s="91">
        <v>42919</v>
      </c>
      <c r="B99" s="86">
        <v>42919</v>
      </c>
      <c r="C99" s="93">
        <v>1.1401858502936</v>
      </c>
      <c r="D99" s="85" t="s">
        <v>1140</v>
      </c>
      <c r="F99" s="91">
        <v>42919</v>
      </c>
      <c r="G99">
        <v>1.143</v>
      </c>
      <c r="H99">
        <v>1.3186800000000001</v>
      </c>
      <c r="I99">
        <v>1.12819</v>
      </c>
      <c r="J99">
        <v>1.3440000000000001</v>
      </c>
      <c r="K99">
        <v>1.45631</v>
      </c>
      <c r="L99">
        <v>1.4430000000000001</v>
      </c>
      <c r="M99">
        <v>1.32196</v>
      </c>
      <c r="N99">
        <v>1.46</v>
      </c>
      <c r="O99">
        <v>1.0877699999999999</v>
      </c>
      <c r="P99">
        <v>1.329</v>
      </c>
      <c r="Q99">
        <v>1.48899</v>
      </c>
      <c r="R99">
        <v>1.5049999999999999</v>
      </c>
      <c r="S99">
        <v>1.1681600000000001</v>
      </c>
      <c r="T99">
        <v>1.4104700000000001</v>
      </c>
      <c r="U99">
        <v>1.2968599999999999</v>
      </c>
    </row>
    <row r="100" spans="1:21">
      <c r="A100" s="91">
        <v>42912</v>
      </c>
      <c r="B100" s="86">
        <v>42912</v>
      </c>
      <c r="C100" s="93">
        <v>1.13856313332574</v>
      </c>
      <c r="D100" s="85" t="s">
        <v>1141</v>
      </c>
      <c r="F100" s="91">
        <v>42912</v>
      </c>
      <c r="G100">
        <v>1.155</v>
      </c>
      <c r="H100">
        <v>1.3146</v>
      </c>
      <c r="I100">
        <v>1.12944</v>
      </c>
      <c r="J100">
        <v>1.3440000000000001</v>
      </c>
      <c r="K100">
        <v>1.4563499999999998</v>
      </c>
      <c r="L100">
        <v>1.4470000000000001</v>
      </c>
      <c r="M100">
        <v>1.3285</v>
      </c>
      <c r="N100">
        <v>1.466</v>
      </c>
      <c r="O100">
        <v>1.0862499999999999</v>
      </c>
      <c r="P100">
        <v>1.349</v>
      </c>
      <c r="Q100">
        <v>1.4902599999999999</v>
      </c>
      <c r="R100">
        <v>1.5029999999999999</v>
      </c>
      <c r="S100">
        <v>1.17215</v>
      </c>
      <c r="T100">
        <v>1.3922600000000001</v>
      </c>
      <c r="U100">
        <v>1.30281</v>
      </c>
    </row>
    <row r="101" spans="1:21">
      <c r="A101" s="91">
        <v>42905</v>
      </c>
      <c r="B101" s="86">
        <v>42905</v>
      </c>
      <c r="C101" s="93">
        <v>1.1426220891702301</v>
      </c>
      <c r="D101" s="85" t="s">
        <v>1142</v>
      </c>
      <c r="F101" s="91">
        <v>42905</v>
      </c>
      <c r="G101">
        <v>1.1559999999999999</v>
      </c>
      <c r="H101">
        <v>1.3034000000000001</v>
      </c>
      <c r="I101">
        <v>1.1443099999999999</v>
      </c>
      <c r="J101">
        <v>1.353</v>
      </c>
      <c r="K101">
        <v>1.45621</v>
      </c>
      <c r="L101">
        <v>1.466</v>
      </c>
      <c r="M101">
        <v>1.3435599999999999</v>
      </c>
      <c r="N101">
        <v>1.478</v>
      </c>
      <c r="O101">
        <v>1.1105</v>
      </c>
      <c r="P101">
        <v>1.359</v>
      </c>
      <c r="Q101">
        <v>1.5029300000000001</v>
      </c>
      <c r="R101">
        <v>1.5209999999999999</v>
      </c>
      <c r="S101">
        <v>1.18245</v>
      </c>
      <c r="T101">
        <v>1.39723</v>
      </c>
      <c r="U101">
        <v>1.3153599999999999</v>
      </c>
    </row>
    <row r="102" spans="1:21">
      <c r="A102" s="91">
        <v>42898</v>
      </c>
      <c r="B102" s="86">
        <v>42898</v>
      </c>
      <c r="C102" s="93">
        <v>1.1293692472753998</v>
      </c>
      <c r="D102" s="85" t="s">
        <v>1085</v>
      </c>
      <c r="F102" s="91">
        <v>42898</v>
      </c>
      <c r="G102">
        <v>1.157</v>
      </c>
      <c r="H102">
        <v>1.3244</v>
      </c>
      <c r="I102">
        <v>1.1492100000000001</v>
      </c>
      <c r="J102">
        <v>1.3620000000000001</v>
      </c>
      <c r="K102">
        <v>1.46974</v>
      </c>
      <c r="L102">
        <v>1.466</v>
      </c>
      <c r="M102">
        <v>1.3569899999999999</v>
      </c>
      <c r="N102">
        <v>1.494</v>
      </c>
      <c r="O102">
        <v>1.1261199999999998</v>
      </c>
      <c r="P102">
        <v>1.339</v>
      </c>
      <c r="Q102">
        <v>1.51193</v>
      </c>
      <c r="R102">
        <v>1.526</v>
      </c>
      <c r="S102">
        <v>1.1944399999999999</v>
      </c>
      <c r="T102">
        <v>1.4127400000000001</v>
      </c>
      <c r="U102">
        <v>1.3066</v>
      </c>
    </row>
    <row r="103" spans="1:21">
      <c r="A103" s="91">
        <v>42891</v>
      </c>
      <c r="B103" s="86">
        <v>42891</v>
      </c>
      <c r="C103" s="93">
        <v>1.1477103179157599</v>
      </c>
      <c r="D103" s="85" t="s">
        <v>1084</v>
      </c>
      <c r="F103" s="91">
        <v>42891</v>
      </c>
      <c r="G103">
        <v>1.1619999999999999</v>
      </c>
      <c r="H103">
        <v>1.3232999999999999</v>
      </c>
      <c r="I103">
        <v>1.15296</v>
      </c>
      <c r="J103">
        <v>1.377</v>
      </c>
      <c r="K103">
        <v>1.4960100000000001</v>
      </c>
      <c r="L103">
        <v>1.4610000000000001</v>
      </c>
      <c r="M103">
        <v>1.36832</v>
      </c>
      <c r="N103">
        <v>1.5029999999999999</v>
      </c>
      <c r="O103">
        <v>1.1429500000000001</v>
      </c>
      <c r="P103">
        <v>1.369</v>
      </c>
      <c r="Q103">
        <v>1.5193800000000002</v>
      </c>
      <c r="R103">
        <v>1.5389999999999999</v>
      </c>
      <c r="S103">
        <v>1.2079200000000001</v>
      </c>
      <c r="T103">
        <v>1.4434400000000001</v>
      </c>
      <c r="U103">
        <v>1.3292899999999999</v>
      </c>
    </row>
    <row r="104" spans="1:21">
      <c r="A104" s="91">
        <v>42884</v>
      </c>
      <c r="B104" s="86">
        <v>42884</v>
      </c>
      <c r="C104" s="93">
        <v>1.14819790339063</v>
      </c>
      <c r="D104" s="85" t="s">
        <v>1143</v>
      </c>
      <c r="F104" s="91">
        <v>42884</v>
      </c>
      <c r="G104">
        <v>1.173</v>
      </c>
      <c r="H104">
        <v>1.3384</v>
      </c>
      <c r="I104">
        <v>1.1511300000000002</v>
      </c>
      <c r="J104">
        <v>1.381</v>
      </c>
      <c r="K104">
        <v>1.4958699999999998</v>
      </c>
      <c r="L104">
        <v>1.47</v>
      </c>
      <c r="M104">
        <v>1.3701700000000001</v>
      </c>
      <c r="N104">
        <v>1.504</v>
      </c>
      <c r="O104">
        <v>1.14957</v>
      </c>
      <c r="P104">
        <v>1.359</v>
      </c>
      <c r="Q104">
        <v>1.52383</v>
      </c>
      <c r="R104">
        <v>1.546</v>
      </c>
      <c r="S104">
        <v>1.2158800000000001</v>
      </c>
      <c r="T104">
        <v>1.45011</v>
      </c>
      <c r="U104">
        <v>1.3295599999999999</v>
      </c>
    </row>
    <row r="105" spans="1:21">
      <c r="A105" s="91">
        <v>42877</v>
      </c>
      <c r="B105" s="86">
        <v>42877</v>
      </c>
      <c r="C105" s="93">
        <v>1.15803735828518</v>
      </c>
      <c r="D105" s="85" t="s">
        <v>1144</v>
      </c>
      <c r="F105" s="91">
        <v>42877</v>
      </c>
      <c r="G105">
        <v>1.173</v>
      </c>
      <c r="H105">
        <v>1.3825000000000001</v>
      </c>
      <c r="I105">
        <v>1.1471600000000002</v>
      </c>
      <c r="J105">
        <v>1.377</v>
      </c>
      <c r="K105">
        <v>1.49532</v>
      </c>
      <c r="L105">
        <v>1.4830000000000001</v>
      </c>
      <c r="M105">
        <v>1.3693599999999999</v>
      </c>
      <c r="N105">
        <v>1.5029999999999999</v>
      </c>
      <c r="O105">
        <v>1.1392200000000001</v>
      </c>
      <c r="P105">
        <v>1.359</v>
      </c>
      <c r="Q105">
        <v>1.52519</v>
      </c>
      <c r="R105">
        <v>1.542</v>
      </c>
      <c r="S105">
        <v>1.21096</v>
      </c>
      <c r="T105">
        <v>1.44451</v>
      </c>
      <c r="U105">
        <v>1.33952</v>
      </c>
    </row>
    <row r="106" spans="1:21">
      <c r="A106" s="91">
        <v>42870</v>
      </c>
      <c r="B106" s="86">
        <v>42870</v>
      </c>
      <c r="C106" s="93">
        <v>1.1774679728711401</v>
      </c>
      <c r="D106" s="85" t="s">
        <v>1145</v>
      </c>
      <c r="F106" s="91">
        <v>42870</v>
      </c>
      <c r="G106">
        <v>1.1719999999999999</v>
      </c>
      <c r="H106">
        <v>1.3434000000000001</v>
      </c>
      <c r="I106">
        <v>1.1508099999999999</v>
      </c>
      <c r="J106">
        <v>1.3759999999999999</v>
      </c>
      <c r="K106">
        <v>1.4718699999999998</v>
      </c>
      <c r="L106">
        <v>1.472</v>
      </c>
      <c r="M106">
        <v>1.3670199999999999</v>
      </c>
      <c r="N106">
        <v>1.506</v>
      </c>
      <c r="O106">
        <v>1.1211500000000001</v>
      </c>
      <c r="P106">
        <v>1.369</v>
      </c>
      <c r="Q106">
        <v>1.5292399999999999</v>
      </c>
      <c r="R106">
        <v>1.538</v>
      </c>
      <c r="S106">
        <v>1.20627</v>
      </c>
      <c r="T106">
        <v>1.4505899999999998</v>
      </c>
      <c r="U106">
        <v>1.3611600000000001</v>
      </c>
    </row>
    <row r="107" spans="1:21">
      <c r="A107" s="91">
        <v>42863</v>
      </c>
      <c r="B107" s="86">
        <v>42863</v>
      </c>
      <c r="C107" s="93">
        <v>1.18392233469484</v>
      </c>
      <c r="D107" s="85" t="s">
        <v>1146</v>
      </c>
      <c r="F107" s="91">
        <v>42863</v>
      </c>
      <c r="G107">
        <v>1.173</v>
      </c>
      <c r="H107">
        <v>1.3988</v>
      </c>
      <c r="I107">
        <v>1.1469800000000001</v>
      </c>
      <c r="J107">
        <v>1.3660000000000001</v>
      </c>
      <c r="K107">
        <v>1.4720299999999999</v>
      </c>
      <c r="L107">
        <v>1.462</v>
      </c>
      <c r="M107">
        <v>1.37439</v>
      </c>
      <c r="N107">
        <v>1.524</v>
      </c>
      <c r="O107">
        <v>1.1298900000000001</v>
      </c>
      <c r="P107">
        <v>1.379</v>
      </c>
      <c r="Q107">
        <v>1.53966</v>
      </c>
      <c r="R107">
        <v>1.5349999999999999</v>
      </c>
      <c r="S107">
        <v>1.2204200000000001</v>
      </c>
      <c r="T107">
        <v>1.4315100000000001</v>
      </c>
      <c r="U107">
        <v>1.38588</v>
      </c>
    </row>
    <row r="108" spans="1:21">
      <c r="A108" s="91">
        <v>42856</v>
      </c>
      <c r="B108" s="86">
        <v>42856</v>
      </c>
      <c r="C108" s="93">
        <v>1.18381021154688</v>
      </c>
      <c r="D108" s="85" t="s">
        <v>1147</v>
      </c>
      <c r="F108" s="91">
        <v>42856</v>
      </c>
      <c r="G108">
        <v>1.19</v>
      </c>
      <c r="H108">
        <v>1.3787</v>
      </c>
      <c r="I108">
        <v>1.1533699999999998</v>
      </c>
      <c r="J108">
        <v>1.3879999999999999</v>
      </c>
      <c r="K108">
        <v>1.51244</v>
      </c>
      <c r="L108">
        <v>1.4910000000000001</v>
      </c>
      <c r="M108">
        <v>1.39808</v>
      </c>
      <c r="N108">
        <v>1.5429999999999999</v>
      </c>
      <c r="O108">
        <v>1.1455199999999999</v>
      </c>
      <c r="P108">
        <v>1.389</v>
      </c>
      <c r="Q108">
        <v>1.5558299999999998</v>
      </c>
      <c r="R108">
        <v>1.5620000000000001</v>
      </c>
      <c r="S108">
        <v>1.23946</v>
      </c>
      <c r="T108">
        <v>1.44926</v>
      </c>
      <c r="U108">
        <v>1.3978699999999999</v>
      </c>
    </row>
    <row r="109" spans="1:21">
      <c r="A109" s="91">
        <v>42849</v>
      </c>
      <c r="B109" s="86">
        <v>42849</v>
      </c>
      <c r="C109" s="93">
        <v>1.17882824472474</v>
      </c>
      <c r="D109" s="85" t="s">
        <v>1148</v>
      </c>
      <c r="F109" s="91">
        <v>42849</v>
      </c>
      <c r="G109">
        <v>1.2</v>
      </c>
      <c r="H109">
        <v>1.4319999999999999</v>
      </c>
      <c r="I109">
        <v>1.1589200000000002</v>
      </c>
      <c r="J109">
        <v>1.401</v>
      </c>
      <c r="K109">
        <v>1.5257400000000001</v>
      </c>
      <c r="L109">
        <v>1.494</v>
      </c>
      <c r="M109">
        <v>1.4106300000000001</v>
      </c>
      <c r="N109">
        <v>1.5229999999999999</v>
      </c>
      <c r="O109">
        <v>1.17879</v>
      </c>
      <c r="P109">
        <v>1.399</v>
      </c>
      <c r="Q109">
        <v>1.55928</v>
      </c>
      <c r="R109">
        <v>1.595</v>
      </c>
      <c r="S109">
        <v>1.2576099999999999</v>
      </c>
      <c r="T109">
        <v>1.48865</v>
      </c>
      <c r="U109">
        <v>1.39276</v>
      </c>
    </row>
    <row r="110" spans="1:21">
      <c r="A110" s="91">
        <v>42835</v>
      </c>
      <c r="B110" s="86">
        <v>42835</v>
      </c>
      <c r="C110" s="93">
        <v>1.17185211226343</v>
      </c>
      <c r="D110" s="85" t="s">
        <v>1149</v>
      </c>
      <c r="F110" s="91">
        <v>42835</v>
      </c>
      <c r="G110">
        <v>1.194</v>
      </c>
      <c r="H110">
        <v>1.3557000000000001</v>
      </c>
      <c r="I110">
        <v>1.1621700000000001</v>
      </c>
      <c r="J110">
        <v>1.403</v>
      </c>
      <c r="K110">
        <v>1.53302</v>
      </c>
      <c r="L110">
        <v>1.48</v>
      </c>
      <c r="M110">
        <v>1.3955</v>
      </c>
      <c r="N110">
        <v>1.5229999999999999</v>
      </c>
      <c r="O110">
        <v>1.1572899999999999</v>
      </c>
      <c r="P110">
        <v>1.389</v>
      </c>
      <c r="Q110">
        <v>1.53809</v>
      </c>
      <c r="R110">
        <v>1.581</v>
      </c>
      <c r="S110">
        <v>1.2362500000000001</v>
      </c>
      <c r="T110">
        <v>1.4918099999999999</v>
      </c>
      <c r="U110">
        <v>1.3713199999999999</v>
      </c>
    </row>
    <row r="111" spans="1:21">
      <c r="A111" s="91">
        <v>42828</v>
      </c>
      <c r="B111" s="86">
        <v>42828</v>
      </c>
      <c r="C111" s="93">
        <v>1.1728829462819599</v>
      </c>
      <c r="D111" s="85" t="s">
        <v>1150</v>
      </c>
      <c r="F111" s="91">
        <v>42828</v>
      </c>
      <c r="G111">
        <v>1.165</v>
      </c>
      <c r="H111">
        <v>1.3807</v>
      </c>
      <c r="I111">
        <v>1.1326700000000001</v>
      </c>
      <c r="J111">
        <v>1.383</v>
      </c>
      <c r="K111">
        <v>1.4924600000000001</v>
      </c>
      <c r="L111">
        <v>1.464</v>
      </c>
      <c r="M111">
        <v>1.3745799999999999</v>
      </c>
      <c r="N111">
        <v>1.512</v>
      </c>
      <c r="O111">
        <v>1.13693</v>
      </c>
      <c r="P111">
        <v>1.389</v>
      </c>
      <c r="Q111">
        <v>1.5270699999999999</v>
      </c>
      <c r="R111">
        <v>1.5509999999999999</v>
      </c>
      <c r="S111">
        <v>1.21573</v>
      </c>
      <c r="T111">
        <v>1.4853099999999999</v>
      </c>
      <c r="U111">
        <v>1.3714200000000001</v>
      </c>
    </row>
    <row r="112" spans="1:21">
      <c r="A112" s="91">
        <v>42821</v>
      </c>
      <c r="B112" s="86">
        <v>42821</v>
      </c>
      <c r="C112" s="93">
        <v>1.1573672210455701</v>
      </c>
      <c r="D112" s="85" t="s">
        <v>1151</v>
      </c>
      <c r="F112" s="91">
        <v>42821</v>
      </c>
      <c r="G112">
        <v>1.1439999999999999</v>
      </c>
      <c r="H112">
        <v>1.2999000000000001</v>
      </c>
      <c r="I112">
        <v>1.13737</v>
      </c>
      <c r="J112">
        <v>1.361</v>
      </c>
      <c r="K112">
        <v>1.4717</v>
      </c>
      <c r="L112">
        <v>1.464</v>
      </c>
      <c r="M112">
        <v>1.37208</v>
      </c>
      <c r="N112">
        <v>1.516</v>
      </c>
      <c r="O112">
        <v>1.14771</v>
      </c>
      <c r="P112">
        <v>1.349</v>
      </c>
      <c r="Q112">
        <v>1.5321300000000002</v>
      </c>
      <c r="R112">
        <v>1.5249999999999999</v>
      </c>
      <c r="S112">
        <v>1.21271</v>
      </c>
      <c r="T112">
        <v>1.4568099999999999</v>
      </c>
      <c r="U112">
        <v>1.36602</v>
      </c>
    </row>
    <row r="113" spans="1:21">
      <c r="A113" s="91">
        <v>42814</v>
      </c>
      <c r="B113" s="86">
        <v>42814</v>
      </c>
      <c r="C113" s="93">
        <v>1.15216664938417</v>
      </c>
      <c r="D113" s="85" t="s">
        <v>1152</v>
      </c>
      <c r="F113" s="91">
        <v>42814</v>
      </c>
      <c r="G113">
        <v>1.151</v>
      </c>
      <c r="H113">
        <v>1.3414000000000001</v>
      </c>
      <c r="I113">
        <v>1.1427</v>
      </c>
      <c r="J113">
        <v>1.3620000000000001</v>
      </c>
      <c r="K113">
        <v>1.4728399999999999</v>
      </c>
      <c r="L113">
        <v>1.472</v>
      </c>
      <c r="M113">
        <v>1.38121</v>
      </c>
      <c r="N113">
        <v>1.5249999999999999</v>
      </c>
      <c r="O113">
        <v>1.1510499999999999</v>
      </c>
      <c r="P113">
        <v>1.389</v>
      </c>
      <c r="Q113">
        <v>1.53901</v>
      </c>
      <c r="R113">
        <v>1.5389999999999999</v>
      </c>
      <c r="S113">
        <v>1.2176199999999999</v>
      </c>
      <c r="T113">
        <v>1.4414500000000001</v>
      </c>
      <c r="U113">
        <v>1.3704700000000001</v>
      </c>
    </row>
    <row r="114" spans="1:21">
      <c r="A114" s="91">
        <v>42807</v>
      </c>
      <c r="B114" s="86">
        <v>42807</v>
      </c>
      <c r="C114" s="93">
        <v>1.1460267253432399</v>
      </c>
      <c r="D114" s="85" t="s">
        <v>1153</v>
      </c>
      <c r="F114" s="91">
        <v>42807</v>
      </c>
      <c r="G114">
        <v>1.1830000000000001</v>
      </c>
      <c r="H114">
        <v>1.3849</v>
      </c>
      <c r="I114">
        <v>1.1480699999999999</v>
      </c>
      <c r="J114">
        <v>1.381</v>
      </c>
      <c r="K114">
        <v>1.5065899999999999</v>
      </c>
      <c r="L114">
        <v>1.4850000000000001</v>
      </c>
      <c r="M114">
        <v>1.4014599999999999</v>
      </c>
      <c r="N114">
        <v>1.54</v>
      </c>
      <c r="O114">
        <v>1.16123</v>
      </c>
      <c r="P114">
        <v>1.399</v>
      </c>
      <c r="Q114">
        <v>1.5489000000000002</v>
      </c>
      <c r="R114">
        <v>1.5609999999999999</v>
      </c>
      <c r="S114">
        <v>1.2369100000000002</v>
      </c>
      <c r="T114">
        <v>1.45496</v>
      </c>
      <c r="U114">
        <v>1.37297</v>
      </c>
    </row>
    <row r="115" spans="1:21">
      <c r="A115" s="91">
        <v>42800</v>
      </c>
      <c r="B115" s="86">
        <v>42800</v>
      </c>
      <c r="C115" s="93">
        <v>1.1587485515643099</v>
      </c>
      <c r="D115" s="85" t="s">
        <v>1154</v>
      </c>
      <c r="F115" s="91">
        <v>42800</v>
      </c>
      <c r="G115">
        <v>1.2030000000000001</v>
      </c>
      <c r="H115">
        <v>1.4011</v>
      </c>
      <c r="I115">
        <v>1.1511</v>
      </c>
      <c r="J115">
        <v>1.389</v>
      </c>
      <c r="K115">
        <v>1.5268299999999999</v>
      </c>
      <c r="L115">
        <v>1.496</v>
      </c>
      <c r="M115">
        <v>1.41316</v>
      </c>
      <c r="N115">
        <v>1.5489999999999999</v>
      </c>
      <c r="O115">
        <v>1.1974500000000001</v>
      </c>
      <c r="P115">
        <v>1.399</v>
      </c>
      <c r="Q115">
        <v>1.5551900000000001</v>
      </c>
      <c r="R115">
        <v>1.577</v>
      </c>
      <c r="S115">
        <v>1.2495399999999999</v>
      </c>
      <c r="T115">
        <v>1.48644</v>
      </c>
      <c r="U115">
        <v>1.39073</v>
      </c>
    </row>
    <row r="116" spans="1:21">
      <c r="A116" s="91">
        <v>42793</v>
      </c>
      <c r="B116" s="86">
        <v>42793</v>
      </c>
      <c r="C116" s="93">
        <v>1.17260787992495</v>
      </c>
      <c r="D116" s="85" t="s">
        <v>1155</v>
      </c>
      <c r="F116" s="91">
        <v>42793</v>
      </c>
      <c r="G116">
        <v>1.212</v>
      </c>
      <c r="H116">
        <v>1.3971</v>
      </c>
      <c r="I116">
        <v>1.15099</v>
      </c>
      <c r="J116">
        <v>1.4039999999999999</v>
      </c>
      <c r="K116">
        <v>1.5135000000000001</v>
      </c>
      <c r="L116">
        <v>1.4830000000000001</v>
      </c>
      <c r="M116">
        <v>1.4169800000000001</v>
      </c>
      <c r="N116">
        <v>1.5489999999999999</v>
      </c>
      <c r="O116">
        <v>1.2114</v>
      </c>
      <c r="P116">
        <v>1.399</v>
      </c>
      <c r="Q116">
        <v>1.55524</v>
      </c>
      <c r="R116">
        <v>1.59</v>
      </c>
      <c r="S116">
        <v>1.25318</v>
      </c>
      <c r="T116">
        <v>1.50082</v>
      </c>
      <c r="U116">
        <v>1.40856</v>
      </c>
    </row>
    <row r="117" spans="1:21">
      <c r="A117" s="91">
        <v>42786</v>
      </c>
      <c r="B117" s="86">
        <v>42786</v>
      </c>
      <c r="C117" s="93">
        <v>1.17446708555993</v>
      </c>
      <c r="D117" s="85" t="s">
        <v>1156</v>
      </c>
      <c r="F117" s="91">
        <v>42786</v>
      </c>
      <c r="G117">
        <v>1.206</v>
      </c>
      <c r="H117">
        <v>1.4157999999999999</v>
      </c>
      <c r="I117">
        <v>1.1509200000000002</v>
      </c>
      <c r="J117">
        <v>1.4079999999999999</v>
      </c>
      <c r="K117">
        <v>1.51884</v>
      </c>
      <c r="L117">
        <v>1.4890000000000001</v>
      </c>
      <c r="M117">
        <v>1.41971</v>
      </c>
      <c r="N117">
        <v>1.548</v>
      </c>
      <c r="O117">
        <v>1.20953</v>
      </c>
      <c r="P117">
        <v>1.399</v>
      </c>
      <c r="Q117">
        <v>1.5551400000000002</v>
      </c>
      <c r="R117">
        <v>1.59</v>
      </c>
      <c r="S117">
        <v>1.2546700000000002</v>
      </c>
      <c r="T117">
        <v>1.5043499999999999</v>
      </c>
      <c r="U117">
        <v>1.4117</v>
      </c>
    </row>
    <row r="118" spans="1:21">
      <c r="A118" s="91">
        <v>42779</v>
      </c>
      <c r="B118" s="86">
        <v>42779</v>
      </c>
      <c r="C118" s="93">
        <v>1.1779950524207798</v>
      </c>
      <c r="D118" s="85" t="s">
        <v>1157</v>
      </c>
      <c r="F118" s="91">
        <v>42779</v>
      </c>
      <c r="G118">
        <v>1.1950000000000001</v>
      </c>
      <c r="H118">
        <v>1.3559000000000001</v>
      </c>
      <c r="I118">
        <v>1.14951</v>
      </c>
      <c r="J118">
        <v>1.409</v>
      </c>
      <c r="K118">
        <v>1.51831</v>
      </c>
      <c r="L118">
        <v>1.504</v>
      </c>
      <c r="M118">
        <v>1.4133099999999998</v>
      </c>
      <c r="N118">
        <v>1.5449999999999999</v>
      </c>
      <c r="O118">
        <v>1.1938599999999999</v>
      </c>
      <c r="P118">
        <v>1.379</v>
      </c>
      <c r="Q118">
        <v>1.54955</v>
      </c>
      <c r="R118">
        <v>1.585</v>
      </c>
      <c r="S118">
        <v>1.24776</v>
      </c>
      <c r="T118">
        <v>1.51329</v>
      </c>
      <c r="U118">
        <v>1.4153800000000001</v>
      </c>
    </row>
    <row r="119" spans="1:21">
      <c r="A119" s="91">
        <v>42772</v>
      </c>
      <c r="B119" s="86">
        <v>42772</v>
      </c>
      <c r="C119" s="93">
        <v>1.1634671320535199</v>
      </c>
      <c r="D119" s="85" t="s">
        <v>1158</v>
      </c>
      <c r="F119" s="91">
        <v>42772</v>
      </c>
      <c r="G119">
        <v>1.19</v>
      </c>
      <c r="H119">
        <v>1.3760999999999999</v>
      </c>
      <c r="I119">
        <v>1.14974</v>
      </c>
      <c r="J119">
        <v>1.4019999999999999</v>
      </c>
      <c r="K119">
        <v>1.5180400000000001</v>
      </c>
      <c r="L119">
        <v>1.4670000000000001</v>
      </c>
      <c r="M119">
        <v>1.4125999999999999</v>
      </c>
      <c r="N119">
        <v>1.544</v>
      </c>
      <c r="O119">
        <v>1.1893499999999999</v>
      </c>
      <c r="P119">
        <v>1.399</v>
      </c>
      <c r="Q119">
        <v>1.546</v>
      </c>
      <c r="R119">
        <v>1.581</v>
      </c>
      <c r="S119">
        <v>1.2457100000000001</v>
      </c>
      <c r="T119">
        <v>1.4999200000000001</v>
      </c>
      <c r="U119">
        <v>1.39822</v>
      </c>
    </row>
    <row r="120" spans="1:21">
      <c r="A120" s="91">
        <v>42765</v>
      </c>
      <c r="B120" s="86">
        <v>42765</v>
      </c>
      <c r="C120" s="93">
        <v>1.1773709307117199</v>
      </c>
      <c r="D120" s="85" t="s">
        <v>1159</v>
      </c>
      <c r="F120" s="91">
        <v>42765</v>
      </c>
      <c r="G120">
        <v>1.1819999999999999</v>
      </c>
      <c r="H120">
        <v>1.4096</v>
      </c>
      <c r="I120">
        <v>1.1491</v>
      </c>
      <c r="J120">
        <v>1.397</v>
      </c>
      <c r="K120">
        <v>1.5179800000000001</v>
      </c>
      <c r="L120">
        <v>1.474</v>
      </c>
      <c r="M120">
        <v>1.41279</v>
      </c>
      <c r="N120">
        <v>1.546</v>
      </c>
      <c r="O120">
        <v>1.1829000000000001</v>
      </c>
      <c r="P120">
        <v>1.369</v>
      </c>
      <c r="Q120">
        <v>1.5437400000000001</v>
      </c>
      <c r="R120">
        <v>1.5720000000000001</v>
      </c>
      <c r="S120">
        <v>1.2438399999999998</v>
      </c>
      <c r="T120">
        <v>1.49529</v>
      </c>
      <c r="U120">
        <v>1.4129700000000001</v>
      </c>
    </row>
    <row r="121" spans="1:21">
      <c r="A121" s="91">
        <v>42758</v>
      </c>
      <c r="B121" s="86">
        <v>42758</v>
      </c>
      <c r="C121" s="93">
        <v>1.16079305381437</v>
      </c>
      <c r="D121" s="85" t="s">
        <v>1160</v>
      </c>
      <c r="F121" s="91">
        <v>42758</v>
      </c>
      <c r="G121">
        <v>1.1890000000000001</v>
      </c>
      <c r="H121">
        <v>1.3915</v>
      </c>
      <c r="I121">
        <v>1.1476999999999999</v>
      </c>
      <c r="J121">
        <v>1.393</v>
      </c>
      <c r="K121">
        <v>1.5047999999999999</v>
      </c>
      <c r="L121">
        <v>1.486</v>
      </c>
      <c r="M121">
        <v>1.4120200000000001</v>
      </c>
      <c r="N121">
        <v>1.548</v>
      </c>
      <c r="O121">
        <v>1.1871800000000001</v>
      </c>
      <c r="P121">
        <v>1.369</v>
      </c>
      <c r="Q121">
        <v>1.5447500000000001</v>
      </c>
      <c r="R121">
        <v>1.571</v>
      </c>
      <c r="S121">
        <v>1.2421099999999998</v>
      </c>
      <c r="T121">
        <v>1.4848699999999999</v>
      </c>
      <c r="U121">
        <v>1.38632</v>
      </c>
    </row>
    <row r="122" spans="1:21">
      <c r="A122" s="91">
        <v>42751</v>
      </c>
      <c r="B122" s="86">
        <v>42751</v>
      </c>
      <c r="C122" s="93">
        <v>1.1388483965014597</v>
      </c>
      <c r="D122" s="85" t="s">
        <v>1161</v>
      </c>
      <c r="F122" s="91">
        <v>42751</v>
      </c>
      <c r="G122">
        <v>1.1919999999999999</v>
      </c>
      <c r="H122">
        <v>1.3660999999999999</v>
      </c>
      <c r="I122">
        <v>1.1467000000000001</v>
      </c>
      <c r="J122">
        <v>1.3979999999999999</v>
      </c>
      <c r="K122">
        <v>1.50482</v>
      </c>
      <c r="L122">
        <v>1.4890000000000001</v>
      </c>
      <c r="M122">
        <v>1.4102999999999999</v>
      </c>
      <c r="N122">
        <v>1.548</v>
      </c>
      <c r="O122">
        <v>1.18997</v>
      </c>
      <c r="P122">
        <v>1.369</v>
      </c>
      <c r="Q122">
        <v>1.54749</v>
      </c>
      <c r="R122">
        <v>1.5649999999999999</v>
      </c>
      <c r="S122">
        <v>1.2418800000000001</v>
      </c>
      <c r="T122">
        <v>1.5071199999999998</v>
      </c>
      <c r="U122">
        <v>1.3510599999999999</v>
      </c>
    </row>
    <row r="123" spans="1:21">
      <c r="A123" s="91">
        <v>42744</v>
      </c>
      <c r="B123" s="86">
        <v>42744</v>
      </c>
      <c r="C123" s="93">
        <v>1.15393491807062</v>
      </c>
      <c r="D123" s="85" t="s">
        <v>1162</v>
      </c>
      <c r="F123" s="91">
        <v>42744</v>
      </c>
      <c r="G123">
        <v>1.194</v>
      </c>
      <c r="H123">
        <v>1.3942000000000001</v>
      </c>
      <c r="I123">
        <v>1.1422999999999999</v>
      </c>
      <c r="J123">
        <v>1.403</v>
      </c>
      <c r="K123">
        <v>1.5052699999999999</v>
      </c>
      <c r="L123">
        <v>1.506</v>
      </c>
      <c r="M123">
        <v>1.4128900000000002</v>
      </c>
      <c r="N123">
        <v>1.5449999999999999</v>
      </c>
      <c r="O123">
        <v>1.19977</v>
      </c>
      <c r="P123">
        <v>1.379</v>
      </c>
      <c r="Q123">
        <v>1.55003</v>
      </c>
      <c r="R123">
        <v>1.573</v>
      </c>
      <c r="S123">
        <v>1.2468599999999999</v>
      </c>
      <c r="T123">
        <v>1.49603</v>
      </c>
      <c r="U123">
        <v>1.3613900000000001</v>
      </c>
    </row>
    <row r="124" spans="1:21" ht="15.75" thickBot="1">
      <c r="A124" s="92">
        <v>42737</v>
      </c>
      <c r="B124" s="86">
        <v>42737</v>
      </c>
      <c r="C124" s="93">
        <v>1.1745360582569899</v>
      </c>
      <c r="D124" s="85" t="s">
        <v>1163</v>
      </c>
      <c r="F124" s="92">
        <v>42737</v>
      </c>
      <c r="G124">
        <v>1.194</v>
      </c>
      <c r="H124">
        <v>1.3552899999999999</v>
      </c>
      <c r="I124">
        <v>1.12971</v>
      </c>
      <c r="J124">
        <v>1.405</v>
      </c>
      <c r="K124">
        <v>1.5090999999999999</v>
      </c>
      <c r="L124">
        <v>1.488</v>
      </c>
      <c r="M124">
        <v>1.3930100000000001</v>
      </c>
      <c r="N124">
        <v>1.4970000000000001</v>
      </c>
      <c r="O124">
        <v>1.1870999999999998</v>
      </c>
      <c r="P124">
        <v>1.349</v>
      </c>
      <c r="Q124">
        <v>1.53552</v>
      </c>
      <c r="R124">
        <v>1.5640000000000001</v>
      </c>
      <c r="S124">
        <v>1.23709</v>
      </c>
      <c r="T124">
        <v>1.49081</v>
      </c>
      <c r="U124">
        <v>1.3742099999999999</v>
      </c>
    </row>
    <row r="125" spans="1:21">
      <c r="A125" s="91">
        <v>42723</v>
      </c>
      <c r="B125" s="86">
        <v>42723</v>
      </c>
      <c r="C125" s="93">
        <v>1.1884953648680798</v>
      </c>
      <c r="D125" s="85" t="s">
        <v>1095</v>
      </c>
      <c r="F125" s="91">
        <v>42723</v>
      </c>
      <c r="G125">
        <v>1.171</v>
      </c>
      <c r="H125">
        <v>1.3287</v>
      </c>
      <c r="I125">
        <v>1.1145799999999999</v>
      </c>
      <c r="J125">
        <v>1.38</v>
      </c>
      <c r="K125">
        <v>1.47828</v>
      </c>
      <c r="L125">
        <v>1.4379999999999999</v>
      </c>
      <c r="M125">
        <v>1.3646199999999999</v>
      </c>
      <c r="N125">
        <v>1.466</v>
      </c>
      <c r="O125">
        <v>1.1541600000000001</v>
      </c>
      <c r="P125">
        <v>1.329</v>
      </c>
      <c r="Q125">
        <v>1.50888</v>
      </c>
      <c r="R125">
        <v>1.5569999999999999</v>
      </c>
      <c r="S125">
        <v>1.21597</v>
      </c>
      <c r="T125">
        <v>1.4286300000000001</v>
      </c>
      <c r="U125">
        <v>1.36677</v>
      </c>
    </row>
    <row r="126" spans="1:21">
      <c r="A126" s="91">
        <v>42716</v>
      </c>
      <c r="B126" s="86">
        <v>42716</v>
      </c>
      <c r="C126" s="93">
        <v>1.1918951132300399</v>
      </c>
      <c r="D126" s="85" t="s">
        <v>1070</v>
      </c>
      <c r="F126" s="91">
        <v>42716</v>
      </c>
      <c r="G126">
        <v>1.1599999999999999</v>
      </c>
      <c r="H126">
        <v>1.3127</v>
      </c>
      <c r="I126">
        <v>1.10493</v>
      </c>
      <c r="J126">
        <v>1.365</v>
      </c>
      <c r="K126">
        <v>1.4508299999999998</v>
      </c>
      <c r="L126">
        <v>1.425</v>
      </c>
      <c r="M126">
        <v>1.3527899999999999</v>
      </c>
      <c r="N126">
        <v>1.452</v>
      </c>
      <c r="O126">
        <v>1.13645</v>
      </c>
      <c r="P126">
        <v>1.319</v>
      </c>
      <c r="Q126">
        <v>1.4993399999999999</v>
      </c>
      <c r="R126">
        <v>1.5429999999999999</v>
      </c>
      <c r="S126">
        <v>1.20296</v>
      </c>
      <c r="T126">
        <v>1.409</v>
      </c>
      <c r="U126">
        <v>1.36147</v>
      </c>
    </row>
    <row r="127" spans="1:21">
      <c r="A127" s="91">
        <v>42709</v>
      </c>
      <c r="B127" s="86">
        <v>42709</v>
      </c>
      <c r="C127" s="93">
        <v>1.1880999904952001</v>
      </c>
      <c r="D127" s="85" t="s">
        <v>1086</v>
      </c>
      <c r="F127" s="91">
        <v>42709</v>
      </c>
      <c r="G127">
        <v>1.1539999999999999</v>
      </c>
      <c r="H127">
        <v>1.2732999999999999</v>
      </c>
      <c r="I127">
        <v>1.0937300000000001</v>
      </c>
      <c r="J127">
        <v>1.3580000000000001</v>
      </c>
      <c r="K127">
        <v>1.4637899999999999</v>
      </c>
      <c r="L127">
        <v>1.3979999999999999</v>
      </c>
      <c r="M127">
        <v>1.32603</v>
      </c>
      <c r="N127">
        <v>1.4339999999999999</v>
      </c>
      <c r="O127">
        <v>1.1013900000000001</v>
      </c>
      <c r="P127">
        <v>1.319</v>
      </c>
      <c r="Q127">
        <v>1.4785999999999999</v>
      </c>
      <c r="R127">
        <v>1.5329999999999999</v>
      </c>
      <c r="S127">
        <v>1.18418</v>
      </c>
      <c r="T127">
        <v>1.4017200000000001</v>
      </c>
      <c r="U127">
        <v>1.3504400000000001</v>
      </c>
    </row>
    <row r="128" spans="1:21">
      <c r="A128" s="91">
        <v>42702</v>
      </c>
      <c r="B128" s="86">
        <v>42702</v>
      </c>
      <c r="C128" s="93">
        <v>1.17229171306988</v>
      </c>
      <c r="D128" s="85" t="s">
        <v>1164</v>
      </c>
      <c r="F128" s="91">
        <v>42702</v>
      </c>
      <c r="G128">
        <v>1.129</v>
      </c>
      <c r="H128">
        <v>1.2752999999999999</v>
      </c>
      <c r="I128">
        <v>1.08778</v>
      </c>
      <c r="J128">
        <v>1.3340000000000001</v>
      </c>
      <c r="K128">
        <v>1.4209100000000001</v>
      </c>
      <c r="L128">
        <v>1.397</v>
      </c>
      <c r="M128">
        <v>1.3207</v>
      </c>
      <c r="N128">
        <v>1.427</v>
      </c>
      <c r="O128">
        <v>1.10378</v>
      </c>
      <c r="P128">
        <v>1.2989999999999999</v>
      </c>
      <c r="Q128">
        <v>1.46814</v>
      </c>
      <c r="R128">
        <v>1.5129999999999999</v>
      </c>
      <c r="S128">
        <v>1.1742999999999999</v>
      </c>
      <c r="T128">
        <v>1.3708900000000002</v>
      </c>
      <c r="U128">
        <v>1.33314</v>
      </c>
    </row>
    <row r="129" spans="1:21">
      <c r="A129" s="91">
        <v>42695</v>
      </c>
      <c r="B129" s="86">
        <v>42695</v>
      </c>
      <c r="C129" s="93">
        <v>1.1665208515602199</v>
      </c>
      <c r="D129" s="85" t="s">
        <v>1165</v>
      </c>
      <c r="F129" s="91">
        <v>42695</v>
      </c>
      <c r="G129">
        <v>1.1180000000000001</v>
      </c>
      <c r="H129">
        <v>1.268</v>
      </c>
      <c r="I129">
        <v>1.0847500000000001</v>
      </c>
      <c r="J129">
        <v>1.3180000000000001</v>
      </c>
      <c r="K129">
        <v>1.40709</v>
      </c>
      <c r="L129">
        <v>1.391</v>
      </c>
      <c r="M129">
        <v>1.3095000000000001</v>
      </c>
      <c r="N129">
        <v>1.4179999999999999</v>
      </c>
      <c r="O129">
        <v>1.0798399999999999</v>
      </c>
      <c r="P129">
        <v>1.2989999999999999</v>
      </c>
      <c r="Q129">
        <v>1.45841</v>
      </c>
      <c r="R129">
        <v>1.4930000000000001</v>
      </c>
      <c r="S129">
        <v>1.15855</v>
      </c>
      <c r="T129">
        <v>1.3509599999999999</v>
      </c>
      <c r="U129">
        <v>1.3380699999999999</v>
      </c>
    </row>
    <row r="130" spans="1:21">
      <c r="A130" s="91">
        <v>42688</v>
      </c>
      <c r="B130" s="86">
        <v>42688</v>
      </c>
      <c r="C130" s="93">
        <v>1.16299354538582</v>
      </c>
      <c r="D130" s="85" t="s">
        <v>1166</v>
      </c>
      <c r="F130" s="91">
        <v>42688</v>
      </c>
      <c r="G130">
        <v>1.117</v>
      </c>
      <c r="H130">
        <v>1.2652000000000001</v>
      </c>
      <c r="I130">
        <v>1.0881700000000001</v>
      </c>
      <c r="J130">
        <v>1.3169999999999999</v>
      </c>
      <c r="K130">
        <v>1.3960399999999999</v>
      </c>
      <c r="L130">
        <v>1.39</v>
      </c>
      <c r="M130">
        <v>1.3148</v>
      </c>
      <c r="N130">
        <v>1.4259999999999999</v>
      </c>
      <c r="O130">
        <v>1.0860300000000001</v>
      </c>
      <c r="P130">
        <v>1.2989999999999999</v>
      </c>
      <c r="Q130">
        <v>1.4739</v>
      </c>
      <c r="R130">
        <v>1.494</v>
      </c>
      <c r="S130">
        <v>1.1619699999999999</v>
      </c>
      <c r="T130">
        <v>1.3417600000000001</v>
      </c>
      <c r="U130">
        <v>1.3549100000000001</v>
      </c>
    </row>
    <row r="131" spans="1:21">
      <c r="A131" s="91">
        <v>42681</v>
      </c>
      <c r="B131" s="86">
        <v>42681</v>
      </c>
      <c r="C131" s="93">
        <v>1.1230907457322599</v>
      </c>
      <c r="D131" s="85" t="s">
        <v>1167</v>
      </c>
      <c r="F131" s="91">
        <v>42681</v>
      </c>
      <c r="G131">
        <v>1.137</v>
      </c>
      <c r="H131">
        <v>1.2969000000000002</v>
      </c>
      <c r="I131">
        <v>1.0933299999999999</v>
      </c>
      <c r="J131">
        <v>1.327</v>
      </c>
      <c r="K131">
        <v>1.40442</v>
      </c>
      <c r="L131">
        <v>1.421</v>
      </c>
      <c r="M131">
        <v>1.3311999999999999</v>
      </c>
      <c r="N131">
        <v>1.44</v>
      </c>
      <c r="O131">
        <v>1.1361400000000001</v>
      </c>
      <c r="P131">
        <v>1.3089999999999999</v>
      </c>
      <c r="Q131">
        <v>1.4870999999999999</v>
      </c>
      <c r="R131">
        <v>1.508</v>
      </c>
      <c r="S131">
        <v>1.17954</v>
      </c>
      <c r="T131">
        <v>1.3308199999999999</v>
      </c>
      <c r="U131">
        <v>1.3090599999999999</v>
      </c>
    </row>
    <row r="132" spans="1:21">
      <c r="A132" s="91">
        <v>42674</v>
      </c>
      <c r="B132" s="86">
        <v>42674</v>
      </c>
      <c r="C132" s="93">
        <v>1.1104941699056099</v>
      </c>
      <c r="D132" s="85" t="s">
        <v>1168</v>
      </c>
      <c r="F132" s="91">
        <v>42674</v>
      </c>
      <c r="G132">
        <v>1.147</v>
      </c>
      <c r="H132">
        <v>1.30382</v>
      </c>
      <c r="I132">
        <v>1.0952899999999999</v>
      </c>
      <c r="J132">
        <v>1.3280000000000001</v>
      </c>
      <c r="K132">
        <v>1.43293</v>
      </c>
      <c r="L132">
        <v>1.427</v>
      </c>
      <c r="M132">
        <v>1.3393199999999998</v>
      </c>
      <c r="N132">
        <v>1.4430000000000001</v>
      </c>
      <c r="O132">
        <v>1.13534</v>
      </c>
      <c r="P132">
        <v>1.319</v>
      </c>
      <c r="Q132">
        <v>1.49482</v>
      </c>
      <c r="R132">
        <v>1.5289999999999999</v>
      </c>
      <c r="S132">
        <v>1.1897800000000001</v>
      </c>
      <c r="T132">
        <v>1.36341</v>
      </c>
      <c r="U132">
        <v>1.2884200000000001</v>
      </c>
    </row>
    <row r="133" spans="1:21">
      <c r="A133" s="91">
        <v>42667</v>
      </c>
      <c r="B133" s="86">
        <v>42667</v>
      </c>
      <c r="C133" s="93">
        <v>1.1234061674998599</v>
      </c>
      <c r="D133" s="85" t="s">
        <v>1169</v>
      </c>
      <c r="F133" s="91">
        <v>42667</v>
      </c>
      <c r="G133">
        <v>1.1539999999999999</v>
      </c>
      <c r="H133">
        <v>1.3042</v>
      </c>
      <c r="I133">
        <v>1.09378</v>
      </c>
      <c r="J133">
        <v>1.331</v>
      </c>
      <c r="K133">
        <v>1.4463499999999998</v>
      </c>
      <c r="L133">
        <v>1.4279999999999999</v>
      </c>
      <c r="M133">
        <v>1.33823</v>
      </c>
      <c r="N133">
        <v>1.44</v>
      </c>
      <c r="O133">
        <v>1.12351</v>
      </c>
      <c r="P133">
        <v>1.2989999999999999</v>
      </c>
      <c r="Q133">
        <v>1.4872000000000001</v>
      </c>
      <c r="R133">
        <v>1.524</v>
      </c>
      <c r="S133">
        <v>1.1892199999999999</v>
      </c>
      <c r="T133">
        <v>1.3931</v>
      </c>
      <c r="U133">
        <v>1.2941500000000001</v>
      </c>
    </row>
    <row r="134" spans="1:21">
      <c r="A134" s="91">
        <v>42660</v>
      </c>
      <c r="B134" s="86">
        <v>42660</v>
      </c>
      <c r="C134" s="93">
        <v>1.1051555506437498</v>
      </c>
      <c r="D134" s="85" t="s">
        <v>1170</v>
      </c>
      <c r="F134" s="91">
        <v>42660</v>
      </c>
      <c r="G134">
        <v>1.157</v>
      </c>
      <c r="H134">
        <v>1.3408</v>
      </c>
      <c r="I134">
        <v>1.0889200000000001</v>
      </c>
      <c r="J134">
        <v>1.33</v>
      </c>
      <c r="K134">
        <v>1.44624</v>
      </c>
      <c r="L134">
        <v>1.4239999999999999</v>
      </c>
      <c r="M134">
        <v>1.3353499999999998</v>
      </c>
      <c r="N134">
        <v>1.4359999999999999</v>
      </c>
      <c r="O134">
        <v>1.1299000000000001</v>
      </c>
      <c r="P134">
        <v>1.2989999999999999</v>
      </c>
      <c r="Q134">
        <v>1.4828699999999999</v>
      </c>
      <c r="R134">
        <v>1.524</v>
      </c>
      <c r="S134">
        <v>1.1861300000000001</v>
      </c>
      <c r="T134">
        <v>1.3990799999999999</v>
      </c>
      <c r="U134">
        <v>1.2567900000000001</v>
      </c>
    </row>
    <row r="135" spans="1:21">
      <c r="A135" s="91">
        <v>42653</v>
      </c>
      <c r="B135" s="86">
        <v>42653</v>
      </c>
      <c r="C135" s="93">
        <v>1.1102475852114999</v>
      </c>
      <c r="D135" s="85" t="s">
        <v>1171</v>
      </c>
      <c r="F135" s="91">
        <v>42653</v>
      </c>
      <c r="G135">
        <v>1.1419999999999999</v>
      </c>
      <c r="H135">
        <v>1.2669000000000001</v>
      </c>
      <c r="I135">
        <v>1.0789800000000001</v>
      </c>
      <c r="J135">
        <v>1.35</v>
      </c>
      <c r="K135">
        <v>1.44069</v>
      </c>
      <c r="L135">
        <v>1.403</v>
      </c>
      <c r="M135">
        <v>1.32074</v>
      </c>
      <c r="N135">
        <v>1.423</v>
      </c>
      <c r="O135">
        <v>1.1289</v>
      </c>
      <c r="P135">
        <v>1.2989999999999999</v>
      </c>
      <c r="Q135">
        <v>1.47123</v>
      </c>
      <c r="R135">
        <v>1.5149999999999999</v>
      </c>
      <c r="S135">
        <v>1.17872</v>
      </c>
      <c r="T135">
        <v>1.38442</v>
      </c>
      <c r="U135">
        <v>1.2473599999999998</v>
      </c>
    </row>
    <row r="136" spans="1:21">
      <c r="A136" s="91">
        <v>42646</v>
      </c>
      <c r="B136" s="86">
        <v>42646</v>
      </c>
      <c r="C136" s="93">
        <v>1.1452392404773399</v>
      </c>
      <c r="D136" s="85" t="s">
        <v>1172</v>
      </c>
      <c r="F136" s="91">
        <v>42646</v>
      </c>
      <c r="G136">
        <v>1.125</v>
      </c>
      <c r="H136">
        <v>1.2669000000000001</v>
      </c>
      <c r="I136">
        <v>1.07576</v>
      </c>
      <c r="J136">
        <v>1.3360000000000001</v>
      </c>
      <c r="K136">
        <v>1.41815</v>
      </c>
      <c r="L136">
        <v>1.387</v>
      </c>
      <c r="M136">
        <v>1.29952</v>
      </c>
      <c r="N136">
        <v>1.4119999999999999</v>
      </c>
      <c r="O136">
        <v>1.10389</v>
      </c>
      <c r="P136">
        <v>1.2789999999999999</v>
      </c>
      <c r="Q136">
        <v>1.45638</v>
      </c>
      <c r="R136">
        <v>1.4890000000000001</v>
      </c>
      <c r="S136">
        <v>1.15981</v>
      </c>
      <c r="T136">
        <v>1.39435</v>
      </c>
      <c r="U136">
        <v>1.2786600000000001</v>
      </c>
    </row>
    <row r="137" spans="1:21">
      <c r="A137" s="91">
        <v>42639</v>
      </c>
      <c r="B137" s="86">
        <v>42639</v>
      </c>
      <c r="C137" s="93">
        <v>1.1482374555057999</v>
      </c>
      <c r="D137" s="85" t="s">
        <v>1173</v>
      </c>
      <c r="F137" s="91">
        <v>42639</v>
      </c>
      <c r="G137">
        <v>1.121</v>
      </c>
      <c r="H137">
        <v>1.2697000000000001</v>
      </c>
      <c r="I137">
        <v>1.0746500000000001</v>
      </c>
      <c r="J137">
        <v>1.325</v>
      </c>
      <c r="K137">
        <v>1.4032899999999999</v>
      </c>
      <c r="L137">
        <v>1.381</v>
      </c>
      <c r="M137">
        <v>1.2933299999999999</v>
      </c>
      <c r="N137">
        <v>1.415</v>
      </c>
      <c r="O137">
        <v>1.0894600000000001</v>
      </c>
      <c r="P137">
        <v>1.2889999999999999</v>
      </c>
      <c r="Q137">
        <v>1.4519000000000002</v>
      </c>
      <c r="R137">
        <v>1.4890000000000001</v>
      </c>
      <c r="S137">
        <v>1.15635</v>
      </c>
      <c r="T137">
        <v>1.3754900000000001</v>
      </c>
      <c r="U137">
        <v>1.27871</v>
      </c>
    </row>
    <row r="138" spans="1:21">
      <c r="A138" s="91">
        <v>42632</v>
      </c>
      <c r="B138" s="86">
        <v>42632</v>
      </c>
      <c r="C138" s="93">
        <v>1.16959064327485</v>
      </c>
      <c r="D138" s="85" t="s">
        <v>1174</v>
      </c>
      <c r="F138" s="91">
        <v>42632</v>
      </c>
      <c r="G138">
        <v>1.1160000000000001</v>
      </c>
      <c r="H138">
        <v>1.264</v>
      </c>
      <c r="I138">
        <v>1.0750899999999999</v>
      </c>
      <c r="J138">
        <v>1.323</v>
      </c>
      <c r="K138">
        <v>1.39323</v>
      </c>
      <c r="L138">
        <v>1.3839999999999999</v>
      </c>
      <c r="M138">
        <v>1.2991900000000001</v>
      </c>
      <c r="N138">
        <v>1.4139999999999999</v>
      </c>
      <c r="O138">
        <v>1.0918399999999999</v>
      </c>
      <c r="P138">
        <v>1.2889999999999999</v>
      </c>
      <c r="Q138">
        <v>1.4519200000000001</v>
      </c>
      <c r="R138">
        <v>1.496</v>
      </c>
      <c r="S138">
        <v>1.15788</v>
      </c>
      <c r="T138">
        <v>1.3773900000000001</v>
      </c>
      <c r="U138">
        <v>1.30159</v>
      </c>
    </row>
    <row r="139" spans="1:21">
      <c r="A139" s="91">
        <v>42625</v>
      </c>
      <c r="B139" s="86">
        <v>42625</v>
      </c>
      <c r="C139" s="93">
        <v>1.18378218407813</v>
      </c>
      <c r="D139" s="85" t="s">
        <v>1175</v>
      </c>
      <c r="F139" s="91">
        <v>42625</v>
      </c>
      <c r="G139">
        <v>1.119</v>
      </c>
      <c r="H139">
        <v>1.2549999999999999</v>
      </c>
      <c r="I139">
        <v>1.07467</v>
      </c>
      <c r="J139">
        <v>1.333</v>
      </c>
      <c r="K139">
        <v>1.4187100000000001</v>
      </c>
      <c r="L139">
        <v>1.3720000000000001</v>
      </c>
      <c r="M139">
        <v>1.29077</v>
      </c>
      <c r="N139">
        <v>1.413</v>
      </c>
      <c r="O139">
        <v>1.0684500000000001</v>
      </c>
      <c r="P139">
        <v>1.2789999999999999</v>
      </c>
      <c r="Q139">
        <v>1.452</v>
      </c>
      <c r="R139">
        <v>1.502</v>
      </c>
      <c r="S139">
        <v>1.1548</v>
      </c>
      <c r="T139">
        <v>1.39046</v>
      </c>
      <c r="U139">
        <v>1.3177000000000001</v>
      </c>
    </row>
    <row r="140" spans="1:21">
      <c r="A140" s="91">
        <v>42618</v>
      </c>
      <c r="B140" s="86">
        <v>42618</v>
      </c>
      <c r="C140" s="93">
        <v>1.1955573090396099</v>
      </c>
      <c r="D140" s="85" t="s">
        <v>1176</v>
      </c>
      <c r="F140" s="91">
        <v>42618</v>
      </c>
      <c r="G140">
        <v>1.1140000000000001</v>
      </c>
      <c r="H140">
        <v>1.2795999999999998</v>
      </c>
      <c r="I140">
        <v>1.0754999999999999</v>
      </c>
      <c r="J140">
        <v>1.29</v>
      </c>
      <c r="K140">
        <v>1.3923399999999999</v>
      </c>
      <c r="L140">
        <v>1.39</v>
      </c>
      <c r="M140">
        <v>1.2864500000000001</v>
      </c>
      <c r="N140">
        <v>1.415</v>
      </c>
      <c r="O140">
        <v>1.0876700000000001</v>
      </c>
      <c r="P140">
        <v>1.2989999999999999</v>
      </c>
      <c r="Q140">
        <v>1.4567699999999999</v>
      </c>
      <c r="R140">
        <v>1.49</v>
      </c>
      <c r="S140">
        <v>1.15852</v>
      </c>
      <c r="T140">
        <v>1.3611500000000001</v>
      </c>
      <c r="U140">
        <v>1.3267200000000001</v>
      </c>
    </row>
    <row r="141" spans="1:21">
      <c r="A141" s="91">
        <v>42611</v>
      </c>
      <c r="B141" s="86">
        <v>42611</v>
      </c>
      <c r="C141" s="93">
        <v>1.16991904160232</v>
      </c>
      <c r="D141" s="85" t="s">
        <v>1177</v>
      </c>
      <c r="F141" s="91">
        <v>42611</v>
      </c>
      <c r="G141">
        <v>1.1080000000000001</v>
      </c>
      <c r="H141">
        <v>1.2652000000000001</v>
      </c>
      <c r="I141">
        <v>1.07216</v>
      </c>
      <c r="J141">
        <v>1.323</v>
      </c>
      <c r="K141">
        <v>1.40764</v>
      </c>
      <c r="L141">
        <v>1.37</v>
      </c>
      <c r="M141">
        <v>1.2962499999999999</v>
      </c>
      <c r="N141">
        <v>1.409</v>
      </c>
      <c r="O141">
        <v>1.0842700000000001</v>
      </c>
      <c r="P141">
        <v>1.2989999999999999</v>
      </c>
      <c r="Q141">
        <v>1.4547600000000001</v>
      </c>
      <c r="R141">
        <v>1.486</v>
      </c>
      <c r="S141">
        <v>1.15662</v>
      </c>
      <c r="T141">
        <v>1.3967799999999999</v>
      </c>
      <c r="U141">
        <v>1.2919800000000001</v>
      </c>
    </row>
    <row r="142" spans="1:21">
      <c r="A142" s="91">
        <v>42604</v>
      </c>
      <c r="B142" s="86">
        <v>42604</v>
      </c>
      <c r="C142" s="93">
        <v>1.1595547309832999</v>
      </c>
      <c r="D142" s="85" t="s">
        <v>1178</v>
      </c>
      <c r="F142" s="91">
        <v>42604</v>
      </c>
      <c r="G142">
        <v>1.1140000000000001</v>
      </c>
      <c r="H142">
        <v>1.2224999999999999</v>
      </c>
      <c r="I142">
        <v>1.0695299999999999</v>
      </c>
      <c r="J142">
        <v>1.319</v>
      </c>
      <c r="K142">
        <v>1.4055199999999999</v>
      </c>
      <c r="L142">
        <v>1.37</v>
      </c>
      <c r="M142">
        <v>1.2850899999999998</v>
      </c>
      <c r="N142">
        <v>1.3959999999999999</v>
      </c>
      <c r="O142">
        <v>1.0643099999999999</v>
      </c>
      <c r="P142">
        <v>1.2989999999999999</v>
      </c>
      <c r="Q142">
        <v>1.4413499999999999</v>
      </c>
      <c r="R142">
        <v>1.4830000000000001</v>
      </c>
      <c r="S142">
        <v>1.1450499999999999</v>
      </c>
      <c r="T142">
        <v>1.3925699999999999</v>
      </c>
      <c r="U142">
        <v>1.27128</v>
      </c>
    </row>
    <row r="143" spans="1:21">
      <c r="A143" s="91">
        <v>42597</v>
      </c>
      <c r="B143" s="86">
        <v>42597</v>
      </c>
      <c r="C143" s="93">
        <v>1.15370859628275</v>
      </c>
      <c r="D143" s="85" t="s">
        <v>1068</v>
      </c>
      <c r="F143" s="91">
        <v>42597</v>
      </c>
      <c r="G143">
        <v>1.0920000000000001</v>
      </c>
      <c r="H143">
        <v>1.2598699999999998</v>
      </c>
      <c r="I143">
        <v>1.06324</v>
      </c>
      <c r="J143">
        <v>1.2989999999999999</v>
      </c>
      <c r="K143">
        <v>1.3937200000000001</v>
      </c>
      <c r="L143">
        <v>1.359</v>
      </c>
      <c r="M143">
        <v>1.2745</v>
      </c>
      <c r="N143">
        <v>1.3879999999999999</v>
      </c>
      <c r="O143">
        <v>1.0534100000000002</v>
      </c>
      <c r="P143">
        <v>1.2789999999999999</v>
      </c>
      <c r="Q143">
        <v>1.42652</v>
      </c>
      <c r="R143">
        <v>1.4590000000000001</v>
      </c>
      <c r="S143">
        <v>1.1317200000000001</v>
      </c>
      <c r="T143">
        <v>1.3711300000000002</v>
      </c>
      <c r="U143">
        <v>1.26074</v>
      </c>
    </row>
    <row r="144" spans="1:21">
      <c r="A144" s="91">
        <v>42590</v>
      </c>
      <c r="B144" s="86">
        <v>42590</v>
      </c>
      <c r="C144" s="93">
        <v>1.17709375551763</v>
      </c>
      <c r="D144" s="85" t="s">
        <v>1179</v>
      </c>
      <c r="F144" s="91">
        <v>42590</v>
      </c>
      <c r="G144">
        <v>1.093</v>
      </c>
      <c r="H144">
        <v>1.2321</v>
      </c>
      <c r="I144">
        <v>1.0695999999999999</v>
      </c>
      <c r="J144">
        <v>1.298</v>
      </c>
      <c r="K144">
        <v>1.3917299999999999</v>
      </c>
      <c r="L144">
        <v>1.37</v>
      </c>
      <c r="M144">
        <v>1.2684000000000002</v>
      </c>
      <c r="N144">
        <v>1.389</v>
      </c>
      <c r="O144">
        <v>1.0379800000000001</v>
      </c>
      <c r="P144">
        <v>1.2689999999999999</v>
      </c>
      <c r="Q144">
        <v>1.4225300000000001</v>
      </c>
      <c r="R144">
        <v>1.45</v>
      </c>
      <c r="S144">
        <v>1.12181</v>
      </c>
      <c r="T144">
        <v>1.35843</v>
      </c>
      <c r="U144">
        <v>1.2918499999999999</v>
      </c>
    </row>
    <row r="145" spans="1:21">
      <c r="A145" s="91">
        <v>42583</v>
      </c>
      <c r="B145" s="86">
        <v>42583</v>
      </c>
      <c r="C145" s="93">
        <v>1.1828720132481698</v>
      </c>
      <c r="D145" s="85" t="s">
        <v>1180</v>
      </c>
      <c r="F145" s="91">
        <v>42583</v>
      </c>
      <c r="G145">
        <v>1.0980000000000001</v>
      </c>
      <c r="H145">
        <v>1.2330000000000001</v>
      </c>
      <c r="I145">
        <v>1.08077</v>
      </c>
      <c r="J145">
        <v>1.2969999999999999</v>
      </c>
      <c r="K145">
        <v>1.4437599999999999</v>
      </c>
      <c r="L145">
        <v>1.3779999999999999</v>
      </c>
      <c r="M145">
        <v>1.27139</v>
      </c>
      <c r="N145">
        <v>1.4</v>
      </c>
      <c r="O145">
        <v>1.0553599999999999</v>
      </c>
      <c r="P145">
        <v>1.2989999999999999</v>
      </c>
      <c r="Q145">
        <v>1.43249</v>
      </c>
      <c r="R145">
        <v>1.4510000000000001</v>
      </c>
      <c r="S145">
        <v>1.13445</v>
      </c>
      <c r="T145">
        <v>1.34578</v>
      </c>
      <c r="U145">
        <v>1.31352</v>
      </c>
    </row>
    <row r="146" spans="1:21">
      <c r="A146" s="91">
        <v>42576</v>
      </c>
      <c r="B146" s="86">
        <v>42576</v>
      </c>
      <c r="C146" s="93">
        <v>1.1951715071112701</v>
      </c>
      <c r="D146" s="85" t="s">
        <v>1181</v>
      </c>
      <c r="F146" s="91">
        <v>42576</v>
      </c>
      <c r="G146">
        <v>1.115</v>
      </c>
      <c r="H146">
        <v>1.2804</v>
      </c>
      <c r="I146">
        <v>1.0853699999999999</v>
      </c>
      <c r="J146">
        <v>1.3089999999999999</v>
      </c>
      <c r="K146">
        <v>1.4047000000000001</v>
      </c>
      <c r="L146">
        <v>1.3979999999999999</v>
      </c>
      <c r="M146">
        <v>1.2939000000000001</v>
      </c>
      <c r="N146">
        <v>1.4059999999999999</v>
      </c>
      <c r="O146">
        <v>1.06175</v>
      </c>
      <c r="P146">
        <v>1.2989999999999999</v>
      </c>
      <c r="Q146">
        <v>1.4444600000000001</v>
      </c>
      <c r="R146">
        <v>1.4650000000000001</v>
      </c>
      <c r="S146">
        <v>1.1443399999999999</v>
      </c>
      <c r="T146">
        <v>1.3725699999999998</v>
      </c>
      <c r="U146">
        <v>1.3349000000000002</v>
      </c>
    </row>
    <row r="147" spans="1:21">
      <c r="A147" s="91">
        <v>42569</v>
      </c>
      <c r="B147" s="86">
        <v>42569</v>
      </c>
      <c r="C147" s="93">
        <v>1.1994434582353801</v>
      </c>
      <c r="D147" s="85" t="s">
        <v>1182</v>
      </c>
      <c r="F147" s="91">
        <v>42569</v>
      </c>
      <c r="G147">
        <v>1.117</v>
      </c>
      <c r="H147">
        <v>1.2953599999999998</v>
      </c>
      <c r="I147">
        <v>1.0880000000000001</v>
      </c>
      <c r="J147">
        <v>1.32</v>
      </c>
      <c r="K147">
        <v>1.40482</v>
      </c>
      <c r="L147">
        <v>1.399</v>
      </c>
      <c r="M147">
        <v>1.2982100000000001</v>
      </c>
      <c r="N147">
        <v>1.411</v>
      </c>
      <c r="O147">
        <v>1.0529300000000001</v>
      </c>
      <c r="P147">
        <v>1.2989999999999999</v>
      </c>
      <c r="Q147">
        <v>1.4487099999999999</v>
      </c>
      <c r="R147">
        <v>1.468</v>
      </c>
      <c r="S147">
        <v>1.14995</v>
      </c>
      <c r="T147">
        <v>1.37876</v>
      </c>
      <c r="U147">
        <v>1.3423800000000001</v>
      </c>
    </row>
    <row r="148" spans="1:21">
      <c r="A148" s="91">
        <v>42562</v>
      </c>
      <c r="B148" s="86">
        <v>42562</v>
      </c>
      <c r="C148" s="93">
        <v>1.1751295580337699</v>
      </c>
      <c r="D148" s="85" t="s">
        <v>1069</v>
      </c>
      <c r="F148" s="91">
        <v>42562</v>
      </c>
      <c r="G148">
        <v>1.1319999999999999</v>
      </c>
      <c r="H148">
        <v>1.28186</v>
      </c>
      <c r="I148">
        <v>1.09491</v>
      </c>
      <c r="J148">
        <v>1.321</v>
      </c>
      <c r="K148">
        <v>1.4077899999999999</v>
      </c>
      <c r="L148">
        <v>1.399</v>
      </c>
      <c r="M148">
        <v>1.30481</v>
      </c>
      <c r="N148">
        <v>1.4239999999999999</v>
      </c>
      <c r="O148">
        <v>1.0887200000000001</v>
      </c>
      <c r="P148">
        <v>1.319</v>
      </c>
      <c r="Q148">
        <v>1.4597</v>
      </c>
      <c r="R148">
        <v>1.4830000000000001</v>
      </c>
      <c r="S148">
        <v>1.16777</v>
      </c>
      <c r="T148">
        <v>1.38381</v>
      </c>
      <c r="U148">
        <v>1.31491</v>
      </c>
    </row>
    <row r="149" spans="1:21">
      <c r="A149" s="91">
        <v>42555</v>
      </c>
      <c r="B149" s="86">
        <v>42555</v>
      </c>
      <c r="C149" s="93">
        <v>1.19182408676479</v>
      </c>
      <c r="D149" s="85" t="s">
        <v>1100</v>
      </c>
      <c r="F149" s="91">
        <v>42555</v>
      </c>
      <c r="G149">
        <v>1.1519999999999999</v>
      </c>
      <c r="H149">
        <v>1.3245400000000001</v>
      </c>
      <c r="I149">
        <v>1.0968800000000001</v>
      </c>
      <c r="J149">
        <v>1.345</v>
      </c>
      <c r="K149">
        <v>1.4473900000000002</v>
      </c>
      <c r="L149">
        <v>1.421</v>
      </c>
      <c r="M149">
        <v>1.3339799999999999</v>
      </c>
      <c r="N149">
        <v>1.43</v>
      </c>
      <c r="O149">
        <v>1.09013</v>
      </c>
      <c r="P149">
        <v>1.349</v>
      </c>
      <c r="Q149">
        <v>1.4682599999999999</v>
      </c>
      <c r="R149">
        <v>1.5129999999999999</v>
      </c>
      <c r="S149">
        <v>1.1827799999999999</v>
      </c>
      <c r="T149">
        <v>1.4241300000000001</v>
      </c>
      <c r="U149">
        <v>1.3306600000000002</v>
      </c>
    </row>
    <row r="150" spans="1:21">
      <c r="A150" s="91">
        <v>42548</v>
      </c>
      <c r="B150" s="86">
        <v>42548</v>
      </c>
      <c r="C150" s="93">
        <v>1.1990407673860899</v>
      </c>
      <c r="D150" s="85" t="s">
        <v>1059</v>
      </c>
      <c r="F150" s="91">
        <v>42548</v>
      </c>
      <c r="G150">
        <v>1.1539999999999999</v>
      </c>
      <c r="H150">
        <v>1.3125</v>
      </c>
      <c r="I150">
        <v>1.0946199999999999</v>
      </c>
      <c r="J150">
        <v>1.357</v>
      </c>
      <c r="K150">
        <v>1.4616099999999999</v>
      </c>
      <c r="L150">
        <v>1.4350000000000001</v>
      </c>
      <c r="M150">
        <v>1.3400699999999999</v>
      </c>
      <c r="N150">
        <v>1.429</v>
      </c>
      <c r="O150">
        <v>1.0697300000000001</v>
      </c>
      <c r="P150">
        <v>1.329</v>
      </c>
      <c r="Q150">
        <v>1.47098</v>
      </c>
      <c r="R150">
        <v>1.5209999999999999</v>
      </c>
      <c r="S150">
        <v>1.1841900000000001</v>
      </c>
      <c r="T150">
        <v>1.4331700000000001</v>
      </c>
      <c r="U150">
        <v>1.3362499999999999</v>
      </c>
    </row>
    <row r="151" spans="1:21">
      <c r="A151" s="91">
        <v>42541</v>
      </c>
      <c r="B151" s="86">
        <v>42541</v>
      </c>
      <c r="C151" s="93">
        <v>1.2924071082390998</v>
      </c>
      <c r="D151" s="85" t="s">
        <v>1183</v>
      </c>
      <c r="F151" s="91">
        <v>42541</v>
      </c>
      <c r="G151">
        <v>1.1479999999999999</v>
      </c>
      <c r="H151">
        <v>1.3285</v>
      </c>
      <c r="I151">
        <v>1.09781</v>
      </c>
      <c r="J151">
        <v>1.3240000000000001</v>
      </c>
      <c r="K151">
        <v>1.4497200000000001</v>
      </c>
      <c r="L151">
        <v>1.43</v>
      </c>
      <c r="M151">
        <v>1.3452999999999999</v>
      </c>
      <c r="N151">
        <v>1.4279999999999999</v>
      </c>
      <c r="O151">
        <v>1.09433</v>
      </c>
      <c r="P151">
        <v>1.329</v>
      </c>
      <c r="Q151">
        <v>1.4739599999999999</v>
      </c>
      <c r="R151">
        <v>1.5169999999999999</v>
      </c>
      <c r="S151">
        <v>1.1790699999999998</v>
      </c>
      <c r="T151">
        <v>1.4316800000000001</v>
      </c>
      <c r="U151">
        <v>1.4374400000000001</v>
      </c>
    </row>
    <row r="152" spans="1:21">
      <c r="A152" s="91">
        <v>42534</v>
      </c>
      <c r="B152" s="86">
        <v>42534</v>
      </c>
      <c r="C152" s="93">
        <v>1.2576243476073699</v>
      </c>
      <c r="D152" s="85" t="s">
        <v>1184</v>
      </c>
      <c r="F152" s="91">
        <v>42534</v>
      </c>
      <c r="G152">
        <v>1.1519999999999999</v>
      </c>
      <c r="H152">
        <v>1.3185</v>
      </c>
      <c r="I152">
        <v>1.0977300000000001</v>
      </c>
      <c r="J152">
        <v>1.3520000000000001</v>
      </c>
      <c r="K152">
        <v>1.4592000000000001</v>
      </c>
      <c r="L152">
        <v>1.4379999999999999</v>
      </c>
      <c r="M152">
        <v>1.3561500000000002</v>
      </c>
      <c r="N152">
        <v>1.431</v>
      </c>
      <c r="O152">
        <v>1.1028399999999998</v>
      </c>
      <c r="P152">
        <v>1.319</v>
      </c>
      <c r="Q152">
        <v>1.47997</v>
      </c>
      <c r="R152">
        <v>1.5189999999999999</v>
      </c>
      <c r="S152">
        <v>1.1857500000000001</v>
      </c>
      <c r="T152">
        <v>1.45564</v>
      </c>
      <c r="U152">
        <v>1.39635</v>
      </c>
    </row>
    <row r="153" spans="1:21">
      <c r="A153" s="91">
        <v>42527</v>
      </c>
      <c r="B153" s="86">
        <v>42527</v>
      </c>
      <c r="C153" s="93">
        <v>1.27032520325203</v>
      </c>
      <c r="D153" s="85" t="s">
        <v>1185</v>
      </c>
      <c r="F153" s="91">
        <v>42527</v>
      </c>
      <c r="G153">
        <v>1.1639999999999999</v>
      </c>
      <c r="H153">
        <v>1.3457999999999999</v>
      </c>
      <c r="I153">
        <v>1.0936600000000001</v>
      </c>
      <c r="J153">
        <v>1.359</v>
      </c>
      <c r="K153">
        <v>1.4762599999999999</v>
      </c>
      <c r="L153">
        <v>1.4319999999999999</v>
      </c>
      <c r="M153">
        <v>1.3706700000000001</v>
      </c>
      <c r="N153">
        <v>1.431</v>
      </c>
      <c r="O153">
        <v>1.1207100000000001</v>
      </c>
      <c r="P153">
        <v>1.339</v>
      </c>
      <c r="Q153">
        <v>1.48445</v>
      </c>
      <c r="R153">
        <v>1.5289999999999999</v>
      </c>
      <c r="S153">
        <v>1.1922600000000001</v>
      </c>
      <c r="T153">
        <v>1.47156</v>
      </c>
      <c r="U153">
        <v>1.40246</v>
      </c>
    </row>
    <row r="154" spans="1:21">
      <c r="A154" s="91">
        <v>42520</v>
      </c>
      <c r="B154" s="86">
        <v>42520</v>
      </c>
      <c r="C154" s="93">
        <v>1.3136288998358001</v>
      </c>
      <c r="D154" s="85" t="s">
        <v>1186</v>
      </c>
      <c r="F154" s="91">
        <v>42520</v>
      </c>
      <c r="G154">
        <v>1.161</v>
      </c>
      <c r="H154">
        <v>1.3289000000000002</v>
      </c>
      <c r="I154">
        <v>1.0787899999999999</v>
      </c>
      <c r="J154">
        <v>1.3540000000000001</v>
      </c>
      <c r="K154">
        <v>1.4750799999999999</v>
      </c>
      <c r="L154">
        <v>1.419</v>
      </c>
      <c r="M154">
        <v>1.3674999999999999</v>
      </c>
      <c r="N154">
        <v>1.415</v>
      </c>
      <c r="O154">
        <v>1.1126500000000001</v>
      </c>
      <c r="P154">
        <v>1.2999000000000001</v>
      </c>
      <c r="Q154">
        <v>1.47671</v>
      </c>
      <c r="R154">
        <v>1.5309999999999999</v>
      </c>
      <c r="S154">
        <v>1.19</v>
      </c>
      <c r="T154">
        <v>1.46698</v>
      </c>
      <c r="U154">
        <v>1.44218</v>
      </c>
    </row>
    <row r="155" spans="1:21">
      <c r="A155" s="91">
        <v>42513</v>
      </c>
      <c r="B155" s="86">
        <v>42513</v>
      </c>
      <c r="C155" s="93">
        <v>1.2912722905879199</v>
      </c>
      <c r="D155" s="85" t="s">
        <v>1187</v>
      </c>
      <c r="F155" s="91">
        <v>42513</v>
      </c>
      <c r="G155">
        <v>1.1379999999999999</v>
      </c>
      <c r="H155">
        <v>1.2709000000000001</v>
      </c>
      <c r="I155">
        <v>1.0586</v>
      </c>
      <c r="J155">
        <v>1.3380000000000001</v>
      </c>
      <c r="K155">
        <v>1.4589000000000001</v>
      </c>
      <c r="L155">
        <v>1.4219999999999999</v>
      </c>
      <c r="M155">
        <v>1.3318699999999999</v>
      </c>
      <c r="N155">
        <v>1.403</v>
      </c>
      <c r="O155">
        <v>1.0770500000000001</v>
      </c>
      <c r="P155">
        <v>1.2989999999999999</v>
      </c>
      <c r="Q155">
        <v>1.4634200000000002</v>
      </c>
      <c r="R155">
        <v>1.5049999999999999</v>
      </c>
      <c r="S155">
        <v>1.1779200000000001</v>
      </c>
      <c r="T155">
        <v>1.45034</v>
      </c>
      <c r="U155">
        <v>1.4090799999999999</v>
      </c>
    </row>
    <row r="156" spans="1:21">
      <c r="A156" s="91">
        <v>42506</v>
      </c>
      <c r="B156" s="86">
        <v>42506</v>
      </c>
      <c r="C156" s="93">
        <v>1.2690355329949199</v>
      </c>
      <c r="D156" s="85" t="s">
        <v>1188</v>
      </c>
      <c r="F156" s="91">
        <v>42506</v>
      </c>
      <c r="G156">
        <v>1.1279999999999999</v>
      </c>
      <c r="H156">
        <v>1.2926</v>
      </c>
      <c r="I156">
        <v>1.0509600000000001</v>
      </c>
      <c r="J156">
        <v>1.3340000000000001</v>
      </c>
      <c r="K156">
        <v>1.4505599999999998</v>
      </c>
      <c r="L156">
        <v>1.391</v>
      </c>
      <c r="M156">
        <v>1.3090299999999999</v>
      </c>
      <c r="N156">
        <v>1.3859999999999999</v>
      </c>
      <c r="O156">
        <v>1.05616</v>
      </c>
      <c r="P156">
        <v>1.2989999999999999</v>
      </c>
      <c r="Q156">
        <v>1.44554</v>
      </c>
      <c r="R156">
        <v>1.486</v>
      </c>
      <c r="S156">
        <v>1.15673</v>
      </c>
      <c r="T156">
        <v>1.4309700000000001</v>
      </c>
      <c r="U156">
        <v>1.3772599999999999</v>
      </c>
    </row>
    <row r="157" spans="1:21">
      <c r="A157" s="91">
        <v>42499</v>
      </c>
      <c r="B157" s="86">
        <v>42499</v>
      </c>
      <c r="C157" s="93">
        <v>1.2658548317678899</v>
      </c>
      <c r="D157" s="85" t="s">
        <v>1189</v>
      </c>
      <c r="F157" s="91">
        <v>42499</v>
      </c>
      <c r="G157">
        <v>1.125</v>
      </c>
      <c r="H157">
        <v>1.2926</v>
      </c>
      <c r="I157">
        <v>1.0514000000000001</v>
      </c>
      <c r="J157">
        <v>1.3169999999999999</v>
      </c>
      <c r="K157">
        <v>1.4235199999999999</v>
      </c>
      <c r="L157">
        <v>1.3859999999999999</v>
      </c>
      <c r="M157">
        <v>1.3137999999999999</v>
      </c>
      <c r="N157">
        <v>1.39</v>
      </c>
      <c r="O157">
        <v>1.0745199999999999</v>
      </c>
      <c r="P157">
        <v>1.2989999999999999</v>
      </c>
      <c r="Q157">
        <v>1.4486300000000001</v>
      </c>
      <c r="R157">
        <v>1.4870000000000001</v>
      </c>
      <c r="S157">
        <v>1.15984</v>
      </c>
      <c r="T157">
        <v>1.4176600000000001</v>
      </c>
      <c r="U157">
        <v>1.36954</v>
      </c>
    </row>
    <row r="158" spans="1:21">
      <c r="A158" s="91">
        <v>42492</v>
      </c>
      <c r="B158" s="86">
        <v>42492</v>
      </c>
      <c r="C158" s="93">
        <v>1.2779879357938899</v>
      </c>
      <c r="D158" s="85" t="s">
        <v>1190</v>
      </c>
      <c r="F158" s="91">
        <v>42492</v>
      </c>
      <c r="G158">
        <v>1.137</v>
      </c>
      <c r="H158">
        <v>1.2979000000000001</v>
      </c>
      <c r="I158">
        <v>1.0429200000000001</v>
      </c>
      <c r="J158">
        <v>1.325</v>
      </c>
      <c r="K158">
        <v>1.45268</v>
      </c>
      <c r="L158">
        <v>1.367</v>
      </c>
      <c r="M158">
        <v>1.31758</v>
      </c>
      <c r="N158">
        <v>1.387</v>
      </c>
      <c r="O158">
        <v>1.0798099999999999</v>
      </c>
      <c r="P158">
        <v>1.2989999999999999</v>
      </c>
      <c r="Q158">
        <v>1.44696</v>
      </c>
      <c r="R158">
        <v>1.4930000000000001</v>
      </c>
      <c r="S158">
        <v>1.16418</v>
      </c>
      <c r="T158">
        <v>1.4524600000000001</v>
      </c>
      <c r="U158">
        <v>1.3779000000000001</v>
      </c>
    </row>
    <row r="159" spans="1:21">
      <c r="A159" s="91">
        <v>42485</v>
      </c>
      <c r="B159" s="86">
        <v>42485</v>
      </c>
      <c r="C159" s="93">
        <v>1.28799587841319</v>
      </c>
      <c r="D159" s="85" t="s">
        <v>1191</v>
      </c>
      <c r="F159" s="91">
        <v>42485</v>
      </c>
      <c r="G159">
        <v>1.1200000000000001</v>
      </c>
      <c r="H159">
        <v>1.2683</v>
      </c>
      <c r="I159">
        <v>1.03146</v>
      </c>
      <c r="J159">
        <v>1.3129999999999999</v>
      </c>
      <c r="K159">
        <v>1.43648</v>
      </c>
      <c r="L159">
        <v>1.3660000000000001</v>
      </c>
      <c r="M159">
        <v>1.3078299999999998</v>
      </c>
      <c r="N159">
        <v>1.3779999999999999</v>
      </c>
      <c r="O159">
        <v>1.07247</v>
      </c>
      <c r="P159">
        <v>1.2989999999999999</v>
      </c>
      <c r="Q159">
        <v>1.4387399999999999</v>
      </c>
      <c r="R159">
        <v>1.478</v>
      </c>
      <c r="S159">
        <v>1.15235</v>
      </c>
      <c r="T159">
        <v>1.43977</v>
      </c>
      <c r="U159">
        <v>1.3799699999999999</v>
      </c>
    </row>
    <row r="160" spans="1:21">
      <c r="A160" s="91">
        <v>42478</v>
      </c>
      <c r="B160" s="86">
        <v>42478</v>
      </c>
      <c r="C160" s="93">
        <v>1.2534469791927798</v>
      </c>
      <c r="D160" s="85" t="s">
        <v>1192</v>
      </c>
      <c r="F160" s="91">
        <v>42478</v>
      </c>
      <c r="G160">
        <v>1.099</v>
      </c>
      <c r="H160">
        <v>1.266</v>
      </c>
      <c r="I160">
        <v>1.0266099999999998</v>
      </c>
      <c r="J160">
        <v>1.3029999999999999</v>
      </c>
      <c r="K160">
        <v>1.43919</v>
      </c>
      <c r="L160">
        <v>1.3520000000000001</v>
      </c>
      <c r="M160">
        <v>1.30423</v>
      </c>
      <c r="N160">
        <v>1.37</v>
      </c>
      <c r="O160">
        <v>1.06321</v>
      </c>
      <c r="P160">
        <v>1.2689999999999999</v>
      </c>
      <c r="Q160">
        <v>1.4262000000000001</v>
      </c>
      <c r="R160">
        <v>1.4830000000000001</v>
      </c>
      <c r="S160">
        <v>1.1482600000000001</v>
      </c>
      <c r="T160">
        <v>1.4238499999999998</v>
      </c>
      <c r="U160">
        <v>1.3337600000000001</v>
      </c>
    </row>
    <row r="161" spans="1:21">
      <c r="A161" s="91">
        <v>42471</v>
      </c>
      <c r="B161" s="86">
        <v>42471</v>
      </c>
      <c r="C161" s="93">
        <v>1.2490632025980499</v>
      </c>
      <c r="D161" s="85" t="s">
        <v>1193</v>
      </c>
      <c r="F161" s="91">
        <v>42471</v>
      </c>
      <c r="G161">
        <v>1.087</v>
      </c>
      <c r="H161">
        <v>1.2529000000000001</v>
      </c>
      <c r="I161">
        <v>1.0183500000000001</v>
      </c>
      <c r="J161">
        <v>1.2869999999999999</v>
      </c>
      <c r="K161">
        <v>1.4094899999999999</v>
      </c>
      <c r="L161">
        <v>1.347</v>
      </c>
      <c r="M161">
        <v>1.29166</v>
      </c>
      <c r="N161">
        <v>1.3620000000000001</v>
      </c>
      <c r="O161">
        <v>1.04755</v>
      </c>
      <c r="P161">
        <v>1.2789999999999999</v>
      </c>
      <c r="Q161">
        <v>1.41123</v>
      </c>
      <c r="R161">
        <v>1.454</v>
      </c>
      <c r="S161">
        <v>1.1274500000000001</v>
      </c>
      <c r="T161">
        <v>1.3797300000000001</v>
      </c>
      <c r="U161">
        <v>1.3164</v>
      </c>
    </row>
    <row r="162" spans="1:21">
      <c r="A162" s="91">
        <v>42464</v>
      </c>
      <c r="B162" s="86">
        <v>42464</v>
      </c>
      <c r="C162" s="93">
        <v>1.2541072010835499</v>
      </c>
      <c r="D162" s="85" t="s">
        <v>1194</v>
      </c>
      <c r="F162" s="91">
        <v>42464</v>
      </c>
      <c r="G162">
        <v>1.0820000000000001</v>
      </c>
      <c r="H162">
        <v>1.2288800000000002</v>
      </c>
      <c r="I162">
        <v>1.0123500000000001</v>
      </c>
      <c r="J162">
        <v>1.2829999999999999</v>
      </c>
      <c r="K162">
        <v>1.4222600000000001</v>
      </c>
      <c r="L162">
        <v>1.347</v>
      </c>
      <c r="M162">
        <v>1.2961800000000001</v>
      </c>
      <c r="N162">
        <v>1.3660000000000001</v>
      </c>
      <c r="O162">
        <v>1.05999</v>
      </c>
      <c r="P162">
        <v>1.2589999999999999</v>
      </c>
      <c r="Q162">
        <v>1.4133599999999999</v>
      </c>
      <c r="R162">
        <v>1.4550000000000001</v>
      </c>
      <c r="S162">
        <v>1.1358900000000001</v>
      </c>
      <c r="T162">
        <v>1.40032</v>
      </c>
      <c r="U162">
        <v>1.3106500000000001</v>
      </c>
    </row>
    <row r="163" spans="1:21">
      <c r="A163" s="91">
        <v>42450</v>
      </c>
      <c r="B163" s="86">
        <v>42450</v>
      </c>
      <c r="C163" s="93">
        <v>1.2770902775117199</v>
      </c>
      <c r="D163" s="85" t="s">
        <v>1195</v>
      </c>
      <c r="F163" s="91">
        <v>42450</v>
      </c>
      <c r="G163">
        <v>1.056</v>
      </c>
      <c r="H163">
        <v>1.2119000000000002</v>
      </c>
      <c r="I163">
        <v>0.99072000000000005</v>
      </c>
      <c r="J163">
        <v>1.244</v>
      </c>
      <c r="K163">
        <v>1.38442</v>
      </c>
      <c r="L163">
        <v>1.3160000000000001</v>
      </c>
      <c r="M163">
        <v>1.2704500000000001</v>
      </c>
      <c r="N163">
        <v>1.347</v>
      </c>
      <c r="O163">
        <v>1.0277700000000001</v>
      </c>
      <c r="P163">
        <v>1.2190000000000001</v>
      </c>
      <c r="Q163">
        <v>1.4067000000000001</v>
      </c>
      <c r="R163">
        <v>1.41</v>
      </c>
      <c r="S163">
        <v>1.11639</v>
      </c>
      <c r="T163">
        <v>1.3768399999999998</v>
      </c>
      <c r="U163">
        <v>1.3100399999999999</v>
      </c>
    </row>
    <row r="164" spans="1:21">
      <c r="A164" s="91">
        <v>42443</v>
      </c>
      <c r="B164" s="86">
        <v>42443</v>
      </c>
      <c r="C164" s="93">
        <v>1.2915224466601198</v>
      </c>
      <c r="D164" s="85" t="s">
        <v>1196</v>
      </c>
      <c r="F164" s="91">
        <v>42443</v>
      </c>
      <c r="G164">
        <v>1.0569999999999999</v>
      </c>
      <c r="H164">
        <v>1.1962000000000002</v>
      </c>
      <c r="I164">
        <v>0.97882000000000002</v>
      </c>
      <c r="J164">
        <v>1.2430000000000001</v>
      </c>
      <c r="K164">
        <v>1.3836600000000001</v>
      </c>
      <c r="L164">
        <v>1.319</v>
      </c>
      <c r="M164">
        <v>1.25928</v>
      </c>
      <c r="N164">
        <v>1.3029999999999999</v>
      </c>
      <c r="O164">
        <v>1.0132099999999999</v>
      </c>
      <c r="P164">
        <v>1.1990000000000001</v>
      </c>
      <c r="Q164">
        <v>1.39151</v>
      </c>
      <c r="R164">
        <v>1.4159999999999999</v>
      </c>
      <c r="S164">
        <v>1.10493</v>
      </c>
      <c r="T164">
        <v>1.36656</v>
      </c>
      <c r="U164">
        <v>1.3135699999999999</v>
      </c>
    </row>
    <row r="165" spans="1:21">
      <c r="A165" s="91">
        <v>42436</v>
      </c>
      <c r="B165" s="86">
        <v>42436</v>
      </c>
      <c r="C165" s="93">
        <v>1.2913556651772999</v>
      </c>
      <c r="D165" s="85" t="s">
        <v>1057</v>
      </c>
      <c r="F165" s="91">
        <v>42436</v>
      </c>
      <c r="G165">
        <v>1.038</v>
      </c>
      <c r="H165">
        <v>1.1964999999999999</v>
      </c>
      <c r="I165">
        <v>0.97090999999999994</v>
      </c>
      <c r="J165">
        <v>1.2270000000000001</v>
      </c>
      <c r="K165">
        <v>1.34307</v>
      </c>
      <c r="L165">
        <v>1.2949999999999999</v>
      </c>
      <c r="M165">
        <v>1.23119</v>
      </c>
      <c r="N165">
        <v>1.3029999999999999</v>
      </c>
      <c r="O165">
        <v>0.99282000000000004</v>
      </c>
      <c r="P165">
        <v>1.1990000000000001</v>
      </c>
      <c r="Q165">
        <v>1.3706400000000001</v>
      </c>
      <c r="R165">
        <v>1.385</v>
      </c>
      <c r="S165">
        <v>1.0783499999999999</v>
      </c>
      <c r="T165">
        <v>1.32667</v>
      </c>
      <c r="U165">
        <v>1.3102499999999999</v>
      </c>
    </row>
    <row r="166" spans="1:21">
      <c r="A166" s="91">
        <v>42429</v>
      </c>
      <c r="B166" s="86">
        <v>42429</v>
      </c>
      <c r="C166" s="93">
        <v>1.27258844489692</v>
      </c>
      <c r="D166" s="85" t="s">
        <v>1197</v>
      </c>
      <c r="F166" s="91">
        <v>42429</v>
      </c>
      <c r="G166">
        <v>1.0369999999999999</v>
      </c>
      <c r="H166">
        <v>1.1802999999999999</v>
      </c>
      <c r="I166">
        <v>0.96917999999999993</v>
      </c>
      <c r="J166">
        <v>1.226</v>
      </c>
      <c r="K166">
        <v>1.3257000000000001</v>
      </c>
      <c r="L166">
        <v>1.2969999999999999</v>
      </c>
      <c r="M166">
        <v>1.2265699999999999</v>
      </c>
      <c r="N166">
        <v>1.296</v>
      </c>
      <c r="O166">
        <v>0.96823999999999999</v>
      </c>
      <c r="P166">
        <v>1.1990000000000001</v>
      </c>
      <c r="Q166">
        <v>1.3612200000000001</v>
      </c>
      <c r="R166">
        <v>1.379</v>
      </c>
      <c r="S166">
        <v>1.06548</v>
      </c>
      <c r="T166">
        <v>1.29566</v>
      </c>
      <c r="U166">
        <v>1.2907</v>
      </c>
    </row>
    <row r="167" spans="1:21">
      <c r="A167" s="91">
        <v>42422</v>
      </c>
      <c r="B167" s="86">
        <v>42422</v>
      </c>
      <c r="C167" s="93">
        <v>1.2780696036706198</v>
      </c>
      <c r="D167" s="85" t="s">
        <v>1198</v>
      </c>
      <c r="F167" s="91">
        <v>42422</v>
      </c>
      <c r="G167">
        <v>1.0429999999999999</v>
      </c>
      <c r="H167">
        <v>1.1836</v>
      </c>
      <c r="I167">
        <v>0.97787000000000002</v>
      </c>
      <c r="J167">
        <v>1.214</v>
      </c>
      <c r="K167">
        <v>1.3387800000000001</v>
      </c>
      <c r="L167">
        <v>1.3089999999999999</v>
      </c>
      <c r="M167">
        <v>1.2335799999999999</v>
      </c>
      <c r="N167">
        <v>1.302</v>
      </c>
      <c r="O167">
        <v>0.97923000000000004</v>
      </c>
      <c r="P167">
        <v>1.1990000000000001</v>
      </c>
      <c r="Q167">
        <v>1.36181</v>
      </c>
      <c r="R167">
        <v>1.38</v>
      </c>
      <c r="S167">
        <v>1.06958</v>
      </c>
      <c r="T167">
        <v>1.3008199999999999</v>
      </c>
      <c r="U167">
        <v>1.2958499999999999</v>
      </c>
    </row>
    <row r="168" spans="1:21">
      <c r="A168" s="91">
        <v>42415</v>
      </c>
      <c r="B168" s="86">
        <v>42415</v>
      </c>
      <c r="C168" s="93">
        <v>1.2953367875647701</v>
      </c>
      <c r="D168" s="85" t="s">
        <v>1199</v>
      </c>
      <c r="F168" s="91">
        <v>42415</v>
      </c>
      <c r="G168">
        <v>1.036</v>
      </c>
      <c r="H168">
        <v>1.1580999999999999</v>
      </c>
      <c r="I168">
        <v>0.99234</v>
      </c>
      <c r="J168">
        <v>1.17</v>
      </c>
      <c r="K168">
        <v>1.3250599999999999</v>
      </c>
      <c r="L168">
        <v>1.33</v>
      </c>
      <c r="M168">
        <v>1.23994</v>
      </c>
      <c r="N168">
        <v>1.32</v>
      </c>
      <c r="O168">
        <v>0.98197999999999996</v>
      </c>
      <c r="P168">
        <v>1.2190000000000001</v>
      </c>
      <c r="Q168">
        <v>1.3734999999999999</v>
      </c>
      <c r="R168">
        <v>1.389</v>
      </c>
      <c r="S168">
        <v>1.0697099999999999</v>
      </c>
      <c r="T168">
        <v>1.2829200000000001</v>
      </c>
      <c r="U168">
        <v>1.31413</v>
      </c>
    </row>
    <row r="169" spans="1:21">
      <c r="A169" s="91">
        <v>42408</v>
      </c>
      <c r="B169" s="86">
        <v>42408</v>
      </c>
      <c r="C169" s="93">
        <v>1.29466597617815</v>
      </c>
      <c r="D169" s="85" t="s">
        <v>1200</v>
      </c>
      <c r="F169" s="91">
        <v>42408</v>
      </c>
      <c r="G169">
        <v>1.0509999999999999</v>
      </c>
      <c r="H169">
        <v>1.1879000000000002</v>
      </c>
      <c r="I169">
        <v>1.0038800000000001</v>
      </c>
      <c r="J169">
        <v>1.2390000000000001</v>
      </c>
      <c r="K169">
        <v>1.3506500000000001</v>
      </c>
      <c r="L169">
        <v>1.341</v>
      </c>
      <c r="M169">
        <v>1.26115</v>
      </c>
      <c r="N169">
        <v>1.339</v>
      </c>
      <c r="O169">
        <v>1.01993</v>
      </c>
      <c r="P169">
        <v>1.2290000000000001</v>
      </c>
      <c r="Q169">
        <v>1.39239</v>
      </c>
      <c r="R169">
        <v>1.42</v>
      </c>
      <c r="S169">
        <v>1.0981300000000001</v>
      </c>
      <c r="T169">
        <v>1.31602</v>
      </c>
      <c r="U169">
        <v>1.3142</v>
      </c>
    </row>
    <row r="170" spans="1:21">
      <c r="A170" s="91">
        <v>42401</v>
      </c>
      <c r="B170" s="86">
        <v>42401</v>
      </c>
      <c r="C170" s="93">
        <v>1.3140604467805499</v>
      </c>
      <c r="D170" s="85" t="s">
        <v>1201</v>
      </c>
      <c r="F170" s="91">
        <v>42401</v>
      </c>
      <c r="G170">
        <v>1.0569999999999999</v>
      </c>
      <c r="H170">
        <v>1.1879999999999999</v>
      </c>
      <c r="I170">
        <v>1.0111000000000001</v>
      </c>
      <c r="J170">
        <v>1.2589999999999999</v>
      </c>
      <c r="K170">
        <v>1.38157</v>
      </c>
      <c r="L170">
        <v>1.3380000000000001</v>
      </c>
      <c r="M170">
        <v>1.2608900000000001</v>
      </c>
      <c r="N170">
        <v>1.335</v>
      </c>
      <c r="O170">
        <v>1.0093799999999999</v>
      </c>
      <c r="P170">
        <v>1.2190000000000001</v>
      </c>
      <c r="Q170">
        <v>1.3874600000000001</v>
      </c>
      <c r="R170">
        <v>1.425</v>
      </c>
      <c r="S170">
        <v>1.1044500000000002</v>
      </c>
      <c r="T170">
        <v>1.36425</v>
      </c>
      <c r="U170">
        <v>1.3319400000000001</v>
      </c>
    </row>
    <row r="171" spans="1:21">
      <c r="A171" s="91">
        <v>42394</v>
      </c>
      <c r="B171" s="86">
        <v>42394</v>
      </c>
      <c r="C171" s="93">
        <v>1.3176966662274299</v>
      </c>
      <c r="D171" s="85" t="s">
        <v>1202</v>
      </c>
      <c r="F171" s="91">
        <v>42394</v>
      </c>
      <c r="G171">
        <v>1.054</v>
      </c>
      <c r="H171">
        <v>1.2004000000000001</v>
      </c>
      <c r="I171">
        <v>1.02258</v>
      </c>
      <c r="J171">
        <v>1.252</v>
      </c>
      <c r="K171">
        <v>1.3641700000000001</v>
      </c>
      <c r="L171">
        <v>1.3520000000000001</v>
      </c>
      <c r="M171">
        <v>1.2569000000000001</v>
      </c>
      <c r="N171">
        <v>1.3380000000000001</v>
      </c>
      <c r="O171">
        <v>1.0070599999999998</v>
      </c>
      <c r="P171">
        <v>1.2490000000000001</v>
      </c>
      <c r="Q171">
        <v>1.3920899999999998</v>
      </c>
      <c r="R171">
        <v>1.417</v>
      </c>
      <c r="S171">
        <v>1.0950799999999998</v>
      </c>
      <c r="T171">
        <v>1.3451099999999998</v>
      </c>
      <c r="U171">
        <v>1.33646</v>
      </c>
    </row>
    <row r="172" spans="1:21">
      <c r="A172" s="91">
        <v>42387</v>
      </c>
      <c r="B172" s="86">
        <v>42387</v>
      </c>
      <c r="C172" s="93">
        <v>1.3112518521432399</v>
      </c>
      <c r="D172" s="85" t="s">
        <v>1203</v>
      </c>
      <c r="F172" s="91">
        <v>42387</v>
      </c>
      <c r="G172">
        <v>1.0629999999999999</v>
      </c>
      <c r="H172">
        <v>1.1916</v>
      </c>
      <c r="I172">
        <v>1.03233</v>
      </c>
      <c r="J172">
        <v>1.2390000000000001</v>
      </c>
      <c r="K172">
        <v>1.3506099999999999</v>
      </c>
      <c r="L172">
        <v>1.363</v>
      </c>
      <c r="M172">
        <v>1.2712300000000001</v>
      </c>
      <c r="N172">
        <v>1.357</v>
      </c>
      <c r="O172">
        <v>1.0141900000000001</v>
      </c>
      <c r="P172">
        <v>1.2490000000000001</v>
      </c>
      <c r="Q172">
        <v>1.4093800000000001</v>
      </c>
      <c r="R172">
        <v>1.4279999999999999</v>
      </c>
      <c r="S172">
        <v>1.10992</v>
      </c>
      <c r="T172">
        <v>1.32982</v>
      </c>
      <c r="U172">
        <v>1.3349200000000001</v>
      </c>
    </row>
    <row r="173" spans="1:21">
      <c r="A173" s="91">
        <v>42380</v>
      </c>
      <c r="B173" s="86">
        <v>42380</v>
      </c>
      <c r="C173" s="93">
        <v>1.3385984873837102</v>
      </c>
      <c r="D173" s="85" t="s">
        <v>1204</v>
      </c>
      <c r="F173" s="91">
        <v>42380</v>
      </c>
      <c r="G173">
        <v>1.0880000000000001</v>
      </c>
      <c r="H173">
        <v>1.2957000000000001</v>
      </c>
      <c r="I173">
        <v>1.04393</v>
      </c>
      <c r="J173">
        <v>1.258</v>
      </c>
      <c r="K173">
        <v>1.3913599999999999</v>
      </c>
      <c r="L173">
        <v>1.3680000000000001</v>
      </c>
      <c r="M173">
        <v>1.2841500000000001</v>
      </c>
      <c r="N173">
        <v>1.371</v>
      </c>
      <c r="O173">
        <v>1.0322799999999999</v>
      </c>
      <c r="P173">
        <v>1.2490000000000001</v>
      </c>
      <c r="Q173">
        <v>1.42666</v>
      </c>
      <c r="R173">
        <v>1.446</v>
      </c>
      <c r="S173">
        <v>1.13165</v>
      </c>
      <c r="T173">
        <v>1.37338</v>
      </c>
      <c r="U173">
        <v>1.3639000000000001</v>
      </c>
    </row>
    <row r="174" spans="1:21" ht="15.75" thickBot="1">
      <c r="A174" s="92">
        <v>42373</v>
      </c>
      <c r="B174" s="86">
        <v>42373</v>
      </c>
      <c r="C174" s="93">
        <v>1.3548299688389098</v>
      </c>
      <c r="D174" s="85" t="s">
        <v>1205</v>
      </c>
      <c r="F174" s="92">
        <v>42373</v>
      </c>
      <c r="G174">
        <v>1.0940000000000001</v>
      </c>
      <c r="H174">
        <v>1.2055</v>
      </c>
      <c r="I174">
        <v>1.05196</v>
      </c>
      <c r="J174">
        <v>1.278</v>
      </c>
      <c r="K174">
        <v>1.39775</v>
      </c>
      <c r="L174">
        <v>1.3620000000000001</v>
      </c>
      <c r="M174">
        <v>1.2621</v>
      </c>
      <c r="N174">
        <v>1.373</v>
      </c>
      <c r="O174">
        <v>1.0301600000000002</v>
      </c>
      <c r="P174">
        <v>1.2689999999999999</v>
      </c>
      <c r="Q174">
        <v>1.43007</v>
      </c>
      <c r="R174">
        <v>1.44</v>
      </c>
      <c r="S174">
        <v>1.13242</v>
      </c>
      <c r="T174">
        <v>1.3930799999999999</v>
      </c>
      <c r="U174">
        <v>1.3819000000000001</v>
      </c>
    </row>
    <row r="175" spans="1:21">
      <c r="A175" s="91">
        <v>42352</v>
      </c>
      <c r="B175" s="86">
        <v>42352</v>
      </c>
      <c r="C175" s="93">
        <v>1.37741046831956</v>
      </c>
      <c r="D175" s="85" t="s">
        <v>1206</v>
      </c>
      <c r="F175" s="91">
        <v>42352</v>
      </c>
      <c r="G175">
        <v>1.1100000000000001</v>
      </c>
      <c r="H175">
        <v>1.2105999999999999</v>
      </c>
      <c r="I175">
        <v>1.07978</v>
      </c>
      <c r="J175">
        <v>1.2989999999999999</v>
      </c>
      <c r="K175">
        <v>1.39123</v>
      </c>
      <c r="L175">
        <v>1.389</v>
      </c>
      <c r="M175">
        <v>1.2686999999999999</v>
      </c>
      <c r="N175">
        <v>1.3959999999999999</v>
      </c>
      <c r="O175">
        <v>1.04264</v>
      </c>
      <c r="P175">
        <v>1.2989999999999999</v>
      </c>
      <c r="Q175">
        <v>1.45112</v>
      </c>
      <c r="R175">
        <v>1.4630000000000001</v>
      </c>
      <c r="S175">
        <v>1.1406800000000001</v>
      </c>
      <c r="T175">
        <v>1.3141099999999999</v>
      </c>
      <c r="U175">
        <v>1.43245</v>
      </c>
    </row>
    <row r="176" spans="1:21">
      <c r="A176" s="91">
        <v>42345</v>
      </c>
      <c r="B176" s="86">
        <v>42345</v>
      </c>
      <c r="C176" s="93">
        <v>1.3933398355858999</v>
      </c>
      <c r="D176" s="85" t="s">
        <v>1207</v>
      </c>
      <c r="F176" s="91">
        <v>42345</v>
      </c>
      <c r="G176">
        <v>1.1279999999999999</v>
      </c>
      <c r="H176">
        <v>1.31</v>
      </c>
      <c r="I176">
        <v>1.0891900000000001</v>
      </c>
      <c r="J176">
        <v>1.3180000000000001</v>
      </c>
      <c r="K176">
        <v>1.4180999999999999</v>
      </c>
      <c r="L176">
        <v>1.397</v>
      </c>
      <c r="M176">
        <v>1.2899800000000001</v>
      </c>
      <c r="N176">
        <v>1.4079999999999999</v>
      </c>
      <c r="O176">
        <v>1.0922499999999999</v>
      </c>
      <c r="P176">
        <v>1.2989999999999999</v>
      </c>
      <c r="Q176">
        <v>1.4601600000000001</v>
      </c>
      <c r="R176">
        <v>1.484</v>
      </c>
      <c r="S176">
        <v>1.16228</v>
      </c>
      <c r="T176">
        <v>1.3383499999999999</v>
      </c>
      <c r="U176">
        <v>1.48739</v>
      </c>
    </row>
    <row r="177" spans="1:21">
      <c r="A177" s="91">
        <v>42338</v>
      </c>
      <c r="B177" s="86">
        <v>42338</v>
      </c>
      <c r="C177" s="93">
        <v>1.41884222474461</v>
      </c>
      <c r="D177" s="85" t="s">
        <v>1208</v>
      </c>
      <c r="F177" s="91">
        <v>42338</v>
      </c>
      <c r="G177">
        <v>1.1399999999999999</v>
      </c>
      <c r="H177">
        <v>1.357</v>
      </c>
      <c r="I177">
        <v>1.0915999999999999</v>
      </c>
      <c r="J177">
        <v>1.329</v>
      </c>
      <c r="K177">
        <v>1.44496</v>
      </c>
      <c r="L177">
        <v>1.413</v>
      </c>
      <c r="M177">
        <v>1.2881800000000001</v>
      </c>
      <c r="N177">
        <v>1.403</v>
      </c>
      <c r="O177">
        <v>1.0807800000000001</v>
      </c>
      <c r="P177">
        <v>1.2989999999999999</v>
      </c>
      <c r="Q177">
        <v>1.4575100000000001</v>
      </c>
      <c r="R177">
        <v>1.4930000000000001</v>
      </c>
      <c r="S177">
        <v>1.16554</v>
      </c>
      <c r="T177">
        <v>1.3634200000000001</v>
      </c>
      <c r="U177">
        <v>1.51769</v>
      </c>
    </row>
    <row r="178" spans="1:21">
      <c r="A178" s="91">
        <v>42331</v>
      </c>
      <c r="B178" s="86">
        <v>42331</v>
      </c>
      <c r="C178" s="93">
        <v>1.4234875444839898</v>
      </c>
      <c r="D178" s="85" t="s">
        <v>1209</v>
      </c>
      <c r="F178" s="91">
        <v>42331</v>
      </c>
      <c r="G178">
        <v>1.1339999999999999</v>
      </c>
      <c r="H178">
        <v>1.2857000000000001</v>
      </c>
      <c r="I178">
        <v>1.0977600000000001</v>
      </c>
      <c r="J178">
        <v>1.325</v>
      </c>
      <c r="K178">
        <v>1.43018</v>
      </c>
      <c r="L178">
        <v>1.421</v>
      </c>
      <c r="M178">
        <v>1.2871600000000001</v>
      </c>
      <c r="N178">
        <v>1.401</v>
      </c>
      <c r="O178">
        <v>1.0796400000000002</v>
      </c>
      <c r="P178">
        <v>1.2989999999999999</v>
      </c>
      <c r="Q178">
        <v>1.45034</v>
      </c>
      <c r="R178">
        <v>1.5049999999999999</v>
      </c>
      <c r="S178">
        <v>1.1566700000000001</v>
      </c>
      <c r="T178">
        <v>1.3430899999999999</v>
      </c>
      <c r="U178">
        <v>1.5272999999999999</v>
      </c>
    </row>
    <row r="179" spans="1:21">
      <c r="A179" s="91">
        <v>42324</v>
      </c>
      <c r="B179" s="86">
        <v>42324</v>
      </c>
      <c r="C179" s="93">
        <v>1.4168319637291</v>
      </c>
      <c r="D179" s="85" t="s">
        <v>1210</v>
      </c>
      <c r="F179" s="91">
        <v>42324</v>
      </c>
      <c r="G179">
        <v>1.1519999999999999</v>
      </c>
      <c r="H179">
        <v>1.3314999999999999</v>
      </c>
      <c r="I179">
        <v>1.0983699999999998</v>
      </c>
      <c r="J179">
        <v>1.329</v>
      </c>
      <c r="K179">
        <v>1.4435100000000001</v>
      </c>
      <c r="L179">
        <v>1.427</v>
      </c>
      <c r="M179">
        <v>1.3003199999999999</v>
      </c>
      <c r="N179">
        <v>1.4079999999999999</v>
      </c>
      <c r="O179">
        <v>1.1058399999999999</v>
      </c>
      <c r="P179">
        <v>1.2989999999999999</v>
      </c>
      <c r="Q179">
        <v>1.46079</v>
      </c>
      <c r="R179">
        <v>1.5329999999999999</v>
      </c>
      <c r="S179">
        <v>1.17011</v>
      </c>
      <c r="T179">
        <v>1.34358</v>
      </c>
      <c r="U179">
        <v>1.5211700000000001</v>
      </c>
    </row>
    <row r="180" spans="1:21">
      <c r="A180" s="91">
        <v>42317</v>
      </c>
      <c r="B180" s="86">
        <v>42317</v>
      </c>
      <c r="C180" s="93">
        <v>1.4003640946646099</v>
      </c>
      <c r="D180" s="85" t="s">
        <v>1211</v>
      </c>
      <c r="F180" s="91">
        <v>42317</v>
      </c>
      <c r="G180">
        <v>1.1439999999999999</v>
      </c>
      <c r="H180">
        <v>1.27626</v>
      </c>
      <c r="I180">
        <v>1.0967799999999999</v>
      </c>
      <c r="J180">
        <v>1.3360000000000001</v>
      </c>
      <c r="K180">
        <v>1.4597899999999999</v>
      </c>
      <c r="L180">
        <v>1.393</v>
      </c>
      <c r="M180">
        <v>1.2927299999999999</v>
      </c>
      <c r="N180">
        <v>1.4059999999999999</v>
      </c>
      <c r="O180">
        <v>1.0816600000000001</v>
      </c>
      <c r="P180">
        <v>1.2989999999999999</v>
      </c>
      <c r="Q180">
        <v>1.46265</v>
      </c>
      <c r="R180">
        <v>1.5149999999999999</v>
      </c>
      <c r="S180">
        <v>1.17184</v>
      </c>
      <c r="T180">
        <v>1.3432500000000001</v>
      </c>
      <c r="U180">
        <v>1.5003599999999999</v>
      </c>
    </row>
    <row r="181" spans="1:21">
      <c r="A181" s="91">
        <v>42310</v>
      </c>
      <c r="B181" s="86">
        <v>42310</v>
      </c>
      <c r="C181" s="93">
        <v>1.40213123948402</v>
      </c>
      <c r="D181" s="85" t="s">
        <v>1212</v>
      </c>
      <c r="F181" s="91">
        <v>42310</v>
      </c>
      <c r="G181">
        <v>1.123</v>
      </c>
      <c r="H181">
        <v>1.2718099999999999</v>
      </c>
      <c r="I181">
        <v>1.1000799999999999</v>
      </c>
      <c r="J181">
        <v>1.3140000000000001</v>
      </c>
      <c r="K181">
        <v>1.44265</v>
      </c>
      <c r="L181">
        <v>1.391</v>
      </c>
      <c r="M181">
        <v>1.27919</v>
      </c>
      <c r="N181">
        <v>1.401</v>
      </c>
      <c r="O181">
        <v>1.0543099999999999</v>
      </c>
      <c r="P181">
        <v>1.2989999999999999</v>
      </c>
      <c r="Q181">
        <v>1.4558</v>
      </c>
      <c r="R181">
        <v>1.48</v>
      </c>
      <c r="S181">
        <v>1.1549</v>
      </c>
      <c r="T181">
        <v>1.33894</v>
      </c>
      <c r="U181">
        <v>1.5031700000000001</v>
      </c>
    </row>
    <row r="182" spans="1:21">
      <c r="A182" s="91">
        <v>42303</v>
      </c>
      <c r="B182" s="86">
        <v>42303</v>
      </c>
      <c r="C182" s="93">
        <v>1.3919821826280598</v>
      </c>
      <c r="D182" s="85" t="s">
        <v>1213</v>
      </c>
      <c r="F182" s="91">
        <v>42303</v>
      </c>
      <c r="G182">
        <v>1.109</v>
      </c>
      <c r="H182">
        <v>1.2718099999999999</v>
      </c>
      <c r="I182">
        <v>1.11086</v>
      </c>
      <c r="J182">
        <v>1.3049999999999999</v>
      </c>
      <c r="K182">
        <v>1.4020899999999998</v>
      </c>
      <c r="L182">
        <v>1.391</v>
      </c>
      <c r="M182">
        <v>1.2806300000000002</v>
      </c>
      <c r="N182">
        <v>1.4059999999999999</v>
      </c>
      <c r="O182">
        <v>1.06111</v>
      </c>
      <c r="P182">
        <v>1.2989999999999999</v>
      </c>
      <c r="Q182">
        <v>1.46132</v>
      </c>
      <c r="R182">
        <v>1.4690000000000001</v>
      </c>
      <c r="S182">
        <v>1.1512800000000001</v>
      </c>
      <c r="T182">
        <v>1.31185</v>
      </c>
      <c r="U182">
        <v>1.5039100000000001</v>
      </c>
    </row>
    <row r="183" spans="1:21">
      <c r="A183" s="91">
        <v>42296</v>
      </c>
      <c r="B183" s="86">
        <v>42296</v>
      </c>
      <c r="C183" s="93">
        <v>1.36668033347</v>
      </c>
      <c r="D183" s="85" t="s">
        <v>1214</v>
      </c>
      <c r="F183" s="91">
        <v>42296</v>
      </c>
      <c r="G183">
        <v>1.1240000000000001</v>
      </c>
      <c r="H183">
        <v>1.3037000000000001</v>
      </c>
      <c r="I183">
        <v>1.12344</v>
      </c>
      <c r="J183">
        <v>1.302</v>
      </c>
      <c r="K183">
        <v>1.43313</v>
      </c>
      <c r="L183">
        <v>1.405</v>
      </c>
      <c r="M183">
        <v>1.2926300000000002</v>
      </c>
      <c r="N183">
        <v>1.42</v>
      </c>
      <c r="O183">
        <v>1.0988399999999998</v>
      </c>
      <c r="P183">
        <v>1.3089999999999999</v>
      </c>
      <c r="Q183">
        <v>1.47641</v>
      </c>
      <c r="R183">
        <v>1.486</v>
      </c>
      <c r="S183">
        <v>1.1658199999999999</v>
      </c>
      <c r="T183">
        <v>1.32074</v>
      </c>
      <c r="U183">
        <v>1.4897499999999999</v>
      </c>
    </row>
    <row r="184" spans="1:21">
      <c r="A184" s="91">
        <v>42289</v>
      </c>
      <c r="B184" s="86">
        <v>42289</v>
      </c>
      <c r="C184" s="93">
        <v>1.3511687609782499</v>
      </c>
      <c r="D184" s="85" t="s">
        <v>1215</v>
      </c>
      <c r="F184" s="91">
        <v>42289</v>
      </c>
      <c r="G184">
        <v>1.1479999999999999</v>
      </c>
      <c r="H184">
        <v>1.28267</v>
      </c>
      <c r="I184">
        <v>1.1313599999999999</v>
      </c>
      <c r="J184">
        <v>1.3360000000000001</v>
      </c>
      <c r="K184">
        <v>1.4462999999999999</v>
      </c>
      <c r="L184">
        <v>1.4119999999999999</v>
      </c>
      <c r="M184">
        <v>1.2960499999999999</v>
      </c>
      <c r="N184">
        <v>1.4219999999999999</v>
      </c>
      <c r="O184">
        <v>1.0945100000000001</v>
      </c>
      <c r="P184">
        <v>1.329</v>
      </c>
      <c r="Q184">
        <v>1.4804999999999999</v>
      </c>
      <c r="R184">
        <v>1.496</v>
      </c>
      <c r="S184">
        <v>1.1779900000000001</v>
      </c>
      <c r="T184">
        <v>1.3706099999999999</v>
      </c>
      <c r="U184">
        <v>1.47234</v>
      </c>
    </row>
    <row r="185" spans="1:21">
      <c r="A185" s="91">
        <v>42282</v>
      </c>
      <c r="B185" s="86">
        <v>42282</v>
      </c>
      <c r="C185" s="93">
        <v>1.35098621994056</v>
      </c>
      <c r="D185" s="85" t="s">
        <v>1216</v>
      </c>
      <c r="F185" s="91">
        <v>42282</v>
      </c>
      <c r="G185">
        <v>1.141</v>
      </c>
      <c r="H185">
        <v>1.3426500000000001</v>
      </c>
      <c r="I185">
        <v>1.1414300000000002</v>
      </c>
      <c r="J185">
        <v>1.319</v>
      </c>
      <c r="K185">
        <v>1.4422600000000001</v>
      </c>
      <c r="L185">
        <v>1.419</v>
      </c>
      <c r="M185">
        <v>1.29416</v>
      </c>
      <c r="N185">
        <v>1.4239999999999999</v>
      </c>
      <c r="O185">
        <v>1.0916400000000002</v>
      </c>
      <c r="P185">
        <v>1.339</v>
      </c>
      <c r="Q185">
        <v>1.47302</v>
      </c>
      <c r="R185">
        <v>1.4830000000000001</v>
      </c>
      <c r="S185">
        <v>1.1704100000000002</v>
      </c>
      <c r="T185">
        <v>1.3583099999999999</v>
      </c>
      <c r="U185">
        <v>1.4717899999999999</v>
      </c>
    </row>
    <row r="186" spans="1:21">
      <c r="A186" s="91">
        <v>42275</v>
      </c>
      <c r="B186" s="86">
        <v>42275</v>
      </c>
      <c r="C186" s="93">
        <v>1.3601741022850902</v>
      </c>
      <c r="D186" s="85" t="s">
        <v>1217</v>
      </c>
      <c r="F186" s="91">
        <v>42275</v>
      </c>
      <c r="G186">
        <v>1.157</v>
      </c>
      <c r="H186">
        <v>1.3003399999999998</v>
      </c>
      <c r="I186">
        <v>1.1547000000000001</v>
      </c>
      <c r="J186">
        <v>1.3340000000000001</v>
      </c>
      <c r="K186">
        <v>1.45716</v>
      </c>
      <c r="L186">
        <v>1.4359999999999999</v>
      </c>
      <c r="M186">
        <v>1.2969999999999999</v>
      </c>
      <c r="N186">
        <v>1.427</v>
      </c>
      <c r="O186">
        <v>1.0778800000000002</v>
      </c>
      <c r="P186">
        <v>1.339</v>
      </c>
      <c r="Q186">
        <v>1.4782299999999999</v>
      </c>
      <c r="R186">
        <v>1.4970000000000001</v>
      </c>
      <c r="S186">
        <v>1.17476</v>
      </c>
      <c r="T186">
        <v>1.3384500000000001</v>
      </c>
      <c r="U186">
        <v>1.4890399999999999</v>
      </c>
    </row>
    <row r="187" spans="1:21">
      <c r="A187" s="91">
        <v>42268</v>
      </c>
      <c r="B187" s="86">
        <v>42268</v>
      </c>
      <c r="C187" s="93">
        <v>1.38064337981499</v>
      </c>
      <c r="D187" s="85" t="s">
        <v>1080</v>
      </c>
      <c r="F187" s="91">
        <v>42268</v>
      </c>
      <c r="G187">
        <v>1.1599999999999999</v>
      </c>
      <c r="H187">
        <v>1.3202499999999999</v>
      </c>
      <c r="I187">
        <v>1.1618299999999999</v>
      </c>
      <c r="J187">
        <v>1.36</v>
      </c>
      <c r="K187">
        <v>1.4462300000000001</v>
      </c>
      <c r="L187">
        <v>1.4430000000000001</v>
      </c>
      <c r="M187">
        <v>1.3015699999999999</v>
      </c>
      <c r="N187">
        <v>1.4370000000000001</v>
      </c>
      <c r="O187">
        <v>1.1066500000000001</v>
      </c>
      <c r="P187">
        <v>1.349</v>
      </c>
      <c r="Q187">
        <v>1.4877400000000001</v>
      </c>
      <c r="R187">
        <v>1.508</v>
      </c>
      <c r="S187">
        <v>1.1788699999999999</v>
      </c>
      <c r="T187">
        <v>1.3621700000000001</v>
      </c>
      <c r="U187">
        <v>1.5270999999999999</v>
      </c>
    </row>
    <row r="188" spans="1:21">
      <c r="A188" s="91">
        <v>42261</v>
      </c>
      <c r="B188" s="86">
        <v>42261</v>
      </c>
      <c r="C188" s="93">
        <v>1.3635124079629097</v>
      </c>
      <c r="D188" s="85" t="s">
        <v>1218</v>
      </c>
      <c r="F188" s="91">
        <v>42261</v>
      </c>
      <c r="G188">
        <v>1.173</v>
      </c>
      <c r="H188">
        <v>1.3468</v>
      </c>
      <c r="I188">
        <v>1.1668000000000001</v>
      </c>
      <c r="J188">
        <v>1.3660000000000001</v>
      </c>
      <c r="K188">
        <v>1.4731099999999999</v>
      </c>
      <c r="L188">
        <v>1.458</v>
      </c>
      <c r="M188">
        <v>1.31044</v>
      </c>
      <c r="N188">
        <v>1.4450000000000001</v>
      </c>
      <c r="O188">
        <v>1.1176199999999998</v>
      </c>
      <c r="P188">
        <v>1.369</v>
      </c>
      <c r="Q188">
        <v>1.50248</v>
      </c>
      <c r="R188">
        <v>1.5189999999999999</v>
      </c>
      <c r="S188">
        <v>1.1947999999999999</v>
      </c>
      <c r="T188">
        <v>1.39357</v>
      </c>
      <c r="U188">
        <v>1.5081099999999998</v>
      </c>
    </row>
    <row r="189" spans="1:21">
      <c r="A189" s="91">
        <v>42254</v>
      </c>
      <c r="B189" s="86">
        <v>42254</v>
      </c>
      <c r="C189" s="93">
        <v>1.3692065448072797</v>
      </c>
      <c r="D189" s="85" t="s">
        <v>1219</v>
      </c>
      <c r="F189" s="91">
        <v>42254</v>
      </c>
      <c r="G189">
        <v>1.18</v>
      </c>
      <c r="H189">
        <v>1.3206</v>
      </c>
      <c r="I189">
        <v>1.17994</v>
      </c>
      <c r="J189">
        <v>1.375</v>
      </c>
      <c r="K189">
        <v>1.4769300000000001</v>
      </c>
      <c r="L189">
        <v>1.464</v>
      </c>
      <c r="M189">
        <v>1.2939100000000001</v>
      </c>
      <c r="N189">
        <v>1.4430000000000001</v>
      </c>
      <c r="O189">
        <v>1.09989</v>
      </c>
      <c r="P189">
        <v>1.369</v>
      </c>
      <c r="Q189">
        <v>1.4981600000000002</v>
      </c>
      <c r="R189">
        <v>1.52</v>
      </c>
      <c r="S189">
        <v>1.1935100000000001</v>
      </c>
      <c r="T189">
        <v>1.38104</v>
      </c>
      <c r="U189">
        <v>1.5184000000000002</v>
      </c>
    </row>
    <row r="190" spans="1:21">
      <c r="A190" s="91">
        <v>42247</v>
      </c>
      <c r="B190" s="86">
        <v>42247</v>
      </c>
      <c r="C190" s="93">
        <v>1.3745137657553599</v>
      </c>
      <c r="D190" s="85" t="s">
        <v>1220</v>
      </c>
      <c r="F190" s="91">
        <v>42247</v>
      </c>
      <c r="G190">
        <v>1.1830000000000001</v>
      </c>
      <c r="H190">
        <v>1.2914000000000001</v>
      </c>
      <c r="I190">
        <v>1.1968099999999999</v>
      </c>
      <c r="J190">
        <v>1.355</v>
      </c>
      <c r="K190">
        <v>1.4632400000000001</v>
      </c>
      <c r="L190">
        <v>1.4810000000000001</v>
      </c>
      <c r="M190">
        <v>1.31734</v>
      </c>
      <c r="N190">
        <v>1.4590000000000001</v>
      </c>
      <c r="O190">
        <v>1.0989</v>
      </c>
      <c r="P190">
        <v>1.379</v>
      </c>
      <c r="Q190">
        <v>1.5060899999999999</v>
      </c>
      <c r="R190">
        <v>1.5209999999999999</v>
      </c>
      <c r="S190">
        <v>1.18374</v>
      </c>
      <c r="T190">
        <v>1.3320799999999999</v>
      </c>
      <c r="U190">
        <v>1.5286</v>
      </c>
    </row>
    <row r="191" spans="1:21">
      <c r="A191" s="91">
        <v>42240</v>
      </c>
      <c r="B191" s="86">
        <v>42240</v>
      </c>
      <c r="C191" s="93">
        <v>1.3694878115584797</v>
      </c>
      <c r="D191" s="85" t="s">
        <v>1221</v>
      </c>
      <c r="F191" s="91">
        <v>42240</v>
      </c>
      <c r="G191">
        <v>1.204</v>
      </c>
      <c r="H191">
        <v>1.3357999999999999</v>
      </c>
      <c r="I191">
        <v>1.20441</v>
      </c>
      <c r="J191">
        <v>1.3819999999999999</v>
      </c>
      <c r="K191">
        <v>1.48326</v>
      </c>
      <c r="L191">
        <v>1.5069999999999999</v>
      </c>
      <c r="M191">
        <v>1.3639400000000002</v>
      </c>
      <c r="N191">
        <v>1.498</v>
      </c>
      <c r="O191">
        <v>1.14679</v>
      </c>
      <c r="P191">
        <v>1.399</v>
      </c>
      <c r="Q191">
        <v>1.54291</v>
      </c>
      <c r="R191">
        <v>1.5580000000000001</v>
      </c>
      <c r="S191">
        <v>1.2325899999999999</v>
      </c>
      <c r="T191">
        <v>1.3862300000000001</v>
      </c>
      <c r="U191">
        <v>1.5507299999999999</v>
      </c>
    </row>
    <row r="192" spans="1:21">
      <c r="A192" s="91">
        <v>42233</v>
      </c>
      <c r="B192" s="86">
        <v>42233</v>
      </c>
      <c r="C192" s="93">
        <v>1.4074595355383501</v>
      </c>
      <c r="D192" s="85" t="s">
        <v>1222</v>
      </c>
      <c r="F192" s="91">
        <v>42233</v>
      </c>
      <c r="G192">
        <v>1.23</v>
      </c>
      <c r="H192">
        <v>1.3831</v>
      </c>
      <c r="I192">
        <v>1.21543</v>
      </c>
      <c r="J192">
        <v>1.4339999999999999</v>
      </c>
      <c r="K192">
        <v>1.52345</v>
      </c>
      <c r="L192">
        <v>1.53</v>
      </c>
      <c r="M192">
        <v>1.385</v>
      </c>
      <c r="N192">
        <v>1.5129999999999999</v>
      </c>
      <c r="O192">
        <v>1.1827300000000001</v>
      </c>
      <c r="P192">
        <v>1.419</v>
      </c>
      <c r="Q192">
        <v>1.5633299999999999</v>
      </c>
      <c r="R192">
        <v>1.593</v>
      </c>
      <c r="S192">
        <v>1.2525299999999999</v>
      </c>
      <c r="T192">
        <v>1.41503</v>
      </c>
      <c r="U192">
        <v>1.6127100000000001</v>
      </c>
    </row>
    <row r="193" spans="1:21">
      <c r="A193" s="91">
        <v>42226</v>
      </c>
      <c r="B193" s="86">
        <v>42226</v>
      </c>
      <c r="C193" s="93">
        <v>1.4142271248762599</v>
      </c>
      <c r="D193" s="85" t="s">
        <v>1223</v>
      </c>
      <c r="F193" s="91">
        <v>42226</v>
      </c>
      <c r="G193">
        <v>1.262</v>
      </c>
      <c r="H193">
        <v>1.4110999999999998</v>
      </c>
      <c r="I193">
        <v>1.2202</v>
      </c>
      <c r="J193">
        <v>1.4590000000000001</v>
      </c>
      <c r="K193">
        <v>1.5465199999999999</v>
      </c>
      <c r="L193">
        <v>1.538</v>
      </c>
      <c r="M193">
        <v>1.401</v>
      </c>
      <c r="N193">
        <v>1.534</v>
      </c>
      <c r="O193">
        <v>1.20377</v>
      </c>
      <c r="P193">
        <v>1.4390000000000001</v>
      </c>
      <c r="Q193">
        <v>1.57419</v>
      </c>
      <c r="R193">
        <v>1.617</v>
      </c>
      <c r="S193">
        <v>1.27153</v>
      </c>
      <c r="T193">
        <v>1.4240599999999999</v>
      </c>
      <c r="U193">
        <v>1.6331600000000002</v>
      </c>
    </row>
    <row r="194" spans="1:21">
      <c r="A194" s="91">
        <v>42219</v>
      </c>
      <c r="B194" s="86">
        <v>42219</v>
      </c>
      <c r="C194" s="93">
        <v>1.4228799089356901</v>
      </c>
      <c r="D194" s="85" t="s">
        <v>1098</v>
      </c>
      <c r="F194" s="91">
        <v>42219</v>
      </c>
      <c r="G194">
        <v>1.2689999999999999</v>
      </c>
      <c r="H194">
        <v>1.4204000000000001</v>
      </c>
      <c r="I194">
        <v>1.2231400000000001</v>
      </c>
      <c r="J194">
        <v>1.4770000000000001</v>
      </c>
      <c r="K194">
        <v>1.58145</v>
      </c>
      <c r="L194">
        <v>1.548</v>
      </c>
      <c r="M194">
        <v>1.3942000000000001</v>
      </c>
      <c r="N194">
        <v>1.5509999999999999</v>
      </c>
      <c r="O194">
        <v>1.22601</v>
      </c>
      <c r="P194">
        <v>1.4490000000000001</v>
      </c>
      <c r="Q194">
        <v>1.5926</v>
      </c>
      <c r="R194">
        <v>1.631</v>
      </c>
      <c r="S194">
        <v>1.2843499999999999</v>
      </c>
      <c r="T194">
        <v>1.45312</v>
      </c>
      <c r="U194">
        <v>1.65219</v>
      </c>
    </row>
    <row r="195" spans="1:21">
      <c r="A195" s="91">
        <v>42212</v>
      </c>
      <c r="B195" s="86">
        <v>42212</v>
      </c>
      <c r="C195" s="93">
        <v>1.4031149151115503</v>
      </c>
      <c r="D195" s="85" t="s">
        <v>1224</v>
      </c>
      <c r="F195" s="91">
        <v>42212</v>
      </c>
      <c r="G195">
        <v>1.286</v>
      </c>
      <c r="H195">
        <v>1.4639000000000002</v>
      </c>
      <c r="I195">
        <v>1.22454</v>
      </c>
      <c r="J195">
        <v>1.4790000000000001</v>
      </c>
      <c r="K195">
        <v>1.5868100000000001</v>
      </c>
      <c r="L195">
        <v>1.5580000000000001</v>
      </c>
      <c r="M195">
        <v>1.4297800000000001</v>
      </c>
      <c r="N195">
        <v>1.571</v>
      </c>
      <c r="O195">
        <v>1.2399899999999999</v>
      </c>
      <c r="P195">
        <v>1.4490000000000001</v>
      </c>
      <c r="Q195">
        <v>1.6164400000000001</v>
      </c>
      <c r="R195">
        <v>1.6459999999999999</v>
      </c>
      <c r="S195">
        <v>1.30731</v>
      </c>
      <c r="T195">
        <v>1.47519</v>
      </c>
      <c r="U195">
        <v>1.6338199999999998</v>
      </c>
    </row>
    <row r="196" spans="1:21">
      <c r="A196" s="91">
        <v>42205</v>
      </c>
      <c r="B196" s="86">
        <v>42205</v>
      </c>
      <c r="C196" s="93">
        <v>1.4345144168698898</v>
      </c>
      <c r="D196" s="85" t="s">
        <v>1225</v>
      </c>
      <c r="F196" s="91">
        <v>42205</v>
      </c>
      <c r="G196">
        <v>1.2929999999999999</v>
      </c>
      <c r="H196">
        <v>1.458</v>
      </c>
      <c r="I196">
        <v>1.2238800000000001</v>
      </c>
      <c r="J196">
        <v>1.488</v>
      </c>
      <c r="K196">
        <v>1.5868100000000001</v>
      </c>
      <c r="L196">
        <v>1.5660000000000001</v>
      </c>
      <c r="M196">
        <v>1.4430699999999999</v>
      </c>
      <c r="N196">
        <v>1.58</v>
      </c>
      <c r="O196">
        <v>1.2764000000000002</v>
      </c>
      <c r="P196">
        <v>1.4490000000000001</v>
      </c>
      <c r="Q196">
        <v>1.6297600000000001</v>
      </c>
      <c r="R196">
        <v>1.6619999999999999</v>
      </c>
      <c r="S196">
        <v>1.32094</v>
      </c>
      <c r="T196">
        <v>1.5025200000000001</v>
      </c>
      <c r="U196">
        <v>1.6753099999999999</v>
      </c>
    </row>
    <row r="197" spans="1:21">
      <c r="A197" s="91">
        <v>42198</v>
      </c>
      <c r="B197" s="86">
        <v>42198</v>
      </c>
      <c r="C197" s="93">
        <v>1.4054813773717501</v>
      </c>
      <c r="D197" s="85" t="s">
        <v>1226</v>
      </c>
      <c r="F197" s="91">
        <v>42198</v>
      </c>
      <c r="G197">
        <v>1.3049999999999999</v>
      </c>
      <c r="H197">
        <v>1.458</v>
      </c>
      <c r="I197">
        <v>1.2217199999999999</v>
      </c>
      <c r="J197">
        <v>1.5189999999999999</v>
      </c>
      <c r="K197">
        <v>1.6429</v>
      </c>
      <c r="L197">
        <v>1.5669999999999999</v>
      </c>
      <c r="M197">
        <v>1.4435899999999999</v>
      </c>
      <c r="N197">
        <v>1.5820000000000001</v>
      </c>
      <c r="O197">
        <v>1.2714400000000001</v>
      </c>
      <c r="P197">
        <v>1.4390000000000001</v>
      </c>
      <c r="Q197">
        <v>1.62805</v>
      </c>
      <c r="R197">
        <v>1.6839999999999999</v>
      </c>
      <c r="S197">
        <v>1.33179</v>
      </c>
      <c r="T197">
        <v>1.5039800000000001</v>
      </c>
      <c r="U197">
        <v>1.6360599999999998</v>
      </c>
    </row>
    <row r="198" spans="1:21">
      <c r="A198" s="91">
        <v>42191</v>
      </c>
      <c r="B198" s="86">
        <v>42191</v>
      </c>
      <c r="C198" s="93">
        <v>1.41242937853107</v>
      </c>
      <c r="D198" s="85" t="s">
        <v>1227</v>
      </c>
      <c r="F198" s="91">
        <v>42191</v>
      </c>
      <c r="G198">
        <v>1.294</v>
      </c>
      <c r="H198">
        <v>1.4610999999999998</v>
      </c>
      <c r="I198">
        <v>1.2189400000000001</v>
      </c>
      <c r="J198">
        <v>1.504</v>
      </c>
      <c r="K198">
        <v>1.62981</v>
      </c>
      <c r="L198">
        <v>1.56</v>
      </c>
      <c r="M198">
        <v>1.42039</v>
      </c>
      <c r="N198">
        <v>1.581</v>
      </c>
      <c r="O198">
        <v>1.2310300000000001</v>
      </c>
      <c r="P198">
        <v>1.4790000000000001</v>
      </c>
      <c r="Q198">
        <v>1.6252</v>
      </c>
      <c r="R198">
        <v>1.6639999999999999</v>
      </c>
      <c r="S198">
        <v>1.3266500000000001</v>
      </c>
      <c r="T198">
        <v>1.4920100000000001</v>
      </c>
      <c r="U198">
        <v>1.6431600000000002</v>
      </c>
    </row>
    <row r="199" spans="1:21">
      <c r="A199" s="91">
        <v>42184</v>
      </c>
      <c r="B199" s="86">
        <v>42184</v>
      </c>
      <c r="C199" s="93">
        <v>1.41143260409315</v>
      </c>
      <c r="D199" s="85" t="s">
        <v>1228</v>
      </c>
      <c r="F199" s="91">
        <v>42184</v>
      </c>
      <c r="G199">
        <v>1.286</v>
      </c>
      <c r="H199">
        <v>1.4424000000000001</v>
      </c>
      <c r="I199">
        <v>1.2139800000000001</v>
      </c>
      <c r="J199">
        <v>1.4950000000000001</v>
      </c>
      <c r="K199">
        <v>1.5897300000000001</v>
      </c>
      <c r="L199">
        <v>1.57</v>
      </c>
      <c r="M199">
        <v>1.4409000000000001</v>
      </c>
      <c r="N199">
        <v>1.577</v>
      </c>
      <c r="O199">
        <v>1.2382599999999999</v>
      </c>
      <c r="P199">
        <v>1.4490000000000001</v>
      </c>
      <c r="Q199">
        <v>1.62785</v>
      </c>
      <c r="R199">
        <v>1.655</v>
      </c>
      <c r="S199">
        <v>1.3250200000000001</v>
      </c>
      <c r="T199">
        <v>1.4851800000000002</v>
      </c>
      <c r="U199">
        <v>1.6450199999999999</v>
      </c>
    </row>
    <row r="200" spans="1:21">
      <c r="A200" s="91">
        <v>42177</v>
      </c>
      <c r="B200" s="86">
        <v>42177</v>
      </c>
      <c r="C200" s="93">
        <v>1.3948946854512496</v>
      </c>
      <c r="D200" s="85" t="s">
        <v>1229</v>
      </c>
      <c r="F200" s="91">
        <v>42177</v>
      </c>
      <c r="G200">
        <v>1.2909999999999999</v>
      </c>
      <c r="H200">
        <v>1.4741</v>
      </c>
      <c r="I200">
        <v>1.21617</v>
      </c>
      <c r="J200">
        <v>1.4990000000000001</v>
      </c>
      <c r="K200">
        <v>1.6002100000000001</v>
      </c>
      <c r="L200">
        <v>1.57</v>
      </c>
      <c r="M200">
        <v>1.45031</v>
      </c>
      <c r="N200">
        <v>1.58</v>
      </c>
      <c r="O200">
        <v>1.2710699999999999</v>
      </c>
      <c r="P200">
        <v>1.4490000000000001</v>
      </c>
      <c r="Q200">
        <v>1.6315299999999999</v>
      </c>
      <c r="R200">
        <v>1.6679999999999999</v>
      </c>
      <c r="S200">
        <v>1.3377000000000001</v>
      </c>
      <c r="T200">
        <v>1.4974000000000001</v>
      </c>
      <c r="U200">
        <v>1.62639</v>
      </c>
    </row>
    <row r="201" spans="1:21">
      <c r="A201" s="91">
        <v>42170</v>
      </c>
      <c r="B201" s="86">
        <v>42170</v>
      </c>
      <c r="C201" s="93">
        <v>1.3823610727121902</v>
      </c>
      <c r="D201" s="85" t="s">
        <v>1230</v>
      </c>
      <c r="F201" s="91">
        <v>42170</v>
      </c>
      <c r="G201">
        <v>1.2969999999999999</v>
      </c>
      <c r="H201">
        <v>1.4850999999999999</v>
      </c>
      <c r="I201">
        <v>1.2069700000000001</v>
      </c>
      <c r="J201">
        <v>1.4990000000000001</v>
      </c>
      <c r="K201">
        <v>1.6166700000000001</v>
      </c>
      <c r="L201">
        <v>1.5640000000000001</v>
      </c>
      <c r="M201">
        <v>1.4412</v>
      </c>
      <c r="N201">
        <v>1.5669999999999999</v>
      </c>
      <c r="O201">
        <v>1.23447</v>
      </c>
      <c r="P201">
        <v>1.4490000000000001</v>
      </c>
      <c r="Q201">
        <v>1.62321</v>
      </c>
      <c r="R201">
        <v>1.6639999999999999</v>
      </c>
      <c r="S201">
        <v>1.3301400000000001</v>
      </c>
      <c r="T201">
        <v>1.5072999999999999</v>
      </c>
      <c r="U201">
        <v>1.6088699999999998</v>
      </c>
    </row>
    <row r="202" spans="1:21">
      <c r="A202" s="91">
        <v>42163</v>
      </c>
      <c r="B202" s="86">
        <v>42163</v>
      </c>
      <c r="C202" s="93">
        <v>1.3664935774801898</v>
      </c>
      <c r="D202" s="85" t="s">
        <v>1231</v>
      </c>
      <c r="F202" s="91">
        <v>42163</v>
      </c>
      <c r="G202">
        <v>1.2809999999999999</v>
      </c>
      <c r="H202">
        <v>1.4404999999999999</v>
      </c>
      <c r="I202">
        <v>1.1994800000000001</v>
      </c>
      <c r="J202">
        <v>1.488</v>
      </c>
      <c r="K202">
        <v>1.5750200000000001</v>
      </c>
      <c r="L202">
        <v>1.5580000000000001</v>
      </c>
      <c r="M202">
        <v>1.4403699999999999</v>
      </c>
      <c r="N202">
        <v>1.5649999999999999</v>
      </c>
      <c r="O202">
        <v>1.23237</v>
      </c>
      <c r="P202">
        <v>1.4490000000000001</v>
      </c>
      <c r="Q202">
        <v>1.6190100000000001</v>
      </c>
      <c r="R202">
        <v>1.645</v>
      </c>
      <c r="S202">
        <v>1.3234000000000001</v>
      </c>
      <c r="T202">
        <v>1.4874400000000001</v>
      </c>
      <c r="U202">
        <v>1.5886199999999999</v>
      </c>
    </row>
    <row r="203" spans="1:21">
      <c r="A203" s="91">
        <v>42156</v>
      </c>
      <c r="B203" s="86">
        <v>42156</v>
      </c>
      <c r="C203" s="93">
        <v>1.3903371567605098</v>
      </c>
      <c r="D203" s="85" t="s">
        <v>1232</v>
      </c>
      <c r="F203" s="91">
        <v>42156</v>
      </c>
      <c r="G203">
        <v>1.2749999999999999</v>
      </c>
      <c r="H203">
        <v>1.4624999999999999</v>
      </c>
      <c r="I203">
        <v>1.1979600000000001</v>
      </c>
      <c r="J203">
        <v>1.4850000000000001</v>
      </c>
      <c r="K203">
        <v>1.57934</v>
      </c>
      <c r="L203">
        <v>1.5509999999999999</v>
      </c>
      <c r="M203">
        <v>1.4384999999999999</v>
      </c>
      <c r="N203">
        <v>1.5589999999999999</v>
      </c>
      <c r="O203">
        <v>1.2427300000000001</v>
      </c>
      <c r="P203">
        <v>1.4390000000000001</v>
      </c>
      <c r="Q203">
        <v>1.61616</v>
      </c>
      <c r="R203">
        <v>1.6379999999999999</v>
      </c>
      <c r="S203">
        <v>1.3186199999999999</v>
      </c>
      <c r="T203">
        <v>1.49081</v>
      </c>
      <c r="U203">
        <v>1.6146099999999999</v>
      </c>
    </row>
    <row r="204" spans="1:21">
      <c r="A204" s="91">
        <v>42149</v>
      </c>
      <c r="B204" s="86">
        <v>42149</v>
      </c>
      <c r="C204" s="93">
        <v>1.40845070422535</v>
      </c>
      <c r="D204" s="85" t="s">
        <v>1233</v>
      </c>
      <c r="F204" s="91">
        <v>42149</v>
      </c>
      <c r="G204">
        <v>1.276</v>
      </c>
      <c r="H204">
        <v>1.4525999999999999</v>
      </c>
      <c r="I204">
        <v>1.1986700000000001</v>
      </c>
      <c r="J204">
        <v>1.494</v>
      </c>
      <c r="K204">
        <v>1.5881500000000002</v>
      </c>
      <c r="L204">
        <v>1.5529999999999999</v>
      </c>
      <c r="M204">
        <v>1.4324100000000002</v>
      </c>
      <c r="N204">
        <v>1.5580000000000001</v>
      </c>
      <c r="O204">
        <v>1.2323199999999999</v>
      </c>
      <c r="P204">
        <v>1.4490000000000001</v>
      </c>
      <c r="Q204">
        <v>1.6142300000000001</v>
      </c>
      <c r="R204">
        <v>1.6359999999999999</v>
      </c>
      <c r="S204">
        <v>1.3152300000000001</v>
      </c>
      <c r="T204">
        <v>1.5149600000000001</v>
      </c>
      <c r="U204">
        <v>1.6341400000000001</v>
      </c>
    </row>
    <row r="205" spans="1:21">
      <c r="A205" s="91">
        <v>42142</v>
      </c>
      <c r="B205" s="86">
        <v>42142</v>
      </c>
      <c r="C205" s="93">
        <v>1.3755158184319101</v>
      </c>
      <c r="D205" s="85" t="s">
        <v>1234</v>
      </c>
      <c r="F205" s="91">
        <v>42142</v>
      </c>
      <c r="G205">
        <v>1.254</v>
      </c>
      <c r="H205">
        <v>1.4295</v>
      </c>
      <c r="I205">
        <v>1.1942999999999999</v>
      </c>
      <c r="J205">
        <v>1.4870000000000001</v>
      </c>
      <c r="K205">
        <v>1.5862799999999999</v>
      </c>
      <c r="L205">
        <v>1.5449999999999999</v>
      </c>
      <c r="M205">
        <v>1.4335</v>
      </c>
      <c r="N205">
        <v>1.5589999999999999</v>
      </c>
      <c r="O205">
        <v>1.2307999999999999</v>
      </c>
      <c r="P205">
        <v>1.4490000000000001</v>
      </c>
      <c r="Q205">
        <v>1.61612</v>
      </c>
      <c r="R205">
        <v>1.641</v>
      </c>
      <c r="S205">
        <v>1.3105599999999999</v>
      </c>
      <c r="T205">
        <v>1.50305</v>
      </c>
      <c r="U205">
        <v>1.5920099999999999</v>
      </c>
    </row>
    <row r="206" spans="1:21">
      <c r="A206" s="91">
        <v>42135</v>
      </c>
      <c r="B206" s="86">
        <v>42135</v>
      </c>
      <c r="C206" s="93">
        <v>1.3896609227348502</v>
      </c>
      <c r="D206" s="85" t="s">
        <v>1235</v>
      </c>
      <c r="F206" s="91">
        <v>42135</v>
      </c>
      <c r="G206">
        <v>1.2689999999999999</v>
      </c>
      <c r="H206">
        <v>1.456</v>
      </c>
      <c r="I206">
        <v>1.19099</v>
      </c>
      <c r="J206">
        <v>1.4870000000000001</v>
      </c>
      <c r="K206">
        <v>1.57582</v>
      </c>
      <c r="L206">
        <v>1.5369999999999999</v>
      </c>
      <c r="M206">
        <v>1.44095</v>
      </c>
      <c r="N206">
        <v>1.5620000000000001</v>
      </c>
      <c r="O206">
        <v>1.2504999999999999</v>
      </c>
      <c r="P206">
        <v>1.4490000000000001</v>
      </c>
      <c r="Q206">
        <v>1.6167100000000001</v>
      </c>
      <c r="R206">
        <v>1.6479999999999999</v>
      </c>
      <c r="S206">
        <v>1.31491</v>
      </c>
      <c r="T206">
        <v>1.5194700000000001</v>
      </c>
      <c r="U206">
        <v>1.5994699999999999</v>
      </c>
    </row>
    <row r="207" spans="1:21">
      <c r="A207" s="91">
        <v>42128</v>
      </c>
      <c r="B207" s="86">
        <v>42128</v>
      </c>
      <c r="C207" s="93">
        <v>1.3552339133734499</v>
      </c>
      <c r="D207" s="85" t="s">
        <v>1236</v>
      </c>
      <c r="F207" s="91">
        <v>42128</v>
      </c>
      <c r="G207">
        <v>1.264</v>
      </c>
      <c r="H207">
        <v>1.4550000000000001</v>
      </c>
      <c r="I207">
        <v>1.18415</v>
      </c>
      <c r="J207">
        <v>1.4890000000000001</v>
      </c>
      <c r="K207">
        <v>1.5834699999999999</v>
      </c>
      <c r="L207">
        <v>1.538</v>
      </c>
      <c r="M207">
        <v>1.4367099999999999</v>
      </c>
      <c r="N207">
        <v>1.5580000000000001</v>
      </c>
      <c r="O207">
        <v>1.25569</v>
      </c>
      <c r="P207">
        <v>1.4390000000000001</v>
      </c>
      <c r="Q207">
        <v>1.6106199999999999</v>
      </c>
      <c r="R207">
        <v>1.6439999999999999</v>
      </c>
      <c r="S207">
        <v>1.31701</v>
      </c>
      <c r="T207">
        <v>1.5185299999999999</v>
      </c>
      <c r="U207">
        <v>1.5486300000000002</v>
      </c>
    </row>
    <row r="208" spans="1:21">
      <c r="A208" s="91">
        <v>42121</v>
      </c>
      <c r="B208" s="86">
        <v>42121</v>
      </c>
      <c r="C208" s="93">
        <v>1.3962580284836601</v>
      </c>
      <c r="D208" s="85" t="s">
        <v>1237</v>
      </c>
      <c r="F208" s="91">
        <v>42121</v>
      </c>
      <c r="G208">
        <v>1.2689999999999999</v>
      </c>
      <c r="H208">
        <v>1.4485999999999999</v>
      </c>
      <c r="I208">
        <v>1.1733499999999999</v>
      </c>
      <c r="J208">
        <v>1.48</v>
      </c>
      <c r="K208">
        <v>1.59232</v>
      </c>
      <c r="L208">
        <v>1.53</v>
      </c>
      <c r="M208">
        <v>1.4263599999999999</v>
      </c>
      <c r="N208">
        <v>1.544</v>
      </c>
      <c r="O208">
        <v>1.2519899999999999</v>
      </c>
      <c r="P208">
        <v>1.429</v>
      </c>
      <c r="Q208">
        <v>1.6017699999999999</v>
      </c>
      <c r="R208">
        <v>1.643</v>
      </c>
      <c r="S208">
        <v>1.30752</v>
      </c>
      <c r="T208">
        <v>1.49356</v>
      </c>
      <c r="U208">
        <v>1.5854600000000001</v>
      </c>
    </row>
    <row r="209" spans="1:21">
      <c r="A209" s="91">
        <v>42114</v>
      </c>
      <c r="B209" s="86">
        <v>42114</v>
      </c>
      <c r="C209" s="93">
        <v>1.3897574873184599</v>
      </c>
      <c r="D209" s="85" t="s">
        <v>1238</v>
      </c>
      <c r="F209" s="91">
        <v>42114</v>
      </c>
      <c r="G209">
        <v>1.2549999999999999</v>
      </c>
      <c r="H209">
        <v>1.4175</v>
      </c>
      <c r="I209">
        <v>1.1606300000000001</v>
      </c>
      <c r="J209">
        <v>1.466</v>
      </c>
      <c r="K209">
        <v>1.5790200000000001</v>
      </c>
      <c r="L209">
        <v>1.506</v>
      </c>
      <c r="M209">
        <v>1.4096600000000001</v>
      </c>
      <c r="N209">
        <v>1.524</v>
      </c>
      <c r="O209">
        <v>1.22651</v>
      </c>
      <c r="P209">
        <v>1.399</v>
      </c>
      <c r="Q209">
        <v>1.5847200000000001</v>
      </c>
      <c r="R209">
        <v>1.623</v>
      </c>
      <c r="S209">
        <v>1.2879200000000002</v>
      </c>
      <c r="T209">
        <v>1.5022899999999999</v>
      </c>
      <c r="U209">
        <v>1.5686500000000001</v>
      </c>
    </row>
    <row r="210" spans="1:21">
      <c r="A210" s="91">
        <v>42107</v>
      </c>
      <c r="B210" s="86">
        <v>42107</v>
      </c>
      <c r="C210" s="93">
        <v>1.38600138600139</v>
      </c>
      <c r="D210" s="85" t="s">
        <v>1239</v>
      </c>
      <c r="F210" s="91">
        <v>42107</v>
      </c>
      <c r="G210">
        <v>1.2230000000000001</v>
      </c>
      <c r="H210">
        <v>1.41568</v>
      </c>
      <c r="I210">
        <v>1.1592799999999999</v>
      </c>
      <c r="J210">
        <v>1.4370000000000001</v>
      </c>
      <c r="K210">
        <v>1.53115</v>
      </c>
      <c r="L210">
        <v>1.498</v>
      </c>
      <c r="M210">
        <v>1.3934000000000002</v>
      </c>
      <c r="N210">
        <v>1.5069999999999999</v>
      </c>
      <c r="O210">
        <v>1.2314200000000002</v>
      </c>
      <c r="P210">
        <v>1.399</v>
      </c>
      <c r="Q210">
        <v>1.57467</v>
      </c>
      <c r="R210">
        <v>1.595</v>
      </c>
      <c r="S210">
        <v>1.2614000000000001</v>
      </c>
      <c r="T210">
        <v>1.48689</v>
      </c>
      <c r="U210">
        <v>1.5596700000000001</v>
      </c>
    </row>
    <row r="211" spans="1:21">
      <c r="A211" s="91">
        <v>42093</v>
      </c>
      <c r="B211" s="86">
        <v>42093</v>
      </c>
      <c r="C211" s="93">
        <v>1.3646288209607</v>
      </c>
      <c r="D211" s="85" t="s">
        <v>1240</v>
      </c>
      <c r="F211" s="91">
        <v>42093</v>
      </c>
      <c r="G211">
        <v>1.232</v>
      </c>
      <c r="H211">
        <v>1.4044000000000001</v>
      </c>
      <c r="I211">
        <v>1.1515299999999999</v>
      </c>
      <c r="J211">
        <v>1.4259999999999999</v>
      </c>
      <c r="K211">
        <v>1.5611199999999998</v>
      </c>
      <c r="L211">
        <v>1.492</v>
      </c>
      <c r="M211">
        <v>1.39364</v>
      </c>
      <c r="N211">
        <v>1.5089999999999999</v>
      </c>
      <c r="O211">
        <v>1.2199500000000001</v>
      </c>
      <c r="P211">
        <v>1.379</v>
      </c>
      <c r="Q211">
        <v>1.57803</v>
      </c>
      <c r="R211">
        <v>1.603</v>
      </c>
      <c r="S211">
        <v>1.26715</v>
      </c>
      <c r="T211">
        <v>1.4777899999999999</v>
      </c>
      <c r="U211">
        <v>1.52922</v>
      </c>
    </row>
    <row r="212" spans="1:21">
      <c r="A212" s="91">
        <v>42086</v>
      </c>
      <c r="B212" s="86">
        <v>42086</v>
      </c>
      <c r="C212" s="93">
        <v>1.3664935774801898</v>
      </c>
      <c r="D212" s="85" t="s">
        <v>1241</v>
      </c>
      <c r="F212" s="91">
        <v>42086</v>
      </c>
      <c r="G212">
        <v>1.2150000000000001</v>
      </c>
      <c r="H212">
        <v>1.3742000000000001</v>
      </c>
      <c r="I212">
        <v>1.1523699999999999</v>
      </c>
      <c r="J212">
        <v>1.409</v>
      </c>
      <c r="K212">
        <v>1.5237100000000001</v>
      </c>
      <c r="L212">
        <v>1.4850000000000001</v>
      </c>
      <c r="M212">
        <v>1.3928499999999999</v>
      </c>
      <c r="N212">
        <v>1.512</v>
      </c>
      <c r="O212">
        <v>1.2101900000000001</v>
      </c>
      <c r="P212">
        <v>1.379</v>
      </c>
      <c r="Q212">
        <v>1.57816</v>
      </c>
      <c r="R212">
        <v>1.59</v>
      </c>
      <c r="S212">
        <v>1.2616800000000001</v>
      </c>
      <c r="T212">
        <v>1.45726</v>
      </c>
      <c r="U212">
        <v>1.5256500000000002</v>
      </c>
    </row>
    <row r="213" spans="1:21">
      <c r="A213" s="91">
        <v>42079</v>
      </c>
      <c r="B213" s="86">
        <v>42079</v>
      </c>
      <c r="C213" s="93">
        <v>1.4023278642546597</v>
      </c>
      <c r="D213" s="85" t="s">
        <v>1242</v>
      </c>
      <c r="F213" s="91">
        <v>42079</v>
      </c>
      <c r="G213">
        <v>1.22</v>
      </c>
      <c r="H213">
        <v>1.3979000000000001</v>
      </c>
      <c r="I213">
        <v>1.1492599999999999</v>
      </c>
      <c r="J213">
        <v>1.417</v>
      </c>
      <c r="K213">
        <v>1.53498</v>
      </c>
      <c r="L213">
        <v>1.462</v>
      </c>
      <c r="M213">
        <v>1.3950199999999999</v>
      </c>
      <c r="N213">
        <v>1.5109999999999999</v>
      </c>
      <c r="O213">
        <v>1.2084600000000001</v>
      </c>
      <c r="P213">
        <v>1.359</v>
      </c>
      <c r="Q213">
        <v>1.57558</v>
      </c>
      <c r="R213">
        <v>1.5940000000000001</v>
      </c>
      <c r="S213">
        <v>1.26942</v>
      </c>
      <c r="T213">
        <v>1.4665899999999998</v>
      </c>
      <c r="U213">
        <v>1.5570999999999999</v>
      </c>
    </row>
    <row r="214" spans="1:21">
      <c r="A214" s="91">
        <v>42072</v>
      </c>
      <c r="B214" s="86">
        <v>42072</v>
      </c>
      <c r="C214" s="93">
        <v>1.39159476760367</v>
      </c>
      <c r="D214" s="85" t="s">
        <v>1243</v>
      </c>
      <c r="F214" s="91">
        <v>42072</v>
      </c>
      <c r="G214">
        <v>1.2110000000000001</v>
      </c>
      <c r="H214">
        <v>1.3855999999999999</v>
      </c>
      <c r="I214">
        <v>1.1400699999999999</v>
      </c>
      <c r="J214">
        <v>1.405</v>
      </c>
      <c r="K214">
        <v>1.5193800000000002</v>
      </c>
      <c r="L214">
        <v>1.4450000000000001</v>
      </c>
      <c r="M214">
        <v>1.37862</v>
      </c>
      <c r="N214">
        <v>1.498</v>
      </c>
      <c r="O214">
        <v>1.19007</v>
      </c>
      <c r="P214">
        <v>1.349</v>
      </c>
      <c r="Q214">
        <v>1.56233</v>
      </c>
      <c r="R214">
        <v>1.5820000000000001</v>
      </c>
      <c r="S214">
        <v>1.25898</v>
      </c>
      <c r="T214">
        <v>1.4612700000000001</v>
      </c>
      <c r="U214">
        <v>1.5317400000000001</v>
      </c>
    </row>
    <row r="215" spans="1:21">
      <c r="A215" s="91">
        <v>42065</v>
      </c>
      <c r="B215" s="86">
        <v>42065</v>
      </c>
      <c r="C215" s="93">
        <v>1.3709898546750801</v>
      </c>
      <c r="D215" s="85" t="s">
        <v>1244</v>
      </c>
      <c r="F215" s="91">
        <v>42065</v>
      </c>
      <c r="G215">
        <v>1.196</v>
      </c>
      <c r="H215">
        <v>1.3805000000000001</v>
      </c>
      <c r="I215">
        <v>1.11372</v>
      </c>
      <c r="J215">
        <v>1.387</v>
      </c>
      <c r="K215">
        <v>1.49532</v>
      </c>
      <c r="L215">
        <v>1.42</v>
      </c>
      <c r="M215">
        <v>1.3592</v>
      </c>
      <c r="N215">
        <v>1.4730000000000001</v>
      </c>
      <c r="O215">
        <v>1.16781</v>
      </c>
      <c r="P215">
        <v>1.329</v>
      </c>
      <c r="Q215">
        <v>1.5468</v>
      </c>
      <c r="R215">
        <v>1.56</v>
      </c>
      <c r="S215">
        <v>1.23732</v>
      </c>
      <c r="T215">
        <v>1.4153</v>
      </c>
      <c r="U215">
        <v>1.4971099999999999</v>
      </c>
    </row>
    <row r="216" spans="1:21">
      <c r="A216" s="91">
        <v>42058</v>
      </c>
      <c r="B216" s="86">
        <v>42058</v>
      </c>
      <c r="C216" s="93">
        <v>1.3601741022850902</v>
      </c>
      <c r="D216" s="85" t="s">
        <v>1245</v>
      </c>
      <c r="F216" s="91">
        <v>42058</v>
      </c>
      <c r="G216">
        <v>1.1830000000000001</v>
      </c>
      <c r="H216">
        <v>1.3485999999999998</v>
      </c>
      <c r="I216">
        <v>1.1108399999999998</v>
      </c>
      <c r="J216">
        <v>1.3660000000000001</v>
      </c>
      <c r="K216">
        <v>1.46844</v>
      </c>
      <c r="L216">
        <v>1.403</v>
      </c>
      <c r="M216">
        <v>1.35341</v>
      </c>
      <c r="N216">
        <v>1.4630000000000001</v>
      </c>
      <c r="O216">
        <v>1.1558599999999999</v>
      </c>
      <c r="P216">
        <v>1.329</v>
      </c>
      <c r="Q216">
        <v>1.5336800000000002</v>
      </c>
      <c r="R216">
        <v>1.5449999999999999</v>
      </c>
      <c r="S216">
        <v>1.2251099999999999</v>
      </c>
      <c r="T216">
        <v>1.36677</v>
      </c>
      <c r="U216">
        <v>1.47367</v>
      </c>
    </row>
    <row r="217" spans="1:21">
      <c r="A217" s="91">
        <v>42051</v>
      </c>
      <c r="B217" s="86">
        <v>42051</v>
      </c>
      <c r="C217" s="93">
        <v>1.3475272874275699</v>
      </c>
      <c r="D217" s="85" t="s">
        <v>1246</v>
      </c>
      <c r="F217" s="91">
        <v>42051</v>
      </c>
      <c r="G217">
        <v>1.171</v>
      </c>
      <c r="H217">
        <v>1.3192000000000002</v>
      </c>
      <c r="I217">
        <v>1.0839100000000002</v>
      </c>
      <c r="J217">
        <v>1.361</v>
      </c>
      <c r="K217">
        <v>1.4723299999999999</v>
      </c>
      <c r="L217">
        <v>1.393</v>
      </c>
      <c r="M217">
        <v>1.3399700000000001</v>
      </c>
      <c r="N217">
        <v>1.444</v>
      </c>
      <c r="O217">
        <v>1.13645</v>
      </c>
      <c r="P217">
        <v>1.2989999999999999</v>
      </c>
      <c r="Q217">
        <v>1.51369</v>
      </c>
      <c r="R217">
        <v>1.538</v>
      </c>
      <c r="S217">
        <v>1.20947</v>
      </c>
      <c r="T217">
        <v>1.3641800000000002</v>
      </c>
      <c r="U217">
        <v>1.44536</v>
      </c>
    </row>
    <row r="218" spans="1:21">
      <c r="A218" s="91">
        <v>42044</v>
      </c>
      <c r="B218" s="86">
        <v>42044</v>
      </c>
      <c r="C218" s="93">
        <v>1.34861766689144</v>
      </c>
      <c r="D218" s="85" t="s">
        <v>1247</v>
      </c>
      <c r="F218" s="91">
        <v>42044</v>
      </c>
      <c r="G218">
        <v>1.153</v>
      </c>
      <c r="H218">
        <v>1.3263</v>
      </c>
      <c r="I218">
        <v>1.06385</v>
      </c>
      <c r="J218">
        <v>1.343</v>
      </c>
      <c r="K218">
        <v>1.44815</v>
      </c>
      <c r="L218">
        <v>1.383</v>
      </c>
      <c r="M218">
        <v>1.3114300000000001</v>
      </c>
      <c r="N218">
        <v>1.413</v>
      </c>
      <c r="O218">
        <v>1.1053599999999999</v>
      </c>
      <c r="P218">
        <v>1.2989999999999999</v>
      </c>
      <c r="Q218">
        <v>1.47726</v>
      </c>
      <c r="R218">
        <v>1.4970000000000001</v>
      </c>
      <c r="S218">
        <v>1.1786700000000001</v>
      </c>
      <c r="T218">
        <v>1.3596700000000002</v>
      </c>
      <c r="U218">
        <v>1.43432</v>
      </c>
    </row>
    <row r="219" spans="1:21">
      <c r="A219" s="91">
        <v>42037</v>
      </c>
      <c r="B219" s="86">
        <v>42037</v>
      </c>
      <c r="C219" s="93">
        <v>1.32872707945788</v>
      </c>
      <c r="D219" s="85" t="s">
        <v>1248</v>
      </c>
      <c r="F219" s="91">
        <v>42037</v>
      </c>
      <c r="G219">
        <v>1.1160000000000001</v>
      </c>
      <c r="H219">
        <v>1.2389000000000001</v>
      </c>
      <c r="I219">
        <v>1.06609</v>
      </c>
      <c r="J219">
        <v>1.298</v>
      </c>
      <c r="K219">
        <v>1.3944100000000001</v>
      </c>
      <c r="L219">
        <v>1.36</v>
      </c>
      <c r="M219">
        <v>1.2769300000000001</v>
      </c>
      <c r="N219">
        <v>1.377</v>
      </c>
      <c r="O219">
        <v>1.0652699999999999</v>
      </c>
      <c r="P219">
        <v>1.2589999999999999</v>
      </c>
      <c r="Q219">
        <v>1.4457100000000001</v>
      </c>
      <c r="R219">
        <v>1.4630000000000001</v>
      </c>
      <c r="S219">
        <v>1.1362099999999999</v>
      </c>
      <c r="T219">
        <v>1.3081800000000001</v>
      </c>
      <c r="U219">
        <v>1.4090100000000001</v>
      </c>
    </row>
    <row r="220" spans="1:21">
      <c r="A220" s="91">
        <v>42030</v>
      </c>
      <c r="B220" s="86">
        <v>42030</v>
      </c>
      <c r="C220" s="93">
        <v>1.3352026169971303</v>
      </c>
      <c r="D220" s="85" t="s">
        <v>1249</v>
      </c>
      <c r="F220" s="91">
        <v>42030</v>
      </c>
      <c r="G220">
        <v>1.1120000000000001</v>
      </c>
      <c r="H220">
        <v>1.2344999999999999</v>
      </c>
      <c r="I220">
        <v>1.08107</v>
      </c>
      <c r="J220">
        <v>1.29</v>
      </c>
      <c r="K220">
        <v>1.38348</v>
      </c>
      <c r="L220">
        <v>1.351</v>
      </c>
      <c r="M220">
        <v>1.26766</v>
      </c>
      <c r="N220">
        <v>1.371</v>
      </c>
      <c r="O220">
        <v>1.0652900000000001</v>
      </c>
      <c r="P220">
        <v>1.2589999999999999</v>
      </c>
      <c r="Q220">
        <v>1.4370399999999999</v>
      </c>
      <c r="R220">
        <v>1.462</v>
      </c>
      <c r="S220">
        <v>1.1214200000000001</v>
      </c>
      <c r="T220">
        <v>1.3002499999999999</v>
      </c>
      <c r="U220">
        <v>1.4195899999999999</v>
      </c>
    </row>
    <row r="221" spans="1:21">
      <c r="A221" s="91">
        <v>42023</v>
      </c>
      <c r="B221" s="86">
        <v>42023</v>
      </c>
      <c r="C221" s="93">
        <v>1.3048016701461398</v>
      </c>
      <c r="D221" s="85" t="s">
        <v>1250</v>
      </c>
      <c r="F221" s="91">
        <v>42023</v>
      </c>
      <c r="G221">
        <v>1.109</v>
      </c>
      <c r="H221">
        <v>1.2455000000000001</v>
      </c>
      <c r="I221">
        <v>1.1006800000000001</v>
      </c>
      <c r="J221">
        <v>1.2789999999999999</v>
      </c>
      <c r="K221">
        <v>1.38005</v>
      </c>
      <c r="L221">
        <v>1.353</v>
      </c>
      <c r="M221">
        <v>1.2675000000000001</v>
      </c>
      <c r="N221">
        <v>1.377</v>
      </c>
      <c r="O221">
        <v>1.0296500000000002</v>
      </c>
      <c r="P221">
        <v>1.2989999999999999</v>
      </c>
      <c r="Q221">
        <v>1.4482899999999999</v>
      </c>
      <c r="R221">
        <v>1.4630000000000001</v>
      </c>
      <c r="S221">
        <v>1.11731</v>
      </c>
      <c r="T221">
        <v>1.2834300000000001</v>
      </c>
      <c r="U221">
        <v>1.3938699999999999</v>
      </c>
    </row>
    <row r="222" spans="1:21">
      <c r="A222" s="91">
        <v>42016</v>
      </c>
      <c r="B222" s="86">
        <v>42016</v>
      </c>
      <c r="C222" s="93">
        <v>1.2835322808368599</v>
      </c>
      <c r="D222" s="85" t="s">
        <v>1251</v>
      </c>
      <c r="F222" s="91">
        <v>42016</v>
      </c>
      <c r="G222">
        <v>1.1279999999999999</v>
      </c>
      <c r="H222">
        <v>1.2926</v>
      </c>
      <c r="I222">
        <v>1.1098699999999999</v>
      </c>
      <c r="J222">
        <v>1.296</v>
      </c>
      <c r="K222">
        <v>1.3845799999999999</v>
      </c>
      <c r="L222">
        <v>1.3680000000000001</v>
      </c>
      <c r="M222">
        <v>1.2827</v>
      </c>
      <c r="N222">
        <v>1.3979999999999999</v>
      </c>
      <c r="O222">
        <v>1.05532</v>
      </c>
      <c r="P222">
        <v>1.2989999999999999</v>
      </c>
      <c r="Q222">
        <v>1.47282</v>
      </c>
      <c r="R222">
        <v>1.4790000000000001</v>
      </c>
      <c r="S222">
        <v>1.13205</v>
      </c>
      <c r="T222">
        <v>1.27597</v>
      </c>
      <c r="U222">
        <v>1.39733</v>
      </c>
    </row>
    <row r="223" spans="1:21" ht="15.75" thickBot="1">
      <c r="A223" s="92">
        <v>42009</v>
      </c>
      <c r="B223" s="86">
        <v>42009</v>
      </c>
      <c r="C223" s="93">
        <v>1.2776287210936499</v>
      </c>
      <c r="D223" s="85" t="s">
        <v>1252</v>
      </c>
      <c r="F223" s="92">
        <v>42009</v>
      </c>
      <c r="G223">
        <v>1.167</v>
      </c>
      <c r="H223">
        <v>1.3833</v>
      </c>
      <c r="I223">
        <v>1.16303</v>
      </c>
      <c r="J223">
        <v>1.3280000000000001</v>
      </c>
      <c r="K223">
        <v>1.39229</v>
      </c>
      <c r="L223">
        <v>1.387</v>
      </c>
      <c r="M223">
        <v>1.288</v>
      </c>
      <c r="N223">
        <v>1.4259999999999999</v>
      </c>
      <c r="O223">
        <v>1.0733599999999999</v>
      </c>
      <c r="P223">
        <v>1.2989999999999999</v>
      </c>
      <c r="Q223">
        <v>1.5057499999999999</v>
      </c>
      <c r="R223">
        <v>1.5009999999999999</v>
      </c>
      <c r="S223">
        <v>1.15096</v>
      </c>
      <c r="T223">
        <v>1.3146900000000001</v>
      </c>
      <c r="U223">
        <v>1.4189700000000001</v>
      </c>
    </row>
    <row r="224" spans="1:21">
      <c r="A224" s="91">
        <v>41988</v>
      </c>
      <c r="B224" s="86">
        <v>41988</v>
      </c>
      <c r="C224" s="93">
        <v>1.2600806451612898</v>
      </c>
      <c r="D224" s="85" t="s">
        <v>1253</v>
      </c>
      <c r="F224" s="91">
        <v>41988</v>
      </c>
      <c r="G224">
        <v>1.1910000000000001</v>
      </c>
      <c r="H224">
        <v>1.3833</v>
      </c>
      <c r="I224">
        <v>1.2328699999999999</v>
      </c>
      <c r="J224">
        <v>1.359</v>
      </c>
      <c r="K224">
        <v>1.4358900000000001</v>
      </c>
      <c r="L224">
        <v>1.4490000000000001</v>
      </c>
      <c r="M224">
        <v>1.3388</v>
      </c>
      <c r="N224">
        <v>1.4890000000000001</v>
      </c>
      <c r="O224">
        <v>1.15184</v>
      </c>
      <c r="P224">
        <v>1.399</v>
      </c>
      <c r="Q224">
        <v>1.5658599999999998</v>
      </c>
      <c r="R224">
        <v>1.5572600000000001</v>
      </c>
      <c r="S224">
        <v>1.21759</v>
      </c>
      <c r="T224">
        <v>1.3352299999999999</v>
      </c>
      <c r="U224">
        <v>1.46549</v>
      </c>
    </row>
    <row r="225" spans="1:21">
      <c r="A225" s="91">
        <v>41981</v>
      </c>
      <c r="B225" s="86">
        <v>41981</v>
      </c>
      <c r="C225" s="93">
        <v>1.2746972594008901</v>
      </c>
      <c r="D225" s="85" t="s">
        <v>1254</v>
      </c>
      <c r="F225" s="91">
        <v>41981</v>
      </c>
      <c r="G225">
        <v>1.2210000000000001</v>
      </c>
      <c r="H225">
        <v>1.3833</v>
      </c>
      <c r="I225">
        <v>1.26102</v>
      </c>
      <c r="J225">
        <v>1.3979999999999999</v>
      </c>
      <c r="K225">
        <v>1.4757899999999999</v>
      </c>
      <c r="L225">
        <v>1.484</v>
      </c>
      <c r="M225">
        <v>1.3733</v>
      </c>
      <c r="N225">
        <v>1.524</v>
      </c>
      <c r="O225">
        <v>1.19834</v>
      </c>
      <c r="P225">
        <v>1.399</v>
      </c>
      <c r="Q225">
        <v>1.5955999999999999</v>
      </c>
      <c r="R225">
        <v>1.59</v>
      </c>
      <c r="S225">
        <v>1.2537199999999999</v>
      </c>
      <c r="T225">
        <v>1.3823599999999998</v>
      </c>
      <c r="U225">
        <v>1.5275099999999999</v>
      </c>
    </row>
    <row r="226" spans="1:21">
      <c r="A226" s="91">
        <v>41974</v>
      </c>
      <c r="B226" s="86">
        <v>41974</v>
      </c>
      <c r="C226" s="93">
        <v>1.2615112905260502</v>
      </c>
      <c r="D226" s="85" t="s">
        <v>1255</v>
      </c>
      <c r="F226" s="91">
        <v>41974</v>
      </c>
      <c r="G226">
        <v>1.276</v>
      </c>
      <c r="H226">
        <v>1.3765999999999998</v>
      </c>
      <c r="I226">
        <v>1.2750299999999999</v>
      </c>
      <c r="J226">
        <v>1.444</v>
      </c>
      <c r="K226">
        <v>1.5026700000000002</v>
      </c>
      <c r="L226">
        <v>1.504</v>
      </c>
      <c r="M226">
        <v>1.4067000000000001</v>
      </c>
      <c r="N226">
        <v>1.552</v>
      </c>
      <c r="O226">
        <v>1.22973</v>
      </c>
      <c r="P226">
        <v>1.4590000000000001</v>
      </c>
      <c r="Q226">
        <v>1.62375</v>
      </c>
      <c r="R226">
        <v>1.6160000000000001</v>
      </c>
      <c r="S226">
        <v>1.2937799999999999</v>
      </c>
      <c r="T226">
        <v>1.43299</v>
      </c>
      <c r="U226">
        <v>1.52867</v>
      </c>
    </row>
    <row r="227" spans="1:21">
      <c r="A227" s="91">
        <v>41967</v>
      </c>
      <c r="B227" s="86">
        <v>41967</v>
      </c>
      <c r="C227" s="93">
        <v>1.2632642748863099</v>
      </c>
      <c r="D227" s="85" t="s">
        <v>1256</v>
      </c>
      <c r="F227" s="91">
        <v>41967</v>
      </c>
      <c r="G227">
        <v>1.294</v>
      </c>
      <c r="H227">
        <v>1.4309000000000001</v>
      </c>
      <c r="I227">
        <v>1.2883800000000001</v>
      </c>
      <c r="J227">
        <v>1.4710000000000001</v>
      </c>
      <c r="K227">
        <v>1.5564500000000001</v>
      </c>
      <c r="L227">
        <v>1.5149999999999999</v>
      </c>
      <c r="M227">
        <v>1.4142000000000001</v>
      </c>
      <c r="N227">
        <v>1.5620000000000001</v>
      </c>
      <c r="O227">
        <v>1.2458099999999999</v>
      </c>
      <c r="P227">
        <v>1.4590000000000001</v>
      </c>
      <c r="Q227">
        <v>1.63472</v>
      </c>
      <c r="R227">
        <v>1.631</v>
      </c>
      <c r="S227">
        <v>1.3081500000000001</v>
      </c>
      <c r="T227">
        <v>1.4572100000000001</v>
      </c>
      <c r="U227">
        <v>1.54491</v>
      </c>
    </row>
    <row r="228" spans="1:21">
      <c r="A228" s="91">
        <v>41960</v>
      </c>
      <c r="B228" s="86">
        <v>41960</v>
      </c>
      <c r="C228" s="93">
        <v>1.2517211165352398</v>
      </c>
      <c r="D228" s="85" t="s">
        <v>1257</v>
      </c>
      <c r="F228" s="91">
        <v>41960</v>
      </c>
      <c r="G228">
        <v>1.3120000000000001</v>
      </c>
      <c r="H228">
        <v>1.4490999999999998</v>
      </c>
      <c r="I228">
        <v>1.29891</v>
      </c>
      <c r="J228">
        <v>1.478</v>
      </c>
      <c r="K228">
        <v>1.56918</v>
      </c>
      <c r="L228">
        <v>1.5189999999999999</v>
      </c>
      <c r="M228">
        <v>1.429</v>
      </c>
      <c r="N228">
        <v>1.583</v>
      </c>
      <c r="O228">
        <v>1.2696099999999999</v>
      </c>
      <c r="P228">
        <v>1.4690000000000001</v>
      </c>
      <c r="Q228">
        <v>1.6478499999999998</v>
      </c>
      <c r="R228">
        <v>1.6359999999999999</v>
      </c>
      <c r="S228">
        <v>1.32847</v>
      </c>
      <c r="T228">
        <v>1.46719</v>
      </c>
      <c r="U228">
        <v>1.5333699999999999</v>
      </c>
    </row>
    <row r="229" spans="1:21">
      <c r="A229" s="91">
        <v>41953</v>
      </c>
      <c r="B229" s="86">
        <v>41953</v>
      </c>
      <c r="C229" s="93">
        <v>1.27356087620988</v>
      </c>
      <c r="D229" s="85" t="s">
        <v>1258</v>
      </c>
      <c r="F229" s="91">
        <v>41953</v>
      </c>
      <c r="G229">
        <v>1.3109999999999999</v>
      </c>
      <c r="H229">
        <v>1.4510999999999998</v>
      </c>
      <c r="I229">
        <v>1.3043699999999998</v>
      </c>
      <c r="J229">
        <v>1.4930000000000001</v>
      </c>
      <c r="K229">
        <v>1.5728599999999999</v>
      </c>
      <c r="L229">
        <v>1.548</v>
      </c>
      <c r="M229">
        <v>1.4267000000000001</v>
      </c>
      <c r="N229">
        <v>1.587</v>
      </c>
      <c r="O229">
        <v>1.2657</v>
      </c>
      <c r="P229">
        <v>1.4990000000000001</v>
      </c>
      <c r="Q229">
        <v>1.6573099999999998</v>
      </c>
      <c r="R229">
        <v>1.6359999999999999</v>
      </c>
      <c r="S229">
        <v>1.33131</v>
      </c>
      <c r="T229">
        <v>1.4840199999999999</v>
      </c>
      <c r="U229">
        <v>1.56575</v>
      </c>
    </row>
    <row r="230" spans="1:21">
      <c r="A230" s="91">
        <v>41946</v>
      </c>
      <c r="B230" s="86">
        <v>41946</v>
      </c>
      <c r="C230" s="93">
        <v>1.2806556957162099</v>
      </c>
      <c r="D230" s="85" t="s">
        <v>1259</v>
      </c>
      <c r="F230" s="91">
        <v>41946</v>
      </c>
      <c r="G230">
        <v>1.32</v>
      </c>
      <c r="H230">
        <v>1.4510999999999998</v>
      </c>
      <c r="I230">
        <v>1.3045199999999999</v>
      </c>
      <c r="J230">
        <v>1.4950000000000001</v>
      </c>
      <c r="K230">
        <v>1.58246</v>
      </c>
      <c r="L230">
        <v>1.5569999999999999</v>
      </c>
      <c r="M230">
        <v>1.4244000000000001</v>
      </c>
      <c r="N230">
        <v>1.59</v>
      </c>
      <c r="O230">
        <v>1.24973</v>
      </c>
      <c r="P230">
        <v>1.4990000000000001</v>
      </c>
      <c r="Q230">
        <v>1.6659200000000001</v>
      </c>
      <c r="R230">
        <v>1.637</v>
      </c>
      <c r="S230">
        <v>1.3317999999999999</v>
      </c>
      <c r="T230">
        <v>1.5074799999999999</v>
      </c>
      <c r="U230">
        <v>1.5872299999999999</v>
      </c>
    </row>
    <row r="231" spans="1:21">
      <c r="A231" s="91">
        <v>41939</v>
      </c>
      <c r="B231" s="86">
        <v>41939</v>
      </c>
      <c r="C231" s="93">
        <v>1.27048659636641</v>
      </c>
      <c r="D231" s="85" t="s">
        <v>1260</v>
      </c>
      <c r="F231" s="91">
        <v>41939</v>
      </c>
      <c r="G231">
        <v>1.319</v>
      </c>
      <c r="H231">
        <v>1.4233800000000001</v>
      </c>
      <c r="I231">
        <v>1.3143800000000001</v>
      </c>
      <c r="J231">
        <v>1.494</v>
      </c>
      <c r="K231">
        <v>1.5716300000000001</v>
      </c>
      <c r="L231">
        <v>1.5780000000000001</v>
      </c>
      <c r="M231">
        <v>1.43</v>
      </c>
      <c r="N231">
        <v>1.595</v>
      </c>
      <c r="O231">
        <v>1.2598</v>
      </c>
      <c r="P231">
        <v>1.4990000000000001</v>
      </c>
      <c r="Q231">
        <v>1.6809799999999999</v>
      </c>
      <c r="R231">
        <v>1.643</v>
      </c>
      <c r="S231">
        <v>1.3285799999999999</v>
      </c>
      <c r="T231">
        <v>1.4761</v>
      </c>
      <c r="U231">
        <v>1.5895599999999999</v>
      </c>
    </row>
    <row r="232" spans="1:21">
      <c r="A232" s="91">
        <v>41932</v>
      </c>
      <c r="B232" s="86">
        <v>41932</v>
      </c>
      <c r="C232" s="93">
        <v>1.2635835228708598</v>
      </c>
      <c r="D232" s="85" t="s">
        <v>1261</v>
      </c>
      <c r="F232" s="91">
        <v>41932</v>
      </c>
      <c r="G232">
        <v>1.3440000000000001</v>
      </c>
      <c r="H232">
        <v>1.5072000000000001</v>
      </c>
      <c r="I232">
        <v>1.3308199999999999</v>
      </c>
      <c r="J232">
        <v>1.4670000000000001</v>
      </c>
      <c r="K232">
        <v>1.5576700000000001</v>
      </c>
      <c r="L232">
        <v>1.583</v>
      </c>
      <c r="M232">
        <v>1.4596</v>
      </c>
      <c r="N232">
        <v>1.6220000000000001</v>
      </c>
      <c r="O232">
        <v>1.29725</v>
      </c>
      <c r="P232">
        <v>1.4990000000000001</v>
      </c>
      <c r="Q232">
        <v>1.69797</v>
      </c>
      <c r="R232">
        <v>1.661</v>
      </c>
      <c r="S232">
        <v>1.35236</v>
      </c>
      <c r="T232">
        <v>1.4748399999999999</v>
      </c>
      <c r="U232">
        <v>1.58457</v>
      </c>
    </row>
    <row r="233" spans="1:21">
      <c r="A233" s="91">
        <v>41925</v>
      </c>
      <c r="B233" s="86">
        <v>41925</v>
      </c>
      <c r="C233" s="93">
        <v>1.2690355329949199</v>
      </c>
      <c r="D233" s="85" t="s">
        <v>1262</v>
      </c>
      <c r="F233" s="91">
        <v>41925</v>
      </c>
      <c r="G233">
        <v>1.373</v>
      </c>
      <c r="H233">
        <v>1.5604</v>
      </c>
      <c r="I233">
        <v>1.3355599999999999</v>
      </c>
      <c r="J233">
        <v>1.546</v>
      </c>
      <c r="K233">
        <v>1.62818</v>
      </c>
      <c r="L233">
        <v>1.6020000000000001</v>
      </c>
      <c r="M233">
        <v>1.4887000000000001</v>
      </c>
      <c r="N233">
        <v>1.6579999999999999</v>
      </c>
      <c r="O233">
        <v>1.3563800000000001</v>
      </c>
      <c r="P233">
        <v>1.5389999999999999</v>
      </c>
      <c r="Q233">
        <v>1.7176500000000001</v>
      </c>
      <c r="R233">
        <v>1.704</v>
      </c>
      <c r="S233">
        <v>1.39242</v>
      </c>
      <c r="T233">
        <v>1.5711900000000001</v>
      </c>
      <c r="U233">
        <v>1.6053199999999999</v>
      </c>
    </row>
    <row r="234" spans="1:21">
      <c r="A234" s="91">
        <v>41918</v>
      </c>
      <c r="B234" s="86">
        <v>41918</v>
      </c>
      <c r="C234" s="93">
        <v>1.2726694241170899</v>
      </c>
      <c r="D234" s="85" t="s">
        <v>1263</v>
      </c>
      <c r="F234" s="91">
        <v>41918</v>
      </c>
      <c r="G234">
        <v>1.383</v>
      </c>
      <c r="H234">
        <v>1.4970999999999999</v>
      </c>
      <c r="I234">
        <v>1.3399400000000001</v>
      </c>
      <c r="J234">
        <v>1.5620000000000001</v>
      </c>
      <c r="K234">
        <v>1.6550499999999999</v>
      </c>
      <c r="L234">
        <v>1.61</v>
      </c>
      <c r="M234">
        <v>1.4917</v>
      </c>
      <c r="N234">
        <v>1.6579999999999999</v>
      </c>
      <c r="O234">
        <v>1.3441700000000001</v>
      </c>
      <c r="P234">
        <v>1.573</v>
      </c>
      <c r="Q234">
        <v>1.7226400000000002</v>
      </c>
      <c r="R234">
        <v>1.724</v>
      </c>
      <c r="S234">
        <v>1.40507</v>
      </c>
      <c r="T234">
        <v>1.58792</v>
      </c>
      <c r="U234">
        <v>1.61355</v>
      </c>
    </row>
    <row r="235" spans="1:21">
      <c r="A235" s="91">
        <v>41911</v>
      </c>
      <c r="B235" s="86">
        <v>41911</v>
      </c>
      <c r="C235" s="93">
        <v>1.2776287210936499</v>
      </c>
      <c r="D235" s="85" t="s">
        <v>1264</v>
      </c>
      <c r="F235" s="91">
        <v>41911</v>
      </c>
      <c r="G235">
        <v>1.379</v>
      </c>
      <c r="H235">
        <v>1.5369999999999999</v>
      </c>
      <c r="I235">
        <v>1.3377999999999999</v>
      </c>
      <c r="J235">
        <v>1.5660000000000001</v>
      </c>
      <c r="K235">
        <v>1.66326</v>
      </c>
      <c r="L235">
        <v>1.623</v>
      </c>
      <c r="M235">
        <v>1.4895</v>
      </c>
      <c r="N235">
        <v>1.66</v>
      </c>
      <c r="O235">
        <v>1.32765</v>
      </c>
      <c r="P235">
        <v>1.573</v>
      </c>
      <c r="Q235">
        <v>1.72417</v>
      </c>
      <c r="R235">
        <v>1.7190000000000001</v>
      </c>
      <c r="S235">
        <v>1.40194</v>
      </c>
      <c r="T235">
        <v>1.56643</v>
      </c>
      <c r="U235">
        <v>1.6429400000000001</v>
      </c>
    </row>
    <row r="236" spans="1:21">
      <c r="A236" s="91">
        <v>41904</v>
      </c>
      <c r="B236" s="86">
        <v>41904</v>
      </c>
      <c r="C236" s="93">
        <v>1.2712941774726698</v>
      </c>
      <c r="D236" s="85" t="s">
        <v>1265</v>
      </c>
      <c r="F236" s="91">
        <v>41904</v>
      </c>
      <c r="G236">
        <v>1.3819999999999999</v>
      </c>
      <c r="H236">
        <v>1.5708</v>
      </c>
      <c r="I236">
        <v>1.3391099999999998</v>
      </c>
      <c r="J236">
        <v>1.5649999999999999</v>
      </c>
      <c r="K236">
        <v>1.65509</v>
      </c>
      <c r="L236">
        <v>1.62</v>
      </c>
      <c r="M236">
        <v>1.4955000000000001</v>
      </c>
      <c r="N236">
        <v>1.6639999999999999</v>
      </c>
      <c r="O236">
        <v>1.34741</v>
      </c>
      <c r="P236">
        <v>1.573</v>
      </c>
      <c r="Q236">
        <v>1.7300499999999999</v>
      </c>
      <c r="R236">
        <v>1.7270000000000001</v>
      </c>
      <c r="S236">
        <v>1.4058900000000001</v>
      </c>
      <c r="T236">
        <v>1.5825100000000001</v>
      </c>
      <c r="U236">
        <v>1.6351</v>
      </c>
    </row>
    <row r="237" spans="1:21">
      <c r="A237" s="91">
        <v>41897</v>
      </c>
      <c r="B237" s="86">
        <v>41897</v>
      </c>
      <c r="C237" s="93">
        <v>1.2579407509906297</v>
      </c>
      <c r="D237" s="85" t="s">
        <v>1266</v>
      </c>
      <c r="F237" s="91">
        <v>41897</v>
      </c>
      <c r="G237">
        <v>1.3859999999999999</v>
      </c>
      <c r="H237">
        <v>1.6171</v>
      </c>
      <c r="I237">
        <v>1.3373599999999999</v>
      </c>
      <c r="J237">
        <v>1.571</v>
      </c>
      <c r="K237">
        <v>1.6657299999999999</v>
      </c>
      <c r="L237">
        <v>1.62</v>
      </c>
      <c r="M237">
        <v>1.5</v>
      </c>
      <c r="N237">
        <v>1.67</v>
      </c>
      <c r="O237">
        <v>1.34274</v>
      </c>
      <c r="P237">
        <v>1.573</v>
      </c>
      <c r="Q237">
        <v>1.7349000000000001</v>
      </c>
      <c r="R237">
        <v>1.7350000000000001</v>
      </c>
      <c r="S237">
        <v>1.41568</v>
      </c>
      <c r="T237">
        <v>1.5774000000000001</v>
      </c>
      <c r="U237">
        <v>1.61561</v>
      </c>
    </row>
    <row r="238" spans="1:21">
      <c r="A238" s="91">
        <v>41890</v>
      </c>
      <c r="B238" s="86">
        <v>41890</v>
      </c>
      <c r="C238" s="93">
        <v>1.2463388795413499</v>
      </c>
      <c r="D238" s="85" t="s">
        <v>1267</v>
      </c>
      <c r="F238" s="91">
        <v>41890</v>
      </c>
      <c r="G238">
        <v>1.391</v>
      </c>
      <c r="H238">
        <v>1.5549999999999999</v>
      </c>
      <c r="I238">
        <v>1.33412</v>
      </c>
      <c r="J238">
        <v>1.58</v>
      </c>
      <c r="K238">
        <v>1.6922699999999999</v>
      </c>
      <c r="L238">
        <v>1.62</v>
      </c>
      <c r="M238">
        <v>1.4807999999999999</v>
      </c>
      <c r="N238">
        <v>1.669</v>
      </c>
      <c r="O238">
        <v>1.3331900000000001</v>
      </c>
      <c r="P238">
        <v>1.5469999999999999</v>
      </c>
      <c r="Q238">
        <v>1.7369300000000001</v>
      </c>
      <c r="R238">
        <v>1.7350000000000001</v>
      </c>
      <c r="S238">
        <v>1.41656</v>
      </c>
      <c r="T238">
        <v>1.59857</v>
      </c>
      <c r="U238">
        <v>1.5995899999999998</v>
      </c>
    </row>
    <row r="239" spans="1:21">
      <c r="A239" s="91">
        <v>41883</v>
      </c>
      <c r="B239" s="86">
        <v>41883</v>
      </c>
      <c r="C239" s="93">
        <v>1.26542233470421</v>
      </c>
      <c r="D239" s="85" t="s">
        <v>1268</v>
      </c>
      <c r="F239" s="91">
        <v>41883</v>
      </c>
      <c r="G239">
        <v>1.3620000000000001</v>
      </c>
      <c r="H239">
        <v>1.5926</v>
      </c>
      <c r="I239">
        <v>1.3292999999999999</v>
      </c>
      <c r="J239">
        <v>1.58</v>
      </c>
      <c r="K239">
        <v>1.6672499999999999</v>
      </c>
      <c r="L239">
        <v>1.62</v>
      </c>
      <c r="M239">
        <v>1.4992999999999999</v>
      </c>
      <c r="N239">
        <v>1.6679999999999999</v>
      </c>
      <c r="O239">
        <v>1.3255599999999998</v>
      </c>
      <c r="P239">
        <v>1.5469999999999999</v>
      </c>
      <c r="Q239">
        <v>1.7393099999999999</v>
      </c>
      <c r="R239">
        <v>1.7210000000000001</v>
      </c>
      <c r="S239">
        <v>1.4130100000000001</v>
      </c>
      <c r="T239">
        <v>1.5844</v>
      </c>
      <c r="U239">
        <v>1.61985</v>
      </c>
    </row>
    <row r="240" spans="1:21">
      <c r="A240" s="91">
        <v>41876</v>
      </c>
      <c r="B240" s="86">
        <v>41876</v>
      </c>
      <c r="C240" s="93">
        <v>1.25680244322395</v>
      </c>
      <c r="D240" s="85" t="s">
        <v>1269</v>
      </c>
      <c r="F240" s="91">
        <v>41876</v>
      </c>
      <c r="G240">
        <v>1.3460000000000001</v>
      </c>
      <c r="H240">
        <v>1.5446</v>
      </c>
      <c r="I240">
        <v>1.32267</v>
      </c>
      <c r="J240">
        <v>1.5569999999999999</v>
      </c>
      <c r="K240">
        <v>1.66595</v>
      </c>
      <c r="L240">
        <v>1.6379999999999999</v>
      </c>
      <c r="M240">
        <v>1.4947000000000001</v>
      </c>
      <c r="N240">
        <v>1.6719999999999999</v>
      </c>
      <c r="O240">
        <v>1.3186600000000002</v>
      </c>
      <c r="P240">
        <v>1.57012</v>
      </c>
      <c r="Q240">
        <v>1.74116</v>
      </c>
      <c r="R240">
        <v>1.7150000000000001</v>
      </c>
      <c r="S240">
        <v>1.4068900000000002</v>
      </c>
      <c r="T240">
        <v>1.5809600000000001</v>
      </c>
      <c r="U240">
        <v>1.6130100000000001</v>
      </c>
    </row>
    <row r="241" spans="1:21">
      <c r="A241" s="91">
        <v>41869</v>
      </c>
      <c r="B241" s="86">
        <v>41869</v>
      </c>
      <c r="C241" s="93">
        <v>1.2496875781054699</v>
      </c>
      <c r="D241" s="85" t="s">
        <v>1270</v>
      </c>
      <c r="F241" s="91">
        <v>41869</v>
      </c>
      <c r="G241">
        <v>1.34</v>
      </c>
      <c r="H241">
        <v>1.5572999999999999</v>
      </c>
      <c r="I241">
        <v>1.3212200000000001</v>
      </c>
      <c r="J241">
        <v>1.5649999999999999</v>
      </c>
      <c r="K241">
        <v>1.66052</v>
      </c>
      <c r="L241">
        <v>1.643</v>
      </c>
      <c r="M241">
        <v>1.4990299999999999</v>
      </c>
      <c r="N241">
        <v>1.679</v>
      </c>
      <c r="O241">
        <v>1.3257699999999999</v>
      </c>
      <c r="P241">
        <v>1.57012</v>
      </c>
      <c r="Q241">
        <v>1.7487200000000001</v>
      </c>
      <c r="R241">
        <v>1.7110000000000001</v>
      </c>
      <c r="S241">
        <v>1.4143599999999998</v>
      </c>
      <c r="T241">
        <v>1.57847</v>
      </c>
      <c r="U241">
        <v>1.61575</v>
      </c>
    </row>
    <row r="242" spans="1:21">
      <c r="A242" s="91">
        <v>41862</v>
      </c>
      <c r="B242" s="86">
        <v>41862</v>
      </c>
      <c r="C242" s="93">
        <v>1.2537612838515499</v>
      </c>
      <c r="D242" s="85" t="s">
        <v>1271</v>
      </c>
      <c r="F242" s="91">
        <v>41862</v>
      </c>
      <c r="G242">
        <v>1.365</v>
      </c>
      <c r="H242">
        <v>1.5545</v>
      </c>
      <c r="I242">
        <v>1.3222400000000001</v>
      </c>
      <c r="J242">
        <v>1.5780000000000001</v>
      </c>
      <c r="K242">
        <v>1.6658599999999999</v>
      </c>
      <c r="L242">
        <v>1.645</v>
      </c>
      <c r="M242">
        <v>1.5029699999999999</v>
      </c>
      <c r="N242">
        <v>1.6850000000000001</v>
      </c>
      <c r="O242">
        <v>1.3369599999999999</v>
      </c>
      <c r="P242">
        <v>1.57012</v>
      </c>
      <c r="Q242">
        <v>1.75142</v>
      </c>
      <c r="R242">
        <v>1.712</v>
      </c>
      <c r="S242">
        <v>1.4102699999999999</v>
      </c>
      <c r="T242">
        <v>1.58406</v>
      </c>
      <c r="U242">
        <v>1.6225399999999999</v>
      </c>
    </row>
    <row r="243" spans="1:21">
      <c r="A243" s="91">
        <v>41855</v>
      </c>
      <c r="B243" s="86">
        <v>41855</v>
      </c>
      <c r="C243" s="93">
        <v>1.25439036628199</v>
      </c>
      <c r="D243" s="85" t="s">
        <v>1272</v>
      </c>
      <c r="F243" s="91">
        <v>41855</v>
      </c>
      <c r="G243">
        <v>1.381</v>
      </c>
      <c r="H243">
        <v>1.5459000000000001</v>
      </c>
      <c r="I243">
        <v>1.3341700000000001</v>
      </c>
      <c r="J243">
        <v>1.5840000000000001</v>
      </c>
      <c r="K243">
        <v>1.6779300000000001</v>
      </c>
      <c r="L243">
        <v>1.65</v>
      </c>
      <c r="M243">
        <v>1.4989100000000002</v>
      </c>
      <c r="N243">
        <v>1.694</v>
      </c>
      <c r="O243">
        <v>1.33385</v>
      </c>
      <c r="P243">
        <v>1.57012</v>
      </c>
      <c r="Q243">
        <v>1.75525</v>
      </c>
      <c r="R243">
        <v>1.7270000000000001</v>
      </c>
      <c r="S243">
        <v>1.4054800000000001</v>
      </c>
      <c r="T243">
        <v>1.5788199999999999</v>
      </c>
      <c r="U243">
        <v>1.62602</v>
      </c>
    </row>
    <row r="244" spans="1:21">
      <c r="A244" s="91">
        <v>41848</v>
      </c>
      <c r="B244" s="86">
        <v>41848</v>
      </c>
      <c r="C244" s="93">
        <v>1.2649421288975999</v>
      </c>
      <c r="D244" s="85" t="s">
        <v>1273</v>
      </c>
      <c r="F244" s="91">
        <v>41848</v>
      </c>
      <c r="G244">
        <v>1.381</v>
      </c>
      <c r="H244">
        <v>1.5167999999999999</v>
      </c>
      <c r="I244">
        <v>1.34409</v>
      </c>
      <c r="J244">
        <v>1.593</v>
      </c>
      <c r="K244">
        <v>1.67639</v>
      </c>
      <c r="L244">
        <v>1.6479999999999999</v>
      </c>
      <c r="M244">
        <v>1.5219400000000001</v>
      </c>
      <c r="N244">
        <v>1.698</v>
      </c>
      <c r="O244">
        <v>1.36277</v>
      </c>
      <c r="P244">
        <v>1.57012</v>
      </c>
      <c r="Q244">
        <v>1.7579500000000001</v>
      </c>
      <c r="R244">
        <v>1.7310000000000001</v>
      </c>
      <c r="S244">
        <v>1.4242999999999999</v>
      </c>
      <c r="T244">
        <v>1.59676</v>
      </c>
      <c r="U244">
        <v>1.6549200000000002</v>
      </c>
    </row>
    <row r="245" spans="1:21">
      <c r="A245" s="91">
        <v>41841</v>
      </c>
      <c r="B245" s="86">
        <v>41841</v>
      </c>
      <c r="C245" s="93">
        <v>1.2634238787113099</v>
      </c>
      <c r="D245" s="85" t="s">
        <v>1274</v>
      </c>
      <c r="F245" s="91">
        <v>41841</v>
      </c>
      <c r="G245">
        <v>1.387</v>
      </c>
      <c r="H245">
        <v>1.6042000000000001</v>
      </c>
      <c r="I245">
        <v>1.3463699999999998</v>
      </c>
      <c r="J245">
        <v>1.589</v>
      </c>
      <c r="K245">
        <v>1.67903</v>
      </c>
      <c r="L245">
        <v>1.6659999999999999</v>
      </c>
      <c r="M245">
        <v>1.53135</v>
      </c>
      <c r="N245">
        <v>1.7050000000000001</v>
      </c>
      <c r="O245">
        <v>1.3660300000000001</v>
      </c>
      <c r="P245">
        <v>1.57012</v>
      </c>
      <c r="Q245">
        <v>1.75878</v>
      </c>
      <c r="R245">
        <v>1.7390000000000001</v>
      </c>
      <c r="S245">
        <v>1.4370699999999998</v>
      </c>
      <c r="T245">
        <v>1.5783199999999999</v>
      </c>
      <c r="U245">
        <v>1.6556500000000001</v>
      </c>
    </row>
    <row r="246" spans="1:21">
      <c r="A246" s="91">
        <v>41834</v>
      </c>
      <c r="B246" s="86">
        <v>41834</v>
      </c>
      <c r="C246" s="93">
        <v>1.2553351744915899</v>
      </c>
      <c r="D246" s="85" t="s">
        <v>1275</v>
      </c>
      <c r="F246" s="91">
        <v>41834</v>
      </c>
      <c r="G246">
        <v>1.387</v>
      </c>
      <c r="H246">
        <v>1.6042000000000001</v>
      </c>
      <c r="I246">
        <v>1.3479400000000001</v>
      </c>
      <c r="J246">
        <v>1.603</v>
      </c>
      <c r="K246">
        <v>1.70851</v>
      </c>
      <c r="L246">
        <v>1.655</v>
      </c>
      <c r="M246">
        <v>1.5266</v>
      </c>
      <c r="N246">
        <v>1.7110000000000001</v>
      </c>
      <c r="O246">
        <v>1.3814200000000001</v>
      </c>
      <c r="P246">
        <v>1.57012</v>
      </c>
      <c r="Q246">
        <v>1.76322</v>
      </c>
      <c r="R246">
        <v>1.762</v>
      </c>
      <c r="S246">
        <v>1.4441400000000002</v>
      </c>
      <c r="T246">
        <v>1.6180399999999999</v>
      </c>
      <c r="U246">
        <v>1.64588</v>
      </c>
    </row>
    <row r="247" spans="1:21">
      <c r="A247" s="91">
        <v>41827</v>
      </c>
      <c r="B247" s="86">
        <v>41827</v>
      </c>
      <c r="C247" s="93">
        <v>1.25968381936134</v>
      </c>
      <c r="D247" s="85" t="s">
        <v>1276</v>
      </c>
      <c r="F247" s="91">
        <v>41827</v>
      </c>
      <c r="G247">
        <v>1.393</v>
      </c>
      <c r="H247">
        <v>1.6092</v>
      </c>
      <c r="I247">
        <v>1.34836</v>
      </c>
      <c r="J247">
        <v>1.6080000000000001</v>
      </c>
      <c r="K247">
        <v>1.7193699999999998</v>
      </c>
      <c r="L247">
        <v>1.6579999999999999</v>
      </c>
      <c r="M247">
        <v>1.5437000000000001</v>
      </c>
      <c r="N247">
        <v>1.714</v>
      </c>
      <c r="O247">
        <v>1.3776400000000002</v>
      </c>
      <c r="P247">
        <v>1.5449000000000002</v>
      </c>
      <c r="Q247">
        <v>1.7624000000000002</v>
      </c>
      <c r="R247">
        <v>1.7669999999999999</v>
      </c>
      <c r="S247">
        <v>1.4523499999999998</v>
      </c>
      <c r="T247">
        <v>1.60734</v>
      </c>
      <c r="U247">
        <v>1.6514500000000001</v>
      </c>
    </row>
    <row r="248" spans="1:21">
      <c r="A248" s="91">
        <v>41820</v>
      </c>
      <c r="B248" s="86">
        <v>41820</v>
      </c>
      <c r="C248" s="93">
        <v>1.24766063630692</v>
      </c>
      <c r="D248" s="85" t="s">
        <v>1277</v>
      </c>
      <c r="F248" s="91">
        <v>41820</v>
      </c>
      <c r="G248">
        <v>1.399</v>
      </c>
      <c r="H248">
        <v>1.6431</v>
      </c>
      <c r="I248">
        <v>1.34674</v>
      </c>
      <c r="J248">
        <v>1.599</v>
      </c>
      <c r="K248">
        <v>1.71949</v>
      </c>
      <c r="L248">
        <v>1.649</v>
      </c>
      <c r="M248">
        <v>1.5489000000000002</v>
      </c>
      <c r="N248">
        <v>1.7110000000000001</v>
      </c>
      <c r="O248">
        <v>1.3828099999999999</v>
      </c>
      <c r="P248">
        <v>1.5449000000000002</v>
      </c>
      <c r="Q248">
        <v>1.7593399999999999</v>
      </c>
      <c r="R248">
        <v>1.7769999999999999</v>
      </c>
      <c r="S248">
        <v>1.4567999999999999</v>
      </c>
      <c r="T248">
        <v>1.6416400000000002</v>
      </c>
      <c r="U248">
        <v>1.63053</v>
      </c>
    </row>
    <row r="249" spans="1:21">
      <c r="A249" s="91">
        <v>41813</v>
      </c>
      <c r="B249" s="86">
        <v>41813</v>
      </c>
      <c r="C249" s="93">
        <v>1.2509382036527399</v>
      </c>
      <c r="D249" s="85" t="s">
        <v>1056</v>
      </c>
      <c r="F249" s="91">
        <v>41813</v>
      </c>
      <c r="G249">
        <v>1.3979999999999999</v>
      </c>
      <c r="H249">
        <v>1.6011</v>
      </c>
      <c r="I249">
        <v>1.3322499999999999</v>
      </c>
      <c r="J249">
        <v>1.6060000000000001</v>
      </c>
      <c r="K249">
        <v>1.73309</v>
      </c>
      <c r="L249">
        <v>1.6539999999999999</v>
      </c>
      <c r="M249">
        <v>1.5396800000000002</v>
      </c>
      <c r="N249">
        <v>1.696</v>
      </c>
      <c r="O249">
        <v>1.38853</v>
      </c>
      <c r="P249">
        <v>1.5449000000000002</v>
      </c>
      <c r="Q249">
        <v>1.7533399999999999</v>
      </c>
      <c r="R249">
        <v>1.7749999999999999</v>
      </c>
      <c r="S249">
        <v>1.4489100000000001</v>
      </c>
      <c r="T249">
        <v>1.6393</v>
      </c>
      <c r="U249">
        <v>1.6279999999999999</v>
      </c>
    </row>
    <row r="250" spans="1:21">
      <c r="A250" s="91">
        <v>41806</v>
      </c>
      <c r="B250" s="86">
        <v>41806</v>
      </c>
      <c r="C250" s="93">
        <v>1.25407574617507</v>
      </c>
      <c r="D250" s="85" t="s">
        <v>1278</v>
      </c>
      <c r="F250" s="91">
        <v>41806</v>
      </c>
      <c r="G250">
        <v>1.383</v>
      </c>
      <c r="H250">
        <v>1.601</v>
      </c>
      <c r="I250">
        <v>1.3221800000000001</v>
      </c>
      <c r="J250">
        <v>1.5980000000000001</v>
      </c>
      <c r="K250">
        <v>1.7272100000000001</v>
      </c>
      <c r="L250">
        <v>1.633</v>
      </c>
      <c r="M250">
        <v>1.5229600000000001</v>
      </c>
      <c r="N250">
        <v>1.681</v>
      </c>
      <c r="O250">
        <v>1.35318</v>
      </c>
      <c r="P250">
        <v>1.5423</v>
      </c>
      <c r="Q250">
        <v>1.7414400000000001</v>
      </c>
      <c r="R250">
        <v>1.756</v>
      </c>
      <c r="S250">
        <v>1.42784</v>
      </c>
      <c r="T250">
        <v>1.64035</v>
      </c>
      <c r="U250">
        <v>1.62879</v>
      </c>
    </row>
    <row r="251" spans="1:21">
      <c r="A251" s="91">
        <v>41799</v>
      </c>
      <c r="B251" s="86">
        <v>41799</v>
      </c>
      <c r="C251" s="93">
        <v>1.2347965672655401</v>
      </c>
      <c r="D251" s="85" t="s">
        <v>1279</v>
      </c>
      <c r="F251" s="91">
        <v>41799</v>
      </c>
      <c r="G251">
        <v>1.363</v>
      </c>
      <c r="H251">
        <v>1.5904</v>
      </c>
      <c r="I251">
        <v>1.32145</v>
      </c>
      <c r="J251">
        <v>1.5840000000000001</v>
      </c>
      <c r="K251">
        <v>1.6778599999999999</v>
      </c>
      <c r="L251">
        <v>1.6339999999999999</v>
      </c>
      <c r="M251">
        <v>1.52257</v>
      </c>
      <c r="N251">
        <v>1.681</v>
      </c>
      <c r="O251">
        <v>1.3745099999999999</v>
      </c>
      <c r="P251">
        <v>1.5423</v>
      </c>
      <c r="Q251">
        <v>1.74027</v>
      </c>
      <c r="R251">
        <v>1.7370000000000001</v>
      </c>
      <c r="S251">
        <v>1.42191</v>
      </c>
      <c r="T251">
        <v>1.61507</v>
      </c>
      <c r="U251">
        <v>1.60144</v>
      </c>
    </row>
    <row r="252" spans="1:21">
      <c r="A252" s="91">
        <v>41792</v>
      </c>
      <c r="B252" s="86">
        <v>41792</v>
      </c>
      <c r="C252" s="93">
        <v>1.2301636117603598</v>
      </c>
      <c r="D252" s="85" t="s">
        <v>1280</v>
      </c>
      <c r="F252" s="91">
        <v>41792</v>
      </c>
      <c r="G252">
        <v>1.37</v>
      </c>
      <c r="H252">
        <v>1.5904</v>
      </c>
      <c r="I252">
        <v>1.31955</v>
      </c>
      <c r="J252">
        <v>1.5589999999999999</v>
      </c>
      <c r="K252">
        <v>1.6907799999999999</v>
      </c>
      <c r="L252">
        <v>1.6259999999999999</v>
      </c>
      <c r="M252">
        <v>1.5246900000000001</v>
      </c>
      <c r="N252">
        <v>1.681</v>
      </c>
      <c r="O252">
        <v>1.37218</v>
      </c>
      <c r="P252">
        <v>1.5423</v>
      </c>
      <c r="Q252">
        <v>1.7392699999999999</v>
      </c>
      <c r="R252">
        <v>1.7410000000000001</v>
      </c>
      <c r="S252">
        <v>1.42824</v>
      </c>
      <c r="T252">
        <v>1.6219400000000002</v>
      </c>
      <c r="U252">
        <v>1.5946900000000002</v>
      </c>
    </row>
    <row r="253" spans="1:21">
      <c r="A253" s="91">
        <v>41785</v>
      </c>
      <c r="B253" s="86">
        <v>41785</v>
      </c>
      <c r="C253" s="93">
        <v>1.23472033584393</v>
      </c>
      <c r="D253" s="85" t="s">
        <v>1281</v>
      </c>
      <c r="F253" s="91">
        <v>41785</v>
      </c>
      <c r="G253">
        <v>1.365</v>
      </c>
      <c r="H253">
        <v>1.6054000000000002</v>
      </c>
      <c r="I253">
        <v>1.3198599999999998</v>
      </c>
      <c r="J253">
        <v>1.5580000000000001</v>
      </c>
      <c r="K253">
        <v>1.69085</v>
      </c>
      <c r="L253">
        <v>1.6279999999999999</v>
      </c>
      <c r="M253">
        <v>1.5191300000000001</v>
      </c>
      <c r="N253">
        <v>1.6759999999999999</v>
      </c>
      <c r="O253">
        <v>1.3661300000000001</v>
      </c>
      <c r="P253">
        <v>1.5423</v>
      </c>
      <c r="Q253">
        <v>1.73939</v>
      </c>
      <c r="R253">
        <v>1.738</v>
      </c>
      <c r="S253">
        <v>1.4235899999999999</v>
      </c>
      <c r="T253">
        <v>1.63371</v>
      </c>
      <c r="U253">
        <v>1.5991</v>
      </c>
    </row>
    <row r="254" spans="1:21">
      <c r="A254" s="91">
        <v>41778</v>
      </c>
      <c r="B254" s="86">
        <v>41778</v>
      </c>
      <c r="C254" s="93">
        <v>1.22759636631476</v>
      </c>
      <c r="D254" s="85" t="s">
        <v>1282</v>
      </c>
      <c r="F254" s="91">
        <v>41778</v>
      </c>
      <c r="G254">
        <v>1.3660000000000001</v>
      </c>
      <c r="H254">
        <v>1.5768</v>
      </c>
      <c r="I254">
        <v>1.31419</v>
      </c>
      <c r="J254">
        <v>1.5580000000000001</v>
      </c>
      <c r="K254">
        <v>1.6879900000000001</v>
      </c>
      <c r="L254">
        <v>1.62</v>
      </c>
      <c r="M254">
        <v>1.5145599999999999</v>
      </c>
      <c r="N254">
        <v>1.6719999999999999</v>
      </c>
      <c r="O254">
        <v>1.33924</v>
      </c>
      <c r="P254">
        <v>1.52851</v>
      </c>
      <c r="Q254">
        <v>1.7348699999999999</v>
      </c>
      <c r="R254">
        <v>1.7290000000000001</v>
      </c>
      <c r="S254">
        <v>1.4154899999999999</v>
      </c>
      <c r="T254">
        <v>1.60998</v>
      </c>
      <c r="U254">
        <v>1.58873</v>
      </c>
    </row>
    <row r="255" spans="1:21">
      <c r="A255" s="91">
        <v>41771</v>
      </c>
      <c r="B255" s="86">
        <v>41771</v>
      </c>
      <c r="C255" s="93">
        <v>1.2267680794945699</v>
      </c>
      <c r="D255" s="85" t="s">
        <v>1283</v>
      </c>
      <c r="F255" s="91">
        <v>41771</v>
      </c>
      <c r="G255">
        <v>1.3560000000000001</v>
      </c>
      <c r="H255">
        <v>1.5712000000000002</v>
      </c>
      <c r="I255">
        <v>1.3172000000000001</v>
      </c>
      <c r="J255">
        <v>1.577</v>
      </c>
      <c r="K255">
        <v>1.66126</v>
      </c>
      <c r="L255">
        <v>1.62</v>
      </c>
      <c r="M255">
        <v>1.51742</v>
      </c>
      <c r="N255">
        <v>1.677</v>
      </c>
      <c r="O255">
        <v>1.3590899999999999</v>
      </c>
      <c r="P255">
        <v>1.52851</v>
      </c>
      <c r="Q255">
        <v>1.73634</v>
      </c>
      <c r="R255">
        <v>1.724</v>
      </c>
      <c r="S255">
        <v>1.4170399999999999</v>
      </c>
      <c r="T255">
        <v>1.5932599999999999</v>
      </c>
      <c r="U255">
        <v>1.5886400000000001</v>
      </c>
    </row>
    <row r="256" spans="1:21">
      <c r="A256" s="91">
        <v>41764</v>
      </c>
      <c r="B256" s="86">
        <v>41764</v>
      </c>
      <c r="C256" s="93">
        <v>1.2151701845843499</v>
      </c>
      <c r="D256" s="85" t="s">
        <v>1046</v>
      </c>
      <c r="F256" s="91">
        <v>41764</v>
      </c>
      <c r="G256">
        <v>1.3680000000000001</v>
      </c>
      <c r="H256">
        <v>1.6235999999999999</v>
      </c>
      <c r="I256">
        <v>1.3154999999999999</v>
      </c>
      <c r="J256">
        <v>1.5629999999999999</v>
      </c>
      <c r="K256">
        <v>1.66669</v>
      </c>
      <c r="L256">
        <v>1.6220000000000001</v>
      </c>
      <c r="M256">
        <v>1.5278499999999999</v>
      </c>
      <c r="N256">
        <v>1.6850000000000001</v>
      </c>
      <c r="O256">
        <v>1.36605</v>
      </c>
      <c r="P256">
        <v>1.52851</v>
      </c>
      <c r="Q256">
        <v>1.7389600000000001</v>
      </c>
      <c r="R256">
        <v>1.7350000000000001</v>
      </c>
      <c r="S256">
        <v>1.4275100000000001</v>
      </c>
      <c r="T256">
        <v>1.60869</v>
      </c>
      <c r="U256">
        <v>1.5708</v>
      </c>
    </row>
    <row r="257" spans="1:21">
      <c r="A257" s="91">
        <v>41757</v>
      </c>
      <c r="B257" s="86">
        <v>41757</v>
      </c>
      <c r="C257" s="93">
        <v>1.21536217792902</v>
      </c>
      <c r="D257" s="85" t="s">
        <v>1284</v>
      </c>
      <c r="F257" s="91">
        <v>41757</v>
      </c>
      <c r="G257">
        <v>1.373</v>
      </c>
      <c r="H257">
        <v>1.5537000000000001</v>
      </c>
      <c r="I257">
        <v>1.31372</v>
      </c>
      <c r="J257">
        <v>1.6020000000000001</v>
      </c>
      <c r="K257">
        <v>1.6933</v>
      </c>
      <c r="L257">
        <v>1.6240000000000001</v>
      </c>
      <c r="M257">
        <v>1.52345</v>
      </c>
      <c r="N257">
        <v>1.6839999999999999</v>
      </c>
      <c r="O257">
        <v>1.35995</v>
      </c>
      <c r="P257">
        <v>1.52851</v>
      </c>
      <c r="Q257">
        <v>1.7375399999999999</v>
      </c>
      <c r="R257">
        <v>1.7410000000000001</v>
      </c>
      <c r="S257">
        <v>1.4277899999999999</v>
      </c>
      <c r="T257">
        <v>1.6254999999999999</v>
      </c>
      <c r="U257">
        <v>1.5689600000000001</v>
      </c>
    </row>
    <row r="258" spans="1:21">
      <c r="A258" s="91">
        <v>41743</v>
      </c>
      <c r="B258" s="86">
        <v>41743</v>
      </c>
      <c r="C258" s="93">
        <v>1.20860526951898</v>
      </c>
      <c r="D258" s="85" t="s">
        <v>1285</v>
      </c>
      <c r="F258" s="91">
        <v>41743</v>
      </c>
      <c r="G258">
        <v>1.359</v>
      </c>
      <c r="H258">
        <v>1.538</v>
      </c>
      <c r="I258">
        <v>1.2995000000000001</v>
      </c>
      <c r="J258">
        <v>1.5720000000000001</v>
      </c>
      <c r="K258">
        <v>1.6875599999999999</v>
      </c>
      <c r="L258">
        <v>1.613</v>
      </c>
      <c r="M258">
        <v>1.5125999999999999</v>
      </c>
      <c r="N258">
        <v>1.667</v>
      </c>
      <c r="O258">
        <v>1.34375</v>
      </c>
      <c r="P258">
        <v>1.53277</v>
      </c>
      <c r="Q258">
        <v>1.7255999999999998</v>
      </c>
      <c r="R258">
        <v>1.72</v>
      </c>
      <c r="S258">
        <v>1.4101199999999998</v>
      </c>
      <c r="T258">
        <v>1.60595</v>
      </c>
      <c r="U258">
        <v>1.5577799999999999</v>
      </c>
    </row>
    <row r="259" spans="1:21">
      <c r="A259" s="91">
        <v>41736</v>
      </c>
      <c r="B259" s="86">
        <v>41736</v>
      </c>
      <c r="C259" s="93">
        <v>1.2090436464756398</v>
      </c>
      <c r="D259" s="85" t="s">
        <v>1286</v>
      </c>
      <c r="F259" s="91">
        <v>41736</v>
      </c>
      <c r="G259">
        <v>1.347</v>
      </c>
      <c r="H259">
        <v>1.5327</v>
      </c>
      <c r="I259">
        <v>1.3037100000000001</v>
      </c>
      <c r="J259">
        <v>1.5589999999999999</v>
      </c>
      <c r="K259">
        <v>1.6609100000000001</v>
      </c>
      <c r="L259">
        <v>1.6120000000000001</v>
      </c>
      <c r="M259">
        <v>1.51041</v>
      </c>
      <c r="N259">
        <v>1.6639999999999999</v>
      </c>
      <c r="O259">
        <v>1.3615299999999999</v>
      </c>
      <c r="P259">
        <v>1.53277</v>
      </c>
      <c r="Q259">
        <v>1.72285</v>
      </c>
      <c r="R259">
        <v>1.7090000000000001</v>
      </c>
      <c r="S259">
        <v>1.3997299999999999</v>
      </c>
      <c r="T259">
        <v>1.59518</v>
      </c>
      <c r="U259">
        <v>1.5562</v>
      </c>
    </row>
    <row r="260" spans="1:21">
      <c r="A260" s="91">
        <v>41729</v>
      </c>
      <c r="B260" s="86">
        <v>41729</v>
      </c>
      <c r="C260" s="93">
        <v>1.2074378169524298</v>
      </c>
      <c r="D260" s="85" t="s">
        <v>1287</v>
      </c>
      <c r="F260" s="91">
        <v>41729</v>
      </c>
      <c r="G260">
        <v>1.345</v>
      </c>
      <c r="H260">
        <v>1.4824000000000002</v>
      </c>
      <c r="I260">
        <v>1.2946600000000001</v>
      </c>
      <c r="J260">
        <v>1.554</v>
      </c>
      <c r="K260">
        <v>1.67696</v>
      </c>
      <c r="L260">
        <v>1.6080000000000001</v>
      </c>
      <c r="M260">
        <v>1.5044999999999999</v>
      </c>
      <c r="N260">
        <v>1.661</v>
      </c>
      <c r="O260">
        <v>1.3425400000000001</v>
      </c>
      <c r="P260">
        <v>1.5204000000000002</v>
      </c>
      <c r="Q260">
        <v>1.71444</v>
      </c>
      <c r="R260">
        <v>1.6890000000000001</v>
      </c>
      <c r="S260">
        <v>1.3985699999999999</v>
      </c>
      <c r="T260">
        <v>1.6139400000000002</v>
      </c>
      <c r="U260">
        <v>1.55471</v>
      </c>
    </row>
    <row r="261" spans="1:21">
      <c r="A261" s="91">
        <v>41722</v>
      </c>
      <c r="B261" s="86">
        <v>41722</v>
      </c>
      <c r="C261" s="93">
        <v>1.1970313622216899</v>
      </c>
      <c r="D261" s="85" t="s">
        <v>1288</v>
      </c>
      <c r="F261" s="91">
        <v>41722</v>
      </c>
      <c r="G261">
        <v>1.337</v>
      </c>
      <c r="H261">
        <v>1.5225</v>
      </c>
      <c r="I261">
        <v>1.3020699999999998</v>
      </c>
      <c r="J261">
        <v>1.5209999999999999</v>
      </c>
      <c r="K261">
        <v>1.6611500000000001</v>
      </c>
      <c r="L261">
        <v>1.5980000000000001</v>
      </c>
      <c r="M261">
        <v>1.4981900000000001</v>
      </c>
      <c r="N261">
        <v>1.66</v>
      </c>
      <c r="O261">
        <v>1.3123699999999998</v>
      </c>
      <c r="P261">
        <v>1.5204000000000002</v>
      </c>
      <c r="Q261">
        <v>1.70455</v>
      </c>
      <c r="R261">
        <v>1.67</v>
      </c>
      <c r="S261">
        <v>1.39259</v>
      </c>
      <c r="T261">
        <v>1.5960699999999999</v>
      </c>
      <c r="U261">
        <v>1.53904</v>
      </c>
    </row>
    <row r="262" spans="1:21">
      <c r="A262" s="91">
        <v>41715</v>
      </c>
      <c r="B262" s="86">
        <v>41715</v>
      </c>
      <c r="C262" s="93">
        <v>1.1951000896325101</v>
      </c>
      <c r="D262" s="85" t="s">
        <v>1289</v>
      </c>
      <c r="F262" s="91">
        <v>41715</v>
      </c>
      <c r="G262">
        <v>1.3440000000000001</v>
      </c>
      <c r="H262">
        <v>1.5321</v>
      </c>
      <c r="I262">
        <v>1.3084500000000001</v>
      </c>
      <c r="J262">
        <v>1.5189999999999999</v>
      </c>
      <c r="K262">
        <v>1.6400299999999999</v>
      </c>
      <c r="L262">
        <v>1.61</v>
      </c>
      <c r="M262">
        <v>1.5044999999999999</v>
      </c>
      <c r="N262">
        <v>1.6619999999999999</v>
      </c>
      <c r="O262">
        <v>1.3205799999999999</v>
      </c>
      <c r="P262">
        <v>1.5204000000000002</v>
      </c>
      <c r="Q262">
        <v>1.71282</v>
      </c>
      <c r="R262">
        <v>1.681</v>
      </c>
      <c r="S262">
        <v>1.3924100000000001</v>
      </c>
      <c r="T262">
        <v>1.59643</v>
      </c>
      <c r="U262">
        <v>1.53878</v>
      </c>
    </row>
    <row r="263" spans="1:21">
      <c r="A263" s="91">
        <v>41708</v>
      </c>
      <c r="B263" s="86">
        <v>41708</v>
      </c>
      <c r="C263" s="93">
        <v>1.19932837610938</v>
      </c>
      <c r="D263" s="85" t="s">
        <v>1290</v>
      </c>
      <c r="F263" s="91">
        <v>41708</v>
      </c>
      <c r="G263">
        <v>1.3440000000000001</v>
      </c>
      <c r="H263">
        <v>1.5528</v>
      </c>
      <c r="I263">
        <v>1.31172</v>
      </c>
      <c r="J263">
        <v>1.5249999999999999</v>
      </c>
      <c r="K263">
        <v>1.6482000000000001</v>
      </c>
      <c r="L263">
        <v>1.609</v>
      </c>
      <c r="M263">
        <v>1.5122200000000001</v>
      </c>
      <c r="N263">
        <v>1.6659999999999999</v>
      </c>
      <c r="O263">
        <v>1.3292899999999999</v>
      </c>
      <c r="P263">
        <v>1.5204000000000002</v>
      </c>
      <c r="Q263">
        <v>1.7170999999999998</v>
      </c>
      <c r="R263">
        <v>1.6970000000000001</v>
      </c>
      <c r="S263">
        <v>1.39975</v>
      </c>
      <c r="T263">
        <v>1.5940699999999999</v>
      </c>
      <c r="U263">
        <v>1.55175</v>
      </c>
    </row>
    <row r="264" spans="1:21">
      <c r="A264" s="91">
        <v>41701</v>
      </c>
      <c r="B264" s="86">
        <v>41701</v>
      </c>
      <c r="C264" s="93">
        <v>1.2149930137901699</v>
      </c>
      <c r="D264" s="85" t="s">
        <v>1291</v>
      </c>
      <c r="F264" s="91">
        <v>41701</v>
      </c>
      <c r="G264">
        <v>1.35</v>
      </c>
      <c r="H264">
        <v>1.4945999999999999</v>
      </c>
      <c r="I264">
        <v>1.3166300000000002</v>
      </c>
      <c r="J264">
        <v>1.5429999999999999</v>
      </c>
      <c r="K264">
        <v>1.6616199999999999</v>
      </c>
      <c r="L264">
        <v>1.6080000000000001</v>
      </c>
      <c r="M264">
        <v>1.5167599999999999</v>
      </c>
      <c r="N264">
        <v>1.665</v>
      </c>
      <c r="O264">
        <v>1.3278099999999999</v>
      </c>
      <c r="P264">
        <v>1.5204000000000002</v>
      </c>
      <c r="Q264">
        <v>1.7178699999999998</v>
      </c>
      <c r="R264">
        <v>1.704</v>
      </c>
      <c r="S264">
        <v>1.4077200000000001</v>
      </c>
      <c r="T264">
        <v>1.6181199999999998</v>
      </c>
      <c r="U264">
        <v>1.57169</v>
      </c>
    </row>
    <row r="265" spans="1:21">
      <c r="A265" s="91">
        <v>41694</v>
      </c>
      <c r="B265" s="86">
        <v>41694</v>
      </c>
      <c r="C265" s="93">
        <v>1.2126356636148699</v>
      </c>
      <c r="D265" s="85" t="s">
        <v>1292</v>
      </c>
      <c r="F265" s="91">
        <v>41694</v>
      </c>
      <c r="G265">
        <v>1.3580000000000001</v>
      </c>
      <c r="H265">
        <v>1.5550999999999999</v>
      </c>
      <c r="I265">
        <v>1.3223800000000001</v>
      </c>
      <c r="J265">
        <v>1.5449999999999999</v>
      </c>
      <c r="K265">
        <v>1.6616600000000001</v>
      </c>
      <c r="L265">
        <v>1.613</v>
      </c>
      <c r="M265">
        <v>1.51233</v>
      </c>
      <c r="N265">
        <v>1.66</v>
      </c>
      <c r="O265">
        <v>1.32847</v>
      </c>
      <c r="P265">
        <v>1.5333800000000002</v>
      </c>
      <c r="Q265">
        <v>1.7178699999999998</v>
      </c>
      <c r="R265">
        <v>1.7050000000000001</v>
      </c>
      <c r="S265">
        <v>1.4024400000000001</v>
      </c>
      <c r="T265">
        <v>1.6050899999999999</v>
      </c>
      <c r="U265">
        <v>1.5667500000000001</v>
      </c>
    </row>
    <row r="266" spans="1:21">
      <c r="A266" s="91">
        <v>41687</v>
      </c>
      <c r="B266" s="86">
        <v>41687</v>
      </c>
      <c r="C266" s="93">
        <v>1.2212248885632297</v>
      </c>
      <c r="D266" s="85" t="s">
        <v>1293</v>
      </c>
      <c r="F266" s="91">
        <v>41687</v>
      </c>
      <c r="G266">
        <v>1.353</v>
      </c>
      <c r="H266">
        <v>1.5327</v>
      </c>
      <c r="I266">
        <v>1.32016</v>
      </c>
      <c r="J266">
        <v>1.546</v>
      </c>
      <c r="K266">
        <v>1.6550499999999999</v>
      </c>
      <c r="L266">
        <v>1.6060000000000001</v>
      </c>
      <c r="M266">
        <v>1.5082800000000001</v>
      </c>
      <c r="N266">
        <v>1.6519999999999999</v>
      </c>
      <c r="O266">
        <v>1.3346500000000001</v>
      </c>
      <c r="P266">
        <v>1.5333800000000002</v>
      </c>
      <c r="Q266">
        <v>1.7146600000000001</v>
      </c>
      <c r="R266">
        <v>1.6990000000000001</v>
      </c>
      <c r="S266">
        <v>1.3964300000000001</v>
      </c>
      <c r="T266">
        <v>1.61351</v>
      </c>
      <c r="U266">
        <v>1.5772899999999999</v>
      </c>
    </row>
    <row r="267" spans="1:21">
      <c r="A267" s="91">
        <v>41680</v>
      </c>
      <c r="B267" s="86">
        <v>41680</v>
      </c>
      <c r="C267" s="93">
        <v>1.2025012025012001</v>
      </c>
      <c r="D267" s="85" t="s">
        <v>1294</v>
      </c>
      <c r="F267" s="91">
        <v>41680</v>
      </c>
      <c r="G267">
        <v>1.3380000000000001</v>
      </c>
      <c r="H267">
        <v>1.5409000000000002</v>
      </c>
      <c r="I267">
        <v>1.3149500000000001</v>
      </c>
      <c r="J267">
        <v>1.532</v>
      </c>
      <c r="K267">
        <v>1.65097</v>
      </c>
      <c r="L267">
        <v>1.6120000000000001</v>
      </c>
      <c r="M267">
        <v>1.4997</v>
      </c>
      <c r="N267">
        <v>1.6459999999999999</v>
      </c>
      <c r="O267">
        <v>1.3125199999999999</v>
      </c>
      <c r="P267">
        <v>1.5333800000000002</v>
      </c>
      <c r="Q267">
        <v>1.7110999999999998</v>
      </c>
      <c r="R267">
        <v>1.6870000000000001</v>
      </c>
      <c r="S267">
        <v>1.3877200000000001</v>
      </c>
      <c r="T267">
        <v>1.5990799999999998</v>
      </c>
      <c r="U267">
        <v>1.54898</v>
      </c>
    </row>
    <row r="268" spans="1:21">
      <c r="A268" s="91">
        <v>41673</v>
      </c>
      <c r="B268" s="86">
        <v>41673</v>
      </c>
      <c r="C268" s="93">
        <v>1.2108003390240898</v>
      </c>
      <c r="D268" s="85" t="s">
        <v>1295</v>
      </c>
      <c r="F268" s="91">
        <v>41673</v>
      </c>
      <c r="G268">
        <v>1.3360000000000001</v>
      </c>
      <c r="H268">
        <v>1.5212999999999999</v>
      </c>
      <c r="I268">
        <v>1.31602</v>
      </c>
      <c r="J268">
        <v>1.5309999999999999</v>
      </c>
      <c r="K268">
        <v>1.6510100000000001</v>
      </c>
      <c r="L268">
        <v>1.6120000000000001</v>
      </c>
      <c r="M268">
        <v>1.4979800000000001</v>
      </c>
      <c r="N268">
        <v>1.6439999999999999</v>
      </c>
      <c r="O268">
        <v>1.2992300000000001</v>
      </c>
      <c r="P268">
        <v>1.5333800000000002</v>
      </c>
      <c r="Q268">
        <v>1.7140499999999999</v>
      </c>
      <c r="R268">
        <v>1.6850000000000001</v>
      </c>
      <c r="S268">
        <v>1.3872500000000001</v>
      </c>
      <c r="T268">
        <v>1.6015999999999999</v>
      </c>
      <c r="U268">
        <v>1.56016</v>
      </c>
    </row>
    <row r="269" spans="1:21">
      <c r="A269" s="91">
        <v>41666</v>
      </c>
      <c r="B269" s="86">
        <v>41666</v>
      </c>
      <c r="C269" s="93">
        <v>1.2120477546815298</v>
      </c>
      <c r="D269" s="85" t="s">
        <v>1296</v>
      </c>
      <c r="F269" s="91">
        <v>41666</v>
      </c>
      <c r="G269">
        <v>1.341</v>
      </c>
      <c r="H269">
        <v>1.5266</v>
      </c>
      <c r="I269">
        <v>1.31982</v>
      </c>
      <c r="J269">
        <v>1.5289999999999999</v>
      </c>
      <c r="K269">
        <v>1.6376300000000001</v>
      </c>
      <c r="L269">
        <v>1.6259999999999999</v>
      </c>
      <c r="M269">
        <v>1.4950000000000001</v>
      </c>
      <c r="N269">
        <v>1.6459999999999999</v>
      </c>
      <c r="O269">
        <v>1.31867</v>
      </c>
      <c r="P269">
        <v>1.5367599999999999</v>
      </c>
      <c r="Q269">
        <v>1.7153699999999998</v>
      </c>
      <c r="R269">
        <v>1.6870000000000001</v>
      </c>
      <c r="S269">
        <v>1.38876</v>
      </c>
      <c r="T269">
        <v>1.5949899999999999</v>
      </c>
      <c r="U269">
        <v>1.5637999999999999</v>
      </c>
    </row>
    <row r="270" spans="1:21">
      <c r="A270" s="91">
        <v>41659</v>
      </c>
      <c r="B270" s="86">
        <v>41659</v>
      </c>
      <c r="C270" s="93">
        <v>1.2103606874848698</v>
      </c>
      <c r="D270" s="85" t="s">
        <v>1297</v>
      </c>
      <c r="F270" s="91">
        <v>41659</v>
      </c>
      <c r="G270">
        <v>1.3340000000000001</v>
      </c>
      <c r="H270">
        <v>1.5032999999999999</v>
      </c>
      <c r="I270">
        <v>1.3174699999999999</v>
      </c>
      <c r="J270">
        <v>1.524</v>
      </c>
      <c r="K270">
        <v>1.6322000000000001</v>
      </c>
      <c r="L270">
        <v>1.6140000000000001</v>
      </c>
      <c r="M270">
        <v>1.4947999999999999</v>
      </c>
      <c r="N270">
        <v>1.6459999999999999</v>
      </c>
      <c r="O270">
        <v>1.3333199999999998</v>
      </c>
      <c r="P270">
        <v>1.5367599999999999</v>
      </c>
      <c r="Q270">
        <v>1.7183499999999998</v>
      </c>
      <c r="R270">
        <v>1.6839999999999999</v>
      </c>
      <c r="S270">
        <v>1.3870899999999999</v>
      </c>
      <c r="T270">
        <v>1.5877300000000001</v>
      </c>
      <c r="U270">
        <v>1.5658099999999999</v>
      </c>
    </row>
    <row r="271" spans="1:21">
      <c r="A271" s="91">
        <v>41652</v>
      </c>
      <c r="B271" s="86">
        <v>41652</v>
      </c>
      <c r="C271" s="93">
        <v>1.20235661897319</v>
      </c>
      <c r="D271" s="85" t="s">
        <v>1298</v>
      </c>
      <c r="F271" s="91">
        <v>41652</v>
      </c>
      <c r="G271">
        <v>1.343</v>
      </c>
      <c r="H271">
        <v>1.5121</v>
      </c>
      <c r="I271">
        <v>1.3244800000000001</v>
      </c>
      <c r="J271">
        <v>1.526</v>
      </c>
      <c r="K271">
        <v>1.64299</v>
      </c>
      <c r="L271">
        <v>1.619</v>
      </c>
      <c r="M271">
        <v>1.5</v>
      </c>
      <c r="N271">
        <v>1.6519999999999999</v>
      </c>
      <c r="O271">
        <v>1.3465100000000001</v>
      </c>
      <c r="P271">
        <v>1.5367599999999999</v>
      </c>
      <c r="Q271">
        <v>1.7226400000000002</v>
      </c>
      <c r="R271">
        <v>1.6919999999999999</v>
      </c>
      <c r="S271">
        <v>1.39544</v>
      </c>
      <c r="T271">
        <v>1.6000999999999999</v>
      </c>
      <c r="U271">
        <v>1.56734</v>
      </c>
    </row>
    <row r="272" spans="1:21" ht="15.75" thickBot="1">
      <c r="A272" s="92">
        <v>41645</v>
      </c>
      <c r="B272" s="86">
        <v>41645</v>
      </c>
      <c r="C272" s="93">
        <v>1.2043839576056801</v>
      </c>
      <c r="D272" s="85" t="s">
        <v>1299</v>
      </c>
      <c r="F272" s="92">
        <v>41645</v>
      </c>
      <c r="G272">
        <v>1.341</v>
      </c>
      <c r="H272">
        <v>1.5517000000000001</v>
      </c>
      <c r="I272">
        <v>1.3206800000000001</v>
      </c>
      <c r="J272">
        <v>1.5389999999999999</v>
      </c>
      <c r="K272">
        <v>1.6515899999999999</v>
      </c>
      <c r="L272">
        <v>1.6339999999999999</v>
      </c>
      <c r="M272">
        <v>1.5078</v>
      </c>
      <c r="N272">
        <v>1.6559999999999999</v>
      </c>
      <c r="O272">
        <v>1.3568900000000002</v>
      </c>
      <c r="P272">
        <v>1.5367599999999999</v>
      </c>
      <c r="Q272">
        <v>1.7292799999999999</v>
      </c>
      <c r="R272">
        <v>1.6950000000000001</v>
      </c>
      <c r="S272">
        <v>1.4073399999999998</v>
      </c>
      <c r="T272">
        <v>1.6005699999999998</v>
      </c>
      <c r="U272">
        <v>1.5687800000000001</v>
      </c>
    </row>
    <row r="273" spans="1:21">
      <c r="A273" s="91">
        <v>41624</v>
      </c>
      <c r="B273" s="86">
        <v>41624</v>
      </c>
      <c r="C273" s="93">
        <v>1.1850447354387599</v>
      </c>
      <c r="D273" s="85" t="s">
        <v>1300</v>
      </c>
      <c r="F273" s="91">
        <v>41624</v>
      </c>
      <c r="G273">
        <v>1.353</v>
      </c>
      <c r="H273">
        <v>1.5094000000000001</v>
      </c>
      <c r="I273">
        <v>1.3123199999999999</v>
      </c>
      <c r="J273">
        <v>1.546</v>
      </c>
      <c r="K273">
        <v>1.61517</v>
      </c>
      <c r="L273">
        <v>1.591</v>
      </c>
      <c r="M273">
        <v>1.4952999999999999</v>
      </c>
      <c r="N273">
        <v>1.651</v>
      </c>
      <c r="O273">
        <v>1.3635299999999999</v>
      </c>
      <c r="P273">
        <v>1.55867</v>
      </c>
      <c r="Q273">
        <v>1.7281500000000001</v>
      </c>
      <c r="R273">
        <v>1.6859999999999999</v>
      </c>
      <c r="S273">
        <v>1.3964400000000001</v>
      </c>
      <c r="T273">
        <v>1.5615000000000001</v>
      </c>
      <c r="U273">
        <v>1.5519499999999999</v>
      </c>
    </row>
    <row r="274" spans="1:21">
      <c r="A274" s="91">
        <v>41617</v>
      </c>
      <c r="B274" s="86">
        <v>41617</v>
      </c>
      <c r="C274" s="93">
        <v>1.1938160329493199</v>
      </c>
      <c r="D274" s="85" t="s">
        <v>1301</v>
      </c>
      <c r="F274" s="91">
        <v>41617</v>
      </c>
      <c r="G274">
        <v>1.3620000000000001</v>
      </c>
      <c r="H274">
        <v>1.5279</v>
      </c>
      <c r="I274">
        <v>1.3152200000000001</v>
      </c>
      <c r="J274">
        <v>1.5649999999999999</v>
      </c>
      <c r="K274">
        <v>1.6380299999999999</v>
      </c>
      <c r="L274">
        <v>1.5840000000000001</v>
      </c>
      <c r="M274">
        <v>1.5010999999999999</v>
      </c>
      <c r="N274">
        <v>1.649</v>
      </c>
      <c r="O274">
        <v>1.3456600000000001</v>
      </c>
      <c r="P274">
        <v>1.55867</v>
      </c>
      <c r="Q274">
        <v>1.7284200000000001</v>
      </c>
      <c r="R274">
        <v>1.6930000000000001</v>
      </c>
      <c r="S274">
        <v>1.4050100000000001</v>
      </c>
      <c r="T274">
        <v>1.5850799999999998</v>
      </c>
      <c r="U274">
        <v>1.56108</v>
      </c>
    </row>
    <row r="275" spans="1:21">
      <c r="A275" s="91">
        <v>41610</v>
      </c>
      <c r="B275" s="86">
        <v>41610</v>
      </c>
      <c r="C275" s="93">
        <v>1.2105804733369701</v>
      </c>
      <c r="D275" s="85" t="s">
        <v>1302</v>
      </c>
      <c r="F275" s="91">
        <v>41610</v>
      </c>
      <c r="G275">
        <v>1.349</v>
      </c>
      <c r="H275">
        <v>1.5440999999999998</v>
      </c>
      <c r="I275">
        <v>1.31609</v>
      </c>
      <c r="J275">
        <v>1.5740000000000001</v>
      </c>
      <c r="K275">
        <v>1.6421400000000002</v>
      </c>
      <c r="L275">
        <v>1.6020000000000001</v>
      </c>
      <c r="M275">
        <v>1.4987000000000001</v>
      </c>
      <c r="N275">
        <v>1.6459999999999999</v>
      </c>
      <c r="O275">
        <v>1.34267</v>
      </c>
      <c r="P275">
        <v>1.55867</v>
      </c>
      <c r="Q275">
        <v>1.7259100000000001</v>
      </c>
      <c r="R275">
        <v>1.6930000000000001</v>
      </c>
      <c r="S275">
        <v>1.40588</v>
      </c>
      <c r="T275">
        <v>1.6079100000000002</v>
      </c>
      <c r="U275">
        <v>1.57683</v>
      </c>
    </row>
    <row r="276" spans="1:21">
      <c r="A276" s="91">
        <v>41603</v>
      </c>
      <c r="B276" s="86">
        <v>41603</v>
      </c>
      <c r="C276" s="93">
        <v>1.1978917105893601</v>
      </c>
      <c r="D276" s="85" t="s">
        <v>1303</v>
      </c>
      <c r="F276" s="91">
        <v>41603</v>
      </c>
      <c r="G276">
        <v>1.355</v>
      </c>
      <c r="H276">
        <v>1.5025999999999999</v>
      </c>
      <c r="I276">
        <v>1.31985</v>
      </c>
      <c r="J276">
        <v>1.5780000000000001</v>
      </c>
      <c r="K276">
        <v>1.6558299999999999</v>
      </c>
      <c r="L276">
        <v>1.591</v>
      </c>
      <c r="M276">
        <v>1.4883</v>
      </c>
      <c r="N276">
        <v>1.64</v>
      </c>
      <c r="O276">
        <v>1.3548399999999998</v>
      </c>
      <c r="P276">
        <v>1.55867</v>
      </c>
      <c r="Q276">
        <v>1.7141199999999999</v>
      </c>
      <c r="R276">
        <v>1.6870000000000001</v>
      </c>
      <c r="S276">
        <v>1.4001199999999998</v>
      </c>
      <c r="T276">
        <v>1.61896</v>
      </c>
      <c r="U276">
        <v>1.5576500000000002</v>
      </c>
    </row>
    <row r="277" spans="1:21">
      <c r="A277" s="91">
        <v>41596</v>
      </c>
      <c r="B277" s="86">
        <v>41596</v>
      </c>
      <c r="C277" s="93">
        <v>1.1921793037672899</v>
      </c>
      <c r="D277" s="85" t="s">
        <v>1304</v>
      </c>
      <c r="F277" s="91">
        <v>41596</v>
      </c>
      <c r="G277">
        <v>1.345</v>
      </c>
      <c r="H277">
        <v>1.5629000000000002</v>
      </c>
      <c r="I277">
        <v>1.3088499999999998</v>
      </c>
      <c r="J277">
        <v>1.5640000000000001</v>
      </c>
      <c r="K277">
        <v>1.6423599999999998</v>
      </c>
      <c r="L277">
        <v>1.583</v>
      </c>
      <c r="M277">
        <v>1.4749000000000001</v>
      </c>
      <c r="N277">
        <v>1.6339999999999999</v>
      </c>
      <c r="O277">
        <v>1.3439300000000001</v>
      </c>
      <c r="P277">
        <v>1.59229</v>
      </c>
      <c r="Q277">
        <v>1.70174</v>
      </c>
      <c r="R277">
        <v>1.677</v>
      </c>
      <c r="S277">
        <v>1.3908699999999998</v>
      </c>
      <c r="T277">
        <v>1.61459</v>
      </c>
      <c r="U277">
        <v>1.5485</v>
      </c>
    </row>
    <row r="278" spans="1:21">
      <c r="A278" s="91">
        <v>41589</v>
      </c>
      <c r="B278" s="86">
        <v>41589</v>
      </c>
      <c r="C278" s="93">
        <v>1.1931750387781899</v>
      </c>
      <c r="D278" s="85" t="s">
        <v>1305</v>
      </c>
      <c r="F278" s="91">
        <v>41589</v>
      </c>
      <c r="G278">
        <v>1.329</v>
      </c>
      <c r="H278">
        <v>1.5043299999999999</v>
      </c>
      <c r="I278">
        <v>1.31531</v>
      </c>
      <c r="J278">
        <v>1.536</v>
      </c>
      <c r="K278">
        <v>1.61693</v>
      </c>
      <c r="L278">
        <v>1.603</v>
      </c>
      <c r="M278">
        <v>1.4670999999999998</v>
      </c>
      <c r="N278">
        <v>1.6319999999999999</v>
      </c>
      <c r="O278">
        <v>1.32656</v>
      </c>
      <c r="P278">
        <v>1.59229</v>
      </c>
      <c r="Q278">
        <v>1.7004000000000001</v>
      </c>
      <c r="R278">
        <v>1.6679999999999999</v>
      </c>
      <c r="S278">
        <v>1.3785699999999999</v>
      </c>
      <c r="T278">
        <v>1.5966199999999999</v>
      </c>
      <c r="U278">
        <v>1.5476099999999999</v>
      </c>
    </row>
    <row r="279" spans="1:21">
      <c r="A279" s="91">
        <v>41582</v>
      </c>
      <c r="B279" s="86">
        <v>41582</v>
      </c>
      <c r="C279" s="93">
        <v>1.1825922421948898</v>
      </c>
      <c r="D279" s="85" t="s">
        <v>1306</v>
      </c>
      <c r="F279" s="91">
        <v>41582</v>
      </c>
      <c r="G279">
        <v>1.333</v>
      </c>
      <c r="H279">
        <v>1.5043299999999999</v>
      </c>
      <c r="I279">
        <v>1.3765000000000001</v>
      </c>
      <c r="J279">
        <v>1.5589999999999999</v>
      </c>
      <c r="K279">
        <v>1.6303800000000002</v>
      </c>
      <c r="L279">
        <v>1.587</v>
      </c>
      <c r="M279">
        <v>1.4677</v>
      </c>
      <c r="N279">
        <v>1.6379999999999999</v>
      </c>
      <c r="O279">
        <v>1.33368</v>
      </c>
      <c r="P279">
        <v>1.59229</v>
      </c>
      <c r="Q279">
        <v>1.70072</v>
      </c>
      <c r="R279">
        <v>1.679</v>
      </c>
      <c r="S279">
        <v>1.38344</v>
      </c>
      <c r="T279">
        <v>1.58968</v>
      </c>
      <c r="U279">
        <v>1.5364500000000001</v>
      </c>
    </row>
    <row r="280" spans="1:21">
      <c r="A280" s="91">
        <v>41575</v>
      </c>
      <c r="B280" s="86">
        <v>41575</v>
      </c>
      <c r="C280" s="93">
        <v>1.17178345441762</v>
      </c>
      <c r="D280" s="85" t="s">
        <v>1307</v>
      </c>
      <c r="F280" s="91">
        <v>41575</v>
      </c>
      <c r="G280">
        <v>1.3380000000000001</v>
      </c>
      <c r="H280">
        <v>1.5367999999999999</v>
      </c>
      <c r="I280">
        <v>1.39056</v>
      </c>
      <c r="J280">
        <v>1.548</v>
      </c>
      <c r="K280">
        <v>1.62341</v>
      </c>
      <c r="L280">
        <v>1.6180000000000001</v>
      </c>
      <c r="M280">
        <v>1.4841</v>
      </c>
      <c r="N280">
        <v>1.653</v>
      </c>
      <c r="O280">
        <v>1.3777300000000001</v>
      </c>
      <c r="P280">
        <v>1.59229</v>
      </c>
      <c r="Q280">
        <v>1.71723</v>
      </c>
      <c r="R280">
        <v>1.6839999999999999</v>
      </c>
      <c r="S280">
        <v>1.3992800000000001</v>
      </c>
      <c r="T280">
        <v>1.5943699999999998</v>
      </c>
      <c r="U280">
        <v>1.53993</v>
      </c>
    </row>
    <row r="281" spans="1:21">
      <c r="A281" s="91">
        <v>41568</v>
      </c>
      <c r="B281" s="86">
        <v>41568</v>
      </c>
      <c r="C281" s="93">
        <v>1.1813349084465399</v>
      </c>
      <c r="D281" s="85" t="s">
        <v>1308</v>
      </c>
      <c r="F281" s="91">
        <v>41568</v>
      </c>
      <c r="G281">
        <v>1.3620000000000001</v>
      </c>
      <c r="H281">
        <v>1.5278</v>
      </c>
      <c r="I281">
        <v>1.3867400000000001</v>
      </c>
      <c r="J281">
        <v>1.5669999999999999</v>
      </c>
      <c r="K281">
        <v>1.6529700000000001</v>
      </c>
      <c r="L281">
        <v>1.6160000000000001</v>
      </c>
      <c r="M281">
        <v>1.4881</v>
      </c>
      <c r="N281">
        <v>1.655</v>
      </c>
      <c r="O281">
        <v>1.3731600000000002</v>
      </c>
      <c r="P281">
        <v>1.59229</v>
      </c>
      <c r="Q281">
        <v>1.7266600000000001</v>
      </c>
      <c r="R281">
        <v>1.6990000000000001</v>
      </c>
      <c r="S281">
        <v>1.40781</v>
      </c>
      <c r="T281">
        <v>1.6329</v>
      </c>
      <c r="U281">
        <v>1.55385</v>
      </c>
    </row>
    <row r="282" spans="1:21">
      <c r="A282" s="91">
        <v>41561</v>
      </c>
      <c r="B282" s="86">
        <v>41561</v>
      </c>
      <c r="C282" s="93">
        <v>1.17882824472474</v>
      </c>
      <c r="D282" s="85" t="s">
        <v>1309</v>
      </c>
      <c r="F282" s="91">
        <v>41561</v>
      </c>
      <c r="G282">
        <v>1.3720000000000001</v>
      </c>
      <c r="H282">
        <v>1.5360999999999998</v>
      </c>
      <c r="I282">
        <v>1.4078199999999998</v>
      </c>
      <c r="J282">
        <v>1.569</v>
      </c>
      <c r="K282">
        <v>1.6570799999999999</v>
      </c>
      <c r="L282">
        <v>1.627</v>
      </c>
      <c r="M282">
        <v>1.4835999999999998</v>
      </c>
      <c r="N282">
        <v>1.655</v>
      </c>
      <c r="O282">
        <v>1.36477</v>
      </c>
      <c r="P282">
        <v>1.6024200000000002</v>
      </c>
      <c r="Q282">
        <v>1.7286700000000002</v>
      </c>
      <c r="R282">
        <v>1.7030000000000001</v>
      </c>
      <c r="S282">
        <v>1.4072</v>
      </c>
      <c r="T282">
        <v>1.61897</v>
      </c>
      <c r="U282">
        <v>1.5522100000000001</v>
      </c>
    </row>
    <row r="283" spans="1:21">
      <c r="A283" s="91">
        <v>41554</v>
      </c>
      <c r="B283" s="86">
        <v>41554</v>
      </c>
      <c r="C283" s="93">
        <v>1.1852554225435599</v>
      </c>
      <c r="D283" s="85" t="s">
        <v>1310</v>
      </c>
      <c r="F283" s="91">
        <v>41554</v>
      </c>
      <c r="G283">
        <v>1.355</v>
      </c>
      <c r="H283">
        <v>1.5204000000000002</v>
      </c>
      <c r="I283">
        <v>1.4233900000000002</v>
      </c>
      <c r="J283">
        <v>1.569</v>
      </c>
      <c r="K283">
        <v>1.6435</v>
      </c>
      <c r="L283">
        <v>1.6479999999999999</v>
      </c>
      <c r="M283">
        <v>1.4901</v>
      </c>
      <c r="N283">
        <v>1.66</v>
      </c>
      <c r="O283">
        <v>1.37802</v>
      </c>
      <c r="P283">
        <v>1.59948</v>
      </c>
      <c r="Q283">
        <v>1.7335399999999999</v>
      </c>
      <c r="R283">
        <v>1.7110000000000001</v>
      </c>
      <c r="S283">
        <v>1.41147</v>
      </c>
      <c r="T283">
        <v>1.6008</v>
      </c>
      <c r="U283">
        <v>1.5600499999999999</v>
      </c>
    </row>
    <row r="284" spans="1:21">
      <c r="A284" s="91">
        <v>41547</v>
      </c>
      <c r="B284" s="86">
        <v>41547</v>
      </c>
      <c r="C284" s="93">
        <v>1.19610071167992</v>
      </c>
      <c r="D284" s="85" t="s">
        <v>1311</v>
      </c>
      <c r="F284" s="91">
        <v>41547</v>
      </c>
      <c r="G284">
        <v>1.375</v>
      </c>
      <c r="H284">
        <v>1.5435999999999999</v>
      </c>
      <c r="I284">
        <v>1.4200200000000001</v>
      </c>
      <c r="J284">
        <v>1.587</v>
      </c>
      <c r="K284">
        <v>1.6438699999999999</v>
      </c>
      <c r="L284">
        <v>1.6459999999999999</v>
      </c>
      <c r="M284">
        <v>1.5012999999999999</v>
      </c>
      <c r="N284">
        <v>1.6659999999999999</v>
      </c>
      <c r="O284">
        <v>1.3674999999999999</v>
      </c>
      <c r="P284">
        <v>1.59948</v>
      </c>
      <c r="Q284">
        <v>1.73359</v>
      </c>
      <c r="R284">
        <v>1.7250000000000001</v>
      </c>
      <c r="S284">
        <v>1.41584</v>
      </c>
      <c r="T284">
        <v>1.6280699999999999</v>
      </c>
      <c r="U284">
        <v>1.5956199999999998</v>
      </c>
    </row>
    <row r="285" spans="1:21">
      <c r="A285" s="91">
        <v>41540</v>
      </c>
      <c r="B285" s="86">
        <v>41540</v>
      </c>
      <c r="C285" s="93">
        <v>1.1888486001307699</v>
      </c>
      <c r="D285" s="85" t="s">
        <v>1062</v>
      </c>
      <c r="F285" s="91">
        <v>41540</v>
      </c>
      <c r="G285">
        <v>1.387</v>
      </c>
      <c r="H285">
        <v>1.5275999999999998</v>
      </c>
      <c r="I285">
        <v>1.41944</v>
      </c>
      <c r="J285">
        <v>1.5880000000000001</v>
      </c>
      <c r="K285">
        <v>1.6640699999999999</v>
      </c>
      <c r="L285">
        <v>1.673</v>
      </c>
      <c r="M285">
        <v>1.5185999999999999</v>
      </c>
      <c r="N285">
        <v>1.6859999999999999</v>
      </c>
      <c r="O285">
        <v>1.38591</v>
      </c>
      <c r="P285">
        <v>1.56803</v>
      </c>
      <c r="Q285">
        <v>1.7538499999999999</v>
      </c>
      <c r="R285">
        <v>1.7509999999999999</v>
      </c>
      <c r="S285">
        <v>1.4245999999999999</v>
      </c>
      <c r="T285">
        <v>1.65045</v>
      </c>
      <c r="U285">
        <v>1.62818</v>
      </c>
    </row>
    <row r="286" spans="1:21">
      <c r="A286" s="91">
        <v>41533</v>
      </c>
      <c r="B286" s="86">
        <v>41533</v>
      </c>
      <c r="C286" s="93">
        <v>1.19260584376863</v>
      </c>
      <c r="D286" s="85" t="s">
        <v>1312</v>
      </c>
      <c r="F286" s="91">
        <v>41533</v>
      </c>
      <c r="G286">
        <v>1.3979999999999999</v>
      </c>
      <c r="H286">
        <v>1.6097000000000001</v>
      </c>
      <c r="I286">
        <v>1.4365299999999999</v>
      </c>
      <c r="J286">
        <v>1.6080000000000001</v>
      </c>
      <c r="K286">
        <v>1.67771</v>
      </c>
      <c r="L286">
        <v>1.665</v>
      </c>
      <c r="M286">
        <v>1.5417000000000001</v>
      </c>
      <c r="N286">
        <v>1.7050000000000001</v>
      </c>
      <c r="O286">
        <v>1.4237</v>
      </c>
      <c r="P286">
        <v>1.56803</v>
      </c>
      <c r="Q286">
        <v>1.7758699999999998</v>
      </c>
      <c r="R286">
        <v>1.7609999999999999</v>
      </c>
      <c r="S286">
        <v>1.4539300000000002</v>
      </c>
      <c r="T286">
        <v>1.6671800000000001</v>
      </c>
      <c r="U286">
        <v>1.63951</v>
      </c>
    </row>
    <row r="287" spans="1:21">
      <c r="A287" s="91">
        <v>41526</v>
      </c>
      <c r="B287" s="86">
        <v>41526</v>
      </c>
      <c r="C287" s="93">
        <v>1.1886366337810501</v>
      </c>
      <c r="D287" s="85" t="s">
        <v>1313</v>
      </c>
      <c r="F287" s="91">
        <v>41526</v>
      </c>
      <c r="G287">
        <v>1.4319999999999999</v>
      </c>
      <c r="H287">
        <v>1.6397999999999999</v>
      </c>
      <c r="I287">
        <v>1.43506</v>
      </c>
      <c r="J287">
        <v>1.6339999999999999</v>
      </c>
      <c r="K287">
        <v>1.71875</v>
      </c>
      <c r="L287">
        <v>1.68</v>
      </c>
      <c r="M287">
        <v>1.5552999999999999</v>
      </c>
      <c r="N287">
        <v>1.732</v>
      </c>
      <c r="O287">
        <v>1.44943</v>
      </c>
      <c r="P287">
        <v>1.56803</v>
      </c>
      <c r="Q287">
        <v>1.78603</v>
      </c>
      <c r="R287">
        <v>1.7789999999999999</v>
      </c>
      <c r="S287">
        <v>1.4777799999999999</v>
      </c>
      <c r="T287">
        <v>1.6910099999999999</v>
      </c>
      <c r="U287">
        <v>1.6355899999999999</v>
      </c>
    </row>
    <row r="288" spans="1:21">
      <c r="A288" s="91">
        <v>41519</v>
      </c>
      <c r="B288" s="86">
        <v>41519</v>
      </c>
      <c r="C288" s="93">
        <v>1.1795930404010599</v>
      </c>
      <c r="D288" s="85" t="s">
        <v>1314</v>
      </c>
      <c r="F288" s="91">
        <v>41519</v>
      </c>
      <c r="G288">
        <v>1.4410000000000001</v>
      </c>
      <c r="H288">
        <v>1.6476</v>
      </c>
      <c r="I288">
        <v>1.4336300000000002</v>
      </c>
      <c r="J288">
        <v>1.647</v>
      </c>
      <c r="K288">
        <v>1.73743</v>
      </c>
      <c r="L288">
        <v>1.665</v>
      </c>
      <c r="M288">
        <v>1.5615000000000001</v>
      </c>
      <c r="N288">
        <v>1.726</v>
      </c>
      <c r="O288">
        <v>1.4391700000000001</v>
      </c>
      <c r="P288">
        <v>1.56803</v>
      </c>
      <c r="Q288">
        <v>1.78163</v>
      </c>
      <c r="R288">
        <v>1.7769999999999999</v>
      </c>
      <c r="S288">
        <v>1.4701900000000001</v>
      </c>
      <c r="T288">
        <v>1.7191800000000002</v>
      </c>
      <c r="U288">
        <v>1.6176600000000001</v>
      </c>
    </row>
    <row r="289" spans="1:21">
      <c r="A289" s="91">
        <v>41512</v>
      </c>
      <c r="B289" s="86">
        <v>41512</v>
      </c>
      <c r="C289" s="93">
        <v>1.1648223645894</v>
      </c>
      <c r="D289" s="85" t="s">
        <v>1315</v>
      </c>
      <c r="F289" s="91">
        <v>41512</v>
      </c>
      <c r="G289">
        <v>1.415</v>
      </c>
      <c r="H289">
        <v>1.5954000000000002</v>
      </c>
      <c r="I289">
        <v>1.4369799999999999</v>
      </c>
      <c r="J289">
        <v>1.6279999999999999</v>
      </c>
      <c r="K289">
        <v>1.7066400000000002</v>
      </c>
      <c r="L289">
        <v>1.681</v>
      </c>
      <c r="M289">
        <v>1.548</v>
      </c>
      <c r="N289">
        <v>1.712</v>
      </c>
      <c r="O289">
        <v>1.4299900000000001</v>
      </c>
      <c r="P289">
        <v>1.56803</v>
      </c>
      <c r="Q289">
        <v>1.76898</v>
      </c>
      <c r="R289">
        <v>1.7649999999999999</v>
      </c>
      <c r="S289">
        <v>1.4568099999999999</v>
      </c>
      <c r="T289">
        <v>1.6721900000000001</v>
      </c>
      <c r="U289">
        <v>1.59379</v>
      </c>
    </row>
    <row r="290" spans="1:21">
      <c r="A290" s="91">
        <v>41505</v>
      </c>
      <c r="B290" s="86">
        <v>41505</v>
      </c>
      <c r="C290" s="93">
        <v>1.1724703951225199</v>
      </c>
      <c r="D290" s="85" t="s">
        <v>1316</v>
      </c>
      <c r="F290" s="91">
        <v>41505</v>
      </c>
      <c r="G290">
        <v>1.4179999999999999</v>
      </c>
      <c r="H290">
        <v>1.6125</v>
      </c>
      <c r="I290">
        <v>1.4224700000000001</v>
      </c>
      <c r="J290">
        <v>1.63</v>
      </c>
      <c r="K290">
        <v>1.72051</v>
      </c>
      <c r="L290">
        <v>1.66</v>
      </c>
      <c r="M290">
        <v>1.5375000000000001</v>
      </c>
      <c r="N290">
        <v>1.7030000000000001</v>
      </c>
      <c r="O290">
        <v>1.40421</v>
      </c>
      <c r="P290">
        <v>1.56803</v>
      </c>
      <c r="Q290">
        <v>1.7620100000000001</v>
      </c>
      <c r="R290">
        <v>1.7589999999999999</v>
      </c>
      <c r="S290">
        <v>1.44892</v>
      </c>
      <c r="T290">
        <v>1.68675</v>
      </c>
      <c r="U290">
        <v>1.6062700000000001</v>
      </c>
    </row>
    <row r="291" spans="1:21">
      <c r="A291" s="91">
        <v>41498</v>
      </c>
      <c r="B291" s="86">
        <v>41498</v>
      </c>
      <c r="C291" s="93">
        <v>1.1646866992778899</v>
      </c>
      <c r="D291" s="85" t="s">
        <v>1317</v>
      </c>
      <c r="F291" s="91">
        <v>41498</v>
      </c>
      <c r="G291">
        <v>1.4079999999999999</v>
      </c>
      <c r="H291">
        <v>1.6532</v>
      </c>
      <c r="I291">
        <v>1.42388</v>
      </c>
      <c r="J291">
        <v>1.6040000000000001</v>
      </c>
      <c r="K291">
        <v>1.69187</v>
      </c>
      <c r="L291">
        <v>1.6739999999999999</v>
      </c>
      <c r="M291">
        <v>1.5443</v>
      </c>
      <c r="N291">
        <v>1.714</v>
      </c>
      <c r="O291">
        <v>1.4365399999999999</v>
      </c>
      <c r="P291">
        <v>1.56803</v>
      </c>
      <c r="Q291">
        <v>1.7687899999999999</v>
      </c>
      <c r="R291">
        <v>1.758</v>
      </c>
      <c r="S291">
        <v>1.4509000000000001</v>
      </c>
      <c r="T291">
        <v>1.66432</v>
      </c>
      <c r="U291">
        <v>1.5971300000000002</v>
      </c>
    </row>
    <row r="292" spans="1:21">
      <c r="A292" s="91">
        <v>41491</v>
      </c>
      <c r="B292" s="86">
        <v>41491</v>
      </c>
      <c r="C292" s="93">
        <v>1.1570726063060499</v>
      </c>
      <c r="D292" s="85" t="s">
        <v>1318</v>
      </c>
      <c r="F292" s="91">
        <v>41491</v>
      </c>
      <c r="G292">
        <v>1.4159999999999999</v>
      </c>
      <c r="H292">
        <v>1.6032</v>
      </c>
      <c r="I292">
        <v>1.4228299999999998</v>
      </c>
      <c r="J292">
        <v>1.6279999999999999</v>
      </c>
      <c r="K292">
        <v>1.7276099999999999</v>
      </c>
      <c r="L292">
        <v>1.6879999999999999</v>
      </c>
      <c r="M292">
        <v>1.5455999999999999</v>
      </c>
      <c r="N292">
        <v>1.7190000000000001</v>
      </c>
      <c r="O292">
        <v>1.42266</v>
      </c>
      <c r="P292">
        <v>1.56803</v>
      </c>
      <c r="Q292">
        <v>1.7698099999999999</v>
      </c>
      <c r="R292">
        <v>1.7689999999999999</v>
      </c>
      <c r="S292">
        <v>1.45756</v>
      </c>
      <c r="T292">
        <v>1.68858</v>
      </c>
      <c r="U292">
        <v>1.5853699999999999</v>
      </c>
    </row>
    <row r="293" spans="1:21">
      <c r="A293" s="91">
        <v>41484</v>
      </c>
      <c r="B293" s="86">
        <v>41484</v>
      </c>
      <c r="C293" s="93">
        <v>1.1582117211026199</v>
      </c>
      <c r="D293" s="85" t="s">
        <v>1319</v>
      </c>
      <c r="F293" s="91">
        <v>41484</v>
      </c>
      <c r="G293">
        <v>1.419</v>
      </c>
      <c r="H293">
        <v>1.6032</v>
      </c>
      <c r="I293">
        <v>1.4270699999999998</v>
      </c>
      <c r="J293">
        <v>1.6180000000000001</v>
      </c>
      <c r="K293">
        <v>1.7046700000000001</v>
      </c>
      <c r="L293">
        <v>1.669</v>
      </c>
      <c r="M293">
        <v>1.5312000000000001</v>
      </c>
      <c r="N293">
        <v>1.724</v>
      </c>
      <c r="O293">
        <v>1.4359999999999999</v>
      </c>
      <c r="P293">
        <v>1.56803</v>
      </c>
      <c r="Q293">
        <v>1.77129</v>
      </c>
      <c r="R293">
        <v>1.768</v>
      </c>
      <c r="S293">
        <v>1.4715100000000001</v>
      </c>
      <c r="T293">
        <v>1.7008099999999999</v>
      </c>
      <c r="U293">
        <v>1.5852200000000001</v>
      </c>
    </row>
    <row r="294" spans="1:21">
      <c r="A294" s="91">
        <v>41477</v>
      </c>
      <c r="B294" s="86">
        <v>41477</v>
      </c>
      <c r="C294" s="93">
        <v>1.1641443538998799</v>
      </c>
      <c r="D294" s="85" t="s">
        <v>1320</v>
      </c>
      <c r="F294" s="91">
        <v>41477</v>
      </c>
      <c r="G294">
        <v>1.429</v>
      </c>
      <c r="H294">
        <v>1.6862000000000001</v>
      </c>
      <c r="I294">
        <v>1.42</v>
      </c>
      <c r="J294">
        <v>1.649</v>
      </c>
      <c r="K294">
        <v>1.72837</v>
      </c>
      <c r="L294">
        <v>1.659</v>
      </c>
      <c r="M294">
        <v>1.5590999999999999</v>
      </c>
      <c r="N294">
        <v>1.7190000000000001</v>
      </c>
      <c r="O294">
        <v>1.4540799999999998</v>
      </c>
      <c r="P294">
        <v>1.57504</v>
      </c>
      <c r="Q294">
        <v>1.7714100000000002</v>
      </c>
      <c r="R294">
        <v>1.7689999999999999</v>
      </c>
      <c r="S294">
        <v>1.4729700000000001</v>
      </c>
      <c r="T294">
        <v>1.72885</v>
      </c>
      <c r="U294">
        <v>1.5836600000000001</v>
      </c>
    </row>
    <row r="295" spans="1:21">
      <c r="A295" s="91">
        <v>41470</v>
      </c>
      <c r="B295" s="86">
        <v>41470</v>
      </c>
      <c r="C295" s="93">
        <v>1.1564704521799498</v>
      </c>
      <c r="D295" s="85" t="s">
        <v>1321</v>
      </c>
      <c r="F295" s="91">
        <v>41470</v>
      </c>
      <c r="G295">
        <v>1.427</v>
      </c>
      <c r="H295">
        <v>1.6080000000000001</v>
      </c>
      <c r="I295">
        <v>1.4056900000000001</v>
      </c>
      <c r="J295">
        <v>1.6359999999999999</v>
      </c>
      <c r="K295">
        <v>1.7230699999999999</v>
      </c>
      <c r="L295">
        <v>1.663</v>
      </c>
      <c r="M295">
        <v>1.5363</v>
      </c>
      <c r="N295">
        <v>1.7</v>
      </c>
      <c r="O295">
        <v>1.44293</v>
      </c>
      <c r="P295">
        <v>1.57504</v>
      </c>
      <c r="Q295">
        <v>1.7621300000000002</v>
      </c>
      <c r="R295">
        <v>1.7549999999999999</v>
      </c>
      <c r="S295">
        <v>1.45092</v>
      </c>
      <c r="T295">
        <v>1.6935899999999999</v>
      </c>
      <c r="U295">
        <v>1.5606099999999998</v>
      </c>
    </row>
    <row r="296" spans="1:21">
      <c r="A296" s="91">
        <v>41463</v>
      </c>
      <c r="B296" s="86">
        <v>41463</v>
      </c>
      <c r="C296" s="93">
        <v>1.1606313834726099</v>
      </c>
      <c r="D296" s="85" t="s">
        <v>1322</v>
      </c>
      <c r="F296" s="91">
        <v>41463</v>
      </c>
      <c r="G296">
        <v>1.3979999999999999</v>
      </c>
      <c r="H296">
        <v>1.571</v>
      </c>
      <c r="I296">
        <v>1.3916300000000001</v>
      </c>
      <c r="J296">
        <v>1.61</v>
      </c>
      <c r="K296">
        <v>1.69987</v>
      </c>
      <c r="L296">
        <v>1.64</v>
      </c>
      <c r="M296">
        <v>1.5247999999999999</v>
      </c>
      <c r="N296">
        <v>1.679</v>
      </c>
      <c r="O296">
        <v>1.4017200000000001</v>
      </c>
      <c r="P296">
        <v>1.57504</v>
      </c>
      <c r="Q296">
        <v>1.7406900000000001</v>
      </c>
      <c r="R296">
        <v>1.7350000000000001</v>
      </c>
      <c r="S296">
        <v>1.42228</v>
      </c>
      <c r="T296">
        <v>1.66045</v>
      </c>
      <c r="U296">
        <v>1.5525599999999999</v>
      </c>
    </row>
    <row r="297" spans="1:21">
      <c r="A297" s="91">
        <v>41456</v>
      </c>
      <c r="B297" s="86">
        <v>41456</v>
      </c>
      <c r="C297" s="93">
        <v>1.16788321167883</v>
      </c>
      <c r="D297" s="85" t="s">
        <v>1323</v>
      </c>
      <c r="F297" s="91">
        <v>41456</v>
      </c>
      <c r="G297">
        <v>1.395</v>
      </c>
      <c r="H297">
        <v>1.573</v>
      </c>
      <c r="I297">
        <v>1.3879900000000001</v>
      </c>
      <c r="J297">
        <v>1.595</v>
      </c>
      <c r="K297">
        <v>1.66642</v>
      </c>
      <c r="L297">
        <v>1.645</v>
      </c>
      <c r="M297">
        <v>1.5252000000000001</v>
      </c>
      <c r="N297">
        <v>1.681</v>
      </c>
      <c r="O297">
        <v>1.4036099999999998</v>
      </c>
      <c r="P297">
        <v>1.57504</v>
      </c>
      <c r="Q297">
        <v>1.7350300000000001</v>
      </c>
      <c r="R297">
        <v>1.728</v>
      </c>
      <c r="S297">
        <v>1.4209700000000001</v>
      </c>
      <c r="T297">
        <v>1.6496500000000001</v>
      </c>
      <c r="U297">
        <v>1.5584200000000001</v>
      </c>
    </row>
    <row r="298" spans="1:21">
      <c r="A298" s="91">
        <v>41449</v>
      </c>
      <c r="B298" s="86">
        <v>41449</v>
      </c>
      <c r="C298" s="93">
        <v>1.1748810432943699</v>
      </c>
      <c r="D298" s="85" t="s">
        <v>1324</v>
      </c>
      <c r="F298" s="91">
        <v>41449</v>
      </c>
      <c r="G298">
        <v>1.3919999999999999</v>
      </c>
      <c r="H298">
        <v>1.595</v>
      </c>
      <c r="I298">
        <v>1.3941600000000001</v>
      </c>
      <c r="J298">
        <v>1.603</v>
      </c>
      <c r="K298">
        <v>1.6731500000000001</v>
      </c>
      <c r="L298">
        <v>1.6319999999999999</v>
      </c>
      <c r="M298">
        <v>1.5329999999999999</v>
      </c>
      <c r="N298">
        <v>1.6850000000000001</v>
      </c>
      <c r="O298">
        <v>1.3740399999999999</v>
      </c>
      <c r="P298">
        <v>1.57504</v>
      </c>
      <c r="Q298">
        <v>1.7321500000000001</v>
      </c>
      <c r="R298">
        <v>1.7290000000000001</v>
      </c>
      <c r="S298">
        <v>1.42553</v>
      </c>
      <c r="T298">
        <v>1.6139000000000001</v>
      </c>
      <c r="U298">
        <v>1.5804500000000001</v>
      </c>
    </row>
    <row r="299" spans="1:21">
      <c r="A299" s="91">
        <v>41442</v>
      </c>
      <c r="B299" s="86">
        <v>41442</v>
      </c>
      <c r="C299" s="93">
        <v>1.1798713940180499</v>
      </c>
      <c r="D299" s="85" t="s">
        <v>1325</v>
      </c>
      <c r="F299" s="91">
        <v>41442</v>
      </c>
      <c r="G299">
        <v>1.39</v>
      </c>
      <c r="H299">
        <v>1.5934999999999999</v>
      </c>
      <c r="I299">
        <v>1.40099</v>
      </c>
      <c r="J299">
        <v>1.5880000000000001</v>
      </c>
      <c r="K299">
        <v>1.6692100000000001</v>
      </c>
      <c r="L299">
        <v>1.637</v>
      </c>
      <c r="M299">
        <v>1.5314000000000001</v>
      </c>
      <c r="N299">
        <v>1.6870000000000001</v>
      </c>
      <c r="O299">
        <v>1.42658</v>
      </c>
      <c r="P299">
        <v>1.5870799999999998</v>
      </c>
      <c r="Q299">
        <v>1.73116</v>
      </c>
      <c r="R299">
        <v>1.7290000000000001</v>
      </c>
      <c r="S299">
        <v>1.4241900000000001</v>
      </c>
      <c r="T299">
        <v>1.6656600000000001</v>
      </c>
      <c r="U299">
        <v>1.58643</v>
      </c>
    </row>
    <row r="300" spans="1:21">
      <c r="A300" s="91">
        <v>41435</v>
      </c>
      <c r="B300" s="86">
        <v>41435</v>
      </c>
      <c r="C300" s="93">
        <v>1.17591721542803</v>
      </c>
      <c r="D300" s="85" t="s">
        <v>1326</v>
      </c>
      <c r="F300" s="91">
        <v>41435</v>
      </c>
      <c r="G300">
        <v>1.395</v>
      </c>
      <c r="H300">
        <v>1.5797000000000001</v>
      </c>
      <c r="I300">
        <v>1.4045799999999999</v>
      </c>
      <c r="J300">
        <v>1.6020000000000001</v>
      </c>
      <c r="K300">
        <v>1.6832100000000001</v>
      </c>
      <c r="L300">
        <v>1.6479999999999999</v>
      </c>
      <c r="M300">
        <v>1.5398000000000001</v>
      </c>
      <c r="N300">
        <v>1.6890000000000001</v>
      </c>
      <c r="O300">
        <v>1.3875500000000001</v>
      </c>
      <c r="P300">
        <v>1.5870799999999998</v>
      </c>
      <c r="Q300">
        <v>1.73546</v>
      </c>
      <c r="R300">
        <v>1.73</v>
      </c>
      <c r="S300">
        <v>1.4303299999999999</v>
      </c>
      <c r="T300">
        <v>1.6576</v>
      </c>
      <c r="U300">
        <v>1.57925</v>
      </c>
    </row>
    <row r="301" spans="1:21">
      <c r="A301" s="91">
        <v>41428</v>
      </c>
      <c r="B301" s="86">
        <v>41428</v>
      </c>
      <c r="C301" s="93">
        <v>1.17398450340456</v>
      </c>
      <c r="D301" s="85" t="s">
        <v>1327</v>
      </c>
      <c r="F301" s="91">
        <v>41428</v>
      </c>
      <c r="G301">
        <v>1.395</v>
      </c>
      <c r="H301">
        <v>1.5824</v>
      </c>
      <c r="I301">
        <v>1.3957999999999999</v>
      </c>
      <c r="J301">
        <v>1.609</v>
      </c>
      <c r="K301">
        <v>1.6836099999999998</v>
      </c>
      <c r="L301">
        <v>1.64</v>
      </c>
      <c r="M301">
        <v>1.5410999999999999</v>
      </c>
      <c r="N301">
        <v>1.6890000000000001</v>
      </c>
      <c r="O301">
        <v>1.39568</v>
      </c>
      <c r="P301">
        <v>1.5870799999999998</v>
      </c>
      <c r="Q301">
        <v>1.73648</v>
      </c>
      <c r="R301">
        <v>1.74</v>
      </c>
      <c r="S301">
        <v>1.4360999999999999</v>
      </c>
      <c r="T301">
        <v>1.6909100000000001</v>
      </c>
      <c r="U301">
        <v>1.5736600000000001</v>
      </c>
    </row>
    <row r="302" spans="1:21">
      <c r="A302" s="91">
        <v>41421</v>
      </c>
      <c r="B302" s="86">
        <v>41421</v>
      </c>
      <c r="C302" s="93">
        <v>1.16877045348294</v>
      </c>
      <c r="D302" s="85" t="s">
        <v>1328</v>
      </c>
      <c r="F302" s="91">
        <v>41421</v>
      </c>
      <c r="G302">
        <v>1.3939999999999999</v>
      </c>
      <c r="H302">
        <v>1.5592999999999999</v>
      </c>
      <c r="I302">
        <v>1.3770799999999999</v>
      </c>
      <c r="J302">
        <v>1.629</v>
      </c>
      <c r="K302">
        <v>1.6811800000000001</v>
      </c>
      <c r="L302">
        <v>1.6459999999999999</v>
      </c>
      <c r="M302">
        <v>1.5402</v>
      </c>
      <c r="N302">
        <v>1.665</v>
      </c>
      <c r="O302">
        <v>1.42587</v>
      </c>
      <c r="P302">
        <v>1.5870799999999998</v>
      </c>
      <c r="Q302">
        <v>1.7329700000000001</v>
      </c>
      <c r="R302">
        <v>1.732</v>
      </c>
      <c r="S302">
        <v>1.4373</v>
      </c>
      <c r="T302">
        <v>1.6861700000000002</v>
      </c>
      <c r="U302">
        <v>1.56192</v>
      </c>
    </row>
    <row r="303" spans="1:21">
      <c r="A303" s="91">
        <v>41414</v>
      </c>
      <c r="B303" s="86">
        <v>41414</v>
      </c>
      <c r="C303" s="93">
        <v>1.1825922421948898</v>
      </c>
      <c r="D303" s="85" t="s">
        <v>1329</v>
      </c>
      <c r="F303" s="91">
        <v>41414</v>
      </c>
      <c r="G303">
        <v>1.3879999999999999</v>
      </c>
      <c r="H303">
        <v>1.5592999999999999</v>
      </c>
      <c r="I303">
        <v>1.3568800000000001</v>
      </c>
      <c r="J303">
        <v>1.629</v>
      </c>
      <c r="K303">
        <v>1.6973499999999999</v>
      </c>
      <c r="L303">
        <v>1.617</v>
      </c>
      <c r="M303">
        <v>1.5270999999999999</v>
      </c>
      <c r="N303">
        <v>1.665</v>
      </c>
      <c r="O303">
        <v>1.4104000000000001</v>
      </c>
      <c r="P303">
        <v>1.5870799999999998</v>
      </c>
      <c r="Q303">
        <v>1.7171400000000001</v>
      </c>
      <c r="R303">
        <v>1.728</v>
      </c>
      <c r="S303">
        <v>1.4120699999999999</v>
      </c>
      <c r="T303">
        <v>1.7019600000000001</v>
      </c>
      <c r="U303">
        <v>1.5748800000000001</v>
      </c>
    </row>
    <row r="304" spans="1:21">
      <c r="A304" s="91">
        <v>41407</v>
      </c>
      <c r="B304" s="86">
        <v>41407</v>
      </c>
      <c r="C304" s="93">
        <v>1.1846937566639</v>
      </c>
      <c r="D304" s="85" t="s">
        <v>1330</v>
      </c>
      <c r="F304" s="91">
        <v>41407</v>
      </c>
      <c r="G304">
        <v>1.383</v>
      </c>
      <c r="H304">
        <v>1.5592999999999999</v>
      </c>
      <c r="I304">
        <v>1.3683599999999998</v>
      </c>
      <c r="J304">
        <v>1.597</v>
      </c>
      <c r="K304">
        <v>1.64086</v>
      </c>
      <c r="L304">
        <v>1.6180000000000001</v>
      </c>
      <c r="M304">
        <v>1.5152000000000001</v>
      </c>
      <c r="N304">
        <v>1.659</v>
      </c>
      <c r="O304">
        <v>1.3922099999999999</v>
      </c>
      <c r="P304">
        <v>1.61758</v>
      </c>
      <c r="Q304">
        <v>1.70984</v>
      </c>
      <c r="R304">
        <v>1.7110000000000001</v>
      </c>
      <c r="S304">
        <v>1.405</v>
      </c>
      <c r="T304">
        <v>1.6679900000000001</v>
      </c>
      <c r="U304">
        <v>1.5774600000000001</v>
      </c>
    </row>
    <row r="305" spans="1:21">
      <c r="A305" s="91">
        <v>41400</v>
      </c>
      <c r="B305" s="86">
        <v>41400</v>
      </c>
      <c r="C305" s="93">
        <v>1.1860989206499799</v>
      </c>
      <c r="D305" s="85" t="s">
        <v>1061</v>
      </c>
      <c r="F305" s="91">
        <v>41400</v>
      </c>
      <c r="G305">
        <v>1.367</v>
      </c>
      <c r="H305">
        <v>1.5449000000000002</v>
      </c>
      <c r="I305">
        <v>1.3829100000000001</v>
      </c>
      <c r="J305">
        <v>1.6</v>
      </c>
      <c r="K305">
        <v>1.6195299999999999</v>
      </c>
      <c r="L305">
        <v>1.627</v>
      </c>
      <c r="M305">
        <v>1.5149000000000001</v>
      </c>
      <c r="N305">
        <v>1.6619999999999999</v>
      </c>
      <c r="O305">
        <v>1.3865799999999999</v>
      </c>
      <c r="P305">
        <v>1.61758</v>
      </c>
      <c r="Q305">
        <v>1.71309</v>
      </c>
      <c r="R305">
        <v>1.7130000000000001</v>
      </c>
      <c r="S305">
        <v>1.39693</v>
      </c>
      <c r="T305">
        <v>1.6418599999999999</v>
      </c>
      <c r="U305">
        <v>1.58246</v>
      </c>
    </row>
    <row r="306" spans="1:21">
      <c r="A306" s="91">
        <v>41393</v>
      </c>
      <c r="B306" s="86">
        <v>41393</v>
      </c>
      <c r="C306" s="93">
        <v>1.1848341232227499</v>
      </c>
      <c r="D306" s="85" t="s">
        <v>1331</v>
      </c>
      <c r="F306" s="91">
        <v>41393</v>
      </c>
      <c r="G306">
        <v>1.3720000000000001</v>
      </c>
      <c r="H306">
        <v>1.6259999999999999</v>
      </c>
      <c r="I306">
        <v>1.38798</v>
      </c>
      <c r="J306">
        <v>1.593</v>
      </c>
      <c r="K306">
        <v>1.6428800000000001</v>
      </c>
      <c r="L306">
        <v>1.635</v>
      </c>
      <c r="M306">
        <v>1.5229999999999999</v>
      </c>
      <c r="N306">
        <v>1.66</v>
      </c>
      <c r="O306">
        <v>1.3630199999999999</v>
      </c>
      <c r="P306">
        <v>1.61758</v>
      </c>
      <c r="Q306">
        <v>1.7111500000000002</v>
      </c>
      <c r="R306">
        <v>1.7210000000000001</v>
      </c>
      <c r="S306">
        <v>1.40269</v>
      </c>
      <c r="T306">
        <v>1.68357</v>
      </c>
      <c r="U306">
        <v>1.59552</v>
      </c>
    </row>
    <row r="307" spans="1:21">
      <c r="A307" s="91">
        <v>41386</v>
      </c>
      <c r="B307" s="86">
        <v>41386</v>
      </c>
      <c r="C307" s="93">
        <v>1.16781501810113</v>
      </c>
      <c r="D307" s="85" t="s">
        <v>1332</v>
      </c>
      <c r="F307" s="91">
        <v>41386</v>
      </c>
      <c r="G307">
        <v>1.3680000000000001</v>
      </c>
      <c r="H307">
        <v>1.5494000000000001</v>
      </c>
      <c r="I307">
        <v>1.3887</v>
      </c>
      <c r="J307">
        <v>1.6020000000000001</v>
      </c>
      <c r="K307">
        <v>1.62443</v>
      </c>
      <c r="L307">
        <v>1.6519999999999999</v>
      </c>
      <c r="M307">
        <v>1.5249999999999999</v>
      </c>
      <c r="N307">
        <v>1.67</v>
      </c>
      <c r="O307">
        <v>1.3645</v>
      </c>
      <c r="P307">
        <v>1.61758</v>
      </c>
      <c r="Q307">
        <v>1.72285</v>
      </c>
      <c r="R307">
        <v>1.722</v>
      </c>
      <c r="S307">
        <v>1.40351</v>
      </c>
      <c r="T307">
        <v>1.6555299999999999</v>
      </c>
      <c r="U307">
        <v>1.5845</v>
      </c>
    </row>
    <row r="308" spans="1:21">
      <c r="A308" s="91">
        <v>41379</v>
      </c>
      <c r="B308" s="86">
        <v>41379</v>
      </c>
      <c r="C308" s="93">
        <v>1.1724703951225199</v>
      </c>
      <c r="D308" s="85" t="s">
        <v>1333</v>
      </c>
      <c r="F308" s="91">
        <v>41379</v>
      </c>
      <c r="G308">
        <v>1.3919999999999999</v>
      </c>
      <c r="H308">
        <v>1.5885</v>
      </c>
      <c r="I308">
        <v>1.4058199999999998</v>
      </c>
      <c r="J308">
        <v>1.61</v>
      </c>
      <c r="K308">
        <v>1.63761</v>
      </c>
      <c r="L308">
        <v>1.6659999999999999</v>
      </c>
      <c r="M308">
        <v>1.5615999999999999</v>
      </c>
      <c r="N308">
        <v>1.706</v>
      </c>
      <c r="O308">
        <v>1.4352499999999999</v>
      </c>
      <c r="P308">
        <v>1.61758</v>
      </c>
      <c r="Q308">
        <v>1.7530899999999998</v>
      </c>
      <c r="R308">
        <v>1.748</v>
      </c>
      <c r="S308">
        <v>1.42824</v>
      </c>
      <c r="T308">
        <v>1.70183</v>
      </c>
      <c r="U308">
        <v>1.6075599999999999</v>
      </c>
    </row>
    <row r="309" spans="1:21">
      <c r="A309" s="91">
        <v>41372</v>
      </c>
      <c r="B309" s="86">
        <v>41372</v>
      </c>
      <c r="C309" s="93">
        <v>1.1751571772724601</v>
      </c>
      <c r="D309" s="85" t="s">
        <v>1263</v>
      </c>
      <c r="F309" s="91">
        <v>41372</v>
      </c>
      <c r="G309">
        <v>1.413</v>
      </c>
      <c r="H309">
        <v>1.6533</v>
      </c>
      <c r="I309">
        <v>1.4189799999999999</v>
      </c>
      <c r="J309">
        <v>1.63</v>
      </c>
      <c r="K309">
        <v>1.6782300000000001</v>
      </c>
      <c r="L309">
        <v>1.6850000000000001</v>
      </c>
      <c r="M309">
        <v>1.5968</v>
      </c>
      <c r="N309">
        <v>1.7310000000000001</v>
      </c>
      <c r="O309">
        <v>1.4620899999999999</v>
      </c>
      <c r="P309">
        <v>1.5892200000000001</v>
      </c>
      <c r="Q309">
        <v>1.7710399999999999</v>
      </c>
      <c r="R309">
        <v>1.77</v>
      </c>
      <c r="S309">
        <v>1.4644999999999999</v>
      </c>
      <c r="T309">
        <v>1.7280599999999999</v>
      </c>
      <c r="U309">
        <v>1.61355</v>
      </c>
    </row>
    <row r="310" spans="1:21">
      <c r="A310" s="91">
        <v>41358</v>
      </c>
      <c r="B310" s="86">
        <v>41358</v>
      </c>
      <c r="C310" s="93">
        <v>1.1742602160638798</v>
      </c>
      <c r="D310" s="85" t="s">
        <v>1334</v>
      </c>
      <c r="F310" s="91">
        <v>41358</v>
      </c>
      <c r="G310">
        <v>1.397</v>
      </c>
      <c r="H310">
        <v>1.5679000000000001</v>
      </c>
      <c r="I310">
        <v>1.4141300000000001</v>
      </c>
      <c r="J310">
        <v>1.6339999999999999</v>
      </c>
      <c r="K310">
        <v>1.7050799999999999</v>
      </c>
      <c r="L310">
        <v>1.665</v>
      </c>
      <c r="M310">
        <v>1.5866</v>
      </c>
      <c r="N310">
        <v>1.7290000000000001</v>
      </c>
      <c r="O310">
        <v>1.4111800000000001</v>
      </c>
      <c r="P310">
        <v>1.5892200000000001</v>
      </c>
      <c r="Q310">
        <v>1.7804</v>
      </c>
      <c r="R310">
        <v>1.7509999999999999</v>
      </c>
      <c r="S310">
        <v>1.45279</v>
      </c>
      <c r="T310">
        <v>1.7300599999999999</v>
      </c>
      <c r="U310">
        <v>1.60975</v>
      </c>
    </row>
    <row r="311" spans="1:21">
      <c r="A311" s="91">
        <v>41351</v>
      </c>
      <c r="B311" s="86">
        <v>41351</v>
      </c>
      <c r="C311" s="93">
        <v>1.1679514132212099</v>
      </c>
      <c r="D311" s="85" t="s">
        <v>1335</v>
      </c>
      <c r="F311" s="91">
        <v>41351</v>
      </c>
      <c r="G311">
        <v>1.3959999999999999</v>
      </c>
      <c r="H311">
        <v>1.5891999999999999</v>
      </c>
      <c r="I311">
        <v>1.4278299999999999</v>
      </c>
      <c r="J311">
        <v>1.5760000000000001</v>
      </c>
      <c r="K311">
        <v>1.6781400000000002</v>
      </c>
      <c r="L311">
        <v>1.6739999999999999</v>
      </c>
      <c r="M311">
        <v>1.58</v>
      </c>
      <c r="N311">
        <v>1.732</v>
      </c>
      <c r="O311">
        <v>1.39903</v>
      </c>
      <c r="P311">
        <v>1.5892200000000001</v>
      </c>
      <c r="Q311">
        <v>1.7882199999999999</v>
      </c>
      <c r="R311">
        <v>1.756</v>
      </c>
      <c r="S311">
        <v>1.4435100000000001</v>
      </c>
      <c r="T311">
        <v>1.7266400000000002</v>
      </c>
      <c r="U311">
        <v>1.6069</v>
      </c>
    </row>
    <row r="312" spans="1:21">
      <c r="A312" s="91">
        <v>41344</v>
      </c>
      <c r="B312" s="86">
        <v>41344</v>
      </c>
      <c r="C312" s="93">
        <v>1.14501631648251</v>
      </c>
      <c r="D312" s="85" t="s">
        <v>1336</v>
      </c>
      <c r="F312" s="91">
        <v>41344</v>
      </c>
      <c r="G312">
        <v>1.403</v>
      </c>
      <c r="H312">
        <v>1.6329</v>
      </c>
      <c r="I312">
        <v>1.4393499999999999</v>
      </c>
      <c r="J312">
        <v>1.5740000000000001</v>
      </c>
      <c r="K312">
        <v>1.67496</v>
      </c>
      <c r="L312">
        <v>1.6839999999999999</v>
      </c>
      <c r="M312">
        <v>1.5965</v>
      </c>
      <c r="N312">
        <v>1.7509999999999999</v>
      </c>
      <c r="O312">
        <v>1.4234</v>
      </c>
      <c r="P312">
        <v>1.5750200000000001</v>
      </c>
      <c r="Q312">
        <v>1.80382</v>
      </c>
      <c r="R312">
        <v>1.7809999999999999</v>
      </c>
      <c r="S312">
        <v>1.4545899999999998</v>
      </c>
      <c r="T312">
        <v>1.7349300000000001</v>
      </c>
      <c r="U312">
        <v>1.6029899999999999</v>
      </c>
    </row>
    <row r="313" spans="1:21">
      <c r="A313" s="91">
        <v>41337</v>
      </c>
      <c r="B313" s="86">
        <v>41337</v>
      </c>
      <c r="C313" s="93">
        <v>1.1574074074074099</v>
      </c>
      <c r="D313" s="85" t="s">
        <v>1337</v>
      </c>
      <c r="F313" s="91">
        <v>41337</v>
      </c>
      <c r="G313">
        <v>1.4259999999999999</v>
      </c>
      <c r="H313">
        <v>1.6647000000000001</v>
      </c>
      <c r="I313">
        <v>1.43675</v>
      </c>
      <c r="J313">
        <v>1.593</v>
      </c>
      <c r="K313">
        <v>1.6913699999999998</v>
      </c>
      <c r="L313">
        <v>1.6919999999999999</v>
      </c>
      <c r="M313">
        <v>1.6162000000000001</v>
      </c>
      <c r="N313">
        <v>1.7729999999999999</v>
      </c>
      <c r="O313">
        <v>1.4814700000000001</v>
      </c>
      <c r="P313">
        <v>1.6071900000000001</v>
      </c>
      <c r="Q313">
        <v>1.80972</v>
      </c>
      <c r="R313">
        <v>1.7929999999999999</v>
      </c>
      <c r="S313">
        <v>1.4885200000000001</v>
      </c>
      <c r="T313">
        <v>1.75953</v>
      </c>
      <c r="U313">
        <v>1.6142699999999999</v>
      </c>
    </row>
    <row r="314" spans="1:21">
      <c r="A314" s="91">
        <v>41330</v>
      </c>
      <c r="B314" s="86">
        <v>41330</v>
      </c>
      <c r="C314" s="93">
        <v>1.1377858686995102</v>
      </c>
      <c r="D314" s="85" t="s">
        <v>1338</v>
      </c>
      <c r="F314" s="91">
        <v>41330</v>
      </c>
      <c r="G314">
        <v>1.4590000000000001</v>
      </c>
      <c r="H314">
        <v>1.6342000000000001</v>
      </c>
      <c r="I314">
        <v>1.4404000000000001</v>
      </c>
      <c r="J314">
        <v>1.6180000000000001</v>
      </c>
      <c r="K314">
        <v>1.7235400000000001</v>
      </c>
      <c r="L314">
        <v>1.675</v>
      </c>
      <c r="M314">
        <v>1.6214999999999999</v>
      </c>
      <c r="N314">
        <v>1.774</v>
      </c>
      <c r="O314">
        <v>1.4990399999999999</v>
      </c>
      <c r="P314">
        <v>1.6071900000000001</v>
      </c>
      <c r="Q314">
        <v>1.8104200000000001</v>
      </c>
      <c r="R314">
        <v>1.8029999999999999</v>
      </c>
      <c r="S314">
        <v>1.50943</v>
      </c>
      <c r="T314">
        <v>1.74003</v>
      </c>
      <c r="U314">
        <v>1.5757999999999999</v>
      </c>
    </row>
    <row r="315" spans="1:21">
      <c r="A315" s="91">
        <v>41323</v>
      </c>
      <c r="B315" s="86">
        <v>41323</v>
      </c>
      <c r="C315" s="93">
        <v>1.1602274045712999</v>
      </c>
      <c r="D315" s="85" t="s">
        <v>1339</v>
      </c>
      <c r="F315" s="91">
        <v>41323</v>
      </c>
      <c r="G315">
        <v>1.454</v>
      </c>
      <c r="H315">
        <v>1.6222000000000001</v>
      </c>
      <c r="I315">
        <v>1.4344600000000001</v>
      </c>
      <c r="J315">
        <v>1.6579999999999999</v>
      </c>
      <c r="K315">
        <v>1.7212700000000001</v>
      </c>
      <c r="L315">
        <v>1.655</v>
      </c>
      <c r="M315">
        <v>1.6125999999999998</v>
      </c>
      <c r="N315">
        <v>1.7589999999999999</v>
      </c>
      <c r="O315">
        <v>1.4861900000000001</v>
      </c>
      <c r="P315">
        <v>1.6071900000000001</v>
      </c>
      <c r="Q315">
        <v>1.7960099999999999</v>
      </c>
      <c r="R315">
        <v>1.796</v>
      </c>
      <c r="S315">
        <v>1.4841300000000002</v>
      </c>
      <c r="T315">
        <v>1.7488599999999999</v>
      </c>
      <c r="U315">
        <v>1.5878800000000002</v>
      </c>
    </row>
    <row r="316" spans="1:21">
      <c r="A316" s="91">
        <v>41316</v>
      </c>
      <c r="B316" s="86">
        <v>41316</v>
      </c>
      <c r="C316" s="93">
        <v>1.17164616285882</v>
      </c>
      <c r="D316" s="85" t="s">
        <v>1340</v>
      </c>
      <c r="F316" s="91">
        <v>41316</v>
      </c>
      <c r="G316">
        <v>1.4379999999999999</v>
      </c>
      <c r="H316">
        <v>1.5917999999999999</v>
      </c>
      <c r="I316">
        <v>1.43926</v>
      </c>
      <c r="J316">
        <v>1.643</v>
      </c>
      <c r="K316">
        <v>1.7167699999999999</v>
      </c>
      <c r="L316">
        <v>1.653</v>
      </c>
      <c r="M316">
        <v>1.5980999999999999</v>
      </c>
      <c r="N316">
        <v>1.7450000000000001</v>
      </c>
      <c r="O316">
        <v>1.48803</v>
      </c>
      <c r="P316">
        <v>1.6071900000000001</v>
      </c>
      <c r="Q316">
        <v>1.7783199999999999</v>
      </c>
      <c r="R316">
        <v>1.774</v>
      </c>
      <c r="S316">
        <v>1.46167</v>
      </c>
      <c r="T316">
        <v>1.7136199999999999</v>
      </c>
      <c r="U316">
        <v>1.5883</v>
      </c>
    </row>
    <row r="317" spans="1:21">
      <c r="A317" s="91">
        <v>41309</v>
      </c>
      <c r="B317" s="86">
        <v>41309</v>
      </c>
      <c r="C317" s="93">
        <v>1.1602274045712999</v>
      </c>
      <c r="D317" s="85" t="s">
        <v>1341</v>
      </c>
      <c r="F317" s="91">
        <v>41309</v>
      </c>
      <c r="G317">
        <v>1.419</v>
      </c>
      <c r="H317">
        <v>1.6148</v>
      </c>
      <c r="I317">
        <v>1.3954600000000001</v>
      </c>
      <c r="J317">
        <v>1.625</v>
      </c>
      <c r="K317">
        <v>1.71316</v>
      </c>
      <c r="L317">
        <v>1.637</v>
      </c>
      <c r="M317">
        <v>1.5867</v>
      </c>
      <c r="N317">
        <v>1.73</v>
      </c>
      <c r="O317">
        <v>1.46451</v>
      </c>
      <c r="P317">
        <v>1.6071900000000001</v>
      </c>
      <c r="Q317">
        <v>1.7645599999999999</v>
      </c>
      <c r="R317">
        <v>1.7649999999999999</v>
      </c>
      <c r="S317">
        <v>1.4530699999999999</v>
      </c>
      <c r="T317">
        <v>1.7239</v>
      </c>
      <c r="U317">
        <v>1.5591300000000001</v>
      </c>
    </row>
    <row r="318" spans="1:21">
      <c r="A318" s="91">
        <v>41302</v>
      </c>
      <c r="B318" s="86">
        <v>41302</v>
      </c>
      <c r="C318" s="93">
        <v>1.17027501462844</v>
      </c>
      <c r="D318" s="85" t="s">
        <v>1342</v>
      </c>
      <c r="F318" s="91">
        <v>41302</v>
      </c>
      <c r="G318">
        <v>1.405</v>
      </c>
      <c r="H318">
        <v>1.6205999999999998</v>
      </c>
      <c r="I318">
        <v>1.3805399999999999</v>
      </c>
      <c r="J318">
        <v>1.605</v>
      </c>
      <c r="K318">
        <v>1.6969400000000001</v>
      </c>
      <c r="L318">
        <v>1.627</v>
      </c>
      <c r="M318">
        <v>1.5712000000000002</v>
      </c>
      <c r="N318">
        <v>1.71</v>
      </c>
      <c r="O318">
        <v>1.40564</v>
      </c>
      <c r="P318">
        <v>1.6071900000000001</v>
      </c>
      <c r="Q318">
        <v>1.7514000000000001</v>
      </c>
      <c r="R318">
        <v>1.7529999999999999</v>
      </c>
      <c r="S318">
        <v>1.4272899999999999</v>
      </c>
      <c r="T318">
        <v>1.68913</v>
      </c>
      <c r="U318">
        <v>1.5558800000000002</v>
      </c>
    </row>
    <row r="319" spans="1:21">
      <c r="A319" s="91">
        <v>41295</v>
      </c>
      <c r="B319" s="86">
        <v>41295</v>
      </c>
      <c r="C319" s="93">
        <v>1.1918951132300399</v>
      </c>
      <c r="D319" s="85" t="s">
        <v>1099</v>
      </c>
      <c r="F319" s="91">
        <v>41295</v>
      </c>
      <c r="G319">
        <v>1.3939999999999999</v>
      </c>
      <c r="H319">
        <v>1.5974999999999999</v>
      </c>
      <c r="I319">
        <v>1.3851199999999999</v>
      </c>
      <c r="J319">
        <v>1.593</v>
      </c>
      <c r="K319">
        <v>1.6695</v>
      </c>
      <c r="L319">
        <v>1.635</v>
      </c>
      <c r="M319">
        <v>1.5559000000000001</v>
      </c>
      <c r="N319">
        <v>1.7050000000000001</v>
      </c>
      <c r="O319">
        <v>1.44085</v>
      </c>
      <c r="P319">
        <v>1.6071900000000001</v>
      </c>
      <c r="Q319">
        <v>1.7422299999999999</v>
      </c>
      <c r="R319">
        <v>1.7430000000000001</v>
      </c>
      <c r="S319">
        <v>1.4124400000000001</v>
      </c>
      <c r="T319">
        <v>1.6535199999999999</v>
      </c>
      <c r="U319">
        <v>1.57585</v>
      </c>
    </row>
    <row r="320" spans="1:21">
      <c r="A320" s="91">
        <v>41288</v>
      </c>
      <c r="B320" s="86">
        <v>41288</v>
      </c>
      <c r="C320" s="93">
        <v>1.20307988450433</v>
      </c>
      <c r="D320" s="85" t="s">
        <v>1343</v>
      </c>
      <c r="F320" s="91">
        <v>41288</v>
      </c>
      <c r="G320">
        <v>1.407</v>
      </c>
      <c r="H320">
        <v>1.5744</v>
      </c>
      <c r="I320">
        <v>1.37493</v>
      </c>
      <c r="J320">
        <v>1.6080000000000001</v>
      </c>
      <c r="K320">
        <v>1.69512</v>
      </c>
      <c r="L320">
        <v>1.6120000000000001</v>
      </c>
      <c r="M320">
        <v>1.5545</v>
      </c>
      <c r="N320">
        <v>1.702</v>
      </c>
      <c r="O320">
        <v>1.41198</v>
      </c>
      <c r="P320">
        <v>1.6071900000000001</v>
      </c>
      <c r="Q320">
        <v>1.75922</v>
      </c>
      <c r="R320">
        <v>1.744</v>
      </c>
      <c r="S320">
        <v>1.4238199999999999</v>
      </c>
      <c r="T320">
        <v>1.6912700000000001</v>
      </c>
      <c r="U320">
        <v>1.5880699999999999</v>
      </c>
    </row>
    <row r="321" spans="1:21" ht="15.75" thickBot="1">
      <c r="A321" s="92">
        <v>41281</v>
      </c>
      <c r="B321" s="86">
        <v>41281</v>
      </c>
      <c r="C321" s="93">
        <v>1.2319822594554599</v>
      </c>
      <c r="D321" s="85" t="s">
        <v>1344</v>
      </c>
      <c r="F321" s="92">
        <v>41281</v>
      </c>
      <c r="G321">
        <v>1.3979999999999999</v>
      </c>
      <c r="H321">
        <v>1.5687</v>
      </c>
      <c r="I321">
        <v>1.3765999999999998</v>
      </c>
      <c r="J321">
        <v>1.5980000000000001</v>
      </c>
      <c r="K321">
        <v>1.6863900000000001</v>
      </c>
      <c r="L321">
        <v>1.6140000000000001</v>
      </c>
      <c r="M321">
        <v>1.524</v>
      </c>
      <c r="N321">
        <v>1.6839999999999999</v>
      </c>
      <c r="O321">
        <v>1.4290999999999998</v>
      </c>
      <c r="P321">
        <v>1.6071900000000001</v>
      </c>
      <c r="Q321">
        <v>1.75139</v>
      </c>
      <c r="R321">
        <v>1.734</v>
      </c>
      <c r="S321">
        <v>1.4004100000000002</v>
      </c>
      <c r="T321">
        <v>1.6824400000000002</v>
      </c>
      <c r="U321">
        <v>1.6245000000000001</v>
      </c>
    </row>
    <row r="322" spans="1:21">
      <c r="A322" s="91">
        <v>41260</v>
      </c>
      <c r="B322" s="86">
        <v>41260</v>
      </c>
      <c r="C322" s="93">
        <v>1.2315270935960601</v>
      </c>
      <c r="D322" s="85" t="s">
        <v>1345</v>
      </c>
      <c r="F322" s="91">
        <v>41260</v>
      </c>
      <c r="G322">
        <v>1.393</v>
      </c>
      <c r="H322">
        <v>1.556</v>
      </c>
      <c r="I322">
        <v>1.3873199999999999</v>
      </c>
      <c r="J322">
        <v>1.5589999999999999</v>
      </c>
      <c r="K322">
        <v>1.6431500000000001</v>
      </c>
      <c r="L322">
        <v>1.611</v>
      </c>
      <c r="M322">
        <v>1.5019</v>
      </c>
      <c r="N322">
        <v>1.679</v>
      </c>
      <c r="O322">
        <v>1.4074800000000001</v>
      </c>
      <c r="P322">
        <v>1.6602699999999999</v>
      </c>
      <c r="Q322">
        <v>1.74542</v>
      </c>
      <c r="R322">
        <v>1.7290000000000001</v>
      </c>
      <c r="S322">
        <v>1.37449</v>
      </c>
      <c r="T322">
        <v>1.63297</v>
      </c>
      <c r="U322">
        <v>1.6253299999999999</v>
      </c>
    </row>
    <row r="323" spans="1:21">
      <c r="A323" s="91">
        <v>41253</v>
      </c>
      <c r="B323" s="86">
        <v>41253</v>
      </c>
      <c r="C323" s="93">
        <v>1.2431626056688199</v>
      </c>
      <c r="D323" s="85" t="s">
        <v>1346</v>
      </c>
      <c r="F323" s="91">
        <v>41253</v>
      </c>
      <c r="G323">
        <v>1.3959999999999999</v>
      </c>
      <c r="H323">
        <v>1.6054999999999999</v>
      </c>
      <c r="I323">
        <v>1.3940999999999999</v>
      </c>
      <c r="J323">
        <v>1.5820000000000001</v>
      </c>
      <c r="K323">
        <v>1.63693</v>
      </c>
      <c r="L323">
        <v>1.609</v>
      </c>
      <c r="M323">
        <v>1.4915999999999998</v>
      </c>
      <c r="N323">
        <v>1.6830000000000001</v>
      </c>
      <c r="O323">
        <v>1.4279600000000001</v>
      </c>
      <c r="P323">
        <v>1.6602699999999999</v>
      </c>
      <c r="Q323">
        <v>1.74258</v>
      </c>
      <c r="R323">
        <v>1.7370000000000001</v>
      </c>
      <c r="S323">
        <v>1.37598</v>
      </c>
      <c r="T323">
        <v>1.6441600000000001</v>
      </c>
      <c r="U323">
        <v>1.6477999999999999</v>
      </c>
    </row>
    <row r="324" spans="1:21">
      <c r="A324" s="91">
        <v>41246</v>
      </c>
      <c r="B324" s="86">
        <v>41246</v>
      </c>
      <c r="C324" s="93">
        <v>1.2313754463736</v>
      </c>
      <c r="D324" s="85" t="s">
        <v>1347</v>
      </c>
      <c r="F324" s="91">
        <v>41246</v>
      </c>
      <c r="G324">
        <v>1.4019999999999999</v>
      </c>
      <c r="H324">
        <v>1.544</v>
      </c>
      <c r="I324">
        <v>1.40022</v>
      </c>
      <c r="J324">
        <v>1.615</v>
      </c>
      <c r="K324">
        <v>1.65947</v>
      </c>
      <c r="L324">
        <v>1.6259999999999999</v>
      </c>
      <c r="M324">
        <v>1.4870000000000001</v>
      </c>
      <c r="N324">
        <v>1.6830000000000001</v>
      </c>
      <c r="O324">
        <v>1.4483299999999999</v>
      </c>
      <c r="P324">
        <v>1.6602699999999999</v>
      </c>
      <c r="Q324">
        <v>1.75021</v>
      </c>
      <c r="R324">
        <v>1.7549999999999999</v>
      </c>
      <c r="S324">
        <v>1.3769899999999999</v>
      </c>
      <c r="T324">
        <v>1.6630499999999999</v>
      </c>
      <c r="U324">
        <v>1.6393199999999999</v>
      </c>
    </row>
    <row r="325" spans="1:21">
      <c r="A325" s="91">
        <v>41239</v>
      </c>
      <c r="B325" s="86">
        <v>41239</v>
      </c>
      <c r="C325" s="93">
        <v>1.2346441138341899</v>
      </c>
      <c r="D325" s="85" t="s">
        <v>1348</v>
      </c>
      <c r="F325" s="91">
        <v>41239</v>
      </c>
      <c r="G325">
        <v>1.4019999999999999</v>
      </c>
      <c r="H325">
        <v>1.5860000000000001</v>
      </c>
      <c r="I325">
        <v>1.4033099999999998</v>
      </c>
      <c r="J325">
        <v>1.6439999999999999</v>
      </c>
      <c r="K325">
        <v>1.67069</v>
      </c>
      <c r="L325">
        <v>1.643</v>
      </c>
      <c r="M325">
        <v>1.5004999999999999</v>
      </c>
      <c r="N325">
        <v>1.6830000000000001</v>
      </c>
      <c r="O325">
        <v>1.4481700000000002</v>
      </c>
      <c r="P325">
        <v>1.69312</v>
      </c>
      <c r="Q325">
        <v>1.75461</v>
      </c>
      <c r="R325">
        <v>1.7589999999999999</v>
      </c>
      <c r="S325">
        <v>1.3743099999999999</v>
      </c>
      <c r="T325">
        <v>1.7076099999999999</v>
      </c>
      <c r="U325">
        <v>1.65907</v>
      </c>
    </row>
    <row r="326" spans="1:21">
      <c r="A326" s="91">
        <v>41232</v>
      </c>
      <c r="B326" s="86">
        <v>41232</v>
      </c>
      <c r="C326" s="93">
        <v>1.2450199203187298</v>
      </c>
      <c r="D326" s="85" t="s">
        <v>1225</v>
      </c>
      <c r="F326" s="91">
        <v>41232</v>
      </c>
      <c r="G326">
        <v>1.401</v>
      </c>
      <c r="H326">
        <v>1.5767</v>
      </c>
      <c r="I326">
        <v>1.4069200000000002</v>
      </c>
      <c r="J326">
        <v>1.6259999999999999</v>
      </c>
      <c r="K326">
        <v>1.6732799999999999</v>
      </c>
      <c r="L326">
        <v>1.635</v>
      </c>
      <c r="M326">
        <v>1.4978</v>
      </c>
      <c r="N326">
        <v>1.679</v>
      </c>
      <c r="O326">
        <v>1.4334899999999999</v>
      </c>
      <c r="P326">
        <v>1.69312</v>
      </c>
      <c r="Q326">
        <v>1.7497</v>
      </c>
      <c r="R326">
        <v>1.7609999999999999</v>
      </c>
      <c r="S326">
        <v>1.3716600000000001</v>
      </c>
      <c r="T326">
        <v>1.6830799999999999</v>
      </c>
      <c r="U326">
        <v>1.6753099999999999</v>
      </c>
    </row>
    <row r="327" spans="1:21">
      <c r="A327" s="91">
        <v>41225</v>
      </c>
      <c r="B327" s="86">
        <v>41225</v>
      </c>
      <c r="C327" s="93">
        <v>1.24688279301746</v>
      </c>
      <c r="D327" s="85" t="s">
        <v>1349</v>
      </c>
      <c r="F327" s="91">
        <v>41225</v>
      </c>
      <c r="G327">
        <v>1.4059999999999999</v>
      </c>
      <c r="H327">
        <v>1.579</v>
      </c>
      <c r="I327">
        <v>1.4254100000000001</v>
      </c>
      <c r="J327">
        <v>1.609</v>
      </c>
      <c r="K327">
        <v>1.62785</v>
      </c>
      <c r="L327">
        <v>1.647</v>
      </c>
      <c r="M327">
        <v>1.4855</v>
      </c>
      <c r="N327">
        <v>1.6779999999999999</v>
      </c>
      <c r="O327">
        <v>1.4325699999999999</v>
      </c>
      <c r="P327">
        <v>1.69312</v>
      </c>
      <c r="Q327">
        <v>1.74658</v>
      </c>
      <c r="R327">
        <v>1.7649999999999999</v>
      </c>
      <c r="S327">
        <v>1.3644799999999999</v>
      </c>
      <c r="T327">
        <v>1.66591</v>
      </c>
      <c r="U327">
        <v>1.6843599999999999</v>
      </c>
    </row>
    <row r="328" spans="1:21">
      <c r="A328" s="91">
        <v>41218</v>
      </c>
      <c r="B328" s="86">
        <v>41218</v>
      </c>
      <c r="C328" s="93">
        <v>1.2501562695336901</v>
      </c>
      <c r="D328" s="85" t="s">
        <v>1350</v>
      </c>
      <c r="F328" s="91">
        <v>41218</v>
      </c>
      <c r="G328">
        <v>1.415</v>
      </c>
      <c r="H328">
        <v>1.579</v>
      </c>
      <c r="I328">
        <v>1.4570000000000001</v>
      </c>
      <c r="J328">
        <v>1.6020000000000001</v>
      </c>
      <c r="K328">
        <v>1.61954</v>
      </c>
      <c r="L328">
        <v>1.6539999999999999</v>
      </c>
      <c r="M328">
        <v>1.4847999999999999</v>
      </c>
      <c r="N328">
        <v>1.6990000000000001</v>
      </c>
      <c r="O328">
        <v>1.4658</v>
      </c>
      <c r="P328">
        <v>1.6222999999999999</v>
      </c>
      <c r="Q328">
        <v>1.76335</v>
      </c>
      <c r="R328">
        <v>1.7729999999999999</v>
      </c>
      <c r="S328">
        <v>1.38032</v>
      </c>
      <c r="T328">
        <v>1.66239</v>
      </c>
      <c r="U328">
        <v>1.7056300000000002</v>
      </c>
    </row>
    <row r="329" spans="1:21">
      <c r="A329" s="91">
        <v>41211</v>
      </c>
      <c r="B329" s="86">
        <v>41211</v>
      </c>
      <c r="C329" s="93">
        <v>1.2429308308992599</v>
      </c>
      <c r="D329" s="85" t="s">
        <v>1351</v>
      </c>
      <c r="F329" s="91">
        <v>41211</v>
      </c>
      <c r="G329">
        <v>1.427</v>
      </c>
      <c r="H329">
        <v>1.5863</v>
      </c>
      <c r="I329">
        <v>1.4881500000000001</v>
      </c>
      <c r="J329">
        <v>1.6120000000000001</v>
      </c>
      <c r="K329">
        <v>1.62205</v>
      </c>
      <c r="L329">
        <v>1.6830000000000001</v>
      </c>
      <c r="M329">
        <v>1.5023</v>
      </c>
      <c r="N329">
        <v>1.7250000000000001</v>
      </c>
      <c r="O329">
        <v>1.4871500000000002</v>
      </c>
      <c r="P329">
        <v>1.6222999999999999</v>
      </c>
      <c r="Q329">
        <v>1.79539</v>
      </c>
      <c r="R329">
        <v>1.7749999999999999</v>
      </c>
      <c r="S329">
        <v>1.39167</v>
      </c>
      <c r="T329">
        <v>1.65219</v>
      </c>
      <c r="U329">
        <v>1.7026199999999998</v>
      </c>
    </row>
    <row r="330" spans="1:21">
      <c r="A330" s="91">
        <v>41204</v>
      </c>
      <c r="B330" s="86">
        <v>41204</v>
      </c>
      <c r="C330" s="93">
        <v>1.2277470841006799</v>
      </c>
      <c r="D330" s="85" t="s">
        <v>1352</v>
      </c>
      <c r="F330" s="91">
        <v>41204</v>
      </c>
      <c r="G330">
        <v>1.4630000000000001</v>
      </c>
      <c r="H330">
        <v>1.6028</v>
      </c>
      <c r="I330">
        <v>1.51119</v>
      </c>
      <c r="J330">
        <v>1.637</v>
      </c>
      <c r="K330">
        <v>1.65174</v>
      </c>
      <c r="L330">
        <v>1.712</v>
      </c>
      <c r="M330">
        <v>1.5420999999999998</v>
      </c>
      <c r="N330">
        <v>1.7689999999999999</v>
      </c>
      <c r="O330">
        <v>1.5532000000000001</v>
      </c>
      <c r="P330">
        <v>1.6222999999999999</v>
      </c>
      <c r="Q330">
        <v>1.82477</v>
      </c>
      <c r="R330">
        <v>1.806</v>
      </c>
      <c r="S330">
        <v>1.43675</v>
      </c>
      <c r="T330">
        <v>1.69278</v>
      </c>
      <c r="U330">
        <v>1.6978800000000001</v>
      </c>
    </row>
    <row r="331" spans="1:21">
      <c r="A331" s="91">
        <v>41197</v>
      </c>
      <c r="B331" s="86">
        <v>41197</v>
      </c>
      <c r="C331" s="93">
        <v>1.2384667781286798</v>
      </c>
      <c r="D331" s="85" t="s">
        <v>1353</v>
      </c>
      <c r="F331" s="91">
        <v>41197</v>
      </c>
      <c r="G331">
        <v>1.5049999999999999</v>
      </c>
      <c r="H331">
        <v>1.6869000000000001</v>
      </c>
      <c r="I331">
        <v>1.5155000000000001</v>
      </c>
      <c r="J331">
        <v>1.653</v>
      </c>
      <c r="K331">
        <v>1.7401600000000002</v>
      </c>
      <c r="L331">
        <v>1.714</v>
      </c>
      <c r="M331">
        <v>1.5797000000000001</v>
      </c>
      <c r="N331">
        <v>1.776</v>
      </c>
      <c r="O331">
        <v>1.5514700000000001</v>
      </c>
      <c r="P331">
        <v>1.6222999999999999</v>
      </c>
      <c r="Q331">
        <v>1.8454200000000001</v>
      </c>
      <c r="R331">
        <v>1.827</v>
      </c>
      <c r="S331">
        <v>1.4983299999999999</v>
      </c>
      <c r="T331">
        <v>1.7721199999999999</v>
      </c>
      <c r="U331">
        <v>1.7133900000000002</v>
      </c>
    </row>
    <row r="332" spans="1:21">
      <c r="A332" s="91">
        <v>41190</v>
      </c>
      <c r="B332" s="86">
        <v>41190</v>
      </c>
      <c r="C332" s="93">
        <v>1.2370113805046998</v>
      </c>
      <c r="D332" s="85" t="s">
        <v>1354</v>
      </c>
      <c r="F332" s="91">
        <v>41190</v>
      </c>
      <c r="G332">
        <v>1.504</v>
      </c>
      <c r="H332">
        <v>1.7072000000000001</v>
      </c>
      <c r="I332">
        <v>1.52241</v>
      </c>
      <c r="J332">
        <v>1.704</v>
      </c>
      <c r="K332">
        <v>1.7178699999999998</v>
      </c>
      <c r="L332">
        <v>1.7130000000000001</v>
      </c>
      <c r="M332">
        <v>1.5577000000000001</v>
      </c>
      <c r="N332">
        <v>1.7649999999999999</v>
      </c>
      <c r="O332">
        <v>1.5165799999999998</v>
      </c>
      <c r="P332">
        <v>1.6222999999999999</v>
      </c>
      <c r="Q332">
        <v>1.8367800000000001</v>
      </c>
      <c r="R332">
        <v>1.827</v>
      </c>
      <c r="S332">
        <v>1.47709</v>
      </c>
      <c r="T332">
        <v>1.75407</v>
      </c>
      <c r="U332">
        <v>1.71001</v>
      </c>
    </row>
    <row r="333" spans="1:21">
      <c r="A333" s="91">
        <v>41183</v>
      </c>
      <c r="B333" s="86">
        <v>41183</v>
      </c>
      <c r="C333" s="93">
        <v>1.25266190655142</v>
      </c>
      <c r="D333" s="85" t="s">
        <v>1355</v>
      </c>
      <c r="F333" s="91">
        <v>41183</v>
      </c>
      <c r="G333">
        <v>1.506</v>
      </c>
      <c r="H333">
        <v>1.6887000000000001</v>
      </c>
      <c r="I333">
        <v>1.5122800000000001</v>
      </c>
      <c r="J333">
        <v>1.673</v>
      </c>
      <c r="K333">
        <v>1.7450399999999999</v>
      </c>
      <c r="L333">
        <v>1.73</v>
      </c>
      <c r="M333">
        <v>1.5394000000000001</v>
      </c>
      <c r="N333">
        <v>1.7569999999999999</v>
      </c>
      <c r="O333">
        <v>1.5089900000000001</v>
      </c>
      <c r="P333">
        <v>1.6222999999999999</v>
      </c>
      <c r="Q333">
        <v>1.84518</v>
      </c>
      <c r="R333">
        <v>1.8240000000000001</v>
      </c>
      <c r="S333">
        <v>1.4752100000000001</v>
      </c>
      <c r="T333">
        <v>1.79332</v>
      </c>
      <c r="U333">
        <v>1.7341</v>
      </c>
    </row>
    <row r="334" spans="1:21">
      <c r="A334" s="91">
        <v>41176</v>
      </c>
      <c r="B334" s="86">
        <v>41176</v>
      </c>
      <c r="C334" s="93">
        <v>1.2550200803212901</v>
      </c>
      <c r="D334" s="85" t="s">
        <v>1356</v>
      </c>
      <c r="F334" s="91">
        <v>41176</v>
      </c>
      <c r="G334">
        <v>1.5109999999999999</v>
      </c>
      <c r="H334">
        <v>1.7055</v>
      </c>
      <c r="I334">
        <v>1.54419</v>
      </c>
      <c r="J334">
        <v>1.7170000000000001</v>
      </c>
      <c r="K334">
        <v>1.6952100000000001</v>
      </c>
      <c r="L334">
        <v>1.734</v>
      </c>
      <c r="M334">
        <v>1.532</v>
      </c>
      <c r="N334">
        <v>1.786</v>
      </c>
      <c r="O334">
        <v>1.55436</v>
      </c>
      <c r="P334">
        <v>1.6473800000000001</v>
      </c>
      <c r="Q334">
        <v>1.8457300000000001</v>
      </c>
      <c r="R334">
        <v>1.8129999999999999</v>
      </c>
      <c r="S334">
        <v>1.4617500000000001</v>
      </c>
      <c r="T334">
        <v>1.75973</v>
      </c>
      <c r="U334">
        <v>1.7512000000000001</v>
      </c>
    </row>
    <row r="335" spans="1:21">
      <c r="A335" s="91">
        <v>41169</v>
      </c>
      <c r="B335" s="86">
        <v>41169</v>
      </c>
      <c r="C335" s="93">
        <v>1.23923415329326</v>
      </c>
      <c r="D335" s="85" t="s">
        <v>1357</v>
      </c>
      <c r="F335" s="91">
        <v>41169</v>
      </c>
      <c r="G335">
        <v>1.54</v>
      </c>
      <c r="H335">
        <v>1.7238</v>
      </c>
      <c r="I335">
        <v>1.5715999999999999</v>
      </c>
      <c r="J335">
        <v>1.704</v>
      </c>
      <c r="K335">
        <v>1.7410699999999999</v>
      </c>
      <c r="L335">
        <v>1.75</v>
      </c>
      <c r="M335">
        <v>1.5889000000000002</v>
      </c>
      <c r="N335">
        <v>1.8260000000000001</v>
      </c>
      <c r="O335">
        <v>1.5847100000000001</v>
      </c>
      <c r="P335">
        <v>1.6473800000000001</v>
      </c>
      <c r="Q335">
        <v>1.8776400000000002</v>
      </c>
      <c r="R335">
        <v>1.825</v>
      </c>
      <c r="S335">
        <v>1.50139</v>
      </c>
      <c r="T335">
        <v>1.7676800000000001</v>
      </c>
      <c r="U335">
        <v>1.7277499999999999</v>
      </c>
    </row>
    <row r="336" spans="1:21">
      <c r="A336" s="91">
        <v>41162</v>
      </c>
      <c r="B336" s="86">
        <v>41162</v>
      </c>
      <c r="C336" s="93">
        <v>1.2504689258471899</v>
      </c>
      <c r="D336" s="85" t="s">
        <v>1358</v>
      </c>
      <c r="F336" s="91">
        <v>41162</v>
      </c>
      <c r="G336">
        <v>1.5469999999999999</v>
      </c>
      <c r="H336">
        <v>1.71</v>
      </c>
      <c r="I336">
        <v>1.5525100000000001</v>
      </c>
      <c r="J336">
        <v>1.7689999999999999</v>
      </c>
      <c r="K336">
        <v>1.8008299999999999</v>
      </c>
      <c r="L336">
        <v>1.748</v>
      </c>
      <c r="M336">
        <v>1.5935999999999999</v>
      </c>
      <c r="N336">
        <v>1.833</v>
      </c>
      <c r="O336">
        <v>1.5420799999999999</v>
      </c>
      <c r="P336">
        <v>1.6473800000000001</v>
      </c>
      <c r="Q336">
        <v>1.88981</v>
      </c>
      <c r="R336">
        <v>1.8260000000000001</v>
      </c>
      <c r="S336">
        <v>1.5189699999999999</v>
      </c>
      <c r="T336">
        <v>1.8478800000000002</v>
      </c>
      <c r="U336">
        <v>1.73698</v>
      </c>
    </row>
    <row r="337" spans="1:21">
      <c r="A337" s="91">
        <v>41155</v>
      </c>
      <c r="B337" s="86">
        <v>41155</v>
      </c>
      <c r="C337" s="93">
        <v>1.2639029322547999</v>
      </c>
      <c r="D337" s="85" t="s">
        <v>1359</v>
      </c>
      <c r="F337" s="91">
        <v>41155</v>
      </c>
      <c r="G337">
        <v>1.5049999999999999</v>
      </c>
      <c r="H337">
        <v>1.7202999999999999</v>
      </c>
      <c r="I337">
        <v>1.5313299999999999</v>
      </c>
      <c r="J337">
        <v>1.748</v>
      </c>
      <c r="K337">
        <v>1.77153</v>
      </c>
      <c r="L337">
        <v>1.74</v>
      </c>
      <c r="M337">
        <v>1.5860999999999998</v>
      </c>
      <c r="N337">
        <v>1.8380000000000001</v>
      </c>
      <c r="O337">
        <v>1.5458499999999999</v>
      </c>
      <c r="P337">
        <v>1.6473800000000001</v>
      </c>
      <c r="Q337">
        <v>1.8706099999999999</v>
      </c>
      <c r="R337">
        <v>1.81</v>
      </c>
      <c r="S337">
        <v>1.5224800000000001</v>
      </c>
      <c r="T337">
        <v>1.8054700000000001</v>
      </c>
      <c r="U337">
        <v>1.74455</v>
      </c>
    </row>
    <row r="338" spans="1:21">
      <c r="A338" s="91">
        <v>41148</v>
      </c>
      <c r="B338" s="86">
        <v>41148</v>
      </c>
      <c r="C338" s="93">
        <v>1.2619251930745499</v>
      </c>
      <c r="D338" s="85" t="s">
        <v>1360</v>
      </c>
      <c r="F338" s="91">
        <v>41148</v>
      </c>
      <c r="G338">
        <v>1.52</v>
      </c>
      <c r="H338">
        <v>1.7060999999999999</v>
      </c>
      <c r="I338">
        <v>1.5308900000000001</v>
      </c>
      <c r="J338">
        <v>1.75</v>
      </c>
      <c r="K338">
        <v>1.7816099999999999</v>
      </c>
      <c r="L338">
        <v>1.742</v>
      </c>
      <c r="M338">
        <v>1.6482000000000001</v>
      </c>
      <c r="N338">
        <v>1.8380000000000001</v>
      </c>
      <c r="O338">
        <v>1.5875299999999999</v>
      </c>
      <c r="P338">
        <v>1.6473800000000001</v>
      </c>
      <c r="Q338">
        <v>1.8701300000000001</v>
      </c>
      <c r="R338">
        <v>1.8080000000000001</v>
      </c>
      <c r="S338">
        <v>1.5126199999999999</v>
      </c>
      <c r="T338">
        <v>1.8623299999999998</v>
      </c>
      <c r="U338">
        <v>1.73007</v>
      </c>
    </row>
    <row r="339" spans="1:21">
      <c r="A339" s="91">
        <v>41141</v>
      </c>
      <c r="B339" s="86">
        <v>41141</v>
      </c>
      <c r="C339" s="93">
        <v>1.2764056417129399</v>
      </c>
      <c r="D339" s="85" t="s">
        <v>1361</v>
      </c>
      <c r="F339" s="91">
        <v>41141</v>
      </c>
      <c r="G339">
        <v>1.5089999999999999</v>
      </c>
      <c r="H339">
        <v>1.7110999999999998</v>
      </c>
      <c r="I339">
        <v>1.5000599999999999</v>
      </c>
      <c r="J339">
        <v>1.7729999999999999</v>
      </c>
      <c r="K339">
        <v>1.8024100000000001</v>
      </c>
      <c r="L339">
        <v>1.7190000000000001</v>
      </c>
      <c r="M339">
        <v>1.6349</v>
      </c>
      <c r="N339">
        <v>1.806</v>
      </c>
      <c r="O339">
        <v>1.5613299999999999</v>
      </c>
      <c r="P339">
        <v>1.6473800000000001</v>
      </c>
      <c r="Q339">
        <v>1.8474200000000001</v>
      </c>
      <c r="R339">
        <v>1.8009999999999999</v>
      </c>
      <c r="S339">
        <v>1.51197</v>
      </c>
      <c r="T339">
        <v>1.8636400000000002</v>
      </c>
      <c r="U339">
        <v>1.7323900000000001</v>
      </c>
    </row>
    <row r="340" spans="1:21">
      <c r="A340" s="91">
        <v>41134</v>
      </c>
      <c r="B340" s="86">
        <v>41134</v>
      </c>
      <c r="C340" s="93">
        <v>1.2720218787763098</v>
      </c>
      <c r="D340" s="85" t="s">
        <v>1362</v>
      </c>
      <c r="F340" s="91">
        <v>41134</v>
      </c>
      <c r="G340">
        <v>1.4730000000000001</v>
      </c>
      <c r="H340">
        <v>1.6890999999999998</v>
      </c>
      <c r="I340">
        <v>1.4625599999999999</v>
      </c>
      <c r="J340">
        <v>1.7030000000000001</v>
      </c>
      <c r="K340">
        <v>1.7559899999999999</v>
      </c>
      <c r="L340">
        <v>1.6870000000000001</v>
      </c>
      <c r="M340">
        <v>1.6007</v>
      </c>
      <c r="N340">
        <v>1.7769999999999999</v>
      </c>
      <c r="O340">
        <v>1.5323599999999999</v>
      </c>
      <c r="P340">
        <v>1.6473800000000001</v>
      </c>
      <c r="Q340">
        <v>1.81209</v>
      </c>
      <c r="R340">
        <v>1.77</v>
      </c>
      <c r="S340">
        <v>1.47055</v>
      </c>
      <c r="T340">
        <v>1.8338800000000002</v>
      </c>
      <c r="U340">
        <v>1.7079200000000001</v>
      </c>
    </row>
    <row r="341" spans="1:21">
      <c r="A341" s="91">
        <v>41127</v>
      </c>
      <c r="B341" s="86">
        <v>41127</v>
      </c>
      <c r="C341" s="93">
        <v>1.2578616352201299</v>
      </c>
      <c r="D341" s="85" t="s">
        <v>1063</v>
      </c>
      <c r="F341" s="91">
        <v>41127</v>
      </c>
      <c r="G341">
        <v>1.4550000000000001</v>
      </c>
      <c r="H341">
        <v>1.65</v>
      </c>
      <c r="I341">
        <v>1.4511500000000002</v>
      </c>
      <c r="J341">
        <v>1.67</v>
      </c>
      <c r="K341">
        <v>1.71723</v>
      </c>
      <c r="L341">
        <v>1.6659999999999999</v>
      </c>
      <c r="M341">
        <v>1.5740000000000001</v>
      </c>
      <c r="N341">
        <v>1.754</v>
      </c>
      <c r="O341">
        <v>1.55247</v>
      </c>
      <c r="P341">
        <v>1.6473800000000001</v>
      </c>
      <c r="Q341">
        <v>1.7859100000000001</v>
      </c>
      <c r="R341">
        <v>1.7529999999999999</v>
      </c>
      <c r="S341">
        <v>1.44068</v>
      </c>
      <c r="T341">
        <v>1.77396</v>
      </c>
      <c r="U341">
        <v>1.6778599999999999</v>
      </c>
    </row>
    <row r="342" spans="1:21">
      <c r="A342" s="91">
        <v>41120</v>
      </c>
      <c r="B342" s="86">
        <v>41120</v>
      </c>
      <c r="C342" s="93">
        <v>1.28229787779701</v>
      </c>
      <c r="D342" s="85" t="s">
        <v>1047</v>
      </c>
      <c r="F342" s="91">
        <v>41120</v>
      </c>
      <c r="G342">
        <v>1.444</v>
      </c>
      <c r="H342">
        <v>1.6853</v>
      </c>
      <c r="I342">
        <v>1.4480999999999999</v>
      </c>
      <c r="J342">
        <v>1.617</v>
      </c>
      <c r="K342">
        <v>1.69523</v>
      </c>
      <c r="L342">
        <v>1.6759999999999999</v>
      </c>
      <c r="M342">
        <v>1.5549999999999999</v>
      </c>
      <c r="N342">
        <v>1.7430000000000001</v>
      </c>
      <c r="O342">
        <v>1.5296500000000002</v>
      </c>
      <c r="P342">
        <v>1.6473800000000001</v>
      </c>
      <c r="Q342">
        <v>1.7794700000000001</v>
      </c>
      <c r="R342">
        <v>1.754</v>
      </c>
      <c r="S342">
        <v>1.42926</v>
      </c>
      <c r="T342">
        <v>1.7601300000000002</v>
      </c>
      <c r="U342">
        <v>1.7025999999999999</v>
      </c>
    </row>
    <row r="343" spans="1:21">
      <c r="A343" s="91">
        <v>41113</v>
      </c>
      <c r="B343" s="86">
        <v>41113</v>
      </c>
      <c r="C343" s="93">
        <v>1.2823800974608899</v>
      </c>
      <c r="D343" s="85" t="s">
        <v>1363</v>
      </c>
      <c r="F343" s="91">
        <v>41113</v>
      </c>
      <c r="G343">
        <v>1.456</v>
      </c>
      <c r="H343">
        <v>1.6582000000000001</v>
      </c>
      <c r="I343">
        <v>1.41018</v>
      </c>
      <c r="J343">
        <v>1.66</v>
      </c>
      <c r="K343">
        <v>1.7164900000000001</v>
      </c>
      <c r="L343">
        <v>1.677</v>
      </c>
      <c r="M343">
        <v>1.5672000000000001</v>
      </c>
      <c r="N343">
        <v>1.73</v>
      </c>
      <c r="O343">
        <v>1.4655199999999999</v>
      </c>
      <c r="P343">
        <v>1.6473800000000001</v>
      </c>
      <c r="Q343">
        <v>1.7778699999999998</v>
      </c>
      <c r="R343">
        <v>1.754</v>
      </c>
      <c r="S343">
        <v>1.43015</v>
      </c>
      <c r="T343">
        <v>1.7803</v>
      </c>
      <c r="U343">
        <v>1.6954899999999999</v>
      </c>
    </row>
    <row r="344" spans="1:21">
      <c r="A344" s="91">
        <v>41106</v>
      </c>
      <c r="B344" s="86">
        <v>41106</v>
      </c>
      <c r="C344" s="93">
        <v>1.2748597654258</v>
      </c>
      <c r="D344" s="85" t="s">
        <v>1364</v>
      </c>
      <c r="F344" s="91">
        <v>41106</v>
      </c>
      <c r="G344">
        <v>1.4319999999999999</v>
      </c>
      <c r="H344">
        <v>1.6522999999999999</v>
      </c>
      <c r="I344">
        <v>1.41275</v>
      </c>
      <c r="J344">
        <v>1.6359999999999999</v>
      </c>
      <c r="K344">
        <v>1.6855499999999999</v>
      </c>
      <c r="L344">
        <v>1.66</v>
      </c>
      <c r="M344">
        <v>1.5512000000000001</v>
      </c>
      <c r="N344">
        <v>1.7170000000000001</v>
      </c>
      <c r="O344">
        <v>1.4456500000000001</v>
      </c>
      <c r="P344">
        <v>1.6473800000000001</v>
      </c>
      <c r="Q344">
        <v>1.7575799999999999</v>
      </c>
      <c r="R344">
        <v>1.7310000000000001</v>
      </c>
      <c r="S344">
        <v>1.40296</v>
      </c>
      <c r="T344">
        <v>1.71085</v>
      </c>
      <c r="U344">
        <v>1.67631</v>
      </c>
    </row>
    <row r="345" spans="1:21">
      <c r="A345" s="91">
        <v>41099</v>
      </c>
      <c r="B345" s="86">
        <v>41099</v>
      </c>
      <c r="C345" s="93">
        <v>1.2600806451612898</v>
      </c>
      <c r="D345" s="85" t="s">
        <v>1365</v>
      </c>
      <c r="F345" s="91">
        <v>41099</v>
      </c>
      <c r="G345">
        <v>1.403</v>
      </c>
      <c r="H345">
        <v>1.6339999999999999</v>
      </c>
      <c r="I345">
        <v>1.3914900000000001</v>
      </c>
      <c r="J345">
        <v>1.649</v>
      </c>
      <c r="K345">
        <v>1.69922</v>
      </c>
      <c r="L345">
        <v>1.629</v>
      </c>
      <c r="M345">
        <v>1.5252999999999999</v>
      </c>
      <c r="N345">
        <v>1.6779999999999999</v>
      </c>
      <c r="O345">
        <v>1.4107000000000001</v>
      </c>
      <c r="P345">
        <v>1.6473800000000001</v>
      </c>
      <c r="Q345">
        <v>1.7432300000000001</v>
      </c>
      <c r="R345">
        <v>1.718</v>
      </c>
      <c r="S345">
        <v>1.39846</v>
      </c>
      <c r="T345">
        <v>1.7100599999999999</v>
      </c>
      <c r="U345">
        <v>1.6514200000000001</v>
      </c>
    </row>
    <row r="346" spans="1:21">
      <c r="A346" s="91">
        <v>41092</v>
      </c>
      <c r="B346" s="86">
        <v>41092</v>
      </c>
      <c r="C346" s="93">
        <v>1.24362641462505</v>
      </c>
      <c r="D346" s="85" t="s">
        <v>1366</v>
      </c>
      <c r="F346" s="91">
        <v>41092</v>
      </c>
      <c r="G346">
        <v>1.395</v>
      </c>
      <c r="H346">
        <v>1.5569999999999999</v>
      </c>
      <c r="I346">
        <v>1.4101900000000001</v>
      </c>
      <c r="J346">
        <v>1.583</v>
      </c>
      <c r="K346">
        <v>1.6235599999999999</v>
      </c>
      <c r="L346">
        <v>1.627</v>
      </c>
      <c r="M346">
        <v>1.5025999999999999</v>
      </c>
      <c r="N346">
        <v>1.6639999999999999</v>
      </c>
      <c r="O346">
        <v>1.4275100000000001</v>
      </c>
      <c r="P346">
        <v>1.6473800000000001</v>
      </c>
      <c r="Q346">
        <v>1.7198800000000001</v>
      </c>
      <c r="R346">
        <v>1.6970000000000001</v>
      </c>
      <c r="S346">
        <v>1.3485100000000001</v>
      </c>
      <c r="T346">
        <v>1.6519900000000001</v>
      </c>
      <c r="U346">
        <v>1.6229</v>
      </c>
    </row>
    <row r="347" spans="1:21">
      <c r="A347" s="91">
        <v>41085</v>
      </c>
      <c r="B347" s="86">
        <v>41085</v>
      </c>
      <c r="C347" s="93">
        <v>1.2455626829420199</v>
      </c>
      <c r="D347" s="85" t="s">
        <v>1367</v>
      </c>
      <c r="F347" s="91">
        <v>41085</v>
      </c>
      <c r="G347">
        <v>1.3759999999999999</v>
      </c>
      <c r="H347">
        <v>1.5828</v>
      </c>
      <c r="I347">
        <v>1.39391</v>
      </c>
      <c r="J347">
        <v>1.5569999999999999</v>
      </c>
      <c r="K347">
        <v>1.6196900000000001</v>
      </c>
      <c r="L347">
        <v>1.627</v>
      </c>
      <c r="M347">
        <v>1.5103</v>
      </c>
      <c r="N347">
        <v>1.6779999999999999</v>
      </c>
      <c r="O347">
        <v>1.45513</v>
      </c>
      <c r="P347">
        <v>1.6794800000000001</v>
      </c>
      <c r="Q347">
        <v>1.7305299999999999</v>
      </c>
      <c r="R347">
        <v>1.698</v>
      </c>
      <c r="S347">
        <v>1.3481400000000001</v>
      </c>
      <c r="T347">
        <v>1.6384100000000001</v>
      </c>
      <c r="U347">
        <v>1.63849</v>
      </c>
    </row>
    <row r="348" spans="1:21">
      <c r="A348" s="91">
        <v>41078</v>
      </c>
      <c r="B348" s="86">
        <v>41078</v>
      </c>
      <c r="C348" s="93">
        <v>1.24069478908189</v>
      </c>
      <c r="D348" s="85" t="s">
        <v>1064</v>
      </c>
      <c r="F348" s="91">
        <v>41078</v>
      </c>
      <c r="G348">
        <v>1.407</v>
      </c>
      <c r="H348">
        <v>1.6360999999999999</v>
      </c>
      <c r="I348">
        <v>1.4190199999999999</v>
      </c>
      <c r="J348">
        <v>1.6</v>
      </c>
      <c r="K348">
        <v>1.64415</v>
      </c>
      <c r="L348">
        <v>1.637</v>
      </c>
      <c r="M348">
        <v>1.5205</v>
      </c>
      <c r="N348">
        <v>1.6919999999999999</v>
      </c>
      <c r="O348">
        <v>1.4456</v>
      </c>
      <c r="P348">
        <v>1.6794800000000001</v>
      </c>
      <c r="Q348">
        <v>1.7553399999999999</v>
      </c>
      <c r="R348">
        <v>1.7090000000000001</v>
      </c>
      <c r="S348">
        <v>1.36147</v>
      </c>
      <c r="T348">
        <v>1.6338299999999999</v>
      </c>
      <c r="U348">
        <v>1.63761</v>
      </c>
    </row>
    <row r="349" spans="1:21">
      <c r="A349" s="91">
        <v>41071</v>
      </c>
      <c r="B349" s="86">
        <v>41071</v>
      </c>
      <c r="C349" s="93">
        <v>1.23808344682432</v>
      </c>
      <c r="D349" s="85" t="s">
        <v>1273</v>
      </c>
      <c r="F349" s="91">
        <v>41071</v>
      </c>
      <c r="G349">
        <v>1.425</v>
      </c>
      <c r="H349">
        <v>1.6154999999999999</v>
      </c>
      <c r="I349">
        <v>1.4372100000000001</v>
      </c>
      <c r="J349">
        <v>1.597</v>
      </c>
      <c r="K349">
        <v>1.64673</v>
      </c>
      <c r="L349">
        <v>1.65</v>
      </c>
      <c r="M349">
        <v>1.5434000000000001</v>
      </c>
      <c r="N349">
        <v>1.722</v>
      </c>
      <c r="O349">
        <v>1.45529</v>
      </c>
      <c r="P349">
        <v>1.6794800000000001</v>
      </c>
      <c r="Q349">
        <v>1.76817</v>
      </c>
      <c r="R349">
        <v>1.7230000000000001</v>
      </c>
      <c r="S349">
        <v>1.37314</v>
      </c>
      <c r="T349">
        <v>1.6578299999999999</v>
      </c>
      <c r="U349">
        <v>1.6549200000000002</v>
      </c>
    </row>
    <row r="350" spans="1:21">
      <c r="A350" s="91">
        <v>41064</v>
      </c>
      <c r="B350" s="86">
        <v>41064</v>
      </c>
      <c r="C350" s="93">
        <v>1.2369348753788101</v>
      </c>
      <c r="D350" s="85" t="s">
        <v>1368</v>
      </c>
      <c r="F350" s="91">
        <v>41064</v>
      </c>
      <c r="G350">
        <v>1.4379999999999999</v>
      </c>
      <c r="H350">
        <v>1.609</v>
      </c>
      <c r="I350">
        <v>1.43116</v>
      </c>
      <c r="J350">
        <v>1.629</v>
      </c>
      <c r="K350">
        <v>1.6742000000000001</v>
      </c>
      <c r="L350">
        <v>1.663</v>
      </c>
      <c r="M350">
        <v>1.5668</v>
      </c>
      <c r="N350">
        <v>1.732</v>
      </c>
      <c r="O350">
        <v>1.42075</v>
      </c>
      <c r="P350">
        <v>1.6794800000000001</v>
      </c>
      <c r="Q350">
        <v>1.7782899999999999</v>
      </c>
      <c r="R350">
        <v>1.738</v>
      </c>
      <c r="S350">
        <v>1.40168</v>
      </c>
      <c r="T350">
        <v>1.6703699999999999</v>
      </c>
      <c r="U350">
        <v>1.65821</v>
      </c>
    </row>
    <row r="351" spans="1:21">
      <c r="A351" s="91">
        <v>41057</v>
      </c>
      <c r="B351" s="86">
        <v>41057</v>
      </c>
      <c r="C351" s="93">
        <v>1.24984376952881</v>
      </c>
      <c r="D351" s="85" t="s">
        <v>1089</v>
      </c>
      <c r="F351" s="91">
        <v>41057</v>
      </c>
      <c r="G351">
        <v>1.4339999999999999</v>
      </c>
      <c r="H351">
        <v>1.6304000000000001</v>
      </c>
      <c r="I351">
        <v>1.45913</v>
      </c>
      <c r="J351">
        <v>1.653</v>
      </c>
      <c r="K351">
        <v>1.69441</v>
      </c>
      <c r="L351">
        <v>1.653</v>
      </c>
      <c r="M351">
        <v>1.5629999999999999</v>
      </c>
      <c r="N351">
        <v>1.732</v>
      </c>
      <c r="O351">
        <v>1.4312</v>
      </c>
      <c r="P351">
        <v>1.6634100000000001</v>
      </c>
      <c r="Q351">
        <v>1.7751199999999998</v>
      </c>
      <c r="R351">
        <v>1.7410000000000001</v>
      </c>
      <c r="S351">
        <v>1.4097200000000001</v>
      </c>
      <c r="T351">
        <v>1.6647799999999999</v>
      </c>
      <c r="U351">
        <v>1.6794800000000001</v>
      </c>
    </row>
    <row r="352" spans="1:21">
      <c r="A352" s="91">
        <v>41050</v>
      </c>
      <c r="B352" s="86">
        <v>41050</v>
      </c>
      <c r="C352" s="93">
        <v>1.2383900928792599</v>
      </c>
      <c r="D352" s="85" t="s">
        <v>1369</v>
      </c>
      <c r="F352" s="91">
        <v>41050</v>
      </c>
      <c r="G352">
        <v>1.4390000000000001</v>
      </c>
      <c r="H352">
        <v>1.6304000000000001</v>
      </c>
      <c r="I352">
        <v>1.47021</v>
      </c>
      <c r="J352">
        <v>1.631</v>
      </c>
      <c r="K352">
        <v>1.6805699999999999</v>
      </c>
      <c r="L352">
        <v>1.6679999999999999</v>
      </c>
      <c r="M352">
        <v>1.5692000000000002</v>
      </c>
      <c r="N352">
        <v>1.74</v>
      </c>
      <c r="O352">
        <v>1.4341400000000002</v>
      </c>
      <c r="P352">
        <v>1.6634100000000001</v>
      </c>
      <c r="Q352">
        <v>1.77745</v>
      </c>
      <c r="R352">
        <v>1.744</v>
      </c>
      <c r="S352">
        <v>1.4071400000000001</v>
      </c>
      <c r="T352">
        <v>1.6427100000000001</v>
      </c>
      <c r="U352">
        <v>1.6813699999999998</v>
      </c>
    </row>
    <row r="353" spans="1:21">
      <c r="A353" s="91">
        <v>41043</v>
      </c>
      <c r="B353" s="86">
        <v>41043</v>
      </c>
      <c r="C353" s="93">
        <v>1.25</v>
      </c>
      <c r="D353" s="85" t="s">
        <v>1370</v>
      </c>
      <c r="F353" s="91">
        <v>41043</v>
      </c>
      <c r="G353">
        <v>1.4530000000000001</v>
      </c>
      <c r="H353">
        <v>1.6987000000000001</v>
      </c>
      <c r="I353">
        <v>1.4706400000000002</v>
      </c>
      <c r="J353">
        <v>1.627</v>
      </c>
      <c r="K353">
        <v>1.67624</v>
      </c>
      <c r="L353">
        <v>1.6739999999999999</v>
      </c>
      <c r="M353">
        <v>1.5814999999999999</v>
      </c>
      <c r="N353">
        <v>1.76</v>
      </c>
      <c r="O353">
        <v>1.47899</v>
      </c>
      <c r="P353">
        <v>1.6634100000000001</v>
      </c>
      <c r="Q353">
        <v>1.78678</v>
      </c>
      <c r="R353">
        <v>1.756</v>
      </c>
      <c r="S353">
        <v>1.4145799999999999</v>
      </c>
      <c r="T353">
        <v>1.6529700000000001</v>
      </c>
      <c r="U353">
        <v>1.7285899999999998</v>
      </c>
    </row>
    <row r="354" spans="1:21">
      <c r="A354" s="91">
        <v>41036</v>
      </c>
      <c r="B354" s="86">
        <v>41036</v>
      </c>
      <c r="C354" s="93">
        <v>1.2399717286445899</v>
      </c>
      <c r="D354" s="85" t="s">
        <v>1371</v>
      </c>
      <c r="F354" s="91">
        <v>41036</v>
      </c>
      <c r="G354">
        <v>1.474</v>
      </c>
      <c r="H354">
        <v>1.6476999999999999</v>
      </c>
      <c r="I354">
        <v>1.5004999999999999</v>
      </c>
      <c r="J354">
        <v>1.6679999999999999</v>
      </c>
      <c r="K354">
        <v>1.6916300000000002</v>
      </c>
      <c r="L354">
        <v>1.6879999999999999</v>
      </c>
      <c r="M354">
        <v>1.61094</v>
      </c>
      <c r="N354">
        <v>1.7929999999999999</v>
      </c>
      <c r="O354">
        <v>1.5411199999999998</v>
      </c>
      <c r="P354">
        <v>1.6634100000000001</v>
      </c>
      <c r="Q354">
        <v>1.8310200000000001</v>
      </c>
      <c r="R354">
        <v>1.7689999999999999</v>
      </c>
      <c r="S354">
        <v>1.4365299999999999</v>
      </c>
      <c r="T354">
        <v>1.6755499999999999</v>
      </c>
      <c r="U354">
        <v>1.73766</v>
      </c>
    </row>
    <row r="355" spans="1:21">
      <c r="A355" s="91">
        <v>41029</v>
      </c>
      <c r="B355" s="86">
        <v>41029</v>
      </c>
      <c r="C355" s="93">
        <v>1.2300879512885199</v>
      </c>
      <c r="D355" s="85" t="s">
        <v>1372</v>
      </c>
      <c r="F355" s="91">
        <v>41029</v>
      </c>
      <c r="G355">
        <v>1.4930000000000001</v>
      </c>
      <c r="H355">
        <v>1.7156</v>
      </c>
      <c r="I355">
        <v>1.51631</v>
      </c>
      <c r="J355">
        <v>1.673</v>
      </c>
      <c r="K355">
        <v>1.7113</v>
      </c>
      <c r="L355">
        <v>1.7070000000000001</v>
      </c>
      <c r="M355">
        <v>1.6282000000000001</v>
      </c>
      <c r="N355">
        <v>1.825</v>
      </c>
      <c r="O355">
        <v>1.57161</v>
      </c>
      <c r="P355">
        <v>1.6634100000000001</v>
      </c>
      <c r="Q355">
        <v>1.85192</v>
      </c>
      <c r="R355">
        <v>1.784</v>
      </c>
      <c r="S355">
        <v>1.4578199999999999</v>
      </c>
      <c r="T355">
        <v>1.68526</v>
      </c>
      <c r="U355">
        <v>1.73447</v>
      </c>
    </row>
    <row r="356" spans="1:21">
      <c r="A356" s="91">
        <v>41022</v>
      </c>
      <c r="B356" s="86">
        <v>41022</v>
      </c>
      <c r="C356" s="93">
        <v>1.2245897624295898</v>
      </c>
      <c r="D356" s="85" t="s">
        <v>1373</v>
      </c>
      <c r="F356" s="91">
        <v>41022</v>
      </c>
      <c r="G356">
        <v>1.5209999999999999</v>
      </c>
      <c r="H356">
        <v>1.7156</v>
      </c>
      <c r="I356">
        <v>1.51152</v>
      </c>
      <c r="J356">
        <v>1.712</v>
      </c>
      <c r="K356">
        <v>1.7420100000000001</v>
      </c>
      <c r="L356">
        <v>1.722</v>
      </c>
      <c r="M356">
        <v>1.6507000000000001</v>
      </c>
      <c r="N356">
        <v>1.8540000000000001</v>
      </c>
      <c r="O356">
        <v>1.5220799999999999</v>
      </c>
      <c r="P356">
        <v>1.6000699999999999</v>
      </c>
      <c r="Q356">
        <v>1.85382</v>
      </c>
      <c r="R356">
        <v>1.8009999999999999</v>
      </c>
      <c r="S356">
        <v>1.4736800000000001</v>
      </c>
      <c r="T356">
        <v>1.7299</v>
      </c>
      <c r="U356">
        <v>1.73597</v>
      </c>
    </row>
    <row r="357" spans="1:21">
      <c r="A357" s="91">
        <v>41015</v>
      </c>
      <c r="B357" s="86">
        <v>41015</v>
      </c>
      <c r="C357" s="93">
        <v>1.21550990640574</v>
      </c>
      <c r="D357" s="85" t="s">
        <v>1374</v>
      </c>
      <c r="F357" s="91">
        <v>41015</v>
      </c>
      <c r="G357">
        <v>1.526</v>
      </c>
      <c r="H357">
        <v>1.7390000000000001</v>
      </c>
      <c r="I357">
        <v>1.5199100000000001</v>
      </c>
      <c r="J357">
        <v>1.7330000000000001</v>
      </c>
      <c r="K357">
        <v>1.7758</v>
      </c>
      <c r="L357">
        <v>1.7290000000000001</v>
      </c>
      <c r="M357">
        <v>1.6664000000000001</v>
      </c>
      <c r="N357">
        <v>1.8640000000000001</v>
      </c>
      <c r="O357">
        <v>1.50806</v>
      </c>
      <c r="P357">
        <v>1.6000699999999999</v>
      </c>
      <c r="Q357">
        <v>1.85626</v>
      </c>
      <c r="R357">
        <v>1.8180000000000001</v>
      </c>
      <c r="S357">
        <v>1.4989100000000002</v>
      </c>
      <c r="T357">
        <v>1.74844</v>
      </c>
      <c r="U357">
        <v>1.7281300000000002</v>
      </c>
    </row>
    <row r="358" spans="1:21">
      <c r="A358" s="91">
        <v>41001</v>
      </c>
      <c r="B358" s="86">
        <v>41001</v>
      </c>
      <c r="C358" s="93">
        <v>1.2032970338728097</v>
      </c>
      <c r="D358" s="85" t="s">
        <v>1375</v>
      </c>
      <c r="F358" s="91">
        <v>41001</v>
      </c>
      <c r="G358">
        <v>1.5129999999999999</v>
      </c>
      <c r="H358">
        <v>1.7025999999999999</v>
      </c>
      <c r="I358">
        <v>1.5072099999999999</v>
      </c>
      <c r="J358">
        <v>1.7030000000000001</v>
      </c>
      <c r="K358">
        <v>1.7861199999999999</v>
      </c>
      <c r="L358">
        <v>1.7150000000000001</v>
      </c>
      <c r="M358">
        <v>1.6545999999999998</v>
      </c>
      <c r="N358">
        <v>1.8340000000000001</v>
      </c>
      <c r="O358">
        <v>1.5117799999999999</v>
      </c>
      <c r="P358">
        <v>1.6000699999999999</v>
      </c>
      <c r="Q358">
        <v>1.8426900000000002</v>
      </c>
      <c r="R358">
        <v>1.8120000000000001</v>
      </c>
      <c r="S358">
        <v>1.4981300000000002</v>
      </c>
      <c r="T358">
        <v>1.78077</v>
      </c>
      <c r="U358">
        <v>1.6965599999999998</v>
      </c>
    </row>
    <row r="359" spans="1:21">
      <c r="A359" s="91">
        <v>40994</v>
      </c>
      <c r="B359" s="86">
        <v>40994</v>
      </c>
      <c r="C359" s="93">
        <v>1.1973180076628398</v>
      </c>
      <c r="D359" s="85" t="s">
        <v>1376</v>
      </c>
      <c r="F359" s="91">
        <v>40994</v>
      </c>
      <c r="G359">
        <v>1.4910000000000001</v>
      </c>
      <c r="H359">
        <v>1.6487000000000001</v>
      </c>
      <c r="I359">
        <v>1.51275</v>
      </c>
      <c r="J359">
        <v>1.6890000000000001</v>
      </c>
      <c r="K359">
        <v>1.7510399999999999</v>
      </c>
      <c r="L359">
        <v>1.702</v>
      </c>
      <c r="M359">
        <v>1.6505999999999998</v>
      </c>
      <c r="N359">
        <v>1.821</v>
      </c>
      <c r="O359">
        <v>1.5108499999999998</v>
      </c>
      <c r="P359">
        <v>1.5628</v>
      </c>
      <c r="Q359">
        <v>1.8291600000000001</v>
      </c>
      <c r="R359">
        <v>1.786</v>
      </c>
      <c r="S359">
        <v>1.4784999999999999</v>
      </c>
      <c r="T359">
        <v>1.7451300000000001</v>
      </c>
      <c r="U359">
        <v>1.6700200000000001</v>
      </c>
    </row>
    <row r="360" spans="1:21">
      <c r="A360" s="91">
        <v>40987</v>
      </c>
      <c r="B360" s="86">
        <v>40987</v>
      </c>
      <c r="C360" s="93">
        <v>1.2070734504194598</v>
      </c>
      <c r="D360" s="85" t="s">
        <v>1377</v>
      </c>
      <c r="F360" s="91">
        <v>40987</v>
      </c>
      <c r="G360">
        <v>1.484</v>
      </c>
      <c r="H360">
        <v>1.6989000000000001</v>
      </c>
      <c r="I360">
        <v>1.5062200000000001</v>
      </c>
      <c r="J360">
        <v>1.6890000000000001</v>
      </c>
      <c r="K360">
        <v>1.7510399999999999</v>
      </c>
      <c r="L360">
        <v>1.7</v>
      </c>
      <c r="M360">
        <v>1.6451</v>
      </c>
      <c r="N360">
        <v>1.804</v>
      </c>
      <c r="O360">
        <v>1.5095099999999999</v>
      </c>
      <c r="P360">
        <v>1.5628</v>
      </c>
      <c r="Q360">
        <v>1.81829</v>
      </c>
      <c r="R360">
        <v>1.788</v>
      </c>
      <c r="S360">
        <v>1.4771500000000002</v>
      </c>
      <c r="T360">
        <v>1.74383</v>
      </c>
      <c r="U360">
        <v>1.6773099999999999</v>
      </c>
    </row>
    <row r="361" spans="1:21">
      <c r="A361" s="91">
        <v>40980</v>
      </c>
      <c r="B361" s="86">
        <v>40980</v>
      </c>
      <c r="C361" s="93">
        <v>1.1916110581506201</v>
      </c>
      <c r="D361" s="85" t="s">
        <v>1378</v>
      </c>
      <c r="F361" s="91">
        <v>40980</v>
      </c>
      <c r="G361">
        <v>1.472</v>
      </c>
      <c r="H361">
        <v>1.6435</v>
      </c>
      <c r="I361">
        <v>1.49058</v>
      </c>
      <c r="J361">
        <v>1.68</v>
      </c>
      <c r="K361">
        <v>1.74719</v>
      </c>
      <c r="L361">
        <v>1.67</v>
      </c>
      <c r="M361">
        <v>1.6211</v>
      </c>
      <c r="N361">
        <v>1.7789999999999999</v>
      </c>
      <c r="O361">
        <v>1.4652400000000001</v>
      </c>
      <c r="P361">
        <v>1.5628</v>
      </c>
      <c r="Q361">
        <v>1.8036400000000001</v>
      </c>
      <c r="R361">
        <v>1.7709999999999999</v>
      </c>
      <c r="S361">
        <v>1.4513199999999999</v>
      </c>
      <c r="T361">
        <v>1.7220499999999999</v>
      </c>
      <c r="U361">
        <v>1.64324</v>
      </c>
    </row>
    <row r="362" spans="1:21">
      <c r="A362" s="91">
        <v>40973</v>
      </c>
      <c r="B362" s="86">
        <v>40973</v>
      </c>
      <c r="C362" s="93">
        <v>1.1981069909542899</v>
      </c>
      <c r="D362" s="85" t="s">
        <v>1379</v>
      </c>
      <c r="F362" s="91">
        <v>40973</v>
      </c>
      <c r="G362">
        <v>1.4510000000000001</v>
      </c>
      <c r="H362">
        <v>1.6593</v>
      </c>
      <c r="I362">
        <v>1.4715100000000001</v>
      </c>
      <c r="J362">
        <v>1.6839999999999999</v>
      </c>
      <c r="K362">
        <v>1.7271800000000002</v>
      </c>
      <c r="L362">
        <v>1.659</v>
      </c>
      <c r="M362">
        <v>1.6088399999999998</v>
      </c>
      <c r="N362">
        <v>1.7749999999999999</v>
      </c>
      <c r="O362">
        <v>1.45869</v>
      </c>
      <c r="P362">
        <v>1.4978</v>
      </c>
      <c r="Q362">
        <v>1.77122</v>
      </c>
      <c r="R362">
        <v>1.7509999999999999</v>
      </c>
      <c r="S362">
        <v>1.4372</v>
      </c>
      <c r="T362">
        <v>1.7005699999999999</v>
      </c>
      <c r="U362">
        <v>1.6450400000000001</v>
      </c>
    </row>
    <row r="363" spans="1:21">
      <c r="A363" s="91">
        <v>40966</v>
      </c>
      <c r="B363" s="86">
        <v>40966</v>
      </c>
      <c r="C363" s="93">
        <v>1.1834319526627199</v>
      </c>
      <c r="D363" s="85" t="s">
        <v>1380</v>
      </c>
      <c r="F363" s="91">
        <v>40966</v>
      </c>
      <c r="G363">
        <v>1.4359999999999999</v>
      </c>
      <c r="H363">
        <v>1.6817</v>
      </c>
      <c r="I363">
        <v>1.45285</v>
      </c>
      <c r="J363">
        <v>1.66</v>
      </c>
      <c r="K363">
        <v>1.7469100000000002</v>
      </c>
      <c r="L363">
        <v>1.651</v>
      </c>
      <c r="M363">
        <v>1.6094000000000002</v>
      </c>
      <c r="N363">
        <v>1.764</v>
      </c>
      <c r="O363">
        <v>1.45733</v>
      </c>
      <c r="P363">
        <v>1.4978</v>
      </c>
      <c r="Q363">
        <v>1.76572</v>
      </c>
      <c r="R363">
        <v>1.7430000000000001</v>
      </c>
      <c r="S363">
        <v>1.4320899999999999</v>
      </c>
      <c r="T363">
        <v>1.7015</v>
      </c>
      <c r="U363">
        <v>1.61198</v>
      </c>
    </row>
    <row r="364" spans="1:21">
      <c r="A364" s="91">
        <v>40959</v>
      </c>
      <c r="B364" s="86">
        <v>40959</v>
      </c>
      <c r="C364" s="93">
        <v>1.1956001912960299</v>
      </c>
      <c r="D364" s="85" t="s">
        <v>1381</v>
      </c>
      <c r="F364" s="91">
        <v>40959</v>
      </c>
      <c r="G364">
        <v>1.431</v>
      </c>
      <c r="H364">
        <v>1.6422999999999999</v>
      </c>
      <c r="I364">
        <v>1.45136</v>
      </c>
      <c r="J364">
        <v>1.669</v>
      </c>
      <c r="K364">
        <v>1.72722</v>
      </c>
      <c r="L364">
        <v>1.6439999999999999</v>
      </c>
      <c r="M364">
        <v>1.5803</v>
      </c>
      <c r="N364">
        <v>1.742</v>
      </c>
      <c r="O364">
        <v>1.4653699999999998</v>
      </c>
      <c r="P364">
        <v>1.4978</v>
      </c>
      <c r="Q364">
        <v>1.7524900000000001</v>
      </c>
      <c r="R364">
        <v>1.736</v>
      </c>
      <c r="S364">
        <v>1.4150199999999999</v>
      </c>
      <c r="T364">
        <v>1.6944699999999999</v>
      </c>
      <c r="U364">
        <v>1.6165799999999999</v>
      </c>
    </row>
    <row r="365" spans="1:21">
      <c r="A365" s="91">
        <v>40952</v>
      </c>
      <c r="B365" s="86">
        <v>40952</v>
      </c>
      <c r="C365" s="93">
        <v>1.1921082434285</v>
      </c>
      <c r="D365" s="85" t="s">
        <v>1382</v>
      </c>
      <c r="F365" s="91">
        <v>40952</v>
      </c>
      <c r="G365">
        <v>1.409</v>
      </c>
      <c r="H365">
        <v>1.627</v>
      </c>
      <c r="I365">
        <v>1.4408099999999999</v>
      </c>
      <c r="J365">
        <v>1.6220000000000001</v>
      </c>
      <c r="K365">
        <v>1.69113</v>
      </c>
      <c r="L365">
        <v>1.637</v>
      </c>
      <c r="M365">
        <v>1.5787</v>
      </c>
      <c r="N365">
        <v>1.728</v>
      </c>
      <c r="O365">
        <v>1.44489</v>
      </c>
      <c r="P365">
        <v>1.4978</v>
      </c>
      <c r="Q365">
        <v>1.73654</v>
      </c>
      <c r="R365">
        <v>1.716</v>
      </c>
      <c r="S365">
        <v>1.3927400000000001</v>
      </c>
      <c r="T365">
        <v>1.6606500000000002</v>
      </c>
      <c r="U365">
        <v>1.60812</v>
      </c>
    </row>
    <row r="366" spans="1:21">
      <c r="A366" s="91">
        <v>40945</v>
      </c>
      <c r="B366" s="86">
        <v>40945</v>
      </c>
      <c r="C366" s="93">
        <v>1.2075836251660399</v>
      </c>
      <c r="D366" s="85" t="s">
        <v>1383</v>
      </c>
      <c r="F366" s="91">
        <v>40945</v>
      </c>
      <c r="G366">
        <v>1.397</v>
      </c>
      <c r="H366">
        <v>1.6092</v>
      </c>
      <c r="I366">
        <v>1.4465999999999999</v>
      </c>
      <c r="J366">
        <v>1.5820000000000001</v>
      </c>
      <c r="K366">
        <v>1.67066</v>
      </c>
      <c r="L366">
        <v>1.6220000000000001</v>
      </c>
      <c r="M366">
        <v>1.5640000000000001</v>
      </c>
      <c r="N366">
        <v>1.7230000000000001</v>
      </c>
      <c r="O366">
        <v>1.4416600000000002</v>
      </c>
      <c r="P366">
        <v>1.4978</v>
      </c>
      <c r="Q366">
        <v>1.7267999999999999</v>
      </c>
      <c r="R366">
        <v>1.7</v>
      </c>
      <c r="S366">
        <v>1.37819</v>
      </c>
      <c r="T366">
        <v>1.6506700000000001</v>
      </c>
      <c r="U366">
        <v>1.6212200000000001</v>
      </c>
    </row>
    <row r="367" spans="1:21">
      <c r="A367" s="91">
        <v>40938</v>
      </c>
      <c r="B367" s="86">
        <v>40938</v>
      </c>
      <c r="C367" s="93">
        <v>1.1964584828906399</v>
      </c>
      <c r="D367" s="85" t="s">
        <v>1384</v>
      </c>
      <c r="F367" s="91">
        <v>40938</v>
      </c>
      <c r="G367">
        <v>1.3919999999999999</v>
      </c>
      <c r="H367">
        <v>1.6000999999999999</v>
      </c>
      <c r="I367">
        <v>1.4327300000000001</v>
      </c>
      <c r="J367">
        <v>1.589</v>
      </c>
      <c r="K367">
        <v>1.66395</v>
      </c>
      <c r="L367">
        <v>1.605</v>
      </c>
      <c r="M367">
        <v>1.5528</v>
      </c>
      <c r="N367">
        <v>1.718</v>
      </c>
      <c r="O367">
        <v>1.4428099999999999</v>
      </c>
      <c r="P367">
        <v>1.4847000000000001</v>
      </c>
      <c r="Q367">
        <v>1.7176199999999999</v>
      </c>
      <c r="R367">
        <v>1.694</v>
      </c>
      <c r="S367">
        <v>1.3708699999999998</v>
      </c>
      <c r="T367">
        <v>1.63266</v>
      </c>
      <c r="U367">
        <v>1.60446</v>
      </c>
    </row>
    <row r="368" spans="1:21">
      <c r="A368" s="91">
        <v>40931</v>
      </c>
      <c r="B368" s="86">
        <v>40931</v>
      </c>
      <c r="C368" s="93">
        <v>1.1958146487294499</v>
      </c>
      <c r="D368" s="85" t="s">
        <v>1385</v>
      </c>
      <c r="F368" s="91">
        <v>40931</v>
      </c>
      <c r="G368">
        <v>1.3939999999999999</v>
      </c>
      <c r="H368">
        <v>1.6268</v>
      </c>
      <c r="I368">
        <v>1.43004</v>
      </c>
      <c r="J368">
        <v>1.59</v>
      </c>
      <c r="K368">
        <v>1.66357</v>
      </c>
      <c r="L368">
        <v>1.611</v>
      </c>
      <c r="M368">
        <v>1.5555000000000001</v>
      </c>
      <c r="N368">
        <v>1.716</v>
      </c>
      <c r="O368">
        <v>1.4151199999999999</v>
      </c>
      <c r="P368">
        <v>1.4847000000000001</v>
      </c>
      <c r="Q368">
        <v>1.71278</v>
      </c>
      <c r="R368">
        <v>1.696</v>
      </c>
      <c r="S368">
        <v>1.3701099999999999</v>
      </c>
      <c r="T368">
        <v>1.65507</v>
      </c>
      <c r="U368">
        <v>1.5990599999999999</v>
      </c>
    </row>
    <row r="369" spans="1:21">
      <c r="A369" s="91">
        <v>40924</v>
      </c>
      <c r="B369" s="86">
        <v>40924</v>
      </c>
      <c r="C369" s="93">
        <v>1.2085322375974399</v>
      </c>
      <c r="D369" s="85" t="s">
        <v>1386</v>
      </c>
      <c r="F369" s="91">
        <v>40924</v>
      </c>
      <c r="G369">
        <v>1.399</v>
      </c>
      <c r="H369">
        <v>1.6248</v>
      </c>
      <c r="I369">
        <v>1.3926500000000002</v>
      </c>
      <c r="J369">
        <v>1.579</v>
      </c>
      <c r="K369">
        <v>1.6664600000000001</v>
      </c>
      <c r="L369">
        <v>1.615</v>
      </c>
      <c r="M369">
        <v>1.5563</v>
      </c>
      <c r="N369">
        <v>1.704</v>
      </c>
      <c r="O369">
        <v>1.36714</v>
      </c>
      <c r="P369">
        <v>1.4847000000000001</v>
      </c>
      <c r="Q369">
        <v>1.7093499999999999</v>
      </c>
      <c r="R369">
        <v>1.6970000000000001</v>
      </c>
      <c r="S369">
        <v>1.36734</v>
      </c>
      <c r="T369">
        <v>1.6315899999999999</v>
      </c>
      <c r="U369">
        <v>1.6109</v>
      </c>
    </row>
    <row r="370" spans="1:21" ht="15.75" thickBot="1">
      <c r="A370" s="92">
        <v>40917</v>
      </c>
      <c r="B370" s="86">
        <v>40917</v>
      </c>
      <c r="C370" s="93">
        <v>1.21359223300971</v>
      </c>
      <c r="D370" s="85" t="s">
        <v>1387</v>
      </c>
      <c r="F370" s="92">
        <v>40917</v>
      </c>
      <c r="G370">
        <v>1.3740000000000001</v>
      </c>
      <c r="H370">
        <v>1.5692000000000002</v>
      </c>
      <c r="I370">
        <v>1.3763699999999999</v>
      </c>
      <c r="J370">
        <v>1.601</v>
      </c>
      <c r="K370">
        <v>1.6716900000000001</v>
      </c>
      <c r="L370">
        <v>1.585</v>
      </c>
      <c r="M370">
        <v>1.5362</v>
      </c>
      <c r="N370">
        <v>1.673</v>
      </c>
      <c r="O370">
        <v>1.31121</v>
      </c>
      <c r="P370">
        <v>1.5035999999999998</v>
      </c>
      <c r="Q370">
        <v>1.6940200000000001</v>
      </c>
      <c r="R370">
        <v>1.6910000000000001</v>
      </c>
      <c r="S370">
        <v>1.3580699999999999</v>
      </c>
      <c r="T370">
        <v>1.63907</v>
      </c>
      <c r="U370">
        <v>1.6102100000000001</v>
      </c>
    </row>
    <row r="371" spans="1:21">
      <c r="A371" s="91">
        <v>40896</v>
      </c>
      <c r="B371" s="86">
        <v>40896</v>
      </c>
      <c r="C371" s="93">
        <v>1.1907597046915899</v>
      </c>
      <c r="D371" s="85" t="s">
        <v>1388</v>
      </c>
      <c r="F371" s="91">
        <v>40896</v>
      </c>
      <c r="G371">
        <v>1.3520000000000001</v>
      </c>
      <c r="H371">
        <v>1.5402</v>
      </c>
      <c r="I371">
        <v>1.3794900000000001</v>
      </c>
      <c r="J371">
        <v>1.5069999999999999</v>
      </c>
      <c r="K371">
        <v>1.5837300000000001</v>
      </c>
      <c r="L371">
        <v>1.5289999999999999</v>
      </c>
      <c r="M371">
        <v>1.4910999999999999</v>
      </c>
      <c r="N371">
        <v>1.643</v>
      </c>
      <c r="O371">
        <v>1.3066</v>
      </c>
      <c r="P371">
        <v>1.5035999999999998</v>
      </c>
      <c r="Q371">
        <v>1.6735</v>
      </c>
      <c r="R371">
        <v>1.623</v>
      </c>
      <c r="S371">
        <v>1.2960699999999998</v>
      </c>
      <c r="T371">
        <v>1.5439700000000001</v>
      </c>
      <c r="U371">
        <v>1.5775999999999999</v>
      </c>
    </row>
    <row r="372" spans="1:21">
      <c r="A372" s="91">
        <v>40889</v>
      </c>
      <c r="B372" s="86">
        <v>40889</v>
      </c>
      <c r="C372" s="93">
        <v>1.1792452830188698</v>
      </c>
      <c r="D372" s="85" t="s">
        <v>1389</v>
      </c>
      <c r="F372" s="91">
        <v>40889</v>
      </c>
      <c r="G372">
        <v>1.353</v>
      </c>
      <c r="H372">
        <v>1.5175999999999998</v>
      </c>
      <c r="I372">
        <v>1.36676</v>
      </c>
      <c r="J372">
        <v>1.502</v>
      </c>
      <c r="K372">
        <v>1.57609</v>
      </c>
      <c r="L372">
        <v>1.5329999999999999</v>
      </c>
      <c r="M372">
        <v>1.4832000000000001</v>
      </c>
      <c r="N372">
        <v>1.64</v>
      </c>
      <c r="O372">
        <v>1.2988599999999999</v>
      </c>
      <c r="P372">
        <v>1.5035999999999998</v>
      </c>
      <c r="Q372">
        <v>1.6727300000000001</v>
      </c>
      <c r="R372">
        <v>1.617</v>
      </c>
      <c r="S372">
        <v>1.2942899999999999</v>
      </c>
      <c r="T372">
        <v>1.51118</v>
      </c>
      <c r="U372">
        <v>1.5628299999999999</v>
      </c>
    </row>
    <row r="373" spans="1:21">
      <c r="A373" s="91">
        <v>40882</v>
      </c>
      <c r="B373" s="86">
        <v>40882</v>
      </c>
      <c r="C373" s="93">
        <v>1.1638056444573799</v>
      </c>
      <c r="D373" s="85" t="s">
        <v>1390</v>
      </c>
      <c r="F373" s="91">
        <v>40882</v>
      </c>
      <c r="G373">
        <v>1.353</v>
      </c>
      <c r="H373">
        <v>1.5294000000000001</v>
      </c>
      <c r="I373">
        <v>1.39374</v>
      </c>
      <c r="J373">
        <v>1.5089999999999999</v>
      </c>
      <c r="K373">
        <v>1.57223</v>
      </c>
      <c r="L373">
        <v>1.5349999999999999</v>
      </c>
      <c r="M373">
        <v>1.4807000000000001</v>
      </c>
      <c r="N373">
        <v>1.6379999999999999</v>
      </c>
      <c r="O373">
        <v>1.3284200000000002</v>
      </c>
      <c r="P373">
        <v>1.5035999999999998</v>
      </c>
      <c r="Q373">
        <v>1.5752999999999999</v>
      </c>
      <c r="R373">
        <v>1.607</v>
      </c>
      <c r="S373">
        <v>1.2841400000000001</v>
      </c>
      <c r="T373">
        <v>1.5233299999999999</v>
      </c>
      <c r="U373">
        <v>1.5452699999999999</v>
      </c>
    </row>
    <row r="374" spans="1:21">
      <c r="A374" s="91">
        <v>40875</v>
      </c>
      <c r="B374" s="86">
        <v>40875</v>
      </c>
      <c r="C374" s="93">
        <v>1.1652295502213899</v>
      </c>
      <c r="D374" s="85" t="s">
        <v>1391</v>
      </c>
      <c r="F374" s="91">
        <v>40875</v>
      </c>
      <c r="G374">
        <v>1.3540000000000001</v>
      </c>
      <c r="H374">
        <v>1.4963</v>
      </c>
      <c r="I374">
        <v>1.36378</v>
      </c>
      <c r="J374">
        <v>1.488</v>
      </c>
      <c r="K374">
        <v>1.58118</v>
      </c>
      <c r="L374">
        <v>1.5449999999999999</v>
      </c>
      <c r="M374">
        <v>1.4735999999999998</v>
      </c>
      <c r="N374">
        <v>1.645</v>
      </c>
      <c r="O374">
        <v>1.29043</v>
      </c>
      <c r="P374">
        <v>1.5129999999999999</v>
      </c>
      <c r="Q374">
        <v>1.57698</v>
      </c>
      <c r="R374">
        <v>1.6040000000000001</v>
      </c>
      <c r="S374">
        <v>1.28569</v>
      </c>
      <c r="T374">
        <v>1.4935699999999998</v>
      </c>
      <c r="U374">
        <v>1.5517100000000001</v>
      </c>
    </row>
    <row r="375" spans="1:21">
      <c r="A375" s="91">
        <v>40868</v>
      </c>
      <c r="B375" s="86">
        <v>40868</v>
      </c>
      <c r="C375" s="93">
        <v>1.16279069767442</v>
      </c>
      <c r="D375" s="85" t="s">
        <v>1392</v>
      </c>
      <c r="F375" s="91">
        <v>40868</v>
      </c>
      <c r="G375">
        <v>1.3720000000000001</v>
      </c>
      <c r="H375">
        <v>1.5505</v>
      </c>
      <c r="I375">
        <v>1.3739700000000001</v>
      </c>
      <c r="J375">
        <v>1.5109999999999999</v>
      </c>
      <c r="K375">
        <v>1.5706900000000001</v>
      </c>
      <c r="L375">
        <v>1.5529999999999999</v>
      </c>
      <c r="M375">
        <v>1.4897</v>
      </c>
      <c r="N375">
        <v>1.661</v>
      </c>
      <c r="O375">
        <v>1.31423</v>
      </c>
      <c r="P375">
        <v>1.5129999999999999</v>
      </c>
      <c r="Q375">
        <v>1.5875699999999999</v>
      </c>
      <c r="R375">
        <v>1.6140000000000001</v>
      </c>
      <c r="S375">
        <v>1.2951900000000001</v>
      </c>
      <c r="T375">
        <v>1.49028</v>
      </c>
      <c r="U375">
        <v>1.55087</v>
      </c>
    </row>
    <row r="376" spans="1:21">
      <c r="A376" s="91">
        <v>40861</v>
      </c>
      <c r="B376" s="86">
        <v>40861</v>
      </c>
      <c r="C376" s="93">
        <v>1.1674060238150799</v>
      </c>
      <c r="D376" s="85" t="s">
        <v>1393</v>
      </c>
      <c r="F376" s="91">
        <v>40861</v>
      </c>
      <c r="G376">
        <v>1.377</v>
      </c>
      <c r="H376">
        <v>1.5059</v>
      </c>
      <c r="I376">
        <v>1.3548900000000001</v>
      </c>
      <c r="J376">
        <v>1.4970000000000001</v>
      </c>
      <c r="K376">
        <v>1.60419</v>
      </c>
      <c r="L376">
        <v>1.56</v>
      </c>
      <c r="M376">
        <v>1.4979</v>
      </c>
      <c r="N376">
        <v>1.66</v>
      </c>
      <c r="O376">
        <v>1.26247</v>
      </c>
      <c r="P376">
        <v>1.5129999999999999</v>
      </c>
      <c r="Q376">
        <v>1.5947200000000001</v>
      </c>
      <c r="R376">
        <v>1.63</v>
      </c>
      <c r="S376">
        <v>1.3097799999999999</v>
      </c>
      <c r="T376">
        <v>1.5228299999999999</v>
      </c>
      <c r="U376">
        <v>1.56054</v>
      </c>
    </row>
    <row r="377" spans="1:21">
      <c r="A377" s="91">
        <v>40854</v>
      </c>
      <c r="B377" s="86">
        <v>40854</v>
      </c>
      <c r="C377" s="93">
        <v>1.1674741696339999</v>
      </c>
      <c r="D377" s="85" t="s">
        <v>1394</v>
      </c>
      <c r="F377" s="91">
        <v>40854</v>
      </c>
      <c r="G377">
        <v>1.365</v>
      </c>
      <c r="H377">
        <v>1.5059</v>
      </c>
      <c r="I377">
        <v>1.39134</v>
      </c>
      <c r="J377">
        <v>1.524</v>
      </c>
      <c r="K377">
        <v>1.5986500000000001</v>
      </c>
      <c r="L377">
        <v>1.5580000000000001</v>
      </c>
      <c r="M377">
        <v>1.4912999999999998</v>
      </c>
      <c r="N377">
        <v>1.661</v>
      </c>
      <c r="O377">
        <v>1.2897100000000001</v>
      </c>
      <c r="P377">
        <v>1.5129999999999999</v>
      </c>
      <c r="Q377">
        <v>1.59213</v>
      </c>
      <c r="R377">
        <v>1.621</v>
      </c>
      <c r="S377">
        <v>1.3056700000000001</v>
      </c>
      <c r="T377">
        <v>1.5278800000000001</v>
      </c>
      <c r="U377">
        <v>1.5691400000000002</v>
      </c>
    </row>
    <row r="378" spans="1:21">
      <c r="A378" s="91">
        <v>40847</v>
      </c>
      <c r="B378" s="86">
        <v>40847</v>
      </c>
      <c r="C378" s="93">
        <v>1.1453441759248699</v>
      </c>
      <c r="D378" s="85" t="s">
        <v>1395</v>
      </c>
      <c r="F378" s="91">
        <v>40847</v>
      </c>
      <c r="G378">
        <v>1.361</v>
      </c>
      <c r="H378">
        <v>1.534</v>
      </c>
      <c r="I378">
        <v>1.4060299999999999</v>
      </c>
      <c r="J378">
        <v>1.5309999999999999</v>
      </c>
      <c r="K378">
        <v>1.6044100000000001</v>
      </c>
      <c r="L378">
        <v>1.5649999999999999</v>
      </c>
      <c r="M378">
        <v>1.4954000000000001</v>
      </c>
      <c r="N378">
        <v>1.677</v>
      </c>
      <c r="O378">
        <v>1.31298</v>
      </c>
      <c r="P378">
        <v>1.5129999999999999</v>
      </c>
      <c r="Q378">
        <v>1.5889200000000001</v>
      </c>
      <c r="R378">
        <v>1.63</v>
      </c>
      <c r="S378">
        <v>1.3142799999999999</v>
      </c>
      <c r="T378">
        <v>1.54623</v>
      </c>
      <c r="U378">
        <v>1.54318</v>
      </c>
    </row>
    <row r="379" spans="1:21">
      <c r="A379" s="91">
        <v>40840</v>
      </c>
      <c r="B379" s="86">
        <v>40840</v>
      </c>
      <c r="C379" s="93">
        <v>1.15061557933494</v>
      </c>
      <c r="D379" s="85" t="s">
        <v>1396</v>
      </c>
      <c r="F379" s="91">
        <v>40840</v>
      </c>
      <c r="G379">
        <v>1.3680000000000001</v>
      </c>
      <c r="H379">
        <v>1.534</v>
      </c>
      <c r="I379">
        <v>1.3902399999999999</v>
      </c>
      <c r="J379">
        <v>1.53</v>
      </c>
      <c r="K379">
        <v>1.59029</v>
      </c>
      <c r="L379">
        <v>1.5669999999999999</v>
      </c>
      <c r="M379">
        <v>1.4981</v>
      </c>
      <c r="N379">
        <v>1.679</v>
      </c>
      <c r="O379">
        <v>1.3401800000000001</v>
      </c>
      <c r="P379">
        <v>1.5129999999999999</v>
      </c>
      <c r="Q379">
        <v>1.5971</v>
      </c>
      <c r="R379">
        <v>1.635</v>
      </c>
      <c r="S379">
        <v>1.3146</v>
      </c>
      <c r="T379">
        <v>1.5406600000000001</v>
      </c>
      <c r="U379">
        <v>1.5494100000000002</v>
      </c>
    </row>
    <row r="380" spans="1:21">
      <c r="A380" s="91">
        <v>40833</v>
      </c>
      <c r="B380" s="86">
        <v>40833</v>
      </c>
      <c r="C380" s="93">
        <v>1.1441647597253999</v>
      </c>
      <c r="D380" s="85" t="s">
        <v>1289</v>
      </c>
      <c r="F380" s="91">
        <v>40833</v>
      </c>
      <c r="G380">
        <v>1.367</v>
      </c>
      <c r="H380">
        <v>1.5891999999999999</v>
      </c>
      <c r="I380">
        <v>1.40259</v>
      </c>
      <c r="J380">
        <v>1.552</v>
      </c>
      <c r="K380">
        <v>1.62384</v>
      </c>
      <c r="L380">
        <v>1.571</v>
      </c>
      <c r="M380">
        <v>1.5024000000000002</v>
      </c>
      <c r="N380">
        <v>1.6739999999999999</v>
      </c>
      <c r="O380">
        <v>1.3494000000000002</v>
      </c>
      <c r="P380">
        <v>1.5129999999999999</v>
      </c>
      <c r="Q380">
        <v>1.5890599999999999</v>
      </c>
      <c r="R380">
        <v>1.641</v>
      </c>
      <c r="S380">
        <v>1.33006</v>
      </c>
      <c r="T380">
        <v>1.53196</v>
      </c>
      <c r="U380">
        <v>1.53878</v>
      </c>
    </row>
    <row r="381" spans="1:21">
      <c r="A381" s="91">
        <v>40826</v>
      </c>
      <c r="B381" s="86">
        <v>40826</v>
      </c>
      <c r="C381" s="93">
        <v>1.150880423524</v>
      </c>
      <c r="D381" s="85" t="s">
        <v>1305</v>
      </c>
      <c r="F381" s="91">
        <v>40826</v>
      </c>
      <c r="G381">
        <v>1.363</v>
      </c>
      <c r="H381">
        <v>1.5129999999999999</v>
      </c>
      <c r="I381">
        <v>1.40056</v>
      </c>
      <c r="J381">
        <v>1.5329999999999999</v>
      </c>
      <c r="K381">
        <v>1.62157</v>
      </c>
      <c r="L381">
        <v>1.5569999999999999</v>
      </c>
      <c r="M381">
        <v>1.4850999999999999</v>
      </c>
      <c r="N381">
        <v>1.6619999999999999</v>
      </c>
      <c r="O381">
        <v>1.33714</v>
      </c>
      <c r="P381">
        <v>1.5129999999999999</v>
      </c>
      <c r="Q381">
        <v>1.5859400000000001</v>
      </c>
      <c r="R381">
        <v>1.6279999999999999</v>
      </c>
      <c r="S381">
        <v>1.3159000000000001</v>
      </c>
      <c r="T381">
        <v>1.53207</v>
      </c>
      <c r="U381">
        <v>1.5476099999999999</v>
      </c>
    </row>
    <row r="382" spans="1:21">
      <c r="A382" s="91">
        <v>40819</v>
      </c>
      <c r="B382" s="86">
        <v>40819</v>
      </c>
      <c r="C382" s="93">
        <v>1.1633317822242899</v>
      </c>
      <c r="D382" s="85" t="s">
        <v>1397</v>
      </c>
      <c r="F382" s="91">
        <v>40819</v>
      </c>
      <c r="G382">
        <v>1.365</v>
      </c>
      <c r="H382">
        <v>1.5669999999999999</v>
      </c>
      <c r="I382">
        <v>1.3998299999999999</v>
      </c>
      <c r="J382">
        <v>1.5129999999999999</v>
      </c>
      <c r="K382">
        <v>1.59494</v>
      </c>
      <c r="L382">
        <v>1.5649999999999999</v>
      </c>
      <c r="M382">
        <v>1.4947000000000001</v>
      </c>
      <c r="N382">
        <v>1.6819999999999999</v>
      </c>
      <c r="O382">
        <v>1.3504400000000001</v>
      </c>
      <c r="P382">
        <v>1.5129999999999999</v>
      </c>
      <c r="Q382">
        <v>1.59412</v>
      </c>
      <c r="R382">
        <v>1.6339999999999999</v>
      </c>
      <c r="S382">
        <v>1.3112699999999999</v>
      </c>
      <c r="T382">
        <v>1.51542</v>
      </c>
      <c r="U382">
        <v>1.5707500000000001</v>
      </c>
    </row>
    <row r="383" spans="1:21">
      <c r="A383" s="91">
        <v>40812</v>
      </c>
      <c r="B383" s="86">
        <v>40812</v>
      </c>
      <c r="C383" s="93">
        <v>1.1499540018399299</v>
      </c>
      <c r="D383" s="85" t="s">
        <v>1398</v>
      </c>
      <c r="F383" s="91">
        <v>40812</v>
      </c>
      <c r="G383">
        <v>1.3839999999999999</v>
      </c>
      <c r="H383">
        <v>1.5640999999999998</v>
      </c>
      <c r="I383">
        <v>1.4118299999999999</v>
      </c>
      <c r="J383">
        <v>1.51</v>
      </c>
      <c r="K383">
        <v>1.6176900000000001</v>
      </c>
      <c r="L383">
        <v>1.58</v>
      </c>
      <c r="M383">
        <v>1.5155000000000001</v>
      </c>
      <c r="N383">
        <v>1.694</v>
      </c>
      <c r="O383">
        <v>1.3738800000000002</v>
      </c>
      <c r="P383">
        <v>1.5129999999999999</v>
      </c>
      <c r="Q383">
        <v>1.60402</v>
      </c>
      <c r="R383">
        <v>1.667</v>
      </c>
      <c r="S383">
        <v>1.3295399999999999</v>
      </c>
      <c r="T383">
        <v>1.5171700000000001</v>
      </c>
      <c r="U383">
        <v>1.55996</v>
      </c>
    </row>
    <row r="384" spans="1:21">
      <c r="A384" s="91">
        <v>40805</v>
      </c>
      <c r="B384" s="86">
        <v>40805</v>
      </c>
      <c r="C384" s="93">
        <v>1.1519410206197398</v>
      </c>
      <c r="D384" s="85" t="s">
        <v>1399</v>
      </c>
      <c r="F384" s="91">
        <v>40805</v>
      </c>
      <c r="G384">
        <v>1.3939999999999999</v>
      </c>
      <c r="H384">
        <v>1.6169</v>
      </c>
      <c r="I384">
        <v>1.41652</v>
      </c>
      <c r="J384">
        <v>1.5549999999999999</v>
      </c>
      <c r="K384">
        <v>1.6435499999999998</v>
      </c>
      <c r="L384">
        <v>1.587</v>
      </c>
      <c r="M384">
        <v>1.5241</v>
      </c>
      <c r="N384">
        <v>1.7010000000000001</v>
      </c>
      <c r="O384">
        <v>1.3487199999999999</v>
      </c>
      <c r="P384">
        <v>1.5129999999999999</v>
      </c>
      <c r="Q384">
        <v>1.60545</v>
      </c>
      <c r="R384">
        <v>1.679</v>
      </c>
      <c r="S384">
        <v>1.3524200000000002</v>
      </c>
      <c r="T384">
        <v>1.5411600000000001</v>
      </c>
      <c r="U384">
        <v>1.55975</v>
      </c>
    </row>
    <row r="385" spans="1:21">
      <c r="A385" s="91">
        <v>40798</v>
      </c>
      <c r="B385" s="86">
        <v>40798</v>
      </c>
      <c r="C385" s="93">
        <v>1.1625879207115</v>
      </c>
      <c r="D385" s="85" t="s">
        <v>1400</v>
      </c>
      <c r="F385" s="91">
        <v>40798</v>
      </c>
      <c r="G385">
        <v>1.3979999999999999</v>
      </c>
      <c r="H385">
        <v>1.5669000000000002</v>
      </c>
      <c r="I385">
        <v>1.41632</v>
      </c>
      <c r="J385">
        <v>1.5549999999999999</v>
      </c>
      <c r="K385">
        <v>1.66506</v>
      </c>
      <c r="L385">
        <v>1.575</v>
      </c>
      <c r="M385">
        <v>1.5295000000000001</v>
      </c>
      <c r="N385">
        <v>1.6970000000000001</v>
      </c>
      <c r="O385">
        <v>1.3696300000000001</v>
      </c>
      <c r="P385">
        <v>1.5129999999999999</v>
      </c>
      <c r="Q385">
        <v>1.5904400000000001</v>
      </c>
      <c r="R385">
        <v>1.6870000000000001</v>
      </c>
      <c r="S385">
        <v>1.35653</v>
      </c>
      <c r="T385">
        <v>1.5939000000000001</v>
      </c>
      <c r="U385">
        <v>1.5695299999999999</v>
      </c>
    </row>
    <row r="386" spans="1:21">
      <c r="A386" s="91">
        <v>40791</v>
      </c>
      <c r="B386" s="86">
        <v>40791</v>
      </c>
      <c r="C386" s="93">
        <v>1.1427265455376499</v>
      </c>
      <c r="D386" s="85" t="s">
        <v>1401</v>
      </c>
      <c r="F386" s="91">
        <v>40791</v>
      </c>
      <c r="G386">
        <v>1.385</v>
      </c>
      <c r="H386">
        <v>1.5510999999999999</v>
      </c>
      <c r="I386">
        <v>1.39649</v>
      </c>
      <c r="J386">
        <v>1.512</v>
      </c>
      <c r="K386">
        <v>1.6606300000000001</v>
      </c>
      <c r="L386">
        <v>1.5649999999999999</v>
      </c>
      <c r="M386">
        <v>1.5087999999999999</v>
      </c>
      <c r="N386">
        <v>1.677</v>
      </c>
      <c r="O386">
        <v>1.3692899999999999</v>
      </c>
      <c r="P386">
        <v>1.5129999999999999</v>
      </c>
      <c r="Q386">
        <v>1.5753900000000001</v>
      </c>
      <c r="R386">
        <v>1.663</v>
      </c>
      <c r="S386">
        <v>1.35408</v>
      </c>
      <c r="T386">
        <v>1.5806500000000001</v>
      </c>
      <c r="U386">
        <v>1.53833</v>
      </c>
    </row>
    <row r="387" spans="1:21">
      <c r="A387" s="91">
        <v>40784</v>
      </c>
      <c r="B387" s="86">
        <v>40784</v>
      </c>
      <c r="C387" s="93">
        <v>1.1304544426859597</v>
      </c>
      <c r="D387" s="85" t="s">
        <v>1219</v>
      </c>
      <c r="F387" s="91">
        <v>40784</v>
      </c>
      <c r="G387">
        <v>1.3520000000000001</v>
      </c>
      <c r="H387">
        <v>1.5389000000000002</v>
      </c>
      <c r="I387">
        <v>1.4215899999999999</v>
      </c>
      <c r="J387">
        <v>1.498</v>
      </c>
      <c r="K387">
        <v>1.6159300000000001</v>
      </c>
      <c r="L387">
        <v>1.5569999999999999</v>
      </c>
      <c r="M387">
        <v>1.4847999999999999</v>
      </c>
      <c r="N387">
        <v>1.6679999999999999</v>
      </c>
      <c r="O387">
        <v>1.39557</v>
      </c>
      <c r="P387">
        <v>1.49</v>
      </c>
      <c r="Q387">
        <v>1.5679100000000001</v>
      </c>
      <c r="R387">
        <v>1.6279999999999999</v>
      </c>
      <c r="S387">
        <v>1.3193499999999998</v>
      </c>
      <c r="T387">
        <v>1.5445899999999999</v>
      </c>
      <c r="U387">
        <v>1.5184000000000002</v>
      </c>
    </row>
    <row r="388" spans="1:21">
      <c r="A388" s="91">
        <v>40777</v>
      </c>
      <c r="B388" s="86">
        <v>40777</v>
      </c>
      <c r="C388" s="93">
        <v>1.1446231328335099</v>
      </c>
      <c r="D388" s="85" t="s">
        <v>1402</v>
      </c>
      <c r="F388" s="91">
        <v>40777</v>
      </c>
      <c r="G388">
        <v>1.351</v>
      </c>
      <c r="H388">
        <v>1.5347</v>
      </c>
      <c r="I388">
        <v>1.4068099999999999</v>
      </c>
      <c r="J388">
        <v>1.486</v>
      </c>
      <c r="K388">
        <v>1.5976600000000001</v>
      </c>
      <c r="L388">
        <v>1.5649999999999999</v>
      </c>
      <c r="M388">
        <v>1.4845999999999999</v>
      </c>
      <c r="N388">
        <v>1.67</v>
      </c>
      <c r="O388">
        <v>1.3945799999999999</v>
      </c>
      <c r="P388">
        <v>1.49</v>
      </c>
      <c r="Q388">
        <v>1.56884</v>
      </c>
      <c r="R388">
        <v>1.615</v>
      </c>
      <c r="S388">
        <v>1.3112600000000001</v>
      </c>
      <c r="T388">
        <v>1.52949</v>
      </c>
      <c r="U388">
        <v>1.5401899999999999</v>
      </c>
    </row>
    <row r="389" spans="1:21">
      <c r="A389" s="91">
        <v>40763</v>
      </c>
      <c r="B389" s="86">
        <v>40763</v>
      </c>
      <c r="C389" s="93">
        <v>1.15061557933494</v>
      </c>
      <c r="D389" s="85" t="s">
        <v>1403</v>
      </c>
      <c r="F389" s="91">
        <v>40763</v>
      </c>
      <c r="G389">
        <v>1.3779999999999999</v>
      </c>
      <c r="H389">
        <v>1.5903</v>
      </c>
      <c r="I389">
        <v>1.45065</v>
      </c>
      <c r="J389">
        <v>1.486</v>
      </c>
      <c r="K389">
        <v>1.6229500000000001</v>
      </c>
      <c r="L389">
        <v>1.59</v>
      </c>
      <c r="M389">
        <v>1.5215999999999998</v>
      </c>
      <c r="N389">
        <v>1.7090000000000001</v>
      </c>
      <c r="O389">
        <v>1.41978</v>
      </c>
      <c r="P389">
        <v>1.49</v>
      </c>
      <c r="Q389">
        <v>1.59274</v>
      </c>
      <c r="R389">
        <v>1.6559999999999999</v>
      </c>
      <c r="S389">
        <v>1.33796</v>
      </c>
      <c r="T389">
        <v>1.5098800000000001</v>
      </c>
      <c r="U389">
        <v>1.5701800000000001</v>
      </c>
    </row>
    <row r="390" spans="1:21">
      <c r="A390" s="91">
        <v>40756</v>
      </c>
      <c r="B390" s="86">
        <v>40756</v>
      </c>
      <c r="C390" s="93">
        <v>1.13694502870786</v>
      </c>
      <c r="D390" s="85" t="s">
        <v>1404</v>
      </c>
      <c r="F390" s="91">
        <v>40756</v>
      </c>
      <c r="G390">
        <v>1.3740000000000001</v>
      </c>
      <c r="H390">
        <v>1.643</v>
      </c>
      <c r="I390">
        <v>1.45844</v>
      </c>
      <c r="J390">
        <v>1.5469999999999999</v>
      </c>
      <c r="K390">
        <v>1.65367</v>
      </c>
      <c r="L390">
        <v>1.5940000000000001</v>
      </c>
      <c r="M390">
        <v>1.5199</v>
      </c>
      <c r="N390">
        <v>1.714</v>
      </c>
      <c r="O390">
        <v>1.4512100000000001</v>
      </c>
      <c r="P390">
        <v>1.49</v>
      </c>
      <c r="Q390">
        <v>1.5975200000000001</v>
      </c>
      <c r="R390">
        <v>1.671</v>
      </c>
      <c r="S390">
        <v>1.3543399999999999</v>
      </c>
      <c r="T390">
        <v>1.57433</v>
      </c>
      <c r="U390">
        <v>1.54701</v>
      </c>
    </row>
    <row r="391" spans="1:21">
      <c r="A391" s="91">
        <v>40749</v>
      </c>
      <c r="B391" s="86">
        <v>40749</v>
      </c>
      <c r="C391" s="93">
        <v>1.1331444759206799</v>
      </c>
      <c r="D391" s="85" t="s">
        <v>1405</v>
      </c>
      <c r="F391" s="91">
        <v>40749</v>
      </c>
      <c r="G391">
        <v>1.3919999999999999</v>
      </c>
      <c r="H391">
        <v>1.5872999999999999</v>
      </c>
      <c r="I391">
        <v>1.4473900000000002</v>
      </c>
      <c r="J391">
        <v>1.534</v>
      </c>
      <c r="K391">
        <v>1.66367</v>
      </c>
      <c r="L391">
        <v>1.595</v>
      </c>
      <c r="M391">
        <v>1.5309999999999999</v>
      </c>
      <c r="N391">
        <v>1.71</v>
      </c>
      <c r="O391">
        <v>1.4350799999999999</v>
      </c>
      <c r="P391">
        <v>1.49</v>
      </c>
      <c r="Q391">
        <v>1.5902400000000001</v>
      </c>
      <c r="R391">
        <v>1.679</v>
      </c>
      <c r="S391">
        <v>1.3560399999999999</v>
      </c>
      <c r="T391">
        <v>1.5677999999999999</v>
      </c>
      <c r="U391">
        <v>1.5372399999999999</v>
      </c>
    </row>
    <row r="392" spans="1:21">
      <c r="A392" s="91">
        <v>40742</v>
      </c>
      <c r="B392" s="86">
        <v>40742</v>
      </c>
      <c r="C392" s="93">
        <v>1.14527858901678</v>
      </c>
      <c r="D392" s="85" t="s">
        <v>1406</v>
      </c>
      <c r="F392" s="91">
        <v>40742</v>
      </c>
      <c r="G392">
        <v>1.385</v>
      </c>
      <c r="H392">
        <v>1.5740999999999998</v>
      </c>
      <c r="I392">
        <v>1.4219600000000001</v>
      </c>
      <c r="J392">
        <v>1.5349999999999999</v>
      </c>
      <c r="K392">
        <v>1.65757</v>
      </c>
      <c r="L392">
        <v>1.587</v>
      </c>
      <c r="M392">
        <v>1.5179</v>
      </c>
      <c r="N392">
        <v>1.6919999999999999</v>
      </c>
      <c r="O392">
        <v>1.3777699999999999</v>
      </c>
      <c r="P392">
        <v>1.5149999999999999</v>
      </c>
      <c r="Q392">
        <v>1.5897999999999999</v>
      </c>
      <c r="R392">
        <v>1.675</v>
      </c>
      <c r="S392">
        <v>1.35656</v>
      </c>
      <c r="T392">
        <v>1.5648299999999999</v>
      </c>
      <c r="U392">
        <v>1.54582</v>
      </c>
    </row>
    <row r="393" spans="1:21">
      <c r="A393" s="91">
        <v>40735</v>
      </c>
      <c r="B393" s="86">
        <v>40735</v>
      </c>
      <c r="C393" s="93">
        <v>1.13546042920404</v>
      </c>
      <c r="D393" s="85" t="s">
        <v>1407</v>
      </c>
      <c r="F393" s="91">
        <v>40735</v>
      </c>
      <c r="G393">
        <v>1.3680000000000001</v>
      </c>
      <c r="H393">
        <v>1.5289999999999999</v>
      </c>
      <c r="I393">
        <v>1.42519</v>
      </c>
      <c r="J393">
        <v>1.508</v>
      </c>
      <c r="K393">
        <v>1.64378</v>
      </c>
      <c r="L393">
        <v>1.5640000000000001</v>
      </c>
      <c r="M393">
        <v>1.4844000000000002</v>
      </c>
      <c r="N393">
        <v>1.661</v>
      </c>
      <c r="O393">
        <v>1.39381</v>
      </c>
      <c r="P393">
        <v>1.532</v>
      </c>
      <c r="Q393">
        <v>1.5771400000000002</v>
      </c>
      <c r="R393">
        <v>1.649</v>
      </c>
      <c r="S393">
        <v>1.3327899999999999</v>
      </c>
      <c r="T393">
        <v>1.5460099999999999</v>
      </c>
      <c r="U393">
        <v>1.5235000000000001</v>
      </c>
    </row>
    <row r="394" spans="1:21">
      <c r="A394" s="91">
        <v>40728</v>
      </c>
      <c r="B394" s="86">
        <v>40728</v>
      </c>
      <c r="C394" s="93">
        <v>1.10926234054354</v>
      </c>
      <c r="D394" s="85" t="s">
        <v>1408</v>
      </c>
      <c r="F394" s="91">
        <v>40728</v>
      </c>
      <c r="G394">
        <v>1.3460000000000001</v>
      </c>
      <c r="H394">
        <v>1.4905999999999999</v>
      </c>
      <c r="I394">
        <v>1.4317899999999999</v>
      </c>
      <c r="J394">
        <v>1.48</v>
      </c>
      <c r="K394">
        <v>1.6033499999999998</v>
      </c>
      <c r="L394">
        <v>1.5649999999999999</v>
      </c>
      <c r="M394">
        <v>1.4627999999999999</v>
      </c>
      <c r="N394">
        <v>1.653</v>
      </c>
      <c r="O394">
        <v>1.4053399999999998</v>
      </c>
      <c r="P394">
        <v>1.532</v>
      </c>
      <c r="Q394">
        <v>1.5556300000000001</v>
      </c>
      <c r="R394">
        <v>1.62</v>
      </c>
      <c r="S394">
        <v>1.3099799999999999</v>
      </c>
      <c r="T394">
        <v>1.5199100000000001</v>
      </c>
      <c r="U394">
        <v>1.48007</v>
      </c>
    </row>
    <row r="395" spans="1:21">
      <c r="A395" s="91">
        <v>40721</v>
      </c>
      <c r="B395" s="86">
        <v>40721</v>
      </c>
      <c r="C395" s="93">
        <v>1.12397437338429</v>
      </c>
      <c r="D395" s="85" t="s">
        <v>1409</v>
      </c>
      <c r="F395" s="91">
        <v>40721</v>
      </c>
      <c r="G395">
        <v>1.351</v>
      </c>
      <c r="H395">
        <v>1.556</v>
      </c>
      <c r="I395">
        <v>1.42218</v>
      </c>
      <c r="J395">
        <v>1.4790000000000001</v>
      </c>
      <c r="K395">
        <v>1.59158</v>
      </c>
      <c r="L395">
        <v>1.573</v>
      </c>
      <c r="M395">
        <v>1.4821</v>
      </c>
      <c r="N395">
        <v>1.667</v>
      </c>
      <c r="O395">
        <v>1.39994</v>
      </c>
      <c r="P395">
        <v>1.532</v>
      </c>
      <c r="Q395">
        <v>1.50684</v>
      </c>
      <c r="R395">
        <v>1.6240000000000001</v>
      </c>
      <c r="S395">
        <v>1.3055699999999999</v>
      </c>
      <c r="T395">
        <v>1.4881</v>
      </c>
      <c r="U395">
        <v>1.51583</v>
      </c>
    </row>
    <row r="396" spans="1:21">
      <c r="A396" s="91">
        <v>40714</v>
      </c>
      <c r="B396" s="86">
        <v>40714</v>
      </c>
      <c r="C396" s="93">
        <v>1.1370096645821499</v>
      </c>
      <c r="D396" s="85" t="s">
        <v>1410</v>
      </c>
      <c r="F396" s="91">
        <v>40714</v>
      </c>
      <c r="G396">
        <v>1.3740000000000001</v>
      </c>
      <c r="H396">
        <v>1.5462</v>
      </c>
      <c r="I396">
        <v>1.4431500000000002</v>
      </c>
      <c r="J396">
        <v>1.54</v>
      </c>
      <c r="K396">
        <v>1.6261400000000001</v>
      </c>
      <c r="L396">
        <v>1.5840000000000001</v>
      </c>
      <c r="M396">
        <v>1.5029999999999999</v>
      </c>
      <c r="N396">
        <v>1.67</v>
      </c>
      <c r="O396">
        <v>1.39198</v>
      </c>
      <c r="P396">
        <v>1.532</v>
      </c>
      <c r="Q396">
        <v>1.5293599999999998</v>
      </c>
      <c r="R396">
        <v>1.6439999999999999</v>
      </c>
      <c r="S396">
        <v>1.3232599999999999</v>
      </c>
      <c r="T396">
        <v>1.5244000000000002</v>
      </c>
      <c r="U396">
        <v>1.5466300000000002</v>
      </c>
    </row>
    <row r="397" spans="1:21">
      <c r="A397" s="91">
        <v>40707</v>
      </c>
      <c r="B397" s="86">
        <v>40707</v>
      </c>
      <c r="C397" s="93">
        <v>1.1355893708834899</v>
      </c>
      <c r="D397" s="85" t="s">
        <v>1411</v>
      </c>
      <c r="F397" s="91">
        <v>40707</v>
      </c>
      <c r="G397">
        <v>1.3759999999999999</v>
      </c>
      <c r="H397">
        <v>1.5660999999999998</v>
      </c>
      <c r="I397">
        <v>1.4466300000000001</v>
      </c>
      <c r="J397">
        <v>1.524</v>
      </c>
      <c r="K397">
        <v>1.6303099999999999</v>
      </c>
      <c r="L397">
        <v>1.577</v>
      </c>
      <c r="M397">
        <v>1.4995000000000001</v>
      </c>
      <c r="N397">
        <v>1.6739999999999999</v>
      </c>
      <c r="O397">
        <v>1.4315899999999999</v>
      </c>
      <c r="P397">
        <v>1.532</v>
      </c>
      <c r="Q397">
        <v>1.5305899999999999</v>
      </c>
      <c r="R397">
        <v>1.649</v>
      </c>
      <c r="S397">
        <v>1.3186199999999999</v>
      </c>
      <c r="T397">
        <v>1.5431199999999998</v>
      </c>
      <c r="U397">
        <v>1.54277</v>
      </c>
    </row>
    <row r="398" spans="1:21">
      <c r="A398" s="91">
        <v>40700</v>
      </c>
      <c r="B398" s="86">
        <v>40700</v>
      </c>
      <c r="C398" s="93">
        <v>1.1232168931820701</v>
      </c>
      <c r="D398" s="85" t="s">
        <v>1412</v>
      </c>
      <c r="F398" s="91">
        <v>40700</v>
      </c>
      <c r="G398">
        <v>1.3759999999999999</v>
      </c>
      <c r="H398">
        <v>1.5660999999999998</v>
      </c>
      <c r="I398">
        <v>1.4395100000000001</v>
      </c>
      <c r="J398">
        <v>1.5349999999999999</v>
      </c>
      <c r="K398">
        <v>1.6242799999999999</v>
      </c>
      <c r="L398">
        <v>1.583</v>
      </c>
      <c r="M398">
        <v>1.5164000000000002</v>
      </c>
      <c r="N398">
        <v>1.6890000000000001</v>
      </c>
      <c r="O398">
        <v>1.4456600000000002</v>
      </c>
      <c r="P398">
        <v>1.532</v>
      </c>
      <c r="Q398">
        <v>1.5352999999999999</v>
      </c>
      <c r="R398">
        <v>1.671</v>
      </c>
      <c r="S398">
        <v>1.32436</v>
      </c>
      <c r="T398">
        <v>1.58728</v>
      </c>
      <c r="U398">
        <v>1.52325</v>
      </c>
    </row>
    <row r="399" spans="1:21">
      <c r="A399" s="91">
        <v>40693</v>
      </c>
      <c r="B399" s="86">
        <v>40693</v>
      </c>
      <c r="C399" s="93">
        <v>1.1532695190866098</v>
      </c>
      <c r="D399" s="85" t="s">
        <v>1413</v>
      </c>
      <c r="F399" s="91">
        <v>40693</v>
      </c>
      <c r="G399">
        <v>1.3819999999999999</v>
      </c>
      <c r="H399">
        <v>1.5277000000000001</v>
      </c>
      <c r="I399">
        <v>1.4259300000000001</v>
      </c>
      <c r="J399">
        <v>1.5169999999999999</v>
      </c>
      <c r="K399">
        <v>1.64297</v>
      </c>
      <c r="L399">
        <v>1.579</v>
      </c>
      <c r="M399">
        <v>1.5154000000000001</v>
      </c>
      <c r="N399">
        <v>1.68</v>
      </c>
      <c r="O399">
        <v>1.4124300000000001</v>
      </c>
      <c r="P399">
        <v>1.532</v>
      </c>
      <c r="Q399">
        <v>1.53732</v>
      </c>
      <c r="R399">
        <v>1.6719999999999999</v>
      </c>
      <c r="S399">
        <v>1.3486199999999999</v>
      </c>
      <c r="T399">
        <v>1.58355</v>
      </c>
      <c r="U399">
        <v>1.5634600000000001</v>
      </c>
    </row>
    <row r="400" spans="1:21">
      <c r="A400" s="91">
        <v>40686</v>
      </c>
      <c r="B400" s="86">
        <v>40686</v>
      </c>
      <c r="C400" s="93">
        <v>1.1497556769186499</v>
      </c>
      <c r="D400" s="85" t="s">
        <v>1414</v>
      </c>
      <c r="F400" s="91">
        <v>40686</v>
      </c>
      <c r="G400">
        <v>1.379</v>
      </c>
      <c r="H400">
        <v>1.569</v>
      </c>
      <c r="I400">
        <v>1.43302</v>
      </c>
      <c r="J400">
        <v>1.57</v>
      </c>
      <c r="K400">
        <v>1.6201500000000002</v>
      </c>
      <c r="L400">
        <v>1.589</v>
      </c>
      <c r="M400">
        <v>1.5152000000000001</v>
      </c>
      <c r="N400">
        <v>1.6879999999999999</v>
      </c>
      <c r="O400">
        <v>1.41625</v>
      </c>
      <c r="P400">
        <v>1.504</v>
      </c>
      <c r="Q400">
        <v>1.5383199999999999</v>
      </c>
      <c r="R400">
        <v>1.673</v>
      </c>
      <c r="S400">
        <v>1.3254900000000001</v>
      </c>
      <c r="T400">
        <v>1.56806</v>
      </c>
      <c r="U400">
        <v>1.56497</v>
      </c>
    </row>
    <row r="401" spans="1:21">
      <c r="A401" s="91">
        <v>40679</v>
      </c>
      <c r="B401" s="86">
        <v>40679</v>
      </c>
      <c r="C401" s="93">
        <v>1.1461318051575899</v>
      </c>
      <c r="D401" s="85" t="s">
        <v>1415</v>
      </c>
      <c r="F401" s="91">
        <v>40679</v>
      </c>
      <c r="G401">
        <v>1.4059999999999999</v>
      </c>
      <c r="H401">
        <v>1.5860999999999998</v>
      </c>
      <c r="I401">
        <v>1.4456199999999999</v>
      </c>
      <c r="J401">
        <v>1.5469999999999999</v>
      </c>
      <c r="K401">
        <v>1.64825</v>
      </c>
      <c r="L401">
        <v>1.5940000000000001</v>
      </c>
      <c r="M401">
        <v>1.5402</v>
      </c>
      <c r="N401">
        <v>1.706</v>
      </c>
      <c r="O401">
        <v>1.4348299999999998</v>
      </c>
      <c r="P401">
        <v>1.504</v>
      </c>
      <c r="Q401">
        <v>1.55081</v>
      </c>
      <c r="R401">
        <v>1.69</v>
      </c>
      <c r="S401">
        <v>1.3451</v>
      </c>
      <c r="T401">
        <v>1.5850799999999998</v>
      </c>
      <c r="U401">
        <v>1.56331</v>
      </c>
    </row>
    <row r="402" spans="1:21">
      <c r="A402" s="91">
        <v>40672</v>
      </c>
      <c r="B402" s="86">
        <v>40672</v>
      </c>
      <c r="C402" s="93">
        <v>1.13733295422235</v>
      </c>
      <c r="D402" s="85" t="s">
        <v>1416</v>
      </c>
      <c r="F402" s="91">
        <v>40672</v>
      </c>
      <c r="G402">
        <v>1.4039999999999999</v>
      </c>
      <c r="H402">
        <v>1.6268</v>
      </c>
      <c r="I402">
        <v>1.4620299999999999</v>
      </c>
      <c r="J402">
        <v>1.5489999999999999</v>
      </c>
      <c r="K402">
        <v>1.6508</v>
      </c>
      <c r="L402">
        <v>1.609</v>
      </c>
      <c r="M402">
        <v>1.5492000000000001</v>
      </c>
      <c r="N402">
        <v>1.7170000000000001</v>
      </c>
      <c r="O402">
        <v>1.47631</v>
      </c>
      <c r="P402">
        <v>1.504</v>
      </c>
      <c r="Q402">
        <v>1.5560399999999999</v>
      </c>
      <c r="R402">
        <v>1.681</v>
      </c>
      <c r="S402">
        <v>1.3466600000000002</v>
      </c>
      <c r="T402">
        <v>1.61263</v>
      </c>
      <c r="U402">
        <v>1.5587500000000001</v>
      </c>
    </row>
    <row r="403" spans="1:21">
      <c r="A403" s="91">
        <v>40665</v>
      </c>
      <c r="B403" s="86">
        <v>40665</v>
      </c>
      <c r="C403" s="93">
        <v>1.12460638776428</v>
      </c>
      <c r="D403" s="85" t="s">
        <v>1088</v>
      </c>
      <c r="F403" s="91">
        <v>40665</v>
      </c>
      <c r="G403">
        <v>1.409</v>
      </c>
      <c r="H403">
        <v>1.6065999999999998</v>
      </c>
      <c r="I403">
        <v>1.4630399999999999</v>
      </c>
      <c r="J403">
        <v>1.6279999999999999</v>
      </c>
      <c r="K403">
        <v>1.6882600000000001</v>
      </c>
      <c r="L403">
        <v>1.599</v>
      </c>
      <c r="M403">
        <v>1.5469000000000002</v>
      </c>
      <c r="N403">
        <v>1.716</v>
      </c>
      <c r="O403">
        <v>1.4638399999999998</v>
      </c>
      <c r="P403">
        <v>1.504</v>
      </c>
      <c r="Q403">
        <v>1.55247</v>
      </c>
      <c r="R403">
        <v>1.6990000000000001</v>
      </c>
      <c r="S403">
        <v>1.38157</v>
      </c>
      <c r="T403">
        <v>1.6389</v>
      </c>
      <c r="U403">
        <v>1.53277</v>
      </c>
    </row>
    <row r="404" spans="1:21">
      <c r="A404" s="91">
        <v>40651</v>
      </c>
      <c r="B404" s="86">
        <v>40651</v>
      </c>
      <c r="C404" s="93">
        <v>1.1396011396011398</v>
      </c>
      <c r="D404" s="85" t="s">
        <v>1417</v>
      </c>
      <c r="F404" s="91">
        <v>40651</v>
      </c>
      <c r="G404">
        <v>1.3919999999999999</v>
      </c>
      <c r="H404">
        <v>1.6245999999999998</v>
      </c>
      <c r="I404">
        <v>1.45642</v>
      </c>
      <c r="J404">
        <v>1.669</v>
      </c>
      <c r="K404">
        <v>1.6692799999999999</v>
      </c>
      <c r="L404">
        <v>1.587</v>
      </c>
      <c r="M404">
        <v>1.5383</v>
      </c>
      <c r="N404">
        <v>1.706</v>
      </c>
      <c r="O404">
        <v>1.43458</v>
      </c>
      <c r="P404">
        <v>1.4910000000000001</v>
      </c>
      <c r="Q404">
        <v>1.5548</v>
      </c>
      <c r="R404">
        <v>1.6950000000000001</v>
      </c>
      <c r="S404">
        <v>1.3636900000000001</v>
      </c>
      <c r="T404">
        <v>1.61496</v>
      </c>
      <c r="U404">
        <v>1.5391600000000001</v>
      </c>
    </row>
    <row r="405" spans="1:21">
      <c r="A405" s="91">
        <v>40644</v>
      </c>
      <c r="B405" s="86">
        <v>40644</v>
      </c>
      <c r="C405" s="93">
        <v>1.1317338162064299</v>
      </c>
      <c r="D405" s="85" t="s">
        <v>1418</v>
      </c>
      <c r="F405" s="91">
        <v>40644</v>
      </c>
      <c r="G405">
        <v>1.389</v>
      </c>
      <c r="H405">
        <v>1.5787</v>
      </c>
      <c r="I405">
        <v>1.42574</v>
      </c>
      <c r="J405">
        <v>1.6659999999999999</v>
      </c>
      <c r="K405">
        <v>1.6600999999999999</v>
      </c>
      <c r="L405">
        <v>1.579</v>
      </c>
      <c r="M405">
        <v>1.5304</v>
      </c>
      <c r="N405">
        <v>1.6910000000000001</v>
      </c>
      <c r="O405">
        <v>1.44597</v>
      </c>
      <c r="P405">
        <v>1.4910000000000001</v>
      </c>
      <c r="Q405">
        <v>1.5498699999999999</v>
      </c>
      <c r="R405">
        <v>1.6859999999999999</v>
      </c>
      <c r="S405">
        <v>1.35426</v>
      </c>
      <c r="T405">
        <v>1.5900099999999999</v>
      </c>
      <c r="U405">
        <v>1.51294</v>
      </c>
    </row>
    <row r="406" spans="1:21">
      <c r="A406" s="91">
        <v>40637</v>
      </c>
      <c r="B406" s="86">
        <v>40637</v>
      </c>
      <c r="C406" s="93">
        <v>1.13513820307622</v>
      </c>
      <c r="D406" s="85" t="s">
        <v>1419</v>
      </c>
      <c r="F406" s="91">
        <v>40637</v>
      </c>
      <c r="G406">
        <v>1.3620000000000001</v>
      </c>
      <c r="H406">
        <v>1.5575000000000001</v>
      </c>
      <c r="I406">
        <v>1.397</v>
      </c>
      <c r="J406">
        <v>1.6419999999999999</v>
      </c>
      <c r="K406">
        <v>1.6441600000000001</v>
      </c>
      <c r="L406">
        <v>1.5640000000000001</v>
      </c>
      <c r="M406">
        <v>1.5452999999999999</v>
      </c>
      <c r="N406">
        <v>1.6739999999999999</v>
      </c>
      <c r="O406">
        <v>1.4261600000000001</v>
      </c>
      <c r="P406">
        <v>1.4910000000000001</v>
      </c>
      <c r="Q406">
        <v>1.52301</v>
      </c>
      <c r="R406">
        <v>1.653</v>
      </c>
      <c r="S406">
        <v>1.3367599999999999</v>
      </c>
      <c r="T406">
        <v>1.5832200000000001</v>
      </c>
      <c r="U406">
        <v>1.50753</v>
      </c>
    </row>
    <row r="407" spans="1:21">
      <c r="A407" s="91">
        <v>40630</v>
      </c>
      <c r="B407" s="86">
        <v>40630</v>
      </c>
      <c r="C407" s="93">
        <v>1.13862795331625</v>
      </c>
      <c r="D407" s="85" t="s">
        <v>1420</v>
      </c>
      <c r="F407" s="91">
        <v>40630</v>
      </c>
      <c r="G407">
        <v>1.3520000000000001</v>
      </c>
      <c r="H407">
        <v>1.5142</v>
      </c>
      <c r="I407">
        <v>1.3921300000000001</v>
      </c>
      <c r="J407">
        <v>1.6160000000000001</v>
      </c>
      <c r="K407">
        <v>1.6265699999999998</v>
      </c>
      <c r="L407">
        <v>1.5569999999999999</v>
      </c>
      <c r="M407">
        <v>1.5019</v>
      </c>
      <c r="N407">
        <v>1.659</v>
      </c>
      <c r="O407">
        <v>1.4091099999999999</v>
      </c>
      <c r="P407">
        <v>1.4450000000000001</v>
      </c>
      <c r="Q407">
        <v>1.5213599999999998</v>
      </c>
      <c r="R407">
        <v>1.6220000000000001</v>
      </c>
      <c r="S407">
        <v>1.33056</v>
      </c>
      <c r="T407">
        <v>1.57474</v>
      </c>
      <c r="U407">
        <v>1.50796</v>
      </c>
    </row>
    <row r="408" spans="1:21">
      <c r="A408" s="91">
        <v>40623</v>
      </c>
      <c r="B408" s="86">
        <v>40623</v>
      </c>
      <c r="C408" s="93">
        <v>1.1471836641046198</v>
      </c>
      <c r="D408" s="85" t="s">
        <v>1421</v>
      </c>
      <c r="F408" s="91">
        <v>40623</v>
      </c>
      <c r="G408">
        <v>1.3420000000000001</v>
      </c>
      <c r="H408">
        <v>1.5242</v>
      </c>
      <c r="I408">
        <v>1.4004000000000001</v>
      </c>
      <c r="J408">
        <v>1.593</v>
      </c>
      <c r="K408">
        <v>1.6038399999999999</v>
      </c>
      <c r="L408">
        <v>1.5640000000000001</v>
      </c>
      <c r="M408">
        <v>1.4969000000000001</v>
      </c>
      <c r="N408">
        <v>1.673</v>
      </c>
      <c r="O408">
        <v>1.3893800000000001</v>
      </c>
      <c r="P408">
        <v>1.4450000000000001</v>
      </c>
      <c r="Q408">
        <v>1.52715</v>
      </c>
      <c r="R408">
        <v>1.617</v>
      </c>
      <c r="S408">
        <v>1.3050599999999999</v>
      </c>
      <c r="T408">
        <v>1.5257400000000001</v>
      </c>
      <c r="U408">
        <v>1.5269999999999999</v>
      </c>
    </row>
    <row r="409" spans="1:21">
      <c r="A409" s="91">
        <v>40616</v>
      </c>
      <c r="B409" s="86">
        <v>40616</v>
      </c>
      <c r="C409" s="93">
        <v>1.1548677676406098</v>
      </c>
      <c r="D409" s="85" t="s">
        <v>1422</v>
      </c>
      <c r="F409" s="91">
        <v>40616</v>
      </c>
      <c r="G409">
        <v>1.361</v>
      </c>
      <c r="H409">
        <v>1.6052</v>
      </c>
      <c r="I409">
        <v>1.40845</v>
      </c>
      <c r="J409">
        <v>1.627</v>
      </c>
      <c r="K409">
        <v>1.6317200000000001</v>
      </c>
      <c r="L409">
        <v>1.5720000000000001</v>
      </c>
      <c r="M409">
        <v>1.5179</v>
      </c>
      <c r="N409">
        <v>1.675</v>
      </c>
      <c r="O409">
        <v>1.3802399999999999</v>
      </c>
      <c r="P409">
        <v>1.4450000000000001</v>
      </c>
      <c r="Q409">
        <v>1.53148</v>
      </c>
      <c r="R409">
        <v>1.6479999999999999</v>
      </c>
      <c r="S409">
        <v>1.3245499999999999</v>
      </c>
      <c r="T409">
        <v>1.5813599999999999</v>
      </c>
      <c r="U409">
        <v>1.5264599999999999</v>
      </c>
    </row>
    <row r="410" spans="1:21">
      <c r="A410" s="91">
        <v>40609</v>
      </c>
      <c r="B410" s="86">
        <v>40609</v>
      </c>
      <c r="C410" s="93">
        <v>1.16144018583043</v>
      </c>
      <c r="D410" s="85" t="s">
        <v>1423</v>
      </c>
      <c r="F410" s="91">
        <v>40609</v>
      </c>
      <c r="G410">
        <v>1.3540000000000001</v>
      </c>
      <c r="H410">
        <v>1.5152000000000001</v>
      </c>
      <c r="I410">
        <v>1.41133</v>
      </c>
      <c r="J410">
        <v>1.5109999999999999</v>
      </c>
      <c r="K410">
        <v>1.6293</v>
      </c>
      <c r="L410">
        <v>1.5720000000000001</v>
      </c>
      <c r="M410">
        <v>1.5067000000000002</v>
      </c>
      <c r="N410">
        <v>1.66</v>
      </c>
      <c r="O410">
        <v>1.36947</v>
      </c>
      <c r="P410">
        <v>1.4450000000000001</v>
      </c>
      <c r="Q410">
        <v>1.5248699999999999</v>
      </c>
      <c r="R410">
        <v>1.647</v>
      </c>
      <c r="S410">
        <v>1.3217699999999999</v>
      </c>
      <c r="T410">
        <v>1.5694900000000001</v>
      </c>
      <c r="U410">
        <v>1.5247599999999999</v>
      </c>
    </row>
    <row r="411" spans="1:21">
      <c r="A411" s="91">
        <v>40602</v>
      </c>
      <c r="B411" s="86">
        <v>40602</v>
      </c>
      <c r="C411" s="93">
        <v>1.17260787992495</v>
      </c>
      <c r="D411" s="85" t="s">
        <v>1210</v>
      </c>
      <c r="F411" s="91">
        <v>40602</v>
      </c>
      <c r="G411">
        <v>1.33</v>
      </c>
      <c r="H411">
        <v>1.516</v>
      </c>
      <c r="I411">
        <v>1.3827499999999999</v>
      </c>
      <c r="J411">
        <v>1.494</v>
      </c>
      <c r="K411">
        <v>1.6053299999999999</v>
      </c>
      <c r="L411">
        <v>1.528</v>
      </c>
      <c r="M411">
        <v>1.4915</v>
      </c>
      <c r="N411">
        <v>1.637</v>
      </c>
      <c r="O411">
        <v>1.3557000000000001</v>
      </c>
      <c r="P411">
        <v>1.4450000000000001</v>
      </c>
      <c r="Q411">
        <v>1.50797</v>
      </c>
      <c r="R411">
        <v>1.633</v>
      </c>
      <c r="S411">
        <v>1.3089000000000002</v>
      </c>
      <c r="T411">
        <v>1.57585</v>
      </c>
      <c r="U411">
        <v>1.5211700000000001</v>
      </c>
    </row>
    <row r="412" spans="1:21">
      <c r="A412" s="91">
        <v>40595</v>
      </c>
      <c r="B412" s="86">
        <v>40595</v>
      </c>
      <c r="C412" s="93">
        <v>1.1869436201780399</v>
      </c>
      <c r="D412" s="85" t="s">
        <v>1424</v>
      </c>
      <c r="F412" s="91">
        <v>40595</v>
      </c>
      <c r="G412">
        <v>1.2989999999999999</v>
      </c>
      <c r="H412">
        <v>1.4882</v>
      </c>
      <c r="I412">
        <v>1.35947</v>
      </c>
      <c r="J412">
        <v>1.454</v>
      </c>
      <c r="K412">
        <v>1.5653299999999999</v>
      </c>
      <c r="L412">
        <v>1.518</v>
      </c>
      <c r="M412">
        <v>1.4644000000000001</v>
      </c>
      <c r="N412">
        <v>1.62</v>
      </c>
      <c r="O412">
        <v>1.3361400000000001</v>
      </c>
      <c r="P412">
        <v>1.425</v>
      </c>
      <c r="Q412">
        <v>1.47465</v>
      </c>
      <c r="R412">
        <v>1.6040000000000001</v>
      </c>
      <c r="S412">
        <v>1.2847299999999999</v>
      </c>
      <c r="T412">
        <v>1.5213399999999999</v>
      </c>
      <c r="U412">
        <v>1.5302</v>
      </c>
    </row>
    <row r="413" spans="1:21">
      <c r="A413" s="91">
        <v>40588</v>
      </c>
      <c r="B413" s="86">
        <v>40588</v>
      </c>
      <c r="C413" s="93">
        <v>1.1904761904761898</v>
      </c>
      <c r="D413" s="85" t="s">
        <v>1425</v>
      </c>
      <c r="F413" s="91">
        <v>40588</v>
      </c>
      <c r="G413">
        <v>1.296</v>
      </c>
      <c r="H413">
        <v>1.4987999999999999</v>
      </c>
      <c r="I413">
        <v>1.3756600000000001</v>
      </c>
      <c r="J413">
        <v>1.466</v>
      </c>
      <c r="K413">
        <v>1.5422199999999999</v>
      </c>
      <c r="L413">
        <v>1.506</v>
      </c>
      <c r="M413">
        <v>1.4574</v>
      </c>
      <c r="N413">
        <v>1.611</v>
      </c>
      <c r="O413">
        <v>1.3346900000000002</v>
      </c>
      <c r="P413">
        <v>1.425</v>
      </c>
      <c r="Q413">
        <v>1.4660499999999999</v>
      </c>
      <c r="R413">
        <v>1.5880000000000001</v>
      </c>
      <c r="S413">
        <v>1.2712399999999999</v>
      </c>
      <c r="T413">
        <v>1.5223499999999999</v>
      </c>
      <c r="U413">
        <v>1.53244</v>
      </c>
    </row>
    <row r="414" spans="1:21">
      <c r="A414" s="91">
        <v>40581</v>
      </c>
      <c r="B414" s="86">
        <v>40581</v>
      </c>
      <c r="C414" s="93">
        <v>1.1901928112354199</v>
      </c>
      <c r="D414" s="85" t="s">
        <v>1426</v>
      </c>
      <c r="F414" s="91">
        <v>40581</v>
      </c>
      <c r="G414">
        <v>1.286</v>
      </c>
      <c r="H414">
        <v>1.494</v>
      </c>
      <c r="I414">
        <v>1.3810100000000001</v>
      </c>
      <c r="J414">
        <v>1.4419999999999999</v>
      </c>
      <c r="K414">
        <v>1.53731</v>
      </c>
      <c r="L414">
        <v>1.49655</v>
      </c>
      <c r="M414">
        <v>1.4582999999999999</v>
      </c>
      <c r="N414">
        <v>1.609</v>
      </c>
      <c r="O414">
        <v>1.34545</v>
      </c>
      <c r="P414">
        <v>1.425</v>
      </c>
      <c r="Q414">
        <v>1.4659800000000001</v>
      </c>
      <c r="R414">
        <v>1.5840000000000001</v>
      </c>
      <c r="S414">
        <v>1.27075</v>
      </c>
      <c r="T414">
        <v>1.5025599999999999</v>
      </c>
      <c r="U414">
        <v>1.53102</v>
      </c>
    </row>
    <row r="415" spans="1:21">
      <c r="A415" s="91">
        <v>40574</v>
      </c>
      <c r="B415" s="86">
        <v>40574</v>
      </c>
      <c r="C415" s="93">
        <v>1.16157509582995</v>
      </c>
      <c r="D415" s="85" t="s">
        <v>1427</v>
      </c>
      <c r="F415" s="91">
        <v>40574</v>
      </c>
      <c r="G415">
        <v>1.2769999999999999</v>
      </c>
      <c r="H415">
        <v>1.4709000000000001</v>
      </c>
      <c r="I415">
        <v>1.3779100000000002</v>
      </c>
      <c r="J415">
        <v>1.444</v>
      </c>
      <c r="K415">
        <v>1.52393</v>
      </c>
      <c r="L415">
        <v>1.5089999999999999</v>
      </c>
      <c r="M415">
        <v>1.4550000000000001</v>
      </c>
      <c r="N415">
        <v>1.619</v>
      </c>
      <c r="O415">
        <v>1.33683</v>
      </c>
      <c r="P415">
        <v>1.425</v>
      </c>
      <c r="Q415">
        <v>1.4658199999999999</v>
      </c>
      <c r="R415">
        <v>1.573</v>
      </c>
      <c r="S415">
        <v>1.25851</v>
      </c>
      <c r="T415">
        <v>1.4807699999999999</v>
      </c>
      <c r="U415">
        <v>1.4931800000000002</v>
      </c>
    </row>
    <row r="416" spans="1:21">
      <c r="A416" s="91">
        <v>40567</v>
      </c>
      <c r="B416" s="86">
        <v>40567</v>
      </c>
      <c r="C416" s="93">
        <v>1.1742602160638798</v>
      </c>
      <c r="D416" s="85" t="s">
        <v>1428</v>
      </c>
      <c r="F416" s="91">
        <v>40567</v>
      </c>
      <c r="G416">
        <v>1.2929999999999999</v>
      </c>
      <c r="H416">
        <v>1.4792000000000001</v>
      </c>
      <c r="I416">
        <v>1.3847400000000001</v>
      </c>
      <c r="J416">
        <v>1.468</v>
      </c>
      <c r="K416">
        <v>1.5362899999999999</v>
      </c>
      <c r="L416">
        <v>1.49353</v>
      </c>
      <c r="M416">
        <v>1.4647999999999999</v>
      </c>
      <c r="N416">
        <v>1.635</v>
      </c>
      <c r="O416">
        <v>1.3475299999999999</v>
      </c>
      <c r="P416">
        <v>1.3380000000000001</v>
      </c>
      <c r="Q416">
        <v>1.47051</v>
      </c>
      <c r="R416">
        <v>1.595</v>
      </c>
      <c r="S416">
        <v>1.27122</v>
      </c>
      <c r="T416">
        <v>1.48889</v>
      </c>
      <c r="U416">
        <v>1.50719</v>
      </c>
    </row>
    <row r="417" spans="1:21">
      <c r="A417" s="91">
        <v>40560</v>
      </c>
      <c r="B417" s="86">
        <v>40560</v>
      </c>
      <c r="C417" s="93">
        <v>1.19602918311207</v>
      </c>
      <c r="D417" s="85" t="s">
        <v>1429</v>
      </c>
      <c r="F417" s="91">
        <v>40560</v>
      </c>
      <c r="G417">
        <v>1.294</v>
      </c>
      <c r="H417">
        <v>1.5198</v>
      </c>
      <c r="I417">
        <v>1.3829500000000001</v>
      </c>
      <c r="J417">
        <v>1.49</v>
      </c>
      <c r="K417">
        <v>1.55705</v>
      </c>
      <c r="L417">
        <v>1.5221199999999999</v>
      </c>
      <c r="M417">
        <v>1.4667999999999999</v>
      </c>
      <c r="N417">
        <v>1.62</v>
      </c>
      <c r="O417">
        <v>1.3333299999999999</v>
      </c>
      <c r="P417">
        <v>1.3380000000000001</v>
      </c>
      <c r="Q417">
        <v>1.4656</v>
      </c>
      <c r="R417">
        <v>1.6096900000000001</v>
      </c>
      <c r="S417">
        <v>1.2855999999999999</v>
      </c>
      <c r="T417">
        <v>1.5062800000000001</v>
      </c>
      <c r="U417">
        <v>1.52939</v>
      </c>
    </row>
    <row r="418" spans="1:21">
      <c r="A418" s="91">
        <v>40553</v>
      </c>
      <c r="B418" s="86">
        <v>40553</v>
      </c>
      <c r="C418" s="93">
        <v>1.2022120702091799</v>
      </c>
      <c r="D418" s="85" t="s">
        <v>1430</v>
      </c>
      <c r="F418" s="91">
        <v>40553</v>
      </c>
      <c r="G418">
        <v>1.294</v>
      </c>
      <c r="H418">
        <v>1.4924000000000002</v>
      </c>
      <c r="I418">
        <v>1.35703</v>
      </c>
      <c r="J418">
        <v>1.4770000000000001</v>
      </c>
      <c r="K418">
        <v>1.5571700000000002</v>
      </c>
      <c r="L418">
        <v>1.5199400000000001</v>
      </c>
      <c r="M418">
        <v>1.4432</v>
      </c>
      <c r="N418">
        <v>1.605</v>
      </c>
      <c r="O418">
        <v>1.29505</v>
      </c>
      <c r="P418">
        <v>1.3169999999999999</v>
      </c>
      <c r="Q418">
        <v>1.44469</v>
      </c>
      <c r="R418">
        <v>1.59345</v>
      </c>
      <c r="S418">
        <v>1.26511</v>
      </c>
      <c r="T418">
        <v>1.48871</v>
      </c>
      <c r="U418">
        <v>1.53159</v>
      </c>
    </row>
    <row r="419" spans="1:21" ht="15.75" thickBot="1">
      <c r="A419" s="92">
        <v>40546</v>
      </c>
      <c r="B419" s="86">
        <v>40546</v>
      </c>
      <c r="C419" s="93">
        <v>1.16102216391311</v>
      </c>
      <c r="D419" s="85" t="s">
        <v>1431</v>
      </c>
      <c r="F419" s="92">
        <v>40546</v>
      </c>
      <c r="G419">
        <v>1.278</v>
      </c>
      <c r="H419">
        <v>1.4824999999999999</v>
      </c>
      <c r="I419">
        <v>1.34144</v>
      </c>
      <c r="J419">
        <v>1.4690000000000001</v>
      </c>
      <c r="K419">
        <v>1.5228599999999999</v>
      </c>
      <c r="L419">
        <v>1.4930300000000001</v>
      </c>
      <c r="M419">
        <v>1.4330999999999998</v>
      </c>
      <c r="N419">
        <v>1.593</v>
      </c>
      <c r="O419">
        <v>1.30487</v>
      </c>
      <c r="P419">
        <v>1.3169999999999999</v>
      </c>
      <c r="Q419">
        <v>1.4375</v>
      </c>
      <c r="R419">
        <v>1.5845400000000001</v>
      </c>
      <c r="S419">
        <v>1.25678</v>
      </c>
      <c r="T419">
        <v>1.4859599999999999</v>
      </c>
      <c r="U419">
        <v>1.44956</v>
      </c>
    </row>
    <row r="420" spans="1:21">
      <c r="A420" s="91">
        <v>40532</v>
      </c>
      <c r="B420" s="86">
        <v>40532</v>
      </c>
      <c r="C420" s="93">
        <v>1.1817537225242301</v>
      </c>
      <c r="D420" s="85" t="s">
        <v>1432</v>
      </c>
      <c r="F420" s="91">
        <v>40532</v>
      </c>
      <c r="G420">
        <v>1.2410000000000001</v>
      </c>
      <c r="H420">
        <v>1.4607000000000001</v>
      </c>
      <c r="I420">
        <v>1.3077399999999999</v>
      </c>
      <c r="J420">
        <v>1.47</v>
      </c>
      <c r="K420">
        <v>1.5047200000000001</v>
      </c>
      <c r="L420">
        <v>1.47607</v>
      </c>
      <c r="M420">
        <v>1.4122000000000001</v>
      </c>
      <c r="N420">
        <v>1.575</v>
      </c>
      <c r="O420">
        <v>1.3107800000000001</v>
      </c>
      <c r="P420">
        <v>1.3169999999999999</v>
      </c>
      <c r="Q420">
        <v>1.4177200000000001</v>
      </c>
      <c r="R420">
        <v>1.5649999999999999</v>
      </c>
      <c r="S420">
        <v>1.23529</v>
      </c>
      <c r="T420">
        <v>1.4667300000000001</v>
      </c>
      <c r="U420">
        <v>1.4453900000000002</v>
      </c>
    </row>
    <row r="421" spans="1:21">
      <c r="A421" s="91">
        <v>40525</v>
      </c>
      <c r="B421" s="86">
        <v>40525</v>
      </c>
      <c r="C421" s="93">
        <v>1.18518518518519</v>
      </c>
      <c r="D421" s="85" t="s">
        <v>1433</v>
      </c>
      <c r="F421" s="91">
        <v>40525</v>
      </c>
      <c r="G421">
        <v>1.2629999999999999</v>
      </c>
      <c r="H421">
        <v>1.4638</v>
      </c>
      <c r="I421">
        <v>1.3127800000000001</v>
      </c>
      <c r="J421">
        <v>1.4570000000000001</v>
      </c>
      <c r="K421">
        <v>1.51318</v>
      </c>
      <c r="L421">
        <v>1.4836400000000001</v>
      </c>
      <c r="M421">
        <v>1.4096</v>
      </c>
      <c r="N421">
        <v>1.573</v>
      </c>
      <c r="O421">
        <v>1.2796099999999999</v>
      </c>
      <c r="P421">
        <v>1.3169999999999999</v>
      </c>
      <c r="Q421">
        <v>1.4193199999999999</v>
      </c>
      <c r="R421">
        <v>1.5640000000000001</v>
      </c>
      <c r="S421">
        <v>1.2419899999999999</v>
      </c>
      <c r="T421">
        <v>1.45194</v>
      </c>
      <c r="U421">
        <v>1.4421600000000001</v>
      </c>
    </row>
    <row r="422" spans="1:21">
      <c r="A422" s="91">
        <v>40518</v>
      </c>
      <c r="B422" s="86">
        <v>40518</v>
      </c>
      <c r="C422" s="93">
        <v>1.1803588290840401</v>
      </c>
      <c r="D422" s="85" t="s">
        <v>1054</v>
      </c>
      <c r="F422" s="91">
        <v>40518</v>
      </c>
      <c r="G422">
        <v>1.2450000000000001</v>
      </c>
      <c r="H422">
        <v>1.4329000000000001</v>
      </c>
      <c r="I422">
        <v>1.2740100000000001</v>
      </c>
      <c r="J422">
        <v>1.4470000000000001</v>
      </c>
      <c r="K422">
        <v>1.51627</v>
      </c>
      <c r="L422">
        <v>1.4908699999999999</v>
      </c>
      <c r="M422">
        <v>1.3947000000000001</v>
      </c>
      <c r="N422">
        <v>1.544</v>
      </c>
      <c r="O422">
        <v>1.2418900000000002</v>
      </c>
      <c r="P422">
        <v>1.3169999999999999</v>
      </c>
      <c r="Q422">
        <v>1.4120699999999999</v>
      </c>
      <c r="R422">
        <v>1.5549999999999999</v>
      </c>
      <c r="S422">
        <v>1.23021</v>
      </c>
      <c r="T422">
        <v>1.4575</v>
      </c>
      <c r="U422">
        <v>1.4228299999999998</v>
      </c>
    </row>
    <row r="423" spans="1:21">
      <c r="A423" s="91">
        <v>40511</v>
      </c>
      <c r="B423" s="86">
        <v>40511</v>
      </c>
      <c r="C423" s="93">
        <v>1.1848341232227499</v>
      </c>
      <c r="D423" s="85" t="s">
        <v>1434</v>
      </c>
      <c r="F423" s="91">
        <v>40511</v>
      </c>
      <c r="G423">
        <v>1.2150000000000001</v>
      </c>
      <c r="H423">
        <v>1.4032</v>
      </c>
      <c r="I423">
        <v>1.2766</v>
      </c>
      <c r="J423">
        <v>1.4159999999999999</v>
      </c>
      <c r="K423">
        <v>1.47566</v>
      </c>
      <c r="L423">
        <v>1.4601</v>
      </c>
      <c r="M423">
        <v>1.3654000000000002</v>
      </c>
      <c r="N423">
        <v>1.52</v>
      </c>
      <c r="O423">
        <v>1.22238</v>
      </c>
      <c r="P423">
        <v>1.3169999999999999</v>
      </c>
      <c r="Q423">
        <v>1.3849200000000002</v>
      </c>
      <c r="R423">
        <v>1.5289999999999999</v>
      </c>
      <c r="S423">
        <v>1.2079000000000002</v>
      </c>
      <c r="T423">
        <v>1.3968900000000002</v>
      </c>
      <c r="U423">
        <v>1.41242</v>
      </c>
    </row>
    <row r="424" spans="1:21">
      <c r="A424" s="91">
        <v>40504</v>
      </c>
      <c r="B424" s="86">
        <v>40504</v>
      </c>
      <c r="C424" s="93">
        <v>1.16972745350333</v>
      </c>
      <c r="D424" s="85" t="s">
        <v>1435</v>
      </c>
      <c r="F424" s="91">
        <v>40504</v>
      </c>
      <c r="G424">
        <v>1.2010000000000001</v>
      </c>
      <c r="H424">
        <v>1.3864000000000001</v>
      </c>
      <c r="I424">
        <v>1.2866099999999998</v>
      </c>
      <c r="J424">
        <v>1.389</v>
      </c>
      <c r="K424">
        <v>1.4404300000000001</v>
      </c>
      <c r="L424">
        <v>1.431</v>
      </c>
      <c r="M424">
        <v>1.3617000000000001</v>
      </c>
      <c r="N424">
        <v>1.522</v>
      </c>
      <c r="O424">
        <v>1.2629000000000001</v>
      </c>
      <c r="P424">
        <v>1.3109999999999999</v>
      </c>
      <c r="Q424">
        <v>1.3771099999999998</v>
      </c>
      <c r="R424">
        <v>1.4990000000000001</v>
      </c>
      <c r="S424">
        <v>1.1905699999999999</v>
      </c>
      <c r="T424">
        <v>1.3616700000000002</v>
      </c>
      <c r="U424">
        <v>1.3918499999999998</v>
      </c>
    </row>
    <row r="425" spans="1:21">
      <c r="A425" s="91">
        <v>40497</v>
      </c>
      <c r="B425" s="86">
        <v>40497</v>
      </c>
      <c r="C425" s="93">
        <v>1.1793843613633699</v>
      </c>
      <c r="D425" s="85" t="s">
        <v>1436</v>
      </c>
      <c r="F425" s="91">
        <v>40497</v>
      </c>
      <c r="G425">
        <v>1.204</v>
      </c>
      <c r="H425">
        <v>1.3982999999999999</v>
      </c>
      <c r="I425">
        <v>1.2742899999999999</v>
      </c>
      <c r="J425">
        <v>1.399</v>
      </c>
      <c r="K425">
        <v>1.4582599999999999</v>
      </c>
      <c r="L425">
        <v>1.4392</v>
      </c>
      <c r="M425">
        <v>1.3548</v>
      </c>
      <c r="N425">
        <v>1.5069999999999999</v>
      </c>
      <c r="O425">
        <v>1.2225699999999999</v>
      </c>
      <c r="P425">
        <v>1.3109999999999999</v>
      </c>
      <c r="Q425">
        <v>1.3814600000000001</v>
      </c>
      <c r="R425">
        <v>1.5069999999999999</v>
      </c>
      <c r="S425">
        <v>1.19682</v>
      </c>
      <c r="T425">
        <v>1.3747499999999999</v>
      </c>
      <c r="U425">
        <v>1.40107</v>
      </c>
    </row>
    <row r="426" spans="1:21">
      <c r="A426" s="91">
        <v>40490</v>
      </c>
      <c r="B426" s="86">
        <v>40490</v>
      </c>
      <c r="C426" s="93">
        <v>1.1591515011011901</v>
      </c>
      <c r="D426" s="85" t="s">
        <v>1437</v>
      </c>
      <c r="F426" s="91">
        <v>40490</v>
      </c>
      <c r="G426">
        <v>1.19</v>
      </c>
      <c r="H426">
        <v>1.3982999999999999</v>
      </c>
      <c r="I426">
        <v>1.2767899999999999</v>
      </c>
      <c r="J426">
        <v>1.403</v>
      </c>
      <c r="K426">
        <v>1.4302000000000001</v>
      </c>
      <c r="L426">
        <v>1.41615</v>
      </c>
      <c r="M426">
        <v>1.3557000000000001</v>
      </c>
      <c r="N426">
        <v>1.502</v>
      </c>
      <c r="O426">
        <v>1.2325999999999999</v>
      </c>
      <c r="P426">
        <v>1.3109999999999999</v>
      </c>
      <c r="Q426">
        <v>1.36398</v>
      </c>
      <c r="R426">
        <v>1.4870000000000001</v>
      </c>
      <c r="S426">
        <v>1.1717200000000001</v>
      </c>
      <c r="T426">
        <v>1.3535599999999999</v>
      </c>
      <c r="U426">
        <v>1.37558</v>
      </c>
    </row>
    <row r="427" spans="1:21">
      <c r="A427" s="91">
        <v>40476</v>
      </c>
      <c r="B427" s="86">
        <v>40476</v>
      </c>
      <c r="C427" s="93">
        <v>1.1203854125819299</v>
      </c>
      <c r="D427" s="85" t="s">
        <v>1438</v>
      </c>
      <c r="F427" s="91">
        <v>40476</v>
      </c>
      <c r="G427">
        <v>1.1919999999999999</v>
      </c>
      <c r="H427">
        <v>1.4205000000000001</v>
      </c>
      <c r="I427">
        <v>1.2879200000000002</v>
      </c>
      <c r="J427">
        <v>1.409</v>
      </c>
      <c r="K427">
        <v>1.41595</v>
      </c>
      <c r="L427">
        <v>1.40724</v>
      </c>
      <c r="M427">
        <v>1.3591</v>
      </c>
      <c r="N427">
        <v>1.5089999999999999</v>
      </c>
      <c r="O427">
        <v>1.25024</v>
      </c>
      <c r="P427">
        <v>1.3160000000000001</v>
      </c>
      <c r="Q427">
        <v>1.3515699999999999</v>
      </c>
      <c r="R427">
        <v>1.4890000000000001</v>
      </c>
      <c r="S427">
        <v>1.1734599999999999</v>
      </c>
      <c r="T427">
        <v>1.36754</v>
      </c>
      <c r="U427">
        <v>1.3191300000000001</v>
      </c>
    </row>
    <row r="428" spans="1:21">
      <c r="A428" s="91">
        <v>40469</v>
      </c>
      <c r="B428" s="86">
        <v>40469</v>
      </c>
      <c r="C428" s="93">
        <v>1.1432491139819398</v>
      </c>
      <c r="D428" s="85" t="s">
        <v>1439</v>
      </c>
      <c r="F428" s="91">
        <v>40469</v>
      </c>
      <c r="G428">
        <v>1.198</v>
      </c>
      <c r="H428">
        <v>1.4052</v>
      </c>
      <c r="I428">
        <v>1.28444</v>
      </c>
      <c r="J428">
        <v>1.3779999999999999</v>
      </c>
      <c r="K428">
        <v>1.42943</v>
      </c>
      <c r="L428">
        <v>1.4470999999999998</v>
      </c>
      <c r="M428">
        <v>1.3544</v>
      </c>
      <c r="N428">
        <v>1.5029999999999999</v>
      </c>
      <c r="O428">
        <v>1.2209000000000001</v>
      </c>
      <c r="P428">
        <v>1.3160000000000001</v>
      </c>
      <c r="Q428">
        <v>1.35883</v>
      </c>
      <c r="R428">
        <v>1.4890000000000001</v>
      </c>
      <c r="S428">
        <v>1.1756300000000002</v>
      </c>
      <c r="T428">
        <v>1.35995</v>
      </c>
      <c r="U428">
        <v>1.3408499999999999</v>
      </c>
    </row>
    <row r="429" spans="1:21">
      <c r="A429" s="91">
        <v>40462</v>
      </c>
      <c r="B429" s="86">
        <v>40462</v>
      </c>
      <c r="C429" s="93">
        <v>1.14337983077979</v>
      </c>
      <c r="D429" s="85" t="s">
        <v>1440</v>
      </c>
      <c r="F429" s="91">
        <v>40462</v>
      </c>
      <c r="G429">
        <v>1.1930000000000001</v>
      </c>
      <c r="H429">
        <v>1.3919000000000001</v>
      </c>
      <c r="I429">
        <v>1.2729200000000001</v>
      </c>
      <c r="J429">
        <v>1.379</v>
      </c>
      <c r="K429">
        <v>1.42269</v>
      </c>
      <c r="L429">
        <v>1.44424</v>
      </c>
      <c r="M429">
        <v>1.3365</v>
      </c>
      <c r="N429">
        <v>1.4850000000000001</v>
      </c>
      <c r="O429">
        <v>1.23197</v>
      </c>
      <c r="P429">
        <v>1.3160000000000001</v>
      </c>
      <c r="Q429">
        <v>1.3544700000000001</v>
      </c>
      <c r="R429">
        <v>1.474</v>
      </c>
      <c r="S429">
        <v>1.1728499999999999</v>
      </c>
      <c r="T429">
        <v>1.3622400000000001</v>
      </c>
      <c r="U429">
        <v>1.33527</v>
      </c>
    </row>
    <row r="430" spans="1:21">
      <c r="A430" s="91">
        <v>40455</v>
      </c>
      <c r="B430" s="86">
        <v>40455</v>
      </c>
      <c r="C430" s="93">
        <v>1.15526802218115</v>
      </c>
      <c r="D430" s="85" t="s">
        <v>1441</v>
      </c>
      <c r="F430" s="91">
        <v>40455</v>
      </c>
      <c r="G430">
        <v>1.177</v>
      </c>
      <c r="H430">
        <v>1.3789</v>
      </c>
      <c r="I430">
        <v>1.2823199999999999</v>
      </c>
      <c r="J430">
        <v>1.3580000000000001</v>
      </c>
      <c r="K430">
        <v>1.40594</v>
      </c>
      <c r="L430">
        <v>1.4272499999999999</v>
      </c>
      <c r="M430">
        <v>1.3147</v>
      </c>
      <c r="N430">
        <v>1.482</v>
      </c>
      <c r="O430">
        <v>1.2508699999999999</v>
      </c>
      <c r="P430">
        <v>1.3160000000000001</v>
      </c>
      <c r="Q430">
        <v>1.34406</v>
      </c>
      <c r="R430">
        <v>1.4710000000000001</v>
      </c>
      <c r="S430">
        <v>1.15276</v>
      </c>
      <c r="T430">
        <v>1.34527</v>
      </c>
      <c r="U430">
        <v>1.34026</v>
      </c>
    </row>
    <row r="431" spans="1:21">
      <c r="A431" s="91">
        <v>40448</v>
      </c>
      <c r="B431" s="86">
        <v>40448</v>
      </c>
      <c r="C431" s="93">
        <v>1.17591721542803</v>
      </c>
      <c r="D431" s="85" t="s">
        <v>1442</v>
      </c>
      <c r="F431" s="91">
        <v>40448</v>
      </c>
      <c r="G431">
        <v>1.1859999999999999</v>
      </c>
      <c r="H431">
        <v>1.3794000000000002</v>
      </c>
      <c r="I431">
        <v>1.28718</v>
      </c>
      <c r="J431">
        <v>1.333</v>
      </c>
      <c r="K431">
        <v>1.39592</v>
      </c>
      <c r="L431">
        <v>1.41666</v>
      </c>
      <c r="M431">
        <v>1.3237999999999999</v>
      </c>
      <c r="N431">
        <v>1.4990000000000001</v>
      </c>
      <c r="O431">
        <v>1.2527000000000001</v>
      </c>
      <c r="P431">
        <v>1.3240000000000001</v>
      </c>
      <c r="Q431">
        <v>1.34796</v>
      </c>
      <c r="R431">
        <v>1.4730000000000001</v>
      </c>
      <c r="S431">
        <v>1.1551400000000001</v>
      </c>
      <c r="T431">
        <v>1.339</v>
      </c>
      <c r="U431">
        <v>1.35694</v>
      </c>
    </row>
    <row r="432" spans="1:21">
      <c r="A432" s="91">
        <v>40441</v>
      </c>
      <c r="B432" s="86">
        <v>40441</v>
      </c>
      <c r="C432" s="93">
        <v>1.1928903733746901</v>
      </c>
      <c r="D432" s="85" t="s">
        <v>1443</v>
      </c>
      <c r="F432" s="91">
        <v>40441</v>
      </c>
      <c r="G432">
        <v>1.2</v>
      </c>
      <c r="H432">
        <v>1.4156</v>
      </c>
      <c r="I432">
        <v>1.2817000000000001</v>
      </c>
      <c r="J432">
        <v>1.371</v>
      </c>
      <c r="K432">
        <v>1.41794</v>
      </c>
      <c r="L432">
        <v>1.4313199999999999</v>
      </c>
      <c r="M432">
        <v>1.3405</v>
      </c>
      <c r="N432">
        <v>1.502</v>
      </c>
      <c r="O432">
        <v>1.2323299999999999</v>
      </c>
      <c r="P432">
        <v>1.3240000000000001</v>
      </c>
      <c r="Q432">
        <v>1.3647400000000001</v>
      </c>
      <c r="R432">
        <v>1.4990000000000001</v>
      </c>
      <c r="S432">
        <v>1.1793800000000001</v>
      </c>
      <c r="T432">
        <v>1.35433</v>
      </c>
      <c r="U432">
        <v>1.3725999999999998</v>
      </c>
    </row>
    <row r="433" spans="1:21">
      <c r="A433" s="91">
        <v>40434</v>
      </c>
      <c r="B433" s="86">
        <v>40434</v>
      </c>
      <c r="C433" s="93">
        <v>1.20307988450433</v>
      </c>
      <c r="D433" s="85" t="s">
        <v>1444</v>
      </c>
      <c r="F433" s="91">
        <v>40434</v>
      </c>
      <c r="G433">
        <v>1.1990000000000001</v>
      </c>
      <c r="H433">
        <v>1.3879999999999999</v>
      </c>
      <c r="I433">
        <v>1.2754100000000002</v>
      </c>
      <c r="J433">
        <v>1.389</v>
      </c>
      <c r="K433">
        <v>1.4462999999999999</v>
      </c>
      <c r="L433">
        <v>1.4499900000000001</v>
      </c>
      <c r="M433">
        <v>1.3272999999999999</v>
      </c>
      <c r="N433">
        <v>1.4890000000000001</v>
      </c>
      <c r="O433">
        <v>1.2034800000000001</v>
      </c>
      <c r="P433">
        <v>1.3240000000000001</v>
      </c>
      <c r="Q433">
        <v>1.3591300000000002</v>
      </c>
      <c r="R433">
        <v>1.4970000000000001</v>
      </c>
      <c r="S433">
        <v>1.1694599999999999</v>
      </c>
      <c r="T433">
        <v>1.3915500000000001</v>
      </c>
      <c r="U433">
        <v>1.3794200000000001</v>
      </c>
    </row>
    <row r="434" spans="1:21">
      <c r="A434" s="91">
        <v>40427</v>
      </c>
      <c r="B434" s="86">
        <v>40427</v>
      </c>
      <c r="C434" s="93">
        <v>1.1929615269907499</v>
      </c>
      <c r="D434" s="85" t="s">
        <v>1445</v>
      </c>
      <c r="F434" s="91">
        <v>40427</v>
      </c>
      <c r="G434">
        <v>1.19</v>
      </c>
      <c r="H434">
        <v>1.3837999999999999</v>
      </c>
      <c r="I434">
        <v>1.2711400000000002</v>
      </c>
      <c r="J434">
        <v>1.3740000000000001</v>
      </c>
      <c r="K434">
        <v>1.4249499999999999</v>
      </c>
      <c r="L434">
        <v>1.4580599999999999</v>
      </c>
      <c r="M434">
        <v>1.3172999999999999</v>
      </c>
      <c r="N434">
        <v>1.482</v>
      </c>
      <c r="O434">
        <v>1.1884700000000001</v>
      </c>
      <c r="P434">
        <v>1.3240000000000001</v>
      </c>
      <c r="Q434">
        <v>1.3499100000000002</v>
      </c>
      <c r="R434">
        <v>1.4770000000000001</v>
      </c>
      <c r="S434">
        <v>1.1632499999999999</v>
      </c>
      <c r="T434">
        <v>1.3471199999999999</v>
      </c>
      <c r="U434">
        <v>1.36703</v>
      </c>
    </row>
    <row r="435" spans="1:21">
      <c r="A435" s="91">
        <v>40420</v>
      </c>
      <c r="B435" s="86">
        <v>40420</v>
      </c>
      <c r="C435" s="93">
        <v>1.22473974280465</v>
      </c>
      <c r="D435" s="85" t="s">
        <v>1446</v>
      </c>
      <c r="F435" s="91">
        <v>40420</v>
      </c>
      <c r="G435">
        <v>1.1819999999999999</v>
      </c>
      <c r="H435">
        <v>1.399</v>
      </c>
      <c r="I435">
        <v>1.2703199999999999</v>
      </c>
      <c r="J435">
        <v>1.3720000000000001</v>
      </c>
      <c r="K435">
        <v>1.4180599999999999</v>
      </c>
      <c r="L435">
        <v>1.4313199999999999</v>
      </c>
      <c r="M435">
        <v>1.3126</v>
      </c>
      <c r="N435">
        <v>1.486</v>
      </c>
      <c r="O435">
        <v>1.1804300000000001</v>
      </c>
      <c r="P435">
        <v>1.3240000000000001</v>
      </c>
      <c r="Q435">
        <v>1.35036</v>
      </c>
      <c r="R435">
        <v>1.4690000000000001</v>
      </c>
      <c r="S435">
        <v>1.1565399999999999</v>
      </c>
      <c r="T435">
        <v>1.3348</v>
      </c>
      <c r="U435">
        <v>1.4082399999999999</v>
      </c>
    </row>
    <row r="436" spans="1:21">
      <c r="A436" s="91">
        <v>40413</v>
      </c>
      <c r="B436" s="86">
        <v>40413</v>
      </c>
      <c r="C436" s="93">
        <v>1.22414004162076</v>
      </c>
      <c r="D436" s="85" t="s">
        <v>1447</v>
      </c>
      <c r="F436" s="91">
        <v>40413</v>
      </c>
      <c r="G436">
        <v>1.1850000000000001</v>
      </c>
      <c r="H436">
        <v>1.397</v>
      </c>
      <c r="I436">
        <v>1.27857</v>
      </c>
      <c r="J436">
        <v>1.395</v>
      </c>
      <c r="K436">
        <v>1.42696</v>
      </c>
      <c r="L436">
        <v>1.4313199999999999</v>
      </c>
      <c r="M436">
        <v>1.3237000000000001</v>
      </c>
      <c r="N436">
        <v>1.4970000000000001</v>
      </c>
      <c r="O436">
        <v>1.2066400000000002</v>
      </c>
      <c r="P436">
        <v>1.3340000000000001</v>
      </c>
      <c r="Q436">
        <v>1.3596900000000001</v>
      </c>
      <c r="R436">
        <v>1.4790000000000001</v>
      </c>
      <c r="S436">
        <v>1.15215</v>
      </c>
      <c r="T436">
        <v>1.3231900000000001</v>
      </c>
      <c r="U436">
        <v>1.4156300000000002</v>
      </c>
    </row>
    <row r="437" spans="1:21">
      <c r="A437" s="91">
        <v>40406</v>
      </c>
      <c r="B437" s="86">
        <v>40406</v>
      </c>
      <c r="C437" s="93">
        <v>1.2178784557301201</v>
      </c>
      <c r="D437" s="85" t="s">
        <v>1448</v>
      </c>
      <c r="F437" s="91">
        <v>40406</v>
      </c>
      <c r="G437">
        <v>1.194</v>
      </c>
      <c r="H437">
        <v>1.409</v>
      </c>
      <c r="I437">
        <v>1.2811700000000001</v>
      </c>
      <c r="J437">
        <v>1.3640000000000001</v>
      </c>
      <c r="K437">
        <v>1.43628</v>
      </c>
      <c r="L437">
        <v>1.4465399999999999</v>
      </c>
      <c r="M437">
        <v>1.3365</v>
      </c>
      <c r="N437">
        <v>1.5049999999999999</v>
      </c>
      <c r="O437">
        <v>1.2194700000000001</v>
      </c>
      <c r="P437">
        <v>1.3340000000000001</v>
      </c>
      <c r="Q437">
        <v>1.3659400000000002</v>
      </c>
      <c r="R437">
        <v>1.4850000000000001</v>
      </c>
      <c r="S437">
        <v>1.16726</v>
      </c>
      <c r="T437">
        <v>1.3197399999999999</v>
      </c>
      <c r="U437">
        <v>1.4168399999999999</v>
      </c>
    </row>
    <row r="438" spans="1:21">
      <c r="A438" s="91">
        <v>40399</v>
      </c>
      <c r="B438" s="86">
        <v>40399</v>
      </c>
      <c r="C438" s="93">
        <v>1.20423892100193</v>
      </c>
      <c r="D438" s="85" t="s">
        <v>1449</v>
      </c>
      <c r="F438" s="91">
        <v>40399</v>
      </c>
      <c r="G438">
        <v>1.198</v>
      </c>
      <c r="H438">
        <v>1.415</v>
      </c>
      <c r="I438">
        <v>1.29078</v>
      </c>
      <c r="J438">
        <v>1.399</v>
      </c>
      <c r="K438">
        <v>1.4508299999999998</v>
      </c>
      <c r="L438">
        <v>1.47278</v>
      </c>
      <c r="M438">
        <v>1.3362000000000001</v>
      </c>
      <c r="N438">
        <v>1.504</v>
      </c>
      <c r="O438">
        <v>1.2232700000000001</v>
      </c>
      <c r="P438">
        <v>1.3340000000000001</v>
      </c>
      <c r="Q438">
        <v>1.3667799999999999</v>
      </c>
      <c r="R438">
        <v>1.4890000000000001</v>
      </c>
      <c r="S438">
        <v>1.1758</v>
      </c>
      <c r="T438">
        <v>1.3497999999999999</v>
      </c>
      <c r="U438">
        <v>1.4010799999999999</v>
      </c>
    </row>
    <row r="439" spans="1:21">
      <c r="A439" s="91">
        <v>40392</v>
      </c>
      <c r="B439" s="86">
        <v>40392</v>
      </c>
      <c r="C439" s="93">
        <v>1.2106537530266299</v>
      </c>
      <c r="D439" s="85" t="s">
        <v>1450</v>
      </c>
      <c r="F439" s="91">
        <v>40392</v>
      </c>
      <c r="G439">
        <v>1.1910000000000001</v>
      </c>
      <c r="H439">
        <v>1.4079999999999999</v>
      </c>
      <c r="I439">
        <v>1.30369</v>
      </c>
      <c r="J439">
        <v>1.3839999999999999</v>
      </c>
      <c r="K439">
        <v>1.44282</v>
      </c>
      <c r="L439">
        <v>1.4657100000000001</v>
      </c>
      <c r="M439">
        <v>1.3074000000000001</v>
      </c>
      <c r="N439">
        <v>1.516</v>
      </c>
      <c r="O439">
        <v>1.2131099999999999</v>
      </c>
      <c r="P439">
        <v>1.333</v>
      </c>
      <c r="Q439">
        <v>1.3628</v>
      </c>
      <c r="R439">
        <v>1.4890000000000001</v>
      </c>
      <c r="S439">
        <v>1.1677599999999999</v>
      </c>
      <c r="T439">
        <v>1.35941</v>
      </c>
      <c r="U439">
        <v>1.41052</v>
      </c>
    </row>
    <row r="440" spans="1:21">
      <c r="A440" s="91">
        <v>40385</v>
      </c>
      <c r="B440" s="86">
        <v>40385</v>
      </c>
      <c r="C440" s="93">
        <v>1.19868145040455</v>
      </c>
      <c r="D440" s="85" t="s">
        <v>1451</v>
      </c>
      <c r="F440" s="91">
        <v>40385</v>
      </c>
      <c r="G440">
        <v>1.196</v>
      </c>
      <c r="H440">
        <v>1.383</v>
      </c>
      <c r="I440">
        <v>1.2872399999999999</v>
      </c>
      <c r="J440">
        <v>1.397</v>
      </c>
      <c r="K440">
        <v>1.45184</v>
      </c>
      <c r="L440">
        <v>1.4657100000000001</v>
      </c>
      <c r="M440">
        <v>1.3272999999999999</v>
      </c>
      <c r="N440">
        <v>1.4990000000000001</v>
      </c>
      <c r="O440">
        <v>1.1885299999999999</v>
      </c>
      <c r="P440">
        <v>1.333</v>
      </c>
      <c r="Q440">
        <v>1.35544</v>
      </c>
      <c r="R440">
        <v>1.4850000000000001</v>
      </c>
      <c r="S440">
        <v>1.1654899999999999</v>
      </c>
      <c r="T440">
        <v>1.3461700000000001</v>
      </c>
      <c r="U440">
        <v>1.3978299999999999</v>
      </c>
    </row>
    <row r="441" spans="1:21">
      <c r="A441" s="91">
        <v>40378</v>
      </c>
      <c r="B441" s="86">
        <v>40378</v>
      </c>
      <c r="C441" s="93">
        <v>1.17882824472474</v>
      </c>
      <c r="D441" s="85" t="s">
        <v>1452</v>
      </c>
      <c r="F441" s="91">
        <v>40378</v>
      </c>
      <c r="G441">
        <v>1.202</v>
      </c>
      <c r="H441">
        <v>1.4490000000000001</v>
      </c>
      <c r="I441">
        <v>1.2766900000000001</v>
      </c>
      <c r="J441">
        <v>1.3819999999999999</v>
      </c>
      <c r="K441">
        <v>1.4316600000000002</v>
      </c>
      <c r="L441">
        <v>1.4465399999999999</v>
      </c>
      <c r="M441">
        <v>1.3288</v>
      </c>
      <c r="N441">
        <v>1.504</v>
      </c>
      <c r="O441">
        <v>1.1876600000000002</v>
      </c>
      <c r="P441">
        <v>1.333</v>
      </c>
      <c r="Q441">
        <v>1.3655599999999999</v>
      </c>
      <c r="R441">
        <v>1.4870000000000001</v>
      </c>
      <c r="S441">
        <v>1.1653</v>
      </c>
      <c r="T441">
        <v>1.3240699999999999</v>
      </c>
      <c r="U441">
        <v>1.3774500000000001</v>
      </c>
    </row>
    <row r="442" spans="1:21">
      <c r="A442" s="91">
        <v>40371</v>
      </c>
      <c r="B442" s="86">
        <v>40371</v>
      </c>
      <c r="C442" s="93">
        <v>1.19574315437044</v>
      </c>
      <c r="D442" s="85" t="s">
        <v>1453</v>
      </c>
      <c r="F442" s="91">
        <v>40371</v>
      </c>
      <c r="G442">
        <v>1.1879999999999999</v>
      </c>
      <c r="H442">
        <v>1.4490000000000001</v>
      </c>
      <c r="I442">
        <v>1.28695</v>
      </c>
      <c r="J442">
        <v>1.3859999999999999</v>
      </c>
      <c r="K442">
        <v>1.43926</v>
      </c>
      <c r="L442">
        <v>1.45747</v>
      </c>
      <c r="M442">
        <v>1.3327</v>
      </c>
      <c r="N442">
        <v>1.5089999999999999</v>
      </c>
      <c r="O442">
        <v>1.2309400000000001</v>
      </c>
      <c r="P442">
        <v>1.333</v>
      </c>
      <c r="Q442">
        <v>1.3723699999999999</v>
      </c>
      <c r="R442">
        <v>1.4890000000000001</v>
      </c>
      <c r="S442">
        <v>1.16676</v>
      </c>
      <c r="T442">
        <v>1.34518</v>
      </c>
      <c r="U442">
        <v>1.4037200000000001</v>
      </c>
    </row>
    <row r="443" spans="1:21">
      <c r="A443" s="91">
        <v>40364</v>
      </c>
      <c r="B443" s="86">
        <v>40364</v>
      </c>
      <c r="C443" s="93">
        <v>1.2084592145015101</v>
      </c>
      <c r="D443" s="85" t="s">
        <v>1454</v>
      </c>
      <c r="F443" s="91">
        <v>40364</v>
      </c>
      <c r="G443">
        <v>1.2050000000000001</v>
      </c>
      <c r="H443">
        <v>1.421</v>
      </c>
      <c r="I443">
        <v>1.2782</v>
      </c>
      <c r="J443">
        <v>1.383</v>
      </c>
      <c r="K443">
        <v>1.43868</v>
      </c>
      <c r="L443">
        <v>1.4465399999999999</v>
      </c>
      <c r="M443">
        <v>1.3569</v>
      </c>
      <c r="N443">
        <v>1.518</v>
      </c>
      <c r="O443">
        <v>1.2095499999999999</v>
      </c>
      <c r="P443">
        <v>1.333</v>
      </c>
      <c r="Q443">
        <v>1.37765</v>
      </c>
      <c r="R443">
        <v>1.4970000000000001</v>
      </c>
      <c r="S443">
        <v>1.17913</v>
      </c>
      <c r="T443">
        <v>1.32507</v>
      </c>
      <c r="U443">
        <v>1.4248800000000001</v>
      </c>
    </row>
    <row r="444" spans="1:21">
      <c r="A444" s="91">
        <v>40357</v>
      </c>
      <c r="B444" s="86">
        <v>40357</v>
      </c>
      <c r="C444" s="93">
        <v>1.2195121951219499</v>
      </c>
      <c r="D444" s="85" t="s">
        <v>1455</v>
      </c>
      <c r="F444" s="91">
        <v>40357</v>
      </c>
      <c r="G444">
        <v>1.2110000000000001</v>
      </c>
      <c r="H444">
        <v>1.4279999999999999</v>
      </c>
      <c r="I444">
        <v>1.2703</v>
      </c>
      <c r="J444">
        <v>1.4319999999999999</v>
      </c>
      <c r="K444">
        <v>1.45749</v>
      </c>
      <c r="L444">
        <v>1.43069</v>
      </c>
      <c r="M444">
        <v>1.3662000000000001</v>
      </c>
      <c r="N444">
        <v>1.5</v>
      </c>
      <c r="O444">
        <v>1.2143499999999998</v>
      </c>
      <c r="P444">
        <v>1.333</v>
      </c>
      <c r="Q444">
        <v>1.3956999999999999</v>
      </c>
      <c r="R444">
        <v>1.5149999999999999</v>
      </c>
      <c r="S444">
        <v>1.1677</v>
      </c>
      <c r="T444">
        <v>1.36738</v>
      </c>
      <c r="U444">
        <v>1.4375199999999999</v>
      </c>
    </row>
    <row r="445" spans="1:21">
      <c r="A445" s="91">
        <v>40350</v>
      </c>
      <c r="B445" s="86">
        <v>40350</v>
      </c>
      <c r="C445" s="93">
        <v>1.19889701474643</v>
      </c>
      <c r="D445" s="85" t="s">
        <v>1456</v>
      </c>
      <c r="F445" s="91">
        <v>40350</v>
      </c>
      <c r="G445">
        <v>1.2170000000000001</v>
      </c>
      <c r="H445">
        <v>1.4530000000000001</v>
      </c>
      <c r="I445">
        <v>1.26491</v>
      </c>
      <c r="J445">
        <v>1.425</v>
      </c>
      <c r="K445">
        <v>1.4798</v>
      </c>
      <c r="L445">
        <v>1.4445899999999998</v>
      </c>
      <c r="M445">
        <v>1.3627</v>
      </c>
      <c r="N445">
        <v>1.4950000000000001</v>
      </c>
      <c r="O445">
        <v>1.2373299999999998</v>
      </c>
      <c r="P445">
        <v>1.333</v>
      </c>
      <c r="Q445">
        <v>1.3915899999999999</v>
      </c>
      <c r="R445">
        <v>1.5189999999999999</v>
      </c>
      <c r="S445">
        <v>1.1759900000000001</v>
      </c>
      <c r="T445">
        <v>1.3732200000000001</v>
      </c>
      <c r="U445">
        <v>1.41232</v>
      </c>
    </row>
    <row r="446" spans="1:21">
      <c r="A446" s="91">
        <v>40343</v>
      </c>
      <c r="B446" s="86">
        <v>40343</v>
      </c>
      <c r="C446" s="93">
        <v>1.20365912373616</v>
      </c>
      <c r="D446" s="85" t="s">
        <v>1457</v>
      </c>
      <c r="F446" s="91">
        <v>40343</v>
      </c>
      <c r="G446">
        <v>1.21</v>
      </c>
      <c r="H446">
        <v>1.4419999999999999</v>
      </c>
      <c r="I446">
        <v>1.27207</v>
      </c>
      <c r="J446">
        <v>1.431</v>
      </c>
      <c r="K446">
        <v>1.4776500000000001</v>
      </c>
      <c r="L446">
        <v>1.4736899999999999</v>
      </c>
      <c r="M446">
        <v>1.3505999999999998</v>
      </c>
      <c r="N446">
        <v>1.4890000000000001</v>
      </c>
      <c r="O446">
        <v>1.22577</v>
      </c>
      <c r="P446">
        <v>1.34</v>
      </c>
      <c r="Q446">
        <v>1.37618</v>
      </c>
      <c r="R446">
        <v>1.5089999999999999</v>
      </c>
      <c r="S446">
        <v>1.1659200000000001</v>
      </c>
      <c r="T446">
        <v>1.3661500000000002</v>
      </c>
      <c r="U446">
        <v>1.4187000000000001</v>
      </c>
    </row>
    <row r="447" spans="1:21">
      <c r="A447" s="91">
        <v>40336</v>
      </c>
      <c r="B447" s="86">
        <v>40336</v>
      </c>
      <c r="C447" s="93">
        <v>1.2127091923356801</v>
      </c>
      <c r="D447" s="85" t="s">
        <v>1458</v>
      </c>
      <c r="F447" s="91">
        <v>40336</v>
      </c>
      <c r="G447">
        <v>1.202</v>
      </c>
      <c r="H447">
        <v>1.4490000000000001</v>
      </c>
      <c r="I447">
        <v>1.24573</v>
      </c>
      <c r="J447">
        <v>1.425</v>
      </c>
      <c r="K447">
        <v>1.4695400000000001</v>
      </c>
      <c r="L447">
        <v>1.4302999999999999</v>
      </c>
      <c r="M447">
        <v>1.3462000000000001</v>
      </c>
      <c r="N447">
        <v>1.4850000000000001</v>
      </c>
      <c r="O447">
        <v>1.1836099999999998</v>
      </c>
      <c r="P447">
        <v>1.34</v>
      </c>
      <c r="Q447">
        <v>1.37218</v>
      </c>
      <c r="R447">
        <v>1.5109999999999999</v>
      </c>
      <c r="S447">
        <v>1.1644700000000001</v>
      </c>
      <c r="T447">
        <v>1.3499400000000001</v>
      </c>
      <c r="U447">
        <v>1.4334800000000001</v>
      </c>
    </row>
    <row r="448" spans="1:21">
      <c r="A448" s="91">
        <v>40329</v>
      </c>
      <c r="B448" s="86">
        <v>40329</v>
      </c>
      <c r="C448" s="93">
        <v>1.17836984315897</v>
      </c>
      <c r="D448" s="85" t="s">
        <v>1459</v>
      </c>
      <c r="F448" s="91">
        <v>40329</v>
      </c>
      <c r="G448">
        <v>1.2030000000000001</v>
      </c>
      <c r="H448">
        <v>1.411</v>
      </c>
      <c r="I448">
        <v>1.2668499999999998</v>
      </c>
      <c r="J448">
        <v>1.42</v>
      </c>
      <c r="K448">
        <v>1.45574</v>
      </c>
      <c r="L448">
        <v>1.4264300000000001</v>
      </c>
      <c r="M448">
        <v>1.3468</v>
      </c>
      <c r="N448">
        <v>1.4930000000000001</v>
      </c>
      <c r="O448">
        <v>1.22725</v>
      </c>
      <c r="P448">
        <v>1.32</v>
      </c>
      <c r="Q448">
        <v>1.3593299999999999</v>
      </c>
      <c r="R448">
        <v>1.4950000000000001</v>
      </c>
      <c r="S448">
        <v>1.1528800000000001</v>
      </c>
      <c r="T448">
        <v>1.3426199999999999</v>
      </c>
      <c r="U448">
        <v>1.3968699999999998</v>
      </c>
    </row>
    <row r="449" spans="1:21">
      <c r="A449" s="91">
        <v>40322</v>
      </c>
      <c r="B449" s="86">
        <v>40322</v>
      </c>
      <c r="C449" s="93">
        <v>1.16171003717472</v>
      </c>
      <c r="D449" s="85" t="s">
        <v>1460</v>
      </c>
      <c r="F449" s="91">
        <v>40322</v>
      </c>
      <c r="G449">
        <v>1.2050000000000001</v>
      </c>
      <c r="H449">
        <v>1.4630000000000001</v>
      </c>
      <c r="I449">
        <v>1.2635999999999998</v>
      </c>
      <c r="J449">
        <v>1.373</v>
      </c>
      <c r="K449">
        <v>1.42567</v>
      </c>
      <c r="L449">
        <v>1.4128499999999999</v>
      </c>
      <c r="M449">
        <v>1.3684000000000001</v>
      </c>
      <c r="N449">
        <v>1.52</v>
      </c>
      <c r="O449">
        <v>1.2369700000000001</v>
      </c>
      <c r="P449">
        <v>1.32</v>
      </c>
      <c r="Q449">
        <v>1.37259</v>
      </c>
      <c r="R449">
        <v>1.4870000000000001</v>
      </c>
      <c r="S449">
        <v>1.15903</v>
      </c>
      <c r="T449">
        <v>1.3137999999999999</v>
      </c>
      <c r="U449">
        <v>1.3931800000000001</v>
      </c>
    </row>
    <row r="450" spans="1:21">
      <c r="A450" s="91">
        <v>40315</v>
      </c>
      <c r="B450" s="86">
        <v>40315</v>
      </c>
      <c r="C450" s="93">
        <v>1.1690437222352101</v>
      </c>
      <c r="D450" s="85" t="s">
        <v>1060</v>
      </c>
      <c r="F450" s="91">
        <v>40315</v>
      </c>
      <c r="G450">
        <v>1.2230000000000001</v>
      </c>
      <c r="H450">
        <v>1.4630000000000001</v>
      </c>
      <c r="I450">
        <v>1.2722599999999999</v>
      </c>
      <c r="J450">
        <v>1.417</v>
      </c>
      <c r="K450">
        <v>1.4824300000000001</v>
      </c>
      <c r="L450">
        <v>1.4638100000000001</v>
      </c>
      <c r="M450">
        <v>1.373</v>
      </c>
      <c r="N450">
        <v>1.524</v>
      </c>
      <c r="O450">
        <v>1.23807</v>
      </c>
      <c r="P450">
        <v>1.32</v>
      </c>
      <c r="Q450">
        <v>1.39459</v>
      </c>
      <c r="R450">
        <v>1.5249999999999999</v>
      </c>
      <c r="S450">
        <v>1.1817</v>
      </c>
      <c r="T450">
        <v>1.3661700000000001</v>
      </c>
      <c r="U450">
        <v>1.4180999999999999</v>
      </c>
    </row>
    <row r="451" spans="1:21">
      <c r="A451" s="91">
        <v>40308</v>
      </c>
      <c r="B451" s="86">
        <v>40308</v>
      </c>
      <c r="C451" s="93">
        <v>1.1573404316879801</v>
      </c>
      <c r="D451" s="85" t="s">
        <v>1461</v>
      </c>
      <c r="F451" s="91">
        <v>40308</v>
      </c>
      <c r="G451">
        <v>1.232</v>
      </c>
      <c r="H451">
        <v>1.472</v>
      </c>
      <c r="I451">
        <v>1.2733699999999999</v>
      </c>
      <c r="J451">
        <v>1.427</v>
      </c>
      <c r="K451">
        <v>1.4714</v>
      </c>
      <c r="L451">
        <v>1.448</v>
      </c>
      <c r="M451">
        <v>1.3787</v>
      </c>
      <c r="N451">
        <v>1.528</v>
      </c>
      <c r="O451">
        <v>1.25071</v>
      </c>
      <c r="P451">
        <v>1.32</v>
      </c>
      <c r="Q451">
        <v>1.39964</v>
      </c>
      <c r="R451">
        <v>1.5229999999999999</v>
      </c>
      <c r="S451">
        <v>1.1893399999999998</v>
      </c>
      <c r="T451">
        <v>1.3648399999999998</v>
      </c>
      <c r="U451">
        <v>1.4039699999999999</v>
      </c>
    </row>
    <row r="452" spans="1:21">
      <c r="A452" s="91">
        <v>40301</v>
      </c>
      <c r="B452" s="86">
        <v>40301</v>
      </c>
      <c r="C452" s="93">
        <v>1.1520737327188899</v>
      </c>
      <c r="D452" s="85" t="s">
        <v>1462</v>
      </c>
      <c r="F452" s="91">
        <v>40301</v>
      </c>
      <c r="G452">
        <v>1.2350000000000001</v>
      </c>
      <c r="H452">
        <v>1.472</v>
      </c>
      <c r="I452">
        <v>1.2642200000000001</v>
      </c>
      <c r="J452">
        <v>1.456</v>
      </c>
      <c r="K452">
        <v>1.4874000000000001</v>
      </c>
      <c r="L452">
        <v>1.448</v>
      </c>
      <c r="M452">
        <v>1.3764000000000001</v>
      </c>
      <c r="N452">
        <v>1.45</v>
      </c>
      <c r="O452">
        <v>1.2589999999999999</v>
      </c>
      <c r="P452">
        <v>1.32</v>
      </c>
      <c r="Q452">
        <v>1.4046400000000001</v>
      </c>
      <c r="R452">
        <v>1.5309999999999999</v>
      </c>
      <c r="S452">
        <v>1.1897599999999999</v>
      </c>
      <c r="T452">
        <v>1.3861300000000001</v>
      </c>
      <c r="U452">
        <v>1.3961300000000001</v>
      </c>
    </row>
    <row r="453" spans="1:21">
      <c r="A453" s="91">
        <v>40294</v>
      </c>
      <c r="B453" s="86">
        <v>40294</v>
      </c>
      <c r="C453" s="93">
        <v>1.1595547309832999</v>
      </c>
      <c r="D453" s="85" t="s">
        <v>1463</v>
      </c>
      <c r="F453" s="91">
        <v>40294</v>
      </c>
      <c r="G453">
        <v>1.218</v>
      </c>
      <c r="H453">
        <v>1.4119999999999999</v>
      </c>
      <c r="I453">
        <v>1.2637</v>
      </c>
      <c r="J453">
        <v>1.4370000000000001</v>
      </c>
      <c r="K453">
        <v>1.4781</v>
      </c>
      <c r="L453">
        <v>1.448</v>
      </c>
      <c r="M453">
        <v>1.373</v>
      </c>
      <c r="N453">
        <v>1.446</v>
      </c>
      <c r="O453">
        <v>1.2815000000000001</v>
      </c>
      <c r="P453">
        <v>1.32</v>
      </c>
      <c r="Q453">
        <v>1.3896700000000002</v>
      </c>
      <c r="R453">
        <v>1.589</v>
      </c>
      <c r="S453">
        <v>1.1756800000000001</v>
      </c>
      <c r="T453">
        <v>1.3921400000000002</v>
      </c>
      <c r="U453">
        <v>1.4029100000000001</v>
      </c>
    </row>
    <row r="454" spans="1:21">
      <c r="A454" s="91">
        <v>40287</v>
      </c>
      <c r="B454" s="86">
        <v>40287</v>
      </c>
      <c r="C454" s="93">
        <v>1.13571834185122</v>
      </c>
      <c r="D454" s="85" t="s">
        <v>1464</v>
      </c>
      <c r="F454" s="91">
        <v>40287</v>
      </c>
      <c r="G454">
        <v>1.2250000000000001</v>
      </c>
      <c r="H454">
        <v>1.4590000000000001</v>
      </c>
      <c r="I454">
        <v>1.27457</v>
      </c>
      <c r="J454">
        <v>1.43</v>
      </c>
      <c r="K454">
        <v>1.47393</v>
      </c>
      <c r="L454">
        <v>1.4307799999999999</v>
      </c>
      <c r="M454">
        <v>1.37</v>
      </c>
      <c r="N454">
        <v>1.45</v>
      </c>
      <c r="O454">
        <v>1.2715399999999999</v>
      </c>
      <c r="P454">
        <v>1.278</v>
      </c>
      <c r="Q454">
        <v>1.3921199999999998</v>
      </c>
      <c r="R454">
        <v>1.518</v>
      </c>
      <c r="S454">
        <v>1.1777500000000001</v>
      </c>
      <c r="T454">
        <v>1.35286</v>
      </c>
      <c r="U454">
        <v>1.36917</v>
      </c>
    </row>
    <row r="455" spans="1:21">
      <c r="A455" s="91">
        <v>40280</v>
      </c>
      <c r="B455" s="86">
        <v>40280</v>
      </c>
      <c r="C455" s="93">
        <v>1.1331444759206799</v>
      </c>
      <c r="D455" s="85" t="s">
        <v>1465</v>
      </c>
      <c r="F455" s="91">
        <v>40280</v>
      </c>
      <c r="G455">
        <v>1.224</v>
      </c>
      <c r="H455">
        <v>1.4770000000000001</v>
      </c>
      <c r="I455">
        <v>1.2664000000000002</v>
      </c>
      <c r="J455">
        <v>1.42</v>
      </c>
      <c r="K455">
        <v>1.4738699999999998</v>
      </c>
      <c r="L455">
        <v>1.4322900000000001</v>
      </c>
      <c r="M455">
        <v>1.3839000000000001</v>
      </c>
      <c r="N455">
        <v>1.4419999999999999</v>
      </c>
      <c r="O455">
        <v>1.2718699999999998</v>
      </c>
      <c r="P455">
        <v>1.278</v>
      </c>
      <c r="Q455">
        <v>1.39262</v>
      </c>
      <c r="R455">
        <v>1.518</v>
      </c>
      <c r="S455">
        <v>1.18512</v>
      </c>
      <c r="T455">
        <v>1.3564500000000002</v>
      </c>
      <c r="U455">
        <v>1.3591199999999999</v>
      </c>
    </row>
    <row r="456" spans="1:21">
      <c r="A456" s="91">
        <v>40266</v>
      </c>
      <c r="B456" s="86">
        <v>40266</v>
      </c>
      <c r="C456" s="93">
        <v>1.1118523460084497</v>
      </c>
      <c r="D456" s="85" t="s">
        <v>1043</v>
      </c>
      <c r="F456" s="91">
        <v>40266</v>
      </c>
      <c r="G456">
        <v>1.2070000000000001</v>
      </c>
      <c r="H456">
        <v>1.413</v>
      </c>
      <c r="I456">
        <v>1.2390300000000001</v>
      </c>
      <c r="J456">
        <v>1.45025</v>
      </c>
      <c r="K456">
        <v>1.4660199999999999</v>
      </c>
      <c r="L456">
        <v>1.4230399999999999</v>
      </c>
      <c r="M456">
        <v>1.3574999999999999</v>
      </c>
      <c r="N456">
        <v>1.431</v>
      </c>
      <c r="O456">
        <v>1.2420599999999999</v>
      </c>
      <c r="P456">
        <v>1.278</v>
      </c>
      <c r="Q456">
        <v>1.3774900000000001</v>
      </c>
      <c r="R456">
        <v>1.5069999999999999</v>
      </c>
      <c r="S456">
        <v>1.1690699999999998</v>
      </c>
      <c r="T456">
        <v>1.34206</v>
      </c>
      <c r="U456">
        <v>1.304</v>
      </c>
    </row>
    <row r="457" spans="1:21">
      <c r="A457" s="91">
        <v>40259</v>
      </c>
      <c r="B457" s="86">
        <v>40259</v>
      </c>
      <c r="C457" s="93">
        <v>1.1123470522803101</v>
      </c>
      <c r="D457" s="85" t="s">
        <v>1044</v>
      </c>
      <c r="F457" s="91">
        <v>40259</v>
      </c>
      <c r="G457">
        <v>1.196</v>
      </c>
      <c r="H457">
        <v>1.4</v>
      </c>
      <c r="I457">
        <v>1.2419800000000001</v>
      </c>
      <c r="J457">
        <v>1.3879999999999999</v>
      </c>
      <c r="K457">
        <v>1.45557</v>
      </c>
      <c r="L457">
        <v>1.4230399999999999</v>
      </c>
      <c r="M457">
        <v>1.3608</v>
      </c>
      <c r="N457">
        <v>1.4279999999999999</v>
      </c>
      <c r="O457">
        <v>1.2455699999999998</v>
      </c>
      <c r="P457">
        <v>1.278</v>
      </c>
      <c r="Q457">
        <v>1.37649</v>
      </c>
      <c r="R457">
        <v>1.4970000000000001</v>
      </c>
      <c r="S457">
        <v>1.15855</v>
      </c>
      <c r="T457">
        <v>1.33422</v>
      </c>
      <c r="U457">
        <v>1.2969000000000002</v>
      </c>
    </row>
    <row r="458" spans="1:21">
      <c r="A458" s="91">
        <v>40252</v>
      </c>
      <c r="B458" s="86">
        <v>40252</v>
      </c>
      <c r="C458" s="93">
        <v>1.0982976386600798</v>
      </c>
      <c r="D458" s="85" t="s">
        <v>1466</v>
      </c>
      <c r="F458" s="91">
        <v>40252</v>
      </c>
      <c r="G458">
        <v>1.181</v>
      </c>
      <c r="H458">
        <v>1.417</v>
      </c>
      <c r="I458">
        <v>1.23299</v>
      </c>
      <c r="J458">
        <v>1.431</v>
      </c>
      <c r="K458">
        <v>1.4580599999999999</v>
      </c>
      <c r="L458">
        <v>1.367</v>
      </c>
      <c r="M458">
        <v>1.3532999999999999</v>
      </c>
      <c r="N458">
        <v>1.3939999999999999</v>
      </c>
      <c r="O458">
        <v>1.2507600000000001</v>
      </c>
      <c r="P458">
        <v>1.25</v>
      </c>
      <c r="Q458">
        <v>1.3631500000000001</v>
      </c>
      <c r="R458">
        <v>1.5049999999999999</v>
      </c>
      <c r="S458">
        <v>1.15618</v>
      </c>
      <c r="T458">
        <v>1.3258800000000002</v>
      </c>
      <c r="U458">
        <v>1.26807</v>
      </c>
    </row>
    <row r="459" spans="1:21">
      <c r="A459" s="91">
        <v>40245</v>
      </c>
      <c r="B459" s="86">
        <v>40245</v>
      </c>
      <c r="C459" s="93">
        <v>1.1081560283687899</v>
      </c>
      <c r="D459" s="85" t="s">
        <v>1467</v>
      </c>
      <c r="F459" s="91">
        <v>40245</v>
      </c>
      <c r="G459">
        <v>1.143</v>
      </c>
      <c r="H459">
        <v>1.345</v>
      </c>
      <c r="I459">
        <v>1.2135</v>
      </c>
      <c r="J459">
        <v>1.363</v>
      </c>
      <c r="K459">
        <v>1.4256900000000001</v>
      </c>
      <c r="L459">
        <v>1.3629599999999999</v>
      </c>
      <c r="M459">
        <v>1.3383</v>
      </c>
      <c r="N459">
        <v>1.369</v>
      </c>
      <c r="O459">
        <v>1.22343</v>
      </c>
      <c r="P459">
        <v>1.25</v>
      </c>
      <c r="Q459">
        <v>1.35243</v>
      </c>
      <c r="R459">
        <v>1.4890000000000001</v>
      </c>
      <c r="S459">
        <v>1.1356600000000001</v>
      </c>
      <c r="T459">
        <v>1.3306600000000002</v>
      </c>
      <c r="U459">
        <v>1.2601099999999998</v>
      </c>
    </row>
    <row r="460" spans="1:21">
      <c r="A460" s="91">
        <v>40238</v>
      </c>
      <c r="B460" s="86">
        <v>40238</v>
      </c>
      <c r="C460" s="93">
        <v>1.10290062865336</v>
      </c>
      <c r="D460" s="85" t="s">
        <v>1468</v>
      </c>
      <c r="F460" s="91">
        <v>40238</v>
      </c>
      <c r="G460">
        <v>1.1279999999999999</v>
      </c>
      <c r="H460">
        <v>1.3660000000000001</v>
      </c>
      <c r="I460">
        <v>1.1871400000000001</v>
      </c>
      <c r="J460">
        <v>1.3380000000000001</v>
      </c>
      <c r="K460">
        <v>1.4121199999999998</v>
      </c>
      <c r="L460">
        <v>1.3436199999999998</v>
      </c>
      <c r="M460">
        <v>1.3344</v>
      </c>
      <c r="N460">
        <v>1.272</v>
      </c>
      <c r="O460">
        <v>1.2051099999999999</v>
      </c>
      <c r="P460">
        <v>1.25</v>
      </c>
      <c r="Q460">
        <v>1.33318</v>
      </c>
      <c r="R460">
        <v>1.4670000000000001</v>
      </c>
      <c r="S460">
        <v>1.11941</v>
      </c>
      <c r="T460">
        <v>1.30877</v>
      </c>
      <c r="U460">
        <v>1.2398499999999999</v>
      </c>
    </row>
    <row r="461" spans="1:21">
      <c r="A461" s="91">
        <v>40231</v>
      </c>
      <c r="B461" s="86">
        <v>40231</v>
      </c>
      <c r="C461" s="93">
        <v>1.1367511651699398</v>
      </c>
      <c r="D461" s="85" t="s">
        <v>1469</v>
      </c>
      <c r="F461" s="91">
        <v>40231</v>
      </c>
      <c r="G461">
        <v>1.109</v>
      </c>
      <c r="H461">
        <v>1.347</v>
      </c>
      <c r="I461">
        <v>1.17953</v>
      </c>
      <c r="J461">
        <v>1.31125</v>
      </c>
      <c r="K461">
        <v>1.4146400000000001</v>
      </c>
      <c r="L461">
        <v>1.349</v>
      </c>
      <c r="M461">
        <v>1.3032999999999999</v>
      </c>
      <c r="N461">
        <v>1.252</v>
      </c>
      <c r="O461">
        <v>1.1817500000000001</v>
      </c>
      <c r="P461">
        <v>1.244</v>
      </c>
      <c r="Q461">
        <v>1.3110999999999999</v>
      </c>
      <c r="R461">
        <v>1.4630000000000001</v>
      </c>
      <c r="S461">
        <v>1.1079400000000001</v>
      </c>
      <c r="T461">
        <v>1.3028900000000001</v>
      </c>
      <c r="U461">
        <v>1.2682200000000001</v>
      </c>
    </row>
    <row r="462" spans="1:21">
      <c r="A462" s="91">
        <v>40224</v>
      </c>
      <c r="B462" s="86">
        <v>40224</v>
      </c>
      <c r="C462" s="93">
        <v>1.1526048870447199</v>
      </c>
      <c r="D462" s="85" t="s">
        <v>1470</v>
      </c>
      <c r="F462" s="91">
        <v>40224</v>
      </c>
      <c r="G462">
        <v>1.0900000000000001</v>
      </c>
      <c r="H462">
        <v>1.2969999999999999</v>
      </c>
      <c r="I462">
        <v>1.1712199999999999</v>
      </c>
      <c r="J462">
        <v>1.2989999999999999</v>
      </c>
      <c r="K462">
        <v>1.38506</v>
      </c>
      <c r="L462">
        <v>1.36893</v>
      </c>
      <c r="M462">
        <v>1.2966</v>
      </c>
      <c r="N462">
        <v>1.2430000000000001</v>
      </c>
      <c r="O462">
        <v>1.1754500000000001</v>
      </c>
      <c r="P462">
        <v>1.244</v>
      </c>
      <c r="Q462">
        <v>1.30698</v>
      </c>
      <c r="R462">
        <v>1.419</v>
      </c>
      <c r="S462">
        <v>1.0988499999999999</v>
      </c>
      <c r="T462">
        <v>1.2529699999999999</v>
      </c>
      <c r="U462">
        <v>1.2896800000000002</v>
      </c>
    </row>
    <row r="463" spans="1:21">
      <c r="A463" s="91">
        <v>40217</v>
      </c>
      <c r="B463" s="86">
        <v>40217</v>
      </c>
      <c r="C463" s="93">
        <v>1.1414222120762498</v>
      </c>
      <c r="D463" s="85" t="s">
        <v>1471</v>
      </c>
      <c r="F463" s="91">
        <v>40217</v>
      </c>
      <c r="G463">
        <v>1.111</v>
      </c>
      <c r="H463">
        <v>1.2829999999999999</v>
      </c>
      <c r="I463">
        <v>1.16608</v>
      </c>
      <c r="J463">
        <v>1.327</v>
      </c>
      <c r="K463">
        <v>1.3795999999999999</v>
      </c>
      <c r="L463">
        <v>1.36893</v>
      </c>
      <c r="M463">
        <v>1.304</v>
      </c>
      <c r="N463">
        <v>1.1100000000000001</v>
      </c>
      <c r="O463">
        <v>1.1537599999999999</v>
      </c>
      <c r="P463">
        <v>1.244</v>
      </c>
      <c r="Q463">
        <v>1.3208199999999999</v>
      </c>
      <c r="R463">
        <v>1.4350000000000001</v>
      </c>
      <c r="S463">
        <v>1.1053199999999999</v>
      </c>
      <c r="T463">
        <v>1.2291400000000001</v>
      </c>
      <c r="U463">
        <v>1.27782</v>
      </c>
    </row>
    <row r="464" spans="1:21">
      <c r="A464" s="91">
        <v>40210</v>
      </c>
      <c r="B464" s="86">
        <v>40210</v>
      </c>
      <c r="C464" s="93">
        <v>1.1430530948162498</v>
      </c>
      <c r="D464" s="85" t="s">
        <v>1472</v>
      </c>
      <c r="F464" s="91">
        <v>40210</v>
      </c>
      <c r="G464">
        <v>1.0920000000000001</v>
      </c>
      <c r="H464">
        <v>1.3049999999999999</v>
      </c>
      <c r="I464">
        <v>1.17587</v>
      </c>
      <c r="J464">
        <v>1.331</v>
      </c>
      <c r="K464">
        <v>1.3753499999999999</v>
      </c>
      <c r="L464">
        <v>1.3608499999999999</v>
      </c>
      <c r="M464">
        <v>1.2935999999999999</v>
      </c>
      <c r="N464">
        <v>1.109</v>
      </c>
      <c r="O464">
        <v>1.1645999999999999</v>
      </c>
      <c r="P464">
        <v>1.244</v>
      </c>
      <c r="Q464">
        <v>1.3126</v>
      </c>
      <c r="R464">
        <v>1.429</v>
      </c>
      <c r="S464">
        <v>1.09521</v>
      </c>
      <c r="T464">
        <v>1.23648</v>
      </c>
      <c r="U464">
        <v>1.2791400000000002</v>
      </c>
    </row>
    <row r="465" spans="1:21">
      <c r="A465" s="91">
        <v>40203</v>
      </c>
      <c r="B465" s="86">
        <v>40203</v>
      </c>
      <c r="C465" s="93">
        <v>1.1398609369656898</v>
      </c>
      <c r="D465" s="85" t="s">
        <v>1473</v>
      </c>
      <c r="F465" s="91">
        <v>40203</v>
      </c>
      <c r="G465">
        <v>1.113</v>
      </c>
      <c r="H465">
        <v>1.2929999999999999</v>
      </c>
      <c r="I465">
        <v>1.18435</v>
      </c>
      <c r="J465">
        <v>1.339</v>
      </c>
      <c r="K465">
        <v>1.39422</v>
      </c>
      <c r="L465">
        <v>1.36893</v>
      </c>
      <c r="M465">
        <v>1.2970999999999999</v>
      </c>
      <c r="N465">
        <v>1.109</v>
      </c>
      <c r="O465">
        <v>1.1655</v>
      </c>
      <c r="P465">
        <v>1.244</v>
      </c>
      <c r="Q465">
        <v>1.3138299999999998</v>
      </c>
      <c r="R465">
        <v>1.4370000000000001</v>
      </c>
      <c r="S465">
        <v>1.10019</v>
      </c>
      <c r="T465">
        <v>1.21577</v>
      </c>
      <c r="U465">
        <v>1.2751199999999998</v>
      </c>
    </row>
    <row r="466" spans="1:21">
      <c r="A466" s="91">
        <v>40196</v>
      </c>
      <c r="B466" s="86">
        <v>40196</v>
      </c>
      <c r="C466" s="93">
        <v>1.1370096645821499</v>
      </c>
      <c r="D466" s="85" t="s">
        <v>1474</v>
      </c>
      <c r="F466" s="91">
        <v>40196</v>
      </c>
      <c r="G466">
        <v>1.137</v>
      </c>
      <c r="H466">
        <v>1.325</v>
      </c>
      <c r="I466">
        <v>1.19773</v>
      </c>
      <c r="J466">
        <v>1.3460000000000001</v>
      </c>
      <c r="K466">
        <v>1.3894500000000001</v>
      </c>
      <c r="L466">
        <v>1.3671900000000001</v>
      </c>
      <c r="M466">
        <v>1.3072000000000001</v>
      </c>
      <c r="N466">
        <v>1.1140000000000001</v>
      </c>
      <c r="O466">
        <v>1.1880200000000001</v>
      </c>
      <c r="P466">
        <v>1.244</v>
      </c>
      <c r="Q466">
        <v>1.3159400000000001</v>
      </c>
      <c r="R466">
        <v>1.4370000000000001</v>
      </c>
      <c r="S466">
        <v>1.10429</v>
      </c>
      <c r="T466">
        <v>1.2330300000000001</v>
      </c>
      <c r="U466">
        <v>1.2689300000000001</v>
      </c>
    </row>
    <row r="467" spans="1:21">
      <c r="A467" s="91">
        <v>40189</v>
      </c>
      <c r="B467" s="86">
        <v>40189</v>
      </c>
      <c r="C467" s="93">
        <v>1.1124707976415598</v>
      </c>
      <c r="D467" s="85" t="s">
        <v>1475</v>
      </c>
      <c r="F467" s="91">
        <v>40189</v>
      </c>
      <c r="G467">
        <v>1.1419999999999999</v>
      </c>
      <c r="H467">
        <v>1.3340000000000001</v>
      </c>
      <c r="I467">
        <v>1.1587100000000001</v>
      </c>
      <c r="J467">
        <v>1.397</v>
      </c>
      <c r="K467">
        <v>1.4070499999999999</v>
      </c>
      <c r="L467">
        <v>1.3806500000000002</v>
      </c>
      <c r="M467">
        <v>1.3034000000000001</v>
      </c>
      <c r="N467">
        <v>1.1000000000000001</v>
      </c>
      <c r="O467">
        <v>1.1931500000000002</v>
      </c>
      <c r="P467">
        <v>1.19</v>
      </c>
      <c r="Q467">
        <v>1.3107599999999999</v>
      </c>
      <c r="R467">
        <v>1.45</v>
      </c>
      <c r="S467">
        <v>1.10853</v>
      </c>
      <c r="T467">
        <v>1.2441800000000001</v>
      </c>
      <c r="U467">
        <v>1.2317499999999999</v>
      </c>
    </row>
    <row r="468" spans="1:21" ht="15.75" thickBot="1">
      <c r="A468" s="92">
        <v>40182</v>
      </c>
      <c r="B468" s="86">
        <v>40182</v>
      </c>
      <c r="C468" s="93">
        <v>1.12183082791115</v>
      </c>
      <c r="D468" s="85" t="s">
        <v>1476</v>
      </c>
      <c r="F468" s="92">
        <v>40182</v>
      </c>
      <c r="G468">
        <v>1.0980000000000001</v>
      </c>
      <c r="H468">
        <v>1.2729999999999999</v>
      </c>
      <c r="I468">
        <v>1.12635</v>
      </c>
      <c r="J468">
        <v>1.3140000000000001</v>
      </c>
      <c r="K468">
        <v>1.3747199999999999</v>
      </c>
      <c r="L468">
        <v>1.3581099999999999</v>
      </c>
      <c r="M468">
        <v>1.2528900000000001</v>
      </c>
      <c r="N468">
        <v>1.0760000000000001</v>
      </c>
      <c r="O468">
        <v>1.1659300000000001</v>
      </c>
      <c r="P468">
        <v>1.19</v>
      </c>
      <c r="Q468">
        <v>1.2939700000000001</v>
      </c>
      <c r="R468">
        <v>1.4370000000000001</v>
      </c>
      <c r="S468">
        <v>1.0898099999999999</v>
      </c>
      <c r="T468">
        <v>1.23516</v>
      </c>
      <c r="U468">
        <v>1.22661</v>
      </c>
    </row>
    <row r="469" spans="1:21">
      <c r="A469" s="91">
        <v>40168</v>
      </c>
      <c r="B469" s="86">
        <v>40168</v>
      </c>
      <c r="C469" s="93">
        <v>1.1213276519399</v>
      </c>
      <c r="D469" s="85" t="s">
        <v>1074</v>
      </c>
      <c r="F469" s="91">
        <v>40168</v>
      </c>
      <c r="G469">
        <v>1.0940000000000001</v>
      </c>
      <c r="H469">
        <v>1.256</v>
      </c>
      <c r="I469">
        <v>1.0799700000000001</v>
      </c>
      <c r="J469">
        <v>1.2889999999999999</v>
      </c>
      <c r="K469">
        <v>1.3196300000000001</v>
      </c>
      <c r="L469">
        <v>1.3215299999999999</v>
      </c>
      <c r="M469">
        <v>1.2481</v>
      </c>
      <c r="N469">
        <v>1.0640000000000001</v>
      </c>
      <c r="O469">
        <v>1.0746300000000002</v>
      </c>
      <c r="P469">
        <v>1.19</v>
      </c>
      <c r="Q469">
        <v>1.2639800000000001</v>
      </c>
      <c r="R469">
        <v>1.3779999999999999</v>
      </c>
      <c r="S469">
        <v>1.05287</v>
      </c>
      <c r="T469">
        <v>1.1563399999999999</v>
      </c>
      <c r="U469">
        <v>1.20505</v>
      </c>
    </row>
    <row r="470" spans="1:21">
      <c r="A470" s="91">
        <v>40161</v>
      </c>
      <c r="B470" s="86">
        <v>40161</v>
      </c>
      <c r="C470" s="93">
        <v>1.1103708638685299</v>
      </c>
      <c r="D470" s="85" t="s">
        <v>1477</v>
      </c>
      <c r="F470" s="91">
        <v>40161</v>
      </c>
      <c r="G470">
        <v>1.0980000000000001</v>
      </c>
      <c r="H470">
        <v>1.274</v>
      </c>
      <c r="I470">
        <v>1.1062799999999999</v>
      </c>
      <c r="J470">
        <v>1.28</v>
      </c>
      <c r="K470">
        <v>1.31423</v>
      </c>
      <c r="L470">
        <v>1.3178299999999998</v>
      </c>
      <c r="M470">
        <v>1.2572000000000001</v>
      </c>
      <c r="N470">
        <v>1.0740000000000001</v>
      </c>
      <c r="O470">
        <v>1.093</v>
      </c>
      <c r="P470">
        <v>1.181</v>
      </c>
      <c r="Q470">
        <v>1.2703100000000001</v>
      </c>
      <c r="R470">
        <v>1.3819999999999999</v>
      </c>
      <c r="S470">
        <v>1.0605799999999999</v>
      </c>
      <c r="T470">
        <v>1.1484799999999999</v>
      </c>
      <c r="U470">
        <v>1.20472</v>
      </c>
    </row>
    <row r="471" spans="1:21">
      <c r="A471" s="91">
        <v>40154</v>
      </c>
      <c r="B471" s="86">
        <v>40154</v>
      </c>
      <c r="C471" s="93">
        <v>1.1049113308656999</v>
      </c>
      <c r="D471" s="85" t="s">
        <v>1478</v>
      </c>
      <c r="F471" s="91">
        <v>40154</v>
      </c>
      <c r="G471">
        <v>1.1200000000000001</v>
      </c>
      <c r="H471">
        <v>1.286</v>
      </c>
      <c r="I471">
        <v>1.1107799999999999</v>
      </c>
      <c r="J471">
        <v>1.3140000000000001</v>
      </c>
      <c r="K471">
        <v>1.3424500000000001</v>
      </c>
      <c r="L471">
        <v>1.337</v>
      </c>
      <c r="M471">
        <v>1.2615999999999998</v>
      </c>
      <c r="N471">
        <v>1.0740000000000001</v>
      </c>
      <c r="O471">
        <v>1.10429</v>
      </c>
      <c r="P471">
        <v>1.181</v>
      </c>
      <c r="Q471">
        <v>1.2810699999999999</v>
      </c>
      <c r="R471">
        <v>1.397</v>
      </c>
      <c r="S471">
        <v>1.06955</v>
      </c>
      <c r="T471">
        <v>1.17347</v>
      </c>
      <c r="U471">
        <v>1.20034</v>
      </c>
    </row>
    <row r="472" spans="1:21">
      <c r="A472" s="91">
        <v>40147</v>
      </c>
      <c r="B472" s="86">
        <v>40147</v>
      </c>
      <c r="C472" s="93">
        <v>1.0970325270144301</v>
      </c>
      <c r="D472" s="85" t="s">
        <v>1479</v>
      </c>
      <c r="F472" s="91">
        <v>40147</v>
      </c>
      <c r="G472">
        <v>1.1100000000000001</v>
      </c>
      <c r="H472">
        <v>1.29</v>
      </c>
      <c r="I472">
        <v>1.09883</v>
      </c>
      <c r="J472">
        <v>1.2969999999999999</v>
      </c>
      <c r="K472">
        <v>1.3396199999999998</v>
      </c>
      <c r="L472">
        <v>1.337</v>
      </c>
      <c r="M472">
        <v>1.2572000000000001</v>
      </c>
      <c r="N472">
        <v>1.079</v>
      </c>
      <c r="O472">
        <v>1.0898800000000002</v>
      </c>
      <c r="P472">
        <v>1.181</v>
      </c>
      <c r="Q472">
        <v>1.28129</v>
      </c>
      <c r="R472">
        <v>1.395</v>
      </c>
      <c r="S472">
        <v>1.0659799999999999</v>
      </c>
      <c r="T472">
        <v>1.17571</v>
      </c>
      <c r="U472">
        <v>1.1934800000000001</v>
      </c>
    </row>
    <row r="473" spans="1:21">
      <c r="A473" s="91">
        <v>40140</v>
      </c>
      <c r="B473" s="86">
        <v>40140</v>
      </c>
      <c r="C473" s="93">
        <v>1.1101859561476499</v>
      </c>
      <c r="D473" s="85" t="s">
        <v>1480</v>
      </c>
      <c r="F473" s="91">
        <v>40140</v>
      </c>
      <c r="G473">
        <v>1.1200000000000001</v>
      </c>
      <c r="H473">
        <v>1.256</v>
      </c>
      <c r="I473">
        <v>1.1057900000000001</v>
      </c>
      <c r="J473">
        <v>1.3169999999999999</v>
      </c>
      <c r="K473">
        <v>1.3491900000000001</v>
      </c>
      <c r="L473">
        <v>1.3449</v>
      </c>
      <c r="M473">
        <v>1.2664000000000002</v>
      </c>
      <c r="N473">
        <v>1.0760000000000001</v>
      </c>
      <c r="O473">
        <v>1.1166500000000001</v>
      </c>
      <c r="P473">
        <v>1.163</v>
      </c>
      <c r="Q473">
        <v>1.28877</v>
      </c>
      <c r="R473">
        <v>1.3979999999999999</v>
      </c>
      <c r="S473">
        <v>1.0727200000000001</v>
      </c>
      <c r="T473">
        <v>1.1933800000000001</v>
      </c>
      <c r="U473">
        <v>1.2071400000000001</v>
      </c>
    </row>
    <row r="474" spans="1:21">
      <c r="A474" s="91">
        <v>40133</v>
      </c>
      <c r="B474" s="86">
        <v>40133</v>
      </c>
      <c r="C474" s="93">
        <v>1.11750572721685</v>
      </c>
      <c r="D474" s="85" t="s">
        <v>1481</v>
      </c>
      <c r="F474" s="91">
        <v>40133</v>
      </c>
      <c r="G474">
        <v>1.111</v>
      </c>
      <c r="H474">
        <v>1.2829999999999999</v>
      </c>
      <c r="I474">
        <v>1.12415</v>
      </c>
      <c r="J474">
        <v>1.31</v>
      </c>
      <c r="K474">
        <v>1.3358800000000002</v>
      </c>
      <c r="L474">
        <v>1.298</v>
      </c>
      <c r="M474">
        <v>1.2647999999999999</v>
      </c>
      <c r="N474">
        <v>1.0840000000000001</v>
      </c>
      <c r="O474">
        <v>1.1284400000000001</v>
      </c>
      <c r="P474">
        <v>1.163</v>
      </c>
      <c r="Q474">
        <v>1.2826099999999998</v>
      </c>
      <c r="R474">
        <v>1.3979999999999999</v>
      </c>
      <c r="S474">
        <v>1.07073</v>
      </c>
      <c r="T474">
        <v>1.1908599999999998</v>
      </c>
      <c r="U474">
        <v>1.21231</v>
      </c>
    </row>
    <row r="475" spans="1:21">
      <c r="A475" s="91">
        <v>40126</v>
      </c>
      <c r="B475" s="86">
        <v>40126</v>
      </c>
      <c r="C475" s="93">
        <v>1.1190063223857198</v>
      </c>
      <c r="D475" s="85" t="s">
        <v>1482</v>
      </c>
      <c r="F475" s="91">
        <v>40126</v>
      </c>
      <c r="G475">
        <v>1.117</v>
      </c>
      <c r="H475">
        <v>1.2709999999999999</v>
      </c>
      <c r="I475">
        <v>1.12358</v>
      </c>
      <c r="J475">
        <v>1.32</v>
      </c>
      <c r="K475">
        <v>1.3492299999999999</v>
      </c>
      <c r="L475">
        <v>1.3158299999999998</v>
      </c>
      <c r="M475">
        <v>1.2721</v>
      </c>
      <c r="N475">
        <v>1.087</v>
      </c>
      <c r="O475">
        <v>1.1061300000000001</v>
      </c>
      <c r="P475">
        <v>1.163</v>
      </c>
      <c r="Q475">
        <v>1.29308</v>
      </c>
      <c r="R475">
        <v>1.405</v>
      </c>
      <c r="S475">
        <v>1.0791500000000001</v>
      </c>
      <c r="T475">
        <v>1.1912</v>
      </c>
      <c r="U475">
        <v>1.2096500000000001</v>
      </c>
    </row>
    <row r="476" spans="1:21">
      <c r="A476" s="91">
        <v>40119</v>
      </c>
      <c r="B476" s="86">
        <v>40119</v>
      </c>
      <c r="C476" s="93">
        <v>1.10705192073508</v>
      </c>
      <c r="D476" s="85" t="s">
        <v>1483</v>
      </c>
      <c r="F476" s="91">
        <v>40119</v>
      </c>
      <c r="G476">
        <v>1.1060000000000001</v>
      </c>
      <c r="H476">
        <v>1.2589999999999999</v>
      </c>
      <c r="I476">
        <v>1.0758800000000002</v>
      </c>
      <c r="J476">
        <v>1.337</v>
      </c>
      <c r="K476">
        <v>1.35843</v>
      </c>
      <c r="L476">
        <v>1.3270999999999999</v>
      </c>
      <c r="M476">
        <v>1.2646999999999999</v>
      </c>
      <c r="N476">
        <v>1.0820000000000001</v>
      </c>
      <c r="O476">
        <v>1.0803699999999998</v>
      </c>
      <c r="P476">
        <v>1.1839999999999999</v>
      </c>
      <c r="Q476">
        <v>1.29488</v>
      </c>
      <c r="R476">
        <v>1.407</v>
      </c>
      <c r="S476">
        <v>1.0809000000000002</v>
      </c>
      <c r="T476">
        <v>1.20844</v>
      </c>
      <c r="U476">
        <v>1.1893199999999999</v>
      </c>
    </row>
    <row r="477" spans="1:21">
      <c r="A477" s="91">
        <v>40112</v>
      </c>
      <c r="B477" s="86">
        <v>40112</v>
      </c>
      <c r="C477" s="93">
        <v>1.0876658690450298</v>
      </c>
      <c r="D477" s="85" t="s">
        <v>1484</v>
      </c>
      <c r="F477" s="91">
        <v>40112</v>
      </c>
      <c r="G477">
        <v>1.101</v>
      </c>
      <c r="H477">
        <v>1.2589999999999999</v>
      </c>
      <c r="I477">
        <v>1.07924</v>
      </c>
      <c r="J477">
        <v>1.3069999999999999</v>
      </c>
      <c r="K477">
        <v>1.3407899999999999</v>
      </c>
      <c r="L477">
        <v>1.3146500000000001</v>
      </c>
      <c r="M477">
        <v>1.2569999999999999</v>
      </c>
      <c r="N477">
        <v>1.0680000000000001</v>
      </c>
      <c r="O477">
        <v>1.0981400000000001</v>
      </c>
      <c r="P477">
        <v>1.1839999999999999</v>
      </c>
      <c r="Q477">
        <v>1.28654</v>
      </c>
      <c r="R477">
        <v>1.3979999999999999</v>
      </c>
      <c r="S477">
        <v>1.0690200000000001</v>
      </c>
      <c r="T477">
        <v>1.21275</v>
      </c>
      <c r="U477">
        <v>1.1611500000000001</v>
      </c>
    </row>
    <row r="478" spans="1:21">
      <c r="A478" s="91">
        <v>40105</v>
      </c>
      <c r="B478" s="86">
        <v>40105</v>
      </c>
      <c r="C478" s="93">
        <v>1.09373291042327</v>
      </c>
      <c r="D478" s="85" t="s">
        <v>1485</v>
      </c>
      <c r="F478" s="91">
        <v>40105</v>
      </c>
      <c r="G478">
        <v>1.0720000000000001</v>
      </c>
      <c r="H478">
        <v>1.2250000000000001</v>
      </c>
      <c r="I478">
        <v>1.0637999999999999</v>
      </c>
      <c r="J478">
        <v>1.302</v>
      </c>
      <c r="K478">
        <v>1.32595</v>
      </c>
      <c r="L478">
        <v>1.3127800000000001</v>
      </c>
      <c r="M478">
        <v>1.2292000000000001</v>
      </c>
      <c r="N478">
        <v>1.042</v>
      </c>
      <c r="O478">
        <v>1.0821700000000001</v>
      </c>
      <c r="P478">
        <v>1.1839999999999999</v>
      </c>
      <c r="Q478">
        <v>1.2644600000000001</v>
      </c>
      <c r="R478">
        <v>1.379</v>
      </c>
      <c r="S478">
        <v>1.0553299999999999</v>
      </c>
      <c r="T478">
        <v>1.18198</v>
      </c>
      <c r="U478">
        <v>1.14934</v>
      </c>
    </row>
    <row r="479" spans="1:21">
      <c r="A479" s="91">
        <v>40098</v>
      </c>
      <c r="B479" s="86">
        <v>40098</v>
      </c>
      <c r="C479" s="93">
        <v>1.0714668381013601</v>
      </c>
      <c r="D479" s="85" t="s">
        <v>1486</v>
      </c>
      <c r="F479" s="91">
        <v>40098</v>
      </c>
      <c r="G479">
        <v>1.048</v>
      </c>
      <c r="H479">
        <v>1.2390000000000001</v>
      </c>
      <c r="I479">
        <v>1.06351</v>
      </c>
      <c r="J479">
        <v>1.2649999999999999</v>
      </c>
      <c r="K479">
        <v>1.2922799999999999</v>
      </c>
      <c r="L479">
        <v>1.2895699999999999</v>
      </c>
      <c r="M479">
        <v>1.2181999999999999</v>
      </c>
      <c r="N479">
        <v>1.0389999999999999</v>
      </c>
      <c r="O479">
        <v>1.0701400000000001</v>
      </c>
      <c r="P479">
        <v>1.1839999999999999</v>
      </c>
      <c r="Q479">
        <v>1.25118</v>
      </c>
      <c r="R479">
        <v>1.355</v>
      </c>
      <c r="S479">
        <v>1.0379200000000002</v>
      </c>
      <c r="T479">
        <v>1.1497599999999999</v>
      </c>
      <c r="U479">
        <v>1.1219700000000001</v>
      </c>
    </row>
    <row r="480" spans="1:21">
      <c r="A480" s="91">
        <v>40091</v>
      </c>
      <c r="B480" s="86">
        <v>40091</v>
      </c>
      <c r="C480" s="93">
        <v>1.09039363210119</v>
      </c>
      <c r="D480" s="85" t="s">
        <v>1487</v>
      </c>
      <c r="F480" s="91">
        <v>40091</v>
      </c>
      <c r="G480">
        <v>1.046</v>
      </c>
      <c r="H480">
        <v>1.254</v>
      </c>
      <c r="I480">
        <v>1.0865199999999999</v>
      </c>
      <c r="J480">
        <v>1.3120000000000001</v>
      </c>
      <c r="K480">
        <v>1.29495</v>
      </c>
      <c r="L480">
        <v>1.2919200000000002</v>
      </c>
      <c r="M480">
        <v>1.21</v>
      </c>
      <c r="N480">
        <v>1.04</v>
      </c>
      <c r="O480">
        <v>1.0796600000000001</v>
      </c>
      <c r="P480">
        <v>1.1839999999999999</v>
      </c>
      <c r="Q480">
        <v>1.2363900000000001</v>
      </c>
      <c r="R480">
        <v>1.347</v>
      </c>
      <c r="S480">
        <v>1.0278399999999999</v>
      </c>
      <c r="T480">
        <v>1.1491800000000001</v>
      </c>
      <c r="U480">
        <v>1.1434600000000001</v>
      </c>
    </row>
    <row r="481" spans="1:21">
      <c r="A481" s="91">
        <v>40084</v>
      </c>
      <c r="B481" s="86">
        <v>40084</v>
      </c>
      <c r="C481" s="93">
        <v>1.0838346068389999</v>
      </c>
      <c r="D481" s="85" t="s">
        <v>1488</v>
      </c>
      <c r="F481" s="91">
        <v>40084</v>
      </c>
      <c r="G481">
        <v>1.0669999999999999</v>
      </c>
      <c r="H481">
        <v>1.2088299999999998</v>
      </c>
      <c r="I481">
        <v>1.1061700000000001</v>
      </c>
      <c r="J481">
        <v>1.2695000000000001</v>
      </c>
      <c r="K481">
        <v>1.2710999999999999</v>
      </c>
      <c r="L481">
        <v>1.2705599999999999</v>
      </c>
      <c r="M481">
        <v>1.2290000000000001</v>
      </c>
      <c r="N481">
        <v>1.056</v>
      </c>
      <c r="O481">
        <v>1.09914</v>
      </c>
      <c r="P481">
        <v>1.1839999999999999</v>
      </c>
      <c r="Q481">
        <v>1.2410000000000001</v>
      </c>
      <c r="R481">
        <v>1.335</v>
      </c>
      <c r="S481">
        <v>1.0324500000000001</v>
      </c>
      <c r="T481">
        <v>1.1281099999999999</v>
      </c>
      <c r="U481">
        <v>1.14276</v>
      </c>
    </row>
    <row r="482" spans="1:21">
      <c r="A482" s="91">
        <v>40077</v>
      </c>
      <c r="B482" s="86">
        <v>40077</v>
      </c>
      <c r="C482" s="93">
        <v>1.10302228105008</v>
      </c>
      <c r="D482" s="85" t="s">
        <v>1489</v>
      </c>
      <c r="F482" s="91">
        <v>40077</v>
      </c>
      <c r="G482">
        <v>1.077</v>
      </c>
      <c r="H482">
        <v>1.26525</v>
      </c>
      <c r="I482">
        <v>1.1230599999999999</v>
      </c>
      <c r="J482">
        <v>1.2882499999999999</v>
      </c>
      <c r="K482">
        <v>1.3075699999999999</v>
      </c>
      <c r="L482">
        <v>1.3386600000000002</v>
      </c>
      <c r="M482">
        <v>1.2294</v>
      </c>
      <c r="N482">
        <v>1.0640000000000001</v>
      </c>
      <c r="O482">
        <v>1.0879100000000002</v>
      </c>
      <c r="P482">
        <v>1.1839999999999999</v>
      </c>
      <c r="Q482">
        <v>1.26719</v>
      </c>
      <c r="R482">
        <v>1.3680000000000001</v>
      </c>
      <c r="S482">
        <v>1.05223</v>
      </c>
      <c r="T482">
        <v>1.1815799999999999</v>
      </c>
      <c r="U482">
        <v>1.16872</v>
      </c>
    </row>
    <row r="483" spans="1:21">
      <c r="A483" s="91">
        <v>40070</v>
      </c>
      <c r="B483" s="86">
        <v>40070</v>
      </c>
      <c r="C483" s="93">
        <v>1.1376564277588199</v>
      </c>
      <c r="D483" s="85" t="s">
        <v>1490</v>
      </c>
      <c r="F483" s="91">
        <v>40070</v>
      </c>
      <c r="G483">
        <v>1.091</v>
      </c>
      <c r="H483">
        <v>1.2949999999999999</v>
      </c>
      <c r="I483">
        <v>1.1230799999999999</v>
      </c>
      <c r="J483">
        <v>1.3069999999999999</v>
      </c>
      <c r="K483">
        <v>1.3045100000000001</v>
      </c>
      <c r="L483">
        <v>1.3179700000000001</v>
      </c>
      <c r="M483">
        <v>1.2414000000000001</v>
      </c>
      <c r="N483">
        <v>1.075</v>
      </c>
      <c r="O483">
        <v>1.0805199999999999</v>
      </c>
      <c r="P483">
        <v>1.171</v>
      </c>
      <c r="Q483">
        <v>1.2700400000000001</v>
      </c>
      <c r="R483">
        <v>1.361</v>
      </c>
      <c r="S483">
        <v>1.0547299999999999</v>
      </c>
      <c r="T483">
        <v>1.16344</v>
      </c>
      <c r="U483">
        <v>1.2108299999999999</v>
      </c>
    </row>
    <row r="484" spans="1:21">
      <c r="A484" s="91">
        <v>40063</v>
      </c>
      <c r="B484" s="86">
        <v>40063</v>
      </c>
      <c r="C484" s="93">
        <v>1.1448196908986801</v>
      </c>
      <c r="D484" s="85" t="s">
        <v>1491</v>
      </c>
      <c r="F484" s="91">
        <v>40063</v>
      </c>
      <c r="G484">
        <v>1.0960000000000001</v>
      </c>
      <c r="H484">
        <v>1.3180000000000001</v>
      </c>
      <c r="I484">
        <v>1.1304100000000001</v>
      </c>
      <c r="J484">
        <v>1.3220000000000001</v>
      </c>
      <c r="K484">
        <v>1.3192699999999999</v>
      </c>
      <c r="L484">
        <v>1.32874</v>
      </c>
      <c r="M484">
        <v>1.2549999999999999</v>
      </c>
      <c r="N484">
        <v>1.089</v>
      </c>
      <c r="O484">
        <v>1.1035899999999998</v>
      </c>
      <c r="P484">
        <v>1.171</v>
      </c>
      <c r="Q484">
        <v>1.2720499999999999</v>
      </c>
      <c r="R484">
        <v>1.3720000000000001</v>
      </c>
      <c r="S484">
        <v>1.0662</v>
      </c>
      <c r="T484">
        <v>1.19072</v>
      </c>
      <c r="U484">
        <v>1.2232400000000001</v>
      </c>
    </row>
    <row r="485" spans="1:21">
      <c r="A485" s="91">
        <v>40056</v>
      </c>
      <c r="B485" s="86">
        <v>40056</v>
      </c>
      <c r="C485" s="93">
        <v>1.1346230215011099</v>
      </c>
      <c r="D485" s="85" t="s">
        <v>1492</v>
      </c>
      <c r="F485" s="91">
        <v>40056</v>
      </c>
      <c r="G485">
        <v>1.109</v>
      </c>
      <c r="H485">
        <v>1.321</v>
      </c>
      <c r="I485">
        <v>1.1414300000000002</v>
      </c>
      <c r="J485">
        <v>1.3080000000000001</v>
      </c>
      <c r="K485">
        <v>1.32203</v>
      </c>
      <c r="L485">
        <v>1.33328</v>
      </c>
      <c r="M485">
        <v>1.2645999999999999</v>
      </c>
      <c r="N485">
        <v>1.1020000000000001</v>
      </c>
      <c r="O485">
        <v>1.1198900000000001</v>
      </c>
      <c r="P485">
        <v>1.171</v>
      </c>
      <c r="Q485">
        <v>1.2920699999999998</v>
      </c>
      <c r="R485">
        <v>1.393</v>
      </c>
      <c r="S485">
        <v>1.0773699999999999</v>
      </c>
      <c r="T485">
        <v>1.1977599999999999</v>
      </c>
      <c r="U485">
        <v>1.1925999999999999</v>
      </c>
    </row>
    <row r="486" spans="1:21">
      <c r="A486" s="91">
        <v>40049</v>
      </c>
      <c r="B486" s="86">
        <v>40049</v>
      </c>
      <c r="C486" s="93">
        <v>1.1518083390923799</v>
      </c>
      <c r="D486" s="85" t="s">
        <v>1493</v>
      </c>
      <c r="F486" s="91">
        <v>40049</v>
      </c>
      <c r="G486">
        <v>1.1160000000000001</v>
      </c>
      <c r="H486">
        <v>1.3360000000000001</v>
      </c>
      <c r="I486">
        <v>1.1448499999999999</v>
      </c>
      <c r="J486">
        <v>1.3325</v>
      </c>
      <c r="K486">
        <v>1.3475599999999999</v>
      </c>
      <c r="L486">
        <v>1.3588399999999998</v>
      </c>
      <c r="M486">
        <v>1.2729999999999999</v>
      </c>
      <c r="N486">
        <v>1.1080000000000001</v>
      </c>
      <c r="O486">
        <v>1.1357899999999999</v>
      </c>
      <c r="P486">
        <v>1.171</v>
      </c>
      <c r="Q486">
        <v>1.2962799999999999</v>
      </c>
      <c r="R486">
        <v>1.405</v>
      </c>
      <c r="S486">
        <v>1.0917699999999999</v>
      </c>
      <c r="T486">
        <v>1.22123</v>
      </c>
      <c r="U486">
        <v>1.2059300000000002</v>
      </c>
    </row>
    <row r="487" spans="1:21">
      <c r="A487" s="91">
        <v>40042</v>
      </c>
      <c r="B487" s="86">
        <v>40042</v>
      </c>
      <c r="C487" s="93">
        <v>1.15888283694518</v>
      </c>
      <c r="D487" s="85" t="s">
        <v>1477</v>
      </c>
      <c r="F487" s="91">
        <v>40042</v>
      </c>
      <c r="G487">
        <v>1.123</v>
      </c>
      <c r="H487">
        <v>1.363</v>
      </c>
      <c r="I487">
        <v>1.13744</v>
      </c>
      <c r="J487">
        <v>1.351</v>
      </c>
      <c r="K487">
        <v>1.35555</v>
      </c>
      <c r="L487">
        <v>1.3884100000000001</v>
      </c>
      <c r="M487">
        <v>1.2778</v>
      </c>
      <c r="N487">
        <v>1.111</v>
      </c>
      <c r="O487">
        <v>1.1116400000000002</v>
      </c>
      <c r="P487">
        <v>1.181</v>
      </c>
      <c r="Q487">
        <v>1.3039000000000001</v>
      </c>
      <c r="R487">
        <v>1.41</v>
      </c>
      <c r="S487">
        <v>1.0988</v>
      </c>
      <c r="T487">
        <v>1.19946</v>
      </c>
      <c r="U487">
        <v>1.20472</v>
      </c>
    </row>
    <row r="488" spans="1:21">
      <c r="A488" s="91">
        <v>40035</v>
      </c>
      <c r="B488" s="86">
        <v>40035</v>
      </c>
      <c r="C488" s="93">
        <v>1.17157752914299</v>
      </c>
      <c r="D488" s="85" t="s">
        <v>1494</v>
      </c>
      <c r="F488" s="91">
        <v>40035</v>
      </c>
      <c r="G488">
        <v>1.113</v>
      </c>
      <c r="H488">
        <v>1.3160000000000001</v>
      </c>
      <c r="I488">
        <v>1.11286</v>
      </c>
      <c r="J488">
        <v>1.319</v>
      </c>
      <c r="K488">
        <v>1.3539300000000001</v>
      </c>
      <c r="L488">
        <v>1.3911</v>
      </c>
      <c r="M488">
        <v>1.2774000000000001</v>
      </c>
      <c r="N488">
        <v>1.099</v>
      </c>
      <c r="O488">
        <v>1.1125399999999999</v>
      </c>
      <c r="P488">
        <v>1.181</v>
      </c>
      <c r="Q488">
        <v>1.3074400000000002</v>
      </c>
      <c r="R488">
        <v>1.425</v>
      </c>
      <c r="S488">
        <v>1.09903</v>
      </c>
      <c r="T488">
        <v>1.22786</v>
      </c>
      <c r="U488">
        <v>1.2068699999999999</v>
      </c>
    </row>
    <row r="489" spans="1:21">
      <c r="A489" s="91">
        <v>40028</v>
      </c>
      <c r="B489" s="86">
        <v>40028</v>
      </c>
      <c r="C489" s="93">
        <v>1.1775788977861501</v>
      </c>
      <c r="D489" s="85" t="s">
        <v>1495</v>
      </c>
      <c r="F489" s="91">
        <v>40028</v>
      </c>
      <c r="G489">
        <v>1.0840000000000001</v>
      </c>
      <c r="H489">
        <v>1.32</v>
      </c>
      <c r="I489">
        <v>1.1112299999999999</v>
      </c>
      <c r="J489">
        <v>1.337</v>
      </c>
      <c r="K489">
        <v>1.3405100000000001</v>
      </c>
      <c r="L489">
        <v>1.3793299999999999</v>
      </c>
      <c r="M489">
        <v>1.2389000000000001</v>
      </c>
      <c r="N489">
        <v>1.073</v>
      </c>
      <c r="O489">
        <v>1.1137999999999999</v>
      </c>
      <c r="P489">
        <v>1.181</v>
      </c>
      <c r="Q489">
        <v>1.28003</v>
      </c>
      <c r="R489">
        <v>1.393</v>
      </c>
      <c r="S489">
        <v>1.0726300000000002</v>
      </c>
      <c r="T489">
        <v>1.2176800000000001</v>
      </c>
      <c r="U489">
        <v>1.2053099999999999</v>
      </c>
    </row>
    <row r="490" spans="1:21">
      <c r="A490" s="91">
        <v>40021</v>
      </c>
      <c r="B490" s="86">
        <v>40021</v>
      </c>
      <c r="C490" s="93">
        <v>1.15566855425864</v>
      </c>
      <c r="D490" s="85" t="s">
        <v>1496</v>
      </c>
      <c r="F490" s="91">
        <v>40021</v>
      </c>
      <c r="G490">
        <v>1.077</v>
      </c>
      <c r="H490">
        <v>1.3009999999999999</v>
      </c>
      <c r="I490">
        <v>1.10754</v>
      </c>
      <c r="J490">
        <v>1.2887500000000001</v>
      </c>
      <c r="K490">
        <v>1.3297699999999999</v>
      </c>
      <c r="L490">
        <v>1.3709200000000001</v>
      </c>
      <c r="M490">
        <v>1.2309000000000001</v>
      </c>
      <c r="N490">
        <v>1.05</v>
      </c>
      <c r="O490">
        <v>1.0889800000000001</v>
      </c>
      <c r="P490">
        <v>1.181</v>
      </c>
      <c r="Q490">
        <v>1.2794000000000001</v>
      </c>
      <c r="R490">
        <v>1.3859999999999999</v>
      </c>
      <c r="S490">
        <v>1.04711</v>
      </c>
      <c r="T490">
        <v>1.1817800000000001</v>
      </c>
      <c r="U490">
        <v>1.18079</v>
      </c>
    </row>
    <row r="491" spans="1:21">
      <c r="A491" s="91">
        <v>40014</v>
      </c>
      <c r="B491" s="86">
        <v>40014</v>
      </c>
      <c r="C491" s="93">
        <v>1.1626555051738199</v>
      </c>
      <c r="D491" s="85" t="s">
        <v>1497</v>
      </c>
      <c r="F491" s="91">
        <v>40014</v>
      </c>
      <c r="G491">
        <v>1.0629999999999999</v>
      </c>
      <c r="H491">
        <v>1.2184999999999999</v>
      </c>
      <c r="I491">
        <v>1.105</v>
      </c>
      <c r="J491">
        <v>1.2649999999999999</v>
      </c>
      <c r="K491">
        <v>1.29193</v>
      </c>
      <c r="L491">
        <v>1.343</v>
      </c>
      <c r="M491">
        <v>1.2222</v>
      </c>
      <c r="N491">
        <v>1.048</v>
      </c>
      <c r="O491">
        <v>1.0690899999999999</v>
      </c>
      <c r="P491">
        <v>1.147</v>
      </c>
      <c r="Q491">
        <v>1.25129</v>
      </c>
      <c r="R491">
        <v>1.345</v>
      </c>
      <c r="S491">
        <v>1.03488</v>
      </c>
      <c r="T491">
        <v>1.11249</v>
      </c>
      <c r="U491">
        <v>1.18845</v>
      </c>
    </row>
    <row r="492" spans="1:21">
      <c r="A492" s="91">
        <v>40007</v>
      </c>
      <c r="B492" s="86">
        <v>40007</v>
      </c>
      <c r="C492" s="93">
        <v>1.1523392486748101</v>
      </c>
      <c r="D492" s="85" t="s">
        <v>1498</v>
      </c>
      <c r="F492" s="91">
        <v>40007</v>
      </c>
      <c r="G492">
        <v>1.079</v>
      </c>
      <c r="H492">
        <v>1.2184999999999999</v>
      </c>
      <c r="I492">
        <v>1.10846</v>
      </c>
      <c r="J492">
        <v>1.26525</v>
      </c>
      <c r="K492">
        <v>1.2800400000000001</v>
      </c>
      <c r="L492">
        <v>1.3474300000000001</v>
      </c>
      <c r="M492">
        <v>1.2261</v>
      </c>
      <c r="N492">
        <v>1.0649999999999999</v>
      </c>
      <c r="O492">
        <v>1.0711400000000002</v>
      </c>
      <c r="P492">
        <v>1.147</v>
      </c>
      <c r="Q492">
        <v>1.25953</v>
      </c>
      <c r="R492">
        <v>1.347</v>
      </c>
      <c r="S492">
        <v>1.0488</v>
      </c>
      <c r="T492">
        <v>1.09846</v>
      </c>
      <c r="U492">
        <v>1.1844300000000001</v>
      </c>
    </row>
    <row r="493" spans="1:21">
      <c r="A493" s="91">
        <v>40000</v>
      </c>
      <c r="B493" s="86">
        <v>40000</v>
      </c>
      <c r="C493" s="93">
        <v>1.1611704598235</v>
      </c>
      <c r="D493" s="85" t="s">
        <v>1499</v>
      </c>
      <c r="F493" s="91">
        <v>40000</v>
      </c>
      <c r="G493">
        <v>1.109</v>
      </c>
      <c r="H493">
        <v>1.2849999999999999</v>
      </c>
      <c r="I493">
        <v>1.12503</v>
      </c>
      <c r="J493">
        <v>1.3045</v>
      </c>
      <c r="K493">
        <v>1.3040399999999999</v>
      </c>
      <c r="L493">
        <v>1.3474300000000001</v>
      </c>
      <c r="M493">
        <v>1.2515000000000001</v>
      </c>
      <c r="N493">
        <v>1.077</v>
      </c>
      <c r="O493">
        <v>1.11496</v>
      </c>
      <c r="P493">
        <v>1.147</v>
      </c>
      <c r="Q493">
        <v>1.2794300000000001</v>
      </c>
      <c r="R493">
        <v>1.359</v>
      </c>
      <c r="S493">
        <v>1.0665100000000001</v>
      </c>
      <c r="T493">
        <v>1.12998</v>
      </c>
      <c r="U493">
        <v>1.2025899999999998</v>
      </c>
    </row>
    <row r="494" spans="1:21">
      <c r="A494" s="91">
        <v>39993</v>
      </c>
      <c r="B494" s="86">
        <v>39993</v>
      </c>
      <c r="C494" s="93">
        <v>1.1783420727037099</v>
      </c>
      <c r="D494" s="85" t="s">
        <v>1500</v>
      </c>
      <c r="F494" s="91">
        <v>39993</v>
      </c>
      <c r="G494">
        <v>1.1020000000000001</v>
      </c>
      <c r="H494">
        <v>1.347</v>
      </c>
      <c r="I494">
        <v>1.13086</v>
      </c>
      <c r="J494">
        <v>1.3214999999999999</v>
      </c>
      <c r="K494">
        <v>1.3281800000000001</v>
      </c>
      <c r="L494">
        <v>1.3474300000000001</v>
      </c>
      <c r="M494">
        <v>1.2646999999999999</v>
      </c>
      <c r="N494">
        <v>1.044</v>
      </c>
      <c r="O494">
        <v>1.0566900000000001</v>
      </c>
      <c r="P494">
        <v>1.147</v>
      </c>
      <c r="Q494">
        <v>1.2914600000000001</v>
      </c>
      <c r="R494">
        <v>1.391</v>
      </c>
      <c r="S494">
        <v>1.0838599999999998</v>
      </c>
      <c r="T494">
        <v>1.15408</v>
      </c>
      <c r="U494">
        <v>1.21726</v>
      </c>
    </row>
    <row r="495" spans="1:21">
      <c r="A495" s="91">
        <v>39986</v>
      </c>
      <c r="B495" s="86">
        <v>39986</v>
      </c>
      <c r="C495" s="93">
        <v>1.1868731826004399</v>
      </c>
      <c r="D495" s="85" t="s">
        <v>1050</v>
      </c>
      <c r="F495" s="91">
        <v>39986</v>
      </c>
      <c r="G495">
        <v>1.1359999999999999</v>
      </c>
      <c r="H495">
        <v>1.347</v>
      </c>
      <c r="I495">
        <v>1.11799</v>
      </c>
      <c r="J495">
        <v>1.359</v>
      </c>
      <c r="K495">
        <v>1.37016</v>
      </c>
      <c r="L495">
        <v>1.3736700000000002</v>
      </c>
      <c r="M495">
        <v>1.2912000000000001</v>
      </c>
      <c r="N495">
        <v>1.0429999999999999</v>
      </c>
      <c r="O495">
        <v>1.0449000000000002</v>
      </c>
      <c r="P495">
        <v>1.089</v>
      </c>
      <c r="Q495">
        <v>1.31606</v>
      </c>
      <c r="R495">
        <v>1.393</v>
      </c>
      <c r="S495">
        <v>1.1008199999999999</v>
      </c>
      <c r="T495">
        <v>1.1680299999999999</v>
      </c>
      <c r="U495">
        <v>1.2202</v>
      </c>
    </row>
    <row r="496" spans="1:21">
      <c r="A496" s="91">
        <v>39979</v>
      </c>
      <c r="B496" s="86">
        <v>39979</v>
      </c>
      <c r="C496" s="93">
        <v>1.1803588290840401</v>
      </c>
      <c r="D496" s="85" t="s">
        <v>1501</v>
      </c>
      <c r="F496" s="91">
        <v>39979</v>
      </c>
      <c r="G496">
        <v>1.121</v>
      </c>
      <c r="H496">
        <v>1.2989999999999999</v>
      </c>
      <c r="I496">
        <v>1.0713499999999998</v>
      </c>
      <c r="J496">
        <v>1.3520000000000001</v>
      </c>
      <c r="K496">
        <v>1.37514</v>
      </c>
      <c r="L496">
        <v>1.36727</v>
      </c>
      <c r="M496">
        <v>1.2726</v>
      </c>
      <c r="N496">
        <v>1.0209999999999999</v>
      </c>
      <c r="O496">
        <v>1.0222800000000001</v>
      </c>
      <c r="P496">
        <v>1.089</v>
      </c>
      <c r="Q496">
        <v>1.30507</v>
      </c>
      <c r="R496">
        <v>1.4410000000000001</v>
      </c>
      <c r="S496">
        <v>1.0753299999999999</v>
      </c>
      <c r="T496">
        <v>1.20356</v>
      </c>
      <c r="U496">
        <v>1.2037200000000001</v>
      </c>
    </row>
    <row r="497" spans="1:21">
      <c r="A497" s="91">
        <v>39972</v>
      </c>
      <c r="B497" s="86">
        <v>39972</v>
      </c>
      <c r="C497" s="93">
        <v>1.1482374555057999</v>
      </c>
      <c r="D497" s="85" t="s">
        <v>1502</v>
      </c>
      <c r="F497" s="91">
        <v>39972</v>
      </c>
      <c r="G497">
        <v>1.103</v>
      </c>
      <c r="H497">
        <v>1.3220000000000001</v>
      </c>
      <c r="I497">
        <v>1.03233</v>
      </c>
      <c r="J497">
        <v>1.321</v>
      </c>
      <c r="K497">
        <v>1.3455999999999999</v>
      </c>
      <c r="L497">
        <v>1.35179</v>
      </c>
      <c r="M497">
        <v>1.2530999999999999</v>
      </c>
      <c r="N497">
        <v>1.0029999999999999</v>
      </c>
      <c r="O497">
        <v>0.97750000000000004</v>
      </c>
      <c r="P497">
        <v>1.089</v>
      </c>
      <c r="Q497">
        <v>1.2833699999999999</v>
      </c>
      <c r="R497">
        <v>1.411</v>
      </c>
      <c r="S497">
        <v>1.02518</v>
      </c>
      <c r="T497">
        <v>1.17879</v>
      </c>
      <c r="U497">
        <v>1.1550100000000001</v>
      </c>
    </row>
    <row r="498" spans="1:21">
      <c r="A498" s="91">
        <v>39965</v>
      </c>
      <c r="B498" s="86">
        <v>39965</v>
      </c>
      <c r="C498" s="93">
        <v>1.1520737327188899</v>
      </c>
      <c r="D498" s="85" t="s">
        <v>1503</v>
      </c>
      <c r="F498" s="91">
        <v>39965</v>
      </c>
      <c r="G498">
        <v>1.052</v>
      </c>
      <c r="H498">
        <v>1.296</v>
      </c>
      <c r="I498">
        <v>1.0423</v>
      </c>
      <c r="J498">
        <v>1.3102499999999999</v>
      </c>
      <c r="K498">
        <v>1.3296300000000001</v>
      </c>
      <c r="L498">
        <v>1.3201700000000001</v>
      </c>
      <c r="M498">
        <v>1.2353000000000001</v>
      </c>
      <c r="N498">
        <v>0.995</v>
      </c>
      <c r="O498">
        <v>0.97301000000000004</v>
      </c>
      <c r="P498">
        <v>1.089</v>
      </c>
      <c r="Q498">
        <v>1.2758099999999999</v>
      </c>
      <c r="R498">
        <v>1.389</v>
      </c>
      <c r="S498">
        <v>1.0041199999999999</v>
      </c>
      <c r="T498">
        <v>1.1834100000000001</v>
      </c>
      <c r="U498">
        <v>1.14499</v>
      </c>
    </row>
    <row r="499" spans="1:21">
      <c r="A499" s="91">
        <v>39958</v>
      </c>
      <c r="B499" s="86">
        <v>39958</v>
      </c>
      <c r="C499" s="93">
        <v>1.1359763716914699</v>
      </c>
      <c r="D499" s="85" t="s">
        <v>1504</v>
      </c>
      <c r="F499" s="91">
        <v>39958</v>
      </c>
      <c r="G499">
        <v>1.0429999999999999</v>
      </c>
      <c r="H499">
        <v>1.296</v>
      </c>
      <c r="I499">
        <v>1.0310699999999999</v>
      </c>
      <c r="J499">
        <v>1.29525</v>
      </c>
      <c r="K499">
        <v>1.3254900000000001</v>
      </c>
      <c r="L499">
        <v>1.3009999999999999</v>
      </c>
      <c r="M499">
        <v>1.2325999999999999</v>
      </c>
      <c r="N499">
        <v>0.97799999999999998</v>
      </c>
      <c r="O499">
        <v>0.97226999999999997</v>
      </c>
      <c r="P499">
        <v>1.089</v>
      </c>
      <c r="Q499">
        <v>1.2630599999999998</v>
      </c>
      <c r="R499">
        <v>1.377</v>
      </c>
      <c r="S499">
        <v>1.0059500000000001</v>
      </c>
      <c r="T499">
        <v>1.1974800000000001</v>
      </c>
      <c r="U499">
        <v>1.12347</v>
      </c>
    </row>
    <row r="500" spans="1:21">
      <c r="A500" s="91">
        <v>39951</v>
      </c>
      <c r="B500" s="86">
        <v>39951</v>
      </c>
      <c r="C500" s="93">
        <v>1.1331444759206799</v>
      </c>
      <c r="D500" s="85" t="s">
        <v>1505</v>
      </c>
      <c r="F500" s="91">
        <v>39951</v>
      </c>
      <c r="G500">
        <v>1.0449999999999999</v>
      </c>
      <c r="H500">
        <v>1.238</v>
      </c>
      <c r="I500">
        <v>1.01315</v>
      </c>
      <c r="J500">
        <v>1.2755000000000001</v>
      </c>
      <c r="K500">
        <v>1.3068299999999999</v>
      </c>
      <c r="L500">
        <v>1.2644900000000001</v>
      </c>
      <c r="M500">
        <v>1.2084000000000001</v>
      </c>
      <c r="N500">
        <v>0.95499999999999996</v>
      </c>
      <c r="O500">
        <v>0.94255</v>
      </c>
      <c r="P500">
        <v>1.089</v>
      </c>
      <c r="Q500">
        <v>1.23404</v>
      </c>
      <c r="R500">
        <v>1.377</v>
      </c>
      <c r="S500">
        <v>0.98336000000000001</v>
      </c>
      <c r="T500">
        <v>1.1636099999999998</v>
      </c>
      <c r="U500">
        <v>1.1053299999999999</v>
      </c>
    </row>
    <row r="501" spans="1:21">
      <c r="A501" s="91">
        <v>39944</v>
      </c>
      <c r="B501" s="86">
        <v>39944</v>
      </c>
      <c r="C501" s="93">
        <v>1.1128421989761899</v>
      </c>
      <c r="D501" s="85" t="s">
        <v>1506</v>
      </c>
      <c r="F501" s="91">
        <v>39944</v>
      </c>
      <c r="G501">
        <v>1.028</v>
      </c>
      <c r="H501">
        <v>1.238</v>
      </c>
      <c r="I501">
        <v>0.98311000000000004</v>
      </c>
      <c r="J501">
        <v>1.2709999999999999</v>
      </c>
      <c r="K501">
        <v>1.28071</v>
      </c>
      <c r="L501">
        <v>1.2653299999999998</v>
      </c>
      <c r="M501">
        <v>1.1892</v>
      </c>
      <c r="N501">
        <v>0.93400000000000005</v>
      </c>
      <c r="O501">
        <v>0.96507000000000009</v>
      </c>
      <c r="P501">
        <v>1.0509999999999999</v>
      </c>
      <c r="Q501">
        <v>1.2293800000000001</v>
      </c>
      <c r="R501">
        <v>1.355</v>
      </c>
      <c r="S501">
        <v>0.96986000000000006</v>
      </c>
      <c r="T501">
        <v>1.15394</v>
      </c>
      <c r="U501">
        <v>1.0748599999999999</v>
      </c>
    </row>
    <row r="502" spans="1:21">
      <c r="A502" s="91">
        <v>39937</v>
      </c>
      <c r="B502" s="86">
        <v>39937</v>
      </c>
      <c r="C502" s="93">
        <v>1.12397437338429</v>
      </c>
      <c r="D502" s="85" t="s">
        <v>1507</v>
      </c>
      <c r="F502" s="91">
        <v>39937</v>
      </c>
      <c r="G502">
        <v>1.01</v>
      </c>
      <c r="H502">
        <v>1.204</v>
      </c>
      <c r="I502">
        <v>0.99065000000000003</v>
      </c>
      <c r="J502">
        <v>1.2077500000000001</v>
      </c>
      <c r="K502">
        <v>1.25129</v>
      </c>
      <c r="L502">
        <v>1.2153800000000001</v>
      </c>
      <c r="M502">
        <v>1.1685000000000001</v>
      </c>
      <c r="N502">
        <v>0.93200000000000005</v>
      </c>
      <c r="O502">
        <v>0.92923</v>
      </c>
      <c r="P502">
        <v>1.0509999999999999</v>
      </c>
      <c r="Q502">
        <v>1.1833199999999999</v>
      </c>
      <c r="R502">
        <v>1.3220000000000001</v>
      </c>
      <c r="S502">
        <v>0.95090999999999992</v>
      </c>
      <c r="T502">
        <v>1.1006400000000001</v>
      </c>
      <c r="U502">
        <v>1.07446</v>
      </c>
    </row>
    <row r="503" spans="1:21">
      <c r="A503" s="91">
        <v>39930</v>
      </c>
      <c r="B503" s="86">
        <v>39930</v>
      </c>
      <c r="C503" s="93">
        <v>1.1101859561476499</v>
      </c>
      <c r="D503" s="85" t="s">
        <v>1083</v>
      </c>
      <c r="F503" s="91">
        <v>39930</v>
      </c>
      <c r="G503">
        <v>1.018</v>
      </c>
      <c r="H503">
        <v>1.2150000000000001</v>
      </c>
      <c r="I503">
        <v>0.99185000000000001</v>
      </c>
      <c r="J503">
        <v>1.2355</v>
      </c>
      <c r="K503">
        <v>1.2391300000000001</v>
      </c>
      <c r="L503">
        <v>1.2158800000000001</v>
      </c>
      <c r="M503">
        <v>1.1774</v>
      </c>
      <c r="N503">
        <v>0.93300000000000005</v>
      </c>
      <c r="O503">
        <v>0.90566000000000002</v>
      </c>
      <c r="P503">
        <v>1.0509999999999999</v>
      </c>
      <c r="Q503">
        <v>1.1975799999999999</v>
      </c>
      <c r="R503">
        <v>1.3029999999999999</v>
      </c>
      <c r="S503">
        <v>0.95616999999999996</v>
      </c>
      <c r="T503">
        <v>1.0850799999999998</v>
      </c>
      <c r="U503">
        <v>1.05616</v>
      </c>
    </row>
    <row r="504" spans="1:21">
      <c r="A504" s="91">
        <v>39923</v>
      </c>
      <c r="B504" s="86">
        <v>39923</v>
      </c>
      <c r="C504" s="93">
        <v>1.1241007194244599</v>
      </c>
      <c r="D504" s="85" t="s">
        <v>1508</v>
      </c>
      <c r="F504" s="91">
        <v>39923</v>
      </c>
      <c r="G504">
        <v>0.996</v>
      </c>
      <c r="H504">
        <v>1.2150000000000001</v>
      </c>
      <c r="I504">
        <v>0.96316999999999997</v>
      </c>
      <c r="J504">
        <v>1.2195</v>
      </c>
      <c r="K504">
        <v>1.2578199999999999</v>
      </c>
      <c r="L504">
        <v>1.2318699999999998</v>
      </c>
      <c r="M504">
        <v>1.1744000000000001</v>
      </c>
      <c r="N504">
        <v>0.91900000000000004</v>
      </c>
      <c r="O504">
        <v>0.88175999999999999</v>
      </c>
      <c r="P504">
        <v>1.0329999999999999</v>
      </c>
      <c r="Q504">
        <v>1.19631</v>
      </c>
      <c r="R504">
        <v>1.3109999999999999</v>
      </c>
      <c r="S504">
        <v>0.95341999999999993</v>
      </c>
      <c r="T504">
        <v>1.0739300000000001</v>
      </c>
      <c r="U504">
        <v>1.06366</v>
      </c>
    </row>
    <row r="505" spans="1:21">
      <c r="A505" s="91">
        <v>39909</v>
      </c>
      <c r="B505" s="86">
        <v>39909</v>
      </c>
      <c r="C505" s="93">
        <v>1.1047282368537299</v>
      </c>
      <c r="D505" s="85" t="s">
        <v>1509</v>
      </c>
      <c r="F505" s="91">
        <v>39909</v>
      </c>
      <c r="G505">
        <v>0.96799999999999997</v>
      </c>
      <c r="H505">
        <v>1.2050000000000001</v>
      </c>
      <c r="I505">
        <v>0.98365999999999998</v>
      </c>
      <c r="J505">
        <v>1.2297499999999999</v>
      </c>
      <c r="K505">
        <v>1.24186</v>
      </c>
      <c r="L505">
        <v>1.21909</v>
      </c>
      <c r="M505">
        <v>1.1599000000000002</v>
      </c>
      <c r="N505">
        <v>0.91500000000000004</v>
      </c>
      <c r="O505">
        <v>0.90295999999999998</v>
      </c>
      <c r="P505">
        <v>1.0329999999999999</v>
      </c>
      <c r="Q505">
        <v>1.17587</v>
      </c>
      <c r="R505">
        <v>1.2949999999999999</v>
      </c>
      <c r="S505">
        <v>0.94220999999999999</v>
      </c>
      <c r="T505">
        <v>1.0744899999999999</v>
      </c>
      <c r="U505">
        <v>1.0353299999999999</v>
      </c>
    </row>
    <row r="506" spans="1:21">
      <c r="A506" s="91">
        <v>39902</v>
      </c>
      <c r="B506" s="86">
        <v>39902</v>
      </c>
      <c r="C506" s="93">
        <v>1.0763104079216399</v>
      </c>
      <c r="D506" s="85" t="s">
        <v>1510</v>
      </c>
      <c r="F506" s="91">
        <v>39902</v>
      </c>
      <c r="G506">
        <v>0.95599999999999996</v>
      </c>
      <c r="H506">
        <v>1.1819999999999999</v>
      </c>
      <c r="I506">
        <v>0.92308000000000001</v>
      </c>
      <c r="J506">
        <v>1.2070000000000001</v>
      </c>
      <c r="K506">
        <v>1.2377799999999999</v>
      </c>
      <c r="L506">
        <v>1.21875</v>
      </c>
      <c r="M506">
        <v>1.1610999999999998</v>
      </c>
      <c r="N506">
        <v>0.90200000000000002</v>
      </c>
      <c r="O506">
        <v>0.84138999999999997</v>
      </c>
      <c r="P506">
        <v>1.0329999999999999</v>
      </c>
      <c r="Q506">
        <v>1.18642</v>
      </c>
      <c r="R506">
        <v>1.2909999999999999</v>
      </c>
      <c r="S506">
        <v>0.93928999999999996</v>
      </c>
      <c r="T506">
        <v>1.0523199999999999</v>
      </c>
      <c r="U506">
        <v>0.98315999999999992</v>
      </c>
    </row>
    <row r="507" spans="1:21">
      <c r="A507" s="91">
        <v>39895</v>
      </c>
      <c r="B507" s="86">
        <v>39895</v>
      </c>
      <c r="C507" s="93">
        <v>1.0759051051697199</v>
      </c>
      <c r="D507" s="85" t="s">
        <v>1511</v>
      </c>
      <c r="F507" s="91">
        <v>39895</v>
      </c>
      <c r="G507">
        <v>0.94799999999999995</v>
      </c>
      <c r="H507">
        <v>1.1719999999999999</v>
      </c>
      <c r="I507">
        <v>0.94758000000000009</v>
      </c>
      <c r="J507">
        <v>1.1672499999999999</v>
      </c>
      <c r="K507">
        <v>1.2119800000000001</v>
      </c>
      <c r="L507">
        <v>1.19638</v>
      </c>
      <c r="M507">
        <v>1.133</v>
      </c>
      <c r="N507">
        <v>0.88200000000000001</v>
      </c>
      <c r="O507">
        <v>0.84460000000000002</v>
      </c>
      <c r="P507">
        <v>1.0009999999999999</v>
      </c>
      <c r="Q507">
        <v>1.16448</v>
      </c>
      <c r="R507">
        <v>1.2809999999999999</v>
      </c>
      <c r="S507">
        <v>0.91146000000000005</v>
      </c>
      <c r="T507">
        <v>1.0238400000000001</v>
      </c>
      <c r="U507">
        <v>0.97009000000000001</v>
      </c>
    </row>
    <row r="508" spans="1:21">
      <c r="A508" s="91">
        <v>39888</v>
      </c>
      <c r="B508" s="86">
        <v>39888</v>
      </c>
      <c r="C508" s="93">
        <v>1.0863070990168899</v>
      </c>
      <c r="D508" s="85" t="s">
        <v>1512</v>
      </c>
      <c r="F508" s="91">
        <v>39888</v>
      </c>
      <c r="G508">
        <v>0.95299999999999996</v>
      </c>
      <c r="H508">
        <v>1.1865000000000001</v>
      </c>
      <c r="I508">
        <v>0.96651999999999993</v>
      </c>
      <c r="J508">
        <v>1.167</v>
      </c>
      <c r="K508">
        <v>1.1694800000000001</v>
      </c>
      <c r="L508">
        <v>1.12914</v>
      </c>
      <c r="M508">
        <v>1.1297999999999999</v>
      </c>
      <c r="N508">
        <v>0.88300000000000001</v>
      </c>
      <c r="O508">
        <v>0.87626000000000004</v>
      </c>
      <c r="P508">
        <v>1.0009999999999999</v>
      </c>
      <c r="Q508">
        <v>1.165</v>
      </c>
      <c r="R508">
        <v>1.262</v>
      </c>
      <c r="S508">
        <v>0.90679999999999994</v>
      </c>
      <c r="T508">
        <v>1.01393</v>
      </c>
      <c r="U508">
        <v>0.97939999999999994</v>
      </c>
    </row>
    <row r="509" spans="1:21">
      <c r="A509" s="91">
        <v>39881</v>
      </c>
      <c r="B509" s="86">
        <v>39881</v>
      </c>
      <c r="C509" s="93">
        <v>1.0972130787798999</v>
      </c>
      <c r="D509" s="85" t="s">
        <v>1513</v>
      </c>
      <c r="F509" s="91">
        <v>39881</v>
      </c>
      <c r="G509">
        <v>0.94499999999999995</v>
      </c>
      <c r="H509">
        <v>1.1833</v>
      </c>
      <c r="I509">
        <v>0.92191999999999996</v>
      </c>
      <c r="J509">
        <v>1.167</v>
      </c>
      <c r="K509">
        <v>1.2038800000000001</v>
      </c>
      <c r="L509">
        <v>1.1140099999999999</v>
      </c>
      <c r="M509">
        <v>1.1379000000000001</v>
      </c>
      <c r="N509">
        <v>0.88</v>
      </c>
      <c r="O509">
        <v>0.82458000000000009</v>
      </c>
      <c r="P509">
        <v>1.0009999999999999</v>
      </c>
      <c r="Q509">
        <v>1.1606800000000002</v>
      </c>
      <c r="R509">
        <v>1.27</v>
      </c>
      <c r="S509">
        <v>0.91813999999999996</v>
      </c>
      <c r="T509">
        <v>0.98914999999999997</v>
      </c>
      <c r="U509">
        <v>0.98917999999999995</v>
      </c>
    </row>
    <row r="510" spans="1:21">
      <c r="A510" s="91">
        <v>39874</v>
      </c>
      <c r="B510" s="86">
        <v>39874</v>
      </c>
      <c r="C510" s="93">
        <v>1.1194447554013198</v>
      </c>
      <c r="D510" s="85" t="s">
        <v>1514</v>
      </c>
      <c r="F510" s="91">
        <v>39874</v>
      </c>
      <c r="G510">
        <v>0.94499999999999995</v>
      </c>
      <c r="H510">
        <v>1.1473</v>
      </c>
      <c r="I510">
        <v>0.90446000000000004</v>
      </c>
      <c r="J510">
        <v>1.157</v>
      </c>
      <c r="K510">
        <v>1.2105399999999999</v>
      </c>
      <c r="L510">
        <v>1.13452</v>
      </c>
      <c r="M510">
        <v>1.1265000000000001</v>
      </c>
      <c r="N510">
        <v>0.872</v>
      </c>
      <c r="O510">
        <v>0.82123999999999997</v>
      </c>
      <c r="P510">
        <v>1.0009999999999999</v>
      </c>
      <c r="Q510">
        <v>1.1562300000000001</v>
      </c>
      <c r="R510">
        <v>1.2669999999999999</v>
      </c>
      <c r="S510">
        <v>0.89534999999999998</v>
      </c>
      <c r="T510">
        <v>0.98829</v>
      </c>
      <c r="U510">
        <v>1.01067</v>
      </c>
    </row>
    <row r="511" spans="1:21">
      <c r="A511" s="91">
        <v>39867</v>
      </c>
      <c r="B511" s="86">
        <v>39867</v>
      </c>
      <c r="C511" s="93">
        <v>1.13895216400911</v>
      </c>
      <c r="D511" s="85" t="s">
        <v>1515</v>
      </c>
      <c r="F511" s="91">
        <v>39867</v>
      </c>
      <c r="G511">
        <v>0.94299999999999995</v>
      </c>
      <c r="H511">
        <v>1.1607100000000001</v>
      </c>
      <c r="I511">
        <v>0.90566000000000002</v>
      </c>
      <c r="J511">
        <v>1.1519999999999999</v>
      </c>
      <c r="K511">
        <v>1.1650399999999999</v>
      </c>
      <c r="L511">
        <v>1.1242699999999999</v>
      </c>
      <c r="M511">
        <v>1.1385000000000001</v>
      </c>
      <c r="N511">
        <v>0.89500000000000002</v>
      </c>
      <c r="O511">
        <v>0.86194000000000004</v>
      </c>
      <c r="P511">
        <v>1.0009999999999999</v>
      </c>
      <c r="Q511">
        <v>1.1432899999999999</v>
      </c>
      <c r="R511">
        <v>1.2549999999999999</v>
      </c>
      <c r="S511">
        <v>0.90088999999999997</v>
      </c>
      <c r="T511">
        <v>0.98248999999999997</v>
      </c>
      <c r="U511">
        <v>1.02884</v>
      </c>
    </row>
    <row r="512" spans="1:21">
      <c r="A512" s="91">
        <v>39860</v>
      </c>
      <c r="B512" s="86">
        <v>39860</v>
      </c>
      <c r="C512" s="93">
        <v>1.11794298490777</v>
      </c>
      <c r="D512" s="85" t="s">
        <v>1516</v>
      </c>
      <c r="F512" s="91">
        <v>39860</v>
      </c>
      <c r="G512">
        <v>0.97499999999999998</v>
      </c>
      <c r="H512">
        <v>1.1662000000000001</v>
      </c>
      <c r="I512">
        <v>0.85436999999999996</v>
      </c>
      <c r="J512">
        <v>1.1845000000000001</v>
      </c>
      <c r="K512">
        <v>1.22241</v>
      </c>
      <c r="L512">
        <v>1.2038499999999999</v>
      </c>
      <c r="M512">
        <v>1.1452</v>
      </c>
      <c r="N512">
        <v>0.89100000000000001</v>
      </c>
      <c r="O512">
        <v>0.83147000000000004</v>
      </c>
      <c r="P512">
        <v>0.97899999999999998</v>
      </c>
      <c r="Q512">
        <v>1.13466</v>
      </c>
      <c r="R512">
        <v>1.2829999999999999</v>
      </c>
      <c r="S512">
        <v>0.92189999999999994</v>
      </c>
      <c r="T512">
        <v>1.0198700000000001</v>
      </c>
      <c r="U512">
        <v>1.0075000000000001</v>
      </c>
    </row>
    <row r="513" spans="1:21">
      <c r="A513" s="91">
        <v>39853</v>
      </c>
      <c r="B513" s="86">
        <v>39853</v>
      </c>
      <c r="C513" s="93">
        <v>1.1481056257175699</v>
      </c>
      <c r="D513" s="85" t="s">
        <v>1517</v>
      </c>
      <c r="F513" s="91">
        <v>39853</v>
      </c>
      <c r="G513">
        <v>0.96099999999999997</v>
      </c>
      <c r="H513">
        <v>1.1661199999999998</v>
      </c>
      <c r="I513">
        <v>0.87017999999999995</v>
      </c>
      <c r="J513">
        <v>1.177</v>
      </c>
      <c r="K513">
        <v>1.1929700000000001</v>
      </c>
      <c r="L513">
        <v>1.17021</v>
      </c>
      <c r="M513">
        <v>1.1374000000000002</v>
      </c>
      <c r="N513">
        <v>0.88100000000000001</v>
      </c>
      <c r="O513">
        <v>0.87630999999999992</v>
      </c>
      <c r="P513">
        <v>0.97899999999999998</v>
      </c>
      <c r="Q513">
        <v>1.1420699999999999</v>
      </c>
      <c r="R513">
        <v>1.329</v>
      </c>
      <c r="S513">
        <v>0.91354999999999997</v>
      </c>
      <c r="T513">
        <v>1.06731</v>
      </c>
      <c r="U513">
        <v>1.0249900000000001</v>
      </c>
    </row>
    <row r="514" spans="1:21">
      <c r="A514" s="91">
        <v>39846</v>
      </c>
      <c r="B514" s="86">
        <v>39846</v>
      </c>
      <c r="C514" s="93">
        <v>1.10699064592904</v>
      </c>
      <c r="D514" s="85" t="s">
        <v>1518</v>
      </c>
      <c r="F514" s="91">
        <v>39846</v>
      </c>
      <c r="G514">
        <v>0.94099999999999995</v>
      </c>
      <c r="H514">
        <v>1.13062</v>
      </c>
      <c r="I514">
        <v>0.85941000000000001</v>
      </c>
      <c r="J514">
        <v>1.1619999999999999</v>
      </c>
      <c r="K514">
        <v>1.18466</v>
      </c>
      <c r="L514">
        <v>1.1703800000000002</v>
      </c>
      <c r="M514">
        <v>1.1265000000000001</v>
      </c>
      <c r="N514">
        <v>0.86899999999999999</v>
      </c>
      <c r="O514">
        <v>0.81930999999999998</v>
      </c>
      <c r="P514">
        <v>0.97899999999999998</v>
      </c>
      <c r="Q514">
        <v>1.14418</v>
      </c>
      <c r="R514">
        <v>1.3129999999999999</v>
      </c>
      <c r="S514">
        <v>0.90172000000000008</v>
      </c>
      <c r="T514">
        <v>1.05278</v>
      </c>
      <c r="U514">
        <v>0.97592999999999996</v>
      </c>
    </row>
    <row r="515" spans="1:21">
      <c r="A515" s="91">
        <v>39839</v>
      </c>
      <c r="B515" s="86">
        <v>39839</v>
      </c>
      <c r="C515" s="93">
        <v>1.0643959552953699</v>
      </c>
      <c r="D515" s="85" t="s">
        <v>1519</v>
      </c>
      <c r="F515" s="91">
        <v>39839</v>
      </c>
      <c r="G515">
        <v>0.95599999999999996</v>
      </c>
      <c r="H515">
        <v>1.1271</v>
      </c>
      <c r="I515">
        <v>0.85887000000000002</v>
      </c>
      <c r="J515">
        <v>1.157</v>
      </c>
      <c r="K515">
        <v>1.14845</v>
      </c>
      <c r="L515">
        <v>1.1416199999999999</v>
      </c>
      <c r="M515">
        <v>1.1192</v>
      </c>
      <c r="N515">
        <v>0.86399999999999999</v>
      </c>
      <c r="O515">
        <v>0.84523999999999999</v>
      </c>
      <c r="P515">
        <v>0.97899999999999998</v>
      </c>
      <c r="Q515">
        <v>1.1364300000000001</v>
      </c>
      <c r="R515">
        <v>1.2949999999999999</v>
      </c>
      <c r="S515">
        <v>0.89063000000000003</v>
      </c>
      <c r="T515">
        <v>1.0132099999999999</v>
      </c>
      <c r="U515">
        <v>0.93047000000000002</v>
      </c>
    </row>
    <row r="516" spans="1:21">
      <c r="A516" s="91">
        <v>39832</v>
      </c>
      <c r="B516" s="86">
        <v>39832</v>
      </c>
      <c r="C516" s="93">
        <v>1.10533878633801</v>
      </c>
      <c r="D516" s="85" t="s">
        <v>1520</v>
      </c>
      <c r="F516" s="91">
        <v>39832</v>
      </c>
      <c r="G516">
        <v>0.93600000000000005</v>
      </c>
      <c r="H516">
        <v>1.09358</v>
      </c>
      <c r="I516">
        <v>0.86414999999999997</v>
      </c>
      <c r="J516">
        <v>1.167</v>
      </c>
      <c r="K516">
        <v>1.16093</v>
      </c>
      <c r="L516">
        <v>1.18235</v>
      </c>
      <c r="M516">
        <v>1.1108</v>
      </c>
      <c r="N516">
        <v>0.85199999999999998</v>
      </c>
      <c r="O516">
        <v>0.82599</v>
      </c>
      <c r="P516">
        <v>0.97899999999999998</v>
      </c>
      <c r="Q516">
        <v>1.1324100000000001</v>
      </c>
      <c r="R516">
        <v>1.3009999999999999</v>
      </c>
      <c r="S516">
        <v>0.88129000000000002</v>
      </c>
      <c r="T516">
        <v>1.00491</v>
      </c>
      <c r="U516">
        <v>0.95274000000000003</v>
      </c>
    </row>
    <row r="517" spans="1:21">
      <c r="A517" s="91">
        <v>39825</v>
      </c>
      <c r="B517" s="86">
        <v>39825</v>
      </c>
      <c r="C517" s="93">
        <v>1.11656989727557</v>
      </c>
      <c r="D517" s="85" t="s">
        <v>1521</v>
      </c>
      <c r="F517" s="91">
        <v>39825</v>
      </c>
      <c r="G517">
        <v>0.93899999999999995</v>
      </c>
      <c r="H517">
        <v>1.09992</v>
      </c>
      <c r="I517">
        <v>0.84165999999999996</v>
      </c>
      <c r="J517">
        <v>1.1535</v>
      </c>
      <c r="K517">
        <v>1.12845</v>
      </c>
      <c r="L517">
        <v>1.1616600000000001</v>
      </c>
      <c r="M517">
        <v>1.1043000000000001</v>
      </c>
      <c r="N517">
        <v>0.83</v>
      </c>
      <c r="O517">
        <v>0.81608999999999998</v>
      </c>
      <c r="P517">
        <v>1.0469999999999999</v>
      </c>
      <c r="Q517">
        <v>1.1128699999999998</v>
      </c>
      <c r="R517">
        <v>1.276</v>
      </c>
      <c r="S517">
        <v>0.86770999999999998</v>
      </c>
      <c r="T517">
        <v>0.97022000000000008</v>
      </c>
      <c r="U517">
        <v>0.96046000000000009</v>
      </c>
    </row>
    <row r="518" spans="1:21" ht="15.75" thickBot="1">
      <c r="A518" s="92">
        <v>39818</v>
      </c>
      <c r="B518" s="86">
        <v>39818</v>
      </c>
      <c r="C518" s="93">
        <v>1.0686044026501398</v>
      </c>
      <c r="D518" s="85" t="s">
        <v>1522</v>
      </c>
      <c r="F518" s="92">
        <v>39818</v>
      </c>
      <c r="G518">
        <v>0.876</v>
      </c>
      <c r="H518">
        <v>1.0656199999999998</v>
      </c>
      <c r="I518">
        <v>0.84584999999999999</v>
      </c>
      <c r="J518">
        <v>1.077</v>
      </c>
      <c r="K518">
        <v>1.0726600000000002</v>
      </c>
      <c r="L518">
        <v>1.1179300000000001</v>
      </c>
      <c r="M518">
        <v>1.0434000000000001</v>
      </c>
      <c r="N518">
        <v>0.80900000000000005</v>
      </c>
      <c r="O518">
        <v>0.85389999999999999</v>
      </c>
      <c r="P518">
        <v>1.0469999999999999</v>
      </c>
      <c r="Q518">
        <v>1.08264</v>
      </c>
      <c r="R518">
        <v>1.248</v>
      </c>
      <c r="S518">
        <v>0.82514999999999994</v>
      </c>
      <c r="T518">
        <v>0.92738999999999994</v>
      </c>
      <c r="U518">
        <v>0.91283000000000003</v>
      </c>
    </row>
    <row r="519" spans="1:21">
      <c r="A519" s="91">
        <v>39797</v>
      </c>
      <c r="B519" s="86">
        <v>39797</v>
      </c>
      <c r="C519" s="93">
        <v>1.1118523460084497</v>
      </c>
      <c r="D519" s="85" t="s">
        <v>1523</v>
      </c>
      <c r="F519" s="91">
        <v>39797</v>
      </c>
      <c r="G519">
        <v>0.90900000000000003</v>
      </c>
      <c r="H519">
        <v>1.155</v>
      </c>
      <c r="I519">
        <v>0.91271999999999998</v>
      </c>
      <c r="J519">
        <v>1.091</v>
      </c>
      <c r="K519">
        <v>1.10198</v>
      </c>
      <c r="L519">
        <v>1.15988</v>
      </c>
      <c r="M519">
        <v>1.0834999999999999</v>
      </c>
      <c r="N519">
        <v>0.83899999999999997</v>
      </c>
      <c r="O519">
        <v>0.87466999999999995</v>
      </c>
      <c r="P519">
        <v>1.1559999999999999</v>
      </c>
      <c r="Q519">
        <v>1.11459</v>
      </c>
      <c r="R519">
        <v>1.2470000000000001</v>
      </c>
      <c r="S519">
        <v>0.86094000000000004</v>
      </c>
      <c r="T519">
        <v>0.92407000000000006</v>
      </c>
      <c r="U519">
        <v>0.99027999999999994</v>
      </c>
    </row>
    <row r="520" spans="1:21">
      <c r="A520" s="91">
        <v>39790</v>
      </c>
      <c r="B520" s="86">
        <v>39790</v>
      </c>
      <c r="C520" s="93">
        <v>1.1559357299734099</v>
      </c>
      <c r="D520" s="85" t="s">
        <v>1524</v>
      </c>
      <c r="F520" s="91">
        <v>39790</v>
      </c>
      <c r="G520">
        <v>0.94199999999999995</v>
      </c>
      <c r="H520">
        <v>1.16909</v>
      </c>
      <c r="I520">
        <v>0.94892999999999994</v>
      </c>
      <c r="J520">
        <v>1.141</v>
      </c>
      <c r="K520">
        <v>1.1208499999999999</v>
      </c>
      <c r="L520">
        <v>1.1760299999999999</v>
      </c>
      <c r="M520">
        <v>1.1100300000000001</v>
      </c>
      <c r="N520">
        <v>0.86399999999999999</v>
      </c>
      <c r="O520">
        <v>0.91596</v>
      </c>
      <c r="P520">
        <v>1.1559999999999999</v>
      </c>
      <c r="Q520">
        <v>1.12781</v>
      </c>
      <c r="R520">
        <v>1.252</v>
      </c>
      <c r="S520">
        <v>0.8891</v>
      </c>
      <c r="T520">
        <v>0.97360000000000002</v>
      </c>
      <c r="U520">
        <v>1.0421500000000001</v>
      </c>
    </row>
    <row r="521" spans="1:21">
      <c r="A521" s="91">
        <v>39783</v>
      </c>
      <c r="B521" s="86">
        <v>39783</v>
      </c>
      <c r="C521" s="93">
        <v>1.18828352444893</v>
      </c>
      <c r="D521" s="85" t="s">
        <v>1525</v>
      </c>
      <c r="F521" s="91">
        <v>39783</v>
      </c>
      <c r="G521">
        <v>0.97599999999999998</v>
      </c>
      <c r="H521">
        <v>1.1784000000000001</v>
      </c>
      <c r="I521">
        <v>0.96498000000000006</v>
      </c>
      <c r="J521">
        <v>1.135</v>
      </c>
      <c r="K521">
        <v>1.15978</v>
      </c>
      <c r="L521">
        <v>1.20597</v>
      </c>
      <c r="M521">
        <v>1.1202999999999999</v>
      </c>
      <c r="N521">
        <v>0.86699999999999999</v>
      </c>
      <c r="O521">
        <v>0.94257000000000002</v>
      </c>
      <c r="P521">
        <v>1.1559999999999999</v>
      </c>
      <c r="Q521">
        <v>1.14696</v>
      </c>
      <c r="R521">
        <v>1.2889999999999999</v>
      </c>
      <c r="S521">
        <v>0.90179999999999993</v>
      </c>
      <c r="T521">
        <v>1.01749</v>
      </c>
      <c r="U521">
        <v>1.0869200000000001</v>
      </c>
    </row>
    <row r="522" spans="1:21">
      <c r="A522" s="91">
        <v>39776</v>
      </c>
      <c r="B522" s="86">
        <v>39776</v>
      </c>
      <c r="C522" s="93">
        <v>1.1741223435481998</v>
      </c>
      <c r="D522" s="85" t="s">
        <v>1526</v>
      </c>
      <c r="F522" s="91">
        <v>39776</v>
      </c>
      <c r="G522">
        <v>0.999</v>
      </c>
      <c r="H522">
        <v>1.1792</v>
      </c>
      <c r="I522">
        <v>1.0148900000000001</v>
      </c>
      <c r="J522">
        <v>1.1619999999999999</v>
      </c>
      <c r="K522">
        <v>1.11467</v>
      </c>
      <c r="L522">
        <v>1.1772100000000001</v>
      </c>
      <c r="M522">
        <v>1.1417999999999999</v>
      </c>
      <c r="N522">
        <v>0.90500000000000003</v>
      </c>
      <c r="O522">
        <v>0.96799999999999997</v>
      </c>
      <c r="P522">
        <v>1.1559999999999999</v>
      </c>
      <c r="Q522">
        <v>1.15411</v>
      </c>
      <c r="R522">
        <v>1.2689999999999999</v>
      </c>
      <c r="S522">
        <v>0.90873999999999999</v>
      </c>
      <c r="T522">
        <v>0.99399000000000004</v>
      </c>
      <c r="U522">
        <v>1.08944</v>
      </c>
    </row>
    <row r="523" spans="1:21">
      <c r="A523" s="91">
        <v>39769</v>
      </c>
      <c r="B523" s="86">
        <v>39769</v>
      </c>
      <c r="C523" s="93">
        <v>1.1788977306218698</v>
      </c>
      <c r="D523" s="85" t="s">
        <v>1527</v>
      </c>
      <c r="F523" s="91">
        <v>39769</v>
      </c>
      <c r="G523">
        <v>1.0469999999999999</v>
      </c>
      <c r="H523">
        <v>1.1989799999999999</v>
      </c>
      <c r="I523">
        <v>1.0371700000000001</v>
      </c>
      <c r="J523">
        <v>1.181</v>
      </c>
      <c r="K523">
        <v>1.18028</v>
      </c>
      <c r="L523">
        <v>1.34823</v>
      </c>
      <c r="M523">
        <v>1.1747999999999998</v>
      </c>
      <c r="N523">
        <v>0.93400000000000005</v>
      </c>
      <c r="O523">
        <v>0.96410000000000007</v>
      </c>
      <c r="P523">
        <v>1.258</v>
      </c>
      <c r="Q523">
        <v>1.1997599999999999</v>
      </c>
      <c r="R523">
        <v>1.327</v>
      </c>
      <c r="S523">
        <v>0.94413999999999998</v>
      </c>
      <c r="T523">
        <v>1.0726500000000001</v>
      </c>
      <c r="U523">
        <v>1.1179700000000001</v>
      </c>
    </row>
    <row r="524" spans="1:21">
      <c r="A524" s="91">
        <v>39762</v>
      </c>
      <c r="B524" s="86">
        <v>39762</v>
      </c>
      <c r="C524" s="93">
        <v>1.22473974280465</v>
      </c>
      <c r="D524" s="85" t="s">
        <v>1528</v>
      </c>
      <c r="F524" s="91">
        <v>39762</v>
      </c>
      <c r="G524">
        <v>1.083</v>
      </c>
      <c r="H524">
        <v>1.2369100000000002</v>
      </c>
      <c r="I524">
        <v>1.06742</v>
      </c>
      <c r="J524">
        <v>1.2150000000000001</v>
      </c>
      <c r="K524">
        <v>1.17639</v>
      </c>
      <c r="L524">
        <v>1.35209</v>
      </c>
      <c r="M524">
        <v>1.2019300000000002</v>
      </c>
      <c r="N524">
        <v>0.96899999999999997</v>
      </c>
      <c r="O524">
        <v>1.00125</v>
      </c>
      <c r="P524">
        <v>1.258</v>
      </c>
      <c r="Q524">
        <v>1.22251</v>
      </c>
      <c r="R524">
        <v>1.3380000000000001</v>
      </c>
      <c r="S524">
        <v>0.96675999999999995</v>
      </c>
      <c r="T524">
        <v>1.0767200000000001</v>
      </c>
      <c r="U524">
        <v>1.17442</v>
      </c>
    </row>
    <row r="525" spans="1:21">
      <c r="A525" s="91">
        <v>39755</v>
      </c>
      <c r="B525" s="86">
        <v>39755</v>
      </c>
      <c r="C525" s="93">
        <v>1.2548625925461199</v>
      </c>
      <c r="D525" s="85" t="s">
        <v>1529</v>
      </c>
      <c r="F525" s="91">
        <v>39755</v>
      </c>
      <c r="G525">
        <v>1.083</v>
      </c>
      <c r="H525">
        <v>1.2369100000000002</v>
      </c>
      <c r="I525">
        <v>1.1575799999999998</v>
      </c>
      <c r="J525">
        <v>1.2544999999999999</v>
      </c>
      <c r="K525">
        <v>1.20764</v>
      </c>
      <c r="L525">
        <v>1.4129800000000001</v>
      </c>
      <c r="M525">
        <v>1.2305299999999999</v>
      </c>
      <c r="N525">
        <v>0.997</v>
      </c>
      <c r="O525">
        <v>1.0560799999999999</v>
      </c>
      <c r="P525">
        <v>1.258</v>
      </c>
      <c r="Q525">
        <v>1.25569</v>
      </c>
      <c r="R525">
        <v>1.361</v>
      </c>
      <c r="S525">
        <v>0.99053999999999998</v>
      </c>
      <c r="T525">
        <v>1.1206800000000001</v>
      </c>
      <c r="U525">
        <v>1.22224</v>
      </c>
    </row>
    <row r="526" spans="1:21">
      <c r="A526" s="91">
        <v>39748</v>
      </c>
      <c r="B526" s="86">
        <v>39748</v>
      </c>
      <c r="C526" s="93">
        <v>1.2402331638347999</v>
      </c>
      <c r="D526" s="85" t="s">
        <v>1051</v>
      </c>
      <c r="F526" s="91">
        <v>39748</v>
      </c>
      <c r="G526">
        <v>1.105</v>
      </c>
      <c r="H526">
        <v>1.2755000000000001</v>
      </c>
      <c r="I526">
        <v>1.19868</v>
      </c>
      <c r="J526">
        <v>1.282</v>
      </c>
      <c r="K526">
        <v>1.2532699999999999</v>
      </c>
      <c r="L526">
        <v>1.4129800000000001</v>
      </c>
      <c r="M526">
        <v>1.24248</v>
      </c>
      <c r="N526">
        <v>1.006</v>
      </c>
      <c r="O526">
        <v>1.0177499999999999</v>
      </c>
      <c r="P526">
        <v>1.258</v>
      </c>
      <c r="Q526">
        <v>1.2665299999999999</v>
      </c>
      <c r="R526">
        <v>1.387</v>
      </c>
      <c r="S526">
        <v>1.02271</v>
      </c>
      <c r="T526">
        <v>1.1232200000000001</v>
      </c>
      <c r="U526">
        <v>1.2231400000000001</v>
      </c>
    </row>
    <row r="527" spans="1:21">
      <c r="A527" s="91">
        <v>39741</v>
      </c>
      <c r="B527" s="86">
        <v>39741</v>
      </c>
      <c r="C527" s="93">
        <v>1.2959243180198299</v>
      </c>
      <c r="D527" s="85" t="s">
        <v>1530</v>
      </c>
      <c r="F527" s="91">
        <v>39741</v>
      </c>
      <c r="G527">
        <v>1.121</v>
      </c>
      <c r="H527">
        <v>1.3147</v>
      </c>
      <c r="I527">
        <v>1.1834200000000001</v>
      </c>
      <c r="J527">
        <v>1.2669999999999999</v>
      </c>
      <c r="K527">
        <v>1.23159</v>
      </c>
      <c r="L527">
        <v>1.40229</v>
      </c>
      <c r="M527">
        <v>1.2768599999999999</v>
      </c>
      <c r="N527">
        <v>1.056</v>
      </c>
      <c r="O527">
        <v>1.0657799999999999</v>
      </c>
      <c r="P527">
        <v>1.258</v>
      </c>
      <c r="Q527">
        <v>1.2928499999999998</v>
      </c>
      <c r="R527">
        <v>1.403</v>
      </c>
      <c r="S527">
        <v>1.0576300000000001</v>
      </c>
      <c r="T527">
        <v>1.1432599999999999</v>
      </c>
      <c r="U527">
        <v>1.3303699999999998</v>
      </c>
    </row>
    <row r="528" spans="1:21">
      <c r="A528" s="91">
        <v>39734</v>
      </c>
      <c r="B528" s="86">
        <v>39734</v>
      </c>
      <c r="C528" s="93">
        <v>1.2732365673542101</v>
      </c>
      <c r="D528" s="85" t="s">
        <v>1531</v>
      </c>
      <c r="F528" s="91">
        <v>39734</v>
      </c>
      <c r="G528">
        <v>1.171</v>
      </c>
      <c r="H528">
        <v>1.36555</v>
      </c>
      <c r="I528">
        <v>1.2337199999999999</v>
      </c>
      <c r="J528">
        <v>1.3520000000000001</v>
      </c>
      <c r="K528">
        <v>1.3364500000000001</v>
      </c>
      <c r="L528">
        <v>1.4826900000000001</v>
      </c>
      <c r="M528">
        <v>1.3424400000000001</v>
      </c>
      <c r="N528">
        <v>1.1220000000000001</v>
      </c>
      <c r="O528">
        <v>1.16133</v>
      </c>
      <c r="P528">
        <v>1.276</v>
      </c>
      <c r="Q528">
        <v>1.35151</v>
      </c>
      <c r="R528">
        <v>1.466</v>
      </c>
      <c r="S528">
        <v>1.1113199999999999</v>
      </c>
      <c r="T528">
        <v>1.23489</v>
      </c>
      <c r="U528">
        <v>1.3628699999999998</v>
      </c>
    </row>
    <row r="529" spans="1:21">
      <c r="A529" s="91">
        <v>39727</v>
      </c>
      <c r="B529" s="86">
        <v>39727</v>
      </c>
      <c r="C529" s="93">
        <v>1.2939958592132501</v>
      </c>
      <c r="D529" s="85" t="s">
        <v>1532</v>
      </c>
      <c r="F529" s="91">
        <v>39727</v>
      </c>
      <c r="G529">
        <v>1.1819999999999999</v>
      </c>
      <c r="H529">
        <v>1.3494000000000002</v>
      </c>
      <c r="I529">
        <v>1.2382200000000001</v>
      </c>
      <c r="J529">
        <v>1.4157500000000001</v>
      </c>
      <c r="K529">
        <v>1.3914600000000001</v>
      </c>
      <c r="L529">
        <v>1.5259100000000001</v>
      </c>
      <c r="M529">
        <v>1.3820999999999999</v>
      </c>
      <c r="N529">
        <v>1.153</v>
      </c>
      <c r="O529">
        <v>1.20038</v>
      </c>
      <c r="P529">
        <v>1.276</v>
      </c>
      <c r="Q529">
        <v>1.4038299999999999</v>
      </c>
      <c r="R529">
        <v>1.5309999999999999</v>
      </c>
      <c r="S529">
        <v>1.14035</v>
      </c>
      <c r="T529">
        <v>1.30453</v>
      </c>
      <c r="U529">
        <v>1.4162999999999999</v>
      </c>
    </row>
    <row r="530" spans="1:21">
      <c r="A530" s="91">
        <v>39720</v>
      </c>
      <c r="B530" s="86">
        <v>39720</v>
      </c>
      <c r="C530" s="93">
        <v>1.2564392511622098</v>
      </c>
      <c r="D530" s="85" t="s">
        <v>1533</v>
      </c>
      <c r="F530" s="91">
        <v>39720</v>
      </c>
      <c r="G530">
        <v>1.2190000000000001</v>
      </c>
      <c r="H530">
        <v>1.42059</v>
      </c>
      <c r="I530">
        <v>1.25206</v>
      </c>
      <c r="J530">
        <v>1.4185000000000001</v>
      </c>
      <c r="K530">
        <v>1.40879</v>
      </c>
      <c r="L530">
        <v>1.53651</v>
      </c>
      <c r="M530">
        <v>1.38808</v>
      </c>
      <c r="N530">
        <v>1.165</v>
      </c>
      <c r="O530">
        <v>1.2387600000000001</v>
      </c>
      <c r="P530">
        <v>1.276</v>
      </c>
      <c r="Q530">
        <v>1.4133900000000001</v>
      </c>
      <c r="R530">
        <v>1.569</v>
      </c>
      <c r="S530">
        <v>1.14402</v>
      </c>
      <c r="T530">
        <v>1.3339000000000001</v>
      </c>
      <c r="U530">
        <v>1.38019</v>
      </c>
    </row>
    <row r="531" spans="1:21">
      <c r="A531" s="91">
        <v>39713</v>
      </c>
      <c r="B531" s="86">
        <v>39713</v>
      </c>
      <c r="C531" s="93">
        <v>1.2626262626262601</v>
      </c>
      <c r="D531" s="85" t="s">
        <v>1534</v>
      </c>
      <c r="F531" s="91">
        <v>39713</v>
      </c>
      <c r="G531">
        <v>1.22</v>
      </c>
      <c r="H531">
        <v>1.4221199999999998</v>
      </c>
      <c r="I531">
        <v>1.2960699999999998</v>
      </c>
      <c r="J531">
        <v>1.421</v>
      </c>
      <c r="K531">
        <v>1.37144</v>
      </c>
      <c r="L531">
        <v>1.4990000000000001</v>
      </c>
      <c r="M531">
        <v>1.3912899999999999</v>
      </c>
      <c r="N531">
        <v>1.1579999999999999</v>
      </c>
      <c r="O531">
        <v>1.28487</v>
      </c>
      <c r="P531">
        <v>1.329</v>
      </c>
      <c r="Q531">
        <v>1.40547</v>
      </c>
      <c r="R531">
        <v>1.615</v>
      </c>
      <c r="S531">
        <v>1.1616600000000001</v>
      </c>
      <c r="T531">
        <v>1.3254999999999999</v>
      </c>
      <c r="U531">
        <v>1.3991199999999999</v>
      </c>
    </row>
    <row r="532" spans="1:21">
      <c r="A532" s="91">
        <v>39706</v>
      </c>
      <c r="B532" s="86">
        <v>39706</v>
      </c>
      <c r="C532" s="93">
        <v>1.25952515901505</v>
      </c>
      <c r="D532" s="85" t="s">
        <v>1535</v>
      </c>
      <c r="F532" s="91">
        <v>39706</v>
      </c>
      <c r="G532">
        <v>1.26</v>
      </c>
      <c r="H532">
        <v>1.4783499999999998</v>
      </c>
      <c r="I532">
        <v>1.2828900000000001</v>
      </c>
      <c r="J532">
        <v>1.43675</v>
      </c>
      <c r="K532">
        <v>1.4938399999999998</v>
      </c>
      <c r="L532">
        <v>1.52603</v>
      </c>
      <c r="M532">
        <v>1.42666</v>
      </c>
      <c r="N532">
        <v>1.1930000000000001</v>
      </c>
      <c r="O532">
        <v>1.25841</v>
      </c>
      <c r="P532">
        <v>1.329</v>
      </c>
      <c r="Q532">
        <v>1.4445299999999999</v>
      </c>
      <c r="R532">
        <v>1.631</v>
      </c>
      <c r="S532">
        <v>1.18319</v>
      </c>
      <c r="T532">
        <v>1.4175199999999999</v>
      </c>
      <c r="U532">
        <v>1.4171199999999999</v>
      </c>
    </row>
    <row r="533" spans="1:21">
      <c r="A533" s="91">
        <v>39699</v>
      </c>
      <c r="B533" s="86">
        <v>39699</v>
      </c>
      <c r="C533" s="93">
        <v>1.2388503468781</v>
      </c>
      <c r="D533" s="85" t="s">
        <v>1536</v>
      </c>
      <c r="F533" s="91">
        <v>39699</v>
      </c>
      <c r="G533">
        <v>1.268</v>
      </c>
      <c r="H533">
        <v>1.47373</v>
      </c>
      <c r="I533">
        <v>1.2557100000000001</v>
      </c>
      <c r="J533">
        <v>1.45475</v>
      </c>
      <c r="K533">
        <v>1.4563900000000001</v>
      </c>
      <c r="L533">
        <v>1.4937400000000001</v>
      </c>
      <c r="M533">
        <v>1.4255100000000001</v>
      </c>
      <c r="N533">
        <v>1.2</v>
      </c>
      <c r="O533">
        <v>1.2577499999999999</v>
      </c>
      <c r="P533">
        <v>1.329</v>
      </c>
      <c r="Q533">
        <v>1.4456900000000001</v>
      </c>
      <c r="R533">
        <v>1.629</v>
      </c>
      <c r="S533">
        <v>1.18588</v>
      </c>
      <c r="T533">
        <v>1.39971</v>
      </c>
      <c r="U533">
        <v>1.3899600000000001</v>
      </c>
    </row>
    <row r="534" spans="1:21">
      <c r="A534" s="91">
        <v>39692</v>
      </c>
      <c r="B534" s="86">
        <v>39692</v>
      </c>
      <c r="C534" s="93">
        <v>1.2320581531448298</v>
      </c>
      <c r="D534" s="85" t="s">
        <v>1537</v>
      </c>
      <c r="F534" s="91">
        <v>39692</v>
      </c>
      <c r="G534">
        <v>1.304</v>
      </c>
      <c r="H534">
        <v>1.44967</v>
      </c>
      <c r="I534">
        <v>1.25525</v>
      </c>
      <c r="J534">
        <v>1.4697499999999999</v>
      </c>
      <c r="K534">
        <v>1.4818499999999999</v>
      </c>
      <c r="L534">
        <v>1.5162800000000001</v>
      </c>
      <c r="M534">
        <v>1.43645</v>
      </c>
      <c r="N534">
        <v>1.1950000000000001</v>
      </c>
      <c r="O534">
        <v>1.2634400000000001</v>
      </c>
      <c r="P534">
        <v>1.329</v>
      </c>
      <c r="Q534">
        <v>1.4541300000000001</v>
      </c>
      <c r="R534">
        <v>1.629</v>
      </c>
      <c r="S534">
        <v>1.1944600000000001</v>
      </c>
      <c r="T534">
        <v>1.4100299999999999</v>
      </c>
      <c r="U534">
        <v>1.3823399999999999</v>
      </c>
    </row>
    <row r="535" spans="1:21">
      <c r="A535" s="91">
        <v>39685</v>
      </c>
      <c r="B535" s="86">
        <v>39685</v>
      </c>
      <c r="C535" s="93">
        <v>1.2553351744915899</v>
      </c>
      <c r="D535" s="85" t="s">
        <v>1538</v>
      </c>
      <c r="F535" s="91">
        <v>39685</v>
      </c>
      <c r="G535">
        <v>1.278</v>
      </c>
      <c r="H535">
        <v>1.4683299999999999</v>
      </c>
      <c r="I535">
        <v>1.2800199999999999</v>
      </c>
      <c r="J535">
        <v>1.4855</v>
      </c>
      <c r="K535">
        <v>1.49072</v>
      </c>
      <c r="L535">
        <v>1.52233</v>
      </c>
      <c r="M535">
        <v>1.4209799999999999</v>
      </c>
      <c r="N535">
        <v>1.1850000000000001</v>
      </c>
      <c r="O535">
        <v>1.28169</v>
      </c>
      <c r="P535">
        <v>1.329</v>
      </c>
      <c r="Q535">
        <v>1.4503499999999998</v>
      </c>
      <c r="R535">
        <v>1.619</v>
      </c>
      <c r="S535">
        <v>1.18929</v>
      </c>
      <c r="T535">
        <v>1.3945000000000001</v>
      </c>
      <c r="U535">
        <v>1.4062600000000001</v>
      </c>
    </row>
    <row r="536" spans="1:21">
      <c r="A536" s="91">
        <v>39678</v>
      </c>
      <c r="B536" s="86">
        <v>39678</v>
      </c>
      <c r="C536" s="93">
        <v>1.2688745083111299</v>
      </c>
      <c r="D536" s="85" t="s">
        <v>1539</v>
      </c>
      <c r="F536" s="91">
        <v>39678</v>
      </c>
      <c r="G536">
        <v>1.2709999999999999</v>
      </c>
      <c r="H536">
        <v>1.47427</v>
      </c>
      <c r="I536">
        <v>1.2801500000000001</v>
      </c>
      <c r="J536">
        <v>1.4352499999999999</v>
      </c>
      <c r="K536">
        <v>1.4613800000000001</v>
      </c>
      <c r="L536">
        <v>1.5465799999999998</v>
      </c>
      <c r="M536">
        <v>1.4168000000000001</v>
      </c>
      <c r="N536">
        <v>1.1919999999999999</v>
      </c>
      <c r="O536">
        <v>1.26919</v>
      </c>
      <c r="P536">
        <v>1.329</v>
      </c>
      <c r="Q536">
        <v>1.4485399999999999</v>
      </c>
      <c r="R536">
        <v>1.599</v>
      </c>
      <c r="S536">
        <v>1.19211</v>
      </c>
      <c r="T536">
        <v>1.39503</v>
      </c>
      <c r="U536">
        <v>1.42387</v>
      </c>
    </row>
    <row r="537" spans="1:21">
      <c r="A537" s="91">
        <v>39671</v>
      </c>
      <c r="B537" s="86">
        <v>39671</v>
      </c>
      <c r="C537" s="93">
        <v>1.27934497537261</v>
      </c>
      <c r="D537" s="85" t="s">
        <v>1540</v>
      </c>
      <c r="F537" s="91">
        <v>39671</v>
      </c>
      <c r="G537">
        <v>1.2849999999999999</v>
      </c>
      <c r="H537">
        <v>1.4838</v>
      </c>
      <c r="I537">
        <v>1.3161700000000001</v>
      </c>
      <c r="J537">
        <v>1.4670000000000001</v>
      </c>
      <c r="K537">
        <v>1.4584999999999999</v>
      </c>
      <c r="L537">
        <v>1.5549900000000001</v>
      </c>
      <c r="M537">
        <v>1.4182999999999999</v>
      </c>
      <c r="N537">
        <v>1.2</v>
      </c>
      <c r="O537">
        <v>1.28241</v>
      </c>
      <c r="P537">
        <v>1.33</v>
      </c>
      <c r="Q537">
        <v>1.4532</v>
      </c>
      <c r="R537">
        <v>1.597</v>
      </c>
      <c r="S537">
        <v>1.1968599999999998</v>
      </c>
      <c r="T537">
        <v>1.38757</v>
      </c>
      <c r="U537">
        <v>1.45746</v>
      </c>
    </row>
    <row r="538" spans="1:21">
      <c r="A538" s="91">
        <v>39664</v>
      </c>
      <c r="B538" s="86">
        <v>39664</v>
      </c>
      <c r="C538" s="93">
        <v>1.2631844880944898</v>
      </c>
      <c r="D538" s="85" t="s">
        <v>1076</v>
      </c>
      <c r="F538" s="91">
        <v>39664</v>
      </c>
      <c r="G538">
        <v>1.284</v>
      </c>
      <c r="H538">
        <v>1.48817</v>
      </c>
      <c r="I538">
        <v>1.33504</v>
      </c>
      <c r="J538">
        <v>1.4470000000000001</v>
      </c>
      <c r="K538">
        <v>1.4637100000000001</v>
      </c>
      <c r="L538">
        <v>1.5396800000000002</v>
      </c>
      <c r="M538">
        <v>1.4194100000000001</v>
      </c>
      <c r="N538">
        <v>1.21</v>
      </c>
      <c r="O538">
        <v>1.29888</v>
      </c>
      <c r="P538">
        <v>1.33</v>
      </c>
      <c r="Q538">
        <v>1.4674500000000001</v>
      </c>
      <c r="R538">
        <v>1.609</v>
      </c>
      <c r="S538">
        <v>1.21244</v>
      </c>
      <c r="T538">
        <v>1.4001700000000001</v>
      </c>
      <c r="U538">
        <v>1.4534200000000002</v>
      </c>
    </row>
    <row r="539" spans="1:21">
      <c r="A539" s="91">
        <v>39657</v>
      </c>
      <c r="B539" s="86">
        <v>39657</v>
      </c>
      <c r="C539" s="93">
        <v>1.2618296529968498</v>
      </c>
      <c r="D539" s="85" t="s">
        <v>1541</v>
      </c>
      <c r="F539" s="91">
        <v>39657</v>
      </c>
      <c r="G539">
        <v>1.2789999999999999</v>
      </c>
      <c r="H539">
        <v>1.5235300000000001</v>
      </c>
      <c r="I539">
        <v>1.3689800000000001</v>
      </c>
      <c r="J539">
        <v>1.4444999999999999</v>
      </c>
      <c r="K539">
        <v>1.4567699999999999</v>
      </c>
      <c r="L539">
        <v>1.6829799999999999</v>
      </c>
      <c r="M539">
        <v>1.4427399999999999</v>
      </c>
      <c r="N539">
        <v>1.2450000000000001</v>
      </c>
      <c r="O539">
        <v>1.3453299999999999</v>
      </c>
      <c r="P539">
        <v>1.298</v>
      </c>
      <c r="Q539">
        <v>1.4896400000000001</v>
      </c>
      <c r="R539">
        <v>1.611</v>
      </c>
      <c r="S539">
        <v>1.2340499999999999</v>
      </c>
      <c r="T539">
        <v>1.38992</v>
      </c>
      <c r="U539">
        <v>1.47522</v>
      </c>
    </row>
    <row r="540" spans="1:21">
      <c r="A540" s="91">
        <v>39650</v>
      </c>
      <c r="B540" s="86">
        <v>39650</v>
      </c>
      <c r="C540" s="93">
        <v>1.25849484017116</v>
      </c>
      <c r="D540" s="85" t="s">
        <v>1542</v>
      </c>
      <c r="F540" s="91">
        <v>39650</v>
      </c>
      <c r="G540">
        <v>1.3169999999999999</v>
      </c>
      <c r="H540">
        <v>1.5615699999999999</v>
      </c>
      <c r="I540">
        <v>1.4206300000000001</v>
      </c>
      <c r="J540">
        <v>1.482</v>
      </c>
      <c r="K540">
        <v>1.5010599999999998</v>
      </c>
      <c r="L540">
        <v>1.5380999999999998</v>
      </c>
      <c r="M540">
        <v>1.4782999999999999</v>
      </c>
      <c r="N540">
        <v>1.2689999999999999</v>
      </c>
      <c r="O540">
        <v>1.3757900000000001</v>
      </c>
      <c r="P540">
        <v>1.298</v>
      </c>
      <c r="Q540">
        <v>1.5241199999999999</v>
      </c>
      <c r="R540">
        <v>1.6870000000000001</v>
      </c>
      <c r="S540">
        <v>1.2641600000000002</v>
      </c>
      <c r="T540">
        <v>1.41106</v>
      </c>
      <c r="U540">
        <v>1.5026600000000001</v>
      </c>
    </row>
    <row r="541" spans="1:21">
      <c r="A541" s="91">
        <v>39643</v>
      </c>
      <c r="B541" s="86">
        <v>39643</v>
      </c>
      <c r="C541" s="93">
        <v>1.25391849529781</v>
      </c>
      <c r="D541" s="85" t="s">
        <v>1543</v>
      </c>
      <c r="F541" s="91">
        <v>39643</v>
      </c>
      <c r="G541">
        <v>1.3129999999999999</v>
      </c>
      <c r="H541">
        <v>1.5615699999999999</v>
      </c>
      <c r="I541">
        <v>1.4041199999999998</v>
      </c>
      <c r="J541">
        <v>1.53925</v>
      </c>
      <c r="K541">
        <v>1.52935</v>
      </c>
      <c r="L541">
        <v>1.5380999999999998</v>
      </c>
      <c r="M541">
        <v>1.4861800000000001</v>
      </c>
      <c r="N541">
        <v>1.2709999999999999</v>
      </c>
      <c r="O541">
        <v>1.3951900000000002</v>
      </c>
      <c r="P541">
        <v>1.298</v>
      </c>
      <c r="Q541">
        <v>1.5323499999999999</v>
      </c>
      <c r="R541">
        <v>1.6870000000000001</v>
      </c>
      <c r="S541">
        <v>1.27694</v>
      </c>
      <c r="T541">
        <v>1.4618599999999999</v>
      </c>
      <c r="U541">
        <v>1.49766</v>
      </c>
    </row>
    <row r="542" spans="1:21">
      <c r="A542" s="91">
        <v>39636</v>
      </c>
      <c r="B542" s="86">
        <v>39636</v>
      </c>
      <c r="C542" s="93">
        <v>1.2558081125204101</v>
      </c>
      <c r="D542" s="85" t="s">
        <v>1544</v>
      </c>
      <c r="F542" s="91">
        <v>39636</v>
      </c>
      <c r="G542">
        <v>1.329</v>
      </c>
      <c r="H542">
        <v>1.57467</v>
      </c>
      <c r="I542">
        <v>1.3915899999999999</v>
      </c>
      <c r="J542">
        <v>1.5602499999999999</v>
      </c>
      <c r="K542">
        <v>1.5434700000000001</v>
      </c>
      <c r="L542">
        <v>1.5380999999999998</v>
      </c>
      <c r="M542">
        <v>1.49017</v>
      </c>
      <c r="N542">
        <v>1.27</v>
      </c>
      <c r="O542">
        <v>1.3552599999999999</v>
      </c>
      <c r="P542">
        <v>1.298</v>
      </c>
      <c r="Q542">
        <v>1.5283</v>
      </c>
      <c r="R542">
        <v>1.7889999999999999</v>
      </c>
      <c r="S542">
        <v>1.27074</v>
      </c>
      <c r="T542">
        <v>1.4819500000000001</v>
      </c>
      <c r="U542">
        <v>1.4978800000000001</v>
      </c>
    </row>
    <row r="543" spans="1:21">
      <c r="A543" s="91">
        <v>39629</v>
      </c>
      <c r="B543" s="86">
        <v>39629</v>
      </c>
      <c r="C543" s="93">
        <v>1.2622278321236999</v>
      </c>
      <c r="D543" s="85" t="s">
        <v>1545</v>
      </c>
      <c r="F543" s="91">
        <v>39629</v>
      </c>
      <c r="G543">
        <v>1.347</v>
      </c>
      <c r="H543">
        <v>1.56697</v>
      </c>
      <c r="I543">
        <v>1.37371</v>
      </c>
      <c r="J543">
        <v>1.5445</v>
      </c>
      <c r="K543">
        <v>1.5379700000000001</v>
      </c>
      <c r="L543">
        <v>1.5380999999999998</v>
      </c>
      <c r="M543">
        <v>1.4909300000000001</v>
      </c>
      <c r="N543">
        <v>1.2669999999999999</v>
      </c>
      <c r="O543">
        <v>1.34067</v>
      </c>
      <c r="P543">
        <v>1.298</v>
      </c>
      <c r="Q543">
        <v>1.5249699999999999</v>
      </c>
      <c r="R543">
        <v>1.681</v>
      </c>
      <c r="S543">
        <v>1.26061</v>
      </c>
      <c r="T543">
        <v>1.4614100000000001</v>
      </c>
      <c r="U543">
        <v>1.5000899999999999</v>
      </c>
    </row>
    <row r="544" spans="1:21">
      <c r="A544" s="91">
        <v>39622</v>
      </c>
      <c r="B544" s="86">
        <v>39622</v>
      </c>
      <c r="C544" s="93">
        <v>1.2633440717579401</v>
      </c>
      <c r="D544" s="85" t="s">
        <v>1048</v>
      </c>
      <c r="F544" s="91">
        <v>39622</v>
      </c>
      <c r="G544">
        <v>1.321</v>
      </c>
      <c r="H544">
        <v>1.53593</v>
      </c>
      <c r="I544">
        <v>1.3624000000000001</v>
      </c>
      <c r="J544">
        <v>1.5109999999999999</v>
      </c>
      <c r="K544">
        <v>1.53118</v>
      </c>
      <c r="L544">
        <v>1.5380999999999998</v>
      </c>
      <c r="M544">
        <v>1.4971300000000001</v>
      </c>
      <c r="N544">
        <v>1.2669999999999999</v>
      </c>
      <c r="O544">
        <v>1.3181700000000001</v>
      </c>
      <c r="P544">
        <v>1.2370000000000001</v>
      </c>
      <c r="Q544">
        <v>1.5250299999999999</v>
      </c>
      <c r="R544">
        <v>1.6850000000000001</v>
      </c>
      <c r="S544">
        <v>1.25559</v>
      </c>
      <c r="T544">
        <v>1.4734200000000002</v>
      </c>
      <c r="U544">
        <v>1.4963</v>
      </c>
    </row>
    <row r="545" spans="1:21">
      <c r="A545" s="91">
        <v>39615</v>
      </c>
      <c r="B545" s="86">
        <v>39615</v>
      </c>
      <c r="C545" s="93">
        <v>1.2701638511367999</v>
      </c>
      <c r="D545" s="85" t="s">
        <v>1546</v>
      </c>
      <c r="F545" s="91">
        <v>39615</v>
      </c>
      <c r="G545">
        <v>1.345</v>
      </c>
      <c r="H545">
        <v>1.5403</v>
      </c>
      <c r="I545">
        <v>1.3584700000000001</v>
      </c>
      <c r="J545">
        <v>1.5155000000000001</v>
      </c>
      <c r="K545">
        <v>1.5325599999999999</v>
      </c>
      <c r="L545">
        <v>1.5380999999999998</v>
      </c>
      <c r="M545">
        <v>1.49352</v>
      </c>
      <c r="N545">
        <v>1.256</v>
      </c>
      <c r="O545">
        <v>1.2569399999999999</v>
      </c>
      <c r="P545">
        <v>1.2370000000000001</v>
      </c>
      <c r="Q545">
        <v>1.52464</v>
      </c>
      <c r="R545">
        <v>1.681</v>
      </c>
      <c r="S545">
        <v>1.2515999999999998</v>
      </c>
      <c r="T545">
        <v>1.47018</v>
      </c>
      <c r="U545">
        <v>1.4949000000000001</v>
      </c>
    </row>
    <row r="546" spans="1:21">
      <c r="A546" s="91">
        <v>39608</v>
      </c>
      <c r="B546" s="86">
        <v>39608</v>
      </c>
      <c r="C546" s="93">
        <v>1.25407574617507</v>
      </c>
      <c r="D546" s="85" t="s">
        <v>1547</v>
      </c>
      <c r="F546" s="91">
        <v>39608</v>
      </c>
      <c r="G546">
        <v>1.341</v>
      </c>
      <c r="H546">
        <v>1.5338699999999998</v>
      </c>
      <c r="I546">
        <v>1.33538</v>
      </c>
      <c r="J546">
        <v>1.50525</v>
      </c>
      <c r="K546">
        <v>1.4906400000000002</v>
      </c>
      <c r="L546">
        <v>1.4951199999999998</v>
      </c>
      <c r="M546">
        <v>1.4712799999999999</v>
      </c>
      <c r="N546">
        <v>1.2490000000000001</v>
      </c>
      <c r="O546">
        <v>1.25728</v>
      </c>
      <c r="P546">
        <v>1.2370000000000001</v>
      </c>
      <c r="Q546">
        <v>1.50278</v>
      </c>
      <c r="R546">
        <v>1.6830000000000001</v>
      </c>
      <c r="S546">
        <v>1.23712</v>
      </c>
      <c r="T546">
        <v>1.43774</v>
      </c>
      <c r="U546">
        <v>1.4654800000000001</v>
      </c>
    </row>
    <row r="547" spans="1:21">
      <c r="A547" s="91">
        <v>39601</v>
      </c>
      <c r="B547" s="86">
        <v>39601</v>
      </c>
      <c r="C547" s="93">
        <v>1.2722646310432599</v>
      </c>
      <c r="D547" s="85" t="s">
        <v>1548</v>
      </c>
      <c r="F547" s="91">
        <v>39601</v>
      </c>
      <c r="G547">
        <v>1.319</v>
      </c>
      <c r="H547">
        <v>1.5416300000000001</v>
      </c>
      <c r="I547">
        <v>1.3122199999999999</v>
      </c>
      <c r="J547">
        <v>1.4970000000000001</v>
      </c>
      <c r="K547">
        <v>1.5284</v>
      </c>
      <c r="L547">
        <v>1.5245499999999998</v>
      </c>
      <c r="M547">
        <v>1.47553</v>
      </c>
      <c r="N547">
        <v>1.2390000000000001</v>
      </c>
      <c r="O547">
        <v>1.28854</v>
      </c>
      <c r="P547">
        <v>1.206</v>
      </c>
      <c r="Q547">
        <v>1.4964000000000002</v>
      </c>
      <c r="R547">
        <v>1.6579999999999999</v>
      </c>
      <c r="S547">
        <v>1.2335199999999999</v>
      </c>
      <c r="T547">
        <v>1.4622599999999999</v>
      </c>
      <c r="U547">
        <v>1.47617</v>
      </c>
    </row>
    <row r="548" spans="1:21">
      <c r="A548" s="91">
        <v>39594</v>
      </c>
      <c r="B548" s="86">
        <v>39594</v>
      </c>
      <c r="C548" s="93">
        <v>1.25881168177241</v>
      </c>
      <c r="D548" s="85" t="s">
        <v>1549</v>
      </c>
      <c r="F548" s="91">
        <v>39594</v>
      </c>
      <c r="G548">
        <v>1.3109999999999999</v>
      </c>
      <c r="H548">
        <v>1.5309300000000001</v>
      </c>
      <c r="I548">
        <v>1.2961800000000001</v>
      </c>
      <c r="J548">
        <v>1.4870000000000001</v>
      </c>
      <c r="K548">
        <v>1.50532</v>
      </c>
      <c r="L548">
        <v>1.5025200000000001</v>
      </c>
      <c r="M548">
        <v>1.4659</v>
      </c>
      <c r="N548">
        <v>1.228</v>
      </c>
      <c r="O548">
        <v>1.2693699999999999</v>
      </c>
      <c r="P548">
        <v>1.206</v>
      </c>
      <c r="Q548">
        <v>1.4970999999999999</v>
      </c>
      <c r="R548">
        <v>1.6559999999999999</v>
      </c>
      <c r="S548">
        <v>1.2284600000000001</v>
      </c>
      <c r="T548">
        <v>1.44479</v>
      </c>
      <c r="U548">
        <v>1.44495</v>
      </c>
    </row>
    <row r="549" spans="1:21">
      <c r="A549" s="91">
        <v>39587</v>
      </c>
      <c r="B549" s="86">
        <v>39587</v>
      </c>
      <c r="C549" s="93">
        <v>1.2537612838515499</v>
      </c>
      <c r="D549" s="85" t="s">
        <v>1550</v>
      </c>
      <c r="F549" s="91">
        <v>39587</v>
      </c>
      <c r="G549">
        <v>1.321</v>
      </c>
      <c r="H549">
        <v>1.5068299999999999</v>
      </c>
      <c r="I549">
        <v>1.28548</v>
      </c>
      <c r="J549">
        <v>1.4902500000000001</v>
      </c>
      <c r="K549">
        <v>1.4863599999999999</v>
      </c>
      <c r="L549">
        <v>1.4803199999999999</v>
      </c>
      <c r="M549">
        <v>1.4453699999999998</v>
      </c>
      <c r="N549">
        <v>1.2210000000000001</v>
      </c>
      <c r="O549">
        <v>1.2546400000000002</v>
      </c>
      <c r="P549">
        <v>1.206</v>
      </c>
      <c r="Q549">
        <v>1.47316</v>
      </c>
      <c r="R549">
        <v>1.6259999999999999</v>
      </c>
      <c r="S549">
        <v>1.2050399999999999</v>
      </c>
      <c r="T549">
        <v>1.4471099999999999</v>
      </c>
      <c r="U549">
        <v>1.4162399999999999</v>
      </c>
    </row>
    <row r="550" spans="1:21">
      <c r="A550" s="91">
        <v>39580</v>
      </c>
      <c r="B550" s="86">
        <v>39580</v>
      </c>
      <c r="C550" s="93">
        <v>1.2676681244850101</v>
      </c>
      <c r="D550" s="85" t="s">
        <v>1551</v>
      </c>
      <c r="F550" s="91">
        <v>39580</v>
      </c>
      <c r="G550">
        <v>1.29</v>
      </c>
      <c r="H550">
        <v>1.47553</v>
      </c>
      <c r="I550">
        <v>1.2615999999999998</v>
      </c>
      <c r="J550">
        <v>1.4419999999999999</v>
      </c>
      <c r="K550">
        <v>1.4676099999999999</v>
      </c>
      <c r="L550">
        <v>1.4747699999999999</v>
      </c>
      <c r="M550">
        <v>1.4155199999999999</v>
      </c>
      <c r="N550">
        <v>1.1759999999999999</v>
      </c>
      <c r="O550">
        <v>1.2132799999999999</v>
      </c>
      <c r="P550">
        <v>1.206</v>
      </c>
      <c r="Q550">
        <v>1.4590799999999999</v>
      </c>
      <c r="R550">
        <v>1.619</v>
      </c>
      <c r="S550">
        <v>1.1864300000000001</v>
      </c>
      <c r="T550">
        <v>1.4148399999999999</v>
      </c>
      <c r="U550">
        <v>1.4076500000000001</v>
      </c>
    </row>
    <row r="551" spans="1:21">
      <c r="A551" s="91">
        <v>39573</v>
      </c>
      <c r="B551" s="86">
        <v>39573</v>
      </c>
      <c r="C551" s="93">
        <v>1.27356087620988</v>
      </c>
      <c r="D551" s="85" t="s">
        <v>1552</v>
      </c>
      <c r="F551" s="91">
        <v>39573</v>
      </c>
      <c r="G551">
        <v>1.2749999999999999</v>
      </c>
      <c r="H551">
        <v>1.47553</v>
      </c>
      <c r="I551">
        <v>1.2460899999999999</v>
      </c>
      <c r="J551">
        <v>1.4415</v>
      </c>
      <c r="K551">
        <v>1.40035</v>
      </c>
      <c r="L551">
        <v>1.42482</v>
      </c>
      <c r="M551">
        <v>1.40811</v>
      </c>
      <c r="N551">
        <v>1.171</v>
      </c>
      <c r="O551">
        <v>1.1937899999999999</v>
      </c>
      <c r="P551">
        <v>1.206</v>
      </c>
      <c r="Q551">
        <v>1.4316</v>
      </c>
      <c r="R551">
        <v>1.6</v>
      </c>
      <c r="S551">
        <v>1.1739300000000001</v>
      </c>
      <c r="T551">
        <v>1.3627899999999999</v>
      </c>
      <c r="U551">
        <v>1.4047100000000001</v>
      </c>
    </row>
    <row r="552" spans="1:21">
      <c r="A552" s="91">
        <v>39566</v>
      </c>
      <c r="B552" s="86">
        <v>39566</v>
      </c>
      <c r="C552" s="93">
        <v>1.2743723716069799</v>
      </c>
      <c r="D552" s="85" t="s">
        <v>1553</v>
      </c>
      <c r="F552" s="91">
        <v>39566</v>
      </c>
      <c r="G552">
        <v>1.2549999999999999</v>
      </c>
      <c r="H552">
        <v>1.4685999999999999</v>
      </c>
      <c r="I552">
        <v>1.2240799999999998</v>
      </c>
      <c r="J552">
        <v>1.4415</v>
      </c>
      <c r="K552">
        <v>1.4352100000000001</v>
      </c>
      <c r="L552">
        <v>1.4174200000000001</v>
      </c>
      <c r="M552">
        <v>1.4016600000000001</v>
      </c>
      <c r="N552">
        <v>1.141</v>
      </c>
      <c r="O552">
        <v>1.1891099999999999</v>
      </c>
      <c r="P552">
        <v>1.206</v>
      </c>
      <c r="Q552">
        <v>1.3958499999999998</v>
      </c>
      <c r="R552">
        <v>1.5960000000000001</v>
      </c>
      <c r="S552">
        <v>1.16628</v>
      </c>
      <c r="T552">
        <v>1.3730599999999999</v>
      </c>
      <c r="U552">
        <v>1.3954300000000002</v>
      </c>
    </row>
    <row r="553" spans="1:21">
      <c r="A553" s="91">
        <v>39559</v>
      </c>
      <c r="B553" s="86">
        <v>39559</v>
      </c>
      <c r="C553" s="93">
        <v>1.2489072061945801</v>
      </c>
      <c r="D553" s="85" t="s">
        <v>1554</v>
      </c>
      <c r="F553" s="91">
        <v>39559</v>
      </c>
      <c r="G553">
        <v>1.2410000000000001</v>
      </c>
      <c r="H553">
        <v>1.4298299999999999</v>
      </c>
      <c r="I553">
        <v>1.2262999999999999</v>
      </c>
      <c r="J553">
        <v>1.4235</v>
      </c>
      <c r="K553">
        <v>1.40181</v>
      </c>
      <c r="L553">
        <v>1.44248</v>
      </c>
      <c r="M553">
        <v>1.38293</v>
      </c>
      <c r="N553">
        <v>1.131</v>
      </c>
      <c r="O553">
        <v>1.17662</v>
      </c>
      <c r="P553">
        <v>1.206</v>
      </c>
      <c r="Q553">
        <v>1.3807199999999999</v>
      </c>
      <c r="R553">
        <v>1.577</v>
      </c>
      <c r="S553">
        <v>1.1439900000000001</v>
      </c>
      <c r="T553">
        <v>1.3528099999999998</v>
      </c>
      <c r="U553">
        <v>1.35595</v>
      </c>
    </row>
    <row r="554" spans="1:21">
      <c r="A554" s="91">
        <v>39552</v>
      </c>
      <c r="B554" s="86">
        <v>39552</v>
      </c>
      <c r="C554" s="93">
        <v>1.2521913348359601</v>
      </c>
      <c r="D554" s="85" t="s">
        <v>1555</v>
      </c>
      <c r="F554" s="91">
        <v>39552</v>
      </c>
      <c r="G554">
        <v>1.2370000000000001</v>
      </c>
      <c r="H554">
        <v>1.4224700000000001</v>
      </c>
      <c r="I554">
        <v>1.2341199999999999</v>
      </c>
      <c r="J554">
        <v>1.4107499999999999</v>
      </c>
      <c r="K554">
        <v>1.3904000000000001</v>
      </c>
      <c r="L554">
        <v>1.41456</v>
      </c>
      <c r="M554">
        <v>1.3804000000000001</v>
      </c>
      <c r="N554">
        <v>1.123</v>
      </c>
      <c r="O554">
        <v>1.17702</v>
      </c>
      <c r="P554">
        <v>1.1890000000000001</v>
      </c>
      <c r="Q554">
        <v>1.3804000000000001</v>
      </c>
      <c r="R554">
        <v>1.5569999999999999</v>
      </c>
      <c r="S554">
        <v>1.1306099999999999</v>
      </c>
      <c r="T554">
        <v>1.32256</v>
      </c>
      <c r="U554">
        <v>1.3475200000000001</v>
      </c>
    </row>
    <row r="555" spans="1:21">
      <c r="A555" s="91">
        <v>39545</v>
      </c>
      <c r="B555" s="86">
        <v>39545</v>
      </c>
      <c r="C555" s="93">
        <v>1.2668651422056099</v>
      </c>
      <c r="D555" s="85" t="s">
        <v>1556</v>
      </c>
      <c r="F555" s="91">
        <v>39545</v>
      </c>
      <c r="G555">
        <v>1.2170000000000001</v>
      </c>
      <c r="H555">
        <v>1.41943</v>
      </c>
      <c r="I555">
        <v>1.2268299999999999</v>
      </c>
      <c r="J555">
        <v>1.383</v>
      </c>
      <c r="K555">
        <v>1.41168</v>
      </c>
      <c r="L555">
        <v>1.4315499999999999</v>
      </c>
      <c r="M555">
        <v>1.37096</v>
      </c>
      <c r="N555">
        <v>1.117</v>
      </c>
      <c r="O555">
        <v>1.1692</v>
      </c>
      <c r="P555">
        <v>1.1890000000000001</v>
      </c>
      <c r="Q555">
        <v>1.3642000000000001</v>
      </c>
      <c r="R555">
        <v>1.554</v>
      </c>
      <c r="S555">
        <v>1.1235899999999999</v>
      </c>
      <c r="T555">
        <v>1.3385</v>
      </c>
      <c r="U555">
        <v>1.3585399999999999</v>
      </c>
    </row>
    <row r="556" spans="1:21">
      <c r="A556" s="91">
        <v>39538</v>
      </c>
      <c r="B556" s="86">
        <v>39538</v>
      </c>
      <c r="C556" s="93">
        <v>1.2565971349585299</v>
      </c>
      <c r="D556" s="85" t="s">
        <v>1557</v>
      </c>
      <c r="F556" s="91">
        <v>39538</v>
      </c>
      <c r="G556">
        <v>1.2230000000000001</v>
      </c>
      <c r="H556">
        <v>1.40333</v>
      </c>
      <c r="I556">
        <v>1.2121199999999999</v>
      </c>
      <c r="J556">
        <v>1.3895</v>
      </c>
      <c r="K556">
        <v>1.3866500000000002</v>
      </c>
      <c r="L556">
        <v>1.4079999999999999</v>
      </c>
      <c r="M556">
        <v>1.3655599999999999</v>
      </c>
      <c r="N556">
        <v>1.115</v>
      </c>
      <c r="O556">
        <v>1.14506</v>
      </c>
      <c r="P556">
        <v>1.1890000000000001</v>
      </c>
      <c r="Q556">
        <v>1.3631300000000002</v>
      </c>
      <c r="R556">
        <v>1.54</v>
      </c>
      <c r="S556">
        <v>1.12574</v>
      </c>
      <c r="T556">
        <v>1.3238299999999998</v>
      </c>
      <c r="U556">
        <v>1.3458299999999999</v>
      </c>
    </row>
    <row r="557" spans="1:21">
      <c r="A557" s="91">
        <v>39524</v>
      </c>
      <c r="B557" s="86">
        <v>39524</v>
      </c>
      <c r="C557" s="93">
        <v>1.2727504136438801</v>
      </c>
      <c r="D557" s="85" t="s">
        <v>1558</v>
      </c>
      <c r="F557" s="91">
        <v>39524</v>
      </c>
      <c r="G557">
        <v>1.2450000000000001</v>
      </c>
      <c r="H557">
        <v>1.4359999999999999</v>
      </c>
      <c r="I557">
        <v>1.22976</v>
      </c>
      <c r="J557">
        <v>1.4315</v>
      </c>
      <c r="K557">
        <v>1.3834900000000001</v>
      </c>
      <c r="L557">
        <v>1.4079999999999999</v>
      </c>
      <c r="M557">
        <v>1.3689500000000001</v>
      </c>
      <c r="N557">
        <v>1.1180000000000001</v>
      </c>
      <c r="O557">
        <v>1.1557899999999999</v>
      </c>
      <c r="P557">
        <v>1.1659999999999999</v>
      </c>
      <c r="Q557">
        <v>1.3855200000000001</v>
      </c>
      <c r="R557">
        <v>1.5329999999999999</v>
      </c>
      <c r="S557">
        <v>1.13042</v>
      </c>
      <c r="T557">
        <v>1.3026500000000001</v>
      </c>
      <c r="U557">
        <v>1.3543900000000002</v>
      </c>
    </row>
    <row r="558" spans="1:21">
      <c r="A558" s="91">
        <v>39517</v>
      </c>
      <c r="B558" s="86">
        <v>39517</v>
      </c>
      <c r="C558" s="93">
        <v>1.31492439184747</v>
      </c>
      <c r="D558" s="85" t="s">
        <v>1559</v>
      </c>
      <c r="F558" s="91">
        <v>39517</v>
      </c>
      <c r="G558">
        <v>1.236</v>
      </c>
      <c r="H558">
        <v>1.4407999999999999</v>
      </c>
      <c r="I558">
        <v>1.2300599999999999</v>
      </c>
      <c r="J558">
        <v>1.4179999999999999</v>
      </c>
      <c r="K558">
        <v>1.3731</v>
      </c>
      <c r="L558">
        <v>1.39808</v>
      </c>
      <c r="M558">
        <v>1.3676700000000002</v>
      </c>
      <c r="N558">
        <v>1.1180000000000001</v>
      </c>
      <c r="O558">
        <v>1.14269</v>
      </c>
      <c r="P558">
        <v>1.1659999999999999</v>
      </c>
      <c r="Q558">
        <v>1.3887499999999999</v>
      </c>
      <c r="R558">
        <v>1.5329999999999999</v>
      </c>
      <c r="S558">
        <v>1.12052</v>
      </c>
      <c r="T558">
        <v>1.3139100000000001</v>
      </c>
      <c r="U558">
        <v>1.3932599999999999</v>
      </c>
    </row>
    <row r="559" spans="1:21">
      <c r="A559" s="91">
        <v>39510</v>
      </c>
      <c r="B559" s="86">
        <v>39510</v>
      </c>
      <c r="C559" s="93">
        <v>1.30548302872063</v>
      </c>
      <c r="D559" s="85" t="s">
        <v>1077</v>
      </c>
      <c r="F559" s="91">
        <v>39510</v>
      </c>
      <c r="G559">
        <v>1.222</v>
      </c>
      <c r="H559">
        <v>1.4276300000000002</v>
      </c>
      <c r="I559">
        <v>1.2343599999999999</v>
      </c>
      <c r="J559">
        <v>1.4115</v>
      </c>
      <c r="K559">
        <v>1.3878299999999999</v>
      </c>
      <c r="L559">
        <v>1.4079999999999999</v>
      </c>
      <c r="M559">
        <v>1.3746700000000001</v>
      </c>
      <c r="N559">
        <v>1.1200000000000001</v>
      </c>
      <c r="O559">
        <v>1.1386800000000001</v>
      </c>
      <c r="P559">
        <v>1.1659999999999999</v>
      </c>
      <c r="Q559">
        <v>1.38846</v>
      </c>
      <c r="R559">
        <v>1.5369999999999999</v>
      </c>
      <c r="S559">
        <v>1.1273900000000001</v>
      </c>
      <c r="T559">
        <v>1.3175999999999999</v>
      </c>
      <c r="U559">
        <v>1.3738699999999999</v>
      </c>
    </row>
    <row r="560" spans="1:21">
      <c r="A560" s="91">
        <v>39503</v>
      </c>
      <c r="B560" s="86">
        <v>39503</v>
      </c>
      <c r="C560" s="93">
        <v>1.3267878466233198</v>
      </c>
      <c r="D560" s="85" t="s">
        <v>1091</v>
      </c>
      <c r="F560" s="91">
        <v>39503</v>
      </c>
      <c r="G560">
        <v>1.2370000000000001</v>
      </c>
      <c r="H560">
        <v>1.4568699999999999</v>
      </c>
      <c r="I560">
        <v>1.2407600000000001</v>
      </c>
      <c r="J560">
        <v>1.40425</v>
      </c>
      <c r="K560">
        <v>1.4056199999999999</v>
      </c>
      <c r="L560">
        <v>1.4221300000000001</v>
      </c>
      <c r="M560">
        <v>1.37947</v>
      </c>
      <c r="N560">
        <v>1.1100000000000001</v>
      </c>
      <c r="O560">
        <v>1.13802</v>
      </c>
      <c r="P560">
        <v>1.1659999999999999</v>
      </c>
      <c r="Q560">
        <v>1.3850499999999999</v>
      </c>
      <c r="R560">
        <v>1.55</v>
      </c>
      <c r="S560">
        <v>1.1285399999999999</v>
      </c>
      <c r="T560">
        <v>1.3354200000000001</v>
      </c>
      <c r="U560">
        <v>1.38846</v>
      </c>
    </row>
    <row r="561" spans="1:21">
      <c r="A561" s="91">
        <v>39496</v>
      </c>
      <c r="B561" s="86">
        <v>39496</v>
      </c>
      <c r="C561" s="93">
        <v>1.3328002132480299</v>
      </c>
      <c r="D561" s="85" t="s">
        <v>1560</v>
      </c>
      <c r="F561" s="91">
        <v>39496</v>
      </c>
      <c r="G561">
        <v>1.226</v>
      </c>
      <c r="H561">
        <v>1.4296300000000002</v>
      </c>
      <c r="I561">
        <v>1.2059500000000001</v>
      </c>
      <c r="J561">
        <v>1.3872500000000001</v>
      </c>
      <c r="K561">
        <v>1.38958</v>
      </c>
      <c r="L561">
        <v>1.4642299999999999</v>
      </c>
      <c r="M561">
        <v>1.35551</v>
      </c>
      <c r="N561">
        <v>1.089</v>
      </c>
      <c r="O561">
        <v>1.1170899999999999</v>
      </c>
      <c r="P561">
        <v>1.1950000000000001</v>
      </c>
      <c r="Q561">
        <v>1.3670199999999999</v>
      </c>
      <c r="R561">
        <v>1.5489999999999999</v>
      </c>
      <c r="S561">
        <v>1.11252</v>
      </c>
      <c r="T561">
        <v>1.343</v>
      </c>
      <c r="U561">
        <v>1.38205</v>
      </c>
    </row>
    <row r="562" spans="1:21">
      <c r="A562" s="91">
        <v>39489</v>
      </c>
      <c r="B562" s="86">
        <v>39489</v>
      </c>
      <c r="C562" s="93">
        <v>1.3401232913428001</v>
      </c>
      <c r="D562" s="85" t="s">
        <v>1561</v>
      </c>
      <c r="F562" s="91">
        <v>39489</v>
      </c>
      <c r="G562">
        <v>1.169</v>
      </c>
      <c r="H562">
        <v>1.3929</v>
      </c>
      <c r="I562">
        <v>1.19119</v>
      </c>
      <c r="J562">
        <v>1.33325</v>
      </c>
      <c r="K562">
        <v>1.3456199999999998</v>
      </c>
      <c r="L562">
        <v>1.4274</v>
      </c>
      <c r="M562">
        <v>1.3228900000000001</v>
      </c>
      <c r="N562">
        <v>1.077</v>
      </c>
      <c r="O562">
        <v>1.0997000000000001</v>
      </c>
      <c r="P562">
        <v>1.1950000000000001</v>
      </c>
      <c r="Q562">
        <v>1.3523499999999999</v>
      </c>
      <c r="R562">
        <v>1.518</v>
      </c>
      <c r="S562">
        <v>1.09938</v>
      </c>
      <c r="T562">
        <v>1.29403</v>
      </c>
      <c r="U562">
        <v>1.38931</v>
      </c>
    </row>
    <row r="563" spans="1:21">
      <c r="A563" s="91">
        <v>39482</v>
      </c>
      <c r="B563" s="86">
        <v>39482</v>
      </c>
      <c r="C563" s="93">
        <v>1.3329778725673198</v>
      </c>
      <c r="D563" s="85" t="s">
        <v>1066</v>
      </c>
      <c r="F563" s="91">
        <v>39482</v>
      </c>
      <c r="G563">
        <v>1.18</v>
      </c>
      <c r="H563">
        <v>1.3757000000000001</v>
      </c>
      <c r="I563">
        <v>1.1935499999999999</v>
      </c>
      <c r="J563">
        <v>1.3705000000000001</v>
      </c>
      <c r="K563">
        <v>1.3445</v>
      </c>
      <c r="L563">
        <v>1.42622</v>
      </c>
      <c r="M563">
        <v>1.32636</v>
      </c>
      <c r="N563">
        <v>1.081</v>
      </c>
      <c r="O563">
        <v>1.1321300000000001</v>
      </c>
      <c r="P563">
        <v>1.1950000000000001</v>
      </c>
      <c r="Q563">
        <v>1.3529200000000001</v>
      </c>
      <c r="R563">
        <v>1.4830000000000001</v>
      </c>
      <c r="S563">
        <v>1.0931199999999999</v>
      </c>
      <c r="T563">
        <v>1.2954300000000001</v>
      </c>
      <c r="U563">
        <v>1.3866500000000002</v>
      </c>
    </row>
    <row r="564" spans="1:21">
      <c r="A564" s="91">
        <v>39475</v>
      </c>
      <c r="B564" s="86">
        <v>39475</v>
      </c>
      <c r="C564" s="93">
        <v>1.3458950201884299</v>
      </c>
      <c r="D564" s="85" t="s">
        <v>1562</v>
      </c>
      <c r="F564" s="91">
        <v>39475</v>
      </c>
      <c r="G564">
        <v>1.1779999999999999</v>
      </c>
      <c r="H564">
        <v>1.4040999999999999</v>
      </c>
      <c r="I564">
        <v>1.19448</v>
      </c>
      <c r="J564">
        <v>1.3405</v>
      </c>
      <c r="K564">
        <v>1.3391300000000002</v>
      </c>
      <c r="L564">
        <v>1.42</v>
      </c>
      <c r="M564">
        <v>1.3212300000000001</v>
      </c>
      <c r="N564">
        <v>1.0860000000000001</v>
      </c>
      <c r="O564">
        <v>1.12435</v>
      </c>
      <c r="P564">
        <v>1.1950000000000001</v>
      </c>
      <c r="Q564">
        <v>1.35175</v>
      </c>
      <c r="R564">
        <v>1.494</v>
      </c>
      <c r="S564">
        <v>1.09456</v>
      </c>
      <c r="T564">
        <v>1.27491</v>
      </c>
      <c r="U564">
        <v>1.40276</v>
      </c>
    </row>
    <row r="565" spans="1:21">
      <c r="A565" s="91">
        <v>39468</v>
      </c>
      <c r="B565" s="86">
        <v>39468</v>
      </c>
      <c r="C565" s="93">
        <v>1.3454423141607801</v>
      </c>
      <c r="D565" s="85" t="s">
        <v>1563</v>
      </c>
      <c r="F565" s="91">
        <v>39468</v>
      </c>
      <c r="G565">
        <v>1.1830000000000001</v>
      </c>
      <c r="H565">
        <v>1.4145699999999999</v>
      </c>
      <c r="I565">
        <v>1.18397</v>
      </c>
      <c r="J565">
        <v>1.3494999999999999</v>
      </c>
      <c r="K565">
        <v>1.33525</v>
      </c>
      <c r="L565">
        <v>1.35456</v>
      </c>
      <c r="M565">
        <v>1.3384400000000001</v>
      </c>
      <c r="N565">
        <v>1.1000000000000001</v>
      </c>
      <c r="O565">
        <v>1.1349899999999999</v>
      </c>
      <c r="P565">
        <v>1.1950000000000001</v>
      </c>
      <c r="Q565">
        <v>1.35599</v>
      </c>
      <c r="R565">
        <v>1.494</v>
      </c>
      <c r="S565">
        <v>1.09833</v>
      </c>
      <c r="T565">
        <v>1.2601300000000002</v>
      </c>
      <c r="U565">
        <v>1.4022699999999999</v>
      </c>
    </row>
    <row r="566" spans="1:21">
      <c r="A566" s="91">
        <v>39461</v>
      </c>
      <c r="B566" s="86">
        <v>39461</v>
      </c>
      <c r="C566" s="93">
        <v>1.31578947368421</v>
      </c>
      <c r="D566" s="85" t="s">
        <v>1564</v>
      </c>
      <c r="F566" s="91">
        <v>39461</v>
      </c>
      <c r="G566">
        <v>1.204</v>
      </c>
      <c r="H566">
        <v>1.3757300000000001</v>
      </c>
      <c r="I566">
        <v>1.21133</v>
      </c>
      <c r="J566">
        <v>1.38425</v>
      </c>
      <c r="K566">
        <v>1.36731</v>
      </c>
      <c r="L566">
        <v>1.3787799999999999</v>
      </c>
      <c r="M566">
        <v>1.36998</v>
      </c>
      <c r="N566">
        <v>1.111</v>
      </c>
      <c r="O566">
        <v>1.15768</v>
      </c>
      <c r="P566">
        <v>1.1870000000000001</v>
      </c>
      <c r="Q566">
        <v>1.3719400000000002</v>
      </c>
      <c r="R566">
        <v>1.504</v>
      </c>
      <c r="S566">
        <v>1.1125099999999999</v>
      </c>
      <c r="T566">
        <v>1.2916700000000001</v>
      </c>
      <c r="U566">
        <v>1.36609</v>
      </c>
    </row>
    <row r="567" spans="1:21" ht="15.75" thickBot="1">
      <c r="A567" s="92">
        <v>39454</v>
      </c>
      <c r="B567" s="86">
        <v>39454</v>
      </c>
      <c r="C567" s="93">
        <v>1.3400335008375199</v>
      </c>
      <c r="D567" s="85" t="s">
        <v>1565</v>
      </c>
      <c r="F567" s="92">
        <v>39454</v>
      </c>
      <c r="G567">
        <v>1.2010000000000001</v>
      </c>
      <c r="H567">
        <v>1.42333</v>
      </c>
      <c r="I567">
        <v>1.1823299999999999</v>
      </c>
      <c r="J567">
        <v>1.4037500000000001</v>
      </c>
      <c r="K567">
        <v>1.4040599999999999</v>
      </c>
      <c r="L567">
        <v>1.4090499999999999</v>
      </c>
      <c r="M567">
        <v>1.3700699999999999</v>
      </c>
      <c r="N567">
        <v>1.097</v>
      </c>
      <c r="O567">
        <v>1.12873</v>
      </c>
      <c r="P567">
        <v>1.1870000000000001</v>
      </c>
      <c r="Q567">
        <v>1.3771800000000001</v>
      </c>
      <c r="R567">
        <v>1.5449999999999999</v>
      </c>
      <c r="S567">
        <v>1.11473</v>
      </c>
      <c r="T567">
        <v>1.31802</v>
      </c>
      <c r="U567">
        <v>1.3852</v>
      </c>
    </row>
    <row r="568" spans="1:21">
      <c r="A568" s="91">
        <v>39433</v>
      </c>
      <c r="B568" s="86">
        <v>39433</v>
      </c>
      <c r="C568" s="93">
        <v>1.4011489421325498</v>
      </c>
      <c r="D568" s="85" t="s">
        <v>1566</v>
      </c>
      <c r="F568" s="91">
        <v>39433</v>
      </c>
      <c r="G568">
        <v>1.2090000000000001</v>
      </c>
      <c r="H568">
        <v>1.3906700000000001</v>
      </c>
      <c r="I568">
        <v>1.1729100000000001</v>
      </c>
      <c r="J568">
        <v>1.3565</v>
      </c>
      <c r="K568">
        <v>1.36151</v>
      </c>
      <c r="L568">
        <v>1.35321</v>
      </c>
      <c r="M568">
        <v>1.3223900000000002</v>
      </c>
      <c r="N568">
        <v>1.0580000000000001</v>
      </c>
      <c r="O568">
        <v>1.1332800000000001</v>
      </c>
      <c r="P568">
        <v>1.1870000000000001</v>
      </c>
      <c r="Q568">
        <v>1.35866</v>
      </c>
      <c r="R568">
        <v>1.484</v>
      </c>
      <c r="S568">
        <v>1.0958699999999999</v>
      </c>
      <c r="T568">
        <v>1.2622500000000001</v>
      </c>
      <c r="U568">
        <v>1.43757</v>
      </c>
    </row>
    <row r="569" spans="1:21">
      <c r="A569" s="91">
        <v>39426</v>
      </c>
      <c r="B569" s="86">
        <v>39426</v>
      </c>
      <c r="C569" s="93">
        <v>1.3898540653231399</v>
      </c>
      <c r="D569" s="85" t="s">
        <v>1567</v>
      </c>
      <c r="F569" s="91">
        <v>39426</v>
      </c>
      <c r="G569">
        <v>1.208</v>
      </c>
      <c r="H569">
        <v>1.38104</v>
      </c>
      <c r="I569">
        <v>1.1951700000000001</v>
      </c>
      <c r="J569">
        <v>1.3169999999999999</v>
      </c>
      <c r="K569">
        <v>1.33768</v>
      </c>
      <c r="L569">
        <v>1.33572</v>
      </c>
      <c r="M569">
        <v>1.3188</v>
      </c>
      <c r="N569">
        <v>1.0649999999999999</v>
      </c>
      <c r="O569">
        <v>1.15259</v>
      </c>
      <c r="P569">
        <v>1.1870000000000001</v>
      </c>
      <c r="Q569">
        <v>1.36199</v>
      </c>
      <c r="R569">
        <v>1.484</v>
      </c>
      <c r="S569">
        <v>1.09571</v>
      </c>
      <c r="T569">
        <v>1.2465200000000001</v>
      </c>
      <c r="U569">
        <v>1.42692</v>
      </c>
    </row>
    <row r="570" spans="1:21">
      <c r="A570" s="91">
        <v>39419</v>
      </c>
      <c r="B570" s="86">
        <v>39419</v>
      </c>
      <c r="C570" s="93">
        <v>1.4070634585619799</v>
      </c>
      <c r="D570" s="85" t="s">
        <v>1568</v>
      </c>
      <c r="F570" s="91">
        <v>39419</v>
      </c>
      <c r="G570">
        <v>1.2270000000000001</v>
      </c>
      <c r="H570">
        <v>1.44513</v>
      </c>
      <c r="I570">
        <v>1.1862999999999999</v>
      </c>
      <c r="J570">
        <v>1.35975</v>
      </c>
      <c r="K570">
        <v>1.34646</v>
      </c>
      <c r="L570">
        <v>1.3422799999999999</v>
      </c>
      <c r="M570">
        <v>1.3376400000000002</v>
      </c>
      <c r="N570">
        <v>1.083</v>
      </c>
      <c r="O570">
        <v>1.1570400000000001</v>
      </c>
      <c r="P570">
        <v>1.1870000000000001</v>
      </c>
      <c r="Q570">
        <v>1.36344</v>
      </c>
      <c r="R570">
        <v>1.48</v>
      </c>
      <c r="S570">
        <v>1.10989</v>
      </c>
      <c r="T570">
        <v>1.25193</v>
      </c>
      <c r="U570">
        <v>1.4434</v>
      </c>
    </row>
    <row r="571" spans="1:21">
      <c r="A571" s="91">
        <v>39412</v>
      </c>
      <c r="B571" s="86">
        <v>39412</v>
      </c>
      <c r="C571" s="93">
        <v>1.3928546556166901</v>
      </c>
      <c r="D571" s="85" t="s">
        <v>1569</v>
      </c>
      <c r="F571" s="91">
        <v>39412</v>
      </c>
      <c r="G571">
        <v>1.236</v>
      </c>
      <c r="H571">
        <v>1.44143</v>
      </c>
      <c r="I571">
        <v>1.16421</v>
      </c>
      <c r="J571">
        <v>1.409</v>
      </c>
      <c r="K571">
        <v>1.36009</v>
      </c>
      <c r="L571">
        <v>1.3564100000000001</v>
      </c>
      <c r="M571">
        <v>1.3437699999999999</v>
      </c>
      <c r="N571">
        <v>1.0820000000000001</v>
      </c>
      <c r="O571">
        <v>1.1284400000000001</v>
      </c>
      <c r="P571">
        <v>1.1870000000000001</v>
      </c>
      <c r="Q571">
        <v>1.3638800000000002</v>
      </c>
      <c r="R571">
        <v>1.5109999999999999</v>
      </c>
      <c r="S571">
        <v>1.1051</v>
      </c>
      <c r="T571">
        <v>1.28539</v>
      </c>
      <c r="U571">
        <v>1.42252</v>
      </c>
    </row>
    <row r="572" spans="1:21">
      <c r="A572" s="91">
        <v>39405</v>
      </c>
      <c r="B572" s="86">
        <v>39405</v>
      </c>
      <c r="C572" s="93">
        <v>1.39967807404297</v>
      </c>
      <c r="D572" s="85" t="s">
        <v>1570</v>
      </c>
      <c r="F572" s="91">
        <v>39405</v>
      </c>
      <c r="G572">
        <v>1.2390000000000001</v>
      </c>
      <c r="H572">
        <v>1.44173</v>
      </c>
      <c r="I572">
        <v>1.1677599999999999</v>
      </c>
      <c r="J572">
        <v>1.4225000000000001</v>
      </c>
      <c r="K572">
        <v>1.3511500000000001</v>
      </c>
      <c r="L572">
        <v>1.2978299999999998</v>
      </c>
      <c r="M572">
        <v>1.3444100000000001</v>
      </c>
      <c r="N572">
        <v>1.083</v>
      </c>
      <c r="O572">
        <v>1.1415999999999999</v>
      </c>
      <c r="P572">
        <v>1.1870000000000001</v>
      </c>
      <c r="Q572">
        <v>1.3604400000000001</v>
      </c>
      <c r="R572">
        <v>1.5089999999999999</v>
      </c>
      <c r="S572">
        <v>1.09216</v>
      </c>
      <c r="T572">
        <v>1.28624</v>
      </c>
      <c r="U572">
        <v>1.4202300000000001</v>
      </c>
    </row>
    <row r="573" spans="1:21">
      <c r="A573" s="91">
        <v>39398</v>
      </c>
      <c r="B573" s="86">
        <v>39398</v>
      </c>
      <c r="C573" s="93">
        <v>1.4195471644545399</v>
      </c>
      <c r="D573" s="85" t="s">
        <v>1571</v>
      </c>
      <c r="F573" s="91">
        <v>39398</v>
      </c>
      <c r="G573">
        <v>1.244</v>
      </c>
      <c r="H573">
        <v>1.4311700000000001</v>
      </c>
      <c r="I573">
        <v>1.16093</v>
      </c>
      <c r="J573">
        <v>1.448</v>
      </c>
      <c r="K573">
        <v>1.3874500000000001</v>
      </c>
      <c r="L573">
        <v>1.32524</v>
      </c>
      <c r="M573">
        <v>1.3449599999999999</v>
      </c>
      <c r="N573">
        <v>1.0740000000000001</v>
      </c>
      <c r="O573">
        <v>1.1298800000000002</v>
      </c>
      <c r="P573">
        <v>1.133</v>
      </c>
      <c r="Q573">
        <v>1.3564200000000002</v>
      </c>
      <c r="R573">
        <v>1.5249999999999999</v>
      </c>
      <c r="S573">
        <v>1.09154</v>
      </c>
      <c r="T573">
        <v>1.3023800000000001</v>
      </c>
      <c r="U573">
        <v>1.43008</v>
      </c>
    </row>
    <row r="574" spans="1:21">
      <c r="A574" s="91">
        <v>39391</v>
      </c>
      <c r="B574" s="86">
        <v>39391</v>
      </c>
      <c r="C574" s="93">
        <v>1.4363688595231299</v>
      </c>
      <c r="D574" s="85" t="s">
        <v>1072</v>
      </c>
      <c r="F574" s="91">
        <v>39391</v>
      </c>
      <c r="G574">
        <v>1.214</v>
      </c>
      <c r="H574">
        <v>1.3944700000000001</v>
      </c>
      <c r="I574">
        <v>1.1187799999999999</v>
      </c>
      <c r="J574">
        <v>1.3785000000000001</v>
      </c>
      <c r="K574">
        <v>1.37907</v>
      </c>
      <c r="L574">
        <v>1.3181800000000001</v>
      </c>
      <c r="M574">
        <v>1.31528</v>
      </c>
      <c r="N574">
        <v>1.0469999999999999</v>
      </c>
      <c r="O574">
        <v>1.12035</v>
      </c>
      <c r="P574">
        <v>1.133</v>
      </c>
      <c r="Q574">
        <v>1.33165</v>
      </c>
      <c r="R574">
        <v>1.526</v>
      </c>
      <c r="S574">
        <v>1.08368</v>
      </c>
      <c r="T574">
        <v>1.3112999999999999</v>
      </c>
      <c r="U574">
        <v>1.4272499999999999</v>
      </c>
    </row>
    <row r="575" spans="1:21">
      <c r="A575" s="91">
        <v>39384</v>
      </c>
      <c r="B575" s="86">
        <v>39384</v>
      </c>
      <c r="C575" s="93">
        <v>1.43071750482867</v>
      </c>
      <c r="D575" s="85" t="s">
        <v>1572</v>
      </c>
      <c r="F575" s="91">
        <v>39384</v>
      </c>
      <c r="G575">
        <v>1.175</v>
      </c>
      <c r="H575">
        <v>1.3783699999999999</v>
      </c>
      <c r="I575">
        <v>1.12083</v>
      </c>
      <c r="J575">
        <v>1.3620000000000001</v>
      </c>
      <c r="K575">
        <v>1.3334000000000001</v>
      </c>
      <c r="L575">
        <v>1.28</v>
      </c>
      <c r="M575">
        <v>1.29454</v>
      </c>
      <c r="N575">
        <v>1.032</v>
      </c>
      <c r="O575">
        <v>1.1153</v>
      </c>
      <c r="P575">
        <v>1.133</v>
      </c>
      <c r="Q575">
        <v>1.3190899999999999</v>
      </c>
      <c r="R575">
        <v>1.4930000000000001</v>
      </c>
      <c r="S575">
        <v>1.07545</v>
      </c>
      <c r="T575">
        <v>1.27176</v>
      </c>
      <c r="U575">
        <v>1.40587</v>
      </c>
    </row>
    <row r="576" spans="1:21">
      <c r="A576" s="91">
        <v>39377</v>
      </c>
      <c r="B576" s="86">
        <v>39377</v>
      </c>
      <c r="C576" s="93">
        <v>1.4336917562723999</v>
      </c>
      <c r="D576" s="85" t="s">
        <v>1573</v>
      </c>
      <c r="F576" s="91">
        <v>39377</v>
      </c>
      <c r="G576">
        <v>1.171</v>
      </c>
      <c r="H576">
        <v>1.38307</v>
      </c>
      <c r="I576">
        <v>1.10755</v>
      </c>
      <c r="J576">
        <v>1.3692500000000001</v>
      </c>
      <c r="K576">
        <v>1.3333499999999998</v>
      </c>
      <c r="L576">
        <v>1.28</v>
      </c>
      <c r="M576">
        <v>1.2867500000000001</v>
      </c>
      <c r="N576">
        <v>1.0209999999999999</v>
      </c>
      <c r="O576">
        <v>1.1036700000000002</v>
      </c>
      <c r="P576">
        <v>1.133</v>
      </c>
      <c r="Q576">
        <v>1.3134600000000001</v>
      </c>
      <c r="R576">
        <v>1.474</v>
      </c>
      <c r="S576">
        <v>1.0649999999999999</v>
      </c>
      <c r="T576">
        <v>1.2578</v>
      </c>
      <c r="U576">
        <v>1.4022300000000001</v>
      </c>
    </row>
    <row r="577" spans="1:21">
      <c r="A577" s="91">
        <v>39370</v>
      </c>
      <c r="B577" s="86">
        <v>39370</v>
      </c>
      <c r="C577" s="93">
        <v>1.43482315804577</v>
      </c>
      <c r="D577" s="85" t="s">
        <v>1574</v>
      </c>
      <c r="F577" s="91">
        <v>39370</v>
      </c>
      <c r="G577">
        <v>1.1519999999999999</v>
      </c>
      <c r="H577">
        <v>1.35917</v>
      </c>
      <c r="I577">
        <v>1.09581</v>
      </c>
      <c r="J577">
        <v>1.3327500000000001</v>
      </c>
      <c r="K577">
        <v>1.3098699999999999</v>
      </c>
      <c r="L577">
        <v>1.3140000000000001</v>
      </c>
      <c r="M577">
        <v>1.2697400000000001</v>
      </c>
      <c r="N577">
        <v>1.0149999999999999</v>
      </c>
      <c r="O577">
        <v>1.1248199999999999</v>
      </c>
      <c r="P577">
        <v>1.149</v>
      </c>
      <c r="Q577">
        <v>1.3118299999999998</v>
      </c>
      <c r="R577">
        <v>1.46</v>
      </c>
      <c r="S577">
        <v>1.0557099999999999</v>
      </c>
      <c r="T577">
        <v>1.2417100000000001</v>
      </c>
      <c r="U577">
        <v>1.39453</v>
      </c>
    </row>
    <row r="578" spans="1:21">
      <c r="A578" s="91">
        <v>39363</v>
      </c>
      <c r="B578" s="86">
        <v>39363</v>
      </c>
      <c r="C578" s="93">
        <v>1.4466546112115699</v>
      </c>
      <c r="D578" s="85" t="s">
        <v>1575</v>
      </c>
      <c r="F578" s="91">
        <v>39363</v>
      </c>
      <c r="G578">
        <v>1.1539999999999999</v>
      </c>
      <c r="H578">
        <v>1.36453</v>
      </c>
      <c r="I578">
        <v>1.0976600000000001</v>
      </c>
      <c r="J578">
        <v>1.34</v>
      </c>
      <c r="K578">
        <v>1.2963499999999999</v>
      </c>
      <c r="L578">
        <v>1.29617</v>
      </c>
      <c r="M578">
        <v>1.26806</v>
      </c>
      <c r="N578">
        <v>1.022</v>
      </c>
      <c r="O578">
        <v>1.1328800000000001</v>
      </c>
      <c r="P578">
        <v>1.159</v>
      </c>
      <c r="Q578">
        <v>1.31148</v>
      </c>
      <c r="R578">
        <v>1.4490000000000001</v>
      </c>
      <c r="S578">
        <v>1.05532</v>
      </c>
      <c r="T578">
        <v>1.24257</v>
      </c>
      <c r="U578">
        <v>1.4052500000000001</v>
      </c>
    </row>
    <row r="579" spans="1:21">
      <c r="A579" s="91">
        <v>39356</v>
      </c>
      <c r="B579" s="86">
        <v>39356</v>
      </c>
      <c r="C579" s="93">
        <v>1.43400014340001</v>
      </c>
      <c r="D579" s="85" t="s">
        <v>1576</v>
      </c>
      <c r="F579" s="91">
        <v>39356</v>
      </c>
      <c r="G579">
        <v>1.1830000000000001</v>
      </c>
      <c r="H579">
        <v>1.3681300000000001</v>
      </c>
      <c r="I579">
        <v>1.0974999999999999</v>
      </c>
      <c r="J579">
        <v>1.36775</v>
      </c>
      <c r="K579">
        <v>1.29982</v>
      </c>
      <c r="L579">
        <v>1.30155</v>
      </c>
      <c r="M579">
        <v>1.27711</v>
      </c>
      <c r="N579">
        <v>1.0269999999999999</v>
      </c>
      <c r="O579">
        <v>1.1259400000000002</v>
      </c>
      <c r="P579">
        <v>1.159</v>
      </c>
      <c r="Q579">
        <v>1.31409</v>
      </c>
      <c r="R579">
        <v>1.4630000000000001</v>
      </c>
      <c r="S579">
        <v>1.06687</v>
      </c>
      <c r="T579">
        <v>1.23885</v>
      </c>
      <c r="U579">
        <v>1.38228</v>
      </c>
    </row>
    <row r="580" spans="1:21">
      <c r="A580" s="91">
        <v>39349</v>
      </c>
      <c r="B580" s="86">
        <v>39349</v>
      </c>
      <c r="C580" s="93">
        <v>1.4349261013057799</v>
      </c>
      <c r="D580" s="85" t="s">
        <v>1577</v>
      </c>
      <c r="F580" s="91">
        <v>39349</v>
      </c>
      <c r="G580">
        <v>1.18</v>
      </c>
      <c r="H580">
        <v>1.35453</v>
      </c>
      <c r="I580">
        <v>1.09656</v>
      </c>
      <c r="J580">
        <v>1.3713</v>
      </c>
      <c r="K580">
        <v>1.3066500000000001</v>
      </c>
      <c r="L580">
        <v>1.32921</v>
      </c>
      <c r="M580">
        <v>1.2840199999999999</v>
      </c>
      <c r="N580">
        <v>1.026</v>
      </c>
      <c r="O580">
        <v>1.1323800000000002</v>
      </c>
      <c r="P580">
        <v>1.159</v>
      </c>
      <c r="Q580">
        <v>1.31324</v>
      </c>
      <c r="R580">
        <v>1.47</v>
      </c>
      <c r="S580">
        <v>1.06653</v>
      </c>
      <c r="T580">
        <v>1.25143</v>
      </c>
      <c r="U580">
        <v>1.36192</v>
      </c>
    </row>
    <row r="581" spans="1:21">
      <c r="A581" s="91">
        <v>39342</v>
      </c>
      <c r="B581" s="86">
        <v>39342</v>
      </c>
      <c r="C581" s="93">
        <v>1.4402995823131199</v>
      </c>
      <c r="D581" s="85" t="s">
        <v>1578</v>
      </c>
      <c r="F581" s="91">
        <v>39342</v>
      </c>
      <c r="G581">
        <v>1.1779999999999999</v>
      </c>
      <c r="H581">
        <v>1.3415999999999999</v>
      </c>
      <c r="I581">
        <v>1.10141</v>
      </c>
      <c r="J581">
        <v>1.3612500000000001</v>
      </c>
      <c r="K581">
        <v>1.31291</v>
      </c>
      <c r="L581">
        <v>1.3349300000000002</v>
      </c>
      <c r="M581">
        <v>1.2765499999999999</v>
      </c>
      <c r="N581">
        <v>1.0229999999999999</v>
      </c>
      <c r="O581">
        <v>1.1019000000000001</v>
      </c>
      <c r="P581">
        <v>1.175</v>
      </c>
      <c r="Q581">
        <v>1.3075000000000001</v>
      </c>
      <c r="R581">
        <v>1.476</v>
      </c>
      <c r="S581">
        <v>1.0640999999999998</v>
      </c>
      <c r="T581">
        <v>1.2483199999999999</v>
      </c>
      <c r="U581">
        <v>1.3632899999999999</v>
      </c>
    </row>
    <row r="582" spans="1:21">
      <c r="A582" s="91">
        <v>39335</v>
      </c>
      <c r="B582" s="86">
        <v>39335</v>
      </c>
      <c r="C582" s="93">
        <v>1.4717786444918701</v>
      </c>
      <c r="D582" s="85" t="s">
        <v>1579</v>
      </c>
      <c r="F582" s="91">
        <v>39335</v>
      </c>
      <c r="G582">
        <v>1.163</v>
      </c>
      <c r="H582">
        <v>1.3557699999999999</v>
      </c>
      <c r="I582">
        <v>1.1001400000000001</v>
      </c>
      <c r="J582">
        <v>1.3574999999999999</v>
      </c>
      <c r="K582">
        <v>1.3267100000000001</v>
      </c>
      <c r="L582">
        <v>1.3401500000000002</v>
      </c>
      <c r="M582">
        <v>1.2870999999999999</v>
      </c>
      <c r="N582">
        <v>1.0209999999999999</v>
      </c>
      <c r="O582">
        <v>1.09449</v>
      </c>
      <c r="P582">
        <v>1.175</v>
      </c>
      <c r="Q582">
        <v>1.3088299999999999</v>
      </c>
      <c r="R582">
        <v>1.4710000000000001</v>
      </c>
      <c r="S582">
        <v>1.06321</v>
      </c>
      <c r="T582">
        <v>1.23126</v>
      </c>
      <c r="U582">
        <v>1.3928099999999999</v>
      </c>
    </row>
    <row r="583" spans="1:21">
      <c r="A583" s="91">
        <v>39328</v>
      </c>
      <c r="B583" s="86">
        <v>39328</v>
      </c>
      <c r="C583" s="93">
        <v>1.47983721790603</v>
      </c>
      <c r="D583" s="85" t="s">
        <v>1580</v>
      </c>
      <c r="F583" s="91">
        <v>39328</v>
      </c>
      <c r="G583">
        <v>1.139</v>
      </c>
      <c r="H583">
        <v>1.3132999999999999</v>
      </c>
      <c r="I583">
        <v>1.0988099999999998</v>
      </c>
      <c r="J583">
        <v>1.3265</v>
      </c>
      <c r="K583">
        <v>1.32107</v>
      </c>
      <c r="L583">
        <v>1.33897</v>
      </c>
      <c r="M583">
        <v>1.2729699999999999</v>
      </c>
      <c r="N583">
        <v>1.0109999999999999</v>
      </c>
      <c r="O583">
        <v>1.1024</v>
      </c>
      <c r="P583">
        <v>1.175</v>
      </c>
      <c r="Q583">
        <v>1.2979700000000001</v>
      </c>
      <c r="R583">
        <v>1.4770000000000001</v>
      </c>
      <c r="S583">
        <v>1.05569</v>
      </c>
      <c r="T583">
        <v>1.2406700000000002</v>
      </c>
      <c r="U583">
        <v>1.4029400000000001</v>
      </c>
    </row>
    <row r="584" spans="1:21">
      <c r="A584" s="91">
        <v>39321</v>
      </c>
      <c r="B584" s="86">
        <v>39321</v>
      </c>
      <c r="C584" s="93">
        <v>1.4755791648221899</v>
      </c>
      <c r="D584" s="85" t="s">
        <v>1581</v>
      </c>
      <c r="F584" s="91">
        <v>39321</v>
      </c>
      <c r="G584">
        <v>1.1459999999999999</v>
      </c>
      <c r="H584">
        <v>1.3113699999999999</v>
      </c>
      <c r="I584">
        <v>1.09738</v>
      </c>
      <c r="J584">
        <v>1.3245</v>
      </c>
      <c r="K584">
        <v>1.2939500000000002</v>
      </c>
      <c r="L584">
        <v>1.3147500000000001</v>
      </c>
      <c r="M584">
        <v>1.26627</v>
      </c>
      <c r="N584">
        <v>1.0149999999999999</v>
      </c>
      <c r="O584">
        <v>1.08995</v>
      </c>
      <c r="P584">
        <v>1.175</v>
      </c>
      <c r="Q584">
        <v>1.29362</v>
      </c>
      <c r="R584">
        <v>1.446</v>
      </c>
      <c r="S584">
        <v>1.0524</v>
      </c>
      <c r="T584">
        <v>1.2259899999999999</v>
      </c>
      <c r="U584">
        <v>1.40184</v>
      </c>
    </row>
    <row r="585" spans="1:21">
      <c r="A585" s="91">
        <v>39314</v>
      </c>
      <c r="B585" s="86">
        <v>39314</v>
      </c>
      <c r="C585" s="93">
        <v>1.4729709824716499</v>
      </c>
      <c r="D585" s="85" t="s">
        <v>1090</v>
      </c>
      <c r="F585" s="91">
        <v>39314</v>
      </c>
      <c r="G585">
        <v>1.1499999999999999</v>
      </c>
      <c r="H585">
        <v>1.32013</v>
      </c>
      <c r="I585">
        <v>1.10592</v>
      </c>
      <c r="J585">
        <v>1.3302499999999999</v>
      </c>
      <c r="K585">
        <v>1.2968299999999999</v>
      </c>
      <c r="L585">
        <v>1.31393</v>
      </c>
      <c r="M585">
        <v>1.2729900000000001</v>
      </c>
      <c r="N585">
        <v>1.0169999999999999</v>
      </c>
      <c r="O585">
        <v>1.07883</v>
      </c>
      <c r="P585">
        <v>1.175</v>
      </c>
      <c r="Q585">
        <v>1.30115</v>
      </c>
      <c r="R585">
        <v>1.458</v>
      </c>
      <c r="S585">
        <v>1.05644</v>
      </c>
      <c r="T585">
        <v>1.23156</v>
      </c>
      <c r="U585">
        <v>1.4038299999999999</v>
      </c>
    </row>
    <row r="586" spans="1:21">
      <c r="A586" s="91">
        <v>39307</v>
      </c>
      <c r="B586" s="86">
        <v>39307</v>
      </c>
      <c r="C586" s="93">
        <v>1.4754703061600898</v>
      </c>
      <c r="D586" s="85" t="s">
        <v>1582</v>
      </c>
      <c r="F586" s="91">
        <v>39307</v>
      </c>
      <c r="G586">
        <v>1.1499999999999999</v>
      </c>
      <c r="H586">
        <v>1.31643</v>
      </c>
      <c r="I586">
        <v>1.0949200000000001</v>
      </c>
      <c r="J586">
        <v>1.3374999999999999</v>
      </c>
      <c r="K586">
        <v>1.28179</v>
      </c>
      <c r="L586">
        <v>1.3066900000000001</v>
      </c>
      <c r="M586">
        <v>1.2706099999999998</v>
      </c>
      <c r="N586">
        <v>1.0249999999999999</v>
      </c>
      <c r="O586">
        <v>1.1328800000000001</v>
      </c>
      <c r="P586">
        <v>1.175</v>
      </c>
      <c r="Q586">
        <v>1.3024</v>
      </c>
      <c r="R586">
        <v>1.4690000000000001</v>
      </c>
      <c r="S586">
        <v>1.05454</v>
      </c>
      <c r="T586">
        <v>1.2121099999999998</v>
      </c>
      <c r="U586">
        <v>1.41645</v>
      </c>
    </row>
    <row r="587" spans="1:21">
      <c r="A587" s="91">
        <v>39300</v>
      </c>
      <c r="B587" s="86">
        <v>39300</v>
      </c>
      <c r="C587" s="93">
        <v>1.4702639123722698</v>
      </c>
      <c r="D587" s="85" t="s">
        <v>1583</v>
      </c>
      <c r="F587" s="91">
        <v>39300</v>
      </c>
      <c r="G587">
        <v>1.1619999999999999</v>
      </c>
      <c r="H587">
        <v>1.3332999999999999</v>
      </c>
      <c r="I587">
        <v>1.09623</v>
      </c>
      <c r="J587">
        <v>1.3440000000000001</v>
      </c>
      <c r="K587">
        <v>1.3046500000000001</v>
      </c>
      <c r="L587">
        <v>1.32284</v>
      </c>
      <c r="M587">
        <v>1.2821500000000001</v>
      </c>
      <c r="N587">
        <v>1.0329999999999999</v>
      </c>
      <c r="O587">
        <v>1.12876</v>
      </c>
      <c r="P587">
        <v>1.175</v>
      </c>
      <c r="Q587">
        <v>1.3329300000000002</v>
      </c>
      <c r="R587">
        <v>1.4610000000000001</v>
      </c>
      <c r="S587">
        <v>1.06758</v>
      </c>
      <c r="T587">
        <v>1.2517400000000001</v>
      </c>
      <c r="U587">
        <v>1.4136099999999998</v>
      </c>
    </row>
    <row r="588" spans="1:21">
      <c r="A588" s="91">
        <v>39293</v>
      </c>
      <c r="B588" s="86">
        <v>39293</v>
      </c>
      <c r="C588" s="93">
        <v>1.4808233377758</v>
      </c>
      <c r="D588" s="85" t="s">
        <v>1584</v>
      </c>
      <c r="F588" s="91">
        <v>39293</v>
      </c>
      <c r="G588">
        <v>1.1639999999999999</v>
      </c>
      <c r="H588">
        <v>1.31915</v>
      </c>
      <c r="I588">
        <v>1.10005</v>
      </c>
      <c r="J588">
        <v>1.3405</v>
      </c>
      <c r="K588">
        <v>1.3089999999999999</v>
      </c>
      <c r="L588">
        <v>1.3262</v>
      </c>
      <c r="M588">
        <v>1.2876300000000001</v>
      </c>
      <c r="N588">
        <v>1.04</v>
      </c>
      <c r="O588">
        <v>1.1234600000000001</v>
      </c>
      <c r="P588">
        <v>1.175</v>
      </c>
      <c r="Q588">
        <v>1.34853</v>
      </c>
      <c r="R588">
        <v>1.4630000000000001</v>
      </c>
      <c r="S588">
        <v>1.0714000000000001</v>
      </c>
      <c r="T588">
        <v>1.2550999999999999</v>
      </c>
      <c r="U588">
        <v>1.4245000000000001</v>
      </c>
    </row>
    <row r="589" spans="1:21">
      <c r="A589" s="91">
        <v>39286</v>
      </c>
      <c r="B589" s="86">
        <v>39286</v>
      </c>
      <c r="C589" s="93">
        <v>1.48909239818331</v>
      </c>
      <c r="D589" s="85" t="s">
        <v>1097</v>
      </c>
      <c r="F589" s="91">
        <v>39286</v>
      </c>
      <c r="G589">
        <v>1.1659999999999999</v>
      </c>
      <c r="H589">
        <v>1.3455999999999999</v>
      </c>
      <c r="I589">
        <v>1.0924400000000001</v>
      </c>
      <c r="J589">
        <v>1.36425</v>
      </c>
      <c r="K589">
        <v>1.31169</v>
      </c>
      <c r="L589">
        <v>1.3295699999999999</v>
      </c>
      <c r="M589">
        <v>1.30768</v>
      </c>
      <c r="N589">
        <v>1.056</v>
      </c>
      <c r="O589">
        <v>1.1737299999999999</v>
      </c>
      <c r="P589">
        <v>1.175</v>
      </c>
      <c r="Q589">
        <v>1.3567</v>
      </c>
      <c r="R589">
        <v>1.4850000000000001</v>
      </c>
      <c r="S589">
        <v>1.0829900000000001</v>
      </c>
      <c r="T589">
        <v>1.2563299999999999</v>
      </c>
      <c r="U589">
        <v>1.43299</v>
      </c>
    </row>
    <row r="590" spans="1:21">
      <c r="A590" s="91">
        <v>39279</v>
      </c>
      <c r="B590" s="86">
        <v>39279</v>
      </c>
      <c r="C590" s="93">
        <v>1.4780873549626798</v>
      </c>
      <c r="D590" s="85" t="s">
        <v>1585</v>
      </c>
      <c r="F590" s="91">
        <v>39279</v>
      </c>
      <c r="G590">
        <v>1.173</v>
      </c>
      <c r="H590">
        <v>1.3595200000000001</v>
      </c>
      <c r="I590">
        <v>1.09165</v>
      </c>
      <c r="J590">
        <v>1.39225</v>
      </c>
      <c r="K590">
        <v>1.3532599999999999</v>
      </c>
      <c r="L590">
        <v>1.359</v>
      </c>
      <c r="M590">
        <v>1.3256700000000001</v>
      </c>
      <c r="N590">
        <v>1.0580000000000001</v>
      </c>
      <c r="O590">
        <v>1.1743599999999998</v>
      </c>
      <c r="P590">
        <v>1.175</v>
      </c>
      <c r="Q590">
        <v>1.3588800000000001</v>
      </c>
      <c r="R590">
        <v>1.5029999999999999</v>
      </c>
      <c r="S590">
        <v>1.09338</v>
      </c>
      <c r="T590">
        <v>1.30488</v>
      </c>
      <c r="U590">
        <v>1.4220599999999999</v>
      </c>
    </row>
    <row r="591" spans="1:21">
      <c r="A591" s="91">
        <v>39272</v>
      </c>
      <c r="B591" s="86">
        <v>39272</v>
      </c>
      <c r="C591" s="93">
        <v>1.478633742422</v>
      </c>
      <c r="D591" s="85" t="s">
        <v>1586</v>
      </c>
      <c r="F591" s="91">
        <v>39272</v>
      </c>
      <c r="G591">
        <v>1.1619999999999999</v>
      </c>
      <c r="H591">
        <v>1.3475999999999999</v>
      </c>
      <c r="I591">
        <v>1.0719799999999999</v>
      </c>
      <c r="J591">
        <v>1.3592500000000001</v>
      </c>
      <c r="K591">
        <v>1.3467</v>
      </c>
      <c r="L591">
        <v>1.359</v>
      </c>
      <c r="M591">
        <v>1.3129300000000002</v>
      </c>
      <c r="N591">
        <v>1.0549999999999999</v>
      </c>
      <c r="O591">
        <v>1.1737</v>
      </c>
      <c r="P591">
        <v>1.175</v>
      </c>
      <c r="Q591">
        <v>1.3523499999999999</v>
      </c>
      <c r="R591">
        <v>1.506</v>
      </c>
      <c r="S591">
        <v>1.09094</v>
      </c>
      <c r="T591">
        <v>1.29149</v>
      </c>
      <c r="U591">
        <v>1.42239</v>
      </c>
    </row>
    <row r="592" spans="1:21">
      <c r="A592" s="91">
        <v>39265</v>
      </c>
      <c r="B592" s="86">
        <v>39265</v>
      </c>
      <c r="C592" s="93">
        <v>1.4800562421372001</v>
      </c>
      <c r="D592" s="85" t="s">
        <v>1087</v>
      </c>
      <c r="F592" s="91">
        <v>39265</v>
      </c>
      <c r="G592">
        <v>1.173</v>
      </c>
      <c r="H592">
        <v>1.369</v>
      </c>
      <c r="I592">
        <v>1.06897</v>
      </c>
      <c r="J592">
        <v>1.349</v>
      </c>
      <c r="K592">
        <v>1.3506199999999999</v>
      </c>
      <c r="L592">
        <v>1.3457600000000001</v>
      </c>
      <c r="M592">
        <v>1.3157300000000001</v>
      </c>
      <c r="N592">
        <v>1.0580000000000001</v>
      </c>
      <c r="O592">
        <v>1.1746500000000002</v>
      </c>
      <c r="P592">
        <v>1.1539999999999999</v>
      </c>
      <c r="Q592">
        <v>1.3510899999999999</v>
      </c>
      <c r="R592">
        <v>1.5002</v>
      </c>
      <c r="S592">
        <v>1.0985</v>
      </c>
      <c r="T592">
        <v>1.27786</v>
      </c>
      <c r="U592">
        <v>1.4261600000000001</v>
      </c>
    </row>
    <row r="593" spans="1:21">
      <c r="A593" s="91">
        <v>39258</v>
      </c>
      <c r="B593" s="86">
        <v>39258</v>
      </c>
      <c r="C593" s="93">
        <v>1.48478099480327</v>
      </c>
      <c r="D593" s="85" t="s">
        <v>1587</v>
      </c>
      <c r="F593" s="91">
        <v>39258</v>
      </c>
      <c r="G593">
        <v>1.135</v>
      </c>
      <c r="H593">
        <v>1.3607</v>
      </c>
      <c r="I593">
        <v>1.0631300000000001</v>
      </c>
      <c r="J593">
        <v>1.3952500000000001</v>
      </c>
      <c r="K593">
        <v>1.3610799999999998</v>
      </c>
      <c r="L593">
        <v>1.34694</v>
      </c>
      <c r="M593">
        <v>1.31531</v>
      </c>
      <c r="N593">
        <v>1.0580000000000001</v>
      </c>
      <c r="O593">
        <v>1.16951</v>
      </c>
      <c r="P593">
        <v>1.1539999999999999</v>
      </c>
      <c r="Q593">
        <v>1.35093</v>
      </c>
      <c r="R593">
        <v>1.5169999999999999</v>
      </c>
      <c r="S593">
        <v>1.09819</v>
      </c>
      <c r="T593">
        <v>1.3185199999999999</v>
      </c>
      <c r="U593">
        <v>1.43344</v>
      </c>
    </row>
    <row r="594" spans="1:21">
      <c r="A594" s="91">
        <v>39251</v>
      </c>
      <c r="B594" s="86">
        <v>39251</v>
      </c>
      <c r="C594" s="93">
        <v>1.478633742422</v>
      </c>
      <c r="D594" s="85" t="s">
        <v>1588</v>
      </c>
      <c r="F594" s="91">
        <v>39251</v>
      </c>
      <c r="G594">
        <v>1.135</v>
      </c>
      <c r="H594">
        <v>1.3324800000000001</v>
      </c>
      <c r="I594">
        <v>1.0669600000000001</v>
      </c>
      <c r="J594">
        <v>1.3908</v>
      </c>
      <c r="K594">
        <v>1.36083</v>
      </c>
      <c r="L594">
        <v>1.3540000000000001</v>
      </c>
      <c r="M594">
        <v>1.3111199999999998</v>
      </c>
      <c r="N594">
        <v>1.05</v>
      </c>
      <c r="O594">
        <v>1.1497899999999999</v>
      </c>
      <c r="P594">
        <v>1.1539999999999999</v>
      </c>
      <c r="Q594">
        <v>1.3461400000000001</v>
      </c>
      <c r="R594">
        <v>1.5069999999999999</v>
      </c>
      <c r="S594">
        <v>1.09267</v>
      </c>
      <c r="T594">
        <v>1.28677</v>
      </c>
      <c r="U594">
        <v>1.4277599999999999</v>
      </c>
    </row>
    <row r="595" spans="1:21">
      <c r="A595" s="91">
        <v>39244</v>
      </c>
      <c r="B595" s="86">
        <v>39244</v>
      </c>
      <c r="C595" s="93">
        <v>1.4740566037735801</v>
      </c>
      <c r="D595" s="85" t="s">
        <v>1589</v>
      </c>
      <c r="F595" s="91">
        <v>39244</v>
      </c>
      <c r="G595">
        <v>1.1279999999999999</v>
      </c>
      <c r="H595">
        <v>1.3259000000000001</v>
      </c>
      <c r="I595">
        <v>1.0746800000000001</v>
      </c>
      <c r="J595">
        <v>1.3774999999999999</v>
      </c>
      <c r="K595">
        <v>1.3511199999999999</v>
      </c>
      <c r="L595">
        <v>1.3420399999999999</v>
      </c>
      <c r="M595">
        <v>1.3147500000000001</v>
      </c>
      <c r="N595">
        <v>1.0589999999999999</v>
      </c>
      <c r="O595">
        <v>1.13239</v>
      </c>
      <c r="P595">
        <v>1.1539999999999999</v>
      </c>
      <c r="Q595">
        <v>1.3462100000000001</v>
      </c>
      <c r="R595">
        <v>1.502</v>
      </c>
      <c r="S595">
        <v>1.08691</v>
      </c>
      <c r="T595">
        <v>1.2574000000000001</v>
      </c>
      <c r="U595">
        <v>1.4241400000000002</v>
      </c>
    </row>
    <row r="596" spans="1:21">
      <c r="A596" s="91">
        <v>39237</v>
      </c>
      <c r="B596" s="86">
        <v>39237</v>
      </c>
      <c r="C596" s="93">
        <v>1.4750350320820098</v>
      </c>
      <c r="D596" s="85" t="s">
        <v>1590</v>
      </c>
      <c r="F596" s="91">
        <v>39237</v>
      </c>
      <c r="G596">
        <v>1.129</v>
      </c>
      <c r="H596">
        <v>1.3280000000000001</v>
      </c>
      <c r="I596">
        <v>1.0803900000000002</v>
      </c>
      <c r="J596">
        <v>1.4095</v>
      </c>
      <c r="K596">
        <v>1.3505</v>
      </c>
      <c r="L596">
        <v>1.3334600000000001</v>
      </c>
      <c r="M596">
        <v>1.32141</v>
      </c>
      <c r="N596">
        <v>1.0669999999999999</v>
      </c>
      <c r="O596">
        <v>1.1485699999999999</v>
      </c>
      <c r="P596">
        <v>1.1539999999999999</v>
      </c>
      <c r="Q596">
        <v>1.34385</v>
      </c>
      <c r="R596">
        <v>1.5009999999999999</v>
      </c>
      <c r="S596">
        <v>1.0914300000000001</v>
      </c>
      <c r="T596">
        <v>1.2698</v>
      </c>
      <c r="U596">
        <v>1.4236</v>
      </c>
    </row>
    <row r="597" spans="1:21">
      <c r="A597" s="91">
        <v>39230</v>
      </c>
      <c r="B597" s="86">
        <v>39230</v>
      </c>
      <c r="C597" s="93">
        <v>1.47377418831887</v>
      </c>
      <c r="D597" s="85" t="s">
        <v>1591</v>
      </c>
      <c r="F597" s="91">
        <v>39230</v>
      </c>
      <c r="G597">
        <v>1.1200000000000001</v>
      </c>
      <c r="H597">
        <v>1.3345</v>
      </c>
      <c r="I597">
        <v>1.08</v>
      </c>
      <c r="J597">
        <v>1.4057500000000001</v>
      </c>
      <c r="K597">
        <v>1.3661099999999999</v>
      </c>
      <c r="L597">
        <v>1.3477600000000001</v>
      </c>
      <c r="M597">
        <v>1.32657</v>
      </c>
      <c r="N597">
        <v>1.0669999999999999</v>
      </c>
      <c r="O597">
        <v>1.1369</v>
      </c>
      <c r="P597">
        <v>1.1539999999999999</v>
      </c>
      <c r="Q597">
        <v>1.34273</v>
      </c>
      <c r="R597">
        <v>1.5189999999999999</v>
      </c>
      <c r="S597">
        <v>1.0968599999999999</v>
      </c>
      <c r="T597">
        <v>1.3082400000000001</v>
      </c>
      <c r="U597">
        <v>1.4172100000000001</v>
      </c>
    </row>
    <row r="598" spans="1:21">
      <c r="A598" s="91">
        <v>39223</v>
      </c>
      <c r="B598" s="86">
        <v>39223</v>
      </c>
      <c r="C598" s="93">
        <v>1.4648795136600001</v>
      </c>
      <c r="D598" s="85" t="s">
        <v>1592</v>
      </c>
      <c r="F598" s="91">
        <v>39223</v>
      </c>
      <c r="G598">
        <v>1.1140000000000001</v>
      </c>
      <c r="H598">
        <v>1.3345</v>
      </c>
      <c r="I598">
        <v>1.06768</v>
      </c>
      <c r="J598">
        <v>1.3939999999999999</v>
      </c>
      <c r="K598">
        <v>1.3765499999999999</v>
      </c>
      <c r="L598">
        <v>1.32134</v>
      </c>
      <c r="M598">
        <v>1.31721</v>
      </c>
      <c r="N598">
        <v>1.054</v>
      </c>
      <c r="O598">
        <v>1.1197999999999999</v>
      </c>
      <c r="P598">
        <v>1.109</v>
      </c>
      <c r="Q598">
        <v>1.3265499999999999</v>
      </c>
      <c r="R598">
        <v>1.5249999999999999</v>
      </c>
      <c r="S598">
        <v>1.09233</v>
      </c>
      <c r="T598">
        <v>1.3060399999999999</v>
      </c>
      <c r="U598">
        <v>1.4019699999999999</v>
      </c>
    </row>
    <row r="599" spans="1:21">
      <c r="A599" s="91">
        <v>39216</v>
      </c>
      <c r="B599" s="86">
        <v>39216</v>
      </c>
      <c r="C599" s="93">
        <v>1.4612405932636798</v>
      </c>
      <c r="D599" s="85" t="s">
        <v>1593</v>
      </c>
      <c r="F599" s="91">
        <v>39216</v>
      </c>
      <c r="G599">
        <v>1.1120000000000001</v>
      </c>
      <c r="H599">
        <v>1.3204800000000001</v>
      </c>
      <c r="I599">
        <v>1.0625</v>
      </c>
      <c r="J599">
        <v>1.3808</v>
      </c>
      <c r="K599">
        <v>1.3500999999999999</v>
      </c>
      <c r="L599">
        <v>1.3050200000000001</v>
      </c>
      <c r="M599">
        <v>1.3101400000000001</v>
      </c>
      <c r="N599">
        <v>1.052</v>
      </c>
      <c r="O599">
        <v>1.1280899999999998</v>
      </c>
      <c r="P599">
        <v>1.109</v>
      </c>
      <c r="Q599">
        <v>1.3128299999999999</v>
      </c>
      <c r="R599">
        <v>1.5109999999999999</v>
      </c>
      <c r="S599">
        <v>1.0811900000000001</v>
      </c>
      <c r="T599">
        <v>1.2934300000000001</v>
      </c>
      <c r="U599">
        <v>1.3892200000000001</v>
      </c>
    </row>
    <row r="600" spans="1:21">
      <c r="A600" s="91">
        <v>39209</v>
      </c>
      <c r="B600" s="86">
        <v>39209</v>
      </c>
      <c r="C600" s="93">
        <v>1.46563095412575</v>
      </c>
      <c r="D600" s="85" t="s">
        <v>1594</v>
      </c>
      <c r="F600" s="91">
        <v>39209</v>
      </c>
      <c r="G600">
        <v>1.1160000000000001</v>
      </c>
      <c r="H600">
        <v>1.3123800000000001</v>
      </c>
      <c r="I600">
        <v>1.0628</v>
      </c>
      <c r="J600">
        <v>1.3667499999999999</v>
      </c>
      <c r="K600">
        <v>1.35541</v>
      </c>
      <c r="L600">
        <v>1.3083900000000002</v>
      </c>
      <c r="M600">
        <v>1.3163699999999998</v>
      </c>
      <c r="N600">
        <v>1.042</v>
      </c>
      <c r="O600">
        <v>1.1162399999999999</v>
      </c>
      <c r="P600">
        <v>1.109</v>
      </c>
      <c r="Q600">
        <v>1.3094300000000001</v>
      </c>
      <c r="R600">
        <v>1.5049999999999999</v>
      </c>
      <c r="S600">
        <v>1.0754600000000001</v>
      </c>
      <c r="T600">
        <v>1.30271</v>
      </c>
      <c r="U600">
        <v>1.3839399999999999</v>
      </c>
    </row>
    <row r="601" spans="1:21">
      <c r="A601" s="91">
        <v>39202</v>
      </c>
      <c r="B601" s="86">
        <v>39202</v>
      </c>
      <c r="C601" s="93">
        <v>1.46477222791856</v>
      </c>
      <c r="D601" s="85" t="s">
        <v>1595</v>
      </c>
      <c r="F601" s="91">
        <v>39202</v>
      </c>
      <c r="G601">
        <v>1.103</v>
      </c>
      <c r="H601">
        <v>1.31687</v>
      </c>
      <c r="I601">
        <v>1.03549</v>
      </c>
      <c r="J601">
        <v>1.3720000000000001</v>
      </c>
      <c r="K601">
        <v>1.3368199999999999</v>
      </c>
      <c r="L601">
        <v>1.3043499999999999</v>
      </c>
      <c r="M601">
        <v>1.2991400000000002</v>
      </c>
      <c r="N601">
        <v>1.022</v>
      </c>
      <c r="O601">
        <v>1.1130899999999999</v>
      </c>
      <c r="P601">
        <v>1.109</v>
      </c>
      <c r="Q601">
        <v>1.2936300000000001</v>
      </c>
      <c r="R601">
        <v>1.5049999999999999</v>
      </c>
      <c r="S601">
        <v>1.0634999999999999</v>
      </c>
      <c r="T601">
        <v>1.3045899999999999</v>
      </c>
      <c r="U601">
        <v>1.3688800000000001</v>
      </c>
    </row>
    <row r="602" spans="1:21">
      <c r="A602" s="91">
        <v>39195</v>
      </c>
      <c r="B602" s="86">
        <v>39195</v>
      </c>
      <c r="C602" s="93">
        <v>1.47492625368732</v>
      </c>
      <c r="D602" s="85" t="s">
        <v>1596</v>
      </c>
      <c r="F602" s="91">
        <v>39195</v>
      </c>
      <c r="G602">
        <v>1.08</v>
      </c>
      <c r="H602">
        <v>1.31687</v>
      </c>
      <c r="I602">
        <v>1.0384599999999999</v>
      </c>
      <c r="J602">
        <v>1.3407500000000001</v>
      </c>
      <c r="K602">
        <v>1.3123800000000001</v>
      </c>
      <c r="L602">
        <v>1.284</v>
      </c>
      <c r="M602">
        <v>1.2784500000000001</v>
      </c>
      <c r="N602">
        <v>1.0149999999999999</v>
      </c>
      <c r="O602">
        <v>1.1214500000000001</v>
      </c>
      <c r="P602">
        <v>1.109</v>
      </c>
      <c r="Q602">
        <v>1.2796099999999999</v>
      </c>
      <c r="R602">
        <v>1.4750000000000001</v>
      </c>
      <c r="S602">
        <v>1.0460399999999999</v>
      </c>
      <c r="T602">
        <v>1.2546300000000001</v>
      </c>
      <c r="U602">
        <v>1.3707</v>
      </c>
    </row>
    <row r="603" spans="1:21">
      <c r="A603" s="91">
        <v>39188</v>
      </c>
      <c r="B603" s="86">
        <v>39188</v>
      </c>
      <c r="C603" s="93">
        <v>1.4693997502020399</v>
      </c>
      <c r="D603" s="85" t="s">
        <v>1597</v>
      </c>
      <c r="F603" s="91">
        <v>39188</v>
      </c>
      <c r="G603">
        <v>1.075</v>
      </c>
      <c r="H603">
        <v>1.3086300000000002</v>
      </c>
      <c r="I603">
        <v>1.03304</v>
      </c>
      <c r="J603">
        <v>1.30925</v>
      </c>
      <c r="K603">
        <v>1.30928</v>
      </c>
      <c r="L603">
        <v>1.3198399999999999</v>
      </c>
      <c r="M603">
        <v>1.27921</v>
      </c>
      <c r="N603">
        <v>1.0069999999999999</v>
      </c>
      <c r="O603">
        <v>1.1084200000000002</v>
      </c>
      <c r="P603">
        <v>1.054</v>
      </c>
      <c r="Q603">
        <v>1.2762100000000001</v>
      </c>
      <c r="R603">
        <v>1.4710000000000001</v>
      </c>
      <c r="S603">
        <v>1.0463399999999998</v>
      </c>
      <c r="T603">
        <v>1.26193</v>
      </c>
      <c r="U603">
        <v>1.3517600000000001</v>
      </c>
    </row>
    <row r="604" spans="1:21">
      <c r="A604" s="91">
        <v>39174</v>
      </c>
      <c r="B604" s="86">
        <v>39174</v>
      </c>
      <c r="C604" s="93">
        <v>1.4790711433219901</v>
      </c>
      <c r="D604" s="85" t="s">
        <v>1598</v>
      </c>
      <c r="F604" s="91">
        <v>39174</v>
      </c>
      <c r="G604">
        <v>1.06</v>
      </c>
      <c r="H604">
        <v>1.2859</v>
      </c>
      <c r="I604">
        <v>1.0039</v>
      </c>
      <c r="J604">
        <v>1.3165</v>
      </c>
      <c r="K604">
        <v>1.29257</v>
      </c>
      <c r="L604">
        <v>1.30891</v>
      </c>
      <c r="M604">
        <v>1.2551400000000001</v>
      </c>
      <c r="N604">
        <v>0.97899999999999998</v>
      </c>
      <c r="O604">
        <v>1.07575</v>
      </c>
      <c r="P604">
        <v>1.054</v>
      </c>
      <c r="Q604">
        <v>1.2564000000000002</v>
      </c>
      <c r="R604">
        <v>1.4570000000000001</v>
      </c>
      <c r="S604">
        <v>1.0241199999999999</v>
      </c>
      <c r="T604">
        <v>1.2426600000000001</v>
      </c>
      <c r="U604">
        <v>1.33813</v>
      </c>
    </row>
    <row r="605" spans="1:21">
      <c r="A605" s="91">
        <v>39167</v>
      </c>
      <c r="B605" s="86">
        <v>39167</v>
      </c>
      <c r="C605" s="93">
        <v>1.4785244326162499</v>
      </c>
      <c r="D605" s="85" t="s">
        <v>1599</v>
      </c>
      <c r="F605" s="91">
        <v>39167</v>
      </c>
      <c r="G605">
        <v>1.0349999999999999</v>
      </c>
      <c r="H605">
        <v>1.2646999999999999</v>
      </c>
      <c r="I605">
        <v>0.99505999999999994</v>
      </c>
      <c r="J605">
        <v>1.27925</v>
      </c>
      <c r="K605">
        <v>1.2564300000000002</v>
      </c>
      <c r="L605">
        <v>1.2781300000000002</v>
      </c>
      <c r="M605">
        <v>1.22892</v>
      </c>
      <c r="N605">
        <v>0.96199999999999997</v>
      </c>
      <c r="O605">
        <v>1.07656</v>
      </c>
      <c r="P605">
        <v>1.016</v>
      </c>
      <c r="Q605">
        <v>1.2404300000000001</v>
      </c>
      <c r="R605">
        <v>1.427</v>
      </c>
      <c r="S605">
        <v>1.0017</v>
      </c>
      <c r="T605">
        <v>1.21827</v>
      </c>
      <c r="U605">
        <v>1.3206199999999999</v>
      </c>
    </row>
    <row r="606" spans="1:21">
      <c r="A606" s="91">
        <v>39160</v>
      </c>
      <c r="B606" s="86">
        <v>39160</v>
      </c>
      <c r="C606" s="93">
        <v>1.4635931211123299</v>
      </c>
      <c r="D606" s="85" t="s">
        <v>1600</v>
      </c>
      <c r="F606" s="91">
        <v>39160</v>
      </c>
      <c r="G606">
        <v>1.042</v>
      </c>
      <c r="H606">
        <v>1.2790699999999999</v>
      </c>
      <c r="I606">
        <v>1.0009700000000001</v>
      </c>
      <c r="J606">
        <v>1.2807500000000001</v>
      </c>
      <c r="K606">
        <v>1.2352100000000001</v>
      </c>
      <c r="L606">
        <v>1.2457</v>
      </c>
      <c r="M606">
        <v>1.2335399999999999</v>
      </c>
      <c r="N606">
        <v>0.96799999999999997</v>
      </c>
      <c r="O606">
        <v>1.0800799999999999</v>
      </c>
      <c r="P606">
        <v>1.016</v>
      </c>
      <c r="Q606">
        <v>1.24075</v>
      </c>
      <c r="R606">
        <v>1.409</v>
      </c>
      <c r="S606">
        <v>1.00139</v>
      </c>
      <c r="T606">
        <v>1.2096900000000002</v>
      </c>
      <c r="U606">
        <v>1.3016400000000001</v>
      </c>
    </row>
    <row r="607" spans="1:21">
      <c r="A607" s="91">
        <v>39153</v>
      </c>
      <c r="B607" s="86">
        <v>39153</v>
      </c>
      <c r="C607" s="93">
        <v>1.4658457930225699</v>
      </c>
      <c r="D607" s="85" t="s">
        <v>1601</v>
      </c>
      <c r="F607" s="91">
        <v>39153</v>
      </c>
      <c r="G607">
        <v>1.04</v>
      </c>
      <c r="H607">
        <v>1.2672000000000001</v>
      </c>
      <c r="I607">
        <v>0.97467999999999999</v>
      </c>
      <c r="J607">
        <v>1.2837499999999999</v>
      </c>
      <c r="K607">
        <v>1.2631400000000002</v>
      </c>
      <c r="L607">
        <v>1.2670599999999999</v>
      </c>
      <c r="M607">
        <v>1.23854</v>
      </c>
      <c r="N607">
        <v>0.96399999999999997</v>
      </c>
      <c r="O607">
        <v>1.0556199999999998</v>
      </c>
      <c r="P607">
        <v>1.016</v>
      </c>
      <c r="Q607">
        <v>1.2412699999999999</v>
      </c>
      <c r="R607">
        <v>1.431</v>
      </c>
      <c r="S607">
        <v>1.00911</v>
      </c>
      <c r="T607">
        <v>1.22027</v>
      </c>
      <c r="U607">
        <v>1.29698</v>
      </c>
    </row>
    <row r="608" spans="1:21">
      <c r="A608" s="91">
        <v>39146</v>
      </c>
      <c r="B608" s="86">
        <v>39146</v>
      </c>
      <c r="C608" s="93">
        <v>1.4658457930225699</v>
      </c>
      <c r="D608" s="85" t="s">
        <v>1602</v>
      </c>
      <c r="F608" s="91">
        <v>39146</v>
      </c>
      <c r="G608">
        <v>1.0329999999999999</v>
      </c>
      <c r="H608">
        <v>1.2335999999999998</v>
      </c>
      <c r="I608">
        <v>0.9490599999999999</v>
      </c>
      <c r="J608">
        <v>1.2985</v>
      </c>
      <c r="K608">
        <v>1.2701099999999999</v>
      </c>
      <c r="L608">
        <v>1.27244</v>
      </c>
      <c r="M608">
        <v>1.2239200000000001</v>
      </c>
      <c r="N608">
        <v>0.94399999999999995</v>
      </c>
      <c r="O608">
        <v>1.0126900000000001</v>
      </c>
      <c r="P608">
        <v>1.016</v>
      </c>
      <c r="Q608">
        <v>1.23149</v>
      </c>
      <c r="R608">
        <v>1.431</v>
      </c>
      <c r="S608">
        <v>0.99824999999999997</v>
      </c>
      <c r="T608">
        <v>1.2260499999999999</v>
      </c>
      <c r="U608">
        <v>1.2862100000000001</v>
      </c>
    </row>
    <row r="609" spans="1:21">
      <c r="A609" s="91">
        <v>39139</v>
      </c>
      <c r="B609" s="86">
        <v>39139</v>
      </c>
      <c r="C609" s="93">
        <v>1.4912019087384401</v>
      </c>
      <c r="D609" s="85" t="s">
        <v>1603</v>
      </c>
      <c r="F609" s="91">
        <v>39139</v>
      </c>
      <c r="G609">
        <v>1.006</v>
      </c>
      <c r="H609">
        <v>1.1847999999999999</v>
      </c>
      <c r="I609">
        <v>0.93212000000000006</v>
      </c>
      <c r="J609">
        <v>1.2370000000000001</v>
      </c>
      <c r="K609">
        <v>1.24234</v>
      </c>
      <c r="L609">
        <v>1.2359500000000001</v>
      </c>
      <c r="M609">
        <v>1.18652</v>
      </c>
      <c r="N609">
        <v>0.91400000000000003</v>
      </c>
      <c r="O609">
        <v>0.99619000000000002</v>
      </c>
      <c r="P609">
        <v>1.016</v>
      </c>
      <c r="Q609">
        <v>1.2216600000000002</v>
      </c>
      <c r="R609">
        <v>1.399</v>
      </c>
      <c r="S609">
        <v>0.96916999999999998</v>
      </c>
      <c r="T609">
        <v>1.18946</v>
      </c>
      <c r="U609">
        <v>1.2983399999999998</v>
      </c>
    </row>
    <row r="610" spans="1:21">
      <c r="A610" s="91">
        <v>39132</v>
      </c>
      <c r="B610" s="86">
        <v>39132</v>
      </c>
      <c r="C610" s="93">
        <v>1.4812620352540398</v>
      </c>
      <c r="D610" s="85" t="s">
        <v>1604</v>
      </c>
      <c r="F610" s="91">
        <v>39132</v>
      </c>
      <c r="G610">
        <v>1.0069999999999999</v>
      </c>
      <c r="H610">
        <v>1.194</v>
      </c>
      <c r="I610">
        <v>0.94186999999999999</v>
      </c>
      <c r="J610">
        <v>1.2377499999999999</v>
      </c>
      <c r="K610">
        <v>1.19913</v>
      </c>
      <c r="L610">
        <v>1.20269</v>
      </c>
      <c r="M610">
        <v>1.1805699999999999</v>
      </c>
      <c r="N610">
        <v>0.90700000000000003</v>
      </c>
      <c r="O610">
        <v>1.0013799999999999</v>
      </c>
      <c r="P610">
        <v>1.0329999999999999</v>
      </c>
      <c r="Q610">
        <v>1.20146</v>
      </c>
      <c r="R610">
        <v>1.3660000000000001</v>
      </c>
      <c r="S610">
        <v>0.9565499999999999</v>
      </c>
      <c r="T610">
        <v>1.1512</v>
      </c>
      <c r="U610">
        <v>1.2827599999999999</v>
      </c>
    </row>
    <row r="611" spans="1:21">
      <c r="A611" s="91">
        <v>39125</v>
      </c>
      <c r="B611" s="86">
        <v>39125</v>
      </c>
      <c r="C611" s="93">
        <v>1.5022909937654898</v>
      </c>
      <c r="D611" s="85" t="s">
        <v>1605</v>
      </c>
      <c r="F611" s="91">
        <v>39125</v>
      </c>
      <c r="G611">
        <v>1</v>
      </c>
      <c r="H611">
        <v>1.21957</v>
      </c>
      <c r="I611">
        <v>0.93282000000000009</v>
      </c>
      <c r="J611">
        <v>1.2355</v>
      </c>
      <c r="K611">
        <v>1.2074500000000001</v>
      </c>
      <c r="L611">
        <v>1.2060599999999999</v>
      </c>
      <c r="M611">
        <v>1.18242</v>
      </c>
      <c r="N611">
        <v>0.90700000000000003</v>
      </c>
      <c r="O611">
        <v>0.99046000000000001</v>
      </c>
      <c r="P611">
        <v>1.0329999999999999</v>
      </c>
      <c r="Q611">
        <v>1.20079</v>
      </c>
      <c r="R611">
        <v>1.365</v>
      </c>
      <c r="S611">
        <v>0.95665999999999995</v>
      </c>
      <c r="T611">
        <v>1.16859</v>
      </c>
      <c r="U611">
        <v>1.2938099999999999</v>
      </c>
    </row>
    <row r="612" spans="1:21">
      <c r="A612" s="91">
        <v>39118</v>
      </c>
      <c r="B612" s="86">
        <v>39118</v>
      </c>
      <c r="C612" s="93">
        <v>1.5125160704832499</v>
      </c>
      <c r="D612" s="85" t="s">
        <v>1606</v>
      </c>
      <c r="F612" s="91">
        <v>39118</v>
      </c>
      <c r="G612">
        <v>0.99199999999999999</v>
      </c>
      <c r="H612">
        <v>1.1940999999999999</v>
      </c>
      <c r="I612">
        <v>0.94289000000000001</v>
      </c>
      <c r="J612">
        <v>1.22675</v>
      </c>
      <c r="K612">
        <v>1.2020599999999999</v>
      </c>
      <c r="L612">
        <v>1.20505</v>
      </c>
      <c r="M612">
        <v>1.1686099999999999</v>
      </c>
      <c r="N612">
        <v>0.89300000000000002</v>
      </c>
      <c r="O612">
        <v>0.97138999999999998</v>
      </c>
      <c r="P612">
        <v>1.0329999999999999</v>
      </c>
      <c r="Q612">
        <v>1.1985899999999998</v>
      </c>
      <c r="R612">
        <v>1.355</v>
      </c>
      <c r="S612">
        <v>0.94720000000000004</v>
      </c>
      <c r="T612">
        <v>1.1561700000000001</v>
      </c>
      <c r="U612">
        <v>1.2949900000000001</v>
      </c>
    </row>
    <row r="613" spans="1:21">
      <c r="A613" s="91">
        <v>39111</v>
      </c>
      <c r="B613" s="86">
        <v>39111</v>
      </c>
      <c r="C613" s="93">
        <v>1.5146925174189598</v>
      </c>
      <c r="D613" s="85" t="s">
        <v>1607</v>
      </c>
      <c r="F613" s="91">
        <v>39111</v>
      </c>
      <c r="G613">
        <v>0.98099999999999998</v>
      </c>
      <c r="H613">
        <v>1.1657</v>
      </c>
      <c r="I613">
        <v>0.94840000000000002</v>
      </c>
      <c r="J613">
        <v>1.2135</v>
      </c>
      <c r="K613">
        <v>1.1857800000000001</v>
      </c>
      <c r="L613">
        <v>1.19075</v>
      </c>
      <c r="M613">
        <v>1.1543699999999999</v>
      </c>
      <c r="N613">
        <v>0.88300000000000001</v>
      </c>
      <c r="O613">
        <v>0.96587000000000001</v>
      </c>
      <c r="P613">
        <v>1.0329999999999999</v>
      </c>
      <c r="Q613">
        <v>1.1982200000000001</v>
      </c>
      <c r="R613">
        <v>1.3440000000000001</v>
      </c>
      <c r="S613">
        <v>0.94159999999999999</v>
      </c>
      <c r="T613">
        <v>1.13971</v>
      </c>
      <c r="U613">
        <v>1.2974400000000001</v>
      </c>
    </row>
    <row r="614" spans="1:21">
      <c r="A614" s="91">
        <v>39104</v>
      </c>
      <c r="B614" s="86">
        <v>39104</v>
      </c>
      <c r="C614" s="93">
        <v>1.52706726731313</v>
      </c>
      <c r="D614" s="85" t="s">
        <v>1608</v>
      </c>
      <c r="F614" s="91">
        <v>39104</v>
      </c>
      <c r="G614">
        <v>0.98</v>
      </c>
      <c r="H614">
        <v>1.1912</v>
      </c>
      <c r="I614">
        <v>0.96928999999999998</v>
      </c>
      <c r="J614">
        <v>1.2052499999999999</v>
      </c>
      <c r="K614">
        <v>1.1537899999999999</v>
      </c>
      <c r="L614">
        <v>1.163</v>
      </c>
      <c r="M614">
        <v>1.1495499999999998</v>
      </c>
      <c r="N614">
        <v>0.89200000000000002</v>
      </c>
      <c r="O614">
        <v>0.98768</v>
      </c>
      <c r="P614">
        <v>1.0329999999999999</v>
      </c>
      <c r="Q614">
        <v>1.19879</v>
      </c>
      <c r="R614">
        <v>1.337</v>
      </c>
      <c r="S614">
        <v>0.94026999999999994</v>
      </c>
      <c r="T614">
        <v>1.1112500000000001</v>
      </c>
      <c r="U614">
        <v>1.3175399999999999</v>
      </c>
    </row>
    <row r="615" spans="1:21">
      <c r="A615" s="91">
        <v>39097</v>
      </c>
      <c r="B615" s="86">
        <v>39097</v>
      </c>
      <c r="C615" s="93">
        <v>1.5187182018376499</v>
      </c>
      <c r="D615" s="85" t="s">
        <v>1609</v>
      </c>
      <c r="F615" s="91">
        <v>39097</v>
      </c>
      <c r="G615">
        <v>0.98899999999999999</v>
      </c>
      <c r="H615">
        <v>1.20078</v>
      </c>
      <c r="I615">
        <v>0.98011999999999999</v>
      </c>
      <c r="J615">
        <v>1.2044999999999999</v>
      </c>
      <c r="K615">
        <v>1.1728399999999999</v>
      </c>
      <c r="L615">
        <v>1.16943</v>
      </c>
      <c r="M615">
        <v>1.1688099999999999</v>
      </c>
      <c r="N615">
        <v>0.91200000000000003</v>
      </c>
      <c r="O615">
        <v>1.0060199999999999</v>
      </c>
      <c r="P615">
        <v>1.034</v>
      </c>
      <c r="Q615">
        <v>1.2076900000000002</v>
      </c>
      <c r="R615">
        <v>1.3420000000000001</v>
      </c>
      <c r="S615">
        <v>0.94979999999999998</v>
      </c>
      <c r="T615">
        <v>1.1384000000000001</v>
      </c>
      <c r="U615">
        <v>1.32273</v>
      </c>
    </row>
    <row r="616" spans="1:21" ht="15.75" thickBot="1">
      <c r="A616" s="92">
        <v>39090</v>
      </c>
      <c r="B616" s="86">
        <v>39090</v>
      </c>
      <c r="C616" s="93">
        <v>1.48566334868519</v>
      </c>
      <c r="D616" s="85" t="s">
        <v>1610</v>
      </c>
      <c r="F616" s="92">
        <v>39090</v>
      </c>
      <c r="G616">
        <v>1.0109999999999999</v>
      </c>
      <c r="H616">
        <v>1.2321</v>
      </c>
      <c r="I616">
        <v>0.99309000000000003</v>
      </c>
      <c r="J616">
        <v>1.2544999999999999</v>
      </c>
      <c r="K616">
        <v>1.1968800000000002</v>
      </c>
      <c r="L616">
        <v>1.1865899999999998</v>
      </c>
      <c r="M616">
        <v>1.1867999999999999</v>
      </c>
      <c r="N616">
        <v>0.92200000000000004</v>
      </c>
      <c r="O616">
        <v>1.0183800000000001</v>
      </c>
      <c r="P616">
        <v>1.034</v>
      </c>
      <c r="Q616">
        <v>1.21868</v>
      </c>
      <c r="R616">
        <v>1.355</v>
      </c>
      <c r="S616">
        <v>0.95996000000000004</v>
      </c>
      <c r="T616">
        <v>1.15219</v>
      </c>
      <c r="U616">
        <v>1.3023399999999998</v>
      </c>
    </row>
    <row r="617" spans="1:21">
      <c r="A617" s="91">
        <v>39069</v>
      </c>
      <c r="B617" s="86">
        <v>39069</v>
      </c>
      <c r="C617" s="93">
        <v>1.48909239818331</v>
      </c>
      <c r="D617" s="85" t="s">
        <v>1611</v>
      </c>
      <c r="F617" s="91">
        <v>39069</v>
      </c>
      <c r="G617">
        <v>1.0149999999999999</v>
      </c>
      <c r="H617">
        <v>1.2474000000000001</v>
      </c>
      <c r="I617">
        <v>0.99982000000000004</v>
      </c>
      <c r="J617">
        <v>1.2039900000000001</v>
      </c>
      <c r="K617">
        <v>1.2315999999999998</v>
      </c>
      <c r="L617">
        <v>1.2392699999999999</v>
      </c>
      <c r="M617">
        <v>1.16404</v>
      </c>
      <c r="N617">
        <v>0.91300000000000003</v>
      </c>
      <c r="O617">
        <v>1.0209600000000001</v>
      </c>
      <c r="P617">
        <v>1.03</v>
      </c>
      <c r="Q617">
        <v>1.21922</v>
      </c>
      <c r="R617">
        <v>1.3540000000000001</v>
      </c>
      <c r="S617">
        <v>0.96544000000000008</v>
      </c>
      <c r="T617">
        <v>1.1749799999999999</v>
      </c>
      <c r="U617">
        <v>1.30643</v>
      </c>
    </row>
    <row r="618" spans="1:21">
      <c r="A618" s="91">
        <v>39062</v>
      </c>
      <c r="B618" s="86">
        <v>39062</v>
      </c>
      <c r="C618" s="93">
        <v>1.4788524105294298</v>
      </c>
      <c r="D618" s="85" t="s">
        <v>1612</v>
      </c>
      <c r="F618" s="91">
        <v>39062</v>
      </c>
      <c r="G618">
        <v>1.0169999999999999</v>
      </c>
      <c r="H618">
        <v>1.2391700000000001</v>
      </c>
      <c r="I618">
        <v>0.99476999999999993</v>
      </c>
      <c r="J618">
        <v>1.2072499999999999</v>
      </c>
      <c r="K618">
        <v>1.2125899999999998</v>
      </c>
      <c r="L618">
        <v>1.228</v>
      </c>
      <c r="M618">
        <v>1.1674899999999999</v>
      </c>
      <c r="N618">
        <v>0.91300000000000003</v>
      </c>
      <c r="O618">
        <v>1.00813</v>
      </c>
      <c r="P618">
        <v>1.03</v>
      </c>
      <c r="Q618">
        <v>1.21922</v>
      </c>
      <c r="R618">
        <v>1.35</v>
      </c>
      <c r="S618">
        <v>0.96417999999999993</v>
      </c>
      <c r="T618">
        <v>1.1635499999999999</v>
      </c>
      <c r="U618">
        <v>1.2931600000000001</v>
      </c>
    </row>
    <row r="619" spans="1:21">
      <c r="A619" s="91">
        <v>39055</v>
      </c>
      <c r="B619" s="86">
        <v>39055</v>
      </c>
      <c r="C619" s="93">
        <v>1.4850014850014901</v>
      </c>
      <c r="D619" s="85" t="s">
        <v>1613</v>
      </c>
      <c r="F619" s="91">
        <v>39055</v>
      </c>
      <c r="G619">
        <v>1.0069999999999999</v>
      </c>
      <c r="H619">
        <v>1.2234700000000001</v>
      </c>
      <c r="I619">
        <v>0.99392999999999998</v>
      </c>
      <c r="J619">
        <v>1.20225</v>
      </c>
      <c r="K619">
        <v>1.23899</v>
      </c>
      <c r="L619">
        <v>1.2394400000000001</v>
      </c>
      <c r="M619">
        <v>1.16056</v>
      </c>
      <c r="N619">
        <v>0.90800000000000003</v>
      </c>
      <c r="O619">
        <v>1.00634</v>
      </c>
      <c r="P619">
        <v>1.03</v>
      </c>
      <c r="Q619">
        <v>1.21922</v>
      </c>
      <c r="R619">
        <v>1.353</v>
      </c>
      <c r="S619">
        <v>0.95859000000000005</v>
      </c>
      <c r="T619">
        <v>1.1690499999999999</v>
      </c>
      <c r="U619">
        <v>1.27386</v>
      </c>
    </row>
    <row r="620" spans="1:21">
      <c r="A620" s="91">
        <v>39048</v>
      </c>
      <c r="B620" s="86">
        <v>39048</v>
      </c>
      <c r="C620" s="93">
        <v>1.4755791648221899</v>
      </c>
      <c r="D620" s="85" t="s">
        <v>1614</v>
      </c>
      <c r="F620" s="91">
        <v>39048</v>
      </c>
      <c r="G620">
        <v>1.01</v>
      </c>
      <c r="H620">
        <v>1.2144300000000001</v>
      </c>
      <c r="I620">
        <v>0.99633000000000005</v>
      </c>
      <c r="J620">
        <v>1.1787999999999998</v>
      </c>
      <c r="K620">
        <v>1.20726</v>
      </c>
      <c r="L620">
        <v>1.228</v>
      </c>
      <c r="M620">
        <v>1.1579900000000001</v>
      </c>
      <c r="N620">
        <v>0.90900000000000003</v>
      </c>
      <c r="O620">
        <v>0.99934000000000001</v>
      </c>
      <c r="P620">
        <v>1.03</v>
      </c>
      <c r="Q620">
        <v>1.21889</v>
      </c>
      <c r="R620">
        <v>1.3360000000000001</v>
      </c>
      <c r="S620">
        <v>0.95730999999999999</v>
      </c>
      <c r="T620">
        <v>1.16784</v>
      </c>
      <c r="U620">
        <v>1.2611700000000001</v>
      </c>
    </row>
    <row r="621" spans="1:21">
      <c r="A621" s="91">
        <v>39041</v>
      </c>
      <c r="B621" s="86">
        <v>39041</v>
      </c>
      <c r="C621" s="93">
        <v>1.47754137115839</v>
      </c>
      <c r="D621" s="85" t="s">
        <v>1615</v>
      </c>
      <c r="F621" s="91">
        <v>39041</v>
      </c>
      <c r="G621">
        <v>1.012</v>
      </c>
      <c r="H621">
        <v>1.1922699999999999</v>
      </c>
      <c r="I621">
        <v>0.99929000000000001</v>
      </c>
      <c r="J621">
        <v>1.2032499999999999</v>
      </c>
      <c r="K621">
        <v>1.2202</v>
      </c>
      <c r="L621">
        <v>1.2384200000000001</v>
      </c>
      <c r="M621">
        <v>1.1579000000000002</v>
      </c>
      <c r="N621">
        <v>0.91</v>
      </c>
      <c r="O621">
        <v>1.0035099999999999</v>
      </c>
      <c r="P621">
        <v>1.03</v>
      </c>
      <c r="Q621">
        <v>1.21878</v>
      </c>
      <c r="R621">
        <v>1.3340000000000001</v>
      </c>
      <c r="S621">
        <v>0.95638000000000001</v>
      </c>
      <c r="T621">
        <v>1.1516900000000001</v>
      </c>
      <c r="U621">
        <v>1.2626199999999999</v>
      </c>
    </row>
    <row r="622" spans="1:21">
      <c r="A622" s="91">
        <v>39034</v>
      </c>
      <c r="B622" s="86">
        <v>39034</v>
      </c>
      <c r="C622" s="93">
        <v>1.48434021077631</v>
      </c>
      <c r="D622" s="85" t="s">
        <v>1474</v>
      </c>
      <c r="F622" s="91">
        <v>39034</v>
      </c>
      <c r="G622">
        <v>1.0169999999999999</v>
      </c>
      <c r="H622">
        <v>1.1479999999999999</v>
      </c>
      <c r="I622">
        <v>1.0017799999999999</v>
      </c>
      <c r="J622">
        <v>1.1972499999999999</v>
      </c>
      <c r="K622">
        <v>1.2202299999999999</v>
      </c>
      <c r="L622">
        <v>1.24027</v>
      </c>
      <c r="M622">
        <v>1.1548800000000001</v>
      </c>
      <c r="N622">
        <v>0.90600000000000003</v>
      </c>
      <c r="O622">
        <v>0.99684000000000006</v>
      </c>
      <c r="P622">
        <v>1.0589999999999999</v>
      </c>
      <c r="Q622">
        <v>1.21993</v>
      </c>
      <c r="R622">
        <v>1.339</v>
      </c>
      <c r="S622">
        <v>0.95577999999999996</v>
      </c>
      <c r="T622">
        <v>1.1502600000000001</v>
      </c>
      <c r="U622">
        <v>1.2689300000000001</v>
      </c>
    </row>
    <row r="623" spans="1:21">
      <c r="A623" s="91">
        <v>39027</v>
      </c>
      <c r="B623" s="86">
        <v>39027</v>
      </c>
      <c r="C623" s="93">
        <v>1.49298297999403</v>
      </c>
      <c r="D623" s="85" t="s">
        <v>1616</v>
      </c>
      <c r="F623" s="91">
        <v>39027</v>
      </c>
      <c r="G623">
        <v>1.02</v>
      </c>
      <c r="H623">
        <v>1.19313</v>
      </c>
      <c r="I623">
        <v>1.0130299999999999</v>
      </c>
      <c r="J623">
        <v>1.17275</v>
      </c>
      <c r="K623">
        <v>1.1707400000000001</v>
      </c>
      <c r="L623">
        <v>1.2200899999999999</v>
      </c>
      <c r="M623">
        <v>1.1527499999999999</v>
      </c>
      <c r="N623">
        <v>0.90900000000000003</v>
      </c>
      <c r="O623">
        <v>1.0073400000000001</v>
      </c>
      <c r="P623">
        <v>1.0589999999999999</v>
      </c>
      <c r="Q623">
        <v>1.2200299999999999</v>
      </c>
      <c r="R623">
        <v>1.325</v>
      </c>
      <c r="S623">
        <v>0.95055999999999996</v>
      </c>
      <c r="T623">
        <v>1.1326700000000001</v>
      </c>
      <c r="U623">
        <v>1.27708</v>
      </c>
    </row>
    <row r="624" spans="1:21">
      <c r="A624" s="91">
        <v>39020</v>
      </c>
      <c r="B624" s="86">
        <v>39020</v>
      </c>
      <c r="C624" s="93">
        <v>1.4970059880239499</v>
      </c>
      <c r="D624" s="85" t="s">
        <v>1617</v>
      </c>
      <c r="F624" s="91">
        <v>39020</v>
      </c>
      <c r="G624">
        <v>1.02</v>
      </c>
      <c r="H624">
        <v>1.2114</v>
      </c>
      <c r="I624">
        <v>1.0019</v>
      </c>
      <c r="J624">
        <v>1.18625</v>
      </c>
      <c r="K624">
        <v>1.19797</v>
      </c>
      <c r="L624">
        <v>1.23993</v>
      </c>
      <c r="M624">
        <v>1.1533199999999999</v>
      </c>
      <c r="N624">
        <v>0.90300000000000002</v>
      </c>
      <c r="O624">
        <v>0.99380999999999997</v>
      </c>
      <c r="P624">
        <v>1.0589999999999999</v>
      </c>
      <c r="Q624">
        <v>1.2197899999999999</v>
      </c>
      <c r="R624">
        <v>1.34</v>
      </c>
      <c r="S624">
        <v>0.96048</v>
      </c>
      <c r="T624">
        <v>1.1469200000000002</v>
      </c>
      <c r="U624">
        <v>1.28146</v>
      </c>
    </row>
    <row r="625" spans="1:21">
      <c r="A625" s="91">
        <v>39013</v>
      </c>
      <c r="B625" s="86">
        <v>39013</v>
      </c>
      <c r="C625" s="93">
        <v>1.4912019087384401</v>
      </c>
      <c r="D625" s="85" t="s">
        <v>1618</v>
      </c>
      <c r="F625" s="91">
        <v>39013</v>
      </c>
      <c r="G625">
        <v>1.0309999999999999</v>
      </c>
      <c r="H625">
        <v>1.2122299999999999</v>
      </c>
      <c r="I625">
        <v>1.00763</v>
      </c>
      <c r="J625">
        <v>1.1992499999999999</v>
      </c>
      <c r="K625">
        <v>1.17896</v>
      </c>
      <c r="L625">
        <v>1.2290000000000001</v>
      </c>
      <c r="M625">
        <v>1.1588900000000002</v>
      </c>
      <c r="N625">
        <v>0.90300000000000002</v>
      </c>
      <c r="O625">
        <v>1.0024199999999999</v>
      </c>
      <c r="P625">
        <v>1.0589999999999999</v>
      </c>
      <c r="Q625">
        <v>1.2197899999999999</v>
      </c>
      <c r="R625">
        <v>1.337</v>
      </c>
      <c r="S625">
        <v>0.96052999999999999</v>
      </c>
      <c r="T625">
        <v>1.1364000000000001</v>
      </c>
      <c r="U625">
        <v>1.2785</v>
      </c>
    </row>
    <row r="626" spans="1:21">
      <c r="A626" s="91">
        <v>39006</v>
      </c>
      <c r="B626" s="86">
        <v>39006</v>
      </c>
      <c r="C626" s="93">
        <v>1.4865467518953499</v>
      </c>
      <c r="D626" s="85" t="s">
        <v>1619</v>
      </c>
      <c r="F626" s="91">
        <v>39006</v>
      </c>
      <c r="G626">
        <v>1.0309999999999999</v>
      </c>
      <c r="H626">
        <v>1.18573</v>
      </c>
      <c r="I626">
        <v>1.01806</v>
      </c>
      <c r="J626">
        <v>1.216</v>
      </c>
      <c r="K626">
        <v>1.1709499999999999</v>
      </c>
      <c r="L626">
        <v>1.2493800000000002</v>
      </c>
      <c r="M626">
        <v>1.1576099999999998</v>
      </c>
      <c r="N626">
        <v>0.90400000000000003</v>
      </c>
      <c r="O626">
        <v>1.00163</v>
      </c>
      <c r="P626">
        <v>1.141</v>
      </c>
      <c r="Q626">
        <v>1.2197899999999999</v>
      </c>
      <c r="R626">
        <v>1.3340000000000001</v>
      </c>
      <c r="S626">
        <v>0.96669000000000005</v>
      </c>
      <c r="T626">
        <v>1.14249</v>
      </c>
      <c r="U626">
        <v>1.2770899999999998</v>
      </c>
    </row>
    <row r="627" spans="1:21">
      <c r="A627" s="91">
        <v>38999</v>
      </c>
      <c r="B627" s="86">
        <v>38999</v>
      </c>
      <c r="C627" s="93">
        <v>1.4801657785672</v>
      </c>
      <c r="D627" s="85" t="s">
        <v>1067</v>
      </c>
      <c r="F627" s="91">
        <v>38999</v>
      </c>
      <c r="G627">
        <v>1.03</v>
      </c>
      <c r="H627">
        <v>1.20123</v>
      </c>
      <c r="I627">
        <v>1.0332000000000001</v>
      </c>
      <c r="J627">
        <v>1.2104999999999999</v>
      </c>
      <c r="K627">
        <v>1.1841900000000001</v>
      </c>
      <c r="L627">
        <v>1.2524000000000002</v>
      </c>
      <c r="M627">
        <v>1.16171</v>
      </c>
      <c r="N627">
        <v>0.90800000000000003</v>
      </c>
      <c r="O627">
        <v>0.98794999999999999</v>
      </c>
      <c r="P627">
        <v>1.141</v>
      </c>
      <c r="Q627">
        <v>1.2200299999999999</v>
      </c>
      <c r="R627">
        <v>1.331</v>
      </c>
      <c r="S627">
        <v>0.96929999999999994</v>
      </c>
      <c r="T627">
        <v>1.1379300000000001</v>
      </c>
      <c r="U627">
        <v>1.28179</v>
      </c>
    </row>
    <row r="628" spans="1:21">
      <c r="A628" s="91">
        <v>38992</v>
      </c>
      <c r="B628" s="86">
        <v>38992</v>
      </c>
      <c r="C628" s="93">
        <v>1.4751438265230898</v>
      </c>
      <c r="D628" s="85" t="s">
        <v>1620</v>
      </c>
      <c r="F628" s="91">
        <v>38992</v>
      </c>
      <c r="G628">
        <v>1.03</v>
      </c>
      <c r="H628">
        <v>1.2046700000000001</v>
      </c>
      <c r="I628">
        <v>1.0479400000000001</v>
      </c>
      <c r="J628">
        <v>1.216</v>
      </c>
      <c r="K628">
        <v>1.1975</v>
      </c>
      <c r="L628">
        <v>1.27023</v>
      </c>
      <c r="M628">
        <v>1.1670499999999999</v>
      </c>
      <c r="N628">
        <v>0.91200000000000003</v>
      </c>
      <c r="O628">
        <v>0.97686000000000006</v>
      </c>
      <c r="P628">
        <v>1.141</v>
      </c>
      <c r="Q628">
        <v>1.2301600000000001</v>
      </c>
      <c r="R628">
        <v>1.3440000000000001</v>
      </c>
      <c r="S628">
        <v>0.97627999999999993</v>
      </c>
      <c r="T628">
        <v>1.1423399999999999</v>
      </c>
      <c r="U628">
        <v>1.2825899999999999</v>
      </c>
    </row>
    <row r="629" spans="1:21">
      <c r="A629" s="91">
        <v>38985</v>
      </c>
      <c r="B629" s="86">
        <v>38985</v>
      </c>
      <c r="C629" s="93">
        <v>1.48986889153754</v>
      </c>
      <c r="D629" s="85" t="s">
        <v>1092</v>
      </c>
      <c r="F629" s="91">
        <v>38985</v>
      </c>
      <c r="G629">
        <v>1.0489999999999999</v>
      </c>
      <c r="H629">
        <v>1.2609999999999999</v>
      </c>
      <c r="I629">
        <v>1.0545799999999999</v>
      </c>
      <c r="J629">
        <v>1.2107999999999999</v>
      </c>
      <c r="K629">
        <v>1.2145599999999999</v>
      </c>
      <c r="L629">
        <v>1.2629999999999999</v>
      </c>
      <c r="M629">
        <v>1.17181</v>
      </c>
      <c r="N629">
        <v>0.92400000000000004</v>
      </c>
      <c r="O629">
        <v>0.99227999999999994</v>
      </c>
      <c r="P629">
        <v>1.141</v>
      </c>
      <c r="Q629">
        <v>1.2315199999999999</v>
      </c>
      <c r="R629">
        <v>1.339</v>
      </c>
      <c r="S629">
        <v>0.99329999999999996</v>
      </c>
      <c r="T629">
        <v>1.1459999999999999</v>
      </c>
      <c r="U629">
        <v>1.31409</v>
      </c>
    </row>
    <row r="630" spans="1:21">
      <c r="A630" s="91">
        <v>38978</v>
      </c>
      <c r="B630" s="86">
        <v>38978</v>
      </c>
      <c r="C630" s="93">
        <v>1.4819205690574999</v>
      </c>
      <c r="D630" s="85" t="s">
        <v>1621</v>
      </c>
      <c r="F630" s="91">
        <v>38978</v>
      </c>
      <c r="G630">
        <v>1.079</v>
      </c>
      <c r="H630">
        <v>1.274</v>
      </c>
      <c r="I630">
        <v>1.0763800000000001</v>
      </c>
      <c r="J630">
        <v>1.2512999999999999</v>
      </c>
      <c r="K630">
        <v>1.22241</v>
      </c>
      <c r="L630">
        <v>1.3008299999999999</v>
      </c>
      <c r="M630">
        <v>1.1884999999999999</v>
      </c>
      <c r="N630">
        <v>0.94099999999999995</v>
      </c>
      <c r="O630">
        <v>1.0294700000000001</v>
      </c>
      <c r="P630">
        <v>1.2090000000000001</v>
      </c>
      <c r="Q630">
        <v>1.25156</v>
      </c>
      <c r="R630">
        <v>1.3480000000000001</v>
      </c>
      <c r="S630">
        <v>1.00658</v>
      </c>
      <c r="T630">
        <v>1.1596</v>
      </c>
      <c r="U630">
        <v>1.3304200000000002</v>
      </c>
    </row>
    <row r="631" spans="1:21">
      <c r="A631" s="91">
        <v>38971</v>
      </c>
      <c r="B631" s="86">
        <v>38971</v>
      </c>
      <c r="C631" s="93">
        <v>1.46713615023474</v>
      </c>
      <c r="D631" s="85" t="s">
        <v>1622</v>
      </c>
      <c r="F631" s="91">
        <v>38971</v>
      </c>
      <c r="G631">
        <v>1.1120000000000001</v>
      </c>
      <c r="H631">
        <v>1.2747999999999999</v>
      </c>
      <c r="I631">
        <v>1.0940300000000001</v>
      </c>
      <c r="J631">
        <v>1.2562500000000001</v>
      </c>
      <c r="K631">
        <v>1.24915</v>
      </c>
      <c r="L631">
        <v>1.3237000000000001</v>
      </c>
      <c r="M631">
        <v>1.2185699999999999</v>
      </c>
      <c r="N631">
        <v>0.97199999999999998</v>
      </c>
      <c r="O631">
        <v>1.03671</v>
      </c>
      <c r="P631">
        <v>1.2090000000000001</v>
      </c>
      <c r="Q631">
        <v>1.2713399999999999</v>
      </c>
      <c r="R631">
        <v>1.367</v>
      </c>
      <c r="S631">
        <v>1.0263499999999999</v>
      </c>
      <c r="T631">
        <v>1.19113</v>
      </c>
      <c r="U631">
        <v>1.3421500000000002</v>
      </c>
    </row>
    <row r="632" spans="1:21">
      <c r="A632" s="91">
        <v>38964</v>
      </c>
      <c r="B632" s="86">
        <v>38964</v>
      </c>
      <c r="C632" s="93">
        <v>1.48203038162282</v>
      </c>
      <c r="D632" s="85" t="s">
        <v>1623</v>
      </c>
      <c r="F632" s="91">
        <v>38964</v>
      </c>
      <c r="G632">
        <v>1.137</v>
      </c>
      <c r="H632">
        <v>1.30243</v>
      </c>
      <c r="I632">
        <v>1.11412</v>
      </c>
      <c r="J632">
        <v>1.3047500000000001</v>
      </c>
      <c r="K632">
        <v>1.2760400000000001</v>
      </c>
      <c r="L632">
        <v>1.3408599999999999</v>
      </c>
      <c r="M632">
        <v>1.2505200000000001</v>
      </c>
      <c r="N632">
        <v>1.0089999999999999</v>
      </c>
      <c r="O632">
        <v>1.0607899999999999</v>
      </c>
      <c r="P632">
        <v>1.2090000000000001</v>
      </c>
      <c r="Q632">
        <v>1.29331</v>
      </c>
      <c r="R632">
        <v>1.38</v>
      </c>
      <c r="S632">
        <v>1.0614000000000001</v>
      </c>
      <c r="T632">
        <v>1.19557</v>
      </c>
      <c r="U632">
        <v>1.37652</v>
      </c>
    </row>
    <row r="633" spans="1:21">
      <c r="A633" s="91">
        <v>38957</v>
      </c>
      <c r="B633" s="86">
        <v>38957</v>
      </c>
      <c r="C633" s="93">
        <v>1.4803849000740199</v>
      </c>
      <c r="D633" s="85" t="s">
        <v>1624</v>
      </c>
      <c r="F633" s="91">
        <v>38957</v>
      </c>
      <c r="G633">
        <v>1.157</v>
      </c>
      <c r="H633">
        <v>1.3423</v>
      </c>
      <c r="I633">
        <v>1.12303</v>
      </c>
      <c r="J633">
        <v>1.3202499999999999</v>
      </c>
      <c r="K633">
        <v>1.2948199999999999</v>
      </c>
      <c r="L633">
        <v>1.28627</v>
      </c>
      <c r="M633">
        <v>1.2710599999999999</v>
      </c>
      <c r="N633">
        <v>1.0409999999999999</v>
      </c>
      <c r="O633">
        <v>1.0747</v>
      </c>
      <c r="P633">
        <v>1.2090000000000001</v>
      </c>
      <c r="Q633">
        <v>1.32995</v>
      </c>
      <c r="R633">
        <v>1.431</v>
      </c>
      <c r="S633">
        <v>1.0782499999999999</v>
      </c>
      <c r="T633">
        <v>1.23722</v>
      </c>
      <c r="U633">
        <v>1.3975</v>
      </c>
    </row>
    <row r="634" spans="1:21">
      <c r="A634" s="91">
        <v>38950</v>
      </c>
      <c r="B634" s="86">
        <v>38950</v>
      </c>
      <c r="C634" s="93">
        <v>1.4688601645123398</v>
      </c>
      <c r="D634" s="85" t="s">
        <v>1625</v>
      </c>
      <c r="F634" s="91">
        <v>38950</v>
      </c>
      <c r="G634">
        <v>1.1739999999999999</v>
      </c>
      <c r="H634">
        <v>1.35985</v>
      </c>
      <c r="I634">
        <v>1.1292599999999999</v>
      </c>
      <c r="J634">
        <v>1.3392999999999999</v>
      </c>
      <c r="K634">
        <v>1.3080999999999998</v>
      </c>
      <c r="L634">
        <v>1.3010699999999999</v>
      </c>
      <c r="M634">
        <v>1.3017100000000001</v>
      </c>
      <c r="N634">
        <v>1.081</v>
      </c>
      <c r="O634">
        <v>1.08673</v>
      </c>
      <c r="P634">
        <v>1.2090000000000001</v>
      </c>
      <c r="Q634">
        <v>1.3620699999999999</v>
      </c>
      <c r="R634">
        <v>1.452</v>
      </c>
      <c r="S634">
        <v>1.1056600000000001</v>
      </c>
      <c r="T634">
        <v>1.2639100000000001</v>
      </c>
      <c r="U634">
        <v>1.4063299999999999</v>
      </c>
    </row>
    <row r="635" spans="1:21">
      <c r="A635" s="91">
        <v>38943</v>
      </c>
      <c r="B635" s="86">
        <v>38943</v>
      </c>
      <c r="C635" s="93">
        <v>1.4829094683769599</v>
      </c>
      <c r="D635" s="85" t="s">
        <v>1626</v>
      </c>
      <c r="F635" s="91">
        <v>38943</v>
      </c>
      <c r="G635">
        <v>1.196</v>
      </c>
      <c r="H635">
        <v>1.3843699999999999</v>
      </c>
      <c r="I635">
        <v>1.1307700000000001</v>
      </c>
      <c r="J635">
        <v>1.3819999999999999</v>
      </c>
      <c r="K635">
        <v>1.3403399999999999</v>
      </c>
      <c r="L635">
        <v>1.32748</v>
      </c>
      <c r="M635">
        <v>1.32677</v>
      </c>
      <c r="N635">
        <v>1.1020000000000001</v>
      </c>
      <c r="O635">
        <v>1.1260999999999999</v>
      </c>
      <c r="P635">
        <v>1.181</v>
      </c>
      <c r="Q635">
        <v>1.38948</v>
      </c>
      <c r="R635">
        <v>1.48</v>
      </c>
      <c r="S635">
        <v>1.1280699999999999</v>
      </c>
      <c r="T635">
        <v>1.3086199999999999</v>
      </c>
      <c r="U635">
        <v>1.4505399999999999</v>
      </c>
    </row>
    <row r="636" spans="1:21">
      <c r="A636" s="91">
        <v>38936</v>
      </c>
      <c r="B636" s="86">
        <v>38936</v>
      </c>
      <c r="C636" s="93">
        <v>1.4836795252225499</v>
      </c>
      <c r="D636" s="85" t="s">
        <v>1627</v>
      </c>
      <c r="F636" s="91">
        <v>38936</v>
      </c>
      <c r="G636">
        <v>1.1970000000000001</v>
      </c>
      <c r="H636">
        <v>1.3843699999999999</v>
      </c>
      <c r="I636">
        <v>1.1254200000000001</v>
      </c>
      <c r="J636">
        <v>1.3859999999999999</v>
      </c>
      <c r="K636">
        <v>1.3791199999999999</v>
      </c>
      <c r="L636">
        <v>1.3705399999999999</v>
      </c>
      <c r="M636">
        <v>1.3382000000000001</v>
      </c>
      <c r="N636">
        <v>1.1020000000000001</v>
      </c>
      <c r="O636">
        <v>1.1416999999999999</v>
      </c>
      <c r="P636">
        <v>1.181</v>
      </c>
      <c r="Q636">
        <v>1.3885799999999999</v>
      </c>
      <c r="R636">
        <v>1.518</v>
      </c>
      <c r="S636">
        <v>1.13659</v>
      </c>
      <c r="T636">
        <v>1.3543800000000001</v>
      </c>
      <c r="U636">
        <v>1.4547699999999999</v>
      </c>
    </row>
    <row r="637" spans="1:21">
      <c r="A637" s="91">
        <v>38929</v>
      </c>
      <c r="B637" s="86">
        <v>38929</v>
      </c>
      <c r="C637" s="93">
        <v>1.46134736226801</v>
      </c>
      <c r="D637" s="85" t="s">
        <v>1049</v>
      </c>
      <c r="F637" s="91">
        <v>38929</v>
      </c>
      <c r="G637">
        <v>1.177</v>
      </c>
      <c r="H637">
        <v>1.4021300000000001</v>
      </c>
      <c r="I637">
        <v>1.11589</v>
      </c>
      <c r="J637">
        <v>1.395</v>
      </c>
      <c r="K637">
        <v>1.3843800000000002</v>
      </c>
      <c r="L637">
        <v>1.37625</v>
      </c>
      <c r="M637">
        <v>1.3323800000000001</v>
      </c>
      <c r="N637">
        <v>1.105</v>
      </c>
      <c r="O637">
        <v>1.13418</v>
      </c>
      <c r="P637">
        <v>1.181</v>
      </c>
      <c r="Q637">
        <v>1.3871600000000002</v>
      </c>
      <c r="R637">
        <v>1.526</v>
      </c>
      <c r="S637">
        <v>1.13798</v>
      </c>
      <c r="T637">
        <v>1.34734</v>
      </c>
      <c r="U637">
        <v>1.4296300000000002</v>
      </c>
    </row>
    <row r="638" spans="1:21">
      <c r="A638" s="91">
        <v>38922</v>
      </c>
      <c r="B638" s="86">
        <v>38922</v>
      </c>
      <c r="C638" s="93">
        <v>1.46713615023474</v>
      </c>
      <c r="D638" s="85" t="s">
        <v>1628</v>
      </c>
      <c r="F638" s="91">
        <v>38922</v>
      </c>
      <c r="G638">
        <v>1.1739999999999999</v>
      </c>
      <c r="H638">
        <v>1.4324000000000001</v>
      </c>
      <c r="I638">
        <v>1.1217900000000001</v>
      </c>
      <c r="J638">
        <v>1.4037999999999999</v>
      </c>
      <c r="K638">
        <v>1.3792800000000001</v>
      </c>
      <c r="L638">
        <v>1.385</v>
      </c>
      <c r="M638">
        <v>1.34073</v>
      </c>
      <c r="N638">
        <v>1.107</v>
      </c>
      <c r="O638">
        <v>1.1187499999999999</v>
      </c>
      <c r="P638">
        <v>1.181</v>
      </c>
      <c r="Q638">
        <v>1.3874200000000001</v>
      </c>
      <c r="R638">
        <v>1.518</v>
      </c>
      <c r="S638">
        <v>1.1353900000000001</v>
      </c>
      <c r="T638">
        <v>1.35968</v>
      </c>
      <c r="U638">
        <v>1.4346300000000001</v>
      </c>
    </row>
    <row r="639" spans="1:21">
      <c r="A639" s="91">
        <v>38915</v>
      </c>
      <c r="B639" s="86">
        <v>38915</v>
      </c>
      <c r="C639" s="93">
        <v>1.4526438117373599</v>
      </c>
      <c r="D639" s="85" t="s">
        <v>1629</v>
      </c>
      <c r="F639" s="91">
        <v>38915</v>
      </c>
      <c r="G639">
        <v>1.157</v>
      </c>
      <c r="H639">
        <v>1.4130699999999998</v>
      </c>
      <c r="I639">
        <v>1.1137999999999999</v>
      </c>
      <c r="J639">
        <v>1.3753</v>
      </c>
      <c r="K639">
        <v>1.393</v>
      </c>
      <c r="L639">
        <v>1.4004700000000001</v>
      </c>
      <c r="M639">
        <v>1.3231400000000002</v>
      </c>
      <c r="N639">
        <v>1.0820000000000001</v>
      </c>
      <c r="O639">
        <v>1.1011900000000001</v>
      </c>
      <c r="P639">
        <v>1.1659999999999999</v>
      </c>
      <c r="Q639">
        <v>1.3850799999999999</v>
      </c>
      <c r="R639">
        <v>1.5349999999999999</v>
      </c>
      <c r="S639">
        <v>1.1306500000000002</v>
      </c>
      <c r="T639">
        <v>1.36307</v>
      </c>
      <c r="U639">
        <v>1.4073499999999999</v>
      </c>
    </row>
    <row r="640" spans="1:21">
      <c r="A640" s="91">
        <v>38908</v>
      </c>
      <c r="B640" s="86">
        <v>38908</v>
      </c>
      <c r="C640" s="93">
        <v>1.4449822989668399</v>
      </c>
      <c r="D640" s="85" t="s">
        <v>1630</v>
      </c>
      <c r="F640" s="91">
        <v>38908</v>
      </c>
      <c r="G640">
        <v>1.1479999999999999</v>
      </c>
      <c r="H640">
        <v>1.4013</v>
      </c>
      <c r="I640">
        <v>1.11558</v>
      </c>
      <c r="J640">
        <v>1.361</v>
      </c>
      <c r="K640">
        <v>1.3768199999999999</v>
      </c>
      <c r="L640">
        <v>1.3516700000000001</v>
      </c>
      <c r="M640">
        <v>1.3141500000000002</v>
      </c>
      <c r="N640">
        <v>1.075</v>
      </c>
      <c r="O640">
        <v>1.0888199999999999</v>
      </c>
      <c r="P640">
        <v>1.1659999999999999</v>
      </c>
      <c r="Q640">
        <v>1.3671099999999998</v>
      </c>
      <c r="R640">
        <v>1.5109999999999999</v>
      </c>
      <c r="S640">
        <v>1.11025</v>
      </c>
      <c r="T640">
        <v>1.36181</v>
      </c>
      <c r="U640">
        <v>1.3827700000000001</v>
      </c>
    </row>
    <row r="641" spans="1:21">
      <c r="A641" s="91">
        <v>38901</v>
      </c>
      <c r="B641" s="86">
        <v>38901</v>
      </c>
      <c r="C641" s="93">
        <v>1.4423770373575699</v>
      </c>
      <c r="D641" s="85" t="s">
        <v>1631</v>
      </c>
      <c r="F641" s="91">
        <v>38901</v>
      </c>
      <c r="G641">
        <v>1.1519999999999999</v>
      </c>
      <c r="H641">
        <v>1.3848699999999998</v>
      </c>
      <c r="I641">
        <v>1.0898099999999999</v>
      </c>
      <c r="J641">
        <v>1.3620000000000001</v>
      </c>
      <c r="K641">
        <v>1.37137</v>
      </c>
      <c r="L641">
        <v>1.3526800000000001</v>
      </c>
      <c r="M641">
        <v>1.3042</v>
      </c>
      <c r="N641">
        <v>1.038</v>
      </c>
      <c r="O641">
        <v>1.0546500000000001</v>
      </c>
      <c r="P641">
        <v>1.1659999999999999</v>
      </c>
      <c r="Q641">
        <v>1.35409</v>
      </c>
      <c r="R641">
        <v>1.494</v>
      </c>
      <c r="S641">
        <v>1.101</v>
      </c>
      <c r="T641">
        <v>1.33348</v>
      </c>
      <c r="U641">
        <v>1.3741199999999998</v>
      </c>
    </row>
    <row r="642" spans="1:21">
      <c r="A642" s="91">
        <v>38894</v>
      </c>
      <c r="B642" s="86">
        <v>38894</v>
      </c>
      <c r="C642" s="93">
        <v>1.4490653528474098</v>
      </c>
      <c r="D642" s="85" t="s">
        <v>1632</v>
      </c>
      <c r="F642" s="91">
        <v>38894</v>
      </c>
      <c r="G642">
        <v>1.135</v>
      </c>
      <c r="H642">
        <v>1.3565999999999998</v>
      </c>
      <c r="I642">
        <v>1.0885799999999999</v>
      </c>
      <c r="J642">
        <v>1.3388</v>
      </c>
      <c r="K642">
        <v>1.3626199999999999</v>
      </c>
      <c r="L642">
        <v>1.31433</v>
      </c>
      <c r="M642">
        <v>1.2847</v>
      </c>
      <c r="N642">
        <v>1.0209999999999999</v>
      </c>
      <c r="O642">
        <v>1.0464</v>
      </c>
      <c r="P642">
        <v>1.1659999999999999</v>
      </c>
      <c r="Q642">
        <v>1.3367200000000001</v>
      </c>
      <c r="R642">
        <v>1.4930000000000001</v>
      </c>
      <c r="S642">
        <v>1.0856199999999998</v>
      </c>
      <c r="T642">
        <v>1.2952600000000001</v>
      </c>
      <c r="U642">
        <v>1.3762000000000001</v>
      </c>
    </row>
    <row r="643" spans="1:21">
      <c r="A643" s="91">
        <v>38887</v>
      </c>
      <c r="B643" s="86">
        <v>38887</v>
      </c>
      <c r="C643" s="93">
        <v>1.46681334800147</v>
      </c>
      <c r="D643" s="85" t="s">
        <v>1633</v>
      </c>
      <c r="F643" s="91">
        <v>38887</v>
      </c>
      <c r="G643">
        <v>1.145</v>
      </c>
      <c r="H643">
        <v>1.3577999999999999</v>
      </c>
      <c r="I643">
        <v>1.0903</v>
      </c>
      <c r="J643">
        <v>1.33</v>
      </c>
      <c r="K643">
        <v>1.3548499999999999</v>
      </c>
      <c r="L643">
        <v>1.333</v>
      </c>
      <c r="M643">
        <v>1.29297</v>
      </c>
      <c r="N643">
        <v>1.028</v>
      </c>
      <c r="O643">
        <v>1.06368</v>
      </c>
      <c r="P643">
        <v>1.1619999999999999</v>
      </c>
      <c r="Q643">
        <v>1.3367200000000001</v>
      </c>
      <c r="R643">
        <v>1.4710000000000001</v>
      </c>
      <c r="S643">
        <v>1.0938299999999999</v>
      </c>
      <c r="T643">
        <v>1.28651</v>
      </c>
      <c r="U643">
        <v>1.3999600000000001</v>
      </c>
    </row>
    <row r="644" spans="1:21">
      <c r="A644" s="91">
        <v>38880</v>
      </c>
      <c r="B644" s="86">
        <v>38880</v>
      </c>
      <c r="C644" s="93">
        <v>1.4654161781946098</v>
      </c>
      <c r="D644" s="85" t="s">
        <v>1634</v>
      </c>
      <c r="F644" s="91">
        <v>38880</v>
      </c>
      <c r="G644">
        <v>1.151</v>
      </c>
      <c r="H644">
        <v>1.38537</v>
      </c>
      <c r="I644">
        <v>1.09501</v>
      </c>
      <c r="J644">
        <v>1.353</v>
      </c>
      <c r="K644">
        <v>1.34938</v>
      </c>
      <c r="L644">
        <v>1.3858599999999999</v>
      </c>
      <c r="M644">
        <v>1.2964599999999999</v>
      </c>
      <c r="N644">
        <v>1.028</v>
      </c>
      <c r="O644">
        <v>1.09354</v>
      </c>
      <c r="P644">
        <v>1.167</v>
      </c>
      <c r="Q644">
        <v>1.3367200000000001</v>
      </c>
      <c r="R644">
        <v>1.4950000000000001</v>
      </c>
      <c r="S644">
        <v>1.0901400000000001</v>
      </c>
      <c r="T644">
        <v>1.3184200000000001</v>
      </c>
      <c r="U644">
        <v>1.3994000000000002</v>
      </c>
    </row>
    <row r="645" spans="1:21">
      <c r="A645" s="91">
        <v>38873</v>
      </c>
      <c r="B645" s="86">
        <v>38873</v>
      </c>
      <c r="C645" s="93">
        <v>1.4526438117373599</v>
      </c>
      <c r="D645" s="85" t="s">
        <v>1635</v>
      </c>
      <c r="F645" s="91">
        <v>38873</v>
      </c>
      <c r="G645">
        <v>1.1399999999999999</v>
      </c>
      <c r="H645">
        <v>1.31107</v>
      </c>
      <c r="I645">
        <v>1.0851900000000001</v>
      </c>
      <c r="J645">
        <v>1.3362499999999999</v>
      </c>
      <c r="K645">
        <v>1.36219</v>
      </c>
      <c r="L645">
        <v>1.3285100000000001</v>
      </c>
      <c r="M645">
        <v>1.2877400000000001</v>
      </c>
      <c r="N645">
        <v>1.024</v>
      </c>
      <c r="O645">
        <v>1.09026</v>
      </c>
      <c r="P645">
        <v>1.167</v>
      </c>
      <c r="Q645">
        <v>1.3364</v>
      </c>
      <c r="R645">
        <v>1.4750000000000001</v>
      </c>
      <c r="S645">
        <v>1.08368</v>
      </c>
      <c r="T645">
        <v>1.3265400000000001</v>
      </c>
      <c r="U645">
        <v>1.3834500000000001</v>
      </c>
    </row>
    <row r="646" spans="1:21">
      <c r="A646" s="91">
        <v>38866</v>
      </c>
      <c r="B646" s="86">
        <v>38866</v>
      </c>
      <c r="C646" s="93">
        <v>1.4587892049598798</v>
      </c>
      <c r="D646" s="85" t="s">
        <v>1636</v>
      </c>
      <c r="F646" s="91">
        <v>38866</v>
      </c>
      <c r="G646">
        <v>1.139</v>
      </c>
      <c r="H646">
        <v>1.31107</v>
      </c>
      <c r="I646">
        <v>1.093</v>
      </c>
      <c r="J646">
        <v>1.3049999999999999</v>
      </c>
      <c r="K646">
        <v>1.3355699999999999</v>
      </c>
      <c r="L646">
        <v>1.3745999999999998</v>
      </c>
      <c r="M646">
        <v>1.2798</v>
      </c>
      <c r="N646">
        <v>1.016</v>
      </c>
      <c r="O646">
        <v>1.1022700000000001</v>
      </c>
      <c r="P646">
        <v>1.167</v>
      </c>
      <c r="Q646">
        <v>1.3358099999999999</v>
      </c>
      <c r="R646">
        <v>1.4650000000000001</v>
      </c>
      <c r="S646">
        <v>1.0898099999999999</v>
      </c>
      <c r="T646">
        <v>1.2898699999999999</v>
      </c>
      <c r="U646">
        <v>1.39117</v>
      </c>
    </row>
    <row r="647" spans="1:21">
      <c r="A647" s="91">
        <v>38859</v>
      </c>
      <c r="B647" s="86">
        <v>38859</v>
      </c>
      <c r="C647" s="93">
        <v>1.46993973247097</v>
      </c>
      <c r="D647" s="85" t="s">
        <v>1079</v>
      </c>
      <c r="F647" s="91">
        <v>38859</v>
      </c>
      <c r="G647">
        <v>1.141</v>
      </c>
      <c r="H647">
        <v>1.3582000000000001</v>
      </c>
      <c r="I647">
        <v>1.09226</v>
      </c>
      <c r="J647">
        <v>1.343</v>
      </c>
      <c r="K647">
        <v>1.3278299999999998</v>
      </c>
      <c r="L647">
        <v>1.3640000000000001</v>
      </c>
      <c r="M647">
        <v>1.2905499999999999</v>
      </c>
      <c r="N647">
        <v>1.034</v>
      </c>
      <c r="O647">
        <v>1.0987199999999999</v>
      </c>
      <c r="P647">
        <v>1.167</v>
      </c>
      <c r="Q647">
        <v>1.33734</v>
      </c>
      <c r="R647">
        <v>1.4770000000000001</v>
      </c>
      <c r="S647">
        <v>1.08721</v>
      </c>
      <c r="T647">
        <v>1.2714799999999999</v>
      </c>
      <c r="U647">
        <v>1.4125999999999999</v>
      </c>
    </row>
    <row r="648" spans="1:21">
      <c r="A648" s="91">
        <v>38852</v>
      </c>
      <c r="B648" s="86">
        <v>38852</v>
      </c>
      <c r="C648" s="93">
        <v>1.46799765120376</v>
      </c>
      <c r="D648" s="85" t="s">
        <v>1071</v>
      </c>
      <c r="F648" s="91">
        <v>38852</v>
      </c>
      <c r="G648">
        <v>1.145</v>
      </c>
      <c r="H648">
        <v>1.3373699999999999</v>
      </c>
      <c r="I648">
        <v>1.08958</v>
      </c>
      <c r="J648">
        <v>1.3387500000000001</v>
      </c>
      <c r="K648">
        <v>1.36029</v>
      </c>
      <c r="L648">
        <v>1.3014700000000001</v>
      </c>
      <c r="M648">
        <v>1.3049200000000001</v>
      </c>
      <c r="N648">
        <v>1.0349999999999999</v>
      </c>
      <c r="O648">
        <v>1.0833299999999999</v>
      </c>
      <c r="P648">
        <v>1.125</v>
      </c>
      <c r="Q648">
        <v>1.34422</v>
      </c>
      <c r="R648">
        <v>1.4710000000000001</v>
      </c>
      <c r="S648">
        <v>1.0984800000000001</v>
      </c>
      <c r="T648">
        <v>1.30507</v>
      </c>
      <c r="U648">
        <v>1.4150199999999999</v>
      </c>
    </row>
    <row r="649" spans="1:21">
      <c r="A649" s="91">
        <v>38845</v>
      </c>
      <c r="B649" s="86">
        <v>38845</v>
      </c>
      <c r="C649" s="93">
        <v>1.4607069821793699</v>
      </c>
      <c r="D649" s="85" t="s">
        <v>1248</v>
      </c>
      <c r="F649" s="91">
        <v>38845</v>
      </c>
      <c r="G649">
        <v>1.153</v>
      </c>
      <c r="H649">
        <v>1.3420999999999998</v>
      </c>
      <c r="I649">
        <v>1.0973199999999999</v>
      </c>
      <c r="J649">
        <v>1.3574999999999999</v>
      </c>
      <c r="K649">
        <v>1.34097</v>
      </c>
      <c r="L649">
        <v>1.323</v>
      </c>
      <c r="M649">
        <v>1.3147200000000001</v>
      </c>
      <c r="N649">
        <v>1.0409999999999999</v>
      </c>
      <c r="O649">
        <v>1.1185499999999999</v>
      </c>
      <c r="P649">
        <v>1.125</v>
      </c>
      <c r="Q649">
        <v>1.3452899999999999</v>
      </c>
      <c r="R649">
        <v>1.4690000000000001</v>
      </c>
      <c r="S649">
        <v>1.0980300000000001</v>
      </c>
      <c r="T649">
        <v>1.30559</v>
      </c>
      <c r="U649">
        <v>1.4090100000000001</v>
      </c>
    </row>
    <row r="650" spans="1:21">
      <c r="A650" s="91">
        <v>38838</v>
      </c>
      <c r="B650" s="86">
        <v>38838</v>
      </c>
      <c r="C650" s="93">
        <v>1.44050705848459</v>
      </c>
      <c r="D650" s="85" t="s">
        <v>1637</v>
      </c>
      <c r="F650" s="91">
        <v>38838</v>
      </c>
      <c r="G650">
        <v>1.1419999999999999</v>
      </c>
      <c r="H650">
        <v>1.35117</v>
      </c>
      <c r="I650">
        <v>1.0909200000000001</v>
      </c>
      <c r="J650">
        <v>1.3747499999999999</v>
      </c>
      <c r="K650">
        <v>1.3524</v>
      </c>
      <c r="L650">
        <v>1.33074</v>
      </c>
      <c r="M650">
        <v>1.31471</v>
      </c>
      <c r="N650">
        <v>1.0389999999999999</v>
      </c>
      <c r="O650">
        <v>1.08626</v>
      </c>
      <c r="P650">
        <v>1.125</v>
      </c>
      <c r="Q650">
        <v>1.34206</v>
      </c>
      <c r="R650">
        <v>1.4770000000000001</v>
      </c>
      <c r="S650">
        <v>1.0943099999999999</v>
      </c>
      <c r="T650">
        <v>1.32731</v>
      </c>
      <c r="U650">
        <v>1.3847799999999999</v>
      </c>
    </row>
    <row r="651" spans="1:21">
      <c r="A651" s="91">
        <v>38831</v>
      </c>
      <c r="B651" s="86">
        <v>38831</v>
      </c>
      <c r="C651" s="93">
        <v>1.4452955629426201</v>
      </c>
      <c r="D651" s="85" t="s">
        <v>1638</v>
      </c>
      <c r="F651" s="91">
        <v>38831</v>
      </c>
      <c r="G651">
        <v>1.1419999999999999</v>
      </c>
      <c r="H651">
        <v>1.35117</v>
      </c>
      <c r="I651">
        <v>1.0845899999999999</v>
      </c>
      <c r="J651">
        <v>1.3547499999999999</v>
      </c>
      <c r="K651">
        <v>1.34168</v>
      </c>
      <c r="L651">
        <v>1.323</v>
      </c>
      <c r="M651">
        <v>1.3063800000000001</v>
      </c>
      <c r="N651">
        <v>1.016</v>
      </c>
      <c r="O651">
        <v>1.0611400000000002</v>
      </c>
      <c r="P651">
        <v>1.083</v>
      </c>
      <c r="Q651">
        <v>1.33802</v>
      </c>
      <c r="R651">
        <v>1.49</v>
      </c>
      <c r="S651">
        <v>1.0843099999999999</v>
      </c>
      <c r="T651">
        <v>1.3102100000000001</v>
      </c>
      <c r="U651">
        <v>1.3781099999999999</v>
      </c>
    </row>
    <row r="652" spans="1:21">
      <c r="A652" s="91">
        <v>38817</v>
      </c>
      <c r="B652" s="86">
        <v>38817</v>
      </c>
      <c r="C652" s="93">
        <v>1.4413375612568498</v>
      </c>
      <c r="D652" s="85" t="s">
        <v>1639</v>
      </c>
      <c r="F652" s="91">
        <v>38817</v>
      </c>
      <c r="G652">
        <v>1.1000000000000001</v>
      </c>
      <c r="H652">
        <v>1.33247</v>
      </c>
      <c r="I652">
        <v>1.0309900000000001</v>
      </c>
      <c r="J652">
        <v>1.30125</v>
      </c>
      <c r="K652">
        <v>1.3173599999999999</v>
      </c>
      <c r="L652">
        <v>1.2821800000000001</v>
      </c>
      <c r="M652">
        <v>1.2655699999999999</v>
      </c>
      <c r="N652">
        <v>0.98799999999999999</v>
      </c>
      <c r="O652">
        <v>1.02247</v>
      </c>
      <c r="P652">
        <v>1.083</v>
      </c>
      <c r="Q652">
        <v>1.2899800000000001</v>
      </c>
      <c r="R652">
        <v>1.47</v>
      </c>
      <c r="S652">
        <v>1.0509999999999999</v>
      </c>
      <c r="T652">
        <v>1.2683</v>
      </c>
      <c r="U652">
        <v>1.3371300000000002</v>
      </c>
    </row>
    <row r="653" spans="1:21">
      <c r="A653" s="91">
        <v>38810</v>
      </c>
      <c r="B653" s="86">
        <v>38810</v>
      </c>
      <c r="C653" s="93">
        <v>1.43328077970474</v>
      </c>
      <c r="D653" s="85" t="s">
        <v>1640</v>
      </c>
      <c r="F653" s="91">
        <v>38810</v>
      </c>
      <c r="G653">
        <v>1.0940000000000001</v>
      </c>
      <c r="H653">
        <v>1.3133699999999999</v>
      </c>
      <c r="I653">
        <v>1.01196</v>
      </c>
      <c r="J653">
        <v>1.3045</v>
      </c>
      <c r="K653">
        <v>1.30389</v>
      </c>
      <c r="L653">
        <v>1.25779</v>
      </c>
      <c r="M653">
        <v>1.2546199999999998</v>
      </c>
      <c r="N653">
        <v>0.97099999999999997</v>
      </c>
      <c r="O653">
        <v>1.0381199999999999</v>
      </c>
      <c r="P653">
        <v>1.083</v>
      </c>
      <c r="Q653">
        <v>1.2866500000000001</v>
      </c>
      <c r="R653">
        <v>1.5069999999999999</v>
      </c>
      <c r="S653">
        <v>1.0370299999999999</v>
      </c>
      <c r="T653">
        <v>1.2612099999999999</v>
      </c>
      <c r="U653">
        <v>1.31552</v>
      </c>
    </row>
    <row r="654" spans="1:21">
      <c r="A654" s="91">
        <v>38803</v>
      </c>
      <c r="B654" s="86">
        <v>38803</v>
      </c>
      <c r="C654" s="93">
        <v>1.4528548597995099</v>
      </c>
      <c r="D654" s="85" t="s">
        <v>1641</v>
      </c>
      <c r="F654" s="91">
        <v>38803</v>
      </c>
      <c r="G654">
        <v>1.07</v>
      </c>
      <c r="H654">
        <v>1.2661</v>
      </c>
      <c r="I654">
        <v>1.0045299999999999</v>
      </c>
      <c r="J654">
        <v>1.2657499999999999</v>
      </c>
      <c r="K654">
        <v>1.2678099999999999</v>
      </c>
      <c r="L654">
        <v>1.23054</v>
      </c>
      <c r="M654">
        <v>1.2370300000000001</v>
      </c>
      <c r="N654">
        <v>0.96299999999999997</v>
      </c>
      <c r="O654">
        <v>1.0156699999999999</v>
      </c>
      <c r="P654">
        <v>1.083</v>
      </c>
      <c r="Q654">
        <v>1.2614799999999999</v>
      </c>
      <c r="R654">
        <v>1.411</v>
      </c>
      <c r="S654">
        <v>1.02207</v>
      </c>
      <c r="T654">
        <v>1.2367699999999999</v>
      </c>
      <c r="U654">
        <v>1.31972</v>
      </c>
    </row>
    <row r="655" spans="1:21">
      <c r="A655" s="91">
        <v>38796</v>
      </c>
      <c r="B655" s="86">
        <v>38796</v>
      </c>
      <c r="C655" s="93">
        <v>1.4415453366008399</v>
      </c>
      <c r="D655" s="85" t="s">
        <v>1642</v>
      </c>
      <c r="F655" s="91">
        <v>38796</v>
      </c>
      <c r="G655">
        <v>1.071</v>
      </c>
      <c r="H655">
        <v>1.2252700000000001</v>
      </c>
      <c r="I655">
        <v>0.98111000000000004</v>
      </c>
      <c r="J655">
        <v>1.2729999999999999</v>
      </c>
      <c r="K655">
        <v>1.25034</v>
      </c>
      <c r="L655">
        <v>1.32636</v>
      </c>
      <c r="M655">
        <v>1.23498</v>
      </c>
      <c r="N655">
        <v>0.95199999999999996</v>
      </c>
      <c r="O655">
        <v>1.00698</v>
      </c>
      <c r="P655">
        <v>1.083</v>
      </c>
      <c r="Q655">
        <v>1.2618099999999999</v>
      </c>
      <c r="R655">
        <v>1.399</v>
      </c>
      <c r="S655">
        <v>1.0172699999999999</v>
      </c>
      <c r="T655">
        <v>1.24705</v>
      </c>
      <c r="U655">
        <v>1.30016</v>
      </c>
    </row>
    <row r="656" spans="1:21">
      <c r="A656" s="91">
        <v>38789</v>
      </c>
      <c r="B656" s="86">
        <v>38789</v>
      </c>
      <c r="C656" s="93">
        <v>1.4489603709338501</v>
      </c>
      <c r="D656" s="85" t="s">
        <v>1643</v>
      </c>
      <c r="F656" s="91">
        <v>38789</v>
      </c>
      <c r="G656">
        <v>1.0609999999999999</v>
      </c>
      <c r="H656">
        <v>1.2529300000000001</v>
      </c>
      <c r="I656">
        <v>0.97055999999999998</v>
      </c>
      <c r="J656">
        <v>1.2382500000000001</v>
      </c>
      <c r="K656">
        <v>1.2453099999999999</v>
      </c>
      <c r="L656">
        <v>1.2932300000000001</v>
      </c>
      <c r="M656">
        <v>1.2080599999999999</v>
      </c>
      <c r="N656">
        <v>0.93799999999999994</v>
      </c>
      <c r="O656">
        <v>0.99639</v>
      </c>
      <c r="P656">
        <v>1.0900000000000001</v>
      </c>
      <c r="Q656">
        <v>1.2560100000000001</v>
      </c>
      <c r="R656">
        <v>1.399</v>
      </c>
      <c r="S656">
        <v>1.00302</v>
      </c>
      <c r="T656">
        <v>1.2144699999999999</v>
      </c>
      <c r="U656">
        <v>1.2976099999999999</v>
      </c>
    </row>
    <row r="657" spans="1:21">
      <c r="A657" s="91">
        <v>38782</v>
      </c>
      <c r="B657" s="86">
        <v>38782</v>
      </c>
      <c r="C657" s="93">
        <v>1.4587892049598798</v>
      </c>
      <c r="D657" s="85" t="s">
        <v>1053</v>
      </c>
      <c r="F657" s="91">
        <v>38782</v>
      </c>
      <c r="G657">
        <v>1.0589999999999999</v>
      </c>
      <c r="H657">
        <v>1.2338</v>
      </c>
      <c r="I657">
        <v>0.97841999999999996</v>
      </c>
      <c r="J657">
        <v>1.2350000000000001</v>
      </c>
      <c r="K657">
        <v>1.2315399999999999</v>
      </c>
      <c r="L657">
        <v>1.28331</v>
      </c>
      <c r="M657">
        <v>1.2037</v>
      </c>
      <c r="N657">
        <v>0.92400000000000004</v>
      </c>
      <c r="O657">
        <v>1.0229200000000001</v>
      </c>
      <c r="P657">
        <v>1.0900000000000001</v>
      </c>
      <c r="Q657">
        <v>1.2560100000000001</v>
      </c>
      <c r="R657">
        <v>1.375</v>
      </c>
      <c r="S657">
        <v>0.99829999999999997</v>
      </c>
      <c r="T657">
        <v>1.1888800000000002</v>
      </c>
      <c r="U657">
        <v>1.3037100000000001</v>
      </c>
    </row>
    <row r="658" spans="1:21">
      <c r="A658" s="91">
        <v>38775</v>
      </c>
      <c r="B658" s="86">
        <v>38775</v>
      </c>
      <c r="C658" s="93">
        <v>1.4683209749651298</v>
      </c>
      <c r="D658" s="85" t="s">
        <v>1644</v>
      </c>
      <c r="F658" s="91">
        <v>38775</v>
      </c>
      <c r="G658">
        <v>1.056</v>
      </c>
      <c r="H658">
        <v>1.2344300000000001</v>
      </c>
      <c r="I658">
        <v>0.98990999999999996</v>
      </c>
      <c r="J658">
        <v>1.2415</v>
      </c>
      <c r="K658">
        <v>1.2078100000000001</v>
      </c>
      <c r="L658">
        <v>1.268</v>
      </c>
      <c r="M658">
        <v>1.19825</v>
      </c>
      <c r="N658">
        <v>0.91</v>
      </c>
      <c r="O658">
        <v>1.0244500000000001</v>
      </c>
      <c r="P658">
        <v>1.0900000000000001</v>
      </c>
      <c r="Q658">
        <v>1.2263599999999999</v>
      </c>
      <c r="R658">
        <v>1.363</v>
      </c>
      <c r="S658">
        <v>1.00082</v>
      </c>
      <c r="T658">
        <v>1.1721700000000002</v>
      </c>
      <c r="U658">
        <v>1.3142499999999999</v>
      </c>
    </row>
    <row r="659" spans="1:21">
      <c r="A659" s="91">
        <v>38768</v>
      </c>
      <c r="B659" s="86">
        <v>38768</v>
      </c>
      <c r="C659" s="93">
        <v>1.46028037383178</v>
      </c>
      <c r="D659" s="85" t="s">
        <v>1645</v>
      </c>
      <c r="F659" s="91">
        <v>38768</v>
      </c>
      <c r="G659">
        <v>1.0509999999999999</v>
      </c>
      <c r="H659">
        <v>1.2492699999999999</v>
      </c>
      <c r="I659">
        <v>0.99404999999999999</v>
      </c>
      <c r="J659">
        <v>1.25</v>
      </c>
      <c r="K659">
        <v>1.21</v>
      </c>
      <c r="L659">
        <v>1.2025999999999999</v>
      </c>
      <c r="M659">
        <v>1.1931400000000001</v>
      </c>
      <c r="N659">
        <v>0.90900000000000003</v>
      </c>
      <c r="O659">
        <v>1.0505</v>
      </c>
      <c r="P659">
        <v>1.0900000000000001</v>
      </c>
      <c r="Q659">
        <v>1.2283599999999999</v>
      </c>
      <c r="R659">
        <v>1.3740000000000001</v>
      </c>
      <c r="S659">
        <v>0.98274000000000006</v>
      </c>
      <c r="T659">
        <v>1.1640899999999998</v>
      </c>
      <c r="U659">
        <v>1.30836</v>
      </c>
    </row>
    <row r="660" spans="1:21">
      <c r="A660" s="91">
        <v>38761</v>
      </c>
      <c r="B660" s="86">
        <v>38761</v>
      </c>
      <c r="C660" s="93">
        <v>1.4626298083955001</v>
      </c>
      <c r="D660" s="85" t="s">
        <v>1646</v>
      </c>
      <c r="F660" s="91">
        <v>38761</v>
      </c>
      <c r="G660">
        <v>1.0649999999999999</v>
      </c>
      <c r="H660">
        <v>1.26583</v>
      </c>
      <c r="I660">
        <v>1.0003200000000001</v>
      </c>
      <c r="J660">
        <v>1.2617499999999999</v>
      </c>
      <c r="K660">
        <v>1.24047</v>
      </c>
      <c r="L660">
        <v>1.20764</v>
      </c>
      <c r="M660">
        <v>1.21461</v>
      </c>
      <c r="N660">
        <v>0.93500000000000005</v>
      </c>
      <c r="O660">
        <v>1.0518299999999998</v>
      </c>
      <c r="P660">
        <v>1.0760000000000001</v>
      </c>
      <c r="Q660">
        <v>1.2579200000000001</v>
      </c>
      <c r="R660">
        <v>1.359</v>
      </c>
      <c r="S660">
        <v>1.0034400000000001</v>
      </c>
      <c r="T660">
        <v>1.1758499999999998</v>
      </c>
      <c r="U660">
        <v>1.31124</v>
      </c>
    </row>
    <row r="661" spans="1:21">
      <c r="A661" s="91">
        <v>38754</v>
      </c>
      <c r="B661" s="86">
        <v>38754</v>
      </c>
      <c r="C661" s="93">
        <v>1.4634860237084699</v>
      </c>
      <c r="D661" s="85" t="s">
        <v>1647</v>
      </c>
      <c r="F661" s="91">
        <v>38754</v>
      </c>
      <c r="G661">
        <v>1.069</v>
      </c>
      <c r="H661">
        <v>1.26247</v>
      </c>
      <c r="I661">
        <v>1.006</v>
      </c>
      <c r="J661">
        <v>1.292</v>
      </c>
      <c r="K661">
        <v>1.24553</v>
      </c>
      <c r="L661">
        <v>1.2115100000000001</v>
      </c>
      <c r="M661">
        <v>1.2256899999999999</v>
      </c>
      <c r="N661">
        <v>0.94399999999999995</v>
      </c>
      <c r="O661">
        <v>1.0672300000000001</v>
      </c>
      <c r="P661">
        <v>1.0760000000000001</v>
      </c>
      <c r="Q661">
        <v>1.2581800000000001</v>
      </c>
      <c r="R661">
        <v>1.379</v>
      </c>
      <c r="S661">
        <v>1.008</v>
      </c>
      <c r="T661">
        <v>1.19821</v>
      </c>
      <c r="U661">
        <v>1.31325</v>
      </c>
    </row>
    <row r="662" spans="1:21">
      <c r="A662" s="91">
        <v>38747</v>
      </c>
      <c r="B662" s="86">
        <v>38747</v>
      </c>
      <c r="C662" s="93">
        <v>1.46273678051635</v>
      </c>
      <c r="D662" s="85" t="s">
        <v>1082</v>
      </c>
      <c r="F662" s="91">
        <v>38747</v>
      </c>
      <c r="G662">
        <v>1.0649999999999999</v>
      </c>
      <c r="H662">
        <v>1.28443</v>
      </c>
      <c r="I662">
        <v>1.0048600000000001</v>
      </c>
      <c r="J662">
        <v>1.2645</v>
      </c>
      <c r="K662">
        <v>1.246</v>
      </c>
      <c r="L662">
        <v>1.2111800000000001</v>
      </c>
      <c r="M662">
        <v>1.2253800000000001</v>
      </c>
      <c r="N662">
        <v>0.94499999999999995</v>
      </c>
      <c r="O662">
        <v>1.06243</v>
      </c>
      <c r="P662">
        <v>1.0760000000000001</v>
      </c>
      <c r="Q662">
        <v>1.2603199999999999</v>
      </c>
      <c r="R662">
        <v>1.399</v>
      </c>
      <c r="S662">
        <v>1.00589</v>
      </c>
      <c r="T662">
        <v>1.20197</v>
      </c>
      <c r="U662">
        <v>1.31471</v>
      </c>
    </row>
    <row r="663" spans="1:21">
      <c r="A663" s="91">
        <v>38740</v>
      </c>
      <c r="B663" s="86">
        <v>38740</v>
      </c>
      <c r="C663" s="93">
        <v>1.4539110206455399</v>
      </c>
      <c r="D663" s="85" t="s">
        <v>1648</v>
      </c>
      <c r="F663" s="91">
        <v>38740</v>
      </c>
      <c r="G663">
        <v>1.0569999999999999</v>
      </c>
      <c r="H663">
        <v>1.2992999999999999</v>
      </c>
      <c r="I663">
        <v>0.98685999999999996</v>
      </c>
      <c r="J663">
        <v>1.2565</v>
      </c>
      <c r="K663">
        <v>1.2731199999999998</v>
      </c>
      <c r="L663">
        <v>1.22766</v>
      </c>
      <c r="M663">
        <v>1.2258900000000001</v>
      </c>
      <c r="N663">
        <v>0.94299999999999995</v>
      </c>
      <c r="O663">
        <v>1.05385</v>
      </c>
      <c r="P663">
        <v>1.0760000000000001</v>
      </c>
      <c r="Q663">
        <v>1.2600799999999999</v>
      </c>
      <c r="R663">
        <v>1.349</v>
      </c>
      <c r="S663">
        <v>1.0051300000000001</v>
      </c>
      <c r="T663">
        <v>1.2300199999999999</v>
      </c>
      <c r="U663">
        <v>1.30196</v>
      </c>
    </row>
    <row r="664" spans="1:21">
      <c r="A664" s="91">
        <v>38733</v>
      </c>
      <c r="B664" s="86">
        <v>38733</v>
      </c>
      <c r="C664" s="93">
        <v>1.4588956160186699</v>
      </c>
      <c r="D664" s="85" t="s">
        <v>1649</v>
      </c>
      <c r="F664" s="91">
        <v>38733</v>
      </c>
      <c r="G664">
        <v>1.052</v>
      </c>
      <c r="H664">
        <v>1.3049000000000002</v>
      </c>
      <c r="I664">
        <v>0.97711000000000003</v>
      </c>
      <c r="J664">
        <v>1.2622500000000001</v>
      </c>
      <c r="K664">
        <v>1.26654</v>
      </c>
      <c r="L664">
        <v>1.2323599999999999</v>
      </c>
      <c r="M664">
        <v>1.2196800000000001</v>
      </c>
      <c r="N664">
        <v>0.94099999999999995</v>
      </c>
      <c r="O664">
        <v>1.0546800000000001</v>
      </c>
      <c r="P664">
        <v>1.0760000000000001</v>
      </c>
      <c r="Q664">
        <v>1.2597</v>
      </c>
      <c r="R664">
        <v>1.407</v>
      </c>
      <c r="S664">
        <v>1.0008300000000001</v>
      </c>
      <c r="T664">
        <v>1.2048099999999999</v>
      </c>
      <c r="U664">
        <v>1.2985199999999999</v>
      </c>
    </row>
    <row r="665" spans="1:21" ht="15.75" thickBot="1">
      <c r="A665" s="92">
        <v>38726</v>
      </c>
      <c r="B665" s="86">
        <v>38726</v>
      </c>
      <c r="C665" s="93">
        <v>1.46327187591454</v>
      </c>
      <c r="D665" s="85" t="s">
        <v>1650</v>
      </c>
      <c r="F665" s="92">
        <v>38726</v>
      </c>
      <c r="G665">
        <v>1.046</v>
      </c>
      <c r="H665">
        <v>1.2717000000000001</v>
      </c>
      <c r="I665">
        <v>0.97065000000000001</v>
      </c>
      <c r="J665">
        <v>1.2645</v>
      </c>
      <c r="K665">
        <v>1.2695099999999999</v>
      </c>
      <c r="L665">
        <v>1.2157100000000001</v>
      </c>
      <c r="M665">
        <v>1.20896</v>
      </c>
      <c r="N665">
        <v>0.91400000000000003</v>
      </c>
      <c r="O665">
        <v>1.0379400000000001</v>
      </c>
      <c r="P665">
        <v>1.0760000000000001</v>
      </c>
      <c r="Q665">
        <v>1.2557100000000001</v>
      </c>
      <c r="R665">
        <v>1.3720000000000001</v>
      </c>
      <c r="S665">
        <v>0.99190999999999996</v>
      </c>
      <c r="T665">
        <v>1.2272400000000001</v>
      </c>
      <c r="U665">
        <v>1.2958699999999999</v>
      </c>
    </row>
    <row r="666" spans="1:21">
      <c r="A666" s="91">
        <v>38705</v>
      </c>
      <c r="B666" s="86">
        <v>38705</v>
      </c>
      <c r="C666" s="93">
        <v>1.4714537963507899</v>
      </c>
      <c r="D666" s="85" t="s">
        <v>1651</v>
      </c>
      <c r="F666" s="91">
        <v>38705</v>
      </c>
      <c r="G666">
        <v>1.038</v>
      </c>
      <c r="H666">
        <v>1.2550699999999999</v>
      </c>
      <c r="I666">
        <v>0.98115999999999992</v>
      </c>
      <c r="J666">
        <v>1.2375</v>
      </c>
      <c r="K666">
        <v>1.2447999999999999</v>
      </c>
      <c r="L666">
        <v>1.2131800000000001</v>
      </c>
      <c r="M666">
        <v>1.1806500000000002</v>
      </c>
      <c r="N666">
        <v>0.91</v>
      </c>
      <c r="O666">
        <v>1.02671</v>
      </c>
      <c r="P666">
        <v>1.0760000000000001</v>
      </c>
      <c r="Q666">
        <v>1.22803</v>
      </c>
      <c r="R666">
        <v>1.357</v>
      </c>
      <c r="S666">
        <v>0.98033999999999999</v>
      </c>
      <c r="T666">
        <v>1.1495799999999998</v>
      </c>
      <c r="U666">
        <v>1.2883599999999999</v>
      </c>
    </row>
    <row r="667" spans="1:21">
      <c r="A667" s="91">
        <v>38698</v>
      </c>
      <c r="B667" s="86">
        <v>38698</v>
      </c>
      <c r="C667" s="93">
        <v>1.4830194275544999</v>
      </c>
      <c r="D667" s="85" t="s">
        <v>1075</v>
      </c>
      <c r="F667" s="91">
        <v>38698</v>
      </c>
      <c r="G667">
        <v>1.032</v>
      </c>
      <c r="H667">
        <v>1.2322</v>
      </c>
      <c r="I667">
        <v>0.98226000000000002</v>
      </c>
      <c r="J667">
        <v>1.2110000000000001</v>
      </c>
      <c r="K667">
        <v>1.2324300000000001</v>
      </c>
      <c r="L667">
        <v>1.20309</v>
      </c>
      <c r="M667">
        <v>1.17062</v>
      </c>
      <c r="N667">
        <v>0.89900000000000002</v>
      </c>
      <c r="O667">
        <v>1.0091300000000001</v>
      </c>
      <c r="P667">
        <v>1.109</v>
      </c>
      <c r="Q667">
        <v>1.2144900000000001</v>
      </c>
      <c r="R667">
        <v>1.3740000000000001</v>
      </c>
      <c r="S667">
        <v>0.97717999999999994</v>
      </c>
      <c r="T667">
        <v>1.1482399999999999</v>
      </c>
      <c r="U667">
        <v>1.2932300000000001</v>
      </c>
    </row>
    <row r="668" spans="1:21">
      <c r="A668" s="91">
        <v>38691</v>
      </c>
      <c r="B668" s="86">
        <v>38691</v>
      </c>
      <c r="C668" s="93">
        <v>1.4764506127270001</v>
      </c>
      <c r="D668" s="85" t="s">
        <v>1652</v>
      </c>
      <c r="F668" s="91">
        <v>38691</v>
      </c>
      <c r="G668">
        <v>1.0289999999999999</v>
      </c>
      <c r="H668">
        <v>1.2185999999999999</v>
      </c>
      <c r="I668">
        <v>1.0024500000000001</v>
      </c>
      <c r="J668">
        <v>1.21225</v>
      </c>
      <c r="K668">
        <v>1.21576</v>
      </c>
      <c r="L668">
        <v>1.1930000000000001</v>
      </c>
      <c r="M668">
        <v>1.1557200000000001</v>
      </c>
      <c r="N668">
        <v>0.88600000000000001</v>
      </c>
      <c r="O668">
        <v>1.0208699999999999</v>
      </c>
      <c r="P668">
        <v>1.1879999999999999</v>
      </c>
      <c r="Q668">
        <v>1.2072100000000001</v>
      </c>
      <c r="R668">
        <v>1.3560000000000001</v>
      </c>
      <c r="S668">
        <v>0.95786000000000004</v>
      </c>
      <c r="T668">
        <v>1.15022</v>
      </c>
      <c r="U668">
        <v>1.2896400000000001</v>
      </c>
    </row>
    <row r="669" spans="1:21">
      <c r="A669" s="91">
        <v>38684</v>
      </c>
      <c r="B669" s="86">
        <v>38684</v>
      </c>
      <c r="C669" s="93">
        <v>1.4587892049598798</v>
      </c>
      <c r="D669" s="85" t="s">
        <v>1653</v>
      </c>
      <c r="F669" s="91">
        <v>38684</v>
      </c>
      <c r="G669">
        <v>1.0469999999999999</v>
      </c>
      <c r="H669">
        <v>1.2285999999999999</v>
      </c>
      <c r="I669">
        <v>1.0141199999999999</v>
      </c>
      <c r="J669">
        <v>1.22875</v>
      </c>
      <c r="K669">
        <v>1.2176500000000001</v>
      </c>
      <c r="L669">
        <v>1.1930000000000001</v>
      </c>
      <c r="M669">
        <v>1.1608399999999999</v>
      </c>
      <c r="N669">
        <v>0.89400000000000002</v>
      </c>
      <c r="O669">
        <v>1.02596</v>
      </c>
      <c r="P669">
        <v>1.1879999999999999</v>
      </c>
      <c r="Q669">
        <v>1.2261900000000001</v>
      </c>
      <c r="R669">
        <v>1.3480000000000001</v>
      </c>
      <c r="S669">
        <v>0.96034000000000008</v>
      </c>
      <c r="T669">
        <v>1.1587499999999999</v>
      </c>
      <c r="U669">
        <v>1.28278</v>
      </c>
    </row>
    <row r="670" spans="1:21">
      <c r="A670" s="91">
        <v>38677</v>
      </c>
      <c r="B670" s="86">
        <v>38677</v>
      </c>
      <c r="C670" s="93">
        <v>1.45613396432472</v>
      </c>
      <c r="D670" s="85" t="s">
        <v>1654</v>
      </c>
      <c r="F670" s="91">
        <v>38677</v>
      </c>
      <c r="G670">
        <v>1.05</v>
      </c>
      <c r="H670">
        <v>1.22177</v>
      </c>
      <c r="I670">
        <v>1.0212300000000001</v>
      </c>
      <c r="J670">
        <v>1.2052499999999999</v>
      </c>
      <c r="K670">
        <v>1.21323</v>
      </c>
      <c r="L670">
        <v>1.23976</v>
      </c>
      <c r="M670">
        <v>1.1632499999999999</v>
      </c>
      <c r="N670">
        <v>0.89800000000000002</v>
      </c>
      <c r="O670">
        <v>1.02302</v>
      </c>
      <c r="P670">
        <v>1.1879999999999999</v>
      </c>
      <c r="Q670">
        <v>1.2266199999999998</v>
      </c>
      <c r="R670">
        <v>1.349</v>
      </c>
      <c r="S670">
        <v>0.98077000000000003</v>
      </c>
      <c r="T670">
        <v>1.1575199999999999</v>
      </c>
      <c r="U670">
        <v>1.2902499999999999</v>
      </c>
    </row>
    <row r="671" spans="1:21">
      <c r="A671" s="91">
        <v>38670</v>
      </c>
      <c r="B671" s="86">
        <v>38670</v>
      </c>
      <c r="C671" s="93">
        <v>1.4862153526045898</v>
      </c>
      <c r="D671" s="85" t="s">
        <v>1655</v>
      </c>
      <c r="F671" s="91">
        <v>38670</v>
      </c>
      <c r="G671">
        <v>1.069</v>
      </c>
      <c r="H671">
        <v>1.2712999999999999</v>
      </c>
      <c r="I671">
        <v>1.0463199999999999</v>
      </c>
      <c r="J671">
        <v>1.2423</v>
      </c>
      <c r="K671">
        <v>1.2217199999999999</v>
      </c>
      <c r="L671">
        <v>1.2372400000000001</v>
      </c>
      <c r="M671">
        <v>1.1728000000000001</v>
      </c>
      <c r="N671">
        <v>0.90100000000000002</v>
      </c>
      <c r="O671">
        <v>1.0467299999999999</v>
      </c>
      <c r="P671">
        <v>1.1879999999999999</v>
      </c>
      <c r="Q671">
        <v>1.2459500000000001</v>
      </c>
      <c r="R671">
        <v>1.351</v>
      </c>
      <c r="S671">
        <v>0.99238000000000004</v>
      </c>
      <c r="T671">
        <v>1.1690999999999998</v>
      </c>
      <c r="U671">
        <v>1.3454999999999999</v>
      </c>
    </row>
    <row r="672" spans="1:21">
      <c r="A672" s="91">
        <v>38663</v>
      </c>
      <c r="B672" s="86">
        <v>38663</v>
      </c>
      <c r="C672" s="93">
        <v>1.4780873549626798</v>
      </c>
      <c r="D672" s="85" t="s">
        <v>1656</v>
      </c>
      <c r="F672" s="91">
        <v>38663</v>
      </c>
      <c r="G672">
        <v>1.089</v>
      </c>
      <c r="H672">
        <v>1.2712999999999999</v>
      </c>
      <c r="I672">
        <v>1.0658299999999998</v>
      </c>
      <c r="J672">
        <v>1.2504999999999999</v>
      </c>
      <c r="K672">
        <v>1.2365999999999999</v>
      </c>
      <c r="L672">
        <v>1.2438</v>
      </c>
      <c r="M672">
        <v>1.1810799999999999</v>
      </c>
      <c r="N672">
        <v>0.91500000000000004</v>
      </c>
      <c r="O672">
        <v>1.05003</v>
      </c>
      <c r="P672">
        <v>1.1879999999999999</v>
      </c>
      <c r="Q672">
        <v>1.25508</v>
      </c>
      <c r="R672">
        <v>1.37</v>
      </c>
      <c r="S672">
        <v>1.0053799999999999</v>
      </c>
      <c r="T672">
        <v>1.1723699999999999</v>
      </c>
      <c r="U672">
        <v>1.3667100000000001</v>
      </c>
    </row>
    <row r="673" spans="1:21">
      <c r="A673" s="91">
        <v>38649</v>
      </c>
      <c r="B673" s="86">
        <v>38649</v>
      </c>
      <c r="C673" s="93">
        <v>1.4795088030773798</v>
      </c>
      <c r="D673" s="85" t="s">
        <v>1081</v>
      </c>
      <c r="F673" s="91">
        <v>38649</v>
      </c>
      <c r="G673">
        <v>1.1140000000000001</v>
      </c>
      <c r="H673">
        <v>1.2896700000000001</v>
      </c>
      <c r="I673">
        <v>1.0749300000000002</v>
      </c>
      <c r="J673">
        <v>1.3005</v>
      </c>
      <c r="K673">
        <v>1.2345699999999999</v>
      </c>
      <c r="L673">
        <v>1.3029999999999999</v>
      </c>
      <c r="M673">
        <v>1.20991</v>
      </c>
      <c r="N673">
        <v>0.96</v>
      </c>
      <c r="O673">
        <v>1.07307</v>
      </c>
      <c r="P673">
        <v>1.1879999999999999</v>
      </c>
      <c r="Q673">
        <v>1.29558</v>
      </c>
      <c r="R673">
        <v>1.4139999999999999</v>
      </c>
      <c r="S673">
        <v>1.03382</v>
      </c>
      <c r="T673">
        <v>1.18157</v>
      </c>
      <c r="U673">
        <v>1.38293</v>
      </c>
    </row>
    <row r="674" spans="1:21">
      <c r="A674" s="91">
        <v>38642</v>
      </c>
      <c r="B674" s="86">
        <v>38642</v>
      </c>
      <c r="C674" s="93">
        <v>1.4607069821793699</v>
      </c>
      <c r="D674" s="85" t="s">
        <v>1065</v>
      </c>
      <c r="F674" s="91">
        <v>38642</v>
      </c>
      <c r="G674">
        <v>1.133</v>
      </c>
      <c r="H674">
        <v>1.3351</v>
      </c>
      <c r="I674">
        <v>1.09365</v>
      </c>
      <c r="J674">
        <v>1.3168</v>
      </c>
      <c r="K674">
        <v>1.29169</v>
      </c>
      <c r="L674">
        <v>1.3390599999999999</v>
      </c>
      <c r="M674">
        <v>1.24525</v>
      </c>
      <c r="N674">
        <v>0.99299999999999999</v>
      </c>
      <c r="O674">
        <v>1.0874600000000001</v>
      </c>
      <c r="P674">
        <v>1.1879999999999999</v>
      </c>
      <c r="Q674">
        <v>1.3340699999999999</v>
      </c>
      <c r="R674">
        <v>1.4119999999999999</v>
      </c>
      <c r="S674">
        <v>1.0512699999999999</v>
      </c>
      <c r="T674">
        <v>1.2163199999999998</v>
      </c>
      <c r="U674">
        <v>1.37514</v>
      </c>
    </row>
    <row r="675" spans="1:21">
      <c r="A675" s="91">
        <v>38635</v>
      </c>
      <c r="B675" s="86">
        <v>38635</v>
      </c>
      <c r="C675" s="93">
        <v>1.4529604068289099</v>
      </c>
      <c r="D675" s="85" t="s">
        <v>1657</v>
      </c>
      <c r="F675" s="91">
        <v>38635</v>
      </c>
      <c r="G675">
        <v>1.149</v>
      </c>
      <c r="H675">
        <v>1.3553299999999999</v>
      </c>
      <c r="I675">
        <v>1.10314</v>
      </c>
      <c r="J675">
        <v>1.3480000000000001</v>
      </c>
      <c r="K675">
        <v>1.2985100000000001</v>
      </c>
      <c r="L675">
        <v>1.351</v>
      </c>
      <c r="M675">
        <v>1.28796</v>
      </c>
      <c r="N675">
        <v>1.026</v>
      </c>
      <c r="O675">
        <v>1.0900099999999999</v>
      </c>
      <c r="P675">
        <v>1.1879999999999999</v>
      </c>
      <c r="Q675">
        <v>1.3378599999999998</v>
      </c>
      <c r="R675">
        <v>1.429</v>
      </c>
      <c r="S675">
        <v>1.06413</v>
      </c>
      <c r="T675">
        <v>1.2636700000000001</v>
      </c>
      <c r="U675">
        <v>1.36938</v>
      </c>
    </row>
    <row r="676" spans="1:21">
      <c r="A676" s="91">
        <v>38628</v>
      </c>
      <c r="B676" s="86">
        <v>38628</v>
      </c>
      <c r="C676" s="93">
        <v>1.47058823529412</v>
      </c>
      <c r="D676" s="85" t="s">
        <v>1658</v>
      </c>
      <c r="F676" s="91">
        <v>38628</v>
      </c>
      <c r="G676">
        <v>1.1539999999999999</v>
      </c>
      <c r="H676">
        <v>1.3639700000000001</v>
      </c>
      <c r="I676">
        <v>1.1027100000000001</v>
      </c>
      <c r="J676">
        <v>1.3554999999999999</v>
      </c>
      <c r="K676">
        <v>1.36544</v>
      </c>
      <c r="L676">
        <v>1.40011</v>
      </c>
      <c r="M676">
        <v>1.2901500000000001</v>
      </c>
      <c r="N676">
        <v>1.0109999999999999</v>
      </c>
      <c r="O676">
        <v>1.0908099999999998</v>
      </c>
      <c r="P676">
        <v>1.1879999999999999</v>
      </c>
      <c r="Q676">
        <v>1.3352200000000001</v>
      </c>
      <c r="R676">
        <v>1.488</v>
      </c>
      <c r="S676">
        <v>1.0643399999999998</v>
      </c>
      <c r="T676">
        <v>1.3277999999999999</v>
      </c>
      <c r="U676">
        <v>1.3751900000000001</v>
      </c>
    </row>
    <row r="677" spans="1:21">
      <c r="A677" s="91">
        <v>38621</v>
      </c>
      <c r="B677" s="86">
        <v>38621</v>
      </c>
      <c r="C677" s="93">
        <v>1.4728625082848499</v>
      </c>
      <c r="D677" s="85" t="s">
        <v>1659</v>
      </c>
      <c r="F677" s="91">
        <v>38621</v>
      </c>
      <c r="G677">
        <v>1.1459999999999999</v>
      </c>
      <c r="H677">
        <v>1.3599300000000001</v>
      </c>
      <c r="I677">
        <v>1.1117999999999999</v>
      </c>
      <c r="J677">
        <v>1.3405</v>
      </c>
      <c r="K677">
        <v>1.34152</v>
      </c>
      <c r="L677">
        <v>1.3837999999999999</v>
      </c>
      <c r="M677">
        <v>1.26468</v>
      </c>
      <c r="N677">
        <v>0.97599999999999998</v>
      </c>
      <c r="O677">
        <v>1.15255</v>
      </c>
      <c r="P677">
        <v>1.1879999999999999</v>
      </c>
      <c r="Q677">
        <v>1.29342</v>
      </c>
      <c r="R677">
        <v>1.468</v>
      </c>
      <c r="S677">
        <v>1.07412</v>
      </c>
      <c r="T677">
        <v>1.3102499999999999</v>
      </c>
      <c r="U677">
        <v>1.3746500000000001</v>
      </c>
    </row>
    <row r="678" spans="1:21">
      <c r="A678" s="91">
        <v>38614</v>
      </c>
      <c r="B678" s="86">
        <v>38614</v>
      </c>
      <c r="C678" s="93">
        <v>1.4863258026159298</v>
      </c>
      <c r="D678" s="85" t="s">
        <v>1660</v>
      </c>
      <c r="F678" s="91">
        <v>38614</v>
      </c>
      <c r="G678">
        <v>1.1499999999999999</v>
      </c>
      <c r="H678">
        <v>1.3337999999999999</v>
      </c>
      <c r="I678">
        <v>1.14272</v>
      </c>
      <c r="J678">
        <v>1.3477999999999999</v>
      </c>
      <c r="K678">
        <v>1.3019799999999999</v>
      </c>
      <c r="L678">
        <v>1.2718900000000002</v>
      </c>
      <c r="M678">
        <v>1.2518199999999999</v>
      </c>
      <c r="N678">
        <v>0.99</v>
      </c>
      <c r="O678">
        <v>1.1703699999999999</v>
      </c>
      <c r="P678">
        <v>1.1879999999999999</v>
      </c>
      <c r="Q678">
        <v>1.2964599999999999</v>
      </c>
      <c r="R678">
        <v>1.4710000000000001</v>
      </c>
      <c r="S678">
        <v>1.07324</v>
      </c>
      <c r="T678">
        <v>1.2593800000000002</v>
      </c>
      <c r="U678">
        <v>1.4033</v>
      </c>
    </row>
    <row r="679" spans="1:21">
      <c r="A679" s="91">
        <v>38607</v>
      </c>
      <c r="B679" s="86">
        <v>38607</v>
      </c>
      <c r="C679" s="93">
        <v>1.4829094683769599</v>
      </c>
      <c r="D679" s="85" t="s">
        <v>1661</v>
      </c>
      <c r="F679" s="91">
        <v>38607</v>
      </c>
      <c r="G679">
        <v>1.179</v>
      </c>
      <c r="H679">
        <v>1.3595299999999999</v>
      </c>
      <c r="I679">
        <v>1.1519000000000001</v>
      </c>
      <c r="J679">
        <v>1.3640000000000001</v>
      </c>
      <c r="K679">
        <v>1.34</v>
      </c>
      <c r="L679">
        <v>1.4064400000000001</v>
      </c>
      <c r="M679">
        <v>1.3066199999999999</v>
      </c>
      <c r="N679">
        <v>1.0580000000000001</v>
      </c>
      <c r="O679">
        <v>1.1930099999999999</v>
      </c>
      <c r="P679">
        <v>1.0940000000000001</v>
      </c>
      <c r="Q679">
        <v>1.3298399999999999</v>
      </c>
      <c r="R679">
        <v>1.5049999999999999</v>
      </c>
      <c r="S679">
        <v>1.0928900000000001</v>
      </c>
      <c r="T679">
        <v>1.3066300000000002</v>
      </c>
      <c r="U679">
        <v>1.4098499999999998</v>
      </c>
    </row>
    <row r="680" spans="1:21">
      <c r="A680" s="91">
        <v>38600</v>
      </c>
      <c r="B680" s="86">
        <v>38600</v>
      </c>
      <c r="C680" s="93">
        <v>1.4737307493920899</v>
      </c>
      <c r="D680" s="85" t="s">
        <v>1662</v>
      </c>
      <c r="F680" s="91">
        <v>38600</v>
      </c>
      <c r="G680">
        <v>1.159</v>
      </c>
      <c r="H680">
        <v>1.3895999999999999</v>
      </c>
      <c r="I680">
        <v>1.10761</v>
      </c>
      <c r="J680">
        <v>1.4139999999999999</v>
      </c>
      <c r="K680">
        <v>1.4645899999999998</v>
      </c>
      <c r="L680">
        <v>1.3965099999999999</v>
      </c>
      <c r="M680">
        <v>1.3289200000000001</v>
      </c>
      <c r="N680">
        <v>1.0149999999999999</v>
      </c>
      <c r="O680">
        <v>1.1577599999999999</v>
      </c>
      <c r="P680">
        <v>1.0940000000000001</v>
      </c>
      <c r="Q680">
        <v>1.3068900000000001</v>
      </c>
      <c r="R680">
        <v>1.526</v>
      </c>
      <c r="S680">
        <v>1.0993199999999999</v>
      </c>
      <c r="T680">
        <v>1.3051400000000002</v>
      </c>
      <c r="U680">
        <v>1.3908199999999999</v>
      </c>
    </row>
    <row r="681" spans="1:21">
      <c r="A681" s="91">
        <v>38593</v>
      </c>
      <c r="B681" s="86">
        <v>38593</v>
      </c>
      <c r="C681" s="93">
        <v>1.46713615023474</v>
      </c>
      <c r="D681" s="85" t="s">
        <v>1663</v>
      </c>
      <c r="F681" s="91">
        <v>38593</v>
      </c>
      <c r="G681">
        <v>1.111</v>
      </c>
      <c r="H681">
        <v>1.33283</v>
      </c>
      <c r="I681">
        <v>1.00186</v>
      </c>
      <c r="J681">
        <v>1.2948</v>
      </c>
      <c r="K681">
        <v>1.2920999999999998</v>
      </c>
      <c r="L681">
        <v>1.2767599999999999</v>
      </c>
      <c r="M681">
        <v>1.2399500000000001</v>
      </c>
      <c r="N681">
        <v>0.94599999999999995</v>
      </c>
      <c r="O681">
        <v>1.1403699999999999</v>
      </c>
      <c r="P681">
        <v>1.0940000000000001</v>
      </c>
      <c r="Q681">
        <v>1.27705</v>
      </c>
      <c r="R681">
        <v>1.4319999999999999</v>
      </c>
      <c r="S681">
        <v>1.0453800000000002</v>
      </c>
      <c r="T681">
        <v>1.2694100000000001</v>
      </c>
      <c r="U681">
        <v>1.3411900000000001</v>
      </c>
    </row>
    <row r="682" spans="1:21">
      <c r="A682" s="91">
        <v>38586</v>
      </c>
      <c r="B682" s="86">
        <v>38586</v>
      </c>
      <c r="C682" s="93">
        <v>1.4746000147459999</v>
      </c>
      <c r="D682" s="85" t="s">
        <v>1664</v>
      </c>
      <c r="F682" s="91">
        <v>38586</v>
      </c>
      <c r="G682">
        <v>1.1040000000000001</v>
      </c>
      <c r="H682">
        <v>1.33148</v>
      </c>
      <c r="I682">
        <v>1.0068900000000001</v>
      </c>
      <c r="J682">
        <v>1.3055000000000001</v>
      </c>
      <c r="K682">
        <v>1.28755</v>
      </c>
      <c r="L682">
        <v>1.29928</v>
      </c>
      <c r="M682">
        <v>1.2382</v>
      </c>
      <c r="N682">
        <v>0.97499999999999998</v>
      </c>
      <c r="O682">
        <v>1.15063</v>
      </c>
      <c r="P682">
        <v>1.0940000000000001</v>
      </c>
      <c r="Q682">
        <v>1.2755999999999998</v>
      </c>
      <c r="R682">
        <v>1.427</v>
      </c>
      <c r="S682">
        <v>1.03427</v>
      </c>
      <c r="T682">
        <v>1.26311</v>
      </c>
      <c r="U682">
        <v>1.3385400000000001</v>
      </c>
    </row>
    <row r="683" spans="1:21">
      <c r="A683" s="91">
        <v>38579</v>
      </c>
      <c r="B683" s="86">
        <v>38579</v>
      </c>
      <c r="C683" s="93">
        <v>1.46284376828555</v>
      </c>
      <c r="D683" s="85" t="s">
        <v>1665</v>
      </c>
      <c r="F683" s="91">
        <v>38579</v>
      </c>
      <c r="G683">
        <v>1.085</v>
      </c>
      <c r="H683">
        <v>1.26088</v>
      </c>
      <c r="I683">
        <v>1.0076799999999999</v>
      </c>
      <c r="J683">
        <v>1.3017000000000001</v>
      </c>
      <c r="K683">
        <v>1.2919</v>
      </c>
      <c r="L683">
        <v>1.2902</v>
      </c>
      <c r="M683">
        <v>1.20869</v>
      </c>
      <c r="N683">
        <v>0.94</v>
      </c>
      <c r="O683">
        <v>1.1310199999999999</v>
      </c>
      <c r="P683">
        <v>1.0940000000000001</v>
      </c>
      <c r="Q683">
        <v>1.2462599999999999</v>
      </c>
      <c r="R683">
        <v>1.417</v>
      </c>
      <c r="S683">
        <v>1.01634</v>
      </c>
      <c r="T683">
        <v>1.2539800000000001</v>
      </c>
      <c r="U683">
        <v>1.3224100000000001</v>
      </c>
    </row>
    <row r="684" spans="1:21">
      <c r="A684" s="91">
        <v>38572</v>
      </c>
      <c r="B684" s="86">
        <v>38572</v>
      </c>
      <c r="C684" s="93">
        <v>1.4459224985540799</v>
      </c>
      <c r="D684" s="85" t="s">
        <v>1666</v>
      </c>
      <c r="F684" s="91">
        <v>38572</v>
      </c>
      <c r="G684">
        <v>1.085</v>
      </c>
      <c r="H684">
        <v>1.26088</v>
      </c>
      <c r="I684">
        <v>1.00454</v>
      </c>
      <c r="J684">
        <v>1.2852999999999999</v>
      </c>
      <c r="K684">
        <v>1.2785599999999999</v>
      </c>
      <c r="L684">
        <v>1.2902</v>
      </c>
      <c r="M684">
        <v>1.20869</v>
      </c>
      <c r="N684">
        <v>0.94</v>
      </c>
      <c r="O684">
        <v>1.13243</v>
      </c>
      <c r="P684">
        <v>1.054</v>
      </c>
      <c r="Q684">
        <v>1.2462599999999999</v>
      </c>
      <c r="R684">
        <v>1.417</v>
      </c>
      <c r="S684">
        <v>1.01634</v>
      </c>
      <c r="T684">
        <v>1.2515799999999999</v>
      </c>
      <c r="U684">
        <v>1.2965199999999999</v>
      </c>
    </row>
    <row r="685" spans="1:21">
      <c r="A685" s="91">
        <v>38565</v>
      </c>
      <c r="B685" s="86">
        <v>38565</v>
      </c>
      <c r="C685" s="93">
        <v>1.44634075788256</v>
      </c>
      <c r="D685" s="85" t="s">
        <v>1667</v>
      </c>
      <c r="F685" s="91">
        <v>38565</v>
      </c>
      <c r="G685">
        <v>1.08</v>
      </c>
      <c r="H685">
        <v>1.2445299999999999</v>
      </c>
      <c r="I685">
        <v>0.98539999999999994</v>
      </c>
      <c r="J685">
        <v>1.2742500000000001</v>
      </c>
      <c r="K685">
        <v>1.25997</v>
      </c>
      <c r="L685">
        <v>1.27742</v>
      </c>
      <c r="M685">
        <v>1.20051</v>
      </c>
      <c r="N685">
        <v>0.93300000000000005</v>
      </c>
      <c r="O685">
        <v>1.11524</v>
      </c>
      <c r="P685">
        <v>1.054</v>
      </c>
      <c r="Q685">
        <v>1.2462599999999999</v>
      </c>
      <c r="R685">
        <v>1.409</v>
      </c>
      <c r="S685">
        <v>1.00898</v>
      </c>
      <c r="T685">
        <v>1.24241</v>
      </c>
      <c r="U685">
        <v>1.2907899999999999</v>
      </c>
    </row>
    <row r="686" spans="1:21">
      <c r="A686" s="91">
        <v>38558</v>
      </c>
      <c r="B686" s="86">
        <v>38558</v>
      </c>
      <c r="C686" s="93">
        <v>1.4400921658986199</v>
      </c>
      <c r="D686" s="85" t="s">
        <v>1668</v>
      </c>
      <c r="F686" s="91">
        <v>38558</v>
      </c>
      <c r="G686">
        <v>1.0780000000000001</v>
      </c>
      <c r="H686">
        <v>1.2695799999999999</v>
      </c>
      <c r="I686">
        <v>0.98204999999999998</v>
      </c>
      <c r="J686">
        <v>1.26475</v>
      </c>
      <c r="K686">
        <v>1.2599899999999999</v>
      </c>
      <c r="L686">
        <v>1.27759</v>
      </c>
      <c r="M686">
        <v>1.20221</v>
      </c>
      <c r="N686">
        <v>0.94</v>
      </c>
      <c r="O686">
        <v>1.1097600000000001</v>
      </c>
      <c r="P686">
        <v>1.054</v>
      </c>
      <c r="Q686">
        <v>1.2457</v>
      </c>
      <c r="R686">
        <v>1.415</v>
      </c>
      <c r="S686">
        <v>0.99917999999999996</v>
      </c>
      <c r="T686">
        <v>1.23872</v>
      </c>
      <c r="U686">
        <v>1.2816700000000001</v>
      </c>
    </row>
    <row r="687" spans="1:21">
      <c r="A687" s="91">
        <v>38551</v>
      </c>
      <c r="B687" s="86">
        <v>38551</v>
      </c>
      <c r="C687" s="93">
        <v>1.44938038988332</v>
      </c>
      <c r="D687" s="85" t="s">
        <v>1096</v>
      </c>
      <c r="F687" s="91">
        <v>38551</v>
      </c>
      <c r="G687">
        <v>1.071</v>
      </c>
      <c r="H687">
        <v>1.29033</v>
      </c>
      <c r="I687">
        <v>0.98332000000000008</v>
      </c>
      <c r="J687">
        <v>1.2607999999999999</v>
      </c>
      <c r="K687">
        <v>1.24658</v>
      </c>
      <c r="L687">
        <v>1.268</v>
      </c>
      <c r="M687">
        <v>1.1993399999999999</v>
      </c>
      <c r="N687">
        <v>0.94</v>
      </c>
      <c r="O687">
        <v>1.10494</v>
      </c>
      <c r="P687">
        <v>1.054</v>
      </c>
      <c r="Q687">
        <v>1.2476700000000001</v>
      </c>
      <c r="R687">
        <v>1.395</v>
      </c>
      <c r="S687">
        <v>1</v>
      </c>
      <c r="T687">
        <v>1.2344000000000002</v>
      </c>
      <c r="U687">
        <v>1.2834300000000001</v>
      </c>
    </row>
    <row r="688" spans="1:21">
      <c r="A688" s="91">
        <v>38544</v>
      </c>
      <c r="B688" s="86">
        <v>38544</v>
      </c>
      <c r="C688" s="93">
        <v>1.4534883720930198</v>
      </c>
      <c r="D688" s="85" t="s">
        <v>1669</v>
      </c>
      <c r="F688" s="91">
        <v>38544</v>
      </c>
      <c r="G688">
        <v>1.0820000000000001</v>
      </c>
      <c r="H688">
        <v>1.2953299999999999</v>
      </c>
      <c r="I688">
        <v>0.95269999999999999</v>
      </c>
      <c r="J688">
        <v>1.2543</v>
      </c>
      <c r="K688">
        <v>1.2701</v>
      </c>
      <c r="L688">
        <v>1.2388299999999999</v>
      </c>
      <c r="M688">
        <v>1.2042299999999999</v>
      </c>
      <c r="N688">
        <v>0.92500000000000004</v>
      </c>
      <c r="O688">
        <v>1.08517</v>
      </c>
      <c r="P688">
        <v>1.0129999999999999</v>
      </c>
      <c r="Q688">
        <v>1.2461500000000001</v>
      </c>
      <c r="R688">
        <v>1.419</v>
      </c>
      <c r="S688">
        <v>0.99609999999999999</v>
      </c>
      <c r="T688">
        <v>1.23702</v>
      </c>
      <c r="U688">
        <v>1.27519</v>
      </c>
    </row>
    <row r="689" spans="1:21">
      <c r="A689" s="91">
        <v>38537</v>
      </c>
      <c r="B689" s="86">
        <v>38537</v>
      </c>
      <c r="C689" s="93">
        <v>1.47830586148274</v>
      </c>
      <c r="D689" s="85" t="s">
        <v>1093</v>
      </c>
      <c r="F689" s="91">
        <v>38537</v>
      </c>
      <c r="G689">
        <v>1.0509999999999999</v>
      </c>
      <c r="H689">
        <v>1.2583299999999999</v>
      </c>
      <c r="I689">
        <v>0.95338999999999996</v>
      </c>
      <c r="J689">
        <v>1.2507999999999999</v>
      </c>
      <c r="K689">
        <v>1.22645</v>
      </c>
      <c r="L689">
        <v>1.202</v>
      </c>
      <c r="M689">
        <v>1.1759300000000001</v>
      </c>
      <c r="N689">
        <v>0.92100000000000004</v>
      </c>
      <c r="O689">
        <v>1.0684</v>
      </c>
      <c r="P689">
        <v>1.0129999999999999</v>
      </c>
      <c r="Q689">
        <v>1.24579</v>
      </c>
      <c r="R689">
        <v>1.3879999999999999</v>
      </c>
      <c r="S689">
        <v>0.9809500000000001</v>
      </c>
      <c r="T689">
        <v>1.19696</v>
      </c>
      <c r="U689">
        <v>1.29331</v>
      </c>
    </row>
    <row r="690" spans="1:21">
      <c r="A690" s="91">
        <v>38530</v>
      </c>
      <c r="B690" s="86">
        <v>38530</v>
      </c>
      <c r="C690" s="93">
        <v>1.5035333032626701</v>
      </c>
      <c r="D690" s="85" t="s">
        <v>1670</v>
      </c>
      <c r="F690" s="91">
        <v>38530</v>
      </c>
      <c r="G690">
        <v>1.0449999999999999</v>
      </c>
      <c r="H690">
        <v>1.2529999999999999</v>
      </c>
      <c r="I690">
        <v>0.95462999999999998</v>
      </c>
      <c r="J690">
        <v>1.2327999999999999</v>
      </c>
      <c r="K690">
        <v>1.2404200000000001</v>
      </c>
      <c r="L690">
        <v>1.202</v>
      </c>
      <c r="M690">
        <v>1.17347</v>
      </c>
      <c r="N690">
        <v>0.91100000000000003</v>
      </c>
      <c r="O690">
        <v>1.0659799999999999</v>
      </c>
      <c r="P690">
        <v>1.0129999999999999</v>
      </c>
      <c r="Q690">
        <v>1.23119</v>
      </c>
      <c r="R690">
        <v>1.3779999999999999</v>
      </c>
      <c r="S690">
        <v>0.98158000000000001</v>
      </c>
      <c r="T690">
        <v>1.1886099999999999</v>
      </c>
      <c r="U690">
        <v>1.30402</v>
      </c>
    </row>
    <row r="691" spans="1:21">
      <c r="A691" s="91">
        <v>38523</v>
      </c>
      <c r="B691" s="86">
        <v>38523</v>
      </c>
      <c r="C691" s="93">
        <v>1.49577443721487</v>
      </c>
      <c r="D691" s="85" t="s">
        <v>1058</v>
      </c>
      <c r="F691" s="91">
        <v>38523</v>
      </c>
      <c r="G691">
        <v>1.03</v>
      </c>
      <c r="H691">
        <v>1.2286700000000002</v>
      </c>
      <c r="I691">
        <v>0.94577999999999995</v>
      </c>
      <c r="J691">
        <v>1.2327999999999999</v>
      </c>
      <c r="K691">
        <v>1.22759</v>
      </c>
      <c r="L691">
        <v>1.2174700000000001</v>
      </c>
      <c r="M691">
        <v>1.16045</v>
      </c>
      <c r="N691">
        <v>0.89100000000000001</v>
      </c>
      <c r="O691">
        <v>1.0626600000000002</v>
      </c>
      <c r="P691">
        <v>1.0149999999999999</v>
      </c>
      <c r="Q691">
        <v>1.21644</v>
      </c>
      <c r="R691">
        <v>1.3640000000000001</v>
      </c>
      <c r="S691">
        <v>0.96509</v>
      </c>
      <c r="T691">
        <v>1.20729</v>
      </c>
      <c r="U691">
        <v>1.27925</v>
      </c>
    </row>
    <row r="692" spans="1:21">
      <c r="A692" s="91">
        <v>38516</v>
      </c>
      <c r="B692" s="86">
        <v>38516</v>
      </c>
      <c r="C692" s="93">
        <v>1.4963339817447299</v>
      </c>
      <c r="D692" s="85" t="s">
        <v>1671</v>
      </c>
      <c r="F692" s="91">
        <v>38516</v>
      </c>
      <c r="G692">
        <v>1.0209999999999999</v>
      </c>
      <c r="H692">
        <v>1.2266700000000001</v>
      </c>
      <c r="I692">
        <v>0.94425999999999999</v>
      </c>
      <c r="J692">
        <v>1.2218</v>
      </c>
      <c r="K692">
        <v>1.2014200000000002</v>
      </c>
      <c r="L692">
        <v>1.2003199999999998</v>
      </c>
      <c r="M692">
        <v>1.1453</v>
      </c>
      <c r="N692">
        <v>0.88</v>
      </c>
      <c r="O692">
        <v>1.0496800000000002</v>
      </c>
      <c r="P692">
        <v>1.0149999999999999</v>
      </c>
      <c r="Q692">
        <v>1.2162599999999999</v>
      </c>
      <c r="R692">
        <v>1.349</v>
      </c>
      <c r="S692">
        <v>0.94638999999999995</v>
      </c>
      <c r="T692">
        <v>1.16981</v>
      </c>
      <c r="U692">
        <v>1.27172</v>
      </c>
    </row>
    <row r="693" spans="1:21">
      <c r="A693" s="91">
        <v>38509</v>
      </c>
      <c r="B693" s="86">
        <v>38509</v>
      </c>
      <c r="C693" s="93">
        <v>1.4819205690574999</v>
      </c>
      <c r="D693" s="85" t="s">
        <v>1672</v>
      </c>
      <c r="F693" s="91">
        <v>38509</v>
      </c>
      <c r="G693">
        <v>1.0189999999999999</v>
      </c>
      <c r="H693">
        <v>1.2190000000000001</v>
      </c>
      <c r="I693">
        <v>0.92347999999999997</v>
      </c>
      <c r="J693">
        <v>1.2007999999999999</v>
      </c>
      <c r="K693">
        <v>1.1963199999999998</v>
      </c>
      <c r="L693">
        <v>1.1994800000000001</v>
      </c>
      <c r="M693">
        <v>1.13456</v>
      </c>
      <c r="N693">
        <v>0.85899999999999999</v>
      </c>
      <c r="O693">
        <v>1.03572</v>
      </c>
      <c r="P693">
        <v>1.0149999999999999</v>
      </c>
      <c r="Q693">
        <v>1.1978599999999999</v>
      </c>
      <c r="R693">
        <v>1.345</v>
      </c>
      <c r="S693">
        <v>0.93050999999999995</v>
      </c>
      <c r="T693">
        <v>1.18655</v>
      </c>
      <c r="U693">
        <v>1.24501</v>
      </c>
    </row>
    <row r="694" spans="1:21">
      <c r="A694" s="91">
        <v>38502</v>
      </c>
      <c r="B694" s="86">
        <v>38502</v>
      </c>
      <c r="C694" s="93">
        <v>1.4599605810643099</v>
      </c>
      <c r="D694" s="85" t="s">
        <v>1673</v>
      </c>
      <c r="F694" s="91">
        <v>38502</v>
      </c>
      <c r="G694">
        <v>0.996</v>
      </c>
      <c r="H694">
        <v>1.15567</v>
      </c>
      <c r="I694">
        <v>0.90900999999999998</v>
      </c>
      <c r="J694">
        <v>1.1653</v>
      </c>
      <c r="K694">
        <v>1.16893</v>
      </c>
      <c r="L694">
        <v>1.17862</v>
      </c>
      <c r="M694">
        <v>1.1226400000000001</v>
      </c>
      <c r="N694">
        <v>0.85199999999999998</v>
      </c>
      <c r="O694">
        <v>1.0089299999999999</v>
      </c>
      <c r="P694">
        <v>1.0149999999999999</v>
      </c>
      <c r="Q694">
        <v>1.1862600000000001</v>
      </c>
      <c r="R694">
        <v>1.3109999999999999</v>
      </c>
      <c r="S694">
        <v>0.92703999999999998</v>
      </c>
      <c r="T694">
        <v>1.1594500000000001</v>
      </c>
      <c r="U694">
        <v>1.2289600000000001</v>
      </c>
    </row>
    <row r="695" spans="1:21">
      <c r="A695" s="91">
        <v>38495</v>
      </c>
      <c r="B695" s="86">
        <v>38495</v>
      </c>
      <c r="C695" s="93">
        <v>1.4570887367040699</v>
      </c>
      <c r="D695" s="85" t="s">
        <v>1101</v>
      </c>
      <c r="F695" s="91">
        <v>38495</v>
      </c>
      <c r="G695">
        <v>0.996</v>
      </c>
      <c r="H695">
        <v>1.127</v>
      </c>
      <c r="I695">
        <v>0.91354999999999997</v>
      </c>
      <c r="J695">
        <v>1.1875</v>
      </c>
      <c r="K695">
        <v>1.15987</v>
      </c>
      <c r="L695">
        <v>1.1734100000000001</v>
      </c>
      <c r="M695">
        <v>1.1207400000000001</v>
      </c>
      <c r="N695">
        <v>0.85299999999999998</v>
      </c>
      <c r="O695">
        <v>1.0151399999999999</v>
      </c>
      <c r="P695">
        <v>1.0149999999999999</v>
      </c>
      <c r="Q695">
        <v>1.1862600000000001</v>
      </c>
      <c r="R695">
        <v>1.2989999999999999</v>
      </c>
      <c r="S695">
        <v>0.9304</v>
      </c>
      <c r="T695">
        <v>1.1394300000000002</v>
      </c>
      <c r="U695">
        <v>1.23516</v>
      </c>
    </row>
    <row r="696" spans="1:21">
      <c r="A696" s="91">
        <v>38488</v>
      </c>
      <c r="B696" s="86">
        <v>38488</v>
      </c>
      <c r="C696" s="93">
        <v>1.4558159848595098</v>
      </c>
      <c r="D696" s="85" t="s">
        <v>1674</v>
      </c>
      <c r="F696" s="91">
        <v>38488</v>
      </c>
      <c r="G696">
        <v>1.0029999999999999</v>
      </c>
      <c r="H696">
        <v>1.2183299999999999</v>
      </c>
      <c r="I696">
        <v>0.92030999999999996</v>
      </c>
      <c r="J696">
        <v>1.1990000000000001</v>
      </c>
      <c r="K696">
        <v>1.1528499999999999</v>
      </c>
      <c r="L696">
        <v>1.1938900000000001</v>
      </c>
      <c r="M696">
        <v>1.1267400000000001</v>
      </c>
      <c r="N696">
        <v>0.86299999999999999</v>
      </c>
      <c r="O696">
        <v>1.0142899999999999</v>
      </c>
      <c r="P696">
        <v>1.0149999999999999</v>
      </c>
      <c r="Q696">
        <v>1.20112</v>
      </c>
      <c r="R696">
        <v>1.2989999999999999</v>
      </c>
      <c r="S696">
        <v>0.92871999999999999</v>
      </c>
      <c r="T696">
        <v>1.1448399999999999</v>
      </c>
      <c r="U696">
        <v>1.2413399999999999</v>
      </c>
    </row>
    <row r="697" spans="1:21">
      <c r="A697" s="91">
        <v>38481</v>
      </c>
      <c r="B697" s="86">
        <v>38481</v>
      </c>
      <c r="C697" s="93">
        <v>1.4673514306676398</v>
      </c>
      <c r="D697" s="85" t="s">
        <v>1675</v>
      </c>
      <c r="F697" s="91">
        <v>38481</v>
      </c>
      <c r="G697">
        <v>1.012</v>
      </c>
      <c r="H697">
        <v>1.2183299999999999</v>
      </c>
      <c r="I697">
        <v>0.93159000000000003</v>
      </c>
      <c r="J697">
        <v>1.1947999999999999</v>
      </c>
      <c r="K697">
        <v>1.1530400000000001</v>
      </c>
      <c r="L697">
        <v>1.1947300000000001</v>
      </c>
      <c r="M697">
        <v>1.13439</v>
      </c>
      <c r="N697">
        <v>0.88300000000000001</v>
      </c>
      <c r="O697">
        <v>1.0352699999999999</v>
      </c>
      <c r="P697">
        <v>0.999</v>
      </c>
      <c r="Q697">
        <v>1.2153800000000001</v>
      </c>
      <c r="R697">
        <v>1.3080000000000001</v>
      </c>
      <c r="S697">
        <v>0.93508000000000002</v>
      </c>
      <c r="T697">
        <v>1.15004</v>
      </c>
      <c r="U697">
        <v>1.2525200000000001</v>
      </c>
    </row>
    <row r="698" spans="1:21">
      <c r="A698" s="91">
        <v>38474</v>
      </c>
      <c r="B698" s="86">
        <v>38474</v>
      </c>
      <c r="C698" s="93">
        <v>1.4787430683918699</v>
      </c>
      <c r="D698" s="85" t="s">
        <v>1676</v>
      </c>
      <c r="F698" s="91">
        <v>38474</v>
      </c>
      <c r="G698">
        <v>1.014</v>
      </c>
      <c r="H698">
        <v>1.218</v>
      </c>
      <c r="I698">
        <v>0.91249000000000002</v>
      </c>
      <c r="J698">
        <v>1.2053</v>
      </c>
      <c r="K698">
        <v>1.1685099999999999</v>
      </c>
      <c r="L698">
        <v>1.206</v>
      </c>
      <c r="M698">
        <v>1.1478199999999998</v>
      </c>
      <c r="N698">
        <v>0.88400000000000001</v>
      </c>
      <c r="O698">
        <v>1.02481</v>
      </c>
      <c r="P698">
        <v>0.999</v>
      </c>
      <c r="Q698">
        <v>1.23489</v>
      </c>
      <c r="R698">
        <v>1.32</v>
      </c>
      <c r="S698">
        <v>0.94337000000000004</v>
      </c>
      <c r="T698">
        <v>1.16964</v>
      </c>
      <c r="U698">
        <v>1.2634300000000001</v>
      </c>
    </row>
    <row r="699" spans="1:21">
      <c r="A699" s="91">
        <v>38467</v>
      </c>
      <c r="B699" s="86">
        <v>38467</v>
      </c>
      <c r="C699" s="93">
        <v>1.4735135931628998</v>
      </c>
      <c r="D699" s="85" t="s">
        <v>1677</v>
      </c>
      <c r="F699" s="91">
        <v>38467</v>
      </c>
      <c r="G699">
        <v>1.012</v>
      </c>
      <c r="H699">
        <v>1.20367</v>
      </c>
      <c r="I699">
        <v>0.90845000000000009</v>
      </c>
      <c r="J699">
        <v>1.1853</v>
      </c>
      <c r="K699">
        <v>1.1759999999999999</v>
      </c>
      <c r="L699">
        <v>1.2211400000000001</v>
      </c>
      <c r="M699">
        <v>1.1394500000000001</v>
      </c>
      <c r="N699">
        <v>0.873</v>
      </c>
      <c r="O699">
        <v>1.0333299999999999</v>
      </c>
      <c r="P699">
        <v>0.999</v>
      </c>
      <c r="Q699">
        <v>1.23489</v>
      </c>
      <c r="R699">
        <v>1.3440000000000001</v>
      </c>
      <c r="S699">
        <v>0.94311</v>
      </c>
      <c r="T699">
        <v>1.1702000000000001</v>
      </c>
      <c r="U699">
        <v>1.25993</v>
      </c>
    </row>
    <row r="700" spans="1:21">
      <c r="A700" s="91">
        <v>38460</v>
      </c>
      <c r="B700" s="86">
        <v>38460</v>
      </c>
      <c r="C700" s="93">
        <v>1.46370023419204</v>
      </c>
      <c r="D700" s="85" t="s">
        <v>1678</v>
      </c>
      <c r="F700" s="91">
        <v>38460</v>
      </c>
      <c r="G700">
        <v>1.0149999999999999</v>
      </c>
      <c r="H700">
        <v>1.20133</v>
      </c>
      <c r="I700">
        <v>0.91201999999999994</v>
      </c>
      <c r="J700">
        <v>1.1922999999999999</v>
      </c>
      <c r="K700">
        <v>1.1739300000000001</v>
      </c>
      <c r="L700">
        <v>1.1426400000000001</v>
      </c>
      <c r="M700">
        <v>1.14079</v>
      </c>
      <c r="N700">
        <v>0.88600000000000001</v>
      </c>
      <c r="O700">
        <v>1.0478599999999998</v>
      </c>
      <c r="P700">
        <v>0.999</v>
      </c>
      <c r="Q700">
        <v>1.2363499999999998</v>
      </c>
      <c r="R700">
        <v>1.3149999999999999</v>
      </c>
      <c r="S700">
        <v>0.93313000000000001</v>
      </c>
      <c r="T700">
        <v>1.1539699999999999</v>
      </c>
      <c r="U700">
        <v>1.2533399999999999</v>
      </c>
    </row>
    <row r="701" spans="1:21">
      <c r="A701" s="91">
        <v>38453</v>
      </c>
      <c r="B701" s="86">
        <v>38453</v>
      </c>
      <c r="C701" s="93">
        <v>1.4568764568764598</v>
      </c>
      <c r="D701" s="85" t="s">
        <v>1679</v>
      </c>
      <c r="F701" s="91">
        <v>38453</v>
      </c>
      <c r="G701">
        <v>1.028</v>
      </c>
      <c r="H701">
        <v>1.2043299999999999</v>
      </c>
      <c r="I701">
        <v>0.91334000000000004</v>
      </c>
      <c r="J701">
        <v>1.2070000000000001</v>
      </c>
      <c r="K701">
        <v>1.2014899999999999</v>
      </c>
      <c r="L701">
        <v>1.1673699999999998</v>
      </c>
      <c r="M701">
        <v>1.16353</v>
      </c>
      <c r="N701">
        <v>0.89900000000000002</v>
      </c>
      <c r="O701">
        <v>1.0590599999999999</v>
      </c>
      <c r="P701">
        <v>0.95799999999999996</v>
      </c>
      <c r="Q701">
        <v>1.2363499999999998</v>
      </c>
      <c r="R701">
        <v>1.331</v>
      </c>
      <c r="S701">
        <v>0.92262999999999995</v>
      </c>
      <c r="T701">
        <v>1.18971</v>
      </c>
      <c r="U701">
        <v>1.24722</v>
      </c>
    </row>
    <row r="702" spans="1:21">
      <c r="A702" s="91">
        <v>38446</v>
      </c>
      <c r="B702" s="86">
        <v>38446</v>
      </c>
      <c r="C702" s="93">
        <v>1.4556040756914099</v>
      </c>
      <c r="D702" s="85" t="s">
        <v>1680</v>
      </c>
      <c r="F702" s="91">
        <v>38446</v>
      </c>
      <c r="G702">
        <v>0.98899999999999999</v>
      </c>
      <c r="H702">
        <v>1.1870000000000001</v>
      </c>
      <c r="I702">
        <v>0.8766799999999999</v>
      </c>
      <c r="J702">
        <v>1.1759999999999999</v>
      </c>
      <c r="K702">
        <v>1.2053399999999999</v>
      </c>
      <c r="L702">
        <v>1.1693800000000001</v>
      </c>
      <c r="M702">
        <v>1.1379000000000001</v>
      </c>
      <c r="N702">
        <v>0.85299999999999998</v>
      </c>
      <c r="O702">
        <v>1.0250599999999999</v>
      </c>
      <c r="P702">
        <v>0.95799999999999996</v>
      </c>
      <c r="Q702">
        <v>1.1879200000000001</v>
      </c>
      <c r="R702">
        <v>1.3340000000000001</v>
      </c>
      <c r="S702">
        <v>0.91452</v>
      </c>
      <c r="T702">
        <v>1.1664400000000001</v>
      </c>
      <c r="U702">
        <v>1.22146</v>
      </c>
    </row>
    <row r="703" spans="1:21">
      <c r="A703" s="91">
        <v>38432</v>
      </c>
      <c r="B703" s="86">
        <v>38432</v>
      </c>
      <c r="C703" s="93">
        <v>1.4407145944388398</v>
      </c>
      <c r="D703" s="85" t="s">
        <v>1681</v>
      </c>
      <c r="F703" s="91">
        <v>38432</v>
      </c>
      <c r="G703">
        <v>0.95199999999999996</v>
      </c>
      <c r="H703">
        <v>1.1396700000000002</v>
      </c>
      <c r="I703">
        <v>0.83284000000000002</v>
      </c>
      <c r="J703">
        <v>1.1425000000000001</v>
      </c>
      <c r="K703">
        <v>1.1399600000000001</v>
      </c>
      <c r="L703">
        <v>1.127</v>
      </c>
      <c r="M703">
        <v>1.10721</v>
      </c>
      <c r="N703">
        <v>0.82299999999999995</v>
      </c>
      <c r="O703">
        <v>0.99529999999999996</v>
      </c>
      <c r="P703">
        <v>0.93700000000000006</v>
      </c>
      <c r="Q703">
        <v>1.18598</v>
      </c>
      <c r="R703">
        <v>1.284</v>
      </c>
      <c r="S703">
        <v>0.90284000000000009</v>
      </c>
      <c r="T703">
        <v>1.13165</v>
      </c>
      <c r="U703">
        <v>1.19143</v>
      </c>
    </row>
    <row r="704" spans="1:21">
      <c r="A704" s="91">
        <v>38425</v>
      </c>
      <c r="B704" s="86">
        <v>38425</v>
      </c>
      <c r="C704" s="93">
        <v>1.4338973329509599</v>
      </c>
      <c r="D704" s="85" t="s">
        <v>1682</v>
      </c>
      <c r="F704" s="91">
        <v>38425</v>
      </c>
      <c r="G704">
        <v>0.96499999999999997</v>
      </c>
      <c r="H704">
        <v>1.1313299999999999</v>
      </c>
      <c r="I704">
        <v>0.84586000000000006</v>
      </c>
      <c r="J704">
        <v>1.1517999999999999</v>
      </c>
      <c r="K704">
        <v>1.1253299999999999</v>
      </c>
      <c r="L704">
        <v>1.1334600000000001</v>
      </c>
      <c r="M704">
        <v>1.1069200000000001</v>
      </c>
      <c r="N704">
        <v>0.82</v>
      </c>
      <c r="O704">
        <v>1.0037100000000001</v>
      </c>
      <c r="P704">
        <v>0.93700000000000006</v>
      </c>
      <c r="Q704">
        <v>1.1859000000000002</v>
      </c>
      <c r="R704">
        <v>1.2809999999999999</v>
      </c>
      <c r="S704">
        <v>0.90236000000000005</v>
      </c>
      <c r="T704">
        <v>1.13388</v>
      </c>
      <c r="U704">
        <v>1.1705699999999999</v>
      </c>
    </row>
    <row r="705" spans="1:21">
      <c r="A705" s="91">
        <v>38418</v>
      </c>
      <c r="B705" s="86">
        <v>38418</v>
      </c>
      <c r="C705" s="93">
        <v>1.4501160092807399</v>
      </c>
      <c r="D705" s="85" t="s">
        <v>1683</v>
      </c>
      <c r="F705" s="91">
        <v>38418</v>
      </c>
      <c r="G705">
        <v>0.95299999999999996</v>
      </c>
      <c r="H705">
        <v>1.1166700000000001</v>
      </c>
      <c r="I705">
        <v>0.84517999999999993</v>
      </c>
      <c r="J705">
        <v>1.1259999999999999</v>
      </c>
      <c r="K705">
        <v>1.1325499999999999</v>
      </c>
      <c r="L705">
        <v>1.11381</v>
      </c>
      <c r="M705">
        <v>1.0947200000000001</v>
      </c>
      <c r="N705">
        <v>0.80900000000000005</v>
      </c>
      <c r="O705">
        <v>0.99672000000000005</v>
      </c>
      <c r="P705">
        <v>0.93700000000000006</v>
      </c>
      <c r="Q705">
        <v>1.1587799999999999</v>
      </c>
      <c r="R705">
        <v>1.2749999999999999</v>
      </c>
      <c r="S705">
        <v>0.90242999999999995</v>
      </c>
      <c r="T705">
        <v>1.1221199999999998</v>
      </c>
      <c r="U705">
        <v>1.1769799999999999</v>
      </c>
    </row>
    <row r="706" spans="1:21">
      <c r="A706" s="91">
        <v>38411</v>
      </c>
      <c r="B706" s="86">
        <v>38411</v>
      </c>
      <c r="C706" s="93">
        <v>1.44980065241029</v>
      </c>
      <c r="D706" s="85" t="s">
        <v>1684</v>
      </c>
      <c r="F706" s="91">
        <v>38411</v>
      </c>
      <c r="G706">
        <v>0.93700000000000006</v>
      </c>
      <c r="H706">
        <v>1.1326700000000001</v>
      </c>
      <c r="I706">
        <v>0.83202999999999994</v>
      </c>
      <c r="J706">
        <v>1.129</v>
      </c>
      <c r="K706">
        <v>1.1137999999999999</v>
      </c>
      <c r="L706">
        <v>1.1025399999999999</v>
      </c>
      <c r="M706">
        <v>1.09029</v>
      </c>
      <c r="N706">
        <v>0.80600000000000005</v>
      </c>
      <c r="O706">
        <v>0.99664999999999992</v>
      </c>
      <c r="P706">
        <v>0.93700000000000006</v>
      </c>
      <c r="Q706">
        <v>1.1360399999999999</v>
      </c>
      <c r="R706">
        <v>1.2629999999999999</v>
      </c>
      <c r="S706">
        <v>0.88851999999999998</v>
      </c>
      <c r="T706">
        <v>1.10294</v>
      </c>
      <c r="U706">
        <v>1.1662999999999999</v>
      </c>
    </row>
    <row r="707" spans="1:21">
      <c r="A707" s="91">
        <v>38404</v>
      </c>
      <c r="B707" s="86">
        <v>38404</v>
      </c>
      <c r="C707" s="93">
        <v>1.4511681903932701</v>
      </c>
      <c r="D707" s="85" t="s">
        <v>1685</v>
      </c>
      <c r="F707" s="91">
        <v>38404</v>
      </c>
      <c r="G707">
        <v>0.93</v>
      </c>
      <c r="H707">
        <v>1.1176700000000002</v>
      </c>
      <c r="I707">
        <v>0.82547999999999999</v>
      </c>
      <c r="J707">
        <v>1.1122999999999998</v>
      </c>
      <c r="K707">
        <v>1.10693</v>
      </c>
      <c r="L707">
        <v>1.1200000000000001</v>
      </c>
      <c r="M707">
        <v>1.0869000000000002</v>
      </c>
      <c r="N707">
        <v>0.80800000000000005</v>
      </c>
      <c r="O707">
        <v>0.98926000000000003</v>
      </c>
      <c r="P707">
        <v>0.93700000000000006</v>
      </c>
      <c r="Q707">
        <v>1.1360399999999999</v>
      </c>
      <c r="R707">
        <v>1.258</v>
      </c>
      <c r="S707">
        <v>0.88458000000000003</v>
      </c>
      <c r="T707">
        <v>1.10636</v>
      </c>
      <c r="U707">
        <v>1.1631199999999999</v>
      </c>
    </row>
    <row r="708" spans="1:21">
      <c r="A708" s="91">
        <v>38397</v>
      </c>
      <c r="B708" s="86">
        <v>38397</v>
      </c>
      <c r="C708" s="93">
        <v>1.4549687181725601</v>
      </c>
      <c r="D708" s="85" t="s">
        <v>1686</v>
      </c>
      <c r="F708" s="91">
        <v>38397</v>
      </c>
      <c r="G708">
        <v>0.92100000000000004</v>
      </c>
      <c r="H708">
        <v>1.103</v>
      </c>
      <c r="I708">
        <v>0.81289999999999996</v>
      </c>
      <c r="J708">
        <v>1.1103000000000001</v>
      </c>
      <c r="K708">
        <v>1.1150100000000001</v>
      </c>
      <c r="L708">
        <v>1.1008599999999999</v>
      </c>
      <c r="M708">
        <v>1.0825</v>
      </c>
      <c r="N708">
        <v>0.80500000000000005</v>
      </c>
      <c r="O708">
        <v>0.98678999999999994</v>
      </c>
      <c r="P708">
        <v>0.94099999999999995</v>
      </c>
      <c r="Q708">
        <v>1.13588</v>
      </c>
      <c r="R708">
        <v>1.266</v>
      </c>
      <c r="S708">
        <v>0.88357000000000008</v>
      </c>
      <c r="T708">
        <v>1.10693</v>
      </c>
      <c r="U708">
        <v>1.1644600000000001</v>
      </c>
    </row>
    <row r="709" spans="1:21">
      <c r="A709" s="91">
        <v>38390</v>
      </c>
      <c r="B709" s="86">
        <v>38390</v>
      </c>
      <c r="C709" s="93">
        <v>1.4562399883500798</v>
      </c>
      <c r="D709" s="85" t="s">
        <v>1687</v>
      </c>
      <c r="F709" s="91">
        <v>38390</v>
      </c>
      <c r="G709">
        <v>0.93300000000000005</v>
      </c>
      <c r="H709">
        <v>1.115</v>
      </c>
      <c r="I709">
        <v>0.81865999999999994</v>
      </c>
      <c r="J709">
        <v>1.1268</v>
      </c>
      <c r="K709">
        <v>1.11772</v>
      </c>
      <c r="L709">
        <v>1.09446</v>
      </c>
      <c r="M709">
        <v>1.0871099999999998</v>
      </c>
      <c r="N709">
        <v>0.80500000000000005</v>
      </c>
      <c r="O709">
        <v>0.98802000000000001</v>
      </c>
      <c r="P709">
        <v>0.94099999999999995</v>
      </c>
      <c r="Q709">
        <v>1.1358699999999999</v>
      </c>
      <c r="R709">
        <v>1.2669999999999999</v>
      </c>
      <c r="S709">
        <v>0.87258000000000002</v>
      </c>
      <c r="T709">
        <v>1.11879</v>
      </c>
      <c r="U709">
        <v>1.1627100000000001</v>
      </c>
    </row>
    <row r="710" spans="1:21">
      <c r="A710" s="91">
        <v>38383</v>
      </c>
      <c r="B710" s="86">
        <v>38383</v>
      </c>
      <c r="C710" s="93">
        <v>1.44675925925926</v>
      </c>
      <c r="D710" s="85" t="s">
        <v>1688</v>
      </c>
      <c r="F710" s="91">
        <v>38383</v>
      </c>
      <c r="G710">
        <v>0.93500000000000005</v>
      </c>
      <c r="H710">
        <v>1.109</v>
      </c>
      <c r="I710">
        <v>0.80935999999999997</v>
      </c>
      <c r="J710">
        <v>1.1133</v>
      </c>
      <c r="K710">
        <v>1.1274300000000002</v>
      </c>
      <c r="L710">
        <v>1.1022000000000001</v>
      </c>
      <c r="M710">
        <v>1.0810200000000001</v>
      </c>
      <c r="N710">
        <v>0.79600000000000004</v>
      </c>
      <c r="O710">
        <v>0.98141</v>
      </c>
      <c r="P710">
        <v>0.94099999999999995</v>
      </c>
      <c r="Q710">
        <v>1.1321099999999999</v>
      </c>
      <c r="R710">
        <v>1.2689999999999999</v>
      </c>
      <c r="S710">
        <v>0.86146</v>
      </c>
      <c r="T710">
        <v>1.11469</v>
      </c>
      <c r="U710">
        <v>1.15076</v>
      </c>
    </row>
    <row r="711" spans="1:21">
      <c r="A711" s="91">
        <v>38376</v>
      </c>
      <c r="B711" s="86">
        <v>38376</v>
      </c>
      <c r="C711" s="93">
        <v>1.4376078205865399</v>
      </c>
      <c r="D711" s="85" t="s">
        <v>1689</v>
      </c>
      <c r="F711" s="91">
        <v>38376</v>
      </c>
      <c r="G711">
        <v>0.91900000000000004</v>
      </c>
      <c r="H711">
        <v>1.091</v>
      </c>
      <c r="I711">
        <v>0.80425000000000002</v>
      </c>
      <c r="J711">
        <v>1.0943000000000001</v>
      </c>
      <c r="K711">
        <v>1.10178</v>
      </c>
      <c r="L711">
        <v>1.08622</v>
      </c>
      <c r="M711">
        <v>1.05664</v>
      </c>
      <c r="N711">
        <v>0.78300000000000003</v>
      </c>
      <c r="O711">
        <v>0.97838999999999998</v>
      </c>
      <c r="P711">
        <v>0.94099999999999995</v>
      </c>
      <c r="Q711">
        <v>1.0900099999999999</v>
      </c>
      <c r="R711">
        <v>1.252</v>
      </c>
      <c r="S711">
        <v>0.85262000000000004</v>
      </c>
      <c r="T711">
        <v>1.1090899999999999</v>
      </c>
      <c r="U711">
        <v>1.1347</v>
      </c>
    </row>
    <row r="712" spans="1:21">
      <c r="A712" s="91">
        <v>38369</v>
      </c>
      <c r="B712" s="86">
        <v>38369</v>
      </c>
      <c r="C712" s="93">
        <v>1.4222727919214899</v>
      </c>
      <c r="D712" s="85" t="s">
        <v>1690</v>
      </c>
      <c r="F712" s="91">
        <v>38369</v>
      </c>
      <c r="G712">
        <v>0.91</v>
      </c>
      <c r="H712">
        <v>1.06867</v>
      </c>
      <c r="I712">
        <v>0.80720999999999998</v>
      </c>
      <c r="J712">
        <v>1.1113</v>
      </c>
      <c r="K712">
        <v>1.0980000000000001</v>
      </c>
      <c r="L712">
        <v>1.1429500000000001</v>
      </c>
      <c r="M712">
        <v>1.0382400000000001</v>
      </c>
      <c r="N712">
        <v>0.76700000000000002</v>
      </c>
      <c r="O712">
        <v>0.95934000000000008</v>
      </c>
      <c r="P712">
        <v>0.94099999999999995</v>
      </c>
      <c r="Q712">
        <v>1.0881400000000001</v>
      </c>
      <c r="R712">
        <v>1.248</v>
      </c>
      <c r="S712">
        <v>0.84413000000000005</v>
      </c>
      <c r="T712">
        <v>1.1035899999999998</v>
      </c>
      <c r="U712">
        <v>1.12266</v>
      </c>
    </row>
    <row r="713" spans="1:21">
      <c r="A713" s="91">
        <v>38362</v>
      </c>
      <c r="B713" s="86">
        <v>38362</v>
      </c>
      <c r="C713" s="93">
        <v>1.4330753797649798</v>
      </c>
      <c r="D713" s="85" t="s">
        <v>1691</v>
      </c>
      <c r="F713" s="91">
        <v>38362</v>
      </c>
      <c r="G713">
        <v>0.90700000000000003</v>
      </c>
      <c r="H713">
        <v>1.01033</v>
      </c>
      <c r="I713">
        <v>0.81845000000000001</v>
      </c>
      <c r="J713">
        <v>1.085</v>
      </c>
      <c r="K713">
        <v>1.0873199999999998</v>
      </c>
      <c r="L713">
        <v>1.1342000000000001</v>
      </c>
      <c r="M713">
        <v>1.02762</v>
      </c>
      <c r="N713">
        <v>0.748</v>
      </c>
      <c r="O713">
        <v>0.92847999999999997</v>
      </c>
      <c r="P713">
        <v>1.0089999999999999</v>
      </c>
      <c r="Q713">
        <v>1.0880000000000001</v>
      </c>
      <c r="R713">
        <v>1.218</v>
      </c>
      <c r="S713">
        <v>0.84060000000000001</v>
      </c>
      <c r="T713">
        <v>1.09256</v>
      </c>
      <c r="U713">
        <v>1.14411</v>
      </c>
    </row>
    <row r="714" spans="1:21" ht="15.75" thickBot="1">
      <c r="A714" s="92">
        <v>38355</v>
      </c>
      <c r="B714" s="86">
        <v>38355</v>
      </c>
      <c r="C714" s="93">
        <v>1.4139271827500899</v>
      </c>
      <c r="D714" s="85" t="s">
        <v>1692</v>
      </c>
      <c r="F714" s="92">
        <v>38355</v>
      </c>
      <c r="G714">
        <v>0.91600000000000004</v>
      </c>
      <c r="H714">
        <v>1.0493299999999999</v>
      </c>
      <c r="I714">
        <v>0.82796999999999998</v>
      </c>
      <c r="J714">
        <v>1.0923</v>
      </c>
      <c r="K714">
        <v>1.0447599999999999</v>
      </c>
      <c r="L714">
        <v>1.1120000000000001</v>
      </c>
      <c r="M714">
        <v>1.0151000000000001</v>
      </c>
      <c r="N714">
        <v>0.749</v>
      </c>
      <c r="O714">
        <v>0.9490599999999999</v>
      </c>
      <c r="P714">
        <v>1.0089999999999999</v>
      </c>
      <c r="Q714">
        <v>1.11575</v>
      </c>
      <c r="R714">
        <v>1.1930000000000001</v>
      </c>
      <c r="S714">
        <v>0.84141999999999995</v>
      </c>
      <c r="T714">
        <v>1.0695399999999999</v>
      </c>
      <c r="U714">
        <v>1.1476199999999999</v>
      </c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zoomScale="75" zoomScaleNormal="75" workbookViewId="0">
      <pane xSplit="1" ySplit="3" topLeftCell="B4" activePane="bottomRight" state="frozen"/>
      <selection activeCell="BN97" sqref="BN97"/>
      <selection pane="topRight" activeCell="BN97" sqref="BN97"/>
      <selection pane="bottomLeft" activeCell="BN97" sqref="BN97"/>
      <selection pane="bottomRight" activeCell="U56" sqref="U56"/>
    </sheetView>
  </sheetViews>
  <sheetFormatPr defaultRowHeight="15"/>
  <cols>
    <col min="1" max="1" width="6.7109375" customWidth="1"/>
    <col min="2" max="14" width="12.140625" customWidth="1"/>
    <col min="15" max="15" width="12.140625" style="3" customWidth="1"/>
    <col min="16" max="26" width="12.140625" customWidth="1"/>
  </cols>
  <sheetData>
    <row r="1" spans="1:28">
      <c r="B1" t="s">
        <v>228</v>
      </c>
    </row>
    <row r="3" spans="1:28">
      <c r="B3" s="4" t="s">
        <v>0</v>
      </c>
      <c r="C3" s="4" t="s">
        <v>219</v>
      </c>
      <c r="D3" s="4" t="s">
        <v>146</v>
      </c>
      <c r="E3" s="4" t="s">
        <v>150</v>
      </c>
      <c r="F3" s="4" t="s">
        <v>29</v>
      </c>
      <c r="G3" s="4" t="s">
        <v>124</v>
      </c>
      <c r="H3" s="4" t="s">
        <v>125</v>
      </c>
      <c r="I3" s="4" t="s">
        <v>220</v>
      </c>
      <c r="J3" s="4" t="s">
        <v>168</v>
      </c>
      <c r="K3" s="4" t="s">
        <v>170</v>
      </c>
      <c r="L3" s="4" t="s">
        <v>221</v>
      </c>
      <c r="M3" s="4" t="s">
        <v>171</v>
      </c>
      <c r="N3" s="4" t="s">
        <v>173</v>
      </c>
      <c r="O3" s="3" t="s">
        <v>222</v>
      </c>
      <c r="P3" s="21" t="s">
        <v>210</v>
      </c>
      <c r="Q3" s="4" t="s">
        <v>184</v>
      </c>
      <c r="R3" s="4" t="s">
        <v>186</v>
      </c>
      <c r="S3" s="4" t="s">
        <v>223</v>
      </c>
      <c r="T3" s="4" t="s">
        <v>224</v>
      </c>
      <c r="U3" s="4" t="s">
        <v>196</v>
      </c>
      <c r="V3" s="4" t="s">
        <v>211</v>
      </c>
      <c r="W3" s="4" t="s">
        <v>200</v>
      </c>
      <c r="X3" s="4" t="s">
        <v>225</v>
      </c>
      <c r="Y3" s="4" t="s">
        <v>212</v>
      </c>
      <c r="Z3" s="4" t="s">
        <v>226</v>
      </c>
      <c r="AA3" s="4" t="s">
        <v>1947</v>
      </c>
      <c r="AB3" s="4" t="s">
        <v>1950</v>
      </c>
    </row>
    <row r="4" spans="1:28">
      <c r="A4">
        <v>1965</v>
      </c>
      <c r="B4" s="3">
        <f>Australia!B44</f>
        <v>59.083812134136977</v>
      </c>
      <c r="C4" s="3">
        <f>Austria!B44</f>
        <v>82.900800859407525</v>
      </c>
      <c r="D4" s="3">
        <f>Belgium!B44</f>
        <v>94.224975837185241</v>
      </c>
      <c r="E4" s="3">
        <f>Britain!B44</f>
        <v>100.2833581441718</v>
      </c>
      <c r="F4" s="3">
        <f>Canada!B44</f>
        <v>59.405261701587762</v>
      </c>
      <c r="G4" s="6">
        <f t="shared" ref="G4:G17" si="0">R4</f>
        <v>74.231850610786594</v>
      </c>
      <c r="H4" s="3">
        <f>Denmark!B44</f>
        <v>99.591837606229035</v>
      </c>
      <c r="I4" s="3">
        <f>Finland!B44</f>
        <v>120.34002977300614</v>
      </c>
      <c r="J4" s="3">
        <f>France!B44</f>
        <v>131.40578950703161</v>
      </c>
      <c r="K4" s="3">
        <f>Germany!B44</f>
        <v>93.287937117792339</v>
      </c>
      <c r="L4" s="3">
        <f>Greece!B44</f>
        <v>116.88199774521</v>
      </c>
      <c r="M4" s="3">
        <f>Hungary!B44</f>
        <v>69.160926781312</v>
      </c>
      <c r="N4" s="3">
        <f>Ireland!B44</f>
        <v>110.65759734025444</v>
      </c>
      <c r="O4" s="3">
        <f>Israel!B44</f>
        <v>84.011053291760902</v>
      </c>
      <c r="P4" s="3">
        <f>Italy!B44</f>
        <v>121.7233570742799</v>
      </c>
      <c r="Q4" s="3">
        <f>Japan!B44</f>
        <v>94.750478277159075</v>
      </c>
      <c r="R4" s="3">
        <f>Korea!B44</f>
        <v>74.231850610786594</v>
      </c>
      <c r="S4" s="3">
        <f>Netherlands!B44</f>
        <v>96.133662465738723</v>
      </c>
      <c r="T4" s="3">
        <f>'New Zealand'!B44</f>
        <v>67.777742592732324</v>
      </c>
      <c r="U4" s="3">
        <f>Norway!B44</f>
        <v>103.74139017196799</v>
      </c>
      <c r="V4" s="3">
        <f>Spain!B44</f>
        <v>96.133662465738738</v>
      </c>
      <c r="W4" s="3">
        <f>Sweden!B44</f>
        <v>97.590029209386984</v>
      </c>
      <c r="X4" s="3">
        <f>Swiss!B44</f>
        <v>103.74139017196799</v>
      </c>
      <c r="Y4" s="3">
        <f>Turkey!B44</f>
        <v>74.693806648324724</v>
      </c>
      <c r="Z4" s="3">
        <f>USA!J52</f>
        <v>56.913983393390332</v>
      </c>
      <c r="AA4" s="3">
        <f>MEDIAN(B4:Z4)</f>
        <v>94.750478277159075</v>
      </c>
    </row>
    <row r="5" spans="1:28">
      <c r="A5">
        <v>1966</v>
      </c>
      <c r="B5" s="3">
        <f>Australia!B45</f>
        <v>60.322097268050783</v>
      </c>
      <c r="C5" s="3">
        <f>Austria!B45</f>
        <v>83.089776143262938</v>
      </c>
      <c r="D5" s="3">
        <f>Belgium!B45</f>
        <v>103.68707974919997</v>
      </c>
      <c r="E5" s="3">
        <f>Britain!B45</f>
        <v>107.44385868130522</v>
      </c>
      <c r="F5" s="3">
        <f>Canada!B45</f>
        <v>59.973954695155605</v>
      </c>
      <c r="G5" s="6">
        <f t="shared" si="0"/>
        <v>79.513858329668224</v>
      </c>
      <c r="H5" s="3">
        <f>Denmark!B45</f>
        <v>96.699530058252321</v>
      </c>
      <c r="I5" s="3">
        <f>Finland!B45</f>
        <v>128.26117427933775</v>
      </c>
      <c r="J5" s="3">
        <f>France!B45</f>
        <v>127.58954640587639</v>
      </c>
      <c r="K5" s="3">
        <f>Germany!B45</f>
        <v>90.578787264946442</v>
      </c>
      <c r="L5" s="3">
        <f>Greece!B45</f>
        <v>113.48765086629302</v>
      </c>
      <c r="M5" s="3">
        <f>Hungary!B45</f>
        <v>67.152483232162822</v>
      </c>
      <c r="N5" s="3">
        <f>Ireland!B45</f>
        <v>112.14453823206436</v>
      </c>
      <c r="O5" s="3">
        <f>Israel!B45</f>
        <v>84.011053291760902</v>
      </c>
      <c r="P5" s="3">
        <f>Italy!B45</f>
        <v>128.93265904010508</v>
      </c>
      <c r="Q5" s="3">
        <f>Japan!B45</f>
        <v>89.9842531124972</v>
      </c>
      <c r="R5" s="3">
        <f>Korea!B45</f>
        <v>79.513858329668224</v>
      </c>
      <c r="S5" s="3">
        <f>Netherlands!B45</f>
        <v>98.714127453248253</v>
      </c>
      <c r="T5" s="3">
        <f>'New Zealand'!B45</f>
        <v>65.809370597934134</v>
      </c>
      <c r="U5" s="3">
        <f>Norway!B45</f>
        <v>114.15913562706032</v>
      </c>
      <c r="V5" s="3">
        <f>Spain!B45</f>
        <v>93.341820029027716</v>
      </c>
      <c r="W5" s="3">
        <f>Sweden!B45</f>
        <v>101.07295930483009</v>
      </c>
      <c r="X5" s="3">
        <f>Swiss!B45</f>
        <v>107.44385868130522</v>
      </c>
      <c r="Y5" s="3">
        <f>Turkey!B45</f>
        <v>72.524647543689255</v>
      </c>
      <c r="Z5" s="3">
        <f>USA!J53</f>
        <v>56.910970160290695</v>
      </c>
      <c r="AA5" s="3">
        <f t="shared" ref="AA5:AA49" si="1">MEDIAN(B5:Z5)</f>
        <v>93.341820029027716</v>
      </c>
    </row>
    <row r="6" spans="1:28">
      <c r="A6">
        <v>1967</v>
      </c>
      <c r="B6" s="3">
        <f>Australia!B46</f>
        <v>60.795890454136526</v>
      </c>
      <c r="C6" s="3">
        <f>Austria!B46</f>
        <v>83.372270674472901</v>
      </c>
      <c r="D6" s="3">
        <f>Belgium!B46</f>
        <v>100.88682004954705</v>
      </c>
      <c r="E6" s="3">
        <f>Britain!B46</f>
        <v>89.514271025037758</v>
      </c>
      <c r="F6" s="3">
        <f>Canada!B46</f>
        <v>59.730509149707522</v>
      </c>
      <c r="G6" s="6">
        <f t="shared" si="0"/>
        <v>84.539953775451011</v>
      </c>
      <c r="H6" s="3">
        <f>Denmark!B46</f>
        <v>107.80908227667562</v>
      </c>
      <c r="I6" s="3">
        <f>Finland!B46</f>
        <v>103.88879624690195</v>
      </c>
      <c r="J6" s="3">
        <f>France!B46</f>
        <v>126.75734608962281</v>
      </c>
      <c r="K6" s="3">
        <f>Germany!B46</f>
        <v>88.132444803159416</v>
      </c>
      <c r="L6" s="3">
        <f>Greece!B46</f>
        <v>110.42260629652473</v>
      </c>
      <c r="M6" s="3">
        <f>Hungary!B46</f>
        <v>65.33881605969826</v>
      </c>
      <c r="N6" s="3">
        <f>Ireland!B46</f>
        <v>93.434557054811435</v>
      </c>
      <c r="O6" s="3">
        <f>Israel!B46</f>
        <v>84.011053291760902</v>
      </c>
      <c r="P6" s="3">
        <f>Italy!B46</f>
        <v>125.45058407969829</v>
      </c>
      <c r="Q6" s="3">
        <f>Japan!B46</f>
        <v>87.554056453803895</v>
      </c>
      <c r="R6" s="3">
        <f>Korea!B46</f>
        <v>84.539953775451011</v>
      </c>
      <c r="S6" s="3">
        <f>Netherlands!B46</f>
        <v>98.661748207203743</v>
      </c>
      <c r="T6" s="3">
        <f>'New Zealand'!B46</f>
        <v>69.912554650781246</v>
      </c>
      <c r="U6" s="3">
        <f>Norway!B46</f>
        <v>111.07605885783407</v>
      </c>
      <c r="V6" s="3">
        <f>Spain!B46</f>
        <v>90.821033034962312</v>
      </c>
      <c r="W6" s="3">
        <f>Sweden!B46</f>
        <v>104.48978763857623</v>
      </c>
      <c r="X6" s="3">
        <f>Swiss!B46</f>
        <v>111.07605885783407</v>
      </c>
      <c r="Y6" s="3">
        <f>Turkey!B46</f>
        <v>77.753269823022677</v>
      </c>
      <c r="Z6" s="3">
        <f>USA!J54</f>
        <v>57.238209222875447</v>
      </c>
      <c r="AA6" s="3">
        <f t="shared" si="1"/>
        <v>89.514271025037758</v>
      </c>
    </row>
    <row r="7" spans="1:28">
      <c r="A7">
        <v>1968</v>
      </c>
      <c r="B7" s="3">
        <f>Australia!B47</f>
        <v>59.444406777716871</v>
      </c>
      <c r="C7" s="3">
        <f>Austria!B47</f>
        <v>79.998107297288357</v>
      </c>
      <c r="D7" s="3">
        <f>Belgium!B47</f>
        <v>96.803871647476939</v>
      </c>
      <c r="E7" s="3">
        <f>Britain!B47</f>
        <v>98.430478093520918</v>
      </c>
      <c r="F7" s="3">
        <f>Canada!B47</f>
        <v>59.039398921551168</v>
      </c>
      <c r="G7" s="6">
        <f t="shared" si="0"/>
        <v>86.794209020539569</v>
      </c>
      <c r="H7" s="3">
        <f>Denmark!B47</f>
        <v>104.69995899712126</v>
      </c>
      <c r="I7" s="3">
        <f>Finland!B47</f>
        <v>99.684431519318636</v>
      </c>
      <c r="J7" s="3">
        <f>France!B47</f>
        <v>127.89695247282611</v>
      </c>
      <c r="K7" s="3">
        <f>Germany!B47</f>
        <v>84.565792765111553</v>
      </c>
      <c r="L7" s="3">
        <f>Greece!B47</f>
        <v>105.95136501696381</v>
      </c>
      <c r="M7" s="3">
        <f>Hungary!B47</f>
        <v>62.708834080026421</v>
      </c>
      <c r="N7" s="3">
        <f>Ireland!B47</f>
        <v>102.75634549840427</v>
      </c>
      <c r="O7" s="3">
        <f>Israel!B47</f>
        <v>84.011053291760902</v>
      </c>
      <c r="P7" s="3">
        <f>Italy!B47</f>
        <v>120.37351814342807</v>
      </c>
      <c r="Q7" s="3">
        <f>Japan!B47</f>
        <v>83.383752547418894</v>
      </c>
      <c r="R7" s="3">
        <f>Korea!B47</f>
        <v>86.794209020539569</v>
      </c>
      <c r="S7" s="3">
        <f>Netherlands!B47</f>
        <v>97.803501380622052</v>
      </c>
      <c r="T7" s="3">
        <f>'New Zealand'!B47</f>
        <v>55.798208306810245</v>
      </c>
      <c r="U7" s="3">
        <f>Norway!B47</f>
        <v>106.58074602312375</v>
      </c>
      <c r="V7" s="3">
        <f>Spain!B47</f>
        <v>87.145469712117915</v>
      </c>
      <c r="W7" s="3">
        <f>Sweden!B47</f>
        <v>100.26102503844625</v>
      </c>
      <c r="X7" s="3">
        <f>Swiss!B47</f>
        <v>87.772446425016796</v>
      </c>
      <c r="Y7" s="3">
        <f>Turkey!B47</f>
        <v>78.995201782515096</v>
      </c>
      <c r="Z7" s="3">
        <f>USA!J55</f>
        <v>55.832693243194839</v>
      </c>
      <c r="AA7" s="3">
        <f t="shared" si="1"/>
        <v>87.145469712117915</v>
      </c>
    </row>
    <row r="8" spans="1:28">
      <c r="A8">
        <v>1969</v>
      </c>
      <c r="B8" s="3">
        <f>Australia!B48</f>
        <v>57.055869418094197</v>
      </c>
      <c r="C8" s="3">
        <f>Austria!B48</f>
        <v>75.888932439046769</v>
      </c>
      <c r="D8" s="3">
        <f>Belgium!B48</f>
        <v>91.831438163258326</v>
      </c>
      <c r="E8" s="3">
        <f>Britain!B48</f>
        <v>96.942964750934578</v>
      </c>
      <c r="F8" s="3">
        <f>Canada!B48</f>
        <v>58.024318747757803</v>
      </c>
      <c r="G8" s="6">
        <f t="shared" si="0"/>
        <v>87.875517588215757</v>
      </c>
      <c r="H8" s="3">
        <f>Denmark!B48</f>
        <v>101.82339384549672</v>
      </c>
      <c r="I8" s="3">
        <f>Finland!B48</f>
        <v>94.564002436732864</v>
      </c>
      <c r="J8" s="3">
        <f>France!B48</f>
        <v>113.59570095034661</v>
      </c>
      <c r="K8" s="3">
        <f>Germany!B48</f>
        <v>80.222025062841382</v>
      </c>
      <c r="L8" s="3">
        <f>Greece!B48</f>
        <v>100.51147977858422</v>
      </c>
      <c r="M8" s="3">
        <f>Hungary!B48</f>
        <v>59.474200967736991</v>
      </c>
      <c r="N8" s="3">
        <f>Ireland!B48</f>
        <v>101.22518278411414</v>
      </c>
      <c r="O8" s="3">
        <f>Israel!B48</f>
        <v>84.011053291760902</v>
      </c>
      <c r="P8" s="3">
        <f>Italy!B48</f>
        <v>123.70632656387738</v>
      </c>
      <c r="Q8" s="3">
        <f>Japan!B48</f>
        <v>79.100675838074665</v>
      </c>
      <c r="R8" s="3">
        <f>Korea!B48</f>
        <v>87.875517588215757</v>
      </c>
      <c r="S8" s="3">
        <f>Netherlands!B48</f>
        <v>93.374449723284968</v>
      </c>
      <c r="T8" s="3">
        <f>'New Zealand'!B48</f>
        <v>52.932090381855787</v>
      </c>
      <c r="U8" s="3">
        <f>Norway!B48</f>
        <v>101.10611302261407</v>
      </c>
      <c r="V8" s="3">
        <f>Spain!B48</f>
        <v>82.669190865724275</v>
      </c>
      <c r="W8" s="3">
        <f>Sweden!B48</f>
        <v>89.516325032748284</v>
      </c>
      <c r="X8" s="3">
        <f>Swiss!B48</f>
        <v>77.316489880596919</v>
      </c>
      <c r="Y8" s="3">
        <f>Turkey!B48</f>
        <v>74.93752756639519</v>
      </c>
      <c r="Z8" s="3">
        <f>USA!J56</f>
        <v>54.740256681038247</v>
      </c>
      <c r="AA8" s="3">
        <f t="shared" si="1"/>
        <v>87.875517588215757</v>
      </c>
    </row>
    <row r="9" spans="1:28">
      <c r="A9">
        <v>1970</v>
      </c>
      <c r="B9" s="3">
        <f>Australia!B49</f>
        <v>57.530935276684552</v>
      </c>
      <c r="C9" s="3">
        <f>Austria!B49</f>
        <v>70.578394941712517</v>
      </c>
      <c r="D9" s="3">
        <f>Belgium!B49</f>
        <v>89.779890150464297</v>
      </c>
      <c r="E9" s="3">
        <f>Britain!B49</f>
        <v>96.600782299315966</v>
      </c>
      <c r="F9" s="3">
        <f>Canada!B49</f>
        <v>58.03321289425628</v>
      </c>
      <c r="G9" s="6">
        <f t="shared" si="0"/>
        <v>88.578853006569673</v>
      </c>
      <c r="H9" s="3">
        <f>Denmark!B49</f>
        <v>102.77867107868548</v>
      </c>
      <c r="I9" s="3">
        <f>Finland!B49</f>
        <v>90.422750407252323</v>
      </c>
      <c r="J9" s="3">
        <f>France!B49</f>
        <v>108.39498564636476</v>
      </c>
      <c r="K9" s="3">
        <f>Germany!B49</f>
        <v>75.755954025907428</v>
      </c>
      <c r="L9" s="3">
        <f>Greece!B49</f>
        <v>94.915916551551035</v>
      </c>
      <c r="M9" s="3">
        <f>Hungary!B49</f>
        <v>56.163288789486579</v>
      </c>
      <c r="N9" s="3">
        <f>Ireland!B49</f>
        <v>100.86911840116679</v>
      </c>
      <c r="O9" s="3">
        <f>Israel!B49</f>
        <v>84.080748934245477</v>
      </c>
      <c r="P9" s="3">
        <f>Italy!B49</f>
        <v>137.03827580914535</v>
      </c>
      <c r="Q9" s="3">
        <f>Japan!B49</f>
        <v>78.066972848513274</v>
      </c>
      <c r="R9" s="3">
        <f>Korea!B49</f>
        <v>88.578853006569673</v>
      </c>
      <c r="S9" s="3">
        <f>Netherlands!B49</f>
        <v>98.285648047080912</v>
      </c>
      <c r="T9" s="3">
        <f>'New Zealand'!B49</f>
        <v>49.985256897422929</v>
      </c>
      <c r="U9" s="3">
        <f>Norway!B49</f>
        <v>112.32643446627901</v>
      </c>
      <c r="V9" s="3">
        <f>Spain!B49</f>
        <v>78.066972848513274</v>
      </c>
      <c r="W9" s="3">
        <f>Sweden!B49</f>
        <v>100.38272767097997</v>
      </c>
      <c r="X9" s="3">
        <f>Swiss!B49</f>
        <v>78.628547060203545</v>
      </c>
      <c r="Y9" s="3">
        <f>Turkey!B49</f>
        <v>79.209463342596607</v>
      </c>
      <c r="Z9" s="3">
        <f>USA!J57</f>
        <v>52.953982664771047</v>
      </c>
      <c r="AA9" s="3">
        <f t="shared" si="1"/>
        <v>88.578853006569673</v>
      </c>
    </row>
    <row r="10" spans="1:28">
      <c r="A10">
        <v>1971</v>
      </c>
      <c r="B10" s="3">
        <f>Australia!B50</f>
        <v>59.944973328454871</v>
      </c>
      <c r="C10" s="3">
        <f>Austria!B50</f>
        <v>67.69728274436747</v>
      </c>
      <c r="D10" s="3">
        <f>Belgium!B50</f>
        <v>100.79349105802541</v>
      </c>
      <c r="E10" s="3">
        <f>Britain!B50</f>
        <v>101.27656024129985</v>
      </c>
      <c r="F10" s="3">
        <f>Canada!B50</f>
        <v>59.634716867733275</v>
      </c>
      <c r="G10" s="6">
        <f t="shared" si="0"/>
        <v>86.808062942873008</v>
      </c>
      <c r="H10" s="3">
        <f>Denmark!B50</f>
        <v>104.5089035504835</v>
      </c>
      <c r="I10" s="3">
        <f>Finland!B50</f>
        <v>99.121855518769564</v>
      </c>
      <c r="J10" s="3">
        <f>France!B50</f>
        <v>116.89902815580912</v>
      </c>
      <c r="K10" s="3">
        <f>Germany!B50</f>
        <v>93.424442530776702</v>
      </c>
      <c r="L10" s="3">
        <f>Greece!B50</f>
        <v>91.041283471198625</v>
      </c>
      <c r="M10" s="3">
        <f>Hungary!B50</f>
        <v>64.644719493261476</v>
      </c>
      <c r="N10" s="3">
        <f>Ireland!B50</f>
        <v>105.7478301433996</v>
      </c>
      <c r="O10" s="3">
        <f>Israel!B50</f>
        <v>80.046687878458812</v>
      </c>
      <c r="P10" s="3">
        <f>Italy!B50</f>
        <v>139.5247157566242</v>
      </c>
      <c r="Q10" s="3">
        <f>Japan!B50</f>
        <v>91.579959651831203</v>
      </c>
      <c r="R10" s="3">
        <f>Korea!B50</f>
        <v>86.808062942873008</v>
      </c>
      <c r="S10" s="3">
        <f>Netherlands!B50</f>
        <v>116.89902815580912</v>
      </c>
      <c r="T10" s="3">
        <f>'New Zealand'!B50</f>
        <v>51.176956301282509</v>
      </c>
      <c r="U10" s="3">
        <f>Norway!B50</f>
        <v>118.51519981040096</v>
      </c>
      <c r="V10" s="3">
        <f>Spain!B50</f>
        <v>86.73158780074985</v>
      </c>
      <c r="W10" s="3">
        <f>Sweden!B50</f>
        <v>101.35257918068473</v>
      </c>
      <c r="X10" s="3">
        <f>Swiss!B50</f>
        <v>91.579959651831203</v>
      </c>
      <c r="Y10" s="3">
        <f>Turkey!B50</f>
        <v>88.132110940544209</v>
      </c>
      <c r="Z10" s="3">
        <f>USA!J58</f>
        <v>51.845425401890523</v>
      </c>
      <c r="AA10" s="3">
        <f t="shared" si="1"/>
        <v>91.579959651831203</v>
      </c>
    </row>
    <row r="11" spans="1:28">
      <c r="A11">
        <v>1972</v>
      </c>
      <c r="B11" s="3">
        <f>Australia!B51</f>
        <v>62.785200051748973</v>
      </c>
      <c r="C11" s="3">
        <f>Austria!B51</f>
        <v>76.217633225606463</v>
      </c>
      <c r="D11" s="3">
        <f>Belgium!B51</f>
        <v>92.074119538148125</v>
      </c>
      <c r="E11" s="3">
        <f>Britain!B51</f>
        <v>92.362356750534275</v>
      </c>
      <c r="F11" s="3">
        <f>Canada!B51</f>
        <v>59.573135114235619</v>
      </c>
      <c r="G11" s="6">
        <f t="shared" si="0"/>
        <v>83.078208696668909</v>
      </c>
      <c r="H11" s="3">
        <f>Denmark!B51</f>
        <v>107.005218273856</v>
      </c>
      <c r="I11" s="3">
        <f>Finland!B51</f>
        <v>90.109619832538186</v>
      </c>
      <c r="J11" s="3">
        <f>France!B51</f>
        <v>113.76342902784427</v>
      </c>
      <c r="K11" s="3">
        <f>Germany!B51</f>
        <v>97.669760874591489</v>
      </c>
      <c r="L11" s="3">
        <f>Greece!B51</f>
        <v>101.37330442251866</v>
      </c>
      <c r="M11" s="3">
        <f>Hungary!B51</f>
        <v>56.318566062596645</v>
      </c>
      <c r="N11" s="3">
        <f>Ireland!B51</f>
        <v>96.471551536534022</v>
      </c>
      <c r="O11" s="3">
        <f>Israel!B51</f>
        <v>75.336411109733419</v>
      </c>
      <c r="P11" s="3">
        <f>Italy!B51</f>
        <v>146.99104812107208</v>
      </c>
      <c r="Q11" s="3">
        <f>Japan!B51</f>
        <v>90.109619832538186</v>
      </c>
      <c r="R11" s="3">
        <f>Korea!B51</f>
        <v>83.078208696668909</v>
      </c>
      <c r="S11" s="3">
        <f>Netherlands!B51</f>
        <v>121.08478823315814</v>
      </c>
      <c r="T11" s="3">
        <f>'New Zealand'!B51</f>
        <v>67.582250652577159</v>
      </c>
      <c r="U11" s="3">
        <f>Norway!B51</f>
        <v>112.63698901249919</v>
      </c>
      <c r="V11" s="3">
        <f>Spain!B51</f>
        <v>78.845935242557672</v>
      </c>
      <c r="W11" s="3">
        <f>Sweden!B51</f>
        <v>95.36235945215698</v>
      </c>
      <c r="X11" s="3">
        <f>Swiss!B51</f>
        <v>95.741533683875488</v>
      </c>
      <c r="Y11" s="3">
        <f>Turkey!B51</f>
        <v>71.485530972649286</v>
      </c>
      <c r="Z11" s="3">
        <f>USA!J59</f>
        <v>49.773172249614497</v>
      </c>
      <c r="AA11" s="3">
        <f t="shared" si="1"/>
        <v>90.109619832538186</v>
      </c>
    </row>
    <row r="12" spans="1:28">
      <c r="A12">
        <v>1973</v>
      </c>
      <c r="B12" s="3">
        <f>Australia!B52</f>
        <v>76.358119525365197</v>
      </c>
      <c r="C12" s="3">
        <f>Austria!B52</f>
        <v>113.89592927958238</v>
      </c>
      <c r="D12" s="3">
        <f>Belgium!B52</f>
        <v>117.71684488972517</v>
      </c>
      <c r="E12" s="3">
        <f>Britain!B52</f>
        <v>94.258886172888921</v>
      </c>
      <c r="F12" s="3">
        <f>Canada!B52</f>
        <v>59.240090417377523</v>
      </c>
      <c r="G12" s="6">
        <f t="shared" si="0"/>
        <v>80.382078594591675</v>
      </c>
      <c r="H12" s="3">
        <f>Denmark!B52</f>
        <v>135.49709520626752</v>
      </c>
      <c r="I12" s="3">
        <f>Finland!B52</f>
        <v>117.8235361597641</v>
      </c>
      <c r="J12" s="3">
        <f>France!B52</f>
        <v>129.60586115320169</v>
      </c>
      <c r="K12" s="3">
        <f>Germany!B52</f>
        <v>124.87087738620446</v>
      </c>
      <c r="L12" s="3">
        <f>Greece!B52</f>
        <v>111.93230210669822</v>
      </c>
      <c r="M12" s="3">
        <f>Hungary!B52</f>
        <v>58.911768079882052</v>
      </c>
      <c r="N12" s="3">
        <f>Ireland!B52</f>
        <v>98.431766107767899</v>
      </c>
      <c r="O12" s="3">
        <f>Israel!B52</f>
        <v>84.712094386676824</v>
      </c>
      <c r="P12" s="3">
        <f>Italy!B52</f>
        <v>159.06117274236627</v>
      </c>
      <c r="Q12" s="3">
        <f>Japan!B52</f>
        <v>88.367652119823063</v>
      </c>
      <c r="R12" s="3">
        <f>Korea!B52</f>
        <v>80.382078594591675</v>
      </c>
      <c r="S12" s="3">
        <f>Netherlands!B52</f>
        <v>164.95312235890265</v>
      </c>
      <c r="T12" s="3">
        <f>'New Zealand'!B52</f>
        <v>82.476418066757233</v>
      </c>
      <c r="U12" s="3">
        <f>Norway!B52</f>
        <v>141.38818614663927</v>
      </c>
      <c r="V12" s="3">
        <f>Spain!B52</f>
        <v>94.258886172888921</v>
      </c>
      <c r="W12" s="3">
        <f>Sweden!B52</f>
        <v>99.753481980202622</v>
      </c>
      <c r="X12" s="3">
        <f>Swiss!B52</f>
        <v>111.93230210669822</v>
      </c>
      <c r="Y12" s="3">
        <f>Turkey!B52</f>
        <v>66.468648381779389</v>
      </c>
      <c r="Z12" s="3">
        <f>USA!J60</f>
        <v>50.217618258960364</v>
      </c>
      <c r="AA12" s="3">
        <f t="shared" si="1"/>
        <v>98.431766107767899</v>
      </c>
    </row>
    <row r="13" spans="1:28">
      <c r="A13">
        <v>1974</v>
      </c>
      <c r="B13" s="3">
        <f>Australia!B53</f>
        <v>81.806584401905653</v>
      </c>
      <c r="C13" s="3">
        <f>Austria!B53</f>
        <v>140.78658647229972</v>
      </c>
      <c r="D13" s="3">
        <f>Belgium!B53</f>
        <v>122.48234278271477</v>
      </c>
      <c r="E13" s="3">
        <f>Britain!B53</f>
        <v>161.82324773870221</v>
      </c>
      <c r="F13" s="3">
        <f>Canada!B53</f>
        <v>63.420174840331633</v>
      </c>
      <c r="G13" s="6">
        <f t="shared" si="0"/>
        <v>109.38081569026473</v>
      </c>
      <c r="H13" s="3">
        <f>Denmark!B53</f>
        <v>167.21716517973351</v>
      </c>
      <c r="I13" s="3">
        <f>Finland!B53</f>
        <v>145.64149541560846</v>
      </c>
      <c r="J13" s="3">
        <f>France!B53</f>
        <v>161.82324773870221</v>
      </c>
      <c r="K13" s="3">
        <f>Germany!B53</f>
        <v>145.51752792647778</v>
      </c>
      <c r="L13" s="3">
        <f>Greece!B53</f>
        <v>194.18818351183089</v>
      </c>
      <c r="M13" s="3">
        <f>Hungary!B53</f>
        <v>64.729299095480883</v>
      </c>
      <c r="N13" s="3">
        <f>Ireland!B53</f>
        <v>168.98603807894139</v>
      </c>
      <c r="O13" s="3">
        <f>Israel!B53</f>
        <v>111.43235756662887</v>
      </c>
      <c r="P13" s="3">
        <f>Italy!B53</f>
        <v>199.58210095286216</v>
      </c>
      <c r="Q13" s="3">
        <f>Japan!B53</f>
        <v>161.82324773870221</v>
      </c>
      <c r="R13" s="3">
        <f>Korea!B53</f>
        <v>109.38081569026473</v>
      </c>
      <c r="S13" s="3">
        <f>Netherlands!B53</f>
        <v>194.18818351183094</v>
      </c>
      <c r="T13" s="3">
        <f>'New Zealand'!B53</f>
        <v>86.305684423076485</v>
      </c>
      <c r="U13" s="3">
        <f>Norway!B53</f>
        <v>167.21716517973348</v>
      </c>
      <c r="V13" s="3">
        <f>Spain!B53</f>
        <v>134.85265874468715</v>
      </c>
      <c r="W13" s="3">
        <f>Sweden!B53</f>
        <v>131.93090411201243</v>
      </c>
      <c r="X13" s="3">
        <f>Swiss!B53</f>
        <v>167.21716517973348</v>
      </c>
      <c r="Y13" s="3">
        <f>Turkey!B53</f>
        <v>106.50561589425678</v>
      </c>
      <c r="Z13" s="3">
        <f>USA!J61</f>
        <v>61.217272002798971</v>
      </c>
      <c r="AA13" s="3">
        <f t="shared" si="1"/>
        <v>140.78658647229972</v>
      </c>
    </row>
    <row r="14" spans="1:28">
      <c r="A14">
        <v>1975</v>
      </c>
      <c r="B14" s="3">
        <f>Australia!B54</f>
        <v>81.015681615978892</v>
      </c>
      <c r="C14" s="3">
        <f>Austria!B54</f>
        <v>119.13605065723698</v>
      </c>
      <c r="D14" s="3">
        <f>Belgium!B54</f>
        <v>133.4656572626651</v>
      </c>
      <c r="E14" s="3">
        <f>Britain!B54</f>
        <v>132.72471609595556</v>
      </c>
      <c r="F14" s="3">
        <f>Canada!B54</f>
        <v>63.174903158793946</v>
      </c>
      <c r="G14" s="6">
        <f t="shared" si="0"/>
        <v>104.44492518506495</v>
      </c>
      <c r="H14" s="3">
        <f>Denmark!B54</f>
        <v>142.20507340462296</v>
      </c>
      <c r="I14" s="3">
        <f>Finland!B54</f>
        <v>127.98453744162184</v>
      </c>
      <c r="J14" s="3">
        <f>France!B54</f>
        <v>156.4250369168476</v>
      </c>
      <c r="K14" s="3">
        <f>Germany!B54</f>
        <v>123.30878665519414</v>
      </c>
      <c r="L14" s="3">
        <f>Greece!B54</f>
        <v>175.38603775957071</v>
      </c>
      <c r="M14" s="3">
        <f>Hungary!B54</f>
        <v>56.882000739310357</v>
      </c>
      <c r="N14" s="3">
        <f>Ireland!B54</f>
        <v>138.59934907650455</v>
      </c>
      <c r="O14" s="3">
        <f>Israel!B54</f>
        <v>98.218292382424352</v>
      </c>
      <c r="P14" s="3">
        <f>Italy!B54</f>
        <v>184.86725374440277</v>
      </c>
      <c r="Q14" s="3">
        <f>Japan!B54</f>
        <v>132.72471609595556</v>
      </c>
      <c r="R14" s="3">
        <f>Korea!B54</f>
        <v>104.44492518506495</v>
      </c>
      <c r="S14" s="3">
        <f>Netherlands!B54</f>
        <v>156.42503691684766</v>
      </c>
      <c r="T14" s="3">
        <f>'New Zealand'!B54</f>
        <v>80.582894010978876</v>
      </c>
      <c r="U14" s="3">
        <f>Norway!B54</f>
        <v>151.68514448790216</v>
      </c>
      <c r="V14" s="3">
        <f>Spain!B54</f>
        <v>142.20507340462296</v>
      </c>
      <c r="W14" s="3">
        <f>Sweden!B54</f>
        <v>115.93656643704352</v>
      </c>
      <c r="X14" s="3">
        <f>Swiss!B54</f>
        <v>146.94525205895667</v>
      </c>
      <c r="Y14" s="3">
        <f>Turkey!B54</f>
        <v>93.59364240282089</v>
      </c>
      <c r="Z14" s="3">
        <f>USA!J62</f>
        <v>61.242910907524561</v>
      </c>
      <c r="AA14" s="3">
        <f t="shared" si="1"/>
        <v>127.98453744162184</v>
      </c>
    </row>
    <row r="15" spans="1:28">
      <c r="A15">
        <v>1976</v>
      </c>
      <c r="B15" s="3">
        <f>Australia!B55</f>
        <v>77.897896794671794</v>
      </c>
      <c r="C15" s="3">
        <f>Austria!B55</f>
        <v>128.8951161396777</v>
      </c>
      <c r="D15" s="3">
        <f>Belgium!B55</f>
        <v>141.29333396104033</v>
      </c>
      <c r="E15" s="3">
        <f>Britain!B55</f>
        <v>111.11655975026741</v>
      </c>
      <c r="F15" s="3">
        <f>Canada!B55</f>
        <v>68.940922500739561</v>
      </c>
      <c r="G15" s="6">
        <f t="shared" si="0"/>
        <v>110.83619717142061</v>
      </c>
      <c r="H15" s="3">
        <f>Denmark!B55</f>
        <v>173.34238848767035</v>
      </c>
      <c r="I15" s="3">
        <f>Finland!B55</f>
        <v>164.45222792951535</v>
      </c>
      <c r="J15" s="3">
        <f>France!B55</f>
        <v>160.00857877737891</v>
      </c>
      <c r="K15" s="3">
        <f>Germany!B55</f>
        <v>132.75082470604821</v>
      </c>
      <c r="L15" s="3">
        <f>Greece!B55</f>
        <v>177.78603763980666</v>
      </c>
      <c r="M15" s="3">
        <f>Hungary!B55</f>
        <v>53.335954404636119</v>
      </c>
      <c r="N15" s="3">
        <f>Ireland!B55</f>
        <v>133.33995756793732</v>
      </c>
      <c r="O15" s="3">
        <f>Israel!B55</f>
        <v>98.553350273146222</v>
      </c>
      <c r="P15" s="3">
        <f>Italy!B55</f>
        <v>217.78889789762198</v>
      </c>
      <c r="Q15" s="3">
        <f>Japan!B55</f>
        <v>155.56349849830141</v>
      </c>
      <c r="R15" s="3">
        <f>Korea!B55</f>
        <v>110.83619717142061</v>
      </c>
      <c r="S15" s="3">
        <f>Netherlands!B55</f>
        <v>168.89730820859282</v>
      </c>
      <c r="T15" s="3">
        <f>'New Zealand'!B55</f>
        <v>97.782606927281918</v>
      </c>
      <c r="U15" s="3">
        <f>Norway!B55</f>
        <v>164.45222792951532</v>
      </c>
      <c r="V15" s="3">
        <f>Spain!B55</f>
        <v>146.67333794014641</v>
      </c>
      <c r="W15" s="3">
        <f>Sweden!B55</f>
        <v>133.79575462734147</v>
      </c>
      <c r="X15" s="3">
        <f>Swiss!B55</f>
        <v>146.67333794014644</v>
      </c>
      <c r="Y15" s="3">
        <f>Turkey!B55</f>
        <v>81.490433336136221</v>
      </c>
      <c r="Z15" s="3">
        <f>USA!J63</f>
        <v>60.197547472460812</v>
      </c>
      <c r="AA15" s="3">
        <f t="shared" si="1"/>
        <v>133.33995756793732</v>
      </c>
    </row>
    <row r="16" spans="1:28">
      <c r="A16">
        <v>1977</v>
      </c>
      <c r="B16" s="3">
        <f>Australia!B56</f>
        <v>70.27048293562062</v>
      </c>
      <c r="C16" s="3">
        <f>Austria!B56</f>
        <v>151.51363150169246</v>
      </c>
      <c r="D16" s="3">
        <f>Belgium!B56</f>
        <v>150.2687752765967</v>
      </c>
      <c r="E16" s="3">
        <f>Britain!B56</f>
        <v>108.84579063281336</v>
      </c>
      <c r="F16" s="3">
        <f>Canada!B56</f>
        <v>65.632155557485277</v>
      </c>
      <c r="G16" s="6">
        <f t="shared" si="0"/>
        <v>113.91093435376231</v>
      </c>
      <c r="H16" s="3">
        <f>Denmark!B56</f>
        <v>169.79891818149002</v>
      </c>
      <c r="I16" s="3">
        <f>Finland!B56</f>
        <v>156.73845371695009</v>
      </c>
      <c r="J16" s="3">
        <f>France!B56</f>
        <v>165.44543002664335</v>
      </c>
      <c r="K16" s="3">
        <f>Germany!B56</f>
        <v>167.79135056637631</v>
      </c>
      <c r="L16" s="3">
        <f>Greece!B56</f>
        <v>161.09194187179671</v>
      </c>
      <c r="M16" s="3">
        <f>Hungary!B56</f>
        <v>64.048082671514095</v>
      </c>
      <c r="N16" s="3">
        <f>Ireland!B56</f>
        <v>139.3226406325399</v>
      </c>
      <c r="O16" s="3">
        <f>Israel!B56</f>
        <v>97.975023315989205</v>
      </c>
      <c r="P16" s="3">
        <f>Italy!B56</f>
        <v>204.62968567414558</v>
      </c>
      <c r="Q16" s="3">
        <f>Japan!B56</f>
        <v>165.44543002664335</v>
      </c>
      <c r="R16" s="3">
        <f>Korea!B56</f>
        <v>113.91093435376231</v>
      </c>
      <c r="S16" s="3">
        <f>Netherlands!B56</f>
        <v>165.44543002664335</v>
      </c>
      <c r="T16" s="3">
        <f>'New Zealand'!B56</f>
        <v>108.84579063281336</v>
      </c>
      <c r="U16" s="3">
        <f>Norway!B56</f>
        <v>187.21430192781781</v>
      </c>
      <c r="V16" s="3">
        <f>Spain!B56</f>
        <v>126.30410818737433</v>
      </c>
      <c r="W16" s="3">
        <f>Sweden!B56</f>
        <v>126.96586751041437</v>
      </c>
      <c r="X16" s="3">
        <f>Swiss!B56</f>
        <v>165.44543002664335</v>
      </c>
      <c r="Y16" s="3">
        <f>Turkey!B56</f>
        <v>141.22920095562978</v>
      </c>
      <c r="Z16" s="3">
        <f>USA!J64</f>
        <v>58.935660728925413</v>
      </c>
      <c r="AA16" s="3">
        <f t="shared" si="1"/>
        <v>141.22920095562978</v>
      </c>
    </row>
    <row r="17" spans="1:27">
      <c r="A17">
        <v>1978</v>
      </c>
      <c r="B17" s="3">
        <f>Australia!B57</f>
        <v>75.310251010481096</v>
      </c>
      <c r="C17" s="3">
        <f>Austria!B57</f>
        <v>155.74274894492873</v>
      </c>
      <c r="D17" s="3">
        <f>Belgium!B57</f>
        <v>153.01275161506734</v>
      </c>
      <c r="E17" s="3">
        <f>Britain!B57</f>
        <v>106.96285691639925</v>
      </c>
      <c r="F17" s="3">
        <f>Canada!B57</f>
        <v>59.351294906992585</v>
      </c>
      <c r="G17" s="6">
        <f t="shared" si="0"/>
        <v>116.75753403825837</v>
      </c>
      <c r="H17" s="3">
        <f>Denmark!B57</f>
        <v>167.12986643632598</v>
      </c>
      <c r="I17" s="3">
        <f>Finland!B57</f>
        <v>161.78174505741015</v>
      </c>
      <c r="J17" s="3">
        <f>France!B57</f>
        <v>204.2318323845179</v>
      </c>
      <c r="K17" s="3">
        <f>Germany!B57</f>
        <v>148.78538478277099</v>
      </c>
      <c r="L17" s="3">
        <f>Greece!B57</f>
        <v>186.51591198055777</v>
      </c>
      <c r="M17" s="3">
        <f>Hungary!B57</f>
        <v>72.467259353350869</v>
      </c>
      <c r="N17" s="3">
        <f>Ireland!B57</f>
        <v>128.35534243206263</v>
      </c>
      <c r="O17" s="3">
        <f>Israel!B57</f>
        <v>84.037570861722642</v>
      </c>
      <c r="P17" s="3">
        <f>Italy!B57</f>
        <v>196.87870216111153</v>
      </c>
      <c r="Q17" s="3">
        <f>Japan!B57</f>
        <v>174.81788036395133</v>
      </c>
      <c r="R17" s="3">
        <f>Korea!B57</f>
        <v>116.75753403825837</v>
      </c>
      <c r="S17" s="3">
        <f>Netherlands!B57</f>
        <v>166.46153015482915</v>
      </c>
      <c r="T17" s="3">
        <f>'New Zealand'!B57</f>
        <v>105.96006626876576</v>
      </c>
      <c r="U17" s="3">
        <f>Norway!B57</f>
        <v>166.79498273210703</v>
      </c>
      <c r="V17" s="3">
        <f>Spain!B57</f>
        <v>147.74238976515318</v>
      </c>
      <c r="W17" s="3">
        <f>Sweden!B57</f>
        <v>129.54881740841492</v>
      </c>
      <c r="X17" s="3">
        <f>Swiss!B57</f>
        <v>171.47476782952603</v>
      </c>
      <c r="Y17" s="3">
        <f>Turkey!B57</f>
        <v>171.59651883971182</v>
      </c>
      <c r="Z17" s="3">
        <f>USA!J65</f>
        <v>55.631824461272785</v>
      </c>
      <c r="AA17" s="3">
        <f t="shared" si="1"/>
        <v>148.78538478277099</v>
      </c>
    </row>
    <row r="18" spans="1:27">
      <c r="A18">
        <v>1979</v>
      </c>
      <c r="B18" s="3">
        <f>Australia!B58</f>
        <v>90.07063624834646</v>
      </c>
      <c r="C18" s="3">
        <f>Austria!B58</f>
        <v>163.49543921378569</v>
      </c>
      <c r="D18" s="3">
        <f>Belgium!B58</f>
        <v>166.44276749809833</v>
      </c>
      <c r="E18" s="3">
        <f>Britain!B58</f>
        <v>140.59376758163094</v>
      </c>
      <c r="F18" s="3">
        <f>Canada!B58</f>
        <v>60.536649919109017</v>
      </c>
      <c r="G18" s="6">
        <f>R18</f>
        <v>132.51036038821655</v>
      </c>
      <c r="H18" s="3">
        <f>Denmark!B58</f>
        <v>193.16635887588066</v>
      </c>
      <c r="I18" s="3">
        <f>Finland!B58</f>
        <v>165.52843538922758</v>
      </c>
      <c r="J18" s="3">
        <f>France!B58</f>
        <v>214.13523081697653</v>
      </c>
      <c r="K18" s="3">
        <f>Germany!B58</f>
        <v>157.16461099192429</v>
      </c>
      <c r="L18" s="3">
        <f>Greece!B58</f>
        <v>202.77923853929457</v>
      </c>
      <c r="M18" s="3">
        <f>Hungary!B58</f>
        <v>76.785828010834535</v>
      </c>
      <c r="N18" s="3">
        <f>Ireland!B58</f>
        <v>139.69244383412189</v>
      </c>
      <c r="O18" s="3">
        <f>Israel!B58</f>
        <v>99.744551665309501</v>
      </c>
      <c r="P18" s="3">
        <f>Italy!B58</f>
        <v>195.56922100999893</v>
      </c>
      <c r="Q18" s="3">
        <f>Japan!B58</f>
        <v>165.82897204686</v>
      </c>
      <c r="R18" s="3">
        <f>Korea!B58</f>
        <v>132.51036038821655</v>
      </c>
      <c r="S18" s="3">
        <f>Netherlands!B58</f>
        <v>178.14525050202445</v>
      </c>
      <c r="T18" s="3">
        <f>'New Zealand'!B58</f>
        <v>106.04607699792625</v>
      </c>
      <c r="U18" s="3">
        <f>Norway!B58</f>
        <v>167.93129752334573</v>
      </c>
      <c r="V18" s="3">
        <f>Spain!B58</f>
        <v>182.4114399134636</v>
      </c>
      <c r="W18" s="3">
        <f>Sweden!B58</f>
        <v>144.69150590925938</v>
      </c>
      <c r="X18" s="3">
        <f>Swiss!B58</f>
        <v>191.96421224535104</v>
      </c>
      <c r="Y18" s="3">
        <f>Turkey!B58</f>
        <v>180.15161964018702</v>
      </c>
      <c r="Z18" s="3">
        <f>USA!J66</f>
        <v>68.253201049446886</v>
      </c>
      <c r="AA18" s="3">
        <f t="shared" si="1"/>
        <v>163.49543921378569</v>
      </c>
    </row>
    <row r="19" spans="1:27">
      <c r="A19">
        <v>1980</v>
      </c>
      <c r="B19" s="3">
        <f>Australia!B59</f>
        <v>96.628283351573714</v>
      </c>
      <c r="C19" s="3">
        <f>Austria!B59</f>
        <v>171.66730599075538</v>
      </c>
      <c r="D19" s="3">
        <f>Belgium!B59</f>
        <v>190.14287198854589</v>
      </c>
      <c r="E19" s="3">
        <f>Britain!B59</f>
        <v>174.1466818285723</v>
      </c>
      <c r="F19" s="3">
        <f>Canada!B59</f>
        <v>64.238056600798416</v>
      </c>
      <c r="G19" s="3">
        <f>'Czech Rep'!B59</f>
        <v>140.50707646712689</v>
      </c>
      <c r="H19" s="3">
        <f>Denmark!B59</f>
        <v>213.05186772255874</v>
      </c>
      <c r="I19" s="3">
        <f>Finland!B59</f>
        <v>204.84721696919382</v>
      </c>
      <c r="J19" s="3">
        <f>France!B59</f>
        <v>203.25866606456535</v>
      </c>
      <c r="K19" s="3">
        <f>Germany!B59</f>
        <v>163.44937535942813</v>
      </c>
      <c r="L19" s="3">
        <f>Greece!B59</f>
        <v>210.40428288151128</v>
      </c>
      <c r="M19" s="3">
        <f>Hungary!B59</f>
        <v>77.915845843532409</v>
      </c>
      <c r="N19" s="3">
        <f>Ireland!B59</f>
        <v>174.14668182857227</v>
      </c>
      <c r="O19" s="3">
        <f>Israel!B59</f>
        <v>118.07474702717444</v>
      </c>
      <c r="P19" s="3">
        <f>Italy!B59</f>
        <v>216.22753840487454</v>
      </c>
      <c r="Q19" s="3">
        <f>Japan!B59</f>
        <v>179.7037477408897</v>
      </c>
      <c r="R19" s="3">
        <f>Korea!B59</f>
        <v>139.17649951117482</v>
      </c>
      <c r="S19" s="3">
        <f>Netherlands!B59</f>
        <v>191.08406917657044</v>
      </c>
      <c r="T19" s="3">
        <f>'New Zealand'!B59</f>
        <v>126.77208669711624</v>
      </c>
      <c r="U19" s="3">
        <f>Norway!B59</f>
        <v>198.75920296172583</v>
      </c>
      <c r="V19" s="3">
        <f>Spain!B59</f>
        <v>172.76993771122764</v>
      </c>
      <c r="W19" s="3">
        <f>Sweden!B59</f>
        <v>173.52991400113336</v>
      </c>
      <c r="X19" s="3">
        <f>Swiss!B59</f>
        <v>182.35133258193713</v>
      </c>
      <c r="Y19" s="3">
        <f>Turkey!B59</f>
        <v>181.55419113696672</v>
      </c>
      <c r="Z19" s="3">
        <f>USA!J67</f>
        <v>87.099410658093532</v>
      </c>
      <c r="AA19" s="3">
        <f t="shared" si="1"/>
        <v>174.14668182857227</v>
      </c>
    </row>
    <row r="20" spans="1:27">
      <c r="A20">
        <v>1981</v>
      </c>
      <c r="B20" s="3">
        <f>Australia!B60</f>
        <v>97.854398869217405</v>
      </c>
      <c r="C20" s="3">
        <f>Austria!B60</f>
        <v>152.83203154206018</v>
      </c>
      <c r="D20" s="3">
        <f>Belgium!B60</f>
        <v>160.5960571378705</v>
      </c>
      <c r="E20" s="3">
        <f>Britain!B60</f>
        <v>162.42002767314372</v>
      </c>
      <c r="F20" s="3">
        <f>Canada!B60</f>
        <v>77.18415111184315</v>
      </c>
      <c r="G20" s="3">
        <f>'Czech Rep'!B60</f>
        <v>132.64356147003568</v>
      </c>
      <c r="H20" s="3">
        <f>Denmark!B60</f>
        <v>178.73487480176044</v>
      </c>
      <c r="I20" s="3">
        <f>Finland!B60</f>
        <v>184.97172601110356</v>
      </c>
      <c r="J20" s="3">
        <f>France!B60</f>
        <v>161.41251430660455</v>
      </c>
      <c r="K20" s="3">
        <f>Germany!B60</f>
        <v>145.16040770462973</v>
      </c>
      <c r="L20" s="3">
        <f>Greece!B60</f>
        <v>169.37816686080464</v>
      </c>
      <c r="M20" s="3">
        <f>Hungary!B60</f>
        <v>91.838278064700958</v>
      </c>
      <c r="N20" s="3">
        <f>Ireland!B60</f>
        <v>163.38031385062638</v>
      </c>
      <c r="O20" s="3">
        <f>Israel!B60</f>
        <v>113.6024803156108</v>
      </c>
      <c r="P20" s="3">
        <f>Italy!B60</f>
        <v>187.13129656523361</v>
      </c>
      <c r="Q20" s="3">
        <f>Japan!B60</f>
        <v>166.49873945529791</v>
      </c>
      <c r="R20" s="3">
        <f>Korea!B60</f>
        <v>136.31030883058008</v>
      </c>
      <c r="S20" s="3">
        <f>Netherlands!B60</f>
        <v>162.42002767314372</v>
      </c>
      <c r="T20" s="3">
        <f>'New Zealand'!B60</f>
        <v>123.7944839834496</v>
      </c>
      <c r="U20" s="3">
        <f>Norway!B60</f>
        <v>181.85330040643197</v>
      </c>
      <c r="V20" s="3">
        <f>Spain!B60</f>
        <v>158.63040353309316</v>
      </c>
      <c r="W20" s="3">
        <f>Sweden!B60</f>
        <v>157.30334508598668</v>
      </c>
      <c r="X20" s="3">
        <f>Swiss!B60</f>
        <v>153.30374905829385</v>
      </c>
      <c r="Y20" s="3">
        <f>Turkey!B60</f>
        <v>176.62288781140606</v>
      </c>
      <c r="Z20" s="3">
        <f>USA!J68</f>
        <v>87.359327490123832</v>
      </c>
      <c r="AA20" s="3">
        <f t="shared" si="1"/>
        <v>158.63040353309316</v>
      </c>
    </row>
    <row r="21" spans="1:27">
      <c r="A21">
        <v>1982</v>
      </c>
      <c r="B21" s="3">
        <f>Australia!B61</f>
        <v>89.29890759230544</v>
      </c>
      <c r="C21" s="3">
        <f>Austria!B61</f>
        <v>144.61866214052486</v>
      </c>
      <c r="D21" s="3">
        <f>Belgium!B61</f>
        <v>134.03369026120205</v>
      </c>
      <c r="E21" s="3">
        <f>Britain!B61</f>
        <v>144.18174593567957</v>
      </c>
      <c r="F21" s="3">
        <f>Canada!B61</f>
        <v>85.246984033279958</v>
      </c>
      <c r="G21" s="3">
        <f>'Czech Rep'!B61</f>
        <v>118.77890649562839</v>
      </c>
      <c r="H21" s="3">
        <f>Denmark!B61</f>
        <v>160.90446424251166</v>
      </c>
      <c r="I21" s="3">
        <f>Finland!B61</f>
        <v>163.16421368251923</v>
      </c>
      <c r="J21" s="3">
        <f>France!B61</f>
        <v>149.15348092908437</v>
      </c>
      <c r="K21" s="3">
        <f>Germany!B61</f>
        <v>124.76098363453927</v>
      </c>
      <c r="L21" s="3">
        <f>Greece!B61</f>
        <v>147.79677258891519</v>
      </c>
      <c r="M21" s="3">
        <f>Hungary!B61</f>
        <v>84.520067338657626</v>
      </c>
      <c r="N21" s="3">
        <f>Ireland!B61</f>
        <v>164.74704007938323</v>
      </c>
      <c r="O21" s="3">
        <f>Israel!B61</f>
        <v>107.38894740221721</v>
      </c>
      <c r="P21" s="3">
        <f>Italy!B61</f>
        <v>171.97852451279553</v>
      </c>
      <c r="Q21" s="3">
        <f>Japan!B61</f>
        <v>148.70124481569468</v>
      </c>
      <c r="R21" s="3">
        <f>Korea!B61</f>
        <v>123.77011313442048</v>
      </c>
      <c r="S21" s="3">
        <f>Netherlands!B61</f>
        <v>147.34453647552544</v>
      </c>
      <c r="T21" s="3">
        <f>'New Zealand'!B61</f>
        <v>116.15856307648052</v>
      </c>
      <c r="U21" s="3">
        <f>Norway!B61</f>
        <v>161.35670035590144</v>
      </c>
      <c r="V21" s="3">
        <f>Spain!B61</f>
        <v>141.69544910089485</v>
      </c>
      <c r="W21" s="3">
        <f>Sweden!B61</f>
        <v>134.14389954739929</v>
      </c>
      <c r="X21" s="3">
        <f>Swiss!B61</f>
        <v>140.33945632419622</v>
      </c>
      <c r="Y21" s="3">
        <f>Turkey!B61</f>
        <v>189.95872087159108</v>
      </c>
      <c r="Z21" s="3">
        <f>USA!J69</f>
        <v>75.081186561600717</v>
      </c>
      <c r="AA21" s="3">
        <f t="shared" si="1"/>
        <v>141.69544910089485</v>
      </c>
    </row>
    <row r="22" spans="1:27">
      <c r="A22">
        <v>1983</v>
      </c>
      <c r="B22" s="3">
        <f>Australia!B62</f>
        <v>86.24963201365064</v>
      </c>
      <c r="C22" s="3">
        <f>Austria!B62</f>
        <v>130.38063341496292</v>
      </c>
      <c r="D22" s="3">
        <f>Belgium!B62</f>
        <v>122.50418020691477</v>
      </c>
      <c r="E22" s="3">
        <f>Britain!B62</f>
        <v>130.05967150622661</v>
      </c>
      <c r="F22" s="3">
        <f>Canada!B62</f>
        <v>87.251952630378085</v>
      </c>
      <c r="G22" s="3">
        <f>'Czech Rep'!B62</f>
        <v>109.6147983969082</v>
      </c>
      <c r="H22" s="3">
        <f>Denmark!B62</f>
        <v>145.16779239810214</v>
      </c>
      <c r="I22" s="3">
        <f>Finland!B62</f>
        <v>144.94882997611279</v>
      </c>
      <c r="J22" s="3">
        <f>France!B62</f>
        <v>121.84886690701502</v>
      </c>
      <c r="K22" s="3">
        <f>Germany!B62</f>
        <v>113.49459899863817</v>
      </c>
      <c r="L22" s="3">
        <f>Greece!B62</f>
        <v>124.58575406918749</v>
      </c>
      <c r="M22" s="3">
        <f>Hungary!B62</f>
        <v>82.787115725671498</v>
      </c>
      <c r="N22" s="3">
        <f>Ireland!B62</f>
        <v>160.71412435934451</v>
      </c>
      <c r="O22" s="3">
        <f>Israel!B62</f>
        <v>104.24870847101285</v>
      </c>
      <c r="P22" s="3">
        <f>Italy!B62</f>
        <v>169.03326526799788</v>
      </c>
      <c r="Q22" s="3">
        <f>Japan!B62</f>
        <v>139.25580700439025</v>
      </c>
      <c r="R22" s="3">
        <f>Korea!B62</f>
        <v>112.23219460976526</v>
      </c>
      <c r="S22" s="3">
        <f>Netherlands!B62</f>
        <v>133.12500230138312</v>
      </c>
      <c r="T22" s="3">
        <f>'New Zealand'!B62</f>
        <v>104.00400196566106</v>
      </c>
      <c r="U22" s="3">
        <f>Norway!B62</f>
        <v>147.79534146197412</v>
      </c>
      <c r="V22" s="3">
        <f>Spain!B62</f>
        <v>121.84886690701498</v>
      </c>
      <c r="W22" s="3">
        <f>Sweden!B62</f>
        <v>112.46104081592492</v>
      </c>
      <c r="X22" s="3">
        <f>Swiss!B62</f>
        <v>126.77537828908076</v>
      </c>
      <c r="Y22" s="3">
        <f>Turkey!B62</f>
        <v>164.59173487140873</v>
      </c>
      <c r="Z22" s="3">
        <f>USA!J70</f>
        <v>69.724344220583859</v>
      </c>
      <c r="AA22" s="3">
        <f t="shared" si="1"/>
        <v>122.50418020691477</v>
      </c>
    </row>
    <row r="23" spans="1:27">
      <c r="A23">
        <v>1984</v>
      </c>
      <c r="B23" s="3">
        <f>Australia!B63</f>
        <v>87.514850474677829</v>
      </c>
      <c r="C23" s="3">
        <f>Austria!B63</f>
        <v>115.6514902987079</v>
      </c>
      <c r="D23" s="3">
        <f>Belgium!B63</f>
        <v>105.04268985028523</v>
      </c>
      <c r="E23" s="3">
        <f>Britain!B63</f>
        <v>113.34282081985305</v>
      </c>
      <c r="F23" s="3">
        <f>Canada!B63</f>
        <v>83.146459617176845</v>
      </c>
      <c r="G23" s="3">
        <f>'Czech Rep'!B63</f>
        <v>102.69127022264529</v>
      </c>
      <c r="H23" s="3">
        <f>Denmark!B63</f>
        <v>121.31877748802904</v>
      </c>
      <c r="I23" s="3">
        <f>Finland!B63</f>
        <v>132.65301663620613</v>
      </c>
      <c r="J23" s="3">
        <f>France!B63</f>
        <v>115.18983325004537</v>
      </c>
      <c r="K23" s="3">
        <f>Germany!B63</f>
        <v>99.495072649427286</v>
      </c>
      <c r="L23" s="3">
        <f>Greece!B63</f>
        <v>102.84808073532916</v>
      </c>
      <c r="M23" s="3">
        <f>Hungary!B63</f>
        <v>80.221534458349439</v>
      </c>
      <c r="N23" s="3">
        <f>Ireland!B63</f>
        <v>141.67970670454272</v>
      </c>
      <c r="O23" s="3">
        <f>Israel!B63</f>
        <v>95.51280880450183</v>
      </c>
      <c r="P23" s="3">
        <f>Italy!B63</f>
        <v>154.06224633708044</v>
      </c>
      <c r="Q23" s="3">
        <f>Japan!B63</f>
        <v>128.03534244803114</v>
      </c>
      <c r="R23" s="3">
        <f>Korea!B63</f>
        <v>105.93582092484665</v>
      </c>
      <c r="S23" s="3">
        <f>Netherlands!B63</f>
        <v>118.17058444298247</v>
      </c>
      <c r="T23" s="3">
        <f>'New Zealand'!B63</f>
        <v>94.872124067153152</v>
      </c>
      <c r="U23" s="3">
        <f>Norway!B63</f>
        <v>133.91240834438003</v>
      </c>
      <c r="V23" s="3">
        <f>Spain!B63</f>
        <v>104.90503948778186</v>
      </c>
      <c r="W23" s="3">
        <f>Sweden!B63</f>
        <v>100.69869678442764</v>
      </c>
      <c r="X23" s="3">
        <f>Swiss!B63</f>
        <v>108.09545077759108</v>
      </c>
      <c r="Y23" s="3">
        <f>Turkey!B63</f>
        <v>143.57092415402346</v>
      </c>
      <c r="Z23" s="3">
        <f>USA!J71</f>
        <v>65.20089893943269</v>
      </c>
      <c r="AA23" s="3">
        <f t="shared" si="1"/>
        <v>105.93582092484665</v>
      </c>
    </row>
    <row r="24" spans="1:27">
      <c r="A24">
        <v>1985</v>
      </c>
      <c r="B24" s="3">
        <f>Australia!B64</f>
        <v>74.493311526258111</v>
      </c>
      <c r="C24" s="3">
        <f>Austria!B64</f>
        <v>112.65417075257915</v>
      </c>
      <c r="D24" s="3">
        <f>Belgium!B64</f>
        <v>104.74411506821669</v>
      </c>
      <c r="E24" s="3">
        <f>Britain!B64</f>
        <v>112.08013751971455</v>
      </c>
      <c r="F24" s="3">
        <f>Canada!B64</f>
        <v>80.46155374359266</v>
      </c>
      <c r="G24" s="3">
        <f>'Czech Rep'!B64</f>
        <v>97.718708619187154</v>
      </c>
      <c r="H24" s="3">
        <f>Denmark!B64</f>
        <v>117.34969002956363</v>
      </c>
      <c r="I24" s="3">
        <f>Finland!B64</f>
        <v>126.26747133768201</v>
      </c>
      <c r="J24" s="3">
        <f>France!B64</f>
        <v>136.79426866568662</v>
      </c>
      <c r="K24" s="3">
        <f>Germany!B64</f>
        <v>95.683262405029652</v>
      </c>
      <c r="L24" s="3">
        <f>Greece!B64</f>
        <v>100.52750840032458</v>
      </c>
      <c r="M24" s="3">
        <f>Hungary!B64</f>
        <v>80.259888660371118</v>
      </c>
      <c r="N24" s="3">
        <f>Ireland!B64</f>
        <v>142.2789195547841</v>
      </c>
      <c r="O24" s="3">
        <f>Israel!B64</f>
        <v>89.792325287834288</v>
      </c>
      <c r="P24" s="3">
        <f>Italy!B64</f>
        <v>140.25215758078878</v>
      </c>
      <c r="Q24" s="3">
        <f>Japan!B64</f>
        <v>118.97115685383758</v>
      </c>
      <c r="R24" s="3">
        <f>Korea!B64</f>
        <v>96.588601544939195</v>
      </c>
      <c r="S24" s="3">
        <f>Netherlands!B64</f>
        <v>112.28278509457526</v>
      </c>
      <c r="T24" s="3">
        <f>'New Zealand'!B64</f>
        <v>93.231193916480166</v>
      </c>
      <c r="U24" s="3">
        <f>Norway!B64</f>
        <v>120.99791882783293</v>
      </c>
      <c r="V24" s="3">
        <f>Spain!B64</f>
        <v>100.3248608254639</v>
      </c>
      <c r="W24" s="3">
        <f>Sweden!B64</f>
        <v>103.33697829965314</v>
      </c>
      <c r="X24" s="3">
        <f>Swiss!B64</f>
        <v>103.97308962373315</v>
      </c>
      <c r="Y24" s="3">
        <f>Turkey!B64</f>
        <v>145.20843495462401</v>
      </c>
      <c r="Z24" s="3">
        <f>USA!J72</f>
        <v>62.458687045173811</v>
      </c>
      <c r="AA24" s="3">
        <f t="shared" si="1"/>
        <v>103.97308962373315</v>
      </c>
    </row>
    <row r="25" spans="1:27">
      <c r="A25">
        <v>1986</v>
      </c>
      <c r="B25" s="3">
        <f>Australia!B65</f>
        <v>69.256444642563352</v>
      </c>
      <c r="C25" s="3">
        <f>Austria!B65</f>
        <v>120.02337677044981</v>
      </c>
      <c r="D25" s="3">
        <f>Belgium!B65</f>
        <v>103.37485657700637</v>
      </c>
      <c r="E25" s="3">
        <f>Britain!B65</f>
        <v>109.03999455872153</v>
      </c>
      <c r="F25" s="3">
        <f>Canada!B65</f>
        <v>69.27592090565895</v>
      </c>
      <c r="G25" s="3">
        <f>'Czech Rep'!B65</f>
        <v>84.431297503172374</v>
      </c>
      <c r="H25" s="3">
        <f>Denmark!B65</f>
        <v>157.9878275365362</v>
      </c>
      <c r="I25" s="3">
        <f>Finland!B65</f>
        <v>123.56536056017839</v>
      </c>
      <c r="J25" s="3">
        <f>France!B65</f>
        <v>138.36922386437459</v>
      </c>
      <c r="K25" s="3">
        <f>Germany!B65</f>
        <v>95.087464536842177</v>
      </c>
      <c r="L25" s="3">
        <f>Greece!B65</f>
        <v>110.83076370012839</v>
      </c>
      <c r="M25" s="3">
        <f>Hungary!B65</f>
        <v>83.192697100781103</v>
      </c>
      <c r="N25" s="3">
        <f>Ireland!B65</f>
        <v>158.18818530829114</v>
      </c>
      <c r="O25" s="3">
        <f>Israel!B65</f>
        <v>82.315748500650514</v>
      </c>
      <c r="P25" s="3">
        <f>Italy!B65</f>
        <v>170.72342618544496</v>
      </c>
      <c r="Q25" s="3">
        <f>Japan!B65</f>
        <v>145.25366001456851</v>
      </c>
      <c r="R25" s="3">
        <f>Korea!B65</f>
        <v>81.307863719003819</v>
      </c>
      <c r="S25" s="3">
        <f>Netherlands!B65</f>
        <v>120.97859861412796</v>
      </c>
      <c r="T25" s="3">
        <f>'New Zealand'!B65</f>
        <v>85.958493027163996</v>
      </c>
      <c r="U25" s="3">
        <f>Norway!B65</f>
        <v>128.14181829244947</v>
      </c>
      <c r="V25" s="3">
        <f>Spain!B65</f>
        <v>109.23892120353536</v>
      </c>
      <c r="W25" s="3">
        <f>Sweden!B65</f>
        <v>108.93853043954714</v>
      </c>
      <c r="X25" s="3">
        <f>Swiss!B65</f>
        <v>112.02460979439959</v>
      </c>
      <c r="Y25" s="3">
        <f>Turkey!B65</f>
        <v>126.56285252535253</v>
      </c>
      <c r="Z25" s="3">
        <f>USA!J73</f>
        <v>46.511998703701096</v>
      </c>
      <c r="AA25" s="3">
        <f t="shared" si="1"/>
        <v>109.23892120353536</v>
      </c>
    </row>
    <row r="26" spans="1:27">
      <c r="A26">
        <v>1987</v>
      </c>
      <c r="B26" s="3">
        <f>Australia!B66</f>
        <v>73.738112380014101</v>
      </c>
      <c r="C26" s="3">
        <f>Austria!B66</f>
        <v>136.09028781853655</v>
      </c>
      <c r="D26" s="3">
        <f>Belgium!B66</f>
        <v>116.0227547135391</v>
      </c>
      <c r="E26" s="3">
        <f>Britain!B66</f>
        <v>118.72600480882599</v>
      </c>
      <c r="F26" s="3">
        <f>Canada!B66</f>
        <v>73.112337792492255</v>
      </c>
      <c r="G26" s="3">
        <f>'Czech Rep'!B66</f>
        <v>80.816120565443555</v>
      </c>
      <c r="H26" s="3">
        <f>Denmark!B66</f>
        <v>186.04936459775695</v>
      </c>
      <c r="I26" s="3">
        <f>Finland!B66</f>
        <v>141.55047594176077</v>
      </c>
      <c r="J26" s="3">
        <f>France!B66</f>
        <v>163.41609202415404</v>
      </c>
      <c r="K26" s="3">
        <f>Germany!B66</f>
        <v>107.55109816359536</v>
      </c>
      <c r="L26" s="3">
        <f>Greece!B66</f>
        <v>109.32765107388398</v>
      </c>
      <c r="M26" s="3">
        <f>Hungary!B66</f>
        <v>84.431623693697219</v>
      </c>
      <c r="N26" s="3">
        <f>Ireland!B66</f>
        <v>168.02002739369436</v>
      </c>
      <c r="O26" s="3">
        <f>Israel!B66</f>
        <v>93.064530015315967</v>
      </c>
      <c r="P26" s="3">
        <f>Italy!B66</f>
        <v>192.18603692122252</v>
      </c>
      <c r="Q26" s="3">
        <f>Japan!B66</f>
        <v>160.53952687252948</v>
      </c>
      <c r="R26" s="3">
        <f>Korea!B66</f>
        <v>89.629148602815803</v>
      </c>
      <c r="S26" s="3">
        <f>Netherlands!B66</f>
        <v>150.75777423006497</v>
      </c>
      <c r="T26" s="3">
        <f>'New Zealand'!B66</f>
        <v>101.65552265530495</v>
      </c>
      <c r="U26" s="3">
        <f>Norway!B66</f>
        <v>145.19498380998314</v>
      </c>
      <c r="V26" s="3">
        <f>Spain!B66</f>
        <v>125.2855751433887</v>
      </c>
      <c r="W26" s="3">
        <f>Sweden!B66</f>
        <v>119.26413719847788</v>
      </c>
      <c r="X26" s="3">
        <f>Swiss!B66</f>
        <v>126.97344625772998</v>
      </c>
      <c r="Y26" s="3">
        <f>Turkey!B66</f>
        <v>101.71095682014533</v>
      </c>
      <c r="Z26" s="3">
        <f>USA!J74</f>
        <v>46.234307070529368</v>
      </c>
      <c r="AA26" s="3">
        <f t="shared" si="1"/>
        <v>118.72600480882599</v>
      </c>
    </row>
    <row r="27" spans="1:27">
      <c r="A27">
        <v>1988</v>
      </c>
      <c r="B27" s="3">
        <f>Australia!B67</f>
        <v>76.689690944708573</v>
      </c>
      <c r="C27" s="3">
        <f>Austria!B67</f>
        <v>129.24027963398169</v>
      </c>
      <c r="D27" s="3">
        <f>Belgium!B67</f>
        <v>112.72309391997794</v>
      </c>
      <c r="E27" s="3">
        <f>Britain!B67</f>
        <v>122.63240890727091</v>
      </c>
      <c r="F27" s="3">
        <f>Canada!B67</f>
        <v>74.669063552245646</v>
      </c>
      <c r="G27" s="3">
        <f>'Czech Rep'!B67</f>
        <v>76.449198331818764</v>
      </c>
      <c r="H27" s="3">
        <f>Denmark!B67</f>
        <v>178.87798749587114</v>
      </c>
      <c r="I27" s="3">
        <f>Finland!B67</f>
        <v>147.5277207239871</v>
      </c>
      <c r="J27" s="3">
        <f>France!B67</f>
        <v>143.32306977101555</v>
      </c>
      <c r="K27" s="3">
        <f>Germany!B67</f>
        <v>103.22773733114508</v>
      </c>
      <c r="L27" s="3">
        <f>Greece!B67</f>
        <v>100.31885009231125</v>
      </c>
      <c r="M27" s="3">
        <f>Hungary!B67</f>
        <v>74.409298612432679</v>
      </c>
      <c r="N27" s="3">
        <f>Ireland!B67</f>
        <v>163.01823873452634</v>
      </c>
      <c r="O27" s="3">
        <f>Israel!B67</f>
        <v>96.123730246705748</v>
      </c>
      <c r="P27" s="3">
        <f>Italy!B67</f>
        <v>192.70839825472652</v>
      </c>
      <c r="Q27" s="3">
        <f>Japan!B67</f>
        <v>166.89086823716116</v>
      </c>
      <c r="R27" s="3">
        <f>Korea!B67</f>
        <v>95.607123396045679</v>
      </c>
      <c r="S27" s="3">
        <f>Netherlands!B67</f>
        <v>147.15848997318159</v>
      </c>
      <c r="T27" s="3">
        <f>'New Zealand'!B67</f>
        <v>108.24858136028952</v>
      </c>
      <c r="U27" s="3">
        <f>Norway!B67</f>
        <v>151.58496560202468</v>
      </c>
      <c r="V27" s="3">
        <f>Spain!B67</f>
        <v>116.14124644049309</v>
      </c>
      <c r="W27" s="3">
        <f>Sweden!B67</f>
        <v>126.46344027079496</v>
      </c>
      <c r="X27" s="3">
        <f>Swiss!B67</f>
        <v>120.41960043093167</v>
      </c>
      <c r="Y27" s="3">
        <f>Turkey!B67</f>
        <v>106.11304119843919</v>
      </c>
      <c r="Z27" s="3">
        <f>USA!J75</f>
        <v>44.295364665238637</v>
      </c>
      <c r="AA27" s="3">
        <f t="shared" si="1"/>
        <v>116.14124644049309</v>
      </c>
    </row>
    <row r="28" spans="1:27">
      <c r="A28">
        <v>1989</v>
      </c>
      <c r="B28" s="3">
        <f>Australia!B68</f>
        <v>77.277056693575432</v>
      </c>
      <c r="C28" s="3">
        <f>Austria!B68</f>
        <v>123.96930797206664</v>
      </c>
      <c r="D28" s="3">
        <f>Belgium!B68</f>
        <v>119.30837716297169</v>
      </c>
      <c r="E28" s="3">
        <f>Britain!B68</f>
        <v>116.2819262188039</v>
      </c>
      <c r="F28" s="3">
        <f>Canada!B68</f>
        <v>77.432732750234379</v>
      </c>
      <c r="G28" s="3">
        <f>'Czech Rep'!B68</f>
        <v>73.851441721842718</v>
      </c>
      <c r="H28" s="3">
        <f>Denmark!B68</f>
        <v>164.83576994973191</v>
      </c>
      <c r="I28" s="3">
        <f>Finland!B68</f>
        <v>144.60535951024718</v>
      </c>
      <c r="J28" s="3">
        <f>France!B68</f>
        <v>152.09874017388199</v>
      </c>
      <c r="K28" s="3">
        <f>Germany!B68</f>
        <v>111.18627867664645</v>
      </c>
      <c r="L28" s="3">
        <f>Greece!B68</f>
        <v>83.561069175422006</v>
      </c>
      <c r="M28" s="3">
        <f>Hungary!B68</f>
        <v>64.526794633314282</v>
      </c>
      <c r="N28" s="3">
        <f>Ireland!B68</f>
        <v>153.92772040461642</v>
      </c>
      <c r="O28" s="3">
        <f>Israel!B68</f>
        <v>98.124600508073129</v>
      </c>
      <c r="P28" s="3">
        <f>Italy!B68</f>
        <v>176.4465028229308</v>
      </c>
      <c r="Q28" s="3">
        <f>Japan!B68</f>
        <v>151.81680816648398</v>
      </c>
      <c r="R28" s="3">
        <f>Korea!B68</f>
        <v>106.38942121289617</v>
      </c>
      <c r="S28" s="3">
        <f>Netherlands!B68</f>
        <v>145.18496592139536</v>
      </c>
      <c r="T28" s="3">
        <f>'New Zealand'!B68</f>
        <v>94.995773434864745</v>
      </c>
      <c r="U28" s="3">
        <f>Norway!B68</f>
        <v>147.24292646270683</v>
      </c>
      <c r="V28" s="3">
        <f>Spain!B68</f>
        <v>126.7490455533644</v>
      </c>
      <c r="W28" s="3">
        <f>Sweden!B68</f>
        <v>123.45331951767319</v>
      </c>
      <c r="X28" s="3">
        <f>Swiss!B68</f>
        <v>113.99498536691534</v>
      </c>
      <c r="Y28" s="3">
        <f>Turkey!B68</f>
        <v>118.34603202831704</v>
      </c>
      <c r="Z28" s="3">
        <f>USA!J76</f>
        <v>45.863823126549562</v>
      </c>
      <c r="AA28" s="3">
        <f t="shared" si="1"/>
        <v>118.34603202831704</v>
      </c>
    </row>
    <row r="29" spans="1:27">
      <c r="A29">
        <v>1990</v>
      </c>
      <c r="B29" s="3">
        <f>Australia!B69</f>
        <v>88.660857435183615</v>
      </c>
      <c r="C29" s="3">
        <f>Austria!B69</f>
        <v>134.40016260414279</v>
      </c>
      <c r="D29" s="3">
        <f>Belgium!B69</f>
        <v>134.86169259545397</v>
      </c>
      <c r="E29" s="3">
        <f>Britain!B69</f>
        <v>124.33942474798418</v>
      </c>
      <c r="F29" s="3">
        <f>Canada!B69</f>
        <v>81.689238158352055</v>
      </c>
      <c r="G29" s="3">
        <f>'Czech Rep'!B69</f>
        <v>66.079158998436398</v>
      </c>
      <c r="H29" s="3">
        <f>Denmark!B69</f>
        <v>148.38210350782782</v>
      </c>
      <c r="I29" s="3">
        <f>Finland!B69</f>
        <v>162.40142302290931</v>
      </c>
      <c r="J29" s="3">
        <f>France!B69</f>
        <v>149.59891755033743</v>
      </c>
      <c r="K29" s="3">
        <f>Germany!B69</f>
        <v>112.56746526438859</v>
      </c>
      <c r="L29" s="3">
        <f>Greece!B69</f>
        <v>125.28156798795355</v>
      </c>
      <c r="M29" s="3">
        <f>Hungary!B69</f>
        <v>74.240854971464415</v>
      </c>
      <c r="N29" s="3">
        <f>Ireland!B69</f>
        <v>146.27134559084899</v>
      </c>
      <c r="O29" s="3">
        <f>Israel!B69</f>
        <v>108.86726191843836</v>
      </c>
      <c r="P29" s="3">
        <f>Italy!B69</f>
        <v>175.30446352392764</v>
      </c>
      <c r="Q29" s="3">
        <f>Japan!B69</f>
        <v>139.53559232137661</v>
      </c>
      <c r="R29" s="3">
        <f>Korea!B69</f>
        <v>102.53371633943435</v>
      </c>
      <c r="S29" s="3">
        <f>Netherlands!B69</f>
        <v>146.1624256221713</v>
      </c>
      <c r="T29" s="3">
        <f>'New Zealand'!B69</f>
        <v>94.303251108063236</v>
      </c>
      <c r="U29" s="3">
        <f>Norway!B69</f>
        <v>192.56242330673365</v>
      </c>
      <c r="V29" s="3">
        <f>Spain!B69</f>
        <v>134.5617106375602</v>
      </c>
      <c r="W29" s="3">
        <f>Sweden!B69</f>
        <v>155.111620685932</v>
      </c>
      <c r="X29" s="3">
        <f>Swiss!B69</f>
        <v>125.28156798795355</v>
      </c>
      <c r="Y29" s="3">
        <f>Turkey!B69</f>
        <v>137.42536408294174</v>
      </c>
      <c r="Z29" s="3">
        <f>USA!J77</f>
        <v>49.678466073677185</v>
      </c>
      <c r="AA29" s="3">
        <f t="shared" si="1"/>
        <v>134.40016260414279</v>
      </c>
    </row>
    <row r="30" spans="1:27">
      <c r="A30">
        <v>1991</v>
      </c>
      <c r="B30" s="3">
        <f>Australia!B70</f>
        <v>82.906534617372444</v>
      </c>
      <c r="C30" s="3">
        <f>Austria!B70</f>
        <v>121.04530972933715</v>
      </c>
      <c r="D30" s="3">
        <f>Belgium!B70</f>
        <v>134.93838354948988</v>
      </c>
      <c r="E30" s="3">
        <f>Britain!B70</f>
        <v>126.52981955087859</v>
      </c>
      <c r="F30" s="3">
        <f>Canada!B70</f>
        <v>79.516955844198932</v>
      </c>
      <c r="G30" s="3">
        <f>'Czech Rep'!B70</f>
        <v>89.842526764324532</v>
      </c>
      <c r="H30" s="3">
        <f>Denmark!B70</f>
        <v>131.14417950219729</v>
      </c>
      <c r="I30" s="3">
        <f>Finland!B70</f>
        <v>151.12843610781161</v>
      </c>
      <c r="J30" s="3">
        <f>France!B70</f>
        <v>140.10379510957233</v>
      </c>
      <c r="K30" s="3">
        <f>Germany!B70</f>
        <v>118.33061349318537</v>
      </c>
      <c r="L30" s="3">
        <f>Greece!B70</f>
        <v>123.65022638778602</v>
      </c>
      <c r="M30" s="3">
        <f>Hungary!B70</f>
        <v>112.20106774623805</v>
      </c>
      <c r="N30" s="3">
        <f>Ireland!B70</f>
        <v>135.77123632943608</v>
      </c>
      <c r="O30" s="3">
        <f>Israel!B70</f>
        <v>105.5153761148044</v>
      </c>
      <c r="P30" s="3">
        <f>Italy!B70</f>
        <v>175.73952611402405</v>
      </c>
      <c r="Q30" s="3">
        <f>Japan!B70</f>
        <v>146.35562775922071</v>
      </c>
      <c r="R30" s="3">
        <f>Korea!B70</f>
        <v>107.241965402844</v>
      </c>
      <c r="S30" s="3">
        <f>Netherlands!B70</f>
        <v>157.99784542512393</v>
      </c>
      <c r="T30" s="3">
        <f>'New Zealand'!B70</f>
        <v>87.749691506653193</v>
      </c>
      <c r="U30" s="3">
        <f>Norway!B70</f>
        <v>176.31627027129008</v>
      </c>
      <c r="V30" s="3">
        <f>Spain!B70</f>
        <v>135.09938502933394</v>
      </c>
      <c r="W30" s="3">
        <f>Sweden!B70</f>
        <v>185.24783118668353</v>
      </c>
      <c r="X30" s="3">
        <f>Swiss!B70</f>
        <v>114.49101396470294</v>
      </c>
      <c r="Y30" s="3">
        <f>Turkey!B70</f>
        <v>135.63607118915107</v>
      </c>
      <c r="Z30" s="3">
        <f>USA!J78</f>
        <v>46.62304017379067</v>
      </c>
      <c r="AA30" s="3">
        <f t="shared" si="1"/>
        <v>126.52981955087859</v>
      </c>
    </row>
    <row r="31" spans="1:27">
      <c r="A31">
        <v>1992</v>
      </c>
      <c r="B31" s="3">
        <f>Australia!B71</f>
        <v>77.285968612805632</v>
      </c>
      <c r="C31" s="3">
        <f>Austria!B71</f>
        <v>131.15866928348635</v>
      </c>
      <c r="D31" s="3">
        <f>Belgium!B71</f>
        <v>136.36301550920746</v>
      </c>
      <c r="E31" s="3">
        <f>Britain!B71</f>
        <v>124.64517138304649</v>
      </c>
      <c r="F31" s="3">
        <f>Canada!B71</f>
        <v>70.54341408937087</v>
      </c>
      <c r="G31" s="3">
        <f>'Czech Rep'!B71</f>
        <v>96.727259664844411</v>
      </c>
      <c r="H31" s="3">
        <f>Denmark!B71</f>
        <v>129.77559280841692</v>
      </c>
      <c r="I31" s="3">
        <f>Finland!B71</f>
        <v>111.52929676008259</v>
      </c>
      <c r="J31" s="3">
        <f>France!B71</f>
        <v>140.49028066205312</v>
      </c>
      <c r="K31" s="3">
        <f>Germany!B71</f>
        <v>129.37693485724495</v>
      </c>
      <c r="L31" s="3">
        <f>Greece!B71</f>
        <v>141.5563435622193</v>
      </c>
      <c r="M31" s="3">
        <f>Hungary!B71</f>
        <v>96.515773359014219</v>
      </c>
      <c r="N31" s="3">
        <f>Ireland!B71</f>
        <v>132.07501416883349</v>
      </c>
      <c r="O31" s="3">
        <f>Israel!B71</f>
        <v>104.76536625828908</v>
      </c>
      <c r="P31" s="3">
        <f>Italy!B71</f>
        <v>177.90911455674186</v>
      </c>
      <c r="Q31" s="3">
        <f>Japan!B71</f>
        <v>147.18281913118037</v>
      </c>
      <c r="R31" s="3">
        <f>Korea!B71</f>
        <v>105.47711577359318</v>
      </c>
      <c r="S31" s="3">
        <f>Netherlands!B71</f>
        <v>154.42575258012155</v>
      </c>
      <c r="T31" s="3">
        <f>'New Zealand'!B71</f>
        <v>80.818314392790953</v>
      </c>
      <c r="U31" s="3">
        <f>Norway!B71</f>
        <v>169.43827419233111</v>
      </c>
      <c r="V31" s="3">
        <f>Spain!B71</f>
        <v>130.83233694173015</v>
      </c>
      <c r="W31" s="3">
        <f>Sweden!B71</f>
        <v>157.00851238106532</v>
      </c>
      <c r="X31" s="3">
        <f>Swiss!B71</f>
        <v>100.80529013959341</v>
      </c>
      <c r="Y31" s="3">
        <f>Turkey!B71</f>
        <v>130.07039137569598</v>
      </c>
      <c r="Z31" s="3">
        <f>USA!J79</f>
        <v>44.627665501063838</v>
      </c>
      <c r="AA31" s="3">
        <f t="shared" si="1"/>
        <v>129.77559280841692</v>
      </c>
    </row>
    <row r="32" spans="1:27">
      <c r="A32">
        <v>1993</v>
      </c>
      <c r="B32" s="3">
        <f>Australia!B72</f>
        <v>69.244472231673043</v>
      </c>
      <c r="C32" s="3">
        <f>Austria!B72</f>
        <v>119.66382569962973</v>
      </c>
      <c r="D32" s="3">
        <f>Belgium!B72</f>
        <v>126.00921677569072</v>
      </c>
      <c r="E32" s="3">
        <f>Britain!B72</f>
        <v>111.52825589060697</v>
      </c>
      <c r="F32" s="3">
        <f>Canada!B72</f>
        <v>63.462202519622885</v>
      </c>
      <c r="G32" s="3">
        <f>'Czech Rep'!B72</f>
        <v>94.956031427963381</v>
      </c>
      <c r="H32" s="3">
        <f>Denmark!B72</f>
        <v>121.37502077681452</v>
      </c>
      <c r="I32" s="3">
        <f>Finland!B72</f>
        <v>113.75126444884486</v>
      </c>
      <c r="J32" s="3">
        <f>France!B72</f>
        <v>131.44458320925671</v>
      </c>
      <c r="K32" s="3">
        <f>Germany!B72</f>
        <v>118.10420754558906</v>
      </c>
      <c r="L32" s="3">
        <f>Greece!B72</f>
        <v>119.95591530201308</v>
      </c>
      <c r="M32" s="3">
        <f>Hungary!B72</f>
        <v>107.54661359567666</v>
      </c>
      <c r="N32" s="3">
        <f>Ireland!B72</f>
        <v>111.78111149084297</v>
      </c>
      <c r="O32" s="3">
        <f>Israel!B72</f>
        <v>96.898949774803938</v>
      </c>
      <c r="P32" s="3">
        <f>Italy!B72</f>
        <v>179.93415917840787</v>
      </c>
      <c r="Q32" s="3">
        <f>Japan!B72</f>
        <v>160.17315837560616</v>
      </c>
      <c r="R32" s="3">
        <f>Korea!B72</f>
        <v>106.00256680519414</v>
      </c>
      <c r="S32" s="3">
        <f>Netherlands!B72</f>
        <v>142.70611094670443</v>
      </c>
      <c r="T32" s="3">
        <f>'New Zealand'!B72</f>
        <v>77.746400413705345</v>
      </c>
      <c r="U32" s="3">
        <f>Norway!B72</f>
        <v>148.91018934909621</v>
      </c>
      <c r="V32" s="3">
        <f>Spain!B72</f>
        <v>109.61487825096413</v>
      </c>
      <c r="W32" s="3">
        <f>Sweden!B72</f>
        <v>130.35321257366837</v>
      </c>
      <c r="X32" s="3">
        <f>Swiss!B72</f>
        <v>115.81952910413231</v>
      </c>
      <c r="Y32" s="3">
        <f>Turkey!B72</f>
        <v>110.84129560677995</v>
      </c>
      <c r="Z32" s="3">
        <f>USA!J80</f>
        <v>42.561149175421178</v>
      </c>
      <c r="AA32" s="3">
        <f t="shared" si="1"/>
        <v>113.75126444884486</v>
      </c>
    </row>
    <row r="33" spans="1:28">
      <c r="A33">
        <v>1994</v>
      </c>
      <c r="B33" s="3">
        <f>Australia!B73</f>
        <v>71.795858705678526</v>
      </c>
      <c r="C33" s="3">
        <f>Austria!B73</f>
        <v>123.73412643286152</v>
      </c>
      <c r="D33" s="3">
        <f>Belgium!B73</f>
        <v>127.05425898319183</v>
      </c>
      <c r="E33" s="3">
        <f>Britain!B73</f>
        <v>115.7250095462561</v>
      </c>
      <c r="F33" s="3">
        <f>Canada!B73</f>
        <v>57.747836700480036</v>
      </c>
      <c r="G33" s="3">
        <f>'Czech Rep'!B73</f>
        <v>97.233774298084199</v>
      </c>
      <c r="H33" s="3">
        <f>Denmark!B73</f>
        <v>124.46997589965196</v>
      </c>
      <c r="I33" s="3">
        <f>Finland!B73</f>
        <v>133.17995757592163</v>
      </c>
      <c r="J33" s="3">
        <f>France!B73</f>
        <v>133.7881199314586</v>
      </c>
      <c r="K33" s="3">
        <f>Germany!B73</f>
        <v>131.68801286434748</v>
      </c>
      <c r="L33" s="3">
        <f>Greece!B73</f>
        <v>122.43963610830386</v>
      </c>
      <c r="M33" s="3">
        <f>Hungary!B73</f>
        <v>107.40321467617781</v>
      </c>
      <c r="N33" s="3">
        <f>Ireland!B73</f>
        <v>110.56809801273921</v>
      </c>
      <c r="O33" s="3">
        <f>Israel!B73</f>
        <v>97.173725585272692</v>
      </c>
      <c r="P33" s="3">
        <f>Italy!B73</f>
        <v>189.02897088914116</v>
      </c>
      <c r="Q33" s="3">
        <f>Japan!B73</f>
        <v>170.52020615980783</v>
      </c>
      <c r="R33" s="3">
        <f>Korea!B73</f>
        <v>105.27337774394034</v>
      </c>
      <c r="S33" s="3">
        <f>Netherlands!B73</f>
        <v>156.80857893706425</v>
      </c>
      <c r="T33" s="3">
        <f>'New Zealand'!B73</f>
        <v>78.419030076025535</v>
      </c>
      <c r="U33" s="3">
        <f>Norway!B73</f>
        <v>171.84542970727267</v>
      </c>
      <c r="V33" s="3">
        <f>Spain!B73</f>
        <v>120.29151456970266</v>
      </c>
      <c r="W33" s="3">
        <f>Sweden!B73</f>
        <v>139.42759779856303</v>
      </c>
      <c r="X33" s="3">
        <f>Swiss!B73</f>
        <v>122.43963610830386</v>
      </c>
      <c r="Y33" s="3">
        <f>Turkey!B73</f>
        <v>128.97943739710288</v>
      </c>
      <c r="Z33" s="3">
        <f>USA!J81</f>
        <v>41.82267372524791</v>
      </c>
      <c r="AA33" s="3">
        <f t="shared" si="1"/>
        <v>122.43963610830386</v>
      </c>
    </row>
    <row r="34" spans="1:28">
      <c r="A34">
        <v>1995</v>
      </c>
      <c r="B34" s="3">
        <f>Australia!B74</f>
        <v>73.495986553232896</v>
      </c>
      <c r="C34" s="3">
        <f>Austria!B74</f>
        <v>150.10115884564269</v>
      </c>
      <c r="D34" s="3">
        <f>Belgium!B74</f>
        <v>134.76337279421134</v>
      </c>
      <c r="E34" s="3">
        <f>Britain!B74</f>
        <v>121.70995234777985</v>
      </c>
      <c r="F34" s="3">
        <f>Canada!B74</f>
        <v>58.085467215173409</v>
      </c>
      <c r="G34" s="3">
        <f>'Czech Rep'!B74</f>
        <v>101.28004366027137</v>
      </c>
      <c r="H34" s="3">
        <f>Denmark!B74</f>
        <v>149.1234272633211</v>
      </c>
      <c r="I34" s="3">
        <f>Finland!B74</f>
        <v>157.79605652642789</v>
      </c>
      <c r="J34" s="3">
        <f>France!B74</f>
        <v>149.4111351127556</v>
      </c>
      <c r="K34" s="3">
        <f>Germany!B74</f>
        <v>144.36481555016516</v>
      </c>
      <c r="L34" s="3">
        <f>Greece!B74</f>
        <v>128.77280216078344</v>
      </c>
      <c r="M34" s="3">
        <f>Hungary!B74</f>
        <v>100.2218196857042</v>
      </c>
      <c r="N34" s="3">
        <f>Ireland!B74</f>
        <v>116.22191044640829</v>
      </c>
      <c r="O34" s="3">
        <f>Israel!B74</f>
        <v>106.55082469943211</v>
      </c>
      <c r="P34" s="3">
        <f>Italy!B74</f>
        <v>153.53129824192985</v>
      </c>
      <c r="Q34" s="3">
        <f>Japan!B74</f>
        <v>167.44185210948723</v>
      </c>
      <c r="R34" s="3">
        <f>Korea!B74</f>
        <v>109.3613839232505</v>
      </c>
      <c r="S34" s="3">
        <f>Netherlands!B74</f>
        <v>166.32557309542401</v>
      </c>
      <c r="T34" s="3">
        <f>'New Zealand'!B74</f>
        <v>84.436489525296992</v>
      </c>
      <c r="U34" s="3">
        <f>Norway!B74</f>
        <v>185.51698537566517</v>
      </c>
      <c r="V34" s="3">
        <f>Spain!B74</f>
        <v>132.2075068194396</v>
      </c>
      <c r="W34" s="3">
        <f>Sweden!B74</f>
        <v>152.45139500134476</v>
      </c>
      <c r="X34" s="3">
        <f>Swiss!B74</f>
        <v>136.47226510393764</v>
      </c>
      <c r="Y34" s="3">
        <f>Turkey!B74</f>
        <v>147.36184340175916</v>
      </c>
      <c r="Z34" s="3">
        <f>USA!J82</f>
        <v>41.993093850361106</v>
      </c>
      <c r="AA34" s="3">
        <f t="shared" si="1"/>
        <v>134.76337279421134</v>
      </c>
    </row>
    <row r="35" spans="1:28">
      <c r="A35">
        <v>1996</v>
      </c>
      <c r="B35" s="3">
        <f>Australia!B75</f>
        <v>77.300131248054839</v>
      </c>
      <c r="C35" s="3">
        <f>Austria!B75</f>
        <v>142.19767570753069</v>
      </c>
      <c r="D35" s="3">
        <f>Belgium!B75</f>
        <v>136.26750284460525</v>
      </c>
      <c r="E35" s="3">
        <f>Britain!B75</f>
        <v>123.08221907620988</v>
      </c>
      <c r="F35" s="3">
        <f>Canada!B75</f>
        <v>59.517803989187279</v>
      </c>
      <c r="G35" s="3">
        <f>'Czech Rep'!B75</f>
        <v>105.58160857810654</v>
      </c>
      <c r="H35" s="3">
        <f>Denmark!B75</f>
        <v>152.94167394219386</v>
      </c>
      <c r="I35" s="3">
        <f>Finland!B75</f>
        <v>157.79605652642792</v>
      </c>
      <c r="J35" s="3">
        <f>France!B75</f>
        <v>152.60200881682383</v>
      </c>
      <c r="K35" s="3">
        <f>Germany!B75</f>
        <v>139.45062068272688</v>
      </c>
      <c r="L35" s="3">
        <f>Greece!B75</f>
        <v>134.50460867261006</v>
      </c>
      <c r="M35" s="3">
        <f>Hungary!B75</f>
        <v>102.10890367024754</v>
      </c>
      <c r="N35" s="3">
        <f>Ireland!B75</f>
        <v>121.0164765727995</v>
      </c>
      <c r="O35" s="3">
        <f>Israel!B75</f>
        <v>109.65807797400988</v>
      </c>
      <c r="P35" s="3">
        <f>Italy!B75</f>
        <v>162.54589291593206</v>
      </c>
      <c r="Q35" s="3">
        <f>Japan!B75</f>
        <v>133.89280190528689</v>
      </c>
      <c r="R35" s="3">
        <f>Korea!B75</f>
        <v>117.17242672602109</v>
      </c>
      <c r="S35" s="3">
        <f>Netherlands!B75</f>
        <v>164.55787058885915</v>
      </c>
      <c r="T35" s="3">
        <f>'New Zealand'!B75</f>
        <v>86.481140586056171</v>
      </c>
      <c r="U35" s="3">
        <f>Norway!B75</f>
        <v>184.19605520902371</v>
      </c>
      <c r="V35" s="3">
        <f>Spain!B75</f>
        <v>118.86390510425278</v>
      </c>
      <c r="W35" s="3">
        <f>Sweden!B75</f>
        <v>150.6729748954036</v>
      </c>
      <c r="X35" s="3">
        <f>Swiss!B75</f>
        <v>117.04322687703824</v>
      </c>
      <c r="Y35" s="3">
        <f>Turkey!B75</f>
        <v>99.991151815118684</v>
      </c>
      <c r="Z35" s="3">
        <f>USA!J83</f>
        <v>44.108417234851807</v>
      </c>
      <c r="AA35" s="3">
        <f t="shared" si="1"/>
        <v>123.08221907620988</v>
      </c>
    </row>
    <row r="36" spans="1:28">
      <c r="A36">
        <v>1997</v>
      </c>
      <c r="B36" s="3">
        <f>Australia!B76</f>
        <v>72.940033716516027</v>
      </c>
      <c r="C36" s="3">
        <f>Austria!B76</f>
        <v>122.72684214680909</v>
      </c>
      <c r="D36" s="3">
        <f>Belgium!B76</f>
        <v>127.81049883406389</v>
      </c>
      <c r="E36" s="3">
        <f>Britain!B76</f>
        <v>137.8905532575975</v>
      </c>
      <c r="F36" s="3">
        <f>Canada!B76</f>
        <v>58.576232372945469</v>
      </c>
      <c r="G36" s="3">
        <f>'Czech Rep'!B76</f>
        <v>92.031153258244387</v>
      </c>
      <c r="H36" s="3">
        <f>Denmark!B76</f>
        <v>135.45358894725788</v>
      </c>
      <c r="I36" s="3">
        <f>Finland!B76</f>
        <v>133.89122766565166</v>
      </c>
      <c r="J36" s="3">
        <f>France!B76</f>
        <v>136.03931554459351</v>
      </c>
      <c r="K36" s="3">
        <f>Germany!B76</f>
        <v>121.42790867351168</v>
      </c>
      <c r="L36" s="3">
        <f>Greece!B76</f>
        <v>110.72701782033923</v>
      </c>
      <c r="M36" s="3">
        <f>Hungary!B76</f>
        <v>93.540460448453345</v>
      </c>
      <c r="N36" s="3">
        <f>Ireland!B76</f>
        <v>117.99341863788248</v>
      </c>
      <c r="O36" s="3">
        <f>Israel!B76</f>
        <v>113.19741901485725</v>
      </c>
      <c r="P36" s="3">
        <f>Italy!B76</f>
        <v>146.03165044249323</v>
      </c>
      <c r="Q36" s="3">
        <f>Japan!B76</f>
        <v>117.24822312943918</v>
      </c>
      <c r="R36" s="3">
        <f>Korea!B76</f>
        <v>119.13125871298622</v>
      </c>
      <c r="S36" s="3">
        <f>Netherlands!B76</f>
        <v>147.31268082642529</v>
      </c>
      <c r="T36" s="3">
        <f>'New Zealand'!B76</f>
        <v>81.245076446628985</v>
      </c>
      <c r="U36" s="3">
        <f>Norway!B76</f>
        <v>163.62833216701458</v>
      </c>
      <c r="V36" s="3">
        <f>Spain!B76</f>
        <v>103.70421322034306</v>
      </c>
      <c r="W36" s="3">
        <f>Sweden!B76</f>
        <v>133.71856624876838</v>
      </c>
      <c r="X36" s="3">
        <f>Swiss!B76</f>
        <v>103.93139242277702</v>
      </c>
      <c r="Y36" s="3">
        <f>Turkey!B76</f>
        <v>104.31137076157523</v>
      </c>
      <c r="Z36" s="3">
        <f>USA!J84</f>
        <v>43.032043581590557</v>
      </c>
      <c r="AA36" s="3">
        <f t="shared" si="1"/>
        <v>117.99341863788248</v>
      </c>
    </row>
    <row r="37" spans="1:28">
      <c r="A37">
        <v>1998</v>
      </c>
      <c r="B37" s="3">
        <f>Australia!B77</f>
        <v>57.494066009816621</v>
      </c>
      <c r="C37" s="3">
        <f>Austria!B77</f>
        <v>112.58211594063778</v>
      </c>
      <c r="D37" s="3">
        <f>Belgium!B77</f>
        <v>113.956814925979</v>
      </c>
      <c r="E37" s="3">
        <f>Britain!B77</f>
        <v>143.28033821854083</v>
      </c>
      <c r="F37" s="3">
        <f>Canada!B77</f>
        <v>49.161451544413261</v>
      </c>
      <c r="G37" s="3">
        <f>'Czech Rep'!B77</f>
        <v>90.067696622953903</v>
      </c>
      <c r="H37" s="3">
        <f>Denmark!B77</f>
        <v>127.09537827311223</v>
      </c>
      <c r="I37" s="3">
        <f>Finland!B77</f>
        <v>126.38625487379383</v>
      </c>
      <c r="J37" s="3">
        <f>France!B77</f>
        <v>127.06926813774042</v>
      </c>
      <c r="K37" s="3">
        <f>Germany!B77</f>
        <v>110.38771337366902</v>
      </c>
      <c r="L37" s="3">
        <f>Greece!B77</f>
        <v>94.846895950862788</v>
      </c>
      <c r="M37" s="3">
        <f>Hungary!B77</f>
        <v>103.74997693361459</v>
      </c>
      <c r="N37" s="3">
        <f>Ireland!B77</f>
        <v>106.14573211581136</v>
      </c>
      <c r="O37" s="3">
        <f>Israel!B77</f>
        <v>117.46969750059462</v>
      </c>
      <c r="P37" s="3">
        <f>Italy!B77</f>
        <v>137.08521205893584</v>
      </c>
      <c r="Q37" s="3">
        <f>Japan!B77</f>
        <v>101.27521304632772</v>
      </c>
      <c r="R37" s="3">
        <f>Korea!B77</f>
        <v>106.07022165884304</v>
      </c>
      <c r="S37" s="3">
        <f>Netherlands!B77</f>
        <v>140.26889320878897</v>
      </c>
      <c r="T37" s="3">
        <f>'New Zealand'!B77</f>
        <v>60.838052179155099</v>
      </c>
      <c r="U37" s="3">
        <f>Norway!B77</f>
        <v>150.60217281534833</v>
      </c>
      <c r="V37" s="3">
        <f>Spain!B77</f>
        <v>96.367369405000318</v>
      </c>
      <c r="W37" s="3">
        <f>Sweden!B77</f>
        <v>117.97373096812281</v>
      </c>
      <c r="X37" s="3">
        <f>Swiss!B77</f>
        <v>93.706858304269986</v>
      </c>
      <c r="Y37" s="3">
        <f>Turkey!B77</f>
        <v>97.06440469931637</v>
      </c>
      <c r="Z37" s="3">
        <f>USA!J85</f>
        <v>36.385369175726304</v>
      </c>
      <c r="AA37" s="3">
        <f t="shared" si="1"/>
        <v>106.14573211581136</v>
      </c>
    </row>
    <row r="38" spans="1:28">
      <c r="A38">
        <v>1999</v>
      </c>
      <c r="B38" s="3">
        <f>Australia!B78</f>
        <v>60.073948461377874</v>
      </c>
      <c r="C38" s="3">
        <f>Austria!B78</f>
        <v>108.86505472825974</v>
      </c>
      <c r="D38" s="3">
        <f>Belgium!B78</f>
        <v>113.45902622533275</v>
      </c>
      <c r="E38" s="3">
        <f>Britain!B78</f>
        <v>149.45776370068239</v>
      </c>
      <c r="F38" s="3">
        <f>Canada!B78</f>
        <v>52.324547821671018</v>
      </c>
      <c r="G38" s="3">
        <f>'Czech Rep'!B78</f>
        <v>90.649728343432926</v>
      </c>
      <c r="H38" s="3">
        <f>Denmark!B78</f>
        <v>137.19942070271395</v>
      </c>
      <c r="I38" s="3">
        <f>Finland!B78</f>
        <v>126.36779333625358</v>
      </c>
      <c r="J38" s="3">
        <f>France!B78</f>
        <v>125.55887134288824</v>
      </c>
      <c r="K38" s="3">
        <f>Germany!B78</f>
        <v>113.81624411758979</v>
      </c>
      <c r="L38" s="3">
        <f>Greece!B78</f>
        <v>88.841929024101987</v>
      </c>
      <c r="M38" s="3">
        <f>Hungary!B78</f>
        <v>115.53630908248731</v>
      </c>
      <c r="N38" s="3">
        <f>Ireland!B78</f>
        <v>101.84898753374681</v>
      </c>
      <c r="O38" s="3">
        <f>Israel!B78</f>
        <v>133.55438505830824</v>
      </c>
      <c r="P38" s="3">
        <f>Italy!B78</f>
        <v>134.41929188864296</v>
      </c>
      <c r="Q38" s="3">
        <f>Japan!B78</f>
        <v>113.66330253883174</v>
      </c>
      <c r="R38" s="3">
        <f>Korea!B78</f>
        <v>124.58625842788511</v>
      </c>
      <c r="S38" s="3">
        <f>Netherlands!B78</f>
        <v>139.51421524725401</v>
      </c>
      <c r="T38" s="3">
        <f>'New Zealand'!B78</f>
        <v>59.841697988398622</v>
      </c>
      <c r="U38" s="3">
        <f>Norway!B78</f>
        <v>153.54778554662224</v>
      </c>
      <c r="V38" s="3">
        <f>Spain!B78</f>
        <v>96.226362388700252</v>
      </c>
      <c r="W38" s="3">
        <f>Sweden!B78</f>
        <v>116.04954024967856</v>
      </c>
      <c r="X38" s="3">
        <f>Swiss!B78</f>
        <v>91.885813371020149</v>
      </c>
      <c r="Y38" s="3">
        <f>Turkey!B78</f>
        <v>113.32595515709021</v>
      </c>
      <c r="Z38" s="3">
        <f>USA!J86</f>
        <v>39.66080510814691</v>
      </c>
      <c r="AA38" s="3">
        <f t="shared" si="1"/>
        <v>113.66330253883174</v>
      </c>
    </row>
    <row r="39" spans="1:28">
      <c r="A39">
        <v>2000</v>
      </c>
      <c r="B39" s="3">
        <f>Australia!B79</f>
        <v>64.044690320762911</v>
      </c>
      <c r="C39" s="3">
        <f>Austria!B79</f>
        <v>108.16642199960209</v>
      </c>
      <c r="D39" s="3">
        <f>Belgium!B79</f>
        <v>121.93517906104013</v>
      </c>
      <c r="E39" s="3">
        <f>Britain!B79</f>
        <v>153.10635034972597</v>
      </c>
      <c r="F39" s="3">
        <f>Canada!B79</f>
        <v>62.083372981587942</v>
      </c>
      <c r="G39" s="3">
        <f>'Czech Rep'!B79</f>
        <v>91.248650702743433</v>
      </c>
      <c r="H39" s="3">
        <f>Denmark!B79</f>
        <v>130.04706007040488</v>
      </c>
      <c r="I39" s="3">
        <f>Finland!B79</f>
        <v>132.43677342993351</v>
      </c>
      <c r="J39" s="3">
        <f>France!B79</f>
        <v>127.18597624548681</v>
      </c>
      <c r="K39" s="3">
        <f>Germany!B79</f>
        <v>115.40085367595087</v>
      </c>
      <c r="L39" s="3">
        <f>Greece!B79</f>
        <v>90.70847028269921</v>
      </c>
      <c r="M39" s="3">
        <f>Hungary!B79</f>
        <v>102.58587475197214</v>
      </c>
      <c r="N39" s="3">
        <f>Ireland!B79</f>
        <v>104.31583739767451</v>
      </c>
      <c r="O39" s="3">
        <f>Israel!B79</f>
        <v>132.1294031076601</v>
      </c>
      <c r="P39" s="3">
        <f>Italy!B79</f>
        <v>126.15741452050754</v>
      </c>
      <c r="Q39" s="3">
        <f>Japan!B79</f>
        <v>122.10694379837594</v>
      </c>
      <c r="R39" s="3">
        <f>Korea!B79</f>
        <v>139.75581510830659</v>
      </c>
      <c r="S39" s="3">
        <f>Netherlands!B79</f>
        <v>135.35388297684835</v>
      </c>
      <c r="T39" s="3">
        <f>'New Zealand'!B79</f>
        <v>61.565397203768171</v>
      </c>
      <c r="U39" s="3">
        <f>Norway!B79</f>
        <v>152.03363660176018</v>
      </c>
      <c r="V39" s="3">
        <f>Spain!B79</f>
        <v>95.580887980410097</v>
      </c>
      <c r="W39" s="3">
        <f>Sweden!B79</f>
        <v>131.48394471015646</v>
      </c>
      <c r="X39" s="3">
        <f>Swiss!B79</f>
        <v>104.76928536783883</v>
      </c>
      <c r="Y39" s="3">
        <f>Turkey!B79</f>
        <v>118.09903361674455</v>
      </c>
      <c r="Z39" s="3">
        <f>USA!J87</f>
        <v>49.770987922339692</v>
      </c>
      <c r="AA39" s="3">
        <f t="shared" si="1"/>
        <v>118.09903361674455</v>
      </c>
    </row>
    <row r="40" spans="1:28">
      <c r="A40">
        <v>2001</v>
      </c>
      <c r="B40" s="3">
        <f>Australia!B80</f>
        <v>55.467878366777121</v>
      </c>
      <c r="C40" s="3">
        <f>Austria!B80</f>
        <v>98.432661538724759</v>
      </c>
      <c r="D40" s="3">
        <f>Belgium!B80</f>
        <v>111.10876016913164</v>
      </c>
      <c r="E40" s="3">
        <f>Britain!B80</f>
        <v>134.41236636632854</v>
      </c>
      <c r="F40" s="3">
        <f>Canada!B80</f>
        <v>55.992194531667081</v>
      </c>
      <c r="G40" s="3">
        <f>'Czech Rep'!B80</f>
        <v>87.77853269384596</v>
      </c>
      <c r="H40" s="3">
        <f>Denmark!B80</f>
        <v>120.62193582463414</v>
      </c>
      <c r="I40" s="3">
        <f>Finland!B80</f>
        <v>122.24168157496726</v>
      </c>
      <c r="J40" s="3">
        <f>France!B80</f>
        <v>114.19511461827419</v>
      </c>
      <c r="K40" s="3">
        <f>Germany!B80</f>
        <v>110.55762544607046</v>
      </c>
      <c r="L40" s="3">
        <f>Greece!B80</f>
        <v>83.101811995800233</v>
      </c>
      <c r="M40" s="3">
        <f>Hungary!B80</f>
        <v>107.78224876441517</v>
      </c>
      <c r="N40" s="3">
        <f>Ireland!B80</f>
        <v>97.991753760275842</v>
      </c>
      <c r="O40" s="3">
        <f>Israel!B80</f>
        <v>119.81669655751359</v>
      </c>
      <c r="P40" s="3">
        <f>Italy!B80</f>
        <v>116.04892349129348</v>
      </c>
      <c r="Q40" s="3">
        <f>Japan!B80</f>
        <v>106.32484329207401</v>
      </c>
      <c r="R40" s="3">
        <f>Korea!B80</f>
        <v>122.13110285767527</v>
      </c>
      <c r="S40" s="3">
        <f>Netherlands!B80</f>
        <v>126.54053241484438</v>
      </c>
      <c r="T40" s="3">
        <f>'New Zealand'!B80</f>
        <v>54.217197847053022</v>
      </c>
      <c r="U40" s="3">
        <f>Norway!B80</f>
        <v>131.30821905808418</v>
      </c>
      <c r="V40" s="3">
        <f>Spain!B80</f>
        <v>88.937767381480143</v>
      </c>
      <c r="W40" s="3">
        <f>Sweden!B80</f>
        <v>112.69600320024821</v>
      </c>
      <c r="X40" s="3">
        <f>Swiss!B80</f>
        <v>98.432053682328714</v>
      </c>
      <c r="Y40" s="3">
        <f>Turkey!B80</f>
        <v>99.702951114948078</v>
      </c>
      <c r="Z40" s="3">
        <f>USA!J88</f>
        <v>46.379148771889078</v>
      </c>
      <c r="AA40" s="3">
        <f t="shared" si="1"/>
        <v>107.78224876441517</v>
      </c>
    </row>
    <row r="41" spans="1:28">
      <c r="A41">
        <v>2002</v>
      </c>
      <c r="B41" s="3">
        <f>Australia!B81</f>
        <v>56.546161615584431</v>
      </c>
      <c r="C41" s="3">
        <f>Austria!B81</f>
        <v>97.904330687058902</v>
      </c>
      <c r="D41" s="3">
        <f>Belgium!B81</f>
        <v>111.71135168138773</v>
      </c>
      <c r="E41" s="3">
        <f>Britain!B81</f>
        <v>133.19777082551664</v>
      </c>
      <c r="F41" s="3">
        <f>Canada!B81</f>
        <v>54.313559686608443</v>
      </c>
      <c r="G41" s="3">
        <f>'Czech Rep'!B81</f>
        <v>93.129536938772546</v>
      </c>
      <c r="H41" s="3">
        <f>Denmark!B81</f>
        <v>124.70499183734781</v>
      </c>
      <c r="I41" s="3">
        <f>Finland!B81</f>
        <v>122.66568238763207</v>
      </c>
      <c r="J41" s="3">
        <f>France!B81</f>
        <v>115.70511808470599</v>
      </c>
      <c r="K41" s="3">
        <f>Germany!B81</f>
        <v>117.30262464603327</v>
      </c>
      <c r="L41" s="3">
        <f>Greece!B81</f>
        <v>83.967405379730295</v>
      </c>
      <c r="M41" s="3">
        <f>Hungary!B81</f>
        <v>113.97034006671605</v>
      </c>
      <c r="N41" s="3">
        <f>Ireland!B81</f>
        <v>97.562007852488762</v>
      </c>
      <c r="O41" s="3">
        <f>Israel!B81</f>
        <v>110.68409794126531</v>
      </c>
      <c r="P41" s="3">
        <f>Italy!B81</f>
        <v>119.72326054623895</v>
      </c>
      <c r="Q41" s="3">
        <f>Japan!B81</f>
        <v>100.75711743897422</v>
      </c>
      <c r="R41" s="3">
        <f>Korea!B81</f>
        <v>125.59733931285453</v>
      </c>
      <c r="S41" s="3">
        <f>Netherlands!B81</f>
        <v>130.53910758274517</v>
      </c>
      <c r="T41" s="3">
        <f>'New Zealand'!B81</f>
        <v>57.701288443784705</v>
      </c>
      <c r="U41" s="3">
        <f>Norway!B81</f>
        <v>136.07033033381774</v>
      </c>
      <c r="V41" s="3">
        <f>Spain!B81</f>
        <v>92.991087030694075</v>
      </c>
      <c r="W41" s="3">
        <f>Sweden!B81</f>
        <v>115.88925798419996</v>
      </c>
      <c r="X41" s="3">
        <f>Swiss!B81</f>
        <v>102.246921874962</v>
      </c>
      <c r="Y41" s="3">
        <f>Turkey!B81</f>
        <v>118.812352336261</v>
      </c>
      <c r="Z41" s="3">
        <f>USA!J89</f>
        <v>43.049804083552893</v>
      </c>
      <c r="AA41" s="3">
        <f t="shared" si="1"/>
        <v>111.71135168138773</v>
      </c>
    </row>
    <row r="42" spans="1:28">
      <c r="A42">
        <v>2003</v>
      </c>
      <c r="B42" s="3">
        <f>Australia!B82</f>
        <v>68.964552118553968</v>
      </c>
      <c r="C42" s="3">
        <f>Austria!B82</f>
        <v>115.3064846850677</v>
      </c>
      <c r="D42" s="3">
        <f>Belgium!B82</f>
        <v>136.17401555614722</v>
      </c>
      <c r="E42" s="3">
        <f>Britain!B82</f>
        <v>147.07003878887758</v>
      </c>
      <c r="F42" s="3">
        <f>Canada!B82</f>
        <v>62.346229027076973</v>
      </c>
      <c r="G42" s="3">
        <f>'Czech Rep'!B82</f>
        <v>107.66079932973076</v>
      </c>
      <c r="H42" s="3">
        <f>Denmark!B82</f>
        <v>146.98975792182068</v>
      </c>
      <c r="I42" s="3">
        <f>Finland!B82</f>
        <v>146.60778099168698</v>
      </c>
      <c r="J42" s="3">
        <f>France!B82</f>
        <v>136.04024933261465</v>
      </c>
      <c r="K42" s="3">
        <f>Germany!B82</f>
        <v>143.39739162690552</v>
      </c>
      <c r="L42" s="3">
        <f>Greece!B82</f>
        <v>99.064469603523392</v>
      </c>
      <c r="M42" s="3">
        <f>Hungary!B82</f>
        <v>132.74399275362319</v>
      </c>
      <c r="N42" s="3">
        <f>Ireland!B82</f>
        <v>116.51038069686072</v>
      </c>
      <c r="O42" s="3">
        <f>Israel!B82</f>
        <v>121.8786765478504</v>
      </c>
      <c r="P42" s="3">
        <f>Italy!B82</f>
        <v>141.90355453920458</v>
      </c>
      <c r="Q42" s="3">
        <f>Japan!B82</f>
        <v>108.67334727285633</v>
      </c>
      <c r="R42" s="3">
        <f>Korea!B82</f>
        <v>128.70546588168557</v>
      </c>
      <c r="S42" s="3">
        <f>Netherlands!B82</f>
        <v>155.03505307423833</v>
      </c>
      <c r="T42" s="3">
        <f>'New Zealand'!B82</f>
        <v>72.333787020860086</v>
      </c>
      <c r="U42" s="3">
        <f>Norway!B82</f>
        <v>156.88534649132123</v>
      </c>
      <c r="V42" s="3">
        <f>Spain!B82</f>
        <v>109.3729307965712</v>
      </c>
      <c r="W42" s="3">
        <f>Sweden!B82</f>
        <v>137.83503622695534</v>
      </c>
      <c r="X42" s="3">
        <f>Swiss!B82</f>
        <v>116.44168369600484</v>
      </c>
      <c r="Y42" s="3">
        <f>Turkey!B82</f>
        <v>142.45787178951139</v>
      </c>
      <c r="Z42" s="3">
        <f>USA!J90</f>
        <v>48.790072568435029</v>
      </c>
      <c r="AA42" s="3">
        <f t="shared" si="1"/>
        <v>128.70546588168557</v>
      </c>
    </row>
    <row r="43" spans="1:28">
      <c r="A43">
        <v>2004</v>
      </c>
      <c r="B43" s="3">
        <f>Australia!B83</f>
        <v>82.539020577846856</v>
      </c>
      <c r="C43" s="3">
        <f>Austria!B83</f>
        <v>133.45058732913114</v>
      </c>
      <c r="D43" s="3">
        <f>Belgium!B83</f>
        <v>163.5522235687848</v>
      </c>
      <c r="E43" s="3">
        <f>Britain!B83</f>
        <v>169.51265869667267</v>
      </c>
      <c r="F43" s="3">
        <f>Canada!B83</f>
        <v>72.139048760878254</v>
      </c>
      <c r="G43" s="3">
        <f>'Czech Rep'!B83</f>
        <v>122.52299387154959</v>
      </c>
      <c r="H43" s="3">
        <f>Denmark!B83</f>
        <v>160.70372443276975</v>
      </c>
      <c r="I43" s="3">
        <f>Finland!B83</f>
        <v>163.5522235687848</v>
      </c>
      <c r="J43" s="3">
        <f>France!B83</f>
        <v>152.08493357272627</v>
      </c>
      <c r="K43" s="3">
        <f>Germany!B83</f>
        <v>159.82535432006577</v>
      </c>
      <c r="L43" s="3">
        <f>Greece!B83</f>
        <v>116.46894392096799</v>
      </c>
      <c r="M43" s="3">
        <f>Hungary!B83</f>
        <v>149.72984074056345</v>
      </c>
      <c r="N43" s="3">
        <f>Ireland!B83</f>
        <v>136.60409207804724</v>
      </c>
      <c r="O43" s="3">
        <f>Israel!B83</f>
        <v>129.78055197896558</v>
      </c>
      <c r="P43" s="3">
        <f>Italy!B83</f>
        <v>161.5070578929089</v>
      </c>
      <c r="Q43" s="3">
        <f>Japan!B83</f>
        <v>119.82409387182844</v>
      </c>
      <c r="R43" s="3">
        <f>Korea!B83</f>
        <v>137.58445478640579</v>
      </c>
      <c r="S43" s="3">
        <f>Netherlands!B83</f>
        <v>179.46308843831602</v>
      </c>
      <c r="T43" s="3">
        <f>'New Zealand'!B83</f>
        <v>89.067529768858293</v>
      </c>
      <c r="U43" s="3">
        <f>Norway!B83</f>
        <v>170.98371864561557</v>
      </c>
      <c r="V43" s="3">
        <f>Spain!B83</f>
        <v>124.64424855017577</v>
      </c>
      <c r="W43" s="3">
        <f>Sweden!B83</f>
        <v>156.52205185490678</v>
      </c>
      <c r="X43" s="3">
        <f>Swiss!B83</f>
        <v>130.8042744737842</v>
      </c>
      <c r="Y43" s="3">
        <f>Turkey!B83</f>
        <v>158.64196505161775</v>
      </c>
      <c r="Z43" s="3">
        <f>USA!J91</f>
        <v>56.457678941432512</v>
      </c>
      <c r="AA43" s="3">
        <f t="shared" si="1"/>
        <v>137.58445478640579</v>
      </c>
    </row>
    <row r="44" spans="1:28">
      <c r="A44">
        <v>2005</v>
      </c>
      <c r="B44" s="3">
        <f>Australia!B84</f>
        <v>94.141322548866043</v>
      </c>
      <c r="C44" s="3">
        <f>Austria!B84</f>
        <v>141.11052516209321</v>
      </c>
      <c r="D44" s="3">
        <f>Belgium!B84</f>
        <v>177.77703957429065</v>
      </c>
      <c r="E44" s="3">
        <f>Britain!B84</f>
        <v>176.05345460513172</v>
      </c>
      <c r="F44" s="3">
        <f>Canada!B84</f>
        <v>85.160995264732946</v>
      </c>
      <c r="G44" s="3">
        <f>'Czech Rep'!B84</f>
        <v>132.44350674278945</v>
      </c>
      <c r="H44" s="3">
        <f>Denmark!B84</f>
        <v>167.05192176189917</v>
      </c>
      <c r="I44" s="3">
        <f>Finland!B84</f>
        <v>169.0222856782014</v>
      </c>
      <c r="J44" s="3">
        <f>France!B84</f>
        <v>161.24933042636832</v>
      </c>
      <c r="K44" s="3">
        <f>Germany!B84</f>
        <v>169.67744168788258</v>
      </c>
      <c r="L44" s="3">
        <f>Greece!B84</f>
        <v>122.40257875336246</v>
      </c>
      <c r="M44" s="3">
        <f>Hungary!B84</f>
        <v>145.93838800141324</v>
      </c>
      <c r="N44" s="3">
        <f>Ireland!B84</f>
        <v>145.65699154406332</v>
      </c>
      <c r="O44" s="3">
        <f>Israel!B84</f>
        <v>137.7938552928473</v>
      </c>
      <c r="P44" s="3">
        <f>Italy!B84</f>
        <v>169.30815014573196</v>
      </c>
      <c r="Q44" s="3">
        <f>Japan!B84</f>
        <v>126.15468673644637</v>
      </c>
      <c r="R44" s="3">
        <f>Korea!B84</f>
        <v>155.72700246096912</v>
      </c>
      <c r="S44" s="3">
        <f>Netherlands!B84</f>
        <v>187.7769980503445</v>
      </c>
      <c r="T44" s="3">
        <f>'New Zealand'!B84</f>
        <v>103.7981424980328</v>
      </c>
      <c r="U44" s="3">
        <f>Norway!B84</f>
        <v>187.39492745990904</v>
      </c>
      <c r="V44" s="3">
        <f>Spain!B84</f>
        <v>132.53612163228919</v>
      </c>
      <c r="W44" s="3">
        <f>Sweden!B84</f>
        <v>164.32264915578489</v>
      </c>
      <c r="X44" s="3">
        <f>Swiss!B84</f>
        <v>136.90823413378857</v>
      </c>
      <c r="Y44" s="3">
        <f>Turkey!B84</f>
        <v>210.71755964474707</v>
      </c>
      <c r="Z44" s="3">
        <f>USA!J92</f>
        <v>66.999025972419361</v>
      </c>
      <c r="AA44" s="3">
        <f t="shared" si="1"/>
        <v>145.93838800141324</v>
      </c>
    </row>
    <row r="45" spans="1:28">
      <c r="A45">
        <v>2006</v>
      </c>
      <c r="B45" s="3">
        <f>Australia!B85</f>
        <v>101.22457726857232</v>
      </c>
      <c r="C45" s="3">
        <f>Austria!B85</f>
        <v>145.63926989202307</v>
      </c>
      <c r="D45" s="3">
        <f>Belgium!B85</f>
        <v>183.64392559544009</v>
      </c>
      <c r="E45" s="3">
        <f>Britain!B85</f>
        <v>181.75883709629275</v>
      </c>
      <c r="F45" s="3">
        <f>Canada!B85</f>
        <v>93.187208408744013</v>
      </c>
      <c r="G45" s="3">
        <f>'Czech Rep'!B85</f>
        <v>142.17461570683662</v>
      </c>
      <c r="H45" s="3">
        <f>Denmark!B85</f>
        <v>173.20841776064299</v>
      </c>
      <c r="I45" s="3">
        <f>Finland!B85</f>
        <v>174.74061479206892</v>
      </c>
      <c r="J45" s="3">
        <f>France!B85</f>
        <v>167.89913966116734</v>
      </c>
      <c r="K45" s="3">
        <f>Germany!B85</f>
        <v>174.18940878343759</v>
      </c>
      <c r="L45" s="3">
        <f>Greece!B85</f>
        <v>131.42699024952677</v>
      </c>
      <c r="M45" s="3">
        <f>Hungary!B85</f>
        <v>142.38123144019025</v>
      </c>
      <c r="N45" s="3">
        <f>Ireland!B85</f>
        <v>151.84965167679434</v>
      </c>
      <c r="O45" s="3">
        <f>Israel!B85</f>
        <v>145.11672355108681</v>
      </c>
      <c r="P45" s="3">
        <f>Italy!B85</f>
        <v>174.70603201306852</v>
      </c>
      <c r="Q45" s="3">
        <f>Japan!B85</f>
        <v>127.92064365375523</v>
      </c>
      <c r="R45" s="3">
        <f>Korea!B85</f>
        <v>168.73310537647757</v>
      </c>
      <c r="S45" s="3">
        <f>Netherlands!B85</f>
        <v>192.05924221548244</v>
      </c>
      <c r="T45" s="3">
        <f>'New Zealand'!B85</f>
        <v>109.03443079324435</v>
      </c>
      <c r="U45" s="3">
        <f>Norway!B85</f>
        <v>193.30324690377282</v>
      </c>
      <c r="V45" s="3">
        <f>Spain!B85</f>
        <v>138.48689343827058</v>
      </c>
      <c r="W45" s="3">
        <f>Sweden!B85</f>
        <v>167.48984902600444</v>
      </c>
      <c r="X45" s="3">
        <f>Swiss!B85</f>
        <v>141.77609525596731</v>
      </c>
      <c r="Y45" s="3">
        <f>Turkey!B85</f>
        <v>210.34090646414941</v>
      </c>
      <c r="Z45" s="3">
        <f>USA!J93</f>
        <v>73.627463806958787</v>
      </c>
      <c r="AA45" s="3">
        <f t="shared" si="1"/>
        <v>151.84965167679434</v>
      </c>
    </row>
    <row r="46" spans="1:28">
      <c r="A46">
        <v>2007</v>
      </c>
      <c r="B46" s="3">
        <f>Australia!B86</f>
        <v>109.39063684354984</v>
      </c>
      <c r="C46" s="3">
        <f>Austria!B86</f>
        <v>158.9296888456642</v>
      </c>
      <c r="D46" s="3">
        <f>Belgium!B86</f>
        <v>199.23794326304281</v>
      </c>
      <c r="E46" s="3">
        <f>Britain!B86</f>
        <v>198.67274346465138</v>
      </c>
      <c r="F46" s="3">
        <f>Canada!B86</f>
        <v>99.7856337523382</v>
      </c>
      <c r="G46" s="3">
        <f>'Czech Rep'!B86</f>
        <v>153.15757523803774</v>
      </c>
      <c r="H46" s="3">
        <f>Denmark!B86</f>
        <v>187.03349503943298</v>
      </c>
      <c r="I46" s="3">
        <f>Finland!B86</f>
        <v>186.91187296488999</v>
      </c>
      <c r="J46" s="3">
        <f>France!B86</f>
        <v>183.25859954758198</v>
      </c>
      <c r="K46" s="3">
        <f>Germany!B86</f>
        <v>192.24833917525953</v>
      </c>
      <c r="L46" s="3">
        <f>Greece!B86</f>
        <v>145.82960595608887</v>
      </c>
      <c r="M46" s="3">
        <f>Hungary!B86</f>
        <v>158.44092748090114</v>
      </c>
      <c r="N46" s="3">
        <f>Ireland!B86</f>
        <v>161.31527941322341</v>
      </c>
      <c r="O46" s="3">
        <f>Israel!B86</f>
        <v>154.86432638840714</v>
      </c>
      <c r="P46" s="3">
        <f>Italy!B86</f>
        <v>187.07496737666816</v>
      </c>
      <c r="Q46" s="3">
        <f>Japan!B86</f>
        <v>124.87333721943483</v>
      </c>
      <c r="R46" s="3">
        <f>Korea!B86</f>
        <v>172.6124902025494</v>
      </c>
      <c r="S46" s="3">
        <f>Netherlands!B86</f>
        <v>210.03479712484062</v>
      </c>
      <c r="T46" s="3">
        <f>'New Zealand'!B86</f>
        <v>120.12495242825345</v>
      </c>
      <c r="U46" s="3">
        <f>Norway!B86</f>
        <v>209.63858870674562</v>
      </c>
      <c r="V46" s="3">
        <f>Spain!B86</f>
        <v>148.9966852562211</v>
      </c>
      <c r="W46" s="3">
        <f>Sweden!B86</f>
        <v>179.11158444812133</v>
      </c>
      <c r="X46" s="3">
        <f>Swiss!B86</f>
        <v>147.5602529000324</v>
      </c>
      <c r="Y46" s="3">
        <f>Turkey!B86</f>
        <v>232.35031229993859</v>
      </c>
      <c r="Z46" s="3">
        <f>USA!J94</f>
        <v>77.966055583121147</v>
      </c>
      <c r="AA46" s="3">
        <f t="shared" si="1"/>
        <v>161.31527941322341</v>
      </c>
    </row>
    <row r="47" spans="1:28">
      <c r="A47">
        <v>2008</v>
      </c>
      <c r="B47" s="3">
        <f>Australia!B87</f>
        <v>119.82512519818303</v>
      </c>
      <c r="C47" s="3">
        <f>Austria!B87</f>
        <v>178.97950897538212</v>
      </c>
      <c r="D47" s="3">
        <f>Belgium!B87</f>
        <v>216.08139723727726</v>
      </c>
      <c r="E47" s="3">
        <f>Britain!B87</f>
        <v>199.47465327319497</v>
      </c>
      <c r="F47" s="3">
        <f>Canada!B87</f>
        <v>109.38097303833419</v>
      </c>
      <c r="G47" s="3">
        <f>'Czech Rep'!B87</f>
        <v>182.7811764218977</v>
      </c>
      <c r="H47" s="3">
        <f>Denmark!B87</f>
        <v>202.90130484818732</v>
      </c>
      <c r="I47" s="3">
        <f>Finland!B87</f>
        <v>214.541411432735</v>
      </c>
      <c r="J47" s="3">
        <f>France!B87</f>
        <v>201.24064193251917</v>
      </c>
      <c r="K47" s="3">
        <f>Germany!B87</f>
        <v>206.78396691140355</v>
      </c>
      <c r="L47" s="3">
        <f>Greece!B87</f>
        <v>164.732584969941</v>
      </c>
      <c r="M47" s="3">
        <f>Hungary!B87</f>
        <v>175.0435303205563</v>
      </c>
      <c r="N47" s="3">
        <f>Ireland!B87</f>
        <v>183.53774096184358</v>
      </c>
      <c r="O47" s="3">
        <f>Israel!B87</f>
        <v>182.94745070883829</v>
      </c>
      <c r="P47" s="3">
        <f>Italy!B87</f>
        <v>205.9211829251114</v>
      </c>
      <c r="Q47" s="3">
        <f>Japan!B87</f>
        <v>153.79586115213172</v>
      </c>
      <c r="R47" s="3">
        <f>Korea!B87</f>
        <v>155.82545623075467</v>
      </c>
      <c r="S47" s="3">
        <f>Netherlands!B87</f>
        <v>228.10240903413126</v>
      </c>
      <c r="T47" s="3">
        <f>'New Zealand'!B87</f>
        <v>129.03445967504993</v>
      </c>
      <c r="U47" s="3">
        <f>Norway!B87</f>
        <v>225.04669751688164</v>
      </c>
      <c r="V47" s="3">
        <f>Spain!B87</f>
        <v>164.43576950152672</v>
      </c>
      <c r="W47" s="3">
        <f>Sweden!B87</f>
        <v>194.52283290485536</v>
      </c>
      <c r="X47" s="3">
        <f>Swiss!B87</f>
        <v>166.97175407191881</v>
      </c>
      <c r="Y47" s="3">
        <f>Turkey!B87</f>
        <v>249.79763268541819</v>
      </c>
      <c r="Z47" s="3">
        <f>USA!J95</f>
        <v>87.161446743514887</v>
      </c>
      <c r="AA47" s="3">
        <f t="shared" si="1"/>
        <v>182.94745070883829</v>
      </c>
    </row>
    <row r="48" spans="1:28">
      <c r="A48">
        <v>2009</v>
      </c>
      <c r="B48" s="3">
        <f>Australia!B88</f>
        <v>94.821331996246656</v>
      </c>
      <c r="C48" s="3">
        <f>Austria!B88</f>
        <v>147.277486101996</v>
      </c>
      <c r="D48" s="3">
        <f>Belgium!B88</f>
        <v>185.82662675956544</v>
      </c>
      <c r="E48" s="3">
        <f>Britain!B88</f>
        <v>157.2387424511854</v>
      </c>
      <c r="F48" s="3">
        <f>Canada!B88</f>
        <v>84.386372812624387</v>
      </c>
      <c r="G48" s="3">
        <f>'Czech Rep'!B88</f>
        <v>145.75271932306356</v>
      </c>
      <c r="H48" s="3">
        <f>Denmark!B88</f>
        <v>179.55820158686646</v>
      </c>
      <c r="I48" s="3">
        <f>Finland!B88</f>
        <v>180.35411732488228</v>
      </c>
      <c r="J48" s="3">
        <f>France!B88</f>
        <v>170.43521162522458</v>
      </c>
      <c r="K48" s="3">
        <f>Germany!B88</f>
        <v>178.20434612698085</v>
      </c>
      <c r="L48" s="3">
        <f>Greece!B88</f>
        <v>141.77046600805753</v>
      </c>
      <c r="M48" s="3">
        <f>Hungary!B88</f>
        <v>141.04944175155316</v>
      </c>
      <c r="N48" s="3">
        <f>Ireland!B88</f>
        <v>156.13390405819649</v>
      </c>
      <c r="O48" s="3">
        <f>Israel!B88</f>
        <v>156.29147455255233</v>
      </c>
      <c r="P48" s="3">
        <f>Italy!B88</f>
        <v>174.26725037674507</v>
      </c>
      <c r="Q48" s="3">
        <f>Japan!B88</f>
        <v>130.57436359412216</v>
      </c>
      <c r="R48" s="3">
        <f>Korea!B88</f>
        <v>125.93021144894006</v>
      </c>
      <c r="S48" s="3">
        <f>Netherlands!B88</f>
        <v>189.6391791322921</v>
      </c>
      <c r="T48" s="3">
        <f>'New Zealand'!B88</f>
        <v>101.83664508672112</v>
      </c>
      <c r="U48" s="3">
        <f>Norway!B88</f>
        <v>192.03113985304711</v>
      </c>
      <c r="V48" s="3">
        <f>Spain!B88</f>
        <v>141.48805472118892</v>
      </c>
      <c r="W48" s="3">
        <f>Sweden!B88</f>
        <v>158.78532242496277</v>
      </c>
      <c r="X48" s="3">
        <f>Swiss!B88</f>
        <v>140.77267252364445</v>
      </c>
      <c r="Y48" s="3">
        <f>Turkey!B88</f>
        <v>204.74011932209376</v>
      </c>
      <c r="Z48" s="3">
        <f>USA!J96</f>
        <v>63.086447704515933</v>
      </c>
      <c r="AA48" s="3">
        <f t="shared" si="1"/>
        <v>156.13390405819649</v>
      </c>
      <c r="AB48" s="3">
        <f t="shared" ref="AB48:AB55" si="2">AA48/AA$56*AA48</f>
        <v>179.97458574910218</v>
      </c>
    </row>
    <row r="49" spans="1:28">
      <c r="A49">
        <v>2010</v>
      </c>
      <c r="B49" s="3">
        <f>Australia!B89</f>
        <v>115.90755761640831</v>
      </c>
      <c r="C49" s="3">
        <f>Austria!B89</f>
        <v>156.45774781807708</v>
      </c>
      <c r="D49" s="3">
        <f>Belgium!B89</f>
        <v>191.91447415595636</v>
      </c>
      <c r="E49" s="3">
        <f>Britain!B89</f>
        <v>180.6300911215379</v>
      </c>
      <c r="F49" s="3">
        <f>Canada!B89</f>
        <v>100.08127185559322</v>
      </c>
      <c r="G49" s="3">
        <f>'Czech Rep'!B89</f>
        <v>165.23480751646255</v>
      </c>
      <c r="H49" s="3">
        <f>Denmark!B89</f>
        <v>190.07553518608225</v>
      </c>
      <c r="I49" s="3">
        <f>Finland!B89</f>
        <v>188.86385282995855</v>
      </c>
      <c r="J49" s="3">
        <f>France!B89</f>
        <v>177.15182229780589</v>
      </c>
      <c r="K49" s="3">
        <f>Germany!B89</f>
        <v>183.35358867152422</v>
      </c>
      <c r="L49" s="3">
        <f>Greece!B89</f>
        <v>187.03752666710309</v>
      </c>
      <c r="M49" s="3">
        <f>Hungary!B89</f>
        <v>161.17423754757567</v>
      </c>
      <c r="N49" s="3">
        <f>Ireland!B89</f>
        <v>171.41676876982174</v>
      </c>
      <c r="O49" s="3">
        <f>Israel!B89</f>
        <v>176.51872970703241</v>
      </c>
      <c r="P49" s="3">
        <f>Italy!B89</f>
        <v>179.67349735818968</v>
      </c>
      <c r="Q49" s="3">
        <f>Japan!B89</f>
        <v>152.59641702673451</v>
      </c>
      <c r="R49" s="3">
        <f>Korea!B89</f>
        <v>147.61217113918229</v>
      </c>
      <c r="S49" s="3">
        <f>Netherlands!B89</f>
        <v>198.10951556071595</v>
      </c>
      <c r="T49" s="3">
        <f>'New Zealand'!B89</f>
        <v>127.21870078046472</v>
      </c>
      <c r="U49" s="3">
        <f>Norway!B89</f>
        <v>209.86166140729225</v>
      </c>
      <c r="V49" s="3">
        <f>Spain!B89</f>
        <v>153.55794120308323</v>
      </c>
      <c r="W49" s="3">
        <f>Sweden!B89</f>
        <v>176.67940667839466</v>
      </c>
      <c r="X49" s="3">
        <f>Swiss!B89</f>
        <v>157.69327884678498</v>
      </c>
      <c r="Y49" s="3">
        <f>Turkey!B89</f>
        <v>245.00211543334777</v>
      </c>
      <c r="Z49" s="3">
        <f>USA!J97</f>
        <v>73.433334427575289</v>
      </c>
      <c r="AA49" s="3">
        <f t="shared" si="1"/>
        <v>176.51872970703241</v>
      </c>
      <c r="AB49" s="3">
        <f t="shared" si="2"/>
        <v>230.0373368621965</v>
      </c>
    </row>
    <row r="50" spans="1:28">
      <c r="A50">
        <v>2011</v>
      </c>
      <c r="B50" s="3">
        <f>Australia!B90</f>
        <v>142.32155271184399</v>
      </c>
      <c r="C50" s="3">
        <f>Austria!B90</f>
        <v>183.96708940636427</v>
      </c>
      <c r="D50" s="3">
        <f>Belgium!B90</f>
        <v>217.5864012932208</v>
      </c>
      <c r="E50" s="3">
        <f>Britain!B90</f>
        <v>208.3841824046624</v>
      </c>
      <c r="F50" s="3">
        <f>Canada!B90</f>
        <v>120.4221513347095</v>
      </c>
      <c r="G50" s="3">
        <f>'Czech Rep'!B90</f>
        <v>190.69022868595809</v>
      </c>
      <c r="H50" s="3">
        <f>Denmark!B90</f>
        <v>218.23503602645266</v>
      </c>
      <c r="I50" s="3">
        <f>Finland!B90</f>
        <v>211.39680840938803</v>
      </c>
      <c r="J50" s="3">
        <f>France!B90</f>
        <v>203.03756712873343</v>
      </c>
      <c r="K50" s="3">
        <f>Germany!B90</f>
        <v>206.94326867505862</v>
      </c>
      <c r="L50" s="3">
        <f>Greece!B90</f>
        <v>225.86743125558203</v>
      </c>
      <c r="M50" s="3">
        <f>Hungary!B90</f>
        <v>185.95810934696487</v>
      </c>
      <c r="N50" s="3">
        <f>Ireland!B90</f>
        <v>200.783096956359</v>
      </c>
      <c r="P50" s="3">
        <f>Italy!B90</f>
        <v>210.23895501279938</v>
      </c>
      <c r="Q50" s="3">
        <f>Japan!B90</f>
        <v>177.33125374920508</v>
      </c>
      <c r="R50" s="3">
        <f>Korea!B90</f>
        <v>160.91845961546318</v>
      </c>
      <c r="S50" s="3">
        <f>Netherlands!B90</f>
        <v>222.12430823548931</v>
      </c>
      <c r="T50" s="3">
        <f>'New Zealand'!B90</f>
        <v>160.71465229084964</v>
      </c>
      <c r="U50" s="3">
        <f>Norway!B90</f>
        <v>236.96263903458848</v>
      </c>
      <c r="V50" s="3">
        <f>Spain!B90</f>
        <v>178.55572483987555</v>
      </c>
      <c r="W50" s="3">
        <f>Sweden!B90</f>
        <v>209.135091626964</v>
      </c>
      <c r="X50" s="3">
        <f>Swiss!B90</f>
        <v>189.21839741463796</v>
      </c>
      <c r="Y50" s="3"/>
      <c r="Z50" s="3">
        <f>USA!J98</f>
        <v>90.215476528957822</v>
      </c>
      <c r="AA50" s="3">
        <f>MEDIAN(B50:N50,P50:X50,Z50)</f>
        <v>200.783096956359</v>
      </c>
      <c r="AB50" s="3">
        <f t="shared" si="2"/>
        <v>297.6261192322296</v>
      </c>
    </row>
    <row r="51" spans="1:28">
      <c r="A51">
        <v>2012</v>
      </c>
      <c r="B51" s="3">
        <f>Australia!B91</f>
        <v>141.63337112306453</v>
      </c>
      <c r="C51" s="3">
        <f>Austria!B91</f>
        <v>178.05583873730089</v>
      </c>
      <c r="D51" s="3">
        <f>Belgium!B91</f>
        <v>210.13605126655773</v>
      </c>
      <c r="E51" s="3">
        <f>Britain!B91</f>
        <v>205.98488170288772</v>
      </c>
      <c r="F51" s="3">
        <f>Canada!B91</f>
        <v>120.28673578303153</v>
      </c>
      <c r="G51" s="3">
        <f>'Czech Rep'!B91</f>
        <v>179.66751239355276</v>
      </c>
      <c r="H51" s="3">
        <f>Denmark!B91</f>
        <v>208.82401499886458</v>
      </c>
      <c r="I51" s="3">
        <f>Finland!B91</f>
        <v>205.19319379591317</v>
      </c>
      <c r="J51" s="3">
        <f>France!B91</f>
        <v>192.38116397558397</v>
      </c>
      <c r="K51" s="3">
        <f>Germany!B91</f>
        <v>202.80203865359158</v>
      </c>
      <c r="L51" s="3">
        <f>Greece!B91</f>
        <v>214.90068212527541</v>
      </c>
      <c r="M51" s="3">
        <f>Hungary!B91</f>
        <v>181.68387777860872</v>
      </c>
      <c r="N51" s="3">
        <f>Ireland!B91</f>
        <v>198.46134013469845</v>
      </c>
      <c r="P51" s="3">
        <f>Italy!B91</f>
        <v>219.62128356337365</v>
      </c>
      <c r="Q51" s="3">
        <f>Japan!B91</f>
        <v>174.81213946353958</v>
      </c>
      <c r="R51" s="3">
        <f>Korea!B91</f>
        <v>166.02881605030842</v>
      </c>
      <c r="S51" s="3">
        <f>Netherlands!B91</f>
        <v>216.20654358140706</v>
      </c>
      <c r="T51" s="3">
        <f>'New Zealand'!B91</f>
        <v>166.03505152260226</v>
      </c>
      <c r="U51" s="3">
        <f>Norway!B91</f>
        <v>240.46978632710756</v>
      </c>
      <c r="V51" s="3">
        <f>Spain!B91</f>
        <v>175.09213478034559</v>
      </c>
      <c r="W51" s="3">
        <f>Sweden!B91</f>
        <v>210.06480896286348</v>
      </c>
      <c r="X51" s="3">
        <f>Swiss!B91</f>
        <v>179.49275157035552</v>
      </c>
      <c r="Y51" s="3"/>
      <c r="Z51" s="3">
        <f>USA!J99</f>
        <v>91.039516602232354</v>
      </c>
      <c r="AA51" s="3">
        <f t="shared" ref="AA51:AA56" si="3">MEDIAN(B51:N51,P51:X51,Z51)</f>
        <v>192.38116397558397</v>
      </c>
      <c r="AB51" s="3">
        <f t="shared" si="2"/>
        <v>273.23846716875983</v>
      </c>
    </row>
    <row r="52" spans="1:28">
      <c r="A52">
        <v>2013</v>
      </c>
      <c r="B52" s="3">
        <f>Australia!B92</f>
        <v>131.45764357048287</v>
      </c>
      <c r="C52" s="3">
        <f>Austria!B92</f>
        <v>173.68539214783894</v>
      </c>
      <c r="D52" s="3">
        <f>Belgium!B92</f>
        <v>205.0421950026163</v>
      </c>
      <c r="E52" s="3">
        <f>Britain!B92</f>
        <v>197.29094081641267</v>
      </c>
      <c r="F52" s="3">
        <f>Canada!B92</f>
        <v>114.92288364547403</v>
      </c>
      <c r="G52" s="3">
        <f>'Czech Rep'!B92</f>
        <v>174.00840585621981</v>
      </c>
      <c r="H52" s="3">
        <f>Denmark!B92</f>
        <v>208.99488221834167</v>
      </c>
      <c r="I52" s="3">
        <f>Finland!B92</f>
        <v>204.80097136701048</v>
      </c>
      <c r="J52" s="3">
        <f>France!B92</f>
        <v>191.66642072458342</v>
      </c>
      <c r="K52" s="3">
        <f>Germany!B92</f>
        <v>199.63539843481237</v>
      </c>
      <c r="L52" s="3">
        <f>Greece!B92</f>
        <v>211.05309584701578</v>
      </c>
      <c r="M52" s="3">
        <f>Hungary!B92</f>
        <v>175.49255384277379</v>
      </c>
      <c r="N52" s="3">
        <f>Ireland!B92</f>
        <v>198.01109293244298</v>
      </c>
      <c r="P52" s="3">
        <f>Italy!B92</f>
        <v>218.04519501110144</v>
      </c>
      <c r="Q52" s="3">
        <f>Japan!B92</f>
        <v>149.46161328656768</v>
      </c>
      <c r="R52" s="3">
        <f>Korea!B92</f>
        <v>157.32573018053554</v>
      </c>
      <c r="S52" s="3">
        <f>Netherlands!B92</f>
        <v>216.66143217340226</v>
      </c>
      <c r="T52" s="3">
        <f>'New Zealand'!B92</f>
        <v>165.29667977464302</v>
      </c>
      <c r="U52" s="3">
        <f>Norway!B92</f>
        <v>244.59900452080609</v>
      </c>
      <c r="V52" s="3">
        <f>Spain!B92</f>
        <v>178.52863841830228</v>
      </c>
      <c r="W52" s="3">
        <f>Sweden!B92</f>
        <v>208.17877258739856</v>
      </c>
      <c r="X52" s="3">
        <f>Swiss!B92</f>
        <v>177.42091410227189</v>
      </c>
      <c r="Y52" s="3"/>
      <c r="Z52" s="3">
        <f>USA!J100</f>
        <v>86.810701220507184</v>
      </c>
      <c r="AA52" s="3">
        <f t="shared" si="3"/>
        <v>191.66642072458342</v>
      </c>
      <c r="AB52" s="3">
        <f t="shared" si="2"/>
        <v>271.21194272936083</v>
      </c>
    </row>
    <row r="53" spans="1:28">
      <c r="A53">
        <v>2014</v>
      </c>
      <c r="B53" s="3">
        <f>Australia!B93</f>
        <v>121.81618522919376</v>
      </c>
      <c r="C53" s="3">
        <f>Austria!B93</f>
        <v>164.30656486563299</v>
      </c>
      <c r="D53" s="3">
        <f>Belgium!B93</f>
        <v>194.14288897246334</v>
      </c>
      <c r="E53" s="3">
        <f>Britain!B93</f>
        <v>193.12022468066797</v>
      </c>
      <c r="F53" s="3">
        <f>Canada!B93</f>
        <v>106.10132641463333</v>
      </c>
      <c r="G53" s="3">
        <f>'Czech Rep'!B93</f>
        <v>160.40824969218002</v>
      </c>
      <c r="H53" s="3">
        <f>Denmark!B93</f>
        <v>200.42504089616392</v>
      </c>
      <c r="I53" s="3">
        <f>Finland!B93</f>
        <v>195.66977761022736</v>
      </c>
      <c r="J53" s="3">
        <f>France!B93</f>
        <v>181.61963468415331</v>
      </c>
      <c r="K53" s="3">
        <f>Germany!B93</f>
        <v>187.85878736395003</v>
      </c>
      <c r="L53" s="3">
        <f>Greece!B93</f>
        <v>201.23734413119033</v>
      </c>
      <c r="M53" s="3">
        <f>Hungary!B93</f>
        <v>161.43162854149503</v>
      </c>
      <c r="N53" s="3">
        <f>Ireland!B93</f>
        <v>186.23865283487797</v>
      </c>
      <c r="P53" s="3">
        <f>Italy!B93</f>
        <v>208.92366660057249</v>
      </c>
      <c r="Q53" s="3">
        <f>Japan!B93</f>
        <v>141.58798773586281</v>
      </c>
      <c r="R53" s="3">
        <f>Korea!B93</f>
        <v>150.63902326929866</v>
      </c>
      <c r="S53" s="3">
        <f>Netherlands!B93</f>
        <v>207.18318717088664</v>
      </c>
      <c r="T53" s="3">
        <f>'New Zealand'!B93</f>
        <v>165.1064327474175</v>
      </c>
      <c r="U53" s="3">
        <f>Norway!B93</f>
        <v>229.52340600559756</v>
      </c>
      <c r="V53" s="3">
        <f>Spain!B93</f>
        <v>169.53543154554148</v>
      </c>
      <c r="W53" s="3">
        <f>Sweden!B93</f>
        <v>191.44995472437913</v>
      </c>
      <c r="X53" s="3">
        <f>Swiss!B93</f>
        <v>170.60025495346537</v>
      </c>
      <c r="Y53" s="3"/>
      <c r="Z53" s="3">
        <f>USA!J101</f>
        <v>81.921028759039473</v>
      </c>
      <c r="AA53" s="3">
        <f t="shared" si="3"/>
        <v>181.61963468415331</v>
      </c>
      <c r="AB53" s="3">
        <f t="shared" si="2"/>
        <v>243.5243202758565</v>
      </c>
    </row>
    <row r="54" spans="1:28">
      <c r="A54">
        <v>2015</v>
      </c>
      <c r="B54" s="3">
        <f>Australia!B94</f>
        <v>87.921998816497918</v>
      </c>
      <c r="C54" s="3">
        <f>Austria!B94</f>
        <v>122.07827603824651</v>
      </c>
      <c r="D54" s="3">
        <f>Belgium!B94</f>
        <v>144.18029117759932</v>
      </c>
      <c r="E54" s="3">
        <f>Britain!B94</f>
        <v>155.94025133255434</v>
      </c>
      <c r="F54" s="3">
        <f>Canada!B94</f>
        <v>75.825554760305607</v>
      </c>
      <c r="G54" s="3">
        <f>'Czech Rep'!B94</f>
        <v>117.21439913383247</v>
      </c>
      <c r="H54" s="3">
        <f>Denmark!B94</f>
        <v>152.55597921683508</v>
      </c>
      <c r="I54" s="3">
        <f>Finland!B94</f>
        <v>149.09209984529048</v>
      </c>
      <c r="J54" s="3">
        <f>France!B94</f>
        <v>137.74720577532352</v>
      </c>
      <c r="K54" s="3">
        <f>Germany!B94</f>
        <v>141.87749798305941</v>
      </c>
      <c r="L54" s="3">
        <f>Greece!B94</f>
        <v>150.36051016981941</v>
      </c>
      <c r="M54" s="3">
        <f>Hungary!B94</f>
        <v>117.60462183955522</v>
      </c>
      <c r="N54" s="3">
        <f>Ireland!B94</f>
        <v>139.02979245053842</v>
      </c>
      <c r="P54" s="3">
        <f>Italy!B94</f>
        <v>156.16066871492959</v>
      </c>
      <c r="Q54" s="3">
        <f>Japan!B94</f>
        <v>104.59031565630721</v>
      </c>
      <c r="R54" s="3">
        <f>Korea!B94</f>
        <v>123.94508217367006</v>
      </c>
      <c r="S54" s="3">
        <f>Netherlands!B94</f>
        <v>158.76683741865872</v>
      </c>
      <c r="T54" s="3">
        <f>'New Zealand'!B94</f>
        <v>125.74221361210745</v>
      </c>
      <c r="U54" s="3">
        <f>Norway!B94</f>
        <v>171.67149621738324</v>
      </c>
      <c r="V54" s="3">
        <f>Spain!B94</f>
        <v>125.09193192156</v>
      </c>
      <c r="W54" s="3">
        <f>Sweden!B94</f>
        <v>143.13954553030686</v>
      </c>
      <c r="X54" s="3">
        <f>Swiss!B94</f>
        <v>138.53094005009169</v>
      </c>
      <c r="Y54" s="3"/>
      <c r="Z54" s="3">
        <f>USA!J102</f>
        <v>58.865901872916346</v>
      </c>
      <c r="AA54" s="3">
        <f t="shared" si="3"/>
        <v>138.53094005009169</v>
      </c>
      <c r="AB54" s="3">
        <f t="shared" si="2"/>
        <v>141.68057372220227</v>
      </c>
    </row>
    <row r="55" spans="1:28">
      <c r="A55">
        <v>2016</v>
      </c>
      <c r="B55" s="3">
        <f>Australia!B95</f>
        <v>78.798458356068792</v>
      </c>
      <c r="C55" s="3">
        <f>Austria!B95</f>
        <v>111.34573910964231</v>
      </c>
      <c r="D55" s="3">
        <f>Belgium!B95</f>
        <v>131.55692682923598</v>
      </c>
      <c r="E55" s="3">
        <f>Britain!B95</f>
        <v>133.33052661243954</v>
      </c>
      <c r="F55" s="3">
        <f>Canada!B95</f>
        <v>69.055402161430166</v>
      </c>
      <c r="G55" s="3">
        <f>'Czech Rep'!B95</f>
        <v>106.03652437163554</v>
      </c>
      <c r="H55" s="3">
        <f>Denmark!B95</f>
        <v>141.60332407888905</v>
      </c>
      <c r="I55" s="3">
        <f>Finland!B95</f>
        <v>138.33712763146107</v>
      </c>
      <c r="J55" s="3">
        <f>France!B95</f>
        <v>130.35526250955675</v>
      </c>
      <c r="K55" s="3">
        <f>Germany!B95</f>
        <v>130.7813020716824</v>
      </c>
      <c r="L55" s="3">
        <f>Greece!B95</f>
        <v>139.62949238512243</v>
      </c>
      <c r="M55" s="3">
        <f>Hungary!B95</f>
        <v>107.10173347859526</v>
      </c>
      <c r="N55" s="3">
        <f>Ireland!B95</f>
        <v>128.53699546613794</v>
      </c>
      <c r="P55" s="3">
        <f>Italy!B95</f>
        <v>144.58820577993859</v>
      </c>
      <c r="Q55" s="3">
        <f>Japan!B95</f>
        <v>101.5712719658417</v>
      </c>
      <c r="R55" s="3">
        <f>Korea!B95</f>
        <v>109.11846738227948</v>
      </c>
      <c r="S55" s="3">
        <f>Netherlands!B95</f>
        <v>147.97075512852174</v>
      </c>
      <c r="T55" s="3">
        <f>'New Zealand'!B95</f>
        <v>119.11160281234314</v>
      </c>
      <c r="U55" s="3">
        <f>Norway!B95</f>
        <v>159.72559733236736</v>
      </c>
      <c r="V55" s="3">
        <f>Spain!B95</f>
        <v>115.15701293317274</v>
      </c>
      <c r="W55" s="3">
        <f>Sweden!B95</f>
        <v>138.69748701277268</v>
      </c>
      <c r="X55" s="3">
        <f>Swiss!B95</f>
        <v>128.67304364332841</v>
      </c>
      <c r="Y55" s="3"/>
      <c r="Z55" s="3">
        <f>USA!J103</f>
        <v>52.286523771660455</v>
      </c>
      <c r="AA55" s="3">
        <f t="shared" si="3"/>
        <v>128.67304364332841</v>
      </c>
      <c r="AB55" s="3">
        <f t="shared" si="2"/>
        <v>122.2339629004522</v>
      </c>
    </row>
    <row r="56" spans="1:28">
      <c r="A56">
        <v>2017</v>
      </c>
      <c r="B56" s="3">
        <f>Australia!B96</f>
        <v>87.583013370412331</v>
      </c>
      <c r="C56" s="3">
        <f>Austria!B96</f>
        <v>118.0710411726284</v>
      </c>
      <c r="D56" s="3">
        <f>Belgium!B96</f>
        <v>140.76075408860871</v>
      </c>
      <c r="E56" s="3">
        <f>Britain!B96</f>
        <v>134.47457679742431</v>
      </c>
      <c r="F56" s="3">
        <f>Canada!B96</f>
        <v>76.396999959511788</v>
      </c>
      <c r="G56" s="3">
        <f>'Czech Rep'!B96</f>
        <v>115.41167508017519</v>
      </c>
      <c r="H56" s="3">
        <f>Denmark!B96</f>
        <v>150.009727109723</v>
      </c>
      <c r="I56" s="3">
        <f>Finland!B96</f>
        <v>146.83872384996533</v>
      </c>
      <c r="J56" s="3">
        <f>France!B96</f>
        <v>137.91961910912224</v>
      </c>
      <c r="K56" s="3">
        <f>Germany!B96</f>
        <v>137.76960358595829</v>
      </c>
      <c r="L56" s="3">
        <f>Greece!B96</f>
        <v>151.51166728542233</v>
      </c>
      <c r="M56" s="3">
        <f>Hungary!B96</f>
        <v>115.05406454627978</v>
      </c>
      <c r="N56" s="3">
        <f>Ireland!B96</f>
        <v>136.75880380421137</v>
      </c>
      <c r="P56" s="3">
        <f>Italy!B96</f>
        <v>153.18819103453646</v>
      </c>
      <c r="Q56" s="3">
        <f>Japan!B96</f>
        <v>105.89136817237051</v>
      </c>
      <c r="R56" s="3">
        <f>Korea!B96</f>
        <v>117.17945754865565</v>
      </c>
      <c r="S56" s="3">
        <f>Netherlands!B96</f>
        <v>155.64210806023937</v>
      </c>
      <c r="T56" s="3">
        <f>'New Zealand'!B96</f>
        <v>127.75109362855284</v>
      </c>
      <c r="U56" s="3">
        <f>Norway!B96</f>
        <v>174.62169889212979</v>
      </c>
      <c r="V56" s="3">
        <f>Spain!B96</f>
        <v>122.0259758186742</v>
      </c>
      <c r="W56" s="3">
        <f>Sweden!B96</f>
        <v>145.95631970716178</v>
      </c>
      <c r="X56" s="3">
        <f>Swiss!B96</f>
        <v>135.45132439109236</v>
      </c>
      <c r="Y56" s="3"/>
      <c r="Z56" s="3">
        <f>USA!J104</f>
        <v>56.807081437851757</v>
      </c>
      <c r="AA56" s="3">
        <f t="shared" si="3"/>
        <v>135.45132439109236</v>
      </c>
      <c r="AB56" s="3">
        <f>AA56/AA$56*AA56</f>
        <v>135.45132439109236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"/>
  <sheetViews>
    <sheetView zoomScale="75" zoomScaleNormal="75" workbookViewId="0">
      <pane xSplit="1" ySplit="3" topLeftCell="B4" activePane="bottomRight" state="frozen"/>
      <selection activeCell="BN97" sqref="BN97"/>
      <selection pane="topRight" activeCell="BN97" sqref="BN97"/>
      <selection pane="bottomLeft" activeCell="BN97" sqref="BN97"/>
      <selection pane="bottomRight" activeCell="BN97" sqref="BN97"/>
    </sheetView>
  </sheetViews>
  <sheetFormatPr defaultRowHeight="15"/>
  <cols>
    <col min="1" max="1" width="6.7109375" customWidth="1"/>
    <col min="2" max="26" width="12.140625" style="4" customWidth="1"/>
  </cols>
  <sheetData>
    <row r="1" spans="1:33">
      <c r="B1" s="4" t="s">
        <v>247</v>
      </c>
    </row>
    <row r="2" spans="1:33">
      <c r="B2" s="4" t="s">
        <v>355</v>
      </c>
      <c r="C2" s="4" t="s">
        <v>363</v>
      </c>
      <c r="D2" s="4" t="s">
        <v>356</v>
      </c>
      <c r="E2" s="4" t="s">
        <v>364</v>
      </c>
      <c r="F2" s="4" t="s">
        <v>357</v>
      </c>
      <c r="G2" s="4" t="s">
        <v>358</v>
      </c>
      <c r="H2" s="4" t="s">
        <v>365</v>
      </c>
      <c r="I2" s="4" t="s">
        <v>360</v>
      </c>
      <c r="J2" s="4" t="s">
        <v>361</v>
      </c>
      <c r="K2" s="4" t="s">
        <v>359</v>
      </c>
      <c r="L2" s="4" t="s">
        <v>362</v>
      </c>
      <c r="M2" s="4" t="s">
        <v>366</v>
      </c>
      <c r="N2" s="4" t="s">
        <v>369</v>
      </c>
      <c r="O2" s="4" t="s">
        <v>370</v>
      </c>
      <c r="P2" s="4" t="s">
        <v>367</v>
      </c>
      <c r="Q2" s="4" t="s">
        <v>371</v>
      </c>
      <c r="R2" s="4" t="s">
        <v>372</v>
      </c>
      <c r="S2" s="4" t="s">
        <v>373</v>
      </c>
      <c r="T2" s="4" t="s">
        <v>188</v>
      </c>
      <c r="U2" s="4" t="s">
        <v>368</v>
      </c>
      <c r="V2" s="4" t="s">
        <v>374</v>
      </c>
      <c r="W2" s="4" t="s">
        <v>375</v>
      </c>
      <c r="X2" s="4" t="s">
        <v>376</v>
      </c>
      <c r="Y2" s="4" t="s">
        <v>377</v>
      </c>
      <c r="Z2" s="4" t="s">
        <v>177</v>
      </c>
      <c r="AF2" t="s">
        <v>379</v>
      </c>
      <c r="AG2" t="s">
        <v>378</v>
      </c>
    </row>
    <row r="3" spans="1:33">
      <c r="B3" s="4" t="s">
        <v>0</v>
      </c>
      <c r="C3" s="4" t="s">
        <v>219</v>
      </c>
      <c r="D3" s="4" t="s">
        <v>146</v>
      </c>
      <c r="E3" s="4" t="s">
        <v>150</v>
      </c>
      <c r="F3" s="4" t="s">
        <v>29</v>
      </c>
      <c r="G3" s="4" t="s">
        <v>124</v>
      </c>
      <c r="H3" s="4" t="s">
        <v>125</v>
      </c>
      <c r="I3" s="4" t="s">
        <v>220</v>
      </c>
      <c r="J3" s="4" t="s">
        <v>168</v>
      </c>
      <c r="K3" s="4" t="s">
        <v>170</v>
      </c>
      <c r="L3" s="4" t="s">
        <v>221</v>
      </c>
      <c r="M3" s="4" t="s">
        <v>171</v>
      </c>
      <c r="N3" s="4" t="s">
        <v>173</v>
      </c>
      <c r="O3" s="4" t="s">
        <v>222</v>
      </c>
      <c r="P3" s="21" t="s">
        <v>210</v>
      </c>
      <c r="Q3" s="4" t="s">
        <v>184</v>
      </c>
      <c r="R3" s="4" t="s">
        <v>186</v>
      </c>
      <c r="S3" s="4" t="s">
        <v>223</v>
      </c>
      <c r="T3" s="4" t="s">
        <v>224</v>
      </c>
      <c r="U3" s="4" t="s">
        <v>196</v>
      </c>
      <c r="V3" s="4" t="s">
        <v>211</v>
      </c>
      <c r="W3" s="4" t="s">
        <v>200</v>
      </c>
      <c r="X3" s="4" t="s">
        <v>225</v>
      </c>
      <c r="Y3" s="4" t="s">
        <v>212</v>
      </c>
      <c r="Z3" s="4" t="s">
        <v>226</v>
      </c>
      <c r="AF3" t="s">
        <v>329</v>
      </c>
      <c r="AG3" t="s">
        <v>328</v>
      </c>
    </row>
    <row r="4" spans="1:33">
      <c r="A4">
        <v>1965</v>
      </c>
      <c r="B4" s="4">
        <f>Australia!AI44/Australia!Z44*100</f>
        <v>34.4</v>
      </c>
      <c r="C4" s="4">
        <f>Austria!AR44/Austria!AO44*100</f>
        <v>59.4</v>
      </c>
      <c r="D4" s="4">
        <f>Belgium!AR44/Belgium!AO44*100</f>
        <v>69.400000000000006</v>
      </c>
      <c r="E4" s="4">
        <f>Britain!AU44/Britain!AR44*100</f>
        <v>66.7</v>
      </c>
      <c r="F4" s="4">
        <f>Canada!AT44/Canada!AP44*100</f>
        <v>56.06321328427866</v>
      </c>
      <c r="H4" s="4">
        <f>Denmark!AU44/Denmark!AR44*100</f>
        <v>55.38666666666667</v>
      </c>
      <c r="I4" s="4">
        <f>Finland!AR44/Finland!AO44*100</f>
        <v>66</v>
      </c>
      <c r="J4" s="4">
        <f>France!AR44/France!AO44*100</f>
        <v>76.099999999999994</v>
      </c>
      <c r="K4" s="4">
        <f>Germany!AR44/Germany!AO44*100</f>
        <v>60</v>
      </c>
      <c r="L4" s="4">
        <f>Greece!AO44/Greece!AN44*100</f>
        <v>68.2</v>
      </c>
      <c r="M4" s="4">
        <f>Hungary!AO44/Hungary!AN44*100</f>
        <v>43.680327148381146</v>
      </c>
      <c r="N4" s="4">
        <f>Ireland!AR44/Ireland!AO44*100</f>
        <v>64.800240886657051</v>
      </c>
      <c r="O4" s="4">
        <f>Israel!AM44/Israel!O44*100</f>
        <v>56.28805009194825</v>
      </c>
      <c r="P4" s="4">
        <f>Italy!AR44/Italy!AO44*100</f>
        <v>74.599999999999994</v>
      </c>
      <c r="Q4" s="4">
        <f>Japan!AQ44/Japan!AN44*100</f>
        <v>58.20000000000001</v>
      </c>
      <c r="S4" s="4">
        <f>Netherlands!AQ44/Netherlands!AN44*100</f>
        <v>61.199999999999996</v>
      </c>
      <c r="T4" s="4">
        <f>'New Zealand'!AY44/'New Zealand'!AV44*100</f>
        <v>41.2</v>
      </c>
      <c r="U4" s="4">
        <f>Norway!AQ44/Norway!AN44*100</f>
        <v>64</v>
      </c>
      <c r="V4" s="4">
        <f>Spain!AR44/Spain!AO44*100</f>
        <v>58.9</v>
      </c>
      <c r="W4" s="4">
        <f>Sweden!AT44/Sweden!AQ44*100</f>
        <v>65</v>
      </c>
      <c r="X4" s="4">
        <f>Swiss!AQ44/Swiss!AN44*100</f>
        <v>63.1</v>
      </c>
      <c r="Y4" s="4">
        <f>Turkey!AO44/Turkey!AN44*100</f>
        <v>64</v>
      </c>
      <c r="Z4" s="4">
        <f>USA!AR52/USA!AQ52*100</f>
        <v>33.477174653645228</v>
      </c>
    </row>
    <row r="5" spans="1:33">
      <c r="A5">
        <v>1966</v>
      </c>
      <c r="B5" s="4">
        <f>Australia!AI45/Australia!Z45*100</f>
        <v>33.900000000000006</v>
      </c>
      <c r="C5" s="4">
        <f>Austria!AR45/Austria!AO45*100</f>
        <v>60.6</v>
      </c>
      <c r="D5" s="4">
        <f>Belgium!AR45/Belgium!AO45*100</f>
        <v>72.59999999999998</v>
      </c>
      <c r="E5" s="4">
        <f>Britain!AU45/Britain!AR45*100</f>
        <v>68.599999999999994</v>
      </c>
      <c r="F5" s="4">
        <f>Canada!AT45/Canada!AP45*100</f>
        <v>54.693882762281966</v>
      </c>
      <c r="H5" s="4">
        <f>Denmark!AU45/Denmark!AR45*100</f>
        <v>55.38666666666667</v>
      </c>
      <c r="I5" s="4">
        <f>Finland!AR45/Finland!AO45*100</f>
        <v>66</v>
      </c>
      <c r="J5" s="4">
        <f>France!AR45/France!AO45*100</f>
        <v>76.099999999999994</v>
      </c>
      <c r="K5" s="4">
        <f>Germany!AR45/Germany!AO45*100</f>
        <v>60</v>
      </c>
      <c r="L5" s="4">
        <f>Greece!AO45/Greece!AN45*100</f>
        <v>68.200000000000017</v>
      </c>
      <c r="M5" s="4">
        <f>Hungary!AO45/Hungary!AN45*100</f>
        <v>41.171559141748268</v>
      </c>
      <c r="N5" s="4">
        <f>Ireland!AR45/Ireland!AO45*100</f>
        <v>64.773354542392582</v>
      </c>
      <c r="O5" s="4">
        <f>Israel!AM45/Israel!O45*100</f>
        <v>56.28805009194825</v>
      </c>
      <c r="P5" s="4">
        <f>Italy!AR45/Italy!AO45*100</f>
        <v>76.599999999999994</v>
      </c>
      <c r="Q5" s="4">
        <f>Japan!AQ45/Japan!AN45*100</f>
        <v>59.5</v>
      </c>
      <c r="S5" s="4">
        <f>Netherlands!AQ45/Netherlands!AN45*100</f>
        <v>63.3</v>
      </c>
      <c r="T5" s="4">
        <f>'New Zealand'!AY45/'New Zealand'!AV45*100</f>
        <v>41.2</v>
      </c>
      <c r="U5" s="4">
        <f>Norway!AQ45/Norway!AN45*100</f>
        <v>67</v>
      </c>
      <c r="V5" s="4">
        <f>Spain!AR45/Spain!AO45*100</f>
        <v>58.9</v>
      </c>
      <c r="W5" s="4">
        <f>Sweden!AT45/Sweden!AQ45*100</f>
        <v>68</v>
      </c>
      <c r="X5" s="4">
        <f>Swiss!AQ45/Swiss!AN45*100</f>
        <v>63.1</v>
      </c>
      <c r="Y5" s="4">
        <f>Turkey!AO45/Turkey!AN45*100</f>
        <v>64</v>
      </c>
      <c r="Z5" s="4">
        <f>USA!AR53/USA!AQ53*100</f>
        <v>32.777651601181006</v>
      </c>
    </row>
    <row r="6" spans="1:33">
      <c r="A6">
        <v>1967</v>
      </c>
      <c r="B6" s="4">
        <f>Australia!AI46/Australia!Z46*100</f>
        <v>32.300000000000004</v>
      </c>
      <c r="C6" s="4">
        <f>Austria!AR46/Austria!AO46*100</f>
        <v>61.8</v>
      </c>
      <c r="D6" s="4">
        <f>Belgium!AR46/Belgium!AO46*100</f>
        <v>73.000000000000014</v>
      </c>
      <c r="E6" s="4">
        <f>Britain!AU46/Britain!AR46*100</f>
        <v>68.599999999999994</v>
      </c>
      <c r="F6" s="4">
        <f>Canada!AT46/Canada!AP46*100</f>
        <v>53.789035843874053</v>
      </c>
      <c r="H6" s="4">
        <f>Denmark!AU46/Denmark!AR46*100</f>
        <v>55.386666666666663</v>
      </c>
      <c r="I6" s="4">
        <f>Finland!AR46/Finland!AO46*100</f>
        <v>66</v>
      </c>
      <c r="J6" s="4">
        <f>France!AR46/France!AO46*100</f>
        <v>74.5</v>
      </c>
      <c r="K6" s="4">
        <f>Germany!AR46/Germany!AO46*100</f>
        <v>64</v>
      </c>
      <c r="L6" s="4">
        <f>Greece!AO46/Greece!AN46*100</f>
        <v>71.099999999999994</v>
      </c>
      <c r="M6" s="4">
        <f>Hungary!AO46/Hungary!AN46*100</f>
        <v>39.483763509975844</v>
      </c>
      <c r="N6" s="4">
        <f>Ireland!AR46/Ireland!AO46*100</f>
        <v>57.680976190347643</v>
      </c>
      <c r="O6" s="4">
        <f>Israel!AM46/Israel!O46*100</f>
        <v>56.28805009194825</v>
      </c>
      <c r="P6" s="4">
        <f>Italy!AR46/Italy!AO46*100</f>
        <v>76.8</v>
      </c>
      <c r="Q6" s="4">
        <f>Japan!AQ46/Japan!AN46*100</f>
        <v>59.5</v>
      </c>
      <c r="S6" s="4">
        <f>Netherlands!AQ46/Netherlands!AN46*100</f>
        <v>65.400000000000006</v>
      </c>
      <c r="T6" s="4">
        <f>'New Zealand'!AY46/'New Zealand'!AV46*100</f>
        <v>37.799999999999997</v>
      </c>
      <c r="U6" s="4">
        <f>Norway!AQ46/Norway!AN46*100</f>
        <v>66</v>
      </c>
      <c r="V6" s="4">
        <f>Spain!AR46/Spain!AO46*100</f>
        <v>58.9</v>
      </c>
      <c r="W6" s="4">
        <f>Sweden!AT46/Sweden!AQ46*100</f>
        <v>65</v>
      </c>
      <c r="X6" s="4">
        <f>Swiss!AQ46/Swiss!AN46*100</f>
        <v>62.4</v>
      </c>
      <c r="Y6" s="4">
        <f>Turkey!AO46/Turkey!AN46*100</f>
        <v>65</v>
      </c>
      <c r="Z6" s="4">
        <f>USA!AR54/USA!AQ54*100</f>
        <v>31.978196684079048</v>
      </c>
    </row>
    <row r="7" spans="1:33">
      <c r="A7">
        <v>1968</v>
      </c>
      <c r="B7" s="4">
        <f>Australia!AI47/Australia!Z47*100</f>
        <v>32.300000000000004</v>
      </c>
      <c r="C7" s="4">
        <f>Austria!AR47/Austria!AO47*100</f>
        <v>61.8</v>
      </c>
      <c r="D7" s="4">
        <f>Belgium!AR47/Belgium!AO47*100</f>
        <v>73.099999999999994</v>
      </c>
      <c r="E7" s="4">
        <f>Britain!AU47/Britain!AR47*100</f>
        <v>72.599999999999994</v>
      </c>
      <c r="F7" s="4">
        <f>Canada!AT47/Canada!AP47*100</f>
        <v>56.61524492932962</v>
      </c>
      <c r="H7" s="4">
        <f>Denmark!AU47/Denmark!AR47*100</f>
        <v>57.04</v>
      </c>
      <c r="I7" s="4">
        <f>Finland!AR47/Finland!AO47*100</f>
        <v>66</v>
      </c>
      <c r="J7" s="4">
        <f>France!AR47/France!AO47*100</f>
        <v>75.400000000000006</v>
      </c>
      <c r="K7" s="4">
        <f>Germany!AR47/Germany!AO47*100</f>
        <v>64</v>
      </c>
      <c r="L7" s="4">
        <f>Greece!AO47/Greece!AN47*100</f>
        <v>71.099999999999994</v>
      </c>
      <c r="M7" s="4">
        <f>Hungary!AO47/Hungary!AN47*100</f>
        <v>48.688178081926054</v>
      </c>
      <c r="N7" s="4">
        <f>Ireland!AR47/Ireland!AO47*100</f>
        <v>68.686074700327566</v>
      </c>
      <c r="O7" s="4">
        <f>Israel!AM47/Israel!O47*100</f>
        <v>56.28805009194825</v>
      </c>
      <c r="P7" s="4">
        <f>Italy!AR47/Italy!AO47*100</f>
        <v>76.599999999999994</v>
      </c>
      <c r="Q7" s="4">
        <f>Japan!AQ47/Japan!AN47*100</f>
        <v>59.8</v>
      </c>
      <c r="S7" s="4">
        <f>Netherlands!AQ47/Netherlands!AN47*100</f>
        <v>72.099999999999994</v>
      </c>
      <c r="T7" s="4">
        <f>'New Zealand'!AY47/'New Zealand'!AV47*100</f>
        <v>36.700000000000003</v>
      </c>
      <c r="U7" s="4">
        <f>Norway!AQ47/Norway!AN47*100</f>
        <v>63</v>
      </c>
      <c r="V7" s="4">
        <f>Spain!AR47/Spain!AO47*100</f>
        <v>58.9</v>
      </c>
      <c r="W7" s="4">
        <f>Sweden!AT47/Sweden!AQ47*100</f>
        <v>65</v>
      </c>
      <c r="X7" s="4">
        <f>Swiss!AQ47/Swiss!AN47*100</f>
        <v>66.099999999999994</v>
      </c>
      <c r="Y7" s="4">
        <f>Turkey!AO47/Turkey!AN47*100</f>
        <v>85</v>
      </c>
      <c r="Z7" s="4">
        <f>USA!AR55/USA!AQ55*100</f>
        <v>31.441216636742485</v>
      </c>
    </row>
    <row r="8" spans="1:33">
      <c r="A8">
        <v>1969</v>
      </c>
      <c r="B8" s="4">
        <f>Australia!AI48/Australia!Z48*100</f>
        <v>31.8</v>
      </c>
      <c r="C8" s="4">
        <f>Austria!AR48/Austria!AO48*100</f>
        <v>61.8</v>
      </c>
      <c r="D8" s="4">
        <f>Belgium!AR48/Belgium!AO48*100</f>
        <v>72.5</v>
      </c>
      <c r="E8" s="4">
        <f>Britain!AU48/Britain!AR48*100</f>
        <v>73</v>
      </c>
      <c r="F8" s="4">
        <f>Canada!AT48/Canada!AP48*100</f>
        <v>56.704646041511864</v>
      </c>
      <c r="H8" s="4">
        <f>Denmark!AU48/Denmark!AR48*100</f>
        <v>59.519999999999996</v>
      </c>
      <c r="I8" s="4">
        <f>Finland!AR48/Finland!AO48*100</f>
        <v>62</v>
      </c>
      <c r="J8" s="4">
        <f>France!AR48/France!AO48*100</f>
        <v>76.099999999999994</v>
      </c>
      <c r="K8" s="4">
        <f>Germany!AR48/Germany!AO48*100</f>
        <v>64</v>
      </c>
      <c r="L8" s="4">
        <f>Greece!AO48/Greece!AN48*100</f>
        <v>71.099999999999994</v>
      </c>
      <c r="M8" s="4">
        <f>Hungary!AO48/Hungary!AN48*100</f>
        <v>43.724122446543603</v>
      </c>
      <c r="N8" s="4">
        <f>Ireland!AR48/Ireland!AO48*100</f>
        <v>62.189592655523342</v>
      </c>
      <c r="O8" s="4">
        <f>Israel!AM48/Israel!O48*100</f>
        <v>56.28805009194825</v>
      </c>
      <c r="P8" s="4">
        <f>Italy!AR48/Italy!AO48*100</f>
        <v>78.400000000000006</v>
      </c>
      <c r="Q8" s="4">
        <f>Japan!AQ48/Japan!AN48*100</f>
        <v>59.8</v>
      </c>
      <c r="S8" s="4">
        <f>Netherlands!AQ48/Netherlands!AN48*100</f>
        <v>74.599999999999994</v>
      </c>
      <c r="T8" s="4">
        <f>'New Zealand'!AY48/'New Zealand'!AV48*100</f>
        <v>50.3</v>
      </c>
      <c r="U8" s="4">
        <f>Norway!AQ48/Norway!AN48*100</f>
        <v>66</v>
      </c>
      <c r="V8" s="4">
        <f>Spain!AR48/Spain!AO48*100</f>
        <v>58.9</v>
      </c>
      <c r="W8" s="4">
        <f>Sweden!AT48/Sweden!AQ48*100</f>
        <v>67</v>
      </c>
      <c r="X8" s="4">
        <f>Swiss!AQ48/Swiss!AN48*100</f>
        <v>66.900000000000006</v>
      </c>
      <c r="Y8" s="4">
        <f>Turkey!AO48/Turkey!AN48*100</f>
        <v>85</v>
      </c>
      <c r="Z8" s="4">
        <f>USA!AR56/USA!AQ56*100</f>
        <v>31.678401090165785</v>
      </c>
    </row>
    <row r="9" spans="1:33">
      <c r="A9">
        <v>1970</v>
      </c>
      <c r="B9" s="4">
        <f>Australia!AI49/Australia!Z49*100</f>
        <v>33.23857424010496</v>
      </c>
      <c r="C9" s="4">
        <f>Austria!AR49/Austria!AO49*100</f>
        <v>61.79999999999999</v>
      </c>
      <c r="D9" s="4">
        <f>Belgium!AR49/Belgium!AO49*100</f>
        <v>72.3</v>
      </c>
      <c r="E9" s="4">
        <f>Britain!AU49/Britain!AR49*100</f>
        <v>69.2</v>
      </c>
      <c r="F9" s="4">
        <f>Canada!AT49/Canada!AP49*100</f>
        <v>55.875622385213475</v>
      </c>
      <c r="H9" s="4">
        <f>Denmark!AU49/Denmark!AR49*100</f>
        <v>56.213333333333338</v>
      </c>
      <c r="I9" s="4">
        <f>Finland!AR49/Finland!AO49*100</f>
        <v>62.000000000000014</v>
      </c>
      <c r="J9" s="4">
        <f>France!AR49/France!AO49*100</f>
        <v>74.400000000000006</v>
      </c>
      <c r="K9" s="4">
        <f>Germany!AR49/Germany!AO49*100</f>
        <v>64</v>
      </c>
      <c r="L9" s="4">
        <f>Greece!AO49/Greece!AN49*100</f>
        <v>71.099999999999994</v>
      </c>
      <c r="M9" s="4">
        <f>Hungary!AO49/Hungary!AN49*100</f>
        <v>42.969764892134549</v>
      </c>
      <c r="N9" s="4">
        <f>Ireland!AR49/Ireland!AO49*100</f>
        <v>63.050709041913457</v>
      </c>
      <c r="O9" s="4">
        <f>Israel!AM49/Israel!O49*100</f>
        <v>56.28805009194825</v>
      </c>
      <c r="P9" s="4">
        <f>Italy!AR49/Italy!AO49*100</f>
        <v>80.500000000000014</v>
      </c>
      <c r="Q9" s="4">
        <f>Japan!AQ49/Japan!AN49*100</f>
        <v>57.2</v>
      </c>
      <c r="S9" s="4">
        <f>Netherlands!AQ49/Netherlands!AN49*100</f>
        <v>74.5</v>
      </c>
      <c r="T9" s="4">
        <f>'New Zealand'!AY49/'New Zealand'!AV49*100</f>
        <v>47</v>
      </c>
      <c r="U9" s="4">
        <f>Norway!AQ49/Norway!AN49*100</f>
        <v>69</v>
      </c>
      <c r="V9" s="4">
        <f>Spain!AR49/Spain!AO49*100</f>
        <v>58.9</v>
      </c>
      <c r="W9" s="4">
        <f>Sweden!AT49/Sweden!AQ49*100</f>
        <v>69</v>
      </c>
      <c r="X9" s="4">
        <f>Swiss!AQ49/Swiss!AN49*100</f>
        <v>68.5</v>
      </c>
      <c r="Y9" s="4">
        <f>Turkey!AO49/Turkey!AN49*100</f>
        <v>88</v>
      </c>
      <c r="Z9" s="4">
        <f>USA!AR57/USA!AQ57*100</f>
        <v>30.97887803770157</v>
      </c>
    </row>
    <row r="10" spans="1:33">
      <c r="A10">
        <v>1971</v>
      </c>
      <c r="B10" s="4">
        <f>Australia!AI50/Australia!Z50*100</f>
        <v>36.550600692323357</v>
      </c>
      <c r="C10" s="4">
        <f>Austria!AR50/Austria!AO50*100</f>
        <v>61.8</v>
      </c>
      <c r="D10" s="4">
        <f>Belgium!AR50/Belgium!AO50*100</f>
        <v>74</v>
      </c>
      <c r="E10" s="4">
        <f>Britain!AU50/Britain!AR50*100</f>
        <v>67.2</v>
      </c>
      <c r="F10" s="4">
        <f>Canada!AT50/Canada!AP50*100</f>
        <v>48.02019270639758</v>
      </c>
      <c r="H10" s="4">
        <f>Denmark!AU50/Denmark!AR50*100</f>
        <v>57.866666666666667</v>
      </c>
      <c r="I10" s="4">
        <f>Finland!AR50/Finland!AO50*100</f>
        <v>62</v>
      </c>
      <c r="J10" s="4">
        <f>France!AR50/France!AO50*100</f>
        <v>72.3</v>
      </c>
      <c r="K10" s="4">
        <f>Germany!AR50/Germany!AO50*100</f>
        <v>64</v>
      </c>
      <c r="L10" s="4">
        <f>Greece!AO50/Greece!AN50*100</f>
        <v>71.09999999999998</v>
      </c>
      <c r="M10" s="4">
        <f>Hungary!AO50/Hungary!AN50*100</f>
        <v>43.101525650566145</v>
      </c>
      <c r="N10" s="4">
        <f>Ireland!AR50/Ireland!AO50*100</f>
        <v>66.375343738073184</v>
      </c>
      <c r="O10" s="4">
        <f>Israel!AM50/Israel!O50*100</f>
        <v>56.288050091948264</v>
      </c>
      <c r="P10" s="4">
        <f>Italy!AR50/Italy!AO50*100</f>
        <v>80.5</v>
      </c>
      <c r="Q10" s="4">
        <f>Japan!AQ50/Japan!AN50*100</f>
        <v>54.899999999999991</v>
      </c>
      <c r="S10" s="4">
        <f>Netherlands!AQ50/Netherlands!AN50*100</f>
        <v>72.600000000000009</v>
      </c>
      <c r="T10" s="4">
        <f>'New Zealand'!AY50/'New Zealand'!AV50*100</f>
        <v>46.899999999999991</v>
      </c>
      <c r="U10" s="4">
        <f>Norway!AQ50/Norway!AN50*100</f>
        <v>69</v>
      </c>
      <c r="V10" s="4">
        <f>Spain!AR50/Spain!AO50*100</f>
        <v>54.7</v>
      </c>
      <c r="W10" s="4">
        <f>Sweden!AT50/Sweden!AQ50*100</f>
        <v>69</v>
      </c>
      <c r="X10" s="4">
        <f>Swiss!AQ50/Swiss!AN50*100</f>
        <v>70.5</v>
      </c>
      <c r="Y10" s="4">
        <f>Turkey!AO50/Turkey!AN50*100</f>
        <v>82</v>
      </c>
      <c r="Z10" s="4">
        <f>USA!AR58/USA!AQ58*100</f>
        <v>30.779014308426074</v>
      </c>
    </row>
    <row r="11" spans="1:33">
      <c r="A11">
        <v>1972</v>
      </c>
      <c r="B11" s="4">
        <f>Australia!AI51/Australia!Z51*100</f>
        <v>37.730243612596553</v>
      </c>
      <c r="C11" s="4">
        <f>Austria!AR51/Austria!AO51*100</f>
        <v>59.099999999999987</v>
      </c>
      <c r="D11" s="4">
        <f>Belgium!AR51/Belgium!AO51*100</f>
        <v>75.2</v>
      </c>
      <c r="E11" s="4">
        <f>Britain!AU51/Britain!AR51*100</f>
        <v>64</v>
      </c>
      <c r="F11" s="4">
        <f>Canada!AT51/Canada!AP51*100</f>
        <v>48.263728732037251</v>
      </c>
      <c r="H11" s="4">
        <f>Denmark!AU51/Denmark!AR51*100</f>
        <v>57.866666666666667</v>
      </c>
      <c r="I11" s="4">
        <f>Finland!AR51/Finland!AO51*100</f>
        <v>61</v>
      </c>
      <c r="J11" s="4">
        <f>France!AR51/France!AO51*100</f>
        <v>71.7</v>
      </c>
      <c r="K11" s="4">
        <f>Germany!AR51/Germany!AO51*100</f>
        <v>53</v>
      </c>
      <c r="L11" s="4">
        <f>Greece!AO51/Greece!AN51*100</f>
        <v>66</v>
      </c>
      <c r="M11" s="4">
        <f>Hungary!AO51/Hungary!AN51*100</f>
        <v>41.412396759226183</v>
      </c>
      <c r="N11" s="4">
        <f>Ireland!AR51/Ireland!AO51*100</f>
        <v>61.763905147955555</v>
      </c>
      <c r="O11" s="4">
        <f>Israel!AM51/Israel!O51*100</f>
        <v>56.288050091948264</v>
      </c>
      <c r="P11" s="4">
        <f>Italy!AR51/Italy!AO51*100</f>
        <v>80.5</v>
      </c>
      <c r="Q11" s="4">
        <f>Japan!AQ51/Japan!AN51*100</f>
        <v>54.7</v>
      </c>
      <c r="S11" s="4">
        <f>Netherlands!AQ51/Netherlands!AN51*100</f>
        <v>60.5</v>
      </c>
      <c r="T11" s="4">
        <f>'New Zealand'!AY51/'New Zealand'!AV51*100</f>
        <v>42</v>
      </c>
      <c r="U11" s="4">
        <f>Norway!AQ51/Norway!AN51*100</f>
        <v>68</v>
      </c>
      <c r="V11" s="4">
        <f>Spain!AR51/Spain!AO51*100</f>
        <v>54.7</v>
      </c>
      <c r="W11" s="4">
        <f>Sweden!AT51/Sweden!AQ51*100</f>
        <v>71</v>
      </c>
      <c r="X11" s="4">
        <f>Swiss!AQ51/Swiss!AN51*100</f>
        <v>65.7</v>
      </c>
      <c r="Y11" s="4">
        <f>Turkey!AO51/Turkey!AN51*100</f>
        <v>67</v>
      </c>
      <c r="Z11" s="4">
        <f>USA!AR59/USA!AQ59*100</f>
        <v>30.779014308426078</v>
      </c>
    </row>
    <row r="12" spans="1:33">
      <c r="A12">
        <v>1973</v>
      </c>
      <c r="B12" s="4">
        <f>Australia!AI52/Australia!Z52*100</f>
        <v>39.846463169438863</v>
      </c>
      <c r="C12" s="4">
        <f>Austria!AR52/Austria!AO52*100</f>
        <v>47.96</v>
      </c>
      <c r="D12" s="4">
        <f>Belgium!AR52/Belgium!AO52*100</f>
        <v>72.100000000000009</v>
      </c>
      <c r="E12" s="4">
        <f>Britain!AU52/Britain!AR52*100</f>
        <v>56.000000000000007</v>
      </c>
      <c r="F12" s="4">
        <f>Canada!AT52/Canada!AP52*100</f>
        <v>46.395720023514826</v>
      </c>
      <c r="H12" s="4">
        <f>Denmark!AU52/Denmark!AR52*100</f>
        <v>51.253333333333337</v>
      </c>
      <c r="I12" s="4">
        <f>Finland!AR52/Finland!AO52*100</f>
        <v>54</v>
      </c>
      <c r="J12" s="4">
        <f>France!AR52/France!AO52*100</f>
        <v>67.900000000000006</v>
      </c>
      <c r="K12" s="4">
        <f>Germany!AR52/Germany!AO52*100</f>
        <v>70</v>
      </c>
      <c r="L12" s="4">
        <f>Greece!AO52/Greece!AN52*100</f>
        <v>66</v>
      </c>
      <c r="M12" s="4">
        <f>Hungary!AO52/Hungary!AN52*100</f>
        <v>31.115828547304019</v>
      </c>
      <c r="N12" s="4">
        <f>Ireland!AR52/Ireland!AO52*100</f>
        <v>44.793066767724746</v>
      </c>
      <c r="O12" s="4">
        <f>Israel!AM52/Israel!O52*100</f>
        <v>56.28805009194825</v>
      </c>
      <c r="P12" s="4">
        <f>Italy!AR52/Italy!AO52*100</f>
        <v>70.5</v>
      </c>
      <c r="Q12" s="4">
        <f>Japan!AQ52/Japan!AN52*100</f>
        <v>60.199999999999996</v>
      </c>
      <c r="S12" s="4">
        <f>Netherlands!AQ52/Netherlands!AN52*100</f>
        <v>68.3</v>
      </c>
      <c r="T12" s="4">
        <f>'New Zealand'!AY52/'New Zealand'!AV52*100</f>
        <v>42</v>
      </c>
      <c r="U12" s="4">
        <f>Norway!AQ52/Norway!AN52*100</f>
        <v>65</v>
      </c>
      <c r="V12" s="4">
        <f>Spain!AR52/Spain!AO52*100</f>
        <v>50</v>
      </c>
      <c r="W12" s="4">
        <f>Sweden!AT52/Sweden!AQ52*100</f>
        <v>65</v>
      </c>
      <c r="X12" s="4">
        <f>Swiss!AQ52/Swiss!AN52*100</f>
        <v>63.2</v>
      </c>
      <c r="Y12" s="4">
        <f>Turkey!AO52/Turkey!AN52*100</f>
        <v>67</v>
      </c>
      <c r="Z12" s="4">
        <f>USA!AR60/USA!AQ60*100</f>
        <v>28.350629954908023</v>
      </c>
    </row>
    <row r="13" spans="1:33">
      <c r="A13">
        <v>1974</v>
      </c>
      <c r="B13" s="4">
        <f>Australia!AI53/Australia!Z53*100</f>
        <v>38.091543832428236</v>
      </c>
      <c r="C13" s="4">
        <f>Austria!AR53/Austria!AO53*100</f>
        <v>47.159999999999989</v>
      </c>
      <c r="D13" s="4">
        <f>Belgium!AR53/Belgium!AO53*100</f>
        <v>60.29999999999999</v>
      </c>
      <c r="E13" s="4">
        <f>Britain!AU53/Britain!AR53*100</f>
        <v>51</v>
      </c>
      <c r="F13" s="4">
        <f>Canada!AT53/Canada!AP53*100</f>
        <v>41.6188913129875</v>
      </c>
      <c r="H13" s="4">
        <f>Denmark!AU53/Denmark!AR53*100</f>
        <v>44.64</v>
      </c>
      <c r="I13" s="4">
        <f>Finland!AR53/Finland!AO53*100</f>
        <v>45.000000000000007</v>
      </c>
      <c r="J13" s="4">
        <f>France!AR53/France!AO53*100</f>
        <v>59.699999999999996</v>
      </c>
      <c r="K13" s="4">
        <f>Germany!AR53/Germany!AO53*100</f>
        <v>61</v>
      </c>
      <c r="L13" s="4">
        <f>Greece!AO53/Greece!AN53*100</f>
        <v>70</v>
      </c>
      <c r="M13" s="4">
        <f>Hungary!AO53/Hungary!AN53*100</f>
        <v>29.265670478851924</v>
      </c>
      <c r="N13" s="4">
        <f>Ireland!AR53/Ireland!AO53*100</f>
        <v>68.380804174046489</v>
      </c>
      <c r="O13" s="4">
        <f>Israel!AM53/Israel!O53*100</f>
        <v>56.28805009194825</v>
      </c>
      <c r="P13" s="4">
        <f>Italy!AR53/Italy!AO53*100</f>
        <v>68.2</v>
      </c>
      <c r="Q13" s="4">
        <f>Japan!AQ53/Japan!AN53*100</f>
        <v>36</v>
      </c>
      <c r="S13" s="4">
        <f>Netherlands!AQ53/Netherlands!AN53*100</f>
        <v>63.2</v>
      </c>
      <c r="T13" s="4">
        <f>'New Zealand'!AY53/'New Zealand'!AV53*100</f>
        <v>44.4</v>
      </c>
      <c r="U13" s="4">
        <f>Norway!AQ53/Norway!AN53*100</f>
        <v>61</v>
      </c>
      <c r="V13" s="4">
        <f>Spain!AR53/Spain!AO53*100</f>
        <v>53</v>
      </c>
      <c r="W13" s="4">
        <f>Sweden!AT53/Sweden!AQ53*100</f>
        <v>54</v>
      </c>
      <c r="X13" s="4">
        <f>Swiss!AQ53/Swiss!AN53*100</f>
        <v>59.4</v>
      </c>
      <c r="Y13" s="4">
        <f>Turkey!AO53/Turkey!AN53*100</f>
        <v>42</v>
      </c>
      <c r="Z13" s="4">
        <f>USA!AR61/USA!AQ61*100</f>
        <v>20.94517061350961</v>
      </c>
    </row>
    <row r="14" spans="1:33">
      <c r="A14">
        <v>1975</v>
      </c>
      <c r="B14" s="4">
        <f>Australia!AI54/Australia!Z54*100</f>
        <v>32.144026186579374</v>
      </c>
      <c r="C14" s="4">
        <f>Austria!AR54/Austria!AO54*100</f>
        <v>47.16</v>
      </c>
      <c r="D14" s="4">
        <f>Belgium!AR54/Belgium!AO54*100</f>
        <v>58.8</v>
      </c>
      <c r="E14" s="4">
        <f>Britain!AU54/Britain!AR54*100</f>
        <v>49</v>
      </c>
      <c r="F14" s="4">
        <f>Canada!AT54/Canada!AP54*100</f>
        <v>38.780626554838442</v>
      </c>
      <c r="H14" s="4">
        <f>Denmark!AU54/Denmark!AR54*100</f>
        <v>43.81333333333334</v>
      </c>
      <c r="I14" s="4">
        <f>Finland!AR54/Finland!AO54*100</f>
        <v>42</v>
      </c>
      <c r="J14" s="4">
        <f>France!AR54/France!AO54*100</f>
        <v>57.2</v>
      </c>
      <c r="K14" s="4">
        <f>Germany!AR54/Germany!AO54*100</f>
        <v>61</v>
      </c>
      <c r="L14" s="4">
        <f>Greece!AO54/Greece!AN54*100</f>
        <v>72</v>
      </c>
      <c r="M14" s="4">
        <f>Hungary!AO54/Hungary!AN54*100</f>
        <v>28.473700323643463</v>
      </c>
      <c r="N14" s="4">
        <f>Ireland!AR54/Ireland!AO54*100</f>
        <v>63.285408777706877</v>
      </c>
      <c r="O14" s="4">
        <f>Israel!AM54/Israel!O54*100</f>
        <v>56.28805009194825</v>
      </c>
      <c r="P14" s="4">
        <f>Italy!AR54/Italy!AO54*100</f>
        <v>65.7</v>
      </c>
      <c r="Q14" s="4">
        <f>Japan!AQ54/Japan!AN54*100</f>
        <v>34.200000000000003</v>
      </c>
      <c r="S14" s="4">
        <f>Netherlands!AQ54/Netherlands!AN54*100</f>
        <v>60</v>
      </c>
      <c r="T14" s="4">
        <f>'New Zealand'!AY54/'New Zealand'!AV54*100</f>
        <v>65.630923030732021</v>
      </c>
      <c r="U14" s="4">
        <f>Norway!AQ54/Norway!AN54*100</f>
        <v>59</v>
      </c>
      <c r="V14" s="4">
        <f>Spain!AR54/Spain!AO54*100</f>
        <v>63.800000000000004</v>
      </c>
      <c r="W14" s="4">
        <f>Sweden!AT54/Sweden!AQ54*100</f>
        <v>53</v>
      </c>
      <c r="X14" s="4">
        <f>Swiss!AQ54/Swiss!AN54*100</f>
        <v>60.099999999999994</v>
      </c>
      <c r="Y14" s="4">
        <f>Turkey!AO54/Turkey!AN54*100</f>
        <v>42</v>
      </c>
      <c r="Z14" s="4">
        <f>USA!AR62/USA!AQ62*100</f>
        <v>19.184487798917139</v>
      </c>
    </row>
    <row r="15" spans="1:33">
      <c r="A15">
        <v>1976</v>
      </c>
      <c r="B15" s="4">
        <f>Australia!AI55/Australia!Z55*100</f>
        <v>29.514306323635491</v>
      </c>
      <c r="C15" s="4">
        <f>Austria!AR55/Austria!AO55*100</f>
        <v>61.159999999999989</v>
      </c>
      <c r="D15" s="4">
        <f>Belgium!AR55/Belgium!AO55*100</f>
        <v>58.20000000000001</v>
      </c>
      <c r="E15" s="4">
        <f>Britain!AU55/Britain!AR55*100</f>
        <v>49</v>
      </c>
      <c r="F15" s="4">
        <f>Canada!AT55/Canada!AP55*100</f>
        <v>36.703413505677432</v>
      </c>
      <c r="H15" s="4">
        <f>Denmark!AU55/Denmark!AR55*100</f>
        <v>52.080000000000005</v>
      </c>
      <c r="I15" s="4">
        <f>Finland!AR55/Finland!AO55*100</f>
        <v>45</v>
      </c>
      <c r="J15" s="4">
        <f>France!AR55/France!AO55*100</f>
        <v>60.699999999999996</v>
      </c>
      <c r="K15" s="4">
        <f>Germany!AR55/Germany!AO55*100</f>
        <v>61</v>
      </c>
      <c r="L15" s="4">
        <f>Greece!AO55/Greece!AN55*100</f>
        <v>65.000000000000014</v>
      </c>
      <c r="M15" s="4">
        <f>Hungary!AO55/Hungary!AN55*100</f>
        <v>27.141814897165091</v>
      </c>
      <c r="N15" s="4">
        <f>Ireland!AR55/Ireland!AO55*100</f>
        <v>61.431737023288449</v>
      </c>
      <c r="O15" s="4">
        <f>Israel!AM55/Israel!O55*100</f>
        <v>56.28805009194825</v>
      </c>
      <c r="P15" s="4">
        <f>Italy!AR55/Italy!AO55*100</f>
        <v>71</v>
      </c>
      <c r="Q15" s="4">
        <f>Japan!AQ55/Japan!AN55*100</f>
        <v>38.1</v>
      </c>
      <c r="S15" s="4">
        <f>Netherlands!AQ55/Netherlands!AN55*100</f>
        <v>61.6</v>
      </c>
      <c r="T15" s="4">
        <f>'New Zealand'!AY55/'New Zealand'!AV55*100</f>
        <v>45.589545230090579</v>
      </c>
      <c r="U15" s="4">
        <f>Norway!AQ55/Norway!AN55*100</f>
        <v>59</v>
      </c>
      <c r="V15" s="4">
        <f>Spain!AR55/Spain!AO55*100</f>
        <v>64</v>
      </c>
      <c r="W15" s="4">
        <f>Sweden!AT55/Sweden!AQ55*100</f>
        <v>54</v>
      </c>
      <c r="X15" s="4">
        <f>Swiss!AQ55/Swiss!AN55*100</f>
        <v>60.3</v>
      </c>
      <c r="Y15" s="4">
        <f>Turkey!AO55/Turkey!AN55*100</f>
        <v>42</v>
      </c>
      <c r="Z15" s="4">
        <f>USA!AR63/USA!AQ63*100</f>
        <v>17.987735634794443</v>
      </c>
    </row>
    <row r="16" spans="1:33">
      <c r="A16">
        <v>1977</v>
      </c>
      <c r="B16" s="4">
        <f>Australia!AI56/Australia!Z56*100</f>
        <v>28.560072677719738</v>
      </c>
      <c r="C16" s="4">
        <f>Austria!AR56/Austria!AO56*100</f>
        <v>61.159999999999989</v>
      </c>
      <c r="D16" s="4">
        <f>Belgium!AR56/Belgium!AO56*100</f>
        <v>62.3</v>
      </c>
      <c r="E16" s="4">
        <f>Britain!AU56/Britain!AR56*100</f>
        <v>51</v>
      </c>
      <c r="F16" s="4">
        <f>Canada!AT56/Canada!AP56*100</f>
        <v>35.480568909355327</v>
      </c>
      <c r="H16" s="4">
        <f>Denmark!AU56/Denmark!AR56*100</f>
        <v>52.080000000000005</v>
      </c>
      <c r="I16" s="4">
        <f>Finland!AR56/Finland!AO56*100</f>
        <v>47</v>
      </c>
      <c r="J16" s="4">
        <f>France!AR56/France!AO56*100</f>
        <v>60.5</v>
      </c>
      <c r="K16" s="4">
        <f>Germany!AR56/Germany!AO56*100</f>
        <v>62</v>
      </c>
      <c r="L16" s="4">
        <f>Greece!AO56/Greece!AN56*100</f>
        <v>65</v>
      </c>
      <c r="M16" s="4">
        <f>Hungary!AO56/Hungary!AN56*100</f>
        <v>27.068112031667518</v>
      </c>
      <c r="N16" s="4">
        <f>Ireland!AR56/Ireland!AO56*100</f>
        <v>65.206803531384395</v>
      </c>
      <c r="O16" s="4">
        <f>Israel!AM56/Israel!O56*100</f>
        <v>56.28805009194825</v>
      </c>
      <c r="P16" s="4">
        <f>Italy!AR56/Italy!AO56*100</f>
        <v>71.5</v>
      </c>
      <c r="Q16" s="4">
        <f>Japan!AQ56/Japan!AN56*100</f>
        <v>39.1</v>
      </c>
      <c r="S16" s="4">
        <f>Netherlands!AQ56/Netherlands!AN56*100</f>
        <v>61.3</v>
      </c>
      <c r="T16" s="4">
        <f>'New Zealand'!AY56/'New Zealand'!AV56*100</f>
        <v>41.047932183990454</v>
      </c>
      <c r="U16" s="4">
        <f>Norway!AQ56/Norway!AN56*100</f>
        <v>59</v>
      </c>
      <c r="V16" s="4">
        <f>Spain!AR56/Spain!AO56*100</f>
        <v>64</v>
      </c>
      <c r="W16" s="4">
        <f>Sweden!AT56/Sweden!AQ56*100</f>
        <v>49.000000000000007</v>
      </c>
      <c r="X16" s="4">
        <f>Swiss!AQ56/Swiss!AN56*100</f>
        <v>63</v>
      </c>
      <c r="Y16" s="4">
        <f>Turkey!AO56/Turkey!AN56*100</f>
        <v>38.5</v>
      </c>
      <c r="Z16" s="4">
        <f>USA!AR64/USA!AQ64*100</f>
        <v>18.987054281171918</v>
      </c>
    </row>
    <row r="17" spans="1:29">
      <c r="A17">
        <v>1978</v>
      </c>
      <c r="B17" s="4">
        <f>Australia!AI57/Australia!Z57*100</f>
        <v>26.21418410892095</v>
      </c>
      <c r="C17" s="4">
        <f>Austria!AR57/Austria!AO57*100</f>
        <v>61.159999999999989</v>
      </c>
      <c r="D17" s="4">
        <f>Belgium!AR57/Belgium!AO57*100</f>
        <v>59.500000000000007</v>
      </c>
      <c r="E17" s="4">
        <f>Britain!AU57/Britain!AR57*100</f>
        <v>50</v>
      </c>
      <c r="F17" s="4">
        <f>Canada!AT57/Canada!AP57*100</f>
        <v>33.819449393744478</v>
      </c>
      <c r="H17" s="4">
        <f>Denmark!AU57/Denmark!AR57*100</f>
        <v>52.906666666666666</v>
      </c>
      <c r="I17" s="4">
        <f>Finland!AR57/Finland!AO57*100</f>
        <v>50</v>
      </c>
      <c r="J17" s="4">
        <f>France!AR57/France!AO57*100</f>
        <v>68.8</v>
      </c>
      <c r="K17" s="4">
        <f>Germany!AR57/Germany!AO57*100</f>
        <v>60</v>
      </c>
      <c r="L17" s="4">
        <f>Greece!AO57/Greece!AN57*100</f>
        <v>65</v>
      </c>
      <c r="M17" s="4">
        <f>Hungary!AO57/Hungary!AN57*100</f>
        <v>21.376437351647525</v>
      </c>
      <c r="N17" s="4">
        <f>Ireland!AR57/Ireland!AO57*100</f>
        <v>52.108739813154806</v>
      </c>
      <c r="O17" s="4">
        <f>Israel!AM57/Israel!O57*100</f>
        <v>56.288050091948264</v>
      </c>
      <c r="P17" s="4">
        <f>Italy!AR57/Italy!AO57*100</f>
        <v>71.5</v>
      </c>
      <c r="Q17" s="4">
        <f>Japan!AQ57/Japan!AN57*100</f>
        <v>44.8</v>
      </c>
      <c r="S17" s="4">
        <f>Netherlands!AQ57/Netherlands!AN57*100</f>
        <v>56.600000000000009</v>
      </c>
      <c r="T17" s="4">
        <f>'New Zealand'!AY57/'New Zealand'!AV57*100</f>
        <v>45.921847035274588</v>
      </c>
      <c r="U17" s="4">
        <f>Norway!AQ57/Norway!AN57*100</f>
        <v>59</v>
      </c>
      <c r="V17" s="4">
        <f>Spain!AR57/Spain!AO57*100</f>
        <v>62</v>
      </c>
      <c r="W17" s="4">
        <f>Sweden!AT57/Sweden!AQ57*100</f>
        <v>56.000000000000007</v>
      </c>
      <c r="X17" s="4">
        <f>Swiss!AQ57/Swiss!AN57*100</f>
        <v>63.834837284703717</v>
      </c>
      <c r="Y17" s="4">
        <f>Turkey!AO57/Turkey!AN57*100</f>
        <v>38.499999999999993</v>
      </c>
      <c r="Z17" s="4">
        <f>USA!AR65/USA!AQ65*100</f>
        <v>18.987054281171918</v>
      </c>
    </row>
    <row r="18" spans="1:29">
      <c r="A18">
        <v>1979</v>
      </c>
      <c r="B18" s="4">
        <f>Australia!AI58/Australia!Z58*100</f>
        <v>19.237221787272119</v>
      </c>
      <c r="C18" s="4">
        <f>Austria!AR58/Austria!AO58*100</f>
        <v>61.46</v>
      </c>
      <c r="D18" s="4">
        <f>Belgium!AR58/Belgium!AO58*100</f>
        <v>54</v>
      </c>
      <c r="E18" s="4">
        <f>Britain!AU58/Britain!AR58*100</f>
        <v>44</v>
      </c>
      <c r="F18" s="4">
        <f>Canada!AT58/Canada!AP58*100</f>
        <v>31.781201704534386</v>
      </c>
      <c r="H18" s="4">
        <f>Denmark!AU58/Denmark!AR58*100</f>
        <v>51.25333333333333</v>
      </c>
      <c r="I18" s="4">
        <f>Finland!AR58/Finland!AO58*100</f>
        <v>50</v>
      </c>
      <c r="J18" s="4">
        <f>France!AR58/France!AO58*100</f>
        <v>62.6</v>
      </c>
      <c r="K18" s="4">
        <f>Germany!AR58/Germany!AO58*100</f>
        <v>60</v>
      </c>
      <c r="L18" s="4">
        <f>Greece!AO58/Greece!AN58*100</f>
        <v>65</v>
      </c>
      <c r="M18" s="4">
        <f>Hungary!AO58/Hungary!AN58*100</f>
        <v>14.73144659208789</v>
      </c>
      <c r="N18" s="4">
        <f>Ireland!AR58/Ireland!AO58*100</f>
        <v>37.760624531442403</v>
      </c>
      <c r="O18" s="4">
        <f>Israel!AM58/Israel!O58*100</f>
        <v>56.28805009194825</v>
      </c>
      <c r="P18" s="4">
        <f>Italy!AR58/Italy!AO58*100</f>
        <v>68</v>
      </c>
      <c r="Q18" s="4">
        <f>Japan!AQ58/Japan!AN58*100</f>
        <v>36.799999999999997</v>
      </c>
      <c r="S18" s="4">
        <f>Netherlands!AQ58/Netherlands!AN58*100</f>
        <v>53.6</v>
      </c>
      <c r="T18" s="4">
        <f>'New Zealand'!AY58/'New Zealand'!AV58*100</f>
        <v>52.402166643315219</v>
      </c>
      <c r="U18" s="4">
        <f>Norway!AQ58/Norway!AN58*100</f>
        <v>55.52516188473389</v>
      </c>
      <c r="V18" s="4">
        <f>Spain!AR58/Spain!AO58*100</f>
        <v>63</v>
      </c>
      <c r="W18" s="4">
        <f>Sweden!AT58/Sweden!AQ58*100</f>
        <v>52</v>
      </c>
      <c r="X18" s="4">
        <f>Swiss!AQ58/Swiss!AN58*100</f>
        <v>55.291667361596261</v>
      </c>
      <c r="Y18" s="4">
        <f>Turkey!AO58/Turkey!AN58*100</f>
        <v>38.5</v>
      </c>
      <c r="Z18" s="4">
        <f>USA!AR66/USA!AQ66*100</f>
        <v>14.084829406306831</v>
      </c>
    </row>
    <row r="19" spans="1:29">
      <c r="A19">
        <v>1980</v>
      </c>
      <c r="B19" s="4">
        <f>Australia!AI59/Australia!Z59*100</f>
        <v>17.027912053641042</v>
      </c>
      <c r="C19" s="4">
        <f>Austria!AR59/Austria!AO59*100</f>
        <v>56.860000000000014</v>
      </c>
      <c r="D19" s="4">
        <f>Belgium!AR59/Belgium!AO59*100</f>
        <v>54</v>
      </c>
      <c r="E19" s="4">
        <f>Britain!AU59/Britain!AR59*100</f>
        <v>44.3</v>
      </c>
      <c r="F19" s="4">
        <f>Canada!AT59/Canada!AP59*100</f>
        <v>30.15467879549162</v>
      </c>
      <c r="G19" s="4">
        <f>'Czech Rep'!AT59/'Czech Rep'!AS59*100</f>
        <v>28.564053214316225</v>
      </c>
      <c r="H19" s="4">
        <f>Denmark!AU59/Denmark!AR59*100</f>
        <v>45.466666666666669</v>
      </c>
      <c r="I19" s="4">
        <f>Finland!AR59/Finland!AO59*100</f>
        <v>50</v>
      </c>
      <c r="J19" s="4">
        <f>France!AR59/France!AO59*100</f>
        <v>57.70000000000001</v>
      </c>
      <c r="K19" s="4">
        <f>Germany!AR59/Germany!AO59*100</f>
        <v>51</v>
      </c>
      <c r="L19" s="4">
        <f>Greece!AO59/Greece!AN59*100</f>
        <v>65</v>
      </c>
      <c r="M19" s="4">
        <f>Hungary!AO59/Hungary!AN59*100</f>
        <v>13.24522590892111</v>
      </c>
      <c r="N19" s="4">
        <f>Ireland!AR59/Ireland!AO59*100</f>
        <v>50.228905713592795</v>
      </c>
      <c r="O19" s="4">
        <f>Israel!AM59/Israel!O59*100</f>
        <v>56.28805009194825</v>
      </c>
      <c r="P19" s="4">
        <f>Italy!AR59/Italy!AO59*100</f>
        <v>62</v>
      </c>
      <c r="Q19" s="4">
        <f>Japan!AQ59/Japan!AN59*100</f>
        <v>36.799999999999997</v>
      </c>
      <c r="S19" s="4">
        <f>Netherlands!AQ59/Netherlands!AN59*100</f>
        <v>51.6</v>
      </c>
      <c r="T19" s="4">
        <f>'New Zealand'!AY59/'New Zealand'!AV59*100</f>
        <v>37.070932190082317</v>
      </c>
      <c r="U19" s="4">
        <f>Norway!AQ59/Norway!AN59*100</f>
        <v>51.713213379454139</v>
      </c>
      <c r="V19" s="4">
        <f>Spain!AR59/Spain!AO59*100</f>
        <v>63</v>
      </c>
      <c r="W19" s="4">
        <f>Sweden!AT59/Sweden!AQ59*100</f>
        <v>50</v>
      </c>
      <c r="X19" s="4">
        <f>Swiss!AQ59/Swiss!AN59*100</f>
        <v>50.607627859109094</v>
      </c>
      <c r="Y19" s="4">
        <f>Turkey!AO59/Turkey!AN59*100</f>
        <v>35</v>
      </c>
      <c r="Z19" s="4">
        <f>USA!AR67/USA!AQ67*100</f>
        <v>9.9931864637746912</v>
      </c>
    </row>
    <row r="20" spans="1:29">
      <c r="A20">
        <v>1981</v>
      </c>
      <c r="B20" s="4">
        <f>Australia!AI60/Australia!Z60*100</f>
        <v>16.340789992674818</v>
      </c>
      <c r="C20" s="4">
        <f>Austria!AR60/Austria!AO60*100</f>
        <v>60.51</v>
      </c>
      <c r="D20" s="4">
        <f>Belgium!AR60/Belgium!AO60*100</f>
        <v>53.7</v>
      </c>
      <c r="E20" s="4">
        <f>Britain!AU60/Britain!AR60*100</f>
        <v>48.2</v>
      </c>
      <c r="F20" s="4">
        <f>Canada!AT60/Canada!AP60*100</f>
        <v>31.298892269937806</v>
      </c>
      <c r="G20" s="4">
        <f>'Czech Rep'!AT60/'Czech Rep'!AS60*100</f>
        <v>27.102918266761922</v>
      </c>
      <c r="H20" s="4">
        <f>Denmark!AU60/Denmark!AR60*100</f>
        <v>43.813333333333333</v>
      </c>
      <c r="I20" s="4">
        <f>Finland!AR60/Finland!AO60*100</f>
        <v>50</v>
      </c>
      <c r="J20" s="4">
        <f>France!AR60/France!AO60*100</f>
        <v>51.300000000000004</v>
      </c>
      <c r="K20" s="4">
        <f>Germany!AR60/Germany!AO60*100</f>
        <v>48.835178383565683</v>
      </c>
      <c r="L20" s="4">
        <f>Greece!AO60/Greece!AN60*100</f>
        <v>65</v>
      </c>
      <c r="M20" s="4">
        <f>Hungary!AO60/Hungary!AN60*100</f>
        <v>21.074696463206003</v>
      </c>
      <c r="N20" s="4">
        <f>Ireland!AR60/Ireland!AO60*100</f>
        <v>55.635022349265562</v>
      </c>
      <c r="O20" s="4">
        <f>Israel!AM60/Israel!O60*100</f>
        <v>56.288050091948264</v>
      </c>
      <c r="P20" s="4">
        <f>Italy!AR60/Italy!AO60*100</f>
        <v>57.999999999999993</v>
      </c>
      <c r="Q20" s="4">
        <f>Japan!AQ60/Japan!AN60*100</f>
        <v>32.4</v>
      </c>
      <c r="S20" s="4">
        <f>Netherlands!AQ60/Netherlands!AN60*100</f>
        <v>46.3</v>
      </c>
      <c r="T20" s="4">
        <f>'New Zealand'!AY60/'New Zealand'!AV60*100</f>
        <v>31.550752743496634</v>
      </c>
      <c r="U20" s="4">
        <f>Norway!AQ60/Norway!AN60*100</f>
        <v>49.995780216802551</v>
      </c>
      <c r="V20" s="4">
        <f>Spain!AR60/Spain!AO60*100</f>
        <v>50</v>
      </c>
      <c r="W20" s="4">
        <f>Sweden!AT60/Sweden!AQ60*100</f>
        <v>47</v>
      </c>
      <c r="X20" s="4">
        <f>Swiss!AQ60/Swiss!AN60*100</f>
        <v>47.407915890004794</v>
      </c>
      <c r="Y20" s="4">
        <f>Turkey!AO60/Turkey!AN60*100</f>
        <v>28.000000000000004</v>
      </c>
      <c r="Z20" s="4">
        <f>USA!AR68/USA!AQ68*100</f>
        <v>8.9938678173972324</v>
      </c>
    </row>
    <row r="21" spans="1:29">
      <c r="A21">
        <v>1982</v>
      </c>
      <c r="B21" s="4">
        <f>Australia!AI61/Australia!Z61*100</f>
        <v>16.94219119006058</v>
      </c>
      <c r="C21" s="4">
        <f>Austria!AR61/Austria!AO61*100</f>
        <v>61.610000000000007</v>
      </c>
      <c r="D21" s="4">
        <f>Belgium!AR61/Belgium!AO61*100</f>
        <v>54.1</v>
      </c>
      <c r="E21" s="4">
        <f>Britain!AU61/Britain!AR61*100</f>
        <v>52.2</v>
      </c>
      <c r="F21" s="4">
        <f>Canada!AT61/Canada!AP61*100</f>
        <v>36.356044814928644</v>
      </c>
      <c r="G21" s="4">
        <f>'Czech Rep'!AT61/'Czech Rep'!AS61*100</f>
        <v>28.176224023272479</v>
      </c>
      <c r="H21" s="4">
        <f>Denmark!AU61/Denmark!AR61*100</f>
        <v>48.773333333333326</v>
      </c>
      <c r="I21" s="4">
        <f>Finland!AR61/Finland!AO61*100</f>
        <v>50</v>
      </c>
      <c r="J21" s="4">
        <f>France!AR61/France!AO61*100</f>
        <v>50.9</v>
      </c>
      <c r="K21" s="4">
        <f>Germany!AR61/Germany!AO61*100</f>
        <v>49.609664641867468</v>
      </c>
      <c r="L21" s="4">
        <f>Greece!AO61/Greece!AN61*100</f>
        <v>65.5</v>
      </c>
      <c r="M21" s="4">
        <f>Hungary!AO61/Hungary!AN61*100</f>
        <v>23.422160897393258</v>
      </c>
      <c r="N21" s="4">
        <f>Ireland!AR61/Ireland!AO61*100</f>
        <v>60.713320770543099</v>
      </c>
      <c r="O21" s="4">
        <f>Israel!AM61/Israel!O61*100</f>
        <v>56.28805009194825</v>
      </c>
      <c r="P21" s="4">
        <f>Italy!AR61/Italy!AO61*100</f>
        <v>62</v>
      </c>
      <c r="Q21" s="4">
        <f>Japan!AQ61/Japan!AN61*100</f>
        <v>31.900000000000002</v>
      </c>
      <c r="S21" s="4">
        <f>Netherlands!AQ61/Netherlands!AN61*100</f>
        <v>50.2</v>
      </c>
      <c r="T21" s="4">
        <f>'New Zealand'!AY61/'New Zealand'!AV61*100</f>
        <v>30.055598063010457</v>
      </c>
      <c r="U21" s="4">
        <f>Norway!AQ61/Norway!AN61*100</f>
        <v>48.132432106640778</v>
      </c>
      <c r="V21" s="4">
        <f>Spain!AR61/Spain!AO61*100</f>
        <v>43</v>
      </c>
      <c r="W21" s="4">
        <f>Sweden!AT61/Sweden!AQ61*100</f>
        <v>44</v>
      </c>
      <c r="X21" s="4">
        <f>Swiss!AQ61/Swiss!AN61*100</f>
        <v>47.048375462879797</v>
      </c>
      <c r="Y21" s="4">
        <f>Turkey!AO61/Turkey!AN61*100</f>
        <v>26</v>
      </c>
      <c r="Z21" s="4">
        <f>USA!AR69/USA!AQ69*100</f>
        <v>9.9931864637746983</v>
      </c>
    </row>
    <row r="22" spans="1:29">
      <c r="A22">
        <v>1983</v>
      </c>
      <c r="B22" s="4">
        <f>Australia!AI62/Australia!Z62*100</f>
        <v>21.726700971983988</v>
      </c>
      <c r="C22" s="4">
        <f>Austria!AR62/Austria!AO62*100</f>
        <v>63.61</v>
      </c>
      <c r="D22" s="4">
        <f>Belgium!AR62/Belgium!AO62*100</f>
        <v>54.79999999999999</v>
      </c>
      <c r="E22" s="4">
        <f>Britain!AU62/Britain!AR62*100</f>
        <v>53.6</v>
      </c>
      <c r="F22" s="4">
        <f>Canada!AT62/Canada!AP62*100</f>
        <v>37.120322733863112</v>
      </c>
      <c r="G22" s="4">
        <f>'Czech Rep'!AT62/'Czech Rep'!AS62*100</f>
        <v>29.238354120382247</v>
      </c>
      <c r="H22" s="4">
        <f>Denmark!AU62/Denmark!AR62*100</f>
        <v>45.466666666666669</v>
      </c>
      <c r="I22" s="4">
        <f>Finland!AR62/Finland!AO62*100</f>
        <v>50</v>
      </c>
      <c r="J22" s="4">
        <f>France!AR62/France!AO62*100</f>
        <v>54.1</v>
      </c>
      <c r="K22" s="4">
        <f>Germany!AR62/Germany!AO62*100</f>
        <v>50.464984998915952</v>
      </c>
      <c r="L22" s="4">
        <f>Greece!AO62/Greece!AN62*100</f>
        <v>66</v>
      </c>
      <c r="M22" s="4">
        <f>Hungary!AO62/Hungary!AN62*100</f>
        <v>30.460040141662901</v>
      </c>
      <c r="N22" s="4">
        <f>Ireland!AR62/Ireland!AO62*100</f>
        <v>53.689004325769083</v>
      </c>
      <c r="O22" s="4">
        <f>Israel!AM62/Israel!O62*100</f>
        <v>56.28805009194825</v>
      </c>
      <c r="P22" s="4">
        <f>Italy!AR62/Italy!AO62*100</f>
        <v>69</v>
      </c>
      <c r="Q22" s="4">
        <f>Japan!AQ62/Japan!AN62*100</f>
        <v>35.200000000000003</v>
      </c>
      <c r="S22" s="4">
        <f>Netherlands!AQ62/Netherlands!AN62*100</f>
        <v>44.499999999999993</v>
      </c>
      <c r="T22" s="4">
        <f>'New Zealand'!AY62/'New Zealand'!AV62*100</f>
        <v>32.805122806041517</v>
      </c>
      <c r="U22" s="4">
        <f>Norway!AQ62/Norway!AN62*100</f>
        <v>49.153596344457938</v>
      </c>
      <c r="V22" s="4">
        <f>Spain!AR62/Spain!AO62*100</f>
        <v>36</v>
      </c>
      <c r="W22" s="4">
        <f>Sweden!AT62/Sweden!AQ62*100</f>
        <v>42</v>
      </c>
      <c r="X22" s="4">
        <f>Swiss!AQ62/Swiss!AN62*100</f>
        <v>50.156485412160244</v>
      </c>
      <c r="Y22" s="4">
        <f>Turkey!AO62/Turkey!AN62*100</f>
        <v>25</v>
      </c>
      <c r="Z22" s="4">
        <f>USA!AR70/USA!AQ70*100</f>
        <v>15.289575289575286</v>
      </c>
    </row>
    <row r="23" spans="1:29">
      <c r="A23">
        <v>1984</v>
      </c>
      <c r="B23" s="4">
        <f>Australia!AI63/Australia!Z63*100</f>
        <v>24.28860077454117</v>
      </c>
      <c r="C23" s="4">
        <f>Austria!AR63/Austria!AO63*100</f>
        <v>66.099999999999994</v>
      </c>
      <c r="D23" s="4">
        <f>Belgium!AR63/Belgium!AO63*100</f>
        <v>55.099999999999994</v>
      </c>
      <c r="E23" s="4">
        <f>Britain!AU63/Britain!AR63*100</f>
        <v>53.6</v>
      </c>
      <c r="F23" s="4">
        <f>Canada!AT63/Canada!AP63*100</f>
        <v>35.181939391249898</v>
      </c>
      <c r="G23" s="4">
        <f>'Czech Rep'!AT63/'Czech Rep'!AS63*100</f>
        <v>29.564079486350082</v>
      </c>
      <c r="H23" s="4">
        <f>Denmark!AU63/Denmark!AR63*100</f>
        <v>44.640000000000008</v>
      </c>
      <c r="I23" s="4">
        <f>Finland!AR63/Finland!AO63*100</f>
        <v>50</v>
      </c>
      <c r="J23" s="4">
        <f>France!AR63/France!AO63*100</f>
        <v>58.9</v>
      </c>
      <c r="K23" s="4">
        <f>Germany!AR63/Germany!AO63*100</f>
        <v>50.120113345370768</v>
      </c>
      <c r="L23" s="4">
        <f>Greece!AO63/Greece!AN63*100</f>
        <v>66.5</v>
      </c>
      <c r="M23" s="4">
        <f>Hungary!AO63/Hungary!AN63*100</f>
        <v>32.800093430599233</v>
      </c>
      <c r="N23" s="4">
        <f>Ireland!AR63/Ireland!AO63*100</f>
        <v>51.613928360143881</v>
      </c>
      <c r="O23" s="4">
        <f>Israel!AM63/Israel!O63*100</f>
        <v>56.28805009194825</v>
      </c>
      <c r="P23" s="4">
        <f>Italy!AR63/Italy!AO63*100</f>
        <v>68</v>
      </c>
      <c r="Q23" s="4">
        <f>Japan!AQ63/Japan!AN63*100</f>
        <v>35.9</v>
      </c>
      <c r="S23" s="4">
        <f>Netherlands!AQ63/Netherlands!AN63*100</f>
        <v>38</v>
      </c>
      <c r="T23" s="4">
        <f>'New Zealand'!AY63/'New Zealand'!AV63*100</f>
        <v>30.236649891810597</v>
      </c>
      <c r="U23" s="4">
        <f>Norway!AQ63/Norway!AN63*100</f>
        <v>50.2751913409354</v>
      </c>
      <c r="V23" s="4">
        <f>Spain!AR63/Spain!AO63*100</f>
        <v>37</v>
      </c>
      <c r="W23" s="4">
        <f>Sweden!AT63/Sweden!AQ63*100</f>
        <v>45</v>
      </c>
      <c r="X23" s="4">
        <f>Swiss!AQ63/Swiss!AN63*100</f>
        <v>49.985249701702706</v>
      </c>
      <c r="Y23" s="4">
        <f>Turkey!AO63/Turkey!AN63*100</f>
        <v>51</v>
      </c>
      <c r="Z23" s="4">
        <f>USA!AR71/USA!AQ71*100</f>
        <v>16.588689529865999</v>
      </c>
    </row>
    <row r="24" spans="1:29">
      <c r="A24">
        <v>1985</v>
      </c>
      <c r="B24" s="4">
        <f>Australia!AI64/Australia!Z64*100</f>
        <v>23.409147048205366</v>
      </c>
      <c r="C24" s="4">
        <f>Austria!AR64/Austria!AO64*100</f>
        <v>68</v>
      </c>
      <c r="D24" s="4">
        <f>Belgium!AR64/Belgium!AO64*100</f>
        <v>57.3</v>
      </c>
      <c r="E24" s="4">
        <f>Britain!AU64/Britain!AR64*100</f>
        <v>53</v>
      </c>
      <c r="F24" s="4">
        <f>Canada!AT64/Canada!AP64*100</f>
        <v>35.248158773129511</v>
      </c>
      <c r="G24" s="4">
        <f>'Czech Rep'!AT64/'Czech Rep'!AS64*100</f>
        <v>29.461662738852723</v>
      </c>
      <c r="H24" s="4">
        <f>Denmark!AU64/Denmark!AR64*100</f>
        <v>42.986666666666665</v>
      </c>
      <c r="I24" s="4">
        <f>Finland!AR64/Finland!AO64*100</f>
        <v>38</v>
      </c>
      <c r="J24" s="4">
        <f>France!AR64/France!AO64*100</f>
        <v>62.4</v>
      </c>
      <c r="K24" s="4">
        <f>Germany!AR64/Germany!AO64*100</f>
        <v>50.416634655223049</v>
      </c>
      <c r="L24" s="4">
        <f>Greece!AO64/Greece!AN64*100</f>
        <v>67.000000000000014</v>
      </c>
      <c r="M24" s="4">
        <f>Hungary!AO64/Hungary!AN64*100</f>
        <v>50.862424136096173</v>
      </c>
      <c r="N24" s="4">
        <f>Ireland!AR64/Ireland!AO64*100</f>
        <v>51.978396257199819</v>
      </c>
      <c r="O24" s="4">
        <f>Israel!AM64/Israel!O64*100</f>
        <v>56.28805009194825</v>
      </c>
      <c r="P24" s="4">
        <f>Italy!AR64/Italy!AO64*100</f>
        <v>68</v>
      </c>
      <c r="Q24" s="4">
        <f>Japan!AQ64/Japan!AN64*100</f>
        <v>37.6</v>
      </c>
      <c r="S24" s="4">
        <f>Netherlands!AQ64/Netherlands!AN64*100</f>
        <v>38</v>
      </c>
      <c r="T24" s="4">
        <f>'New Zealand'!AY64/'New Zealand'!AV64*100</f>
        <v>29.891330600099653</v>
      </c>
      <c r="U24" s="4">
        <f>Norway!AQ64/Norway!AN64*100</f>
        <v>50.762784863076185</v>
      </c>
      <c r="V24" s="4">
        <f>Spain!AR64/Spain!AO64*100</f>
        <v>36</v>
      </c>
      <c r="W24" s="4">
        <f>Sweden!AT64/Sweden!AQ64*100</f>
        <v>49.5</v>
      </c>
      <c r="X24" s="4">
        <f>Swiss!AQ64/Swiss!AN64*100</f>
        <v>49.834369709366946</v>
      </c>
      <c r="Y24" s="4">
        <f>Turkey!AO64/Turkey!AN64*100</f>
        <v>47</v>
      </c>
      <c r="Z24" s="4">
        <f>USA!AR72/USA!AQ72*100</f>
        <v>16.688621394503752</v>
      </c>
    </row>
    <row r="25" spans="1:29">
      <c r="A25">
        <v>1986</v>
      </c>
      <c r="B25" s="4">
        <f>Australia!AI65/Australia!Z65*100</f>
        <v>39.927788127292629</v>
      </c>
      <c r="C25" s="4">
        <f>Austria!AR65/Austria!AO65*100</f>
        <v>74.2</v>
      </c>
      <c r="D25" s="4">
        <f>Belgium!AR65/Belgium!AO65*100</f>
        <v>67.3</v>
      </c>
      <c r="E25" s="4">
        <f>Britain!AU65/Britain!AR65*100</f>
        <v>62.261850471995892</v>
      </c>
      <c r="F25" s="4">
        <f>Canada!AT65/Canada!AP65*100</f>
        <v>37.120534786086687</v>
      </c>
      <c r="G25" s="4">
        <f>'Czech Rep'!AT65/'Czech Rep'!AS65*100</f>
        <v>32.848360023177278</v>
      </c>
      <c r="H25" s="4">
        <f>Denmark!AU65/Denmark!AR65*100</f>
        <v>61.173333333333325</v>
      </c>
      <c r="I25" s="4">
        <f>Finland!AR65/Finland!AO65*100</f>
        <v>51</v>
      </c>
      <c r="J25" s="4">
        <f>France!AR65/France!AO65*100</f>
        <v>75.499999999999986</v>
      </c>
      <c r="K25" s="4">
        <f>Germany!AR65/Germany!AO65*100</f>
        <v>63.357814867980132</v>
      </c>
      <c r="L25" s="4">
        <f>Greece!AO65/Greece!AN65*100</f>
        <v>67.5</v>
      </c>
      <c r="M25" s="4">
        <f>Hungary!AO65/Hungary!AN65*100</f>
        <v>54.357663305868584</v>
      </c>
      <c r="N25" s="4">
        <f>Ireland!AR65/Ireland!AO65*100</f>
        <v>59.810654644703085</v>
      </c>
      <c r="O25" s="4">
        <f>Israel!AM65/Israel!O65*100</f>
        <v>56.28805009194825</v>
      </c>
      <c r="P25" s="4">
        <f>Italy!AR65/Italy!AO65*100</f>
        <v>74</v>
      </c>
      <c r="Q25" s="4">
        <f>Japan!AQ65/Japan!AN65*100</f>
        <v>47.300000000000004</v>
      </c>
      <c r="S25" s="4">
        <f>Netherlands!AQ65/Netherlands!AN65*100</f>
        <v>47</v>
      </c>
      <c r="T25" s="4">
        <f>'New Zealand'!AY65/'New Zealand'!AV65*100</f>
        <v>47.034726208942992</v>
      </c>
      <c r="U25" s="4">
        <f>Norway!AQ65/Norway!AN65*100</f>
        <v>60.553833424179174</v>
      </c>
      <c r="V25" s="4">
        <f>Spain!AR65/Spain!AO65*100</f>
        <v>44.7</v>
      </c>
      <c r="W25" s="4">
        <f>Sweden!AT65/Sweden!AQ65*100</f>
        <v>57.70000000000001</v>
      </c>
      <c r="X25" s="4">
        <f>Swiss!AQ65/Swiss!AN65*100</f>
        <v>54.687600301433669</v>
      </c>
      <c r="Y25" s="4">
        <f>Turkey!AO65/Turkey!AN65*100</f>
        <v>58.599999999999994</v>
      </c>
      <c r="Z25" s="4">
        <f>USA!AR73/USA!AQ73*100</f>
        <v>20.765841471723821</v>
      </c>
    </row>
    <row r="26" spans="1:29">
      <c r="A26">
        <v>1987</v>
      </c>
      <c r="B26" s="4">
        <f>Australia!AI66/Australia!Z66*100</f>
        <v>42.964339052198305</v>
      </c>
      <c r="C26" s="4">
        <f>Austria!AR66/Austria!AO66*100</f>
        <v>76</v>
      </c>
      <c r="D26" s="4">
        <f>Belgium!AR66/Belgium!AO66*100</f>
        <v>67.3</v>
      </c>
      <c r="E26" s="4">
        <f>Britain!AU66/Britain!AR66*100</f>
        <v>61.620122583208506</v>
      </c>
      <c r="F26" s="4">
        <f>Canada!AT66/Canada!AP66*100</f>
        <v>37.398111663519238</v>
      </c>
      <c r="G26" s="4">
        <f>'Czech Rep'!AT66/'Czech Rep'!AS66*100</f>
        <v>32.47142247453484</v>
      </c>
      <c r="H26" s="4">
        <f>Denmark!AU66/Denmark!AR66*100</f>
        <v>59.519999999999996</v>
      </c>
      <c r="I26" s="4">
        <f>Finland!AR66/Finland!AO66*100</f>
        <v>51</v>
      </c>
      <c r="J26" s="4">
        <f>France!AR66/France!AO66*100</f>
        <v>75.5</v>
      </c>
      <c r="K26" s="4">
        <f>Germany!AR66/Germany!AO66*100</f>
        <v>58.854357851622176</v>
      </c>
      <c r="L26" s="4">
        <f>Greece!AO66/Greece!AN66*100</f>
        <v>68.000000000000014</v>
      </c>
      <c r="M26" s="4">
        <f>Hungary!AO66/Hungary!AN66*100</f>
        <v>57.385499191033951</v>
      </c>
      <c r="N26" s="4">
        <f>Ireland!AR66/Ireland!AO66*100</f>
        <v>61.116219087557013</v>
      </c>
      <c r="O26" s="4">
        <f>Israel!AM66/Israel!O66*100</f>
        <v>56.28805009194825</v>
      </c>
      <c r="P26" s="4">
        <f>Italy!AR66/Italy!AO66*100</f>
        <v>81.299999999999983</v>
      </c>
      <c r="Q26" s="4">
        <f>Japan!AQ66/Japan!AN66*100</f>
        <v>43.9</v>
      </c>
      <c r="S26" s="4">
        <f>Netherlands!AQ66/Netherlands!AN66*100</f>
        <v>43</v>
      </c>
      <c r="T26" s="4">
        <f>'New Zealand'!AY66/'New Zealand'!AV66*100</f>
        <v>48.462184635656556</v>
      </c>
      <c r="U26" s="4">
        <f>Norway!AQ66/Norway!AN66*100</f>
        <v>59.801752855511381</v>
      </c>
      <c r="V26" s="4">
        <f>Spain!AR66/Spain!AO66*100</f>
        <v>44.7</v>
      </c>
      <c r="W26" s="4">
        <f>Sweden!AT66/Sweden!AQ66*100</f>
        <v>58.70000000000001</v>
      </c>
      <c r="X26" s="4">
        <f>Swiss!AQ66/Swiss!AN66*100</f>
        <v>55.443061221268117</v>
      </c>
      <c r="Y26" s="4">
        <f>Turkey!AO66/Turkey!AN66*100</f>
        <v>53.1</v>
      </c>
      <c r="Z26" s="4">
        <f>USA!AR74/USA!AQ74*100</f>
        <v>21.83511242334772</v>
      </c>
    </row>
    <row r="27" spans="1:29">
      <c r="A27">
        <v>1988</v>
      </c>
      <c r="B27" s="4">
        <f>Australia!AI67/Australia!Z67*100</f>
        <v>46.761981701016403</v>
      </c>
      <c r="C27" s="4">
        <f>Austria!AR67/Austria!AO67*100</f>
        <v>75.200000000000017</v>
      </c>
      <c r="D27" s="4">
        <f>Belgium!AR67/Belgium!AO67*100</f>
        <v>65.000000000000014</v>
      </c>
      <c r="E27" s="4">
        <f>Britain!AU67/Britain!AR67*100</f>
        <v>62.262022369825708</v>
      </c>
      <c r="F27" s="4">
        <f>Canada!AT67/Canada!AP67*100</f>
        <v>39.161343415632274</v>
      </c>
      <c r="G27" s="4">
        <f>'Czech Rep'!AT67/'Czech Rep'!AS67*100</f>
        <v>32.406533535817012</v>
      </c>
      <c r="H27" s="4">
        <f>Denmark!AU67/Denmark!AR67*100</f>
        <v>58.693333333333328</v>
      </c>
      <c r="I27" s="4">
        <f>Finland!AR67/Finland!AO67*100</f>
        <v>55.000000000000007</v>
      </c>
      <c r="J27" s="4">
        <f>France!AR67/France!AO67*100</f>
        <v>75.5</v>
      </c>
      <c r="K27" s="4">
        <f>Germany!AR67/Germany!AO67*100</f>
        <v>61.022691443501778</v>
      </c>
      <c r="L27" s="4">
        <f>Greece!AO67/Greece!AN67*100</f>
        <v>68.5</v>
      </c>
      <c r="M27" s="4">
        <f>Hungary!AO67/Hungary!AN67*100</f>
        <v>49.972386313904657</v>
      </c>
      <c r="N27" s="4">
        <f>Ireland!AR67/Ireland!AO67*100</f>
        <v>64.311959105682575</v>
      </c>
      <c r="O27" s="4">
        <f>Israel!AM67/Israel!O67*100</f>
        <v>56.28805009194825</v>
      </c>
      <c r="P27" s="4">
        <f>Italy!AR67/Italy!AO67*100</f>
        <v>80.699999999999989</v>
      </c>
      <c r="Q27" s="4">
        <f>Japan!AQ67/Japan!AN67*100</f>
        <v>46.2</v>
      </c>
      <c r="S27" s="4">
        <f>Netherlands!AQ67/Netherlands!AN67*100</f>
        <v>63</v>
      </c>
      <c r="T27" s="4">
        <f>'New Zealand'!AY67/'New Zealand'!AV67*100</f>
        <v>48.555313313127421</v>
      </c>
      <c r="U27" s="4">
        <f>Norway!AQ67/Norway!AN67*100</f>
        <v>61.094824356511765</v>
      </c>
      <c r="V27" s="4">
        <f>Spain!AR67/Spain!AO67*100</f>
        <v>44.7</v>
      </c>
      <c r="W27" s="4">
        <f>Sweden!AT67/Sweden!AQ67*100</f>
        <v>62</v>
      </c>
      <c r="X27" s="4">
        <f>Swiss!AQ67/Swiss!AN67*100</f>
        <v>55.540054606716929</v>
      </c>
      <c r="Y27" s="4">
        <f>Turkey!AO67/Turkey!AN67*100</f>
        <v>60</v>
      </c>
      <c r="Z27" s="4">
        <f>USA!AR75/USA!AQ75*100</f>
        <v>22.504655916420617</v>
      </c>
      <c r="AC27">
        <v>2018</v>
      </c>
    </row>
    <row r="28" spans="1:29">
      <c r="A28">
        <v>1989</v>
      </c>
      <c r="B28" s="4">
        <f>Australia!AI68/Australia!Z68*100</f>
        <v>48.297960432755481</v>
      </c>
      <c r="C28" s="4">
        <f>Austria!AR68/Austria!AO68*100</f>
        <v>74</v>
      </c>
      <c r="D28" s="4">
        <f>Belgium!AR68/Belgium!AO68*100</f>
        <v>60.602725782755243</v>
      </c>
      <c r="E28" s="4">
        <f>Britain!AU68/Britain!AR68*100</f>
        <v>57.104478190068789</v>
      </c>
      <c r="F28" s="4">
        <f>Canada!AT68/Canada!AP68*100</f>
        <v>39.862631037483311</v>
      </c>
      <c r="G28" s="4">
        <f>'Czech Rep'!AT68/'Czech Rep'!AS68*100</f>
        <v>31.437400960156285</v>
      </c>
      <c r="H28" s="4">
        <f>Denmark!AU68/Denmark!AR68*100</f>
        <v>75</v>
      </c>
      <c r="I28" s="4">
        <f>Finland!AR68/Finland!AO68*100</f>
        <v>55.000000000000007</v>
      </c>
      <c r="J28" s="4">
        <f>France!AR68/France!AO68*100</f>
        <v>73.099999999999994</v>
      </c>
      <c r="K28" s="4">
        <f>Germany!AR68/Germany!AO68*100</f>
        <v>60.17860824688146</v>
      </c>
      <c r="L28" s="4">
        <f>Greece!AO68/Greece!AN68*100</f>
        <v>69</v>
      </c>
      <c r="M28" s="4">
        <f>Hungary!AO68/Hungary!AN68*100</f>
        <v>37.796293608265749</v>
      </c>
      <c r="N28" s="4">
        <f>Ireland!AR68/Ireland!AO68*100</f>
        <v>62.663015788115054</v>
      </c>
      <c r="O28" s="4">
        <f>Israel!AM68/Israel!O68*100</f>
        <v>56.28805009194825</v>
      </c>
      <c r="P28" s="4">
        <f>Italy!AR68/Italy!AO68*100</f>
        <v>78.55</v>
      </c>
      <c r="Q28" s="4">
        <f>Japan!AQ68/Japan!AN68*100</f>
        <v>44.8</v>
      </c>
      <c r="S28" s="4">
        <f>Netherlands!AQ68/Netherlands!AN68*100</f>
        <v>66</v>
      </c>
      <c r="T28" s="4">
        <f>'New Zealand'!AY68/'New Zealand'!AV68*100</f>
        <v>49.34049745400614</v>
      </c>
      <c r="U28" s="4">
        <f>Norway!AQ68/Norway!AN68*100</f>
        <v>59.061226821317888</v>
      </c>
      <c r="V28" s="4">
        <f>Spain!AR68/Spain!AO68*100</f>
        <v>64</v>
      </c>
      <c r="W28" s="4">
        <f>Sweden!AT68/Sweden!AQ68*100</f>
        <v>60</v>
      </c>
      <c r="X28" s="4">
        <f>Swiss!AQ68/Swiss!AN68*100</f>
        <v>53.27099663191678</v>
      </c>
      <c r="Y28" s="4">
        <f>Turkey!AO68/Turkey!AN68*100</f>
        <v>52.2</v>
      </c>
      <c r="Z28" s="4">
        <f>USA!AR76/USA!AQ76*100</f>
        <v>23.274131274131271</v>
      </c>
      <c r="AC28" t="s">
        <v>352</v>
      </c>
    </row>
    <row r="29" spans="1:29">
      <c r="A29">
        <v>1990</v>
      </c>
      <c r="B29" s="4">
        <f>Australia!AI69/Australia!Z69*100</f>
        <v>42.895560551955207</v>
      </c>
      <c r="C29" s="4">
        <f>Austria!AR69/Austria!AO69*100</f>
        <v>70.3</v>
      </c>
      <c r="D29" s="4">
        <f>Belgium!AR69/Belgium!AO69*100</f>
        <v>59.975269745446781</v>
      </c>
      <c r="E29" s="4">
        <f>Britain!AU69/Britain!AR69*100</f>
        <v>59.522755701619545</v>
      </c>
      <c r="F29" s="4">
        <f>Canada!AT69/Canada!AP69*100</f>
        <v>40.704826972616402</v>
      </c>
      <c r="G29" s="4">
        <f>'Czech Rep'!AT69/'Czech Rep'!AS69*100</f>
        <v>26.170387712113293</v>
      </c>
      <c r="H29" s="4">
        <f>Denmark!AU69/Denmark!AR69*100</f>
        <v>62.564917621443058</v>
      </c>
      <c r="I29" s="4">
        <f>Finland!AR69/Finland!AO69*100</f>
        <v>56.999999999999993</v>
      </c>
      <c r="J29" s="4">
        <f>France!AR69/France!AO69*100</f>
        <v>73.099999999999994</v>
      </c>
      <c r="K29" s="4">
        <f>Germany!AR69/Germany!AO69*100</f>
        <v>75.100421180876651</v>
      </c>
      <c r="L29" s="4">
        <f>Greece!AO69/Greece!AN69*100</f>
        <v>69.5</v>
      </c>
      <c r="M29" s="4">
        <f>Hungary!AO69/Hungary!AN69*100</f>
        <v>53.876130417192215</v>
      </c>
      <c r="N29" s="4">
        <f>Ireland!AR69/Ireland!AO69*100</f>
        <v>65.89102954996676</v>
      </c>
      <c r="O29" s="4">
        <f>Israel!AM69/Israel!O69*100</f>
        <v>56.28805009194825</v>
      </c>
      <c r="P29" s="4">
        <f>Italy!AR69/Italy!AO69*100</f>
        <v>76.400000000000006</v>
      </c>
      <c r="Q29" s="4">
        <f>Japan!AQ69/Japan!AN69*100</f>
        <v>41.4</v>
      </c>
      <c r="R29" s="4">
        <f>Korea!AQ69/Korea!AN69*100</f>
        <v>50</v>
      </c>
      <c r="S29" s="4">
        <f>Netherlands!AQ69/Netherlands!AN69*100</f>
        <v>66.054064268000218</v>
      </c>
      <c r="T29" s="4">
        <f>'New Zealand'!AY69/'New Zealand'!AV69*100</f>
        <v>46.362594698606991</v>
      </c>
      <c r="U29" s="4">
        <f>Norway!AQ69/Norway!AN69*100</f>
        <v>53.083856596963017</v>
      </c>
      <c r="V29" s="4">
        <f>Spain!AR69/Spain!AO69*100</f>
        <v>69</v>
      </c>
      <c r="W29" s="4">
        <f>Sweden!AT69/Sweden!AQ69*100</f>
        <v>72.571203522409633</v>
      </c>
      <c r="X29" s="4">
        <f>Swiss!AQ69/Swiss!AN69*100</f>
        <v>54.955931471223849</v>
      </c>
      <c r="Y29" s="4">
        <f>Turkey!AO69/Turkey!AN69*100</f>
        <v>53.1</v>
      </c>
      <c r="Z29" s="4">
        <f>USA!AR77/USA!AQ77*100</f>
        <v>29.469906881671577</v>
      </c>
      <c r="AB29" t="s">
        <v>335</v>
      </c>
      <c r="AC29" t="s">
        <v>336</v>
      </c>
    </row>
    <row r="30" spans="1:29">
      <c r="A30">
        <v>1991</v>
      </c>
      <c r="B30" s="4">
        <f>Australia!AI70/Australia!Z70*100</f>
        <v>46.669775979057277</v>
      </c>
      <c r="C30" s="4">
        <f>Austria!AR70/Austria!AO70*100</f>
        <v>70.000000000000014</v>
      </c>
      <c r="D30" s="4">
        <f>Belgium!AR70/Belgium!AO70*100</f>
        <v>57.146180132825478</v>
      </c>
      <c r="E30" s="4">
        <f>Britain!AU70/Britain!AR70*100</f>
        <v>64.888516211865237</v>
      </c>
      <c r="F30" s="4">
        <f>Canada!AT70/Canada!AP70*100</f>
        <v>50.594679253974853</v>
      </c>
      <c r="G30" s="4">
        <f>'Czech Rep'!AT70/'Czech Rep'!AS70*100</f>
        <v>48.563131326326179</v>
      </c>
      <c r="H30" s="4">
        <f>Denmark!AU70/Denmark!AR70*100</f>
        <v>60.982367232910505</v>
      </c>
      <c r="I30" s="4">
        <f>Finland!AR70/Finland!AO70*100</f>
        <v>59</v>
      </c>
      <c r="J30" s="4">
        <f>France!AR70/France!AO70*100</f>
        <v>70.5</v>
      </c>
      <c r="K30" s="4">
        <f>Germany!AR70/Germany!AO70*100</f>
        <v>79.103614295730722</v>
      </c>
      <c r="L30" s="4">
        <f>Greece!AO70/Greece!AN70*100</f>
        <v>70</v>
      </c>
      <c r="M30" s="4">
        <f>Hungary!AO70/Hungary!AN70*100</f>
        <v>70.5722462394545</v>
      </c>
      <c r="N30" s="4">
        <f>Ireland!AR70/Ireland!AO70*100</f>
        <v>70.129206008553169</v>
      </c>
      <c r="O30" s="4">
        <f>Israel!AM70/Israel!O70*100</f>
        <v>56.28805009194825</v>
      </c>
      <c r="P30" s="4">
        <f>Italy!AR70/Italy!AO70*100</f>
        <v>76.3</v>
      </c>
      <c r="Q30" s="4">
        <f>Japan!AQ70/Japan!AN70*100</f>
        <v>44.6</v>
      </c>
      <c r="R30" s="4">
        <f>Korea!AQ70/Korea!AN70*100</f>
        <v>50.737179487179482</v>
      </c>
      <c r="S30" s="4">
        <f>Netherlands!AQ70/Netherlands!AN70*100</f>
        <v>65.185536719885604</v>
      </c>
      <c r="T30" s="4">
        <f>'New Zealand'!AY70/'New Zealand'!AV70*100</f>
        <v>47.78094820538373</v>
      </c>
      <c r="U30" s="4">
        <f>Norway!AQ70/Norway!AN70*100</f>
        <v>62.615508213138092</v>
      </c>
      <c r="V30" s="4">
        <f>Spain!AR70/Spain!AO70*100</f>
        <v>70.5</v>
      </c>
      <c r="W30" s="4">
        <f>Sweden!AT70/Sweden!AQ70*100</f>
        <v>54.089971959732118</v>
      </c>
      <c r="X30" s="4">
        <f>Swiss!AQ70/Swiss!AN70*100</f>
        <v>55.386600969193488</v>
      </c>
      <c r="Y30" s="4">
        <f>Turkey!AO70/Turkey!AN70*100</f>
        <v>56.100000000000009</v>
      </c>
      <c r="Z30" s="4">
        <f>USA!AR78/USA!AQ78*100</f>
        <v>28.120826709062001</v>
      </c>
      <c r="AB30" t="s">
        <v>337</v>
      </c>
      <c r="AC30">
        <v>363.02</v>
      </c>
    </row>
    <row r="31" spans="1:29">
      <c r="A31">
        <v>1992</v>
      </c>
      <c r="B31" s="4">
        <f>Australia!AI71/Australia!Z71*100</f>
        <v>46.668931192863788</v>
      </c>
      <c r="C31" s="4">
        <f>Austria!AR71/Austria!AO71*100</f>
        <v>72.999999999999986</v>
      </c>
      <c r="D31" s="4">
        <f>Belgium!AR71/Belgium!AO71*100</f>
        <v>66.03748090082027</v>
      </c>
      <c r="E31" s="4">
        <f>Britain!AU71/Britain!AR71*100</f>
        <v>66.102364798102897</v>
      </c>
      <c r="F31" s="4">
        <f>Canada!AT71/Canada!AP71*100</f>
        <v>52.028165624566391</v>
      </c>
      <c r="G31" s="4">
        <f>'Czech Rep'!AT71/'Czech Rep'!AS71*100</f>
        <v>56.603237146312516</v>
      </c>
      <c r="H31" s="4">
        <f>Denmark!AU71/Denmark!AR71*100</f>
        <v>64.641347713537684</v>
      </c>
      <c r="I31" s="4">
        <f>Finland!AR71/Finland!AO71*100</f>
        <v>64</v>
      </c>
      <c r="J31" s="4">
        <f>France!AR71/France!AO71*100</f>
        <v>73.099999999999994</v>
      </c>
      <c r="K31" s="4">
        <f>Germany!AR71/Germany!AO71*100</f>
        <v>75.319938794297528</v>
      </c>
      <c r="L31" s="4">
        <f>Greece!AO71/Greece!AN71*100</f>
        <v>70</v>
      </c>
      <c r="M31" s="4">
        <f>Hungary!AO71/Hungary!AN71*100</f>
        <v>70.283770752480663</v>
      </c>
      <c r="N31" s="4">
        <f>Ireland!AR71/Ireland!AO71*100</f>
        <v>70.969504431876359</v>
      </c>
      <c r="O31" s="4">
        <f>Israel!AM71/Israel!O71*100</f>
        <v>56.28805009194825</v>
      </c>
      <c r="P31" s="4">
        <f>Italy!AR71/Italy!AO71*100</f>
        <v>76.2</v>
      </c>
      <c r="Q31" s="4">
        <f>Japan!AQ71/Japan!AN71*100</f>
        <v>46.3</v>
      </c>
      <c r="R31" s="4">
        <f>Korea!AQ71/Korea!AN71*100</f>
        <v>51.474358974358971</v>
      </c>
      <c r="S31" s="4">
        <f>Netherlands!AQ71/Netherlands!AN71*100</f>
        <v>73.125470982646419</v>
      </c>
      <c r="T31" s="4">
        <f>'New Zealand'!AY71/'New Zealand'!AV71*100</f>
        <v>47.970794869869721</v>
      </c>
      <c r="U31" s="4">
        <f>Norway!AQ71/Norway!AN71*100</f>
        <v>71.574159492511995</v>
      </c>
      <c r="V31" s="4">
        <f>Spain!AR71/Spain!AO71*100</f>
        <v>69.899999999999991</v>
      </c>
      <c r="W31" s="4">
        <f>Sweden!AT71/Sweden!AQ71*100</f>
        <v>70.141406634921807</v>
      </c>
      <c r="X31" s="4">
        <f>Swiss!AQ71/Swiss!AN71*100</f>
        <v>63.277258167677971</v>
      </c>
      <c r="Y31" s="4">
        <f>Turkey!AO71/Turkey!AN71*100</f>
        <v>63.7</v>
      </c>
      <c r="Z31" s="4">
        <f>USA!AR79/USA!AQ79*100</f>
        <v>34.476493300022703</v>
      </c>
      <c r="AB31" t="s">
        <v>338</v>
      </c>
      <c r="AC31">
        <v>372.17</v>
      </c>
    </row>
    <row r="32" spans="1:29">
      <c r="A32">
        <v>1993</v>
      </c>
      <c r="B32" s="4">
        <f>Australia!AI72/Australia!Z72*100</f>
        <v>46.774002253454313</v>
      </c>
      <c r="C32" s="4">
        <f>Austria!AR72/Austria!AO72*100</f>
        <v>76</v>
      </c>
      <c r="D32" s="4">
        <f>Belgium!AR72/Belgium!AO72*100</f>
        <v>70.177609779207302</v>
      </c>
      <c r="E32" s="4">
        <f>Britain!AU72/Britain!AR72*100</f>
        <v>67.270571034769958</v>
      </c>
      <c r="F32" s="4">
        <f>Canada!AT72/Canada!AP72*100</f>
        <v>58.336216053588863</v>
      </c>
      <c r="G32" s="4">
        <f>'Czech Rep'!AT72/'Czech Rep'!AS72*100</f>
        <v>58.411808207004746</v>
      </c>
      <c r="H32" s="4">
        <f>Denmark!AU72/Denmark!AR72*100</f>
        <v>63.160576839877038</v>
      </c>
      <c r="I32" s="4">
        <f>Finland!AR72/Finland!AO72*100</f>
        <v>73</v>
      </c>
      <c r="J32" s="4">
        <f>France!AR72/France!AO72*100</f>
        <v>77.780215665949839</v>
      </c>
      <c r="K32" s="4">
        <f>Germany!AR72/Germany!AO72*100</f>
        <v>76.400661936582239</v>
      </c>
      <c r="L32" s="4">
        <f>Greece!AO72/Greece!AN72*100</f>
        <v>64.967573673521628</v>
      </c>
      <c r="M32" s="4">
        <f>Hungary!AO72/Hungary!AN72*100</f>
        <v>74.3206641379264</v>
      </c>
      <c r="N32" s="4">
        <f>Ireland!AR72/Ireland!AO72*100</f>
        <v>69.496469679508124</v>
      </c>
      <c r="O32" s="4">
        <f>Israel!AM72/Israel!O72*100</f>
        <v>56.28805009194825</v>
      </c>
      <c r="P32" s="4">
        <f>Italy!AR72/Italy!AO72*100</f>
        <v>76.099999999999994</v>
      </c>
      <c r="Q32" s="4">
        <f>Japan!AQ72/Japan!AN72*100</f>
        <v>47.5</v>
      </c>
      <c r="R32" s="4">
        <f>Korea!AQ72/Korea!AN72*100</f>
        <v>52.211538461538453</v>
      </c>
      <c r="S32" s="4">
        <f>Netherlands!AQ72/Netherlands!AN72*100</f>
        <v>72.254615378430572</v>
      </c>
      <c r="T32" s="4">
        <f>'New Zealand'!AY72/'New Zealand'!AV72*100</f>
        <v>48.177772473907339</v>
      </c>
      <c r="U32" s="4">
        <f>Norway!AQ72/Norway!AN72*100</f>
        <v>73.337282190592774</v>
      </c>
      <c r="V32" s="4">
        <f>Spain!AR72/Spain!AO72*100</f>
        <v>48.3</v>
      </c>
      <c r="W32" s="4">
        <f>Sweden!AT72/Sweden!AQ72*100</f>
        <v>77.731386747450159</v>
      </c>
      <c r="X32" s="4">
        <f>Swiss!AQ72/Swiss!AN72*100</f>
        <v>65.447343616579559</v>
      </c>
      <c r="Y32" s="4">
        <f>Turkey!AO72/Turkey!AN72*100</f>
        <v>64.900000000000006</v>
      </c>
      <c r="Z32" s="4">
        <f>USA!AR80/USA!AQ80*100</f>
        <v>35.575743811037938</v>
      </c>
      <c r="AB32" t="s">
        <v>339</v>
      </c>
      <c r="AC32">
        <v>388.84</v>
      </c>
    </row>
    <row r="33" spans="1:29">
      <c r="A33">
        <v>1994</v>
      </c>
      <c r="B33" s="4">
        <f>Australia!AI73/Australia!Z73*100</f>
        <v>55.510607695073723</v>
      </c>
      <c r="C33" s="4">
        <f>Austria!AR73/Austria!AO73*100</f>
        <v>66</v>
      </c>
      <c r="D33" s="4">
        <f>Belgium!AR73/Belgium!AO73*100</f>
        <v>74.241347889844278</v>
      </c>
      <c r="E33" s="4">
        <f>Britain!AU73/Britain!AR73*100</f>
        <v>69.956162707717411</v>
      </c>
      <c r="F33" s="4">
        <f>Canada!AT73/Canada!AP73*100</f>
        <v>59.617875656094199</v>
      </c>
      <c r="G33" s="4">
        <f>'Czech Rep'!AT73/'Czech Rep'!AS73*100</f>
        <v>59.468675807779668</v>
      </c>
      <c r="H33" s="4">
        <f>Denmark!AU73/Denmark!AR73*100</f>
        <v>66.459537695115927</v>
      </c>
      <c r="I33" s="4">
        <f>Finland!AR73/Finland!AO73*100</f>
        <v>72</v>
      </c>
      <c r="J33" s="4">
        <f>France!AR73/France!AO73*100</f>
        <v>81.555953123820288</v>
      </c>
      <c r="K33" s="4">
        <f>Germany!AR73/Germany!AO73*100</f>
        <v>80.504732879592069</v>
      </c>
      <c r="L33" s="4">
        <f>Greece!AO73/Greece!AN73*100</f>
        <v>74.685713910710234</v>
      </c>
      <c r="M33" s="4">
        <f>Hungary!AO73/Hungary!AN73*100</f>
        <v>73.448929436357531</v>
      </c>
      <c r="N33" s="4">
        <f>Ireland!AR73/Ireland!AO73*100</f>
        <v>69.391346498502713</v>
      </c>
      <c r="O33" s="4">
        <f>Israel!AM73/Israel!O73*100</f>
        <v>56.28805009194825</v>
      </c>
      <c r="P33" s="4">
        <f>Italy!AR73/Italy!AO73*100</f>
        <v>68.492404243682074</v>
      </c>
      <c r="Q33" s="4">
        <f>Japan!AQ73/Japan!AN73*100</f>
        <v>52.900000000000006</v>
      </c>
      <c r="R33" s="4">
        <f>Korea!AQ73/Korea!AN73*100</f>
        <v>52.948717948717942</v>
      </c>
      <c r="S33" s="4">
        <f>Netherlands!AQ73/Netherlands!AN73*100</f>
        <v>72.606595151737224</v>
      </c>
      <c r="T33" s="4">
        <f>'New Zealand'!AY73/'New Zealand'!AV73*100</f>
        <v>50.030236117916715</v>
      </c>
      <c r="U33" s="4">
        <f>Norway!AQ73/Norway!AN73*100</f>
        <v>67.285072482226937</v>
      </c>
      <c r="V33" s="4">
        <f>Spain!AR73/Spain!AO73*100</f>
        <v>50.9</v>
      </c>
      <c r="W33" s="4">
        <f>Sweden!AT73/Sweden!AQ73*100</f>
        <v>73.472640921904173</v>
      </c>
      <c r="X33" s="4">
        <f>Swiss!AQ73/Swiss!AN73*100</f>
        <v>71.294869031868743</v>
      </c>
      <c r="Y33" s="4">
        <f>Turkey!AO73/Turkey!AN73*100</f>
        <v>66.400000000000006</v>
      </c>
      <c r="Z33" s="4">
        <f>USA!AR81/USA!AQ81*100</f>
        <v>33.876902112196227</v>
      </c>
      <c r="AB33" t="s">
        <v>171</v>
      </c>
      <c r="AC33">
        <v>389.38</v>
      </c>
    </row>
    <row r="34" spans="1:29">
      <c r="A34">
        <v>1995</v>
      </c>
      <c r="B34" s="4">
        <f>Australia!AI74/Australia!Z74*100</f>
        <v>57.029445727482674</v>
      </c>
      <c r="C34" s="4">
        <f>Austria!AR74/Austria!AO74*100</f>
        <v>69.095415446130573</v>
      </c>
      <c r="D34" s="4">
        <f>Belgium!AR74/Belgium!AO74*100</f>
        <v>76.603666231156183</v>
      </c>
      <c r="E34" s="4">
        <f>Britain!AU74/Britain!AR74*100</f>
        <v>72.974689436175382</v>
      </c>
      <c r="F34" s="4">
        <f>Canada!AT74/Canada!AP74*100</f>
        <v>60.87107616543134</v>
      </c>
      <c r="G34" s="4">
        <f>'Czech Rep'!AT74/'Czech Rep'!AS74*100</f>
        <v>59.995341627176145</v>
      </c>
      <c r="H34" s="4">
        <f>Denmark!AU74/Denmark!AR74*100</f>
        <v>70.876466707294981</v>
      </c>
      <c r="I34" s="4">
        <f>Finland!AR74/Finland!AO74*100</f>
        <v>74.999999999999986</v>
      </c>
      <c r="J34" s="4">
        <f>France!AR74/France!AO74*100</f>
        <v>85.493612426149696</v>
      </c>
      <c r="K34" s="4">
        <f>Germany!AR74/Germany!AO74*100</f>
        <v>80.823240193128825</v>
      </c>
      <c r="L34" s="4">
        <f>Greece!AO74/Greece!AN74*100</f>
        <v>72.76371256401454</v>
      </c>
      <c r="M34" s="4">
        <f>Hungary!AO74/Hungary!AN74*100</f>
        <v>65.775901850493952</v>
      </c>
      <c r="N34" s="4">
        <f>Ireland!AR74/Ireland!AO74*100</f>
        <v>71.773716419842103</v>
      </c>
      <c r="O34" s="4">
        <f>Israel!AM74/Israel!O74*100</f>
        <v>55.000000000000007</v>
      </c>
      <c r="P34" s="4">
        <f>Italy!AR74/Italy!AO74*100</f>
        <v>76</v>
      </c>
      <c r="Q34" s="4">
        <f>Japan!AQ74/Japan!AN74*100</f>
        <v>58.4</v>
      </c>
      <c r="R34" s="4">
        <f>Korea!AQ74/Korea!AN74*100</f>
        <v>53.685897435897424</v>
      </c>
      <c r="S34" s="4">
        <f>Netherlands!AQ74/Netherlands!AN74*100</f>
        <v>74.883537419248412</v>
      </c>
      <c r="T34" s="4">
        <f>'New Zealand'!AY74/'New Zealand'!AV74*100</f>
        <v>49.800264534375458</v>
      </c>
      <c r="U34" s="4">
        <f>Norway!AQ74/Norway!AN74*100</f>
        <v>72.277565696657788</v>
      </c>
      <c r="V34" s="4">
        <f>Spain!AR74/Spain!AO74*100</f>
        <v>69.3</v>
      </c>
      <c r="W34" s="4">
        <f>Sweden!AT74/Sweden!AQ74*100</f>
        <v>72.771867654654784</v>
      </c>
      <c r="X34" s="4">
        <f>Swiss!AQ74/Swiss!AN74*100</f>
        <v>72.066230758264112</v>
      </c>
      <c r="Y34" s="4">
        <f>Turkey!AO74/Turkey!AN74*100</f>
        <v>67.900000000000006</v>
      </c>
      <c r="Z34" s="4">
        <f>USA!AR82/USA!AQ82*100</f>
        <v>33.976833976834001</v>
      </c>
      <c r="AB34" t="s">
        <v>200</v>
      </c>
      <c r="AC34">
        <v>404.46</v>
      </c>
    </row>
    <row r="35" spans="1:29">
      <c r="A35">
        <v>1996</v>
      </c>
      <c r="B35" s="4">
        <f>Australia!AI75/Australia!Z75*100</f>
        <v>56.879442606798506</v>
      </c>
      <c r="C35" s="4">
        <f>Austria!AR75/Austria!AO75*100</f>
        <v>67.852557905200229</v>
      </c>
      <c r="D35" s="4">
        <f>Belgium!AR75/Belgium!AO75*100</f>
        <v>78.539465724473757</v>
      </c>
      <c r="E35" s="4">
        <f>Britain!AU75/Britain!AR75*100</f>
        <v>75.34418022528159</v>
      </c>
      <c r="F35" s="4">
        <f>Canada!AT75/Canada!AP75*100</f>
        <v>59.058384801022804</v>
      </c>
      <c r="G35" s="4">
        <f>'Czech Rep'!AT75/'Czech Rep'!AS75*100</f>
        <v>60.397842743112065</v>
      </c>
      <c r="H35" s="4">
        <f>Denmark!AU75/Denmark!AR75*100</f>
        <v>71.265434315047287</v>
      </c>
      <c r="I35" s="4">
        <f>Finland!AR75/Finland!AO75*100</f>
        <v>76</v>
      </c>
      <c r="J35" s="4">
        <f>France!AR75/France!AO75*100</f>
        <v>83.441017913964373</v>
      </c>
      <c r="K35" s="4">
        <f>Germany!AR75/Germany!AO75*100</f>
        <v>77.968092050530529</v>
      </c>
      <c r="L35" s="4">
        <f>Greece!AO75/Greece!AN75*100</f>
        <v>62.058698149971839</v>
      </c>
      <c r="M35" s="4">
        <f>Hungary!AO75/Hungary!AN75*100</f>
        <v>69.83065040078526</v>
      </c>
      <c r="N35" s="4">
        <f>Ireland!AR75/Ireland!AO75*100</f>
        <v>69.906207390059436</v>
      </c>
      <c r="O35" s="4">
        <f>Israel!AM75/Israel!O75*100</f>
        <v>55.000000000000007</v>
      </c>
      <c r="P35" s="4">
        <f>Italy!AR75/Italy!AO75*100</f>
        <v>76</v>
      </c>
      <c r="Q35" s="4">
        <f>Japan!AQ75/Japan!AN75*100</f>
        <v>56.600000000000009</v>
      </c>
      <c r="R35" s="4">
        <f>Korea!AQ75/Korea!AN75*100</f>
        <v>54.423076923076906</v>
      </c>
      <c r="S35" s="4">
        <f>Netherlands!AQ75/Netherlands!AN75*100</f>
        <v>72.213124789856991</v>
      </c>
      <c r="T35" s="4">
        <f>'New Zealand'!AY75/'New Zealand'!AV75*100</f>
        <v>47.45148075287922</v>
      </c>
      <c r="U35" s="4">
        <f>Norway!AQ75/Norway!AN75*100</f>
        <v>71.246464043833711</v>
      </c>
      <c r="V35" s="4">
        <f>Spain!AR75/Spain!AO75*100</f>
        <v>69</v>
      </c>
      <c r="W35" s="4">
        <f>Sweden!AT75/Sweden!AQ75*100</f>
        <v>78.069388240370927</v>
      </c>
      <c r="X35" s="4">
        <f>Swiss!AQ75/Swiss!AN75*100</f>
        <v>75.639920180285685</v>
      </c>
      <c r="Y35" s="4">
        <f>Turkey!AO75/Turkey!AN75*100</f>
        <v>68</v>
      </c>
      <c r="Z35" s="4">
        <f>USA!AR83/USA!AQ83*100</f>
        <v>29.979559391324102</v>
      </c>
      <c r="AB35" t="s">
        <v>211</v>
      </c>
      <c r="AC35">
        <v>424.69</v>
      </c>
    </row>
    <row r="36" spans="1:29">
      <c r="A36">
        <v>1997</v>
      </c>
      <c r="B36" s="4">
        <f>Australia!AI76/Australia!Z76*100</f>
        <v>58.061572915658658</v>
      </c>
      <c r="C36" s="4">
        <f>Austria!AR76/Austria!AO76*100</f>
        <v>66.92543560031072</v>
      </c>
      <c r="D36" s="4">
        <f>Belgium!AR76/Belgium!AO76*100</f>
        <v>77.362278708133985</v>
      </c>
      <c r="E36" s="4">
        <f>Britain!AU76/Britain!AR76*100</f>
        <v>76.187907297915487</v>
      </c>
      <c r="F36" s="4">
        <f>Canada!AT76/Canada!AP76*100</f>
        <v>58.144385032036517</v>
      </c>
      <c r="G36" s="4">
        <f>'Czech Rep'!AT76/'Czech Rep'!AS76*100</f>
        <v>59.259498063156123</v>
      </c>
      <c r="H36" s="4">
        <f>Denmark!AU76/Denmark!AR76*100</f>
        <v>70.420345324523808</v>
      </c>
      <c r="I36" s="4">
        <f>Finland!AR76/Finland!AO76*100</f>
        <v>76</v>
      </c>
      <c r="J36" s="4">
        <f>France!AR76/France!AO76*100</f>
        <v>81.842578721382765</v>
      </c>
      <c r="K36" s="4">
        <f>Germany!AR76/Germany!AO76*100</f>
        <v>76.267447313359114</v>
      </c>
      <c r="L36" s="4">
        <f>Greece!AO76/Greece!AN76*100</f>
        <v>63.476412874529089</v>
      </c>
      <c r="M36" s="4">
        <f>Hungary!AO76/Hungary!AN76*100</f>
        <v>73.157081235681076</v>
      </c>
      <c r="N36" s="4">
        <f>Ireland!AR76/Ireland!AO76*100</f>
        <v>68.769950276756362</v>
      </c>
      <c r="O36" s="4">
        <f>Israel!AM76/Israel!O76*100</f>
        <v>55.000000000000007</v>
      </c>
      <c r="P36" s="4">
        <f>Italy!AR76/Italy!AO76*100</f>
        <v>74</v>
      </c>
      <c r="Q36" s="4">
        <f>Japan!AQ76/Japan!AN76*100</f>
        <v>60</v>
      </c>
      <c r="R36" s="4">
        <f>Korea!AQ76/Korea!AN76*100</f>
        <v>55.160256410256395</v>
      </c>
      <c r="S36" s="4">
        <f>Netherlands!AQ76/Netherlands!AN76*100</f>
        <v>72.388816152945651</v>
      </c>
      <c r="T36" s="4">
        <f>'New Zealand'!AY76/'New Zealand'!AV76*100</f>
        <v>47.471117056229168</v>
      </c>
      <c r="U36" s="4">
        <f>Norway!AQ76/Norway!AN76*100</f>
        <v>76.099954592531859</v>
      </c>
      <c r="V36" s="4">
        <f>Spain!AR76/Spain!AO76*100</f>
        <v>68.7</v>
      </c>
      <c r="W36" s="4">
        <f>Sweden!AT76/Sweden!AQ76*100</f>
        <v>78.154389924519066</v>
      </c>
      <c r="X36" s="4">
        <f>Swiss!AQ76/Swiss!AN76*100</f>
        <v>72.093338080853471</v>
      </c>
      <c r="Y36" s="4">
        <f>Turkey!AO76/Turkey!AN76*100</f>
        <v>70</v>
      </c>
      <c r="Z36" s="4">
        <f>USA!AR84/USA!AQ84*100</f>
        <v>31.978196684079052</v>
      </c>
      <c r="AB36" t="s">
        <v>340</v>
      </c>
      <c r="AC36">
        <v>434.43</v>
      </c>
    </row>
    <row r="37" spans="1:29">
      <c r="A37">
        <v>1998</v>
      </c>
      <c r="B37" s="4">
        <f>Australia!AI77/Australia!Z77*100</f>
        <v>62.740282711339134</v>
      </c>
      <c r="C37" s="4">
        <f>Austria!AR77/Austria!AO77*100</f>
        <v>69.893402021002572</v>
      </c>
      <c r="D37" s="4">
        <f>Belgium!AR77/Belgium!AO77*100</f>
        <v>82.738288385156338</v>
      </c>
      <c r="E37" s="4">
        <f>Britain!AU77/Britain!AR77*100</f>
        <v>82.93321196950734</v>
      </c>
      <c r="F37" s="4">
        <f>Canada!AT77/Canada!AP77*100</f>
        <v>63.158892719983761</v>
      </c>
      <c r="G37" s="4">
        <f>'Czech Rep'!AT77/'Czech Rep'!AS77*100</f>
        <v>64.047245807283105</v>
      </c>
      <c r="H37" s="4">
        <f>Denmark!AU77/Denmark!AR77*100</f>
        <v>72.939222005810507</v>
      </c>
      <c r="I37" s="4">
        <f>Finland!AR77/Finland!AO77*100</f>
        <v>79</v>
      </c>
      <c r="J37" s="4">
        <f>France!AR77/France!AO77*100</f>
        <v>86.03208605291583</v>
      </c>
      <c r="K37" s="4">
        <f>Germany!AR77/Germany!AO77*100</f>
        <v>81.094338938968647</v>
      </c>
      <c r="L37" s="4">
        <f>Greece!AO77/Greece!AN77*100</f>
        <v>64.063673380831702</v>
      </c>
      <c r="M37" s="4">
        <f>Hungary!AO77/Hungary!AN77*100</f>
        <v>72.920708473968403</v>
      </c>
      <c r="N37" s="4">
        <f>Ireland!AR77/Ireland!AO77*100</f>
        <v>70.218906576441668</v>
      </c>
      <c r="O37" s="4">
        <f>Israel!AM77/Israel!O77*100</f>
        <v>65.250549958276579</v>
      </c>
      <c r="P37" s="4">
        <f>Italy!AR77/Italy!AO77*100</f>
        <v>76.400000000000006</v>
      </c>
      <c r="Q37" s="4">
        <f>Japan!AQ77/Japan!AN77*100</f>
        <v>60</v>
      </c>
      <c r="R37" s="4">
        <f>Korea!AQ77/Korea!AN77*100</f>
        <v>55.897435897435876</v>
      </c>
      <c r="S37" s="4">
        <f>Netherlands!AQ77/Netherlands!AN77*100</f>
        <v>75.923003805716888</v>
      </c>
      <c r="T37" s="4">
        <f>'New Zealand'!AY77/'New Zealand'!AV77*100</f>
        <v>50.995524586004578</v>
      </c>
      <c r="U37" s="4">
        <f>Norway!AQ77/Norway!AN77*100</f>
        <v>77.567254377824867</v>
      </c>
      <c r="V37" s="4">
        <f>Spain!AR77/Spain!AO77*100</f>
        <v>68.7</v>
      </c>
      <c r="W37" s="4">
        <f>Sweden!AT77/Sweden!AQ77*100</f>
        <v>84.761443946260002</v>
      </c>
      <c r="X37" s="4">
        <f>Swiss!AQ77/Swiss!AN77*100</f>
        <v>79.559426735853705</v>
      </c>
      <c r="Y37" s="4">
        <f>Turkey!AO77/Turkey!AN77*100</f>
        <v>72</v>
      </c>
      <c r="Z37" s="4">
        <f>USA!AR85/USA!AQ85*100</f>
        <v>36.768780508814842</v>
      </c>
      <c r="AB37" t="s">
        <v>341</v>
      </c>
      <c r="AC37">
        <v>436</v>
      </c>
    </row>
    <row r="38" spans="1:29">
      <c r="A38">
        <v>1999</v>
      </c>
      <c r="B38" s="4">
        <f>Australia!AI78/Australia!Z78*100</f>
        <v>61.419150321247628</v>
      </c>
      <c r="C38" s="4">
        <f>Austria!AR78/Austria!AO78*100</f>
        <v>68.613423980040281</v>
      </c>
      <c r="D38" s="4">
        <f>Belgium!AR78/Belgium!AO78*100</f>
        <v>79.322674795493128</v>
      </c>
      <c r="E38" s="4">
        <f>Britain!AU78/Britain!AR78*100</f>
        <v>82.22428607551052</v>
      </c>
      <c r="F38" s="4">
        <f>Canada!AT78/Canada!AP78*100</f>
        <v>59.642185402512204</v>
      </c>
      <c r="G38" s="4">
        <f>'Czech Rep'!AT78/'Czech Rep'!AS78*100</f>
        <v>62.851260405321383</v>
      </c>
      <c r="H38" s="4">
        <f>Denmark!AU78/Denmark!AR78*100</f>
        <v>71.902180081641561</v>
      </c>
      <c r="I38" s="4">
        <f>Finland!AR78/Finland!AO78*100</f>
        <v>70</v>
      </c>
      <c r="J38" s="4">
        <f>France!AR78/France!AO78*100</f>
        <v>82.936872292324182</v>
      </c>
      <c r="K38" s="4">
        <f>Germany!AR78/Germany!AO78*100</f>
        <v>79.412507251557741</v>
      </c>
      <c r="L38" s="4">
        <f>Greece!AO78/Greece!AN78*100</f>
        <v>64.822762589116252</v>
      </c>
      <c r="M38" s="4">
        <f>Hungary!AO78/Hungary!AN78*100</f>
        <v>66.775007081070356</v>
      </c>
      <c r="N38" s="4">
        <f>Ireland!AR78/Ireland!AO78*100</f>
        <v>68.906691176692348</v>
      </c>
      <c r="O38" s="4">
        <f>Israel!AM78/Israel!O78*100</f>
        <v>66.868241047219058</v>
      </c>
      <c r="P38" s="4">
        <f>Italy!AR78/Italy!AO78*100</f>
        <v>72.532225337907292</v>
      </c>
      <c r="Q38" s="4">
        <f>Japan!AQ78/Japan!AN78*100</f>
        <v>60</v>
      </c>
      <c r="R38" s="4">
        <f>Korea!AQ78/Korea!AN78*100</f>
        <v>56.634615384615358</v>
      </c>
      <c r="S38" s="4">
        <f>Netherlands!AQ78/Netherlands!AN78*100</f>
        <v>73.960566002926114</v>
      </c>
      <c r="T38" s="4">
        <f>'New Zealand'!AY78/'New Zealand'!AV78*100</f>
        <v>51.879517198695879</v>
      </c>
      <c r="U38" s="4">
        <f>Norway!AQ78/Norway!AN78*100</f>
        <v>75.586646503157212</v>
      </c>
      <c r="V38" s="4">
        <f>Spain!AR78/Spain!AO78*100</f>
        <v>67.776522362461122</v>
      </c>
      <c r="W38" s="4">
        <f>Sweden!AT78/Sweden!AQ78*100</f>
        <v>80.879412039556499</v>
      </c>
      <c r="X38" s="4">
        <f>Swiss!AQ78/Swiss!AN78*100</f>
        <v>77.019495115414543</v>
      </c>
      <c r="Y38" s="4">
        <f>Turkey!AO78/Turkey!AN78*100</f>
        <v>71</v>
      </c>
      <c r="Z38" s="4">
        <f>USA!AR86/USA!AQ86*100</f>
        <v>33.224343985682211</v>
      </c>
      <c r="AB38" t="s">
        <v>342</v>
      </c>
      <c r="AC38">
        <v>462.09</v>
      </c>
    </row>
    <row r="39" spans="1:29">
      <c r="A39">
        <v>2000</v>
      </c>
      <c r="B39" s="4">
        <f>Australia!AI79/Australia!Z79*100</f>
        <v>49.356790717938139</v>
      </c>
      <c r="C39" s="4">
        <f>Austria!AR79/Austria!AO79*100</f>
        <v>60.012944983818763</v>
      </c>
      <c r="D39" s="4">
        <f>Belgium!AR79/Belgium!AO79*100</f>
        <v>65.106746411483257</v>
      </c>
      <c r="E39" s="4">
        <f>Britain!AU79/Britain!AR79*100</f>
        <v>75.969962453066316</v>
      </c>
      <c r="F39" s="4">
        <f>Canada!AT79/Canada!AP79*100</f>
        <v>51.954571708906073</v>
      </c>
      <c r="G39" s="4">
        <f>'Czech Rep'!AT79/'Czech Rep'!AS79*100</f>
        <v>56.868417480405043</v>
      </c>
      <c r="H39" s="4">
        <f>Denmark!AU79/Denmark!AR79*100</f>
        <v>66.626506024096386</v>
      </c>
      <c r="I39" s="4">
        <f>Finland!AR79/Finland!AO79*100</f>
        <v>63.84776485881418</v>
      </c>
      <c r="J39" s="4">
        <f>France!AR79/France!AO79*100</f>
        <v>71.117957612548864</v>
      </c>
      <c r="K39" s="4">
        <f>Germany!AR79/Germany!AO79*100</f>
        <v>70.618179282451791</v>
      </c>
      <c r="L39" s="4">
        <f>Greece!AO79/Greece!AN79*100</f>
        <v>52.835511670450288</v>
      </c>
      <c r="M39" s="4">
        <f>Hungary!AO79/Hungary!AN79*100</f>
        <v>67.377564060723529</v>
      </c>
      <c r="N39" s="4">
        <f>Ireland!AR79/Ireland!AO79*100</f>
        <v>59.189823802392439</v>
      </c>
      <c r="O39" s="4">
        <f>Israel!AM79/Israel!O79*100</f>
        <v>67.129384411218822</v>
      </c>
      <c r="P39" s="4">
        <f>Italy!AR79/Italy!AO79*100</f>
        <v>64.862781375269819</v>
      </c>
      <c r="Q39" s="4">
        <f>Japan!AQ79/Japan!AN79*100</f>
        <v>56.542462990971167</v>
      </c>
      <c r="R39" s="4">
        <f>Korea!AQ79/Korea!AN79*100</f>
        <v>57.371794871794869</v>
      </c>
      <c r="S39" s="4">
        <f>Netherlands!AQ79/Netherlands!AN79*100</f>
        <v>66.359134262655914</v>
      </c>
      <c r="T39" s="4">
        <f>'New Zealand'!AY79/'New Zealand'!AV79*100</f>
        <v>43.821391484942879</v>
      </c>
      <c r="U39" s="4">
        <f>Norway!AQ79/Norway!AN79*100</f>
        <v>68.670794033323631</v>
      </c>
      <c r="V39" s="4">
        <f>Spain!AR79/Spain!AO79*100</f>
        <v>59.214348869521281</v>
      </c>
      <c r="W39" s="4">
        <f>Sweden!AT79/Sweden!AQ79*100</f>
        <v>66.993271656854489</v>
      </c>
      <c r="X39" s="4">
        <f>Swiss!AQ79/Swiss!AN79*100</f>
        <v>60.262458471760802</v>
      </c>
      <c r="Y39" s="4">
        <f>Turkey!AO79/Turkey!AN79*100</f>
        <v>62.042779023911109</v>
      </c>
      <c r="Z39" s="4">
        <f>USA!AR87/USA!AQ87*100</f>
        <v>25.70086022189005</v>
      </c>
      <c r="AB39" t="s">
        <v>343</v>
      </c>
      <c r="AC39">
        <v>465</v>
      </c>
    </row>
    <row r="40" spans="1:29">
      <c r="A40">
        <v>2001</v>
      </c>
      <c r="B40" s="4">
        <f>Australia!AI80/Australia!Z80*100</f>
        <v>51.038523827573137</v>
      </c>
      <c r="C40" s="4">
        <f>Austria!AR80/Austria!AO80*100</f>
        <v>61.688689809630446</v>
      </c>
      <c r="D40" s="4">
        <f>Belgium!AR80/Belgium!AO80*100</f>
        <v>66.887619047619054</v>
      </c>
      <c r="E40" s="4">
        <f>Britain!AU80/Britain!AR80*100</f>
        <v>75.315780609667087</v>
      </c>
      <c r="F40" s="4">
        <f>Canada!AT80/Canada!AP80*100</f>
        <v>53.290757568052257</v>
      </c>
      <c r="G40" s="4">
        <f>'Czech Rep'!AT80/'Czech Rep'!AS80*100</f>
        <v>57.879040468644995</v>
      </c>
      <c r="H40" s="4">
        <f>Denmark!AU80/Denmark!AR80*100</f>
        <v>68.711656441717793</v>
      </c>
      <c r="I40" s="4">
        <f>Finland!AR80/Finland!AO80*100</f>
        <v>64.921876154858154</v>
      </c>
      <c r="J40" s="4">
        <f>France!AR80/France!AO80*100</f>
        <v>73.451916735498813</v>
      </c>
      <c r="K40" s="4">
        <f>Germany!AR80/Germany!AO80*100</f>
        <v>72.915735551964801</v>
      </c>
      <c r="L40" s="4">
        <f>Greece!AO80/Greece!AN80*100</f>
        <v>54.511531717843823</v>
      </c>
      <c r="M40" s="4">
        <f>Hungary!AO80/Hungary!AN80*100</f>
        <v>72.226806304125233</v>
      </c>
      <c r="N40" s="4">
        <f>Ireland!AR80/Ireland!AO80*100</f>
        <v>61.773528308961382</v>
      </c>
      <c r="O40" s="4">
        <f>Israel!AM80/Israel!O80*100</f>
        <v>68.895402200451599</v>
      </c>
      <c r="P40" s="4">
        <f>Italy!AR80/Italy!AO80*100</f>
        <v>66.429249762583098</v>
      </c>
      <c r="Q40" s="4">
        <f>Japan!AQ80/Japan!AN80*100</f>
        <v>56.04884470470742</v>
      </c>
      <c r="R40" s="4">
        <f>Korea!AQ80/Korea!AN80*100</f>
        <v>56.640625</v>
      </c>
      <c r="S40" s="4">
        <f>Netherlands!AQ80/Netherlands!AN80*100</f>
        <v>69.18938307030129</v>
      </c>
      <c r="T40" s="4">
        <f>'New Zealand'!AY80/'New Zealand'!AV80*100</f>
        <v>44.53995542820757</v>
      </c>
      <c r="U40" s="4">
        <f>Norway!AQ80/Norway!AN80*100</f>
        <v>67.55515169872281</v>
      </c>
      <c r="V40" s="4">
        <f>Spain!AR80/Spain!AO80*100</f>
        <v>59.889757723368795</v>
      </c>
      <c r="W40" s="4">
        <f>Sweden!AT80/Sweden!AQ80*100</f>
        <v>67.61904761904762</v>
      </c>
      <c r="X40" s="4">
        <f>Swiss!AQ80/Swiss!AN80*100</f>
        <v>62.281553798783229</v>
      </c>
      <c r="Y40" s="4">
        <f>Turkey!AO80/Turkey!AN80*100</f>
        <v>63.03649535265172</v>
      </c>
      <c r="Z40" s="4">
        <f>USA!AR88/USA!AQ88*100</f>
        <v>26.824879993864986</v>
      </c>
      <c r="AB40" t="s">
        <v>344</v>
      </c>
      <c r="AC40">
        <v>475.19</v>
      </c>
    </row>
    <row r="41" spans="1:29">
      <c r="A41">
        <v>2002</v>
      </c>
      <c r="B41" s="4">
        <f>Australia!AI81/Australia!Z81*100</f>
        <v>51.637465051258161</v>
      </c>
      <c r="C41" s="4">
        <f>Austria!AR81/Austria!AO81*100</f>
        <v>63.435897435897445</v>
      </c>
      <c r="D41" s="4">
        <f>Belgium!AR81/Belgium!AO81*100</f>
        <v>68.377538304392232</v>
      </c>
      <c r="E41" s="4">
        <f>Britain!AU81/Britain!AR81*100</f>
        <v>77.376563815273869</v>
      </c>
      <c r="F41" s="4">
        <f>Canada!AT81/Canada!AP81*100</f>
        <v>53.054859158175162</v>
      </c>
      <c r="G41" s="4">
        <f>'Czech Rep'!AT81/'Czech Rep'!AS81*100</f>
        <v>60.98062467842518</v>
      </c>
      <c r="H41" s="4">
        <f>Denmark!AU81/Denmark!AR81*100</f>
        <v>70.123152709359616</v>
      </c>
      <c r="I41" s="4">
        <f>Finland!AR81/Finland!AO81*100</f>
        <v>70.125810141059858</v>
      </c>
      <c r="J41" s="4">
        <f>France!AR81/France!AO81*100</f>
        <v>74.428400404290201</v>
      </c>
      <c r="K41" s="4">
        <f>Germany!AR81/Germany!AO81*100</f>
        <v>74.493492553334235</v>
      </c>
      <c r="L41" s="4">
        <f>Greece!AO81/Greece!AN81*100</f>
        <v>55.526346131673009</v>
      </c>
      <c r="M41" s="4">
        <f>Hungary!AO81/Hungary!AN81*100</f>
        <v>70.412872585215354</v>
      </c>
      <c r="N41" s="4">
        <f>Ireland!AR81/Ireland!AO81*100</f>
        <v>64.204698915644158</v>
      </c>
      <c r="O41" s="4">
        <f>Israel!AM81/Israel!O81*100</f>
        <v>66.294313628206027</v>
      </c>
      <c r="P41" s="4">
        <f>Italy!AR81/Italy!AO81*100</f>
        <v>68.384223918575074</v>
      </c>
      <c r="Q41" s="4">
        <f>Japan!AQ81/Japan!AN81*100</f>
        <v>56.393382688968096</v>
      </c>
      <c r="R41" s="4">
        <f>Korea!AQ81/Korea!AN81*100</f>
        <v>54.166666666666664</v>
      </c>
      <c r="S41" s="4">
        <f>Netherlands!AQ81/Netherlands!AN81*100</f>
        <v>71.036316624551915</v>
      </c>
      <c r="T41" s="4">
        <f>'New Zealand'!AY81/'New Zealand'!AV81*100</f>
        <v>49.206349206349209</v>
      </c>
      <c r="U41" s="4">
        <f>Norway!AQ81/Norway!AN81*100</f>
        <v>70.02448156682027</v>
      </c>
      <c r="V41" s="4">
        <f>Spain!AR81/Spain!AO81*100</f>
        <v>59.493349148521567</v>
      </c>
      <c r="W41" s="4">
        <f>Sweden!AT81/Sweden!AQ81*100</f>
        <v>69.640055871924361</v>
      </c>
      <c r="X41" s="4">
        <f>Swiss!AQ81/Swiss!AN81*100</f>
        <v>64.713892543796646</v>
      </c>
      <c r="Y41" s="4">
        <f>Turkey!AO81/Turkey!AN81*100</f>
        <v>70.095130991588533</v>
      </c>
      <c r="Z41" s="4">
        <f>USA!AR89/USA!AQ89*100</f>
        <v>28.72717916128618</v>
      </c>
      <c r="AB41" t="s">
        <v>345</v>
      </c>
      <c r="AC41">
        <v>479</v>
      </c>
    </row>
    <row r="42" spans="1:29">
      <c r="A42">
        <v>2003</v>
      </c>
      <c r="B42" s="4">
        <f>Australia!AI82/Australia!Z82*100</f>
        <v>49.715559518502012</v>
      </c>
      <c r="C42" s="4">
        <f>Austria!AR82/Austria!AO82*100</f>
        <v>63.215777262180985</v>
      </c>
      <c r="D42" s="4">
        <f>Belgium!AR82/Belgium!AO82*100</f>
        <v>69.242259332023579</v>
      </c>
      <c r="E42" s="4">
        <f>Britain!AU82/Britain!AR82*100</f>
        <v>75.156774916013433</v>
      </c>
      <c r="F42" s="4">
        <f>Canada!AT82/Canada!AP82*100</f>
        <v>52.335407102745727</v>
      </c>
      <c r="G42" s="4">
        <f>'Czech Rep'!AT82/'Czech Rep'!AS82*100</f>
        <v>60.180626478784838</v>
      </c>
      <c r="H42" s="4">
        <f>Denmark!AU82/Denmark!AR82*100</f>
        <v>69.816401468788257</v>
      </c>
      <c r="I42" s="4">
        <f>Finland!AR82/Finland!AO82*100</f>
        <v>72.503589804953933</v>
      </c>
      <c r="J42" s="4">
        <f>France!AR82/France!AO82*100</f>
        <v>74.996697926297713</v>
      </c>
      <c r="K42" s="4">
        <f>Germany!AR82/Germany!AO82*100</f>
        <v>74.847207925887787</v>
      </c>
      <c r="L42" s="4">
        <f>Greece!AO82/Greece!AN82*100</f>
        <v>55.254237288135585</v>
      </c>
      <c r="M42" s="4">
        <f>Hungary!AO82/Hungary!AN82*100</f>
        <v>68.743644202335247</v>
      </c>
      <c r="N42" s="4">
        <f>Ireland!AR82/Ireland!AO82*100</f>
        <v>68.165193339610681</v>
      </c>
      <c r="O42" s="4">
        <f>Israel!AM82/Israel!O82*100</f>
        <v>65.89547306686498</v>
      </c>
      <c r="P42" s="4">
        <f>Italy!AR82/Italy!AO82*100</f>
        <v>67.798742138364787</v>
      </c>
      <c r="Q42" s="4">
        <f>Japan!AQ82/Japan!AN82*100</f>
        <v>55.373381713927337</v>
      </c>
      <c r="R42" s="4">
        <f>Korea!AQ82/Korea!AN82*100</f>
        <v>53.86398763523956</v>
      </c>
      <c r="S42" s="4">
        <f>Netherlands!AQ82/Netherlands!AN82*100</f>
        <v>69.115653163767661</v>
      </c>
      <c r="T42" s="4">
        <f>'New Zealand'!AY82/'New Zealand'!AV82*100</f>
        <v>49.740987419388944</v>
      </c>
      <c r="U42" s="4">
        <f>Norway!AQ82/Norway!AN82*100</f>
        <v>68.864014979417078</v>
      </c>
      <c r="V42" s="4">
        <f>Spain!AR82/Spain!AO82*100</f>
        <v>59.325539188789946</v>
      </c>
      <c r="W42" s="4">
        <f>Sweden!AT82/Sweden!AQ82*100</f>
        <v>70.085070182900893</v>
      </c>
      <c r="X42" s="4">
        <f>Swiss!AQ82/Swiss!AN82*100</f>
        <v>63.922953123583284</v>
      </c>
      <c r="Y42" s="4">
        <f>Turkey!AO82/Turkey!AN82*100</f>
        <v>71.185501146228717</v>
      </c>
      <c r="Z42" s="4">
        <f>USA!AR90/USA!AQ90*100</f>
        <v>24.046328627901602</v>
      </c>
      <c r="AB42" t="s">
        <v>219</v>
      </c>
      <c r="AC42">
        <v>482</v>
      </c>
    </row>
    <row r="43" spans="1:29">
      <c r="A43">
        <v>2004</v>
      </c>
      <c r="B43" s="4">
        <f>Australia!AI83/Australia!Z83*100</f>
        <v>46.420283892203251</v>
      </c>
      <c r="C43" s="4">
        <f>Austria!AR83/Austria!AO83*100</f>
        <v>60.790547798066598</v>
      </c>
      <c r="D43" s="4">
        <f>Belgium!AR83/Belgium!AO83*100</f>
        <v>66.020324276950049</v>
      </c>
      <c r="E43" s="4">
        <f>Britain!AU83/Britain!AR83*100</f>
        <v>73.621796572398793</v>
      </c>
      <c r="F43" s="4">
        <f>Canada!AT83/Canada!AP83*100</f>
        <v>49.514262272782538</v>
      </c>
      <c r="G43" s="4">
        <f>'Czech Rep'!AT83/'Czech Rep'!AS83*100</f>
        <v>59.374285342154963</v>
      </c>
      <c r="H43" s="4">
        <f>Denmark!AU83/Denmark!AR83*100</f>
        <v>68.800959232613906</v>
      </c>
      <c r="I43" s="4">
        <f>Finland!AR83/Finland!AO83*100</f>
        <v>70.355310986911107</v>
      </c>
      <c r="J43" s="4">
        <f>France!AR83/France!AO83*100</f>
        <v>71.901626218718377</v>
      </c>
      <c r="K43" s="4">
        <f>Germany!AR83/Germany!AO83*100</f>
        <v>72.492655017782596</v>
      </c>
      <c r="L43" s="4">
        <f>Greece!AO83/Greece!AN83*100</f>
        <v>51.707439258578937</v>
      </c>
      <c r="M43" s="4">
        <f>Hungary!AO83/Hungary!AN83*100</f>
        <v>65.769230769230774</v>
      </c>
      <c r="N43" s="4">
        <f>Ireland!AR83/Ireland!AO83*100</f>
        <v>63.788899010144128</v>
      </c>
      <c r="O43" s="4">
        <f>Israel!AM83/Israel!O83*100</f>
        <v>61.19678594655025</v>
      </c>
      <c r="P43" s="4">
        <f>Italy!AR83/Italy!AO83*100</f>
        <v>66.311426879810554</v>
      </c>
      <c r="Q43" s="4">
        <f>Japan!AQ83/Japan!AN83*100</f>
        <v>52.669295679090865</v>
      </c>
      <c r="R43" s="4">
        <f>Korea!AQ83/Korea!AN83*100</f>
        <v>50.183150183150182</v>
      </c>
      <c r="S43" s="4">
        <f>Netherlands!AQ83/Netherlands!AN83*100</f>
        <v>66.924853008295983</v>
      </c>
      <c r="T43" s="4">
        <f>'New Zealand'!AY83/'New Zealand'!AV83*100</f>
        <v>47.193585337915238</v>
      </c>
      <c r="U43" s="4">
        <f>Norway!AQ83/Norway!AN83*100</f>
        <v>66.630479735318431</v>
      </c>
      <c r="V43" s="4">
        <f>Spain!AR83/Spain!AO83*100</f>
        <v>56.600928534581961</v>
      </c>
      <c r="W43" s="4">
        <f>Sweden!AT83/Sweden!AQ83*100</f>
        <v>68.073063026896833</v>
      </c>
      <c r="X43" s="4">
        <f>Swiss!AQ83/Swiss!AN83*100</f>
        <v>60.272897453982367</v>
      </c>
      <c r="Y43" s="4">
        <f>Turkey!AO83/Turkey!AN83*100</f>
        <v>68.444640555108535</v>
      </c>
      <c r="Z43" s="4">
        <f>USA!AR91/USA!AQ91*100</f>
        <v>20.273036409693098</v>
      </c>
      <c r="AB43" t="s">
        <v>346</v>
      </c>
      <c r="AC43">
        <v>507.8</v>
      </c>
    </row>
    <row r="44" spans="1:29">
      <c r="A44">
        <v>2005</v>
      </c>
      <c r="B44" s="4">
        <f>Australia!AI84/Australia!Z84*100</f>
        <v>41.759557890922274</v>
      </c>
      <c r="C44" s="4">
        <f>Austria!AR84/Austria!AO84*100</f>
        <v>57.043307086614178</v>
      </c>
      <c r="D44" s="4">
        <f>Belgium!AR84/Belgium!AO84*100</f>
        <v>62.683749999999996</v>
      </c>
      <c r="E44" s="4">
        <f>Britain!AU84/Britain!AR84*100</f>
        <v>69.218876536847532</v>
      </c>
      <c r="F44" s="4">
        <f>Canada!AT84/Canada!AP84*100</f>
        <v>45.700251354459887</v>
      </c>
      <c r="G44" s="4">
        <f>'Czech Rep'!AT84/'Czech Rep'!AS84*100</f>
        <v>57.499827624422508</v>
      </c>
      <c r="H44" s="4">
        <f>Denmark!AU84/Denmark!AR84*100</f>
        <v>64.927536231884062</v>
      </c>
      <c r="I44" s="4">
        <f>Finland!AR84/Finland!AO84*100</f>
        <v>66.349686178586936</v>
      </c>
      <c r="J44" s="4">
        <f>France!AR84/France!AO84*100</f>
        <v>67.120087342534248</v>
      </c>
      <c r="K44" s="4">
        <f>Germany!AR84/Germany!AO84*100</f>
        <v>67.366754376361826</v>
      </c>
      <c r="L44" s="4">
        <f>Greece!AO84/Greece!AN84*100</f>
        <v>49.526477257569695</v>
      </c>
      <c r="M44" s="4">
        <f>Hungary!AO84/Hungary!AN84*100</f>
        <v>59.60602155843727</v>
      </c>
      <c r="N44" s="4">
        <f>Ireland!AR84/Ireland!AO84*100</f>
        <v>59.545493430667342</v>
      </c>
      <c r="O44" s="4">
        <f>Israel!AM84/Israel!O84*100</f>
        <v>56.711331681427843</v>
      </c>
      <c r="P44" s="4">
        <f>Italy!AR84/Italy!AO84*100</f>
        <v>62.896700731958823</v>
      </c>
      <c r="Q44" s="4">
        <f>Japan!AQ84/Japan!AN84*100</f>
        <v>47.974756167527246</v>
      </c>
      <c r="R44" s="4">
        <f>Korea!AQ84/Korea!AN84*100</f>
        <v>47.759103641456583</v>
      </c>
      <c r="S44" s="4">
        <f>Netherlands!AQ84/Netherlands!AN84*100</f>
        <v>65.374670578290477</v>
      </c>
      <c r="T44" s="4">
        <f>'New Zealand'!AY84/'New Zealand'!AV84*100</f>
        <v>46.035353535353536</v>
      </c>
      <c r="U44" s="4">
        <f>Norway!AQ84/Norway!AN84*100</f>
        <v>64.495837187789093</v>
      </c>
      <c r="V44" s="4">
        <f>Spain!AR84/Spain!AO84*100</f>
        <v>52.745983029427691</v>
      </c>
      <c r="W44" s="4">
        <f>Sweden!AT84/Sweden!AQ84*100</f>
        <v>65.109768696313878</v>
      </c>
      <c r="X44" s="4">
        <f>Swiss!AQ84/Swiss!AN84*100</f>
        <v>55.917159043049161</v>
      </c>
      <c r="Y44" s="4">
        <f>Turkey!AO84/Turkey!AN84*100</f>
        <v>69.021495670778592</v>
      </c>
      <c r="Z44" s="4">
        <f>USA!AR92/USA!AQ92*100</f>
        <v>16.579932226737593</v>
      </c>
      <c r="AB44" t="s">
        <v>347</v>
      </c>
      <c r="AC44">
        <v>514.29999999999995</v>
      </c>
    </row>
    <row r="45" spans="1:29">
      <c r="A45">
        <v>2006</v>
      </c>
      <c r="B45" s="4">
        <f>Australia!AI85/Australia!Z85*100</f>
        <v>37.919832582099168</v>
      </c>
      <c r="C45" s="4">
        <f>Austria!AR85/Austria!AO85*100</f>
        <v>54.863000931966454</v>
      </c>
      <c r="D45" s="4">
        <f>Belgium!AR85/Belgium!AO85*100</f>
        <v>60.359401330376926</v>
      </c>
      <c r="E45" s="4">
        <f>Britain!AU85/Britain!AR85*100</f>
        <v>67.160867842744281</v>
      </c>
      <c r="F45" s="4">
        <f>Canada!AT85/Canada!AP85*100</f>
        <v>43.842923234993854</v>
      </c>
      <c r="G45" s="4">
        <f>'Czech Rep'!AT85/'Czech Rep'!AS85*100</f>
        <v>55.708440163677629</v>
      </c>
      <c r="H45" s="4">
        <f>Denmark!AU85/Denmark!AR85*100</f>
        <v>62.331932773109244</v>
      </c>
      <c r="I45" s="4">
        <f>Finland!AR85/Finland!AO85*100</f>
        <v>63.706070724921474</v>
      </c>
      <c r="J45" s="4">
        <f>France!AR85/France!AO85*100</f>
        <v>64.003157926042888</v>
      </c>
      <c r="K45" s="4">
        <f>Germany!AR85/Germany!AO85*100</f>
        <v>64.792692531894176</v>
      </c>
      <c r="L45" s="4">
        <f>Greece!AO85/Greece!AN85*100</f>
        <v>47.474651017431768</v>
      </c>
      <c r="M45" s="4">
        <f>Hungary!AO85/Hungary!AN85*100</f>
        <v>54.557734490503698</v>
      </c>
      <c r="N45" s="4">
        <f>Ireland!AR85/Ireland!AO85*100</f>
        <v>56.901698899322497</v>
      </c>
      <c r="O45" s="4">
        <f>Israel!AM85/Israel!O85*100</f>
        <v>53.77917350954845</v>
      </c>
      <c r="P45" s="4">
        <f>Italy!AR85/Italy!AO85*100</f>
        <v>60.497579831309025</v>
      </c>
      <c r="Q45" s="4">
        <f>Japan!AQ85/Japan!AN85*100</f>
        <v>45.343722943722945</v>
      </c>
      <c r="R45" s="4">
        <f>Korea!AQ85/Korea!AN85*100</f>
        <v>45.332437877770317</v>
      </c>
      <c r="S45" s="4">
        <f>Netherlands!AQ85/Netherlands!AN85*100</f>
        <v>63.740238144727854</v>
      </c>
      <c r="T45" s="4">
        <f>'New Zealand'!AY85/'New Zealand'!AV85*100</f>
        <v>42.127842127842122</v>
      </c>
      <c r="U45" s="4">
        <f>Norway!AQ85/Norway!AN85*100</f>
        <v>62.677605166695749</v>
      </c>
      <c r="V45" s="4">
        <f>Spain!AR85/Spain!AO85*100</f>
        <v>50.263691683569981</v>
      </c>
      <c r="W45" s="4">
        <f>Sweden!AT85/Sweden!AQ85*100</f>
        <v>63.68905050423723</v>
      </c>
      <c r="X45" s="4">
        <f>Swiss!AQ85/Swiss!AN85*100</f>
        <v>52.467944439290712</v>
      </c>
      <c r="Y45" s="4">
        <f>Turkey!AO85/Turkey!AN85*100</f>
        <v>64.335980176144233</v>
      </c>
      <c r="Z45" s="4">
        <f>USA!AR93/USA!AQ93*100</f>
        <v>15.023971034239656</v>
      </c>
      <c r="AB45" t="s">
        <v>348</v>
      </c>
      <c r="AC45">
        <v>514.5</v>
      </c>
    </row>
    <row r="46" spans="1:29">
      <c r="A46">
        <v>2007</v>
      </c>
      <c r="B46" s="4">
        <f>Australia!AI86/Australia!Z86*100</f>
        <v>37.94842706573337</v>
      </c>
      <c r="C46" s="4">
        <f>Austria!AR86/Austria!AO86*100</f>
        <v>59.025362318840578</v>
      </c>
      <c r="D46" s="4">
        <f>Belgium!AR86/Belgium!AO86*100</f>
        <v>61.532196531791904</v>
      </c>
      <c r="E46" s="4">
        <f>Britain!AU86/Britain!AR86*100</f>
        <v>67.806752614496929</v>
      </c>
      <c r="F46" s="4">
        <f>Canada!AT86/Canada!AP86*100</f>
        <v>42.032334196362555</v>
      </c>
      <c r="G46" s="4">
        <f>'Czech Rep'!AT86/'Czech Rep'!AS86*100</f>
        <v>55.898400877158885</v>
      </c>
      <c r="H46" s="4">
        <f>Denmark!AU86/Denmark!AR86*100</f>
        <v>61.632231404958681</v>
      </c>
      <c r="I46" s="4">
        <f>Finland!AR86/Finland!AO86*100</f>
        <v>63.320083477900248</v>
      </c>
      <c r="J46" s="4">
        <f>France!AR86/France!AO86*100</f>
        <v>63.677826323408482</v>
      </c>
      <c r="K46" s="4">
        <f>Germany!AR86/Germany!AO86*100</f>
        <v>64.97619600464165</v>
      </c>
      <c r="L46" s="4">
        <f>Greece!AO86/Greece!AN86*100</f>
        <v>48.64160866715887</v>
      </c>
      <c r="M46" s="4">
        <f>Hungary!AO86/Hungary!AN86*100</f>
        <v>51.533191778859013</v>
      </c>
      <c r="N46" s="4">
        <f>Ireland!AR86/Ireland!AO86*100</f>
        <v>56.837515446176653</v>
      </c>
      <c r="O46" s="4">
        <f>Israel!AM86/Israel!O86*100</f>
        <v>52.836491506472413</v>
      </c>
      <c r="P46" s="4">
        <f>Italy!AR86/Italy!AO86*100</f>
        <v>60.067661327760113</v>
      </c>
      <c r="Q46" s="4">
        <f>Japan!AQ86/Japan!AN86*100</f>
        <v>44.676067852033512</v>
      </c>
      <c r="R46" s="4">
        <f>Korea!AQ86/Korea!AN86*100</f>
        <v>43.934426229508198</v>
      </c>
      <c r="S46" s="4">
        <f>Netherlands!AQ86/Netherlands!AN86*100</f>
        <v>63.053432476486137</v>
      </c>
      <c r="T46" s="4">
        <f>'New Zealand'!AY86/'New Zealand'!AV86*100</f>
        <v>43.02874302874303</v>
      </c>
      <c r="U46" s="4">
        <f>Norway!AQ86/Norway!AN86*100</f>
        <v>62.540443379269014</v>
      </c>
      <c r="V46" s="4">
        <f>Spain!AR86/Spain!AO86*100</f>
        <v>49.735132433783114</v>
      </c>
      <c r="W46" s="4">
        <f>Sweden!AT86/Sweden!AQ86*100</f>
        <v>63.964019209308823</v>
      </c>
      <c r="X46" s="4">
        <f>Swiss!AQ86/Swiss!AN86*100</f>
        <v>51.362484436948677</v>
      </c>
      <c r="Y46" s="4">
        <f>Turkey!AO86/Turkey!AN86*100</f>
        <v>62.597064658750391</v>
      </c>
      <c r="Z46" s="4">
        <f>USA!AR94/USA!AQ94*100</f>
        <v>13.418294771168165</v>
      </c>
      <c r="AB46" t="s">
        <v>349</v>
      </c>
      <c r="AC46">
        <v>549.38</v>
      </c>
    </row>
    <row r="47" spans="1:29">
      <c r="A47">
        <v>2008</v>
      </c>
      <c r="B47" s="4">
        <f>Australia!AI87/Australia!Z87*100</f>
        <v>34.354609929078009</v>
      </c>
      <c r="C47" s="4">
        <f>Austria!AR87/Austria!AO87*100</f>
        <v>55.38640132669984</v>
      </c>
      <c r="D47" s="4">
        <f>Belgium!AR87/Belgium!AO87*100</f>
        <v>58.073516483516485</v>
      </c>
      <c r="E47" s="4">
        <f>Britain!AU87/Britain!AR87*100</f>
        <v>61.952440550688372</v>
      </c>
      <c r="F47" s="4">
        <f>Canada!AT87/Canada!AP87*100</f>
        <v>37.721815417240904</v>
      </c>
      <c r="G47" s="4">
        <f>'Czech Rep'!AT87/'Czech Rep'!AS87*100</f>
        <v>54.279250751070883</v>
      </c>
      <c r="H47" s="4">
        <f>Denmark!AU87/Denmark!AR87*100</f>
        <v>60.186092066601361</v>
      </c>
      <c r="I47" s="4">
        <f>Finland!AR87/Finland!AO87*100</f>
        <v>60.29829371980945</v>
      </c>
      <c r="J47" s="4">
        <f>France!AR87/France!AO87*100</f>
        <v>61.078225352946404</v>
      </c>
      <c r="K47" s="4">
        <f>Germany!AR87/Germany!AO87*100</f>
        <v>62.939440085052432</v>
      </c>
      <c r="L47" s="4">
        <f>Greece!AO87/Greece!AN87*100</f>
        <v>47.497918086153376</v>
      </c>
      <c r="M47" s="4">
        <f>Hungary!AO87/Hungary!AN87*100</f>
        <v>62.99212598425197</v>
      </c>
      <c r="N47" s="4">
        <f>Ireland!AR87/Ireland!AO87*100</f>
        <v>53.124837234565312</v>
      </c>
      <c r="O47" s="4">
        <f>Israel!AM87/Israel!O87*100</f>
        <v>51.405000818926929</v>
      </c>
      <c r="P47" s="4">
        <f>Italy!AR87/Italy!AO87*100</f>
        <v>57.314239152337201</v>
      </c>
      <c r="Q47" s="4">
        <f>Japan!AQ87/Japan!AN87*100</f>
        <v>40.325958299189658</v>
      </c>
      <c r="R47" s="4">
        <f>Korea!AQ87/Korea!AN87*100</f>
        <v>38.820058997050147</v>
      </c>
      <c r="S47" s="4">
        <f>Netherlands!AQ87/Netherlands!AN87*100</f>
        <v>61.314467231264658</v>
      </c>
      <c r="T47" s="4">
        <f>'New Zealand'!AY87/'New Zealand'!AV87*100</f>
        <v>39.532744665194997</v>
      </c>
      <c r="U47" s="4">
        <f>Norway!AQ87/Norway!AN87*100</f>
        <v>60.708812260536405</v>
      </c>
      <c r="V47" s="4">
        <f>Spain!AR87/Spain!AO87*100</f>
        <v>47.367110668492465</v>
      </c>
      <c r="W47" s="4">
        <f>Sweden!AT87/Sweden!AQ87*100</f>
        <v>61.802012326482057</v>
      </c>
      <c r="X47" s="4">
        <f>Swiss!AQ87/Swiss!AN87*100</f>
        <v>48.855914112857036</v>
      </c>
      <c r="Y47" s="4">
        <f>Turkey!AO87/Turkey!AN87*100</f>
        <v>59.722919120482118</v>
      </c>
      <c r="Z47" s="4">
        <f>USA!AR95/USA!AQ95*100</f>
        <v>11.93909821116293</v>
      </c>
      <c r="AB47" t="s">
        <v>173</v>
      </c>
      <c r="AC47">
        <v>587.71</v>
      </c>
    </row>
    <row r="48" spans="1:29">
      <c r="A48">
        <v>2009</v>
      </c>
      <c r="B48" s="4">
        <f>Australia!AI88/Australia!Z88*100</f>
        <v>40.042554970320218</v>
      </c>
      <c r="C48" s="4">
        <f>Austria!AR88/Austria!AO88*100</f>
        <v>61.541706615532121</v>
      </c>
      <c r="D48" s="4">
        <f>Belgium!AR88/Belgium!AO88*100</f>
        <v>61.878753799392108</v>
      </c>
      <c r="E48" s="4">
        <f>Britain!AU88/Britain!AR88*100</f>
        <v>67.877315118875615</v>
      </c>
      <c r="F48" s="4">
        <f>Canada!AT88/Canada!AP88*100</f>
        <v>42.434826030436398</v>
      </c>
      <c r="G48" s="4">
        <f>'Czech Rep'!AT88/'Czech Rep'!AS88*100</f>
        <v>59.134655826255191</v>
      </c>
      <c r="H48" s="4">
        <f>Denmark!AU88/Denmark!AR88*100</f>
        <v>64.213305174234421</v>
      </c>
      <c r="I48" s="4">
        <f>Finland!AR88/Finland!AO88*100</f>
        <v>65.870146751533042</v>
      </c>
      <c r="J48" s="4">
        <f>France!AR88/France!AO88*100</f>
        <v>66.595084969783287</v>
      </c>
      <c r="K48" s="4">
        <f>Germany!AR88/Germany!AO88*100</f>
        <v>67.827688277256982</v>
      </c>
      <c r="L48" s="4">
        <f>Greece!AO88/Greece!AN88*100</f>
        <v>55.508219223944558</v>
      </c>
      <c r="M48" s="4">
        <f>Hungary!AO88/Hungary!AN88*100</f>
        <v>60.595715193262613</v>
      </c>
      <c r="N48" s="4">
        <f>Ireland!AR88/Ireland!AO88*100</f>
        <v>63.728827083825557</v>
      </c>
      <c r="O48" s="4">
        <f>Israel!AM88/Israel!O88*100</f>
        <v>57.840879924930931</v>
      </c>
      <c r="P48" s="4">
        <f>Italy!AR88/Italy!AO88*100</f>
        <v>62.3665802905888</v>
      </c>
      <c r="Q48" s="4">
        <f>Japan!AQ88/Japan!AN88*100</f>
        <v>51.184533713651845</v>
      </c>
      <c r="R48" s="4">
        <f>Korea!AQ88/Korea!AN88*100</f>
        <v>40.32869785082174</v>
      </c>
      <c r="S48" s="4">
        <f>Netherlands!AQ88/Netherlands!AN88*100</f>
        <v>68.758642697585358</v>
      </c>
      <c r="T48" s="4">
        <f>'New Zealand'!AY88/'New Zealand'!AV88*100</f>
        <v>44.54841616413669</v>
      </c>
      <c r="U48" s="4">
        <f>Norway!AQ88/Norway!AN88*100</f>
        <v>63.518518518518519</v>
      </c>
      <c r="V48" s="4">
        <f>Spain!AR88/Spain!AO88*100</f>
        <v>52.415857939293829</v>
      </c>
      <c r="W48" s="4">
        <f>Sweden!AT88/Sweden!AQ88*100</f>
        <v>66.167995803915019</v>
      </c>
      <c r="X48" s="4">
        <f>Swiss!AQ88/Swiss!AN88*100</f>
        <v>56.565519521045537</v>
      </c>
      <c r="Y48" s="4">
        <f>Turkey!AO88/Turkey!AN88*100</f>
        <v>63.044115571287421</v>
      </c>
      <c r="Z48" s="4">
        <f>USA!AR96/USA!AQ96*100</f>
        <v>16.677025659963686</v>
      </c>
      <c r="AB48" t="s">
        <v>125</v>
      </c>
      <c r="AC48">
        <v>616.14</v>
      </c>
    </row>
    <row r="49" spans="1:29">
      <c r="A49">
        <v>2010</v>
      </c>
      <c r="B49" s="4">
        <f>Australia!AI89/Australia!Z89*100</f>
        <v>39.271171622488232</v>
      </c>
      <c r="C49" s="4">
        <f>Austria!AR89/Austria!AO89*100</f>
        <v>56.016849199663021</v>
      </c>
      <c r="D49" s="4">
        <f>Belgium!AR89/Belgium!AO89*100</f>
        <v>58.760329670329668</v>
      </c>
      <c r="E49" s="4">
        <f>Britain!AU89/Britain!AR89*100</f>
        <v>63.781555430173086</v>
      </c>
      <c r="F49" s="4">
        <f>Canada!AT89/Canada!AP89*100</f>
        <v>41.07229640403196</v>
      </c>
      <c r="G49" s="4">
        <f>'Czech Rep'!AT89/'Czech Rep'!AS89*100</f>
        <v>57.355001550466234</v>
      </c>
      <c r="H49" s="4">
        <f>Denmark!AU89/Denmark!AR89*100</f>
        <v>59.869036482694106</v>
      </c>
      <c r="I49" s="4">
        <f>Finland!AR89/Finland!AO89*100</f>
        <v>61.2141651628773</v>
      </c>
      <c r="J49" s="4">
        <f>France!AR89/France!AO89*100</f>
        <v>61.477245580506448</v>
      </c>
      <c r="K49" s="4">
        <f>Germany!AR89/Germany!AO89*100</f>
        <v>63.017141012783696</v>
      </c>
      <c r="L49" s="4">
        <f>Greece!AO89/Greece!AN89*100</f>
        <v>61.796000415901297</v>
      </c>
      <c r="M49" s="4">
        <f>Hungary!AO89/Hungary!AN89*100</f>
        <v>55.775949784837728</v>
      </c>
      <c r="N49" s="4">
        <f>Ireland!AR89/Ireland!AO89*100</f>
        <v>59.057613586771588</v>
      </c>
      <c r="O49" s="4">
        <f>Israel!AM89/Israel!O89*100</f>
        <v>56.520376175548584</v>
      </c>
      <c r="P49" s="4">
        <f>Italy!AR89/Italy!AO89*100</f>
        <v>58.041993551361749</v>
      </c>
      <c r="Q49" s="4">
        <f>Japan!AQ89/Japan!AN89*100</f>
        <v>46.748360743846071</v>
      </c>
      <c r="R49" s="4">
        <f>Korea!AQ89/Korea!AN89*100</f>
        <v>40.023405500292569</v>
      </c>
      <c r="S49" s="4">
        <f>Netherlands!AQ89/Netherlands!AN89*100</f>
        <v>63.870578171388317</v>
      </c>
      <c r="T49" s="4">
        <f>'New Zealand'!AY89/'New Zealand'!AV89*100</f>
        <v>43.784141623846558</v>
      </c>
      <c r="U49" s="4">
        <f>Norway!AQ89/Norway!AN89*100</f>
        <v>61.926077705098912</v>
      </c>
      <c r="V49" s="4">
        <f>Spain!AR89/Spain!AO89*100</f>
        <v>48.950515388283634</v>
      </c>
      <c r="W49" s="4">
        <f>Sweden!AT89/Sweden!AQ89*100</f>
        <v>63.258170617045749</v>
      </c>
      <c r="X49" s="4">
        <f>Swiss!AQ89/Swiss!AN89*100</f>
        <v>52.634363794501226</v>
      </c>
      <c r="Y49" s="4">
        <f>Turkey!AO89/Turkey!AN89*100</f>
        <v>55.286828271296919</v>
      </c>
      <c r="Z49" s="4">
        <f>USA!AR97/USA!AQ97*100</f>
        <v>14.46933324590495</v>
      </c>
      <c r="AB49" t="s">
        <v>350</v>
      </c>
      <c r="AC49">
        <v>617.51</v>
      </c>
    </row>
    <row r="50" spans="1:29">
      <c r="A50">
        <v>2011</v>
      </c>
      <c r="Z50" s="4">
        <f>USA!AR98/USA!AQ98*100</f>
        <v>11.295019698671942</v>
      </c>
      <c r="AB50" t="s">
        <v>146</v>
      </c>
      <c r="AC50">
        <v>623.21</v>
      </c>
    </row>
    <row r="51" spans="1:29">
      <c r="A51">
        <v>2012</v>
      </c>
      <c r="Z51" s="4">
        <f>USA!AR99/USA!AQ99*100</f>
        <v>11.040667695893971</v>
      </c>
      <c r="AB51" t="s">
        <v>168</v>
      </c>
      <c r="AC51">
        <v>650.70000000000005</v>
      </c>
    </row>
    <row r="52" spans="1:29">
      <c r="A52">
        <v>2013</v>
      </c>
      <c r="Z52" s="4">
        <f>USA!AR100/USA!AQ100*100</f>
        <v>11.493570571833162</v>
      </c>
      <c r="AB52" t="s">
        <v>170</v>
      </c>
      <c r="AC52">
        <v>654.5</v>
      </c>
    </row>
    <row r="53" spans="1:29">
      <c r="A53">
        <v>2014</v>
      </c>
      <c r="Z53" s="4">
        <f>USA!AR101/USA!AQ101*100</f>
        <v>12.179627850122635</v>
      </c>
      <c r="AB53" t="s">
        <v>351</v>
      </c>
      <c r="AC53">
        <v>663.67</v>
      </c>
    </row>
    <row r="54" spans="1:29">
      <c r="A54">
        <v>2015</v>
      </c>
      <c r="Z54" s="4">
        <f>USA!AR102/USA!AQ102*100</f>
        <v>17.936704144858041</v>
      </c>
      <c r="AB54" t="s">
        <v>221</v>
      </c>
      <c r="AC54">
        <v>700</v>
      </c>
    </row>
    <row r="55" spans="1:29">
      <c r="A55">
        <v>2016</v>
      </c>
      <c r="Z55" s="4">
        <f>USA!AR103/USA!AQ103*100</f>
        <v>19.948084202851405</v>
      </c>
      <c r="AB55" t="s">
        <v>165</v>
      </c>
      <c r="AC55">
        <v>702.5</v>
      </c>
    </row>
    <row r="56" spans="1:29">
      <c r="A56">
        <v>2017</v>
      </c>
      <c r="Z56" s="4">
        <f>USA!AR104/USA!AQ104*100</f>
        <v>18.314240777710193</v>
      </c>
      <c r="AB56" t="s">
        <v>210</v>
      </c>
      <c r="AC56">
        <v>728.4</v>
      </c>
    </row>
    <row r="57" spans="1:29">
      <c r="AB57" t="s">
        <v>223</v>
      </c>
      <c r="AC57">
        <v>769.9</v>
      </c>
    </row>
    <row r="62" spans="1:29">
      <c r="F62" s="4" t="s">
        <v>353</v>
      </c>
    </row>
    <row r="63" spans="1:29">
      <c r="F63" s="4" t="s">
        <v>354</v>
      </c>
    </row>
  </sheetData>
  <printOptions gridLines="1"/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74"/>
  <sheetViews>
    <sheetView zoomScale="75" zoomScaleNormal="75" workbookViewId="0">
      <pane xSplit="1" ySplit="3" topLeftCell="B28" activePane="bottomRight" state="frozen"/>
      <selection activeCell="BN97" sqref="BN97"/>
      <selection pane="topRight" activeCell="BN97" sqref="BN97"/>
      <selection pane="bottomLeft" activeCell="BN97" sqref="BN97"/>
      <selection pane="bottomRight" activeCell="B3" sqref="B3:AB3"/>
    </sheetView>
  </sheetViews>
  <sheetFormatPr defaultRowHeight="15"/>
  <cols>
    <col min="1" max="1" width="7.42578125" customWidth="1"/>
    <col min="4" max="4" width="9.140625" style="3"/>
    <col min="26" max="26" width="10.42578125" style="53" customWidth="1"/>
    <col min="30" max="30" width="13.7109375" customWidth="1"/>
  </cols>
  <sheetData>
    <row r="1" spans="1:32">
      <c r="A1" t="s">
        <v>246</v>
      </c>
    </row>
    <row r="2" spans="1:32">
      <c r="B2" s="103" t="s">
        <v>0</v>
      </c>
      <c r="C2" s="103" t="s">
        <v>219</v>
      </c>
      <c r="D2" s="103" t="s">
        <v>146</v>
      </c>
      <c r="E2" s="103" t="s">
        <v>150</v>
      </c>
      <c r="F2" s="103" t="s">
        <v>29</v>
      </c>
      <c r="G2" s="103" t="s">
        <v>328</v>
      </c>
      <c r="H2" s="103" t="s">
        <v>124</v>
      </c>
      <c r="I2" s="103" t="s">
        <v>125</v>
      </c>
      <c r="J2" s="103" t="s">
        <v>220</v>
      </c>
      <c r="K2" s="103" t="s">
        <v>168</v>
      </c>
      <c r="L2" s="103" t="s">
        <v>170</v>
      </c>
      <c r="M2" s="103" t="s">
        <v>221</v>
      </c>
      <c r="N2" s="103" t="s">
        <v>171</v>
      </c>
      <c r="O2" s="103" t="s">
        <v>329</v>
      </c>
      <c r="P2" s="103" t="s">
        <v>173</v>
      </c>
      <c r="Q2" s="3" t="s">
        <v>222</v>
      </c>
      <c r="R2" s="103" t="s">
        <v>210</v>
      </c>
      <c r="S2" s="103" t="s">
        <v>184</v>
      </c>
      <c r="T2" s="103" t="s">
        <v>186</v>
      </c>
      <c r="U2" s="103" t="s">
        <v>223</v>
      </c>
      <c r="V2" s="103" t="s">
        <v>224</v>
      </c>
      <c r="W2" s="103" t="s">
        <v>196</v>
      </c>
      <c r="X2" s="103" t="s">
        <v>211</v>
      </c>
      <c r="Y2" s="103" t="s">
        <v>200</v>
      </c>
      <c r="Z2" s="103" t="s">
        <v>225</v>
      </c>
      <c r="AA2" s="3" t="s">
        <v>212</v>
      </c>
      <c r="AB2" s="103" t="s">
        <v>226</v>
      </c>
    </row>
    <row r="3" spans="1:32">
      <c r="B3" s="4" t="s">
        <v>0</v>
      </c>
      <c r="C3" s="4" t="s">
        <v>219</v>
      </c>
      <c r="D3" s="3" t="s">
        <v>146</v>
      </c>
      <c r="E3" s="4" t="s">
        <v>150</v>
      </c>
      <c r="F3" s="4" t="s">
        <v>29</v>
      </c>
      <c r="G3" s="4"/>
      <c r="H3" s="4" t="s">
        <v>124</v>
      </c>
      <c r="I3" s="4" t="s">
        <v>125</v>
      </c>
      <c r="J3" s="4" t="s">
        <v>220</v>
      </c>
      <c r="K3" s="4" t="s">
        <v>168</v>
      </c>
      <c r="L3" s="4" t="s">
        <v>170</v>
      </c>
      <c r="M3" s="4" t="s">
        <v>221</v>
      </c>
      <c r="N3" s="4" t="s">
        <v>171</v>
      </c>
      <c r="O3" s="4" t="s">
        <v>329</v>
      </c>
      <c r="P3" s="4" t="s">
        <v>173</v>
      </c>
      <c r="Q3" s="3" t="s">
        <v>222</v>
      </c>
      <c r="R3" s="21" t="s">
        <v>210</v>
      </c>
      <c r="S3" s="4" t="s">
        <v>184</v>
      </c>
      <c r="T3" s="4" t="s">
        <v>186</v>
      </c>
      <c r="U3" s="4" t="s">
        <v>223</v>
      </c>
      <c r="V3" s="4" t="s">
        <v>224</v>
      </c>
      <c r="W3" s="4" t="s">
        <v>196</v>
      </c>
      <c r="X3" s="4" t="s">
        <v>211</v>
      </c>
      <c r="Y3" s="4" t="s">
        <v>200</v>
      </c>
      <c r="Z3" s="4" t="s">
        <v>225</v>
      </c>
      <c r="AA3" s="53" t="s">
        <v>212</v>
      </c>
      <c r="AB3" s="4" t="s">
        <v>226</v>
      </c>
    </row>
    <row r="4" spans="1:32">
      <c r="A4">
        <v>1965</v>
      </c>
      <c r="B4" s="3">
        <f>Australia!BC44</f>
        <v>8.6905460951262476</v>
      </c>
      <c r="C4" s="3">
        <f>Austria!AU44</f>
        <v>21.564862052796013</v>
      </c>
      <c r="D4" s="3">
        <f>Belgium!AU44</f>
        <v>17.68685431514076</v>
      </c>
      <c r="E4" s="3">
        <f>Britain!AX44</f>
        <v>7.7559487282150537</v>
      </c>
      <c r="F4" s="3">
        <f>Canada!AW44</f>
        <v>14.439039085899688</v>
      </c>
      <c r="G4" s="3"/>
      <c r="H4" s="3"/>
      <c r="I4" s="3">
        <f>Denmark!AX44</f>
        <v>10.777856577253695</v>
      </c>
      <c r="J4" s="3">
        <f>Finland!AU44</f>
        <v>10.496444317513292</v>
      </c>
      <c r="K4" s="3">
        <f>France!AU44</f>
        <v>12.51844242847776</v>
      </c>
      <c r="L4" s="3">
        <f>Germany!AU44</f>
        <v>28.194976846799833</v>
      </c>
      <c r="M4" s="3">
        <f>Greece!AR44</f>
        <v>1.2211461784981119</v>
      </c>
      <c r="N4" s="3">
        <f>Hungary!AR44</f>
        <v>1.8</v>
      </c>
      <c r="O4" s="3">
        <v>3.4842846884494669</v>
      </c>
      <c r="P4" s="3">
        <f>Ireland!AU44</f>
        <v>7.2005867340468352</v>
      </c>
      <c r="Q4">
        <f>Israel!I44</f>
        <v>8.721621575793917E-4</v>
      </c>
      <c r="R4" s="3">
        <f>Italy!AU44</f>
        <v>5.271275810690657</v>
      </c>
      <c r="S4" s="3">
        <f>Japan!AT44</f>
        <v>25.237167537062856</v>
      </c>
      <c r="T4" s="3">
        <f>Korea!AT44</f>
        <v>3.021998955151608</v>
      </c>
      <c r="U4" s="3">
        <f>Netherlands!AT44</f>
        <v>19.80943053113025</v>
      </c>
      <c r="V4" s="3">
        <f>'New Zealand'!BB44</f>
        <v>5.6928196141407383</v>
      </c>
      <c r="W4" s="3">
        <f>Norway!AT44</f>
        <v>10.951457248938663</v>
      </c>
      <c r="X4" s="3">
        <f>Spain!AU44</f>
        <v>4.0122598719610858</v>
      </c>
      <c r="Y4" s="3">
        <f>Sweden!AW44</f>
        <v>11.010400120880865</v>
      </c>
      <c r="Z4" s="3">
        <f>Swiss!AT44</f>
        <v>28.164078448404684</v>
      </c>
      <c r="AA4" s="69">
        <f>Turkey!AR44</f>
        <v>6.503013597089663E-5</v>
      </c>
      <c r="AB4" s="3">
        <f>USA!AU52</f>
        <v>14.444279282050514</v>
      </c>
    </row>
    <row r="5" spans="1:32">
      <c r="A5">
        <v>1966</v>
      </c>
      <c r="B5" s="3">
        <f>Australia!BC45</f>
        <v>8.9841456253669989</v>
      </c>
      <c r="C5" s="3">
        <f>Austria!AU45</f>
        <v>22.007981366877896</v>
      </c>
      <c r="D5" s="3">
        <f>Belgium!AU45</f>
        <v>18.425165695113382</v>
      </c>
      <c r="E5" s="3">
        <f>Britain!AX45</f>
        <v>8.0591766957641209</v>
      </c>
      <c r="F5" s="3">
        <f>Canada!AW45</f>
        <v>14.989983580294338</v>
      </c>
      <c r="G5" s="3"/>
      <c r="H5" s="3"/>
      <c r="I5" s="3">
        <f>Denmark!AX45</f>
        <v>11.365249760633228</v>
      </c>
      <c r="J5" s="3">
        <f>Finland!AU45</f>
        <v>10.903040777498635</v>
      </c>
      <c r="K5" s="3">
        <f>France!AU45</f>
        <v>12.844169671593843</v>
      </c>
      <c r="L5" s="3">
        <f>Germany!AU45</f>
        <v>29.191121731883843</v>
      </c>
      <c r="M5" s="3">
        <f>Greece!AR45</f>
        <v>1.2810240800209005</v>
      </c>
      <c r="N5" s="3">
        <f>Hungary!AR45</f>
        <v>1.880321563515875</v>
      </c>
      <c r="O5" s="3">
        <v>3.8609641141995366</v>
      </c>
      <c r="P5" s="3">
        <f>Ireland!AU45</f>
        <v>7.5597608941774439</v>
      </c>
      <c r="Q5">
        <f>Israel!I45</f>
        <v>9.7668955510476704E-4</v>
      </c>
      <c r="R5" s="3">
        <f>Italy!AU45</f>
        <v>5.3949710944495015</v>
      </c>
      <c r="S5" s="3">
        <f>Japan!AT45</f>
        <v>26.509329239934679</v>
      </c>
      <c r="T5" s="3">
        <f>Korea!AT45</f>
        <v>3.3623180432871553</v>
      </c>
      <c r="U5" s="3">
        <f>Netherlands!AT45</f>
        <v>20.950877849631027</v>
      </c>
      <c r="V5" s="3">
        <f>'New Zealand'!BB45</f>
        <v>5.8496840631162668</v>
      </c>
      <c r="W5" s="3">
        <f>Norway!AT45</f>
        <v>11.307444332641511</v>
      </c>
      <c r="X5" s="3">
        <f>Spain!AU45</f>
        <v>4.2626394925973923</v>
      </c>
      <c r="Y5" s="3">
        <f>Sweden!AW45</f>
        <v>11.715595659175058</v>
      </c>
      <c r="Z5" s="3">
        <f>Swiss!AT45</f>
        <v>29.509189483925589</v>
      </c>
      <c r="AA5" s="69">
        <f>Turkey!AR45</f>
        <v>7.0539497544268667E-5</v>
      </c>
      <c r="AB5" s="3">
        <f>USA!AU53</f>
        <v>14.856972975823387</v>
      </c>
    </row>
    <row r="6" spans="1:32">
      <c r="A6">
        <v>1967</v>
      </c>
      <c r="B6" s="3">
        <f>Australia!BC46</f>
        <v>9.2190252495595999</v>
      </c>
      <c r="C6" s="3">
        <f>Austria!AU46</f>
        <v>22.88272577979297</v>
      </c>
      <c r="D6" s="3">
        <f>Belgium!AU46</f>
        <v>18.928227809835406</v>
      </c>
      <c r="E6" s="3">
        <f>Britain!AX46</f>
        <v>8.2592148905897211</v>
      </c>
      <c r="F6" s="3">
        <f>Canada!AW46</f>
        <v>15.526617797276758</v>
      </c>
      <c r="G6" s="3"/>
      <c r="H6" s="3"/>
      <c r="I6" s="3">
        <f>Denmark!AX46</f>
        <v>12.239821072801133</v>
      </c>
      <c r="J6" s="3">
        <f>Finland!AU46</f>
        <v>11.489382214792395</v>
      </c>
      <c r="K6" s="3">
        <f>France!AU46</f>
        <v>13.202751273859947</v>
      </c>
      <c r="L6" s="3">
        <f>Germany!AU46</f>
        <v>29.71540858183813</v>
      </c>
      <c r="M6" s="3">
        <f>Greece!AR46</f>
        <v>1.3046123450207732</v>
      </c>
      <c r="N6" s="3">
        <f>Hungary!AR46</f>
        <v>1.9606431270317499</v>
      </c>
      <c r="O6" s="3">
        <v>4.3649472348113489</v>
      </c>
      <c r="P6" s="3">
        <f>Ireland!AU46</f>
        <v>7.790658568461601</v>
      </c>
      <c r="Q6">
        <f>Israel!I46</f>
        <v>1.0937444129636106E-3</v>
      </c>
      <c r="R6" s="3">
        <f>Italy!AU46</f>
        <v>5.5963833306590463</v>
      </c>
      <c r="S6" s="3">
        <f>Japan!AT46</f>
        <v>27.567010917334336</v>
      </c>
      <c r="T6" s="3">
        <f>Korea!AT46</f>
        <v>3.7282202869570544</v>
      </c>
      <c r="U6" s="3">
        <f>Netherlands!AT46</f>
        <v>21.674800026741462</v>
      </c>
      <c r="V6" s="3">
        <f>'New Zealand'!BB46</f>
        <v>6.2039948055688088</v>
      </c>
      <c r="W6" s="3">
        <f>Norway!AT46</f>
        <v>11.825243756402854</v>
      </c>
      <c r="X6" s="3">
        <f>Spain!AU46</f>
        <v>4.5350918929564639</v>
      </c>
      <c r="Y6" s="3">
        <f>Sweden!AW46</f>
        <v>12.218114461123402</v>
      </c>
      <c r="Z6" s="3">
        <f>Swiss!AT46</f>
        <v>30.691091541135776</v>
      </c>
      <c r="AA6" s="69">
        <f>Turkey!AR46</f>
        <v>8.0397321786582673E-5</v>
      </c>
      <c r="AB6" s="3">
        <f>USA!AU54</f>
        <v>15.315521524459911</v>
      </c>
    </row>
    <row r="7" spans="1:32">
      <c r="A7">
        <v>1968</v>
      </c>
      <c r="B7" s="3">
        <f>Australia!BC47</f>
        <v>9.5713446858485032</v>
      </c>
      <c r="C7" s="3">
        <f>Austria!AU47</f>
        <v>23.515402484751704</v>
      </c>
      <c r="D7" s="3">
        <f>Belgium!AU47</f>
        <v>19.439565366415597</v>
      </c>
      <c r="E7" s="3">
        <f>Britain!AX47</f>
        <v>8.6471852330718555</v>
      </c>
      <c r="F7" s="3">
        <f>Canada!AW47</f>
        <v>16.156268728809724</v>
      </c>
      <c r="G7" s="3"/>
      <c r="H7" s="3"/>
      <c r="I7" s="3">
        <f>Denmark!AX47</f>
        <v>13.219641638144269</v>
      </c>
      <c r="J7" s="3">
        <f>Finland!AU47</f>
        <v>12.545447968333336</v>
      </c>
      <c r="K7" s="3">
        <f>France!AU47</f>
        <v>13.802577613513851</v>
      </c>
      <c r="L7" s="3">
        <f>Germany!AU47</f>
        <v>30.152314234216892</v>
      </c>
      <c r="M7" s="3">
        <f>Greece!AR47</f>
        <v>1.3064268272670874</v>
      </c>
      <c r="N7" s="3">
        <f>Hungary!AR47</f>
        <v>2.0409646905476246</v>
      </c>
      <c r="O7" s="3">
        <v>4.4957387021027087</v>
      </c>
      <c r="P7" s="3">
        <f>Ireland!AU47</f>
        <v>8.038659774351574</v>
      </c>
      <c r="Q7">
        <f>Israel!I47</f>
        <v>1.2248281295081439E-3</v>
      </c>
      <c r="R7" s="3">
        <f>Italy!AU47</f>
        <v>5.6678667184352207</v>
      </c>
      <c r="S7" s="3">
        <f>Japan!AT47</f>
        <v>29.038933822378414</v>
      </c>
      <c r="T7" s="3">
        <f>Korea!AT47</f>
        <v>4.129817465471552</v>
      </c>
      <c r="U7" s="3">
        <f>Netherlands!AT47</f>
        <v>22.481274685648458</v>
      </c>
      <c r="V7" s="3">
        <f>'New Zealand'!BB47</f>
        <v>6.4715065326687276</v>
      </c>
      <c r="W7" s="3">
        <f>Norway!AT47</f>
        <v>12.233010798796391</v>
      </c>
      <c r="X7" s="3">
        <f>Spain!AU47</f>
        <v>4.7597769891207742</v>
      </c>
      <c r="Y7" s="3">
        <f>Sweden!AW47</f>
        <v>12.455527575564963</v>
      </c>
      <c r="Z7" s="3">
        <f>Swiss!AT47</f>
        <v>31.42639515740753</v>
      </c>
      <c r="AA7" s="69">
        <f>Turkey!AR47</f>
        <v>8.5258341639211064E-5</v>
      </c>
      <c r="AB7" s="3">
        <f>USA!AU55</f>
        <v>15.957489492551044</v>
      </c>
    </row>
    <row r="8" spans="1:32">
      <c r="A8">
        <v>1969</v>
      </c>
      <c r="B8" s="3">
        <f>Australia!BC48</f>
        <v>9.8062243100411042</v>
      </c>
      <c r="C8" s="3">
        <f>Austria!AU48</f>
        <v>24.239771413200042</v>
      </c>
      <c r="D8" s="3">
        <f>Belgium!AU48</f>
        <v>20.169325095105609</v>
      </c>
      <c r="E8" s="3">
        <f>Britain!AX48</f>
        <v>9.1181686175904542</v>
      </c>
      <c r="F8" s="3">
        <f>Canada!AW48</f>
        <v>16.89324645907293</v>
      </c>
      <c r="G8" s="3"/>
      <c r="H8" s="3">
        <v>22.261117630818106</v>
      </c>
      <c r="I8" s="3">
        <f>Denmark!AX48</f>
        <v>13.680733616930011</v>
      </c>
      <c r="J8" s="3">
        <f>Finland!AU48</f>
        <v>12.822150619631856</v>
      </c>
      <c r="K8" s="3">
        <f>France!AU48</f>
        <v>14.637077867356718</v>
      </c>
      <c r="L8" s="3">
        <f>Germany!AU48</f>
        <v>30.729029708973055</v>
      </c>
      <c r="M8" s="3">
        <f>Greece!AR48</f>
        <v>1.3409019811048875</v>
      </c>
      <c r="N8" s="3">
        <f>Hungary!AR48</f>
        <v>2.1212862540634996</v>
      </c>
      <c r="O8" s="3">
        <v>4.5215762808648945</v>
      </c>
      <c r="P8" s="3">
        <f>Ireland!AU48</f>
        <v>8.4149374659169727</v>
      </c>
      <c r="Q8">
        <f>Israel!I48</f>
        <v>1.3716220435535434E-3</v>
      </c>
      <c r="R8" s="3">
        <f>Italy!AU48</f>
        <v>5.8184763335255099</v>
      </c>
      <c r="S8" s="3">
        <f>Japan!AT48</f>
        <v>30.563425287583058</v>
      </c>
      <c r="T8" s="3">
        <f>Korea!AT48</f>
        <v>4.6414836782466296</v>
      </c>
      <c r="U8" s="3">
        <f>Netherlands!AT48</f>
        <v>24.149788131765938</v>
      </c>
      <c r="V8" s="3">
        <f>'New Zealand'!BB48</f>
        <v>6.7902438904484708</v>
      </c>
      <c r="W8" s="3">
        <f>Norway!AT48</f>
        <v>12.595470382550733</v>
      </c>
      <c r="X8" s="3">
        <f>Spain!AU48</f>
        <v>4.862604545718626</v>
      </c>
      <c r="Y8" s="3">
        <f>Sweden!AW48</f>
        <v>12.790829506012242</v>
      </c>
      <c r="Z8" s="3">
        <f>Swiss!AT48</f>
        <v>32.208606932266044</v>
      </c>
      <c r="AA8" s="69">
        <f>Turkey!AR48</f>
        <v>8.9456630340458844E-5</v>
      </c>
      <c r="AB8" s="3">
        <f>USA!AU56</f>
        <v>16.828731734960446</v>
      </c>
      <c r="AE8" s="4"/>
      <c r="AF8" s="4"/>
    </row>
    <row r="9" spans="1:32">
      <c r="A9">
        <v>1970</v>
      </c>
      <c r="B9" s="3">
        <f>Australia!BC49</f>
        <v>10.099823840281855</v>
      </c>
      <c r="C9" s="3">
        <f>Austria!AU49</f>
        <v>25.299734439897019</v>
      </c>
      <c r="D9" s="3">
        <f>Belgium!AU49</f>
        <v>20.957637115650286</v>
      </c>
      <c r="E9" s="3">
        <f>Britain!AX49</f>
        <v>9.6986830229840102</v>
      </c>
      <c r="F9" s="3">
        <f>Canada!AW49</f>
        <v>17.458501242892094</v>
      </c>
      <c r="G9" s="3"/>
      <c r="H9" s="3">
        <v>22.485768750567555</v>
      </c>
      <c r="I9" s="3">
        <f>Denmark!AX49</f>
        <v>14.572011112477206</v>
      </c>
      <c r="J9" s="3">
        <f>Finland!AU49</f>
        <v>13.173534220515508</v>
      </c>
      <c r="K9" s="3">
        <f>France!AU49</f>
        <v>15.412791179070972</v>
      </c>
      <c r="L9" s="3">
        <f>Germany!AU49</f>
        <v>31.789254061733036</v>
      </c>
      <c r="M9" s="3">
        <f>Greece!AR49</f>
        <v>1.379006097703509</v>
      </c>
      <c r="N9" s="3">
        <f>Hungary!AR49</f>
        <v>2.2016078175793745</v>
      </c>
      <c r="O9" s="3">
        <v>4.7519613580220073</v>
      </c>
      <c r="P9" s="3">
        <f>Ireland!AU49</f>
        <v>9.0392163632013087</v>
      </c>
      <c r="Q9">
        <f>Israel!I49</f>
        <v>1.5360089999872015E-3</v>
      </c>
      <c r="R9" s="3">
        <f>Italy!AU49</f>
        <v>6.1075568568993246</v>
      </c>
      <c r="S9" s="3">
        <f>Japan!AT49</f>
        <v>32.65579065881743</v>
      </c>
      <c r="T9" s="3">
        <f>Korea!AT49</f>
        <v>5.3818161059714731</v>
      </c>
      <c r="U9" s="3">
        <f>Netherlands!AT49</f>
        <v>25.03582429699204</v>
      </c>
      <c r="V9" s="3">
        <f>'New Zealand'!BB49</f>
        <v>7.2327765788377567</v>
      </c>
      <c r="W9" s="3">
        <f>Norway!AT49</f>
        <v>13.935275758083419</v>
      </c>
      <c r="X9" s="3">
        <f>Spain!AU49</f>
        <v>5.1412876088884882</v>
      </c>
      <c r="Y9" s="3">
        <f>Sweden!AW49</f>
        <v>13.688280918590053</v>
      </c>
      <c r="Z9" s="3">
        <f>Swiss!AT49</f>
        <v>33.373268548506438</v>
      </c>
      <c r="AA9" s="69">
        <f>Turkey!AR49</f>
        <v>9.654511916009228E-5</v>
      </c>
      <c r="AB9" s="3">
        <f>USA!AU57</f>
        <v>17.791683687097141</v>
      </c>
      <c r="AE9" s="4" t="s">
        <v>1858</v>
      </c>
      <c r="AF9" s="4" t="s">
        <v>261</v>
      </c>
    </row>
    <row r="10" spans="1:32">
      <c r="A10">
        <v>1971</v>
      </c>
      <c r="B10" s="3">
        <f>Australia!BC50</f>
        <v>10.569583088667057</v>
      </c>
      <c r="C10" s="3">
        <f>Austria!AU50</f>
        <v>26.489900233254009</v>
      </c>
      <c r="D10" s="3">
        <f>Belgium!AU50</f>
        <v>21.867958909544065</v>
      </c>
      <c r="E10" s="3">
        <f>Britain!AX50</f>
        <v>10.614708116612015</v>
      </c>
      <c r="F10" s="3">
        <f>Canada!AW50</f>
        <v>17.930739385541305</v>
      </c>
      <c r="G10" s="3"/>
      <c r="H10" s="3">
        <v>22.574814451556115</v>
      </c>
      <c r="I10" s="3">
        <f>Denmark!AX50</f>
        <v>15.427370241205947</v>
      </c>
      <c r="J10" s="3">
        <f>Finland!AU50</f>
        <v>14.026620811889305</v>
      </c>
      <c r="K10" s="3">
        <f>France!AU50</f>
        <v>16.244698740752092</v>
      </c>
      <c r="L10" s="3">
        <f>Germany!AU50</f>
        <v>33.45532091979495</v>
      </c>
      <c r="M10" s="3">
        <f>Greece!AR50</f>
        <v>1.4243681447458805</v>
      </c>
      <c r="N10" s="3">
        <f>Hungary!AR50</f>
        <v>2.2819293810952495</v>
      </c>
      <c r="O10" s="3">
        <v>4.8983743042508303</v>
      </c>
      <c r="P10" s="3">
        <f>Ireland!AU50</f>
        <v>9.7810820391853461</v>
      </c>
      <c r="Q10">
        <f>Israel!I50</f>
        <v>1.7200974999856677E-3</v>
      </c>
      <c r="R10" s="3">
        <f>Italy!AU50</f>
        <v>6.4002106433176067</v>
      </c>
      <c r="S10" s="3">
        <f>Japan!AT50</f>
        <v>34.705142355770775</v>
      </c>
      <c r="T10" s="3">
        <f>Korea!AT50</f>
        <v>6.1089914909436311</v>
      </c>
      <c r="U10" s="3">
        <f>Netherlands!AT50</f>
        <v>26.907924875791053</v>
      </c>
      <c r="V10" s="3">
        <f>'New Zealand'!BB50</f>
        <v>7.9840863089081333</v>
      </c>
      <c r="W10" s="3">
        <f>Norway!AT50</f>
        <v>14.802589762819075</v>
      </c>
      <c r="X10" s="3">
        <f>Spain!AU50</f>
        <v>5.5647693511003782</v>
      </c>
      <c r="Y10" s="3">
        <f>Sweden!AW50</f>
        <v>14.700603483002364</v>
      </c>
      <c r="Z10" s="3">
        <f>Swiss!AT50</f>
        <v>35.566967245123259</v>
      </c>
      <c r="AA10" s="69">
        <f>Turkey!AR50</f>
        <v>1.1489970759860597E-4</v>
      </c>
      <c r="AB10" s="3">
        <f>USA!AU58</f>
        <v>18.571216219779235</v>
      </c>
      <c r="AE10" s="4"/>
      <c r="AF10" s="4"/>
    </row>
    <row r="11" spans="1:32">
      <c r="A11">
        <v>1972</v>
      </c>
      <c r="B11" s="3">
        <f>Australia!BC51</f>
        <v>11.332941867293012</v>
      </c>
      <c r="C11" s="3">
        <f>Austria!AU51</f>
        <v>28.173370743836632</v>
      </c>
      <c r="D11" s="3">
        <f>Belgium!AU51</f>
        <v>23.059419780518514</v>
      </c>
      <c r="E11" s="3">
        <f>Britain!AX51</f>
        <v>11.365283786922037</v>
      </c>
      <c r="F11" s="3">
        <f>Canada!AW51</f>
        <v>18.825129866006524</v>
      </c>
      <c r="G11" s="3"/>
      <c r="H11" s="3">
        <v>22.680568827767683</v>
      </c>
      <c r="I11" s="3">
        <f>Denmark!AX51</f>
        <v>16.439767963682321</v>
      </c>
      <c r="J11" s="3">
        <f>Finland!AU51</f>
        <v>14.961142600020725</v>
      </c>
      <c r="K11" s="3">
        <f>France!AU51</f>
        <v>17.229615475191839</v>
      </c>
      <c r="L11" s="3">
        <f>Germany!AU51</f>
        <v>35.290324529946737</v>
      </c>
      <c r="M11" s="3">
        <f>Greece!AR51</f>
        <v>1.4860605202679287</v>
      </c>
      <c r="N11" s="3">
        <f>Hungary!AR51</f>
        <v>2.3622509446111244</v>
      </c>
      <c r="O11" s="3">
        <v>5.2148846439327228</v>
      </c>
      <c r="P11" s="3">
        <f>Ireland!AU51</f>
        <v>10.657638025239748</v>
      </c>
      <c r="Q11">
        <f>Israel!I51</f>
        <v>1.9414904999838229E-3</v>
      </c>
      <c r="R11" s="3">
        <f>Italy!AU51</f>
        <v>6.7681909462614707</v>
      </c>
      <c r="S11" s="3">
        <f>Japan!AT51</f>
        <v>36.428270720408818</v>
      </c>
      <c r="T11" s="3">
        <f>Korea!AT51</f>
        <v>6.8230702845217346</v>
      </c>
      <c r="U11" s="3">
        <f>Netherlands!AT51</f>
        <v>29.007495899840777</v>
      </c>
      <c r="V11" s="3">
        <f>'New Zealand'!BB51</f>
        <v>8.5376079227816106</v>
      </c>
      <c r="W11" s="3">
        <f>Norway!AT51</f>
        <v>15.877023454603796</v>
      </c>
      <c r="X11" s="3">
        <f>Spain!AU51</f>
        <v>6.0251032096545201</v>
      </c>
      <c r="Y11" s="3">
        <f>Sweden!AW51</f>
        <v>15.583726066579899</v>
      </c>
      <c r="Z11" s="3">
        <f>Swiss!AT51</f>
        <v>37.935727974987813</v>
      </c>
      <c r="AA11" s="69">
        <f>Turkey!AR51</f>
        <v>1.3261317506066202E-4</v>
      </c>
      <c r="AB11" s="3">
        <f>USA!AU59</f>
        <v>19.167329333006716</v>
      </c>
      <c r="AE11" s="4"/>
      <c r="AF11" s="4"/>
    </row>
    <row r="12" spans="1:32">
      <c r="A12">
        <v>1973</v>
      </c>
      <c r="B12" s="3">
        <f>Australia!BC52</f>
        <v>11.978860833822665</v>
      </c>
      <c r="C12" s="3">
        <f>Austria!AU52</f>
        <v>30.29513011498527</v>
      </c>
      <c r="D12" s="3">
        <f>Belgium!AU52</f>
        <v>24.663266531440566</v>
      </c>
      <c r="E12" s="3">
        <f>Britain!AX52</f>
        <v>12.410440284692253</v>
      </c>
      <c r="F12" s="3">
        <f>Canada!AW52</f>
        <v>20.234689137664663</v>
      </c>
      <c r="G12" s="3"/>
      <c r="H12" s="3">
        <v>22.806167121270196</v>
      </c>
      <c r="I12" s="3">
        <f>Denmark!AX52</f>
        <v>17.969223528041066</v>
      </c>
      <c r="J12" s="3">
        <f>Finland!AU52</f>
        <v>16.570135688711431</v>
      </c>
      <c r="K12" s="3">
        <f>France!AU52</f>
        <v>18.501263958065383</v>
      </c>
      <c r="L12" s="3">
        <f>Germany!AU52</f>
        <v>37.771948620570477</v>
      </c>
      <c r="M12" s="3">
        <f>Greece!AR52</f>
        <v>1.7146851356751205</v>
      </c>
      <c r="N12" s="3">
        <f>Hungary!AR52</f>
        <v>2.4425725081269989</v>
      </c>
      <c r="O12" s="3">
        <v>6.0976685846572574</v>
      </c>
      <c r="P12" s="3">
        <f>Ireland!AU52</f>
        <v>11.574814898494543</v>
      </c>
      <c r="Q12">
        <f>Israel!I52</f>
        <v>2.3305583333139142E-3</v>
      </c>
      <c r="R12" s="3">
        <f>Italy!AU52</f>
        <v>7.4990621674226512</v>
      </c>
      <c r="S12" s="3">
        <f>Japan!AT52</f>
        <v>40.660809567352892</v>
      </c>
      <c r="T12" s="3">
        <f>Korea!AT52</f>
        <v>7.0428431523844539</v>
      </c>
      <c r="U12" s="3">
        <f>Netherlands!AT52</f>
        <v>31.334537266442517</v>
      </c>
      <c r="V12" s="3">
        <f>'New Zealand'!BB52</f>
        <v>9.2348458462247223</v>
      </c>
      <c r="W12" s="3">
        <f>Norway!AT52</f>
        <v>17.055017145805074</v>
      </c>
      <c r="X12" s="3">
        <f>Spain!AU52</f>
        <v>6.7129717703014684</v>
      </c>
      <c r="Y12" s="3">
        <f>Sweden!AW52</f>
        <v>16.630640160383695</v>
      </c>
      <c r="Z12" s="3">
        <f>Swiss!AT52</f>
        <v>41.256877668082076</v>
      </c>
      <c r="AA12" s="69">
        <f>Turkey!AR52</f>
        <v>1.5109702484301468E-4</v>
      </c>
      <c r="AB12" s="3">
        <f>USA!AU60</f>
        <v>20.359555559461679</v>
      </c>
    </row>
    <row r="13" spans="1:32">
      <c r="A13">
        <v>1974</v>
      </c>
      <c r="B13" s="3">
        <f>Australia!BC53</f>
        <v>13.564298297122724</v>
      </c>
      <c r="C13" s="3">
        <f>Austria!AU53</f>
        <v>33.179769087712224</v>
      </c>
      <c r="D13" s="3">
        <f>Belgium!AU53</f>
        <v>27.790048332703414</v>
      </c>
      <c r="E13" s="3">
        <f>Britain!AX53</f>
        <v>14.40157008292425</v>
      </c>
      <c r="F13" s="3">
        <f>Canada!AW53</f>
        <v>22.45993230110518</v>
      </c>
      <c r="G13" s="3"/>
      <c r="H13" s="3">
        <v>22.955332875878632</v>
      </c>
      <c r="I13" s="3">
        <f>Denmark!AX53</f>
        <v>20.714058360396397</v>
      </c>
      <c r="J13" s="3">
        <f>Finland!AU53</f>
        <v>19.376518492480788</v>
      </c>
      <c r="K13" s="3">
        <f>France!AU53</f>
        <v>21.026560679746389</v>
      </c>
      <c r="L13" s="3">
        <f>Germany!AU53</f>
        <v>40.410858615143624</v>
      </c>
      <c r="M13" s="3">
        <f>Greece!AR53</f>
        <v>2.1701200825340856</v>
      </c>
      <c r="N13" s="3">
        <f>Hungary!AR53</f>
        <v>2.525326330799154</v>
      </c>
      <c r="O13" s="3">
        <v>7.8417051504736079</v>
      </c>
      <c r="P13" s="3">
        <f>Ireland!AU53</f>
        <v>12.896062701767931</v>
      </c>
      <c r="Q13">
        <f>Israel!I53</f>
        <v>3.2551637499728769E-3</v>
      </c>
      <c r="R13" s="3">
        <f>Italy!AU53</f>
        <v>8.9358652308578463</v>
      </c>
      <c r="S13" s="3">
        <f>Japan!AT53</f>
        <v>50.087827159738694</v>
      </c>
      <c r="T13" s="3">
        <f>Korea!AT53</f>
        <v>8.7545498378262767</v>
      </c>
      <c r="U13" s="3">
        <f>Netherlands!AT53</f>
        <v>34.339963400687417</v>
      </c>
      <c r="V13" s="3">
        <f>'New Zealand'!BB53</f>
        <v>10.260781810665211</v>
      </c>
      <c r="W13" s="3">
        <f>Norway!AT53</f>
        <v>18.660195280277957</v>
      </c>
      <c r="X13" s="3">
        <f>Spain!AU53</f>
        <v>7.7655912531774662</v>
      </c>
      <c r="Y13" s="3">
        <f>Sweden!AW53</f>
        <v>18.279023312514084</v>
      </c>
      <c r="Z13" s="3">
        <f>Swiss!AT53</f>
        <v>45.286608125965977</v>
      </c>
      <c r="AA13" s="69">
        <f>Turkey!AR53</f>
        <v>1.8720644870494056E-4</v>
      </c>
      <c r="AB13" s="3">
        <f>USA!AU61</f>
        <v>22.606443447780649</v>
      </c>
      <c r="AE13" s="4"/>
      <c r="AF13" s="4"/>
    </row>
    <row r="14" spans="1:32">
      <c r="A14">
        <v>1975</v>
      </c>
      <c r="B14" s="3">
        <f>Australia!BC54</f>
        <v>15.795654726952435</v>
      </c>
      <c r="C14" s="3">
        <f>Austria!AU54</f>
        <v>35.981885195580695</v>
      </c>
      <c r="D14" s="3">
        <f>Belgium!AU54</f>
        <v>31.338337283919653</v>
      </c>
      <c r="E14" s="3">
        <f>Britain!AX54</f>
        <v>17.887799917450963</v>
      </c>
      <c r="F14" s="3">
        <f>Canada!AW54</f>
        <v>24.856898950150494</v>
      </c>
      <c r="G14" s="3"/>
      <c r="H14" s="3">
        <v>23.132488327019047</v>
      </c>
      <c r="I14" s="3">
        <f>Denmark!AX54</f>
        <v>22.703770850230804</v>
      </c>
      <c r="J14" s="3">
        <f>Finland!AU54</f>
        <v>22.827745769598661</v>
      </c>
      <c r="K14" s="3">
        <f>France!AU54</f>
        <v>23.483709842189075</v>
      </c>
      <c r="L14" s="3">
        <f>Germany!AU54</f>
        <v>42.799276139783558</v>
      </c>
      <c r="M14" s="3">
        <f>Greece!AR54</f>
        <v>2.4658805402944579</v>
      </c>
      <c r="N14" s="3">
        <f>Hungary!AR54</f>
        <v>2.5707074593426262</v>
      </c>
      <c r="O14" s="3">
        <v>8.2917096470275062</v>
      </c>
      <c r="P14" s="3">
        <f>Ireland!AU54</f>
        <v>15.085314725442556</v>
      </c>
      <c r="Q14">
        <f>Israel!I54</f>
        <v>4.5347522499622145E-3</v>
      </c>
      <c r="R14" s="3">
        <f>Italy!AU54</f>
        <v>10.450539066814406</v>
      </c>
      <c r="S14" s="3">
        <f>Japan!AT54</f>
        <v>55.968213200032757</v>
      </c>
      <c r="T14" s="3">
        <f>Korea!AT54</f>
        <v>10.965008888208612</v>
      </c>
      <c r="U14" s="3">
        <f>Netherlands!AT54</f>
        <v>37.848642293159976</v>
      </c>
      <c r="V14" s="3">
        <f>'New Zealand'!BB54</f>
        <v>11.767572489170494</v>
      </c>
      <c r="W14" s="3">
        <f>Norway!AT54</f>
        <v>20.841424692999738</v>
      </c>
      <c r="X14" s="3">
        <f>Spain!AU54</f>
        <v>9.0821144585432769</v>
      </c>
      <c r="Y14" s="3">
        <f>Sweden!AW54</f>
        <v>20.066689492069521</v>
      </c>
      <c r="Z14" s="3">
        <f>Swiss!AT54</f>
        <v>48.319268408532928</v>
      </c>
      <c r="AA14" s="69">
        <f>Turkey!AR54</f>
        <v>2.2694541679410876E-4</v>
      </c>
      <c r="AB14" s="3">
        <f>USA!AU62</f>
        <v>24.681375630360922</v>
      </c>
      <c r="AE14" s="4"/>
      <c r="AF14" s="4"/>
    </row>
    <row r="15" spans="1:32">
      <c r="A15">
        <v>1976</v>
      </c>
      <c r="B15" s="3">
        <f>Australia!BC55</f>
        <v>17.850851438637697</v>
      </c>
      <c r="C15" s="3">
        <f>Austria!AU55</f>
        <v>38.615287469382288</v>
      </c>
      <c r="D15" s="3">
        <f>Belgium!AU55</f>
        <v>34.180287619149425</v>
      </c>
      <c r="E15" s="3">
        <f>Britain!AX55</f>
        <v>20.849933722341238</v>
      </c>
      <c r="F15" s="3">
        <f>Canada!AW55</f>
        <v>26.731541392464582</v>
      </c>
      <c r="G15" s="3"/>
      <c r="H15" s="3">
        <v>23.342885505320098</v>
      </c>
      <c r="I15" s="3">
        <f>Denmark!AX55</f>
        <v>24.749449169224565</v>
      </c>
      <c r="J15" s="3">
        <f>Finland!AU55</f>
        <v>26.101860862094888</v>
      </c>
      <c r="K15" s="3">
        <f>France!AU55</f>
        <v>25.744132689189293</v>
      </c>
      <c r="L15" s="3">
        <f>Germany!AU55</f>
        <v>44.616803468111208</v>
      </c>
      <c r="M15" s="3">
        <f>Greece!AR55</f>
        <v>2.7870437263279211</v>
      </c>
      <c r="N15" s="3">
        <f>Hungary!AR55</f>
        <v>2.6694781509529339</v>
      </c>
      <c r="O15" s="3">
        <v>7.6586889676931422</v>
      </c>
      <c r="P15" s="3">
        <f>Ireland!AU55</f>
        <v>17.786563589690982</v>
      </c>
      <c r="Q15">
        <f>Israel!I55</f>
        <v>5.9547630832837159E-3</v>
      </c>
      <c r="R15" s="3">
        <f>Italy!AU55</f>
        <v>12.186809393291364</v>
      </c>
      <c r="S15" s="3">
        <f>Japan!AT55</f>
        <v>61.237974751605392</v>
      </c>
      <c r="T15" s="3">
        <f>Korea!AT55</f>
        <v>12.6456497920319</v>
      </c>
      <c r="U15" s="3">
        <f>Netherlands!AT55</f>
        <v>41.190922288361641</v>
      </c>
      <c r="V15" s="3">
        <f>'New Zealand'!BB55</f>
        <v>13.757103025584811</v>
      </c>
      <c r="W15" s="3">
        <f>Norway!AT55</f>
        <v>22.75080973210644</v>
      </c>
      <c r="X15" s="3">
        <f>Spain!AU55</f>
        <v>10.682826233324178</v>
      </c>
      <c r="Y15" s="3">
        <f>Sweden!AW55</f>
        <v>22.123368644828609</v>
      </c>
      <c r="Z15" s="3">
        <f>Swiss!AT55</f>
        <v>49.148172895071525</v>
      </c>
      <c r="AA15" s="69">
        <f>Turkey!AR55</f>
        <v>2.6656030521889632E-4</v>
      </c>
      <c r="AB15" s="3">
        <f>USA!AU63</f>
        <v>26.106697369039445</v>
      </c>
      <c r="AE15" s="4"/>
      <c r="AF15" s="4"/>
    </row>
    <row r="16" spans="1:32">
      <c r="A16">
        <v>1977</v>
      </c>
      <c r="B16" s="3">
        <f>Australia!BC56</f>
        <v>20.317087492660011</v>
      </c>
      <c r="C16" s="3">
        <f>Austria!AU56</f>
        <v>40.737046916203717</v>
      </c>
      <c r="D16" s="3">
        <f>Belgium!AU56</f>
        <v>36.60571980319564</v>
      </c>
      <c r="E16" s="3">
        <f>Britain!AX56</f>
        <v>24.152619518781137</v>
      </c>
      <c r="F16" s="3">
        <f>Canada!AW56</f>
        <v>28.863768089286754</v>
      </c>
      <c r="G16" s="3"/>
      <c r="H16" s="3">
        <v>23.592761940688472</v>
      </c>
      <c r="I16" s="3">
        <f>Denmark!AX56</f>
        <v>27.452643406165276</v>
      </c>
      <c r="J16" s="3">
        <f>Finland!AU56</f>
        <v>29.180144670074753</v>
      </c>
      <c r="K16" s="3">
        <f>France!AU56</f>
        <v>28.188423784078676</v>
      </c>
      <c r="L16" s="3">
        <f>Germany!AU56</f>
        <v>46.282870312008349</v>
      </c>
      <c r="M16" s="3">
        <f>Greece!AR56</f>
        <v>3.1317951824828598</v>
      </c>
      <c r="N16" s="3">
        <f>Hungary!AR56</f>
        <v>2.8090491020994768</v>
      </c>
      <c r="O16" s="3">
        <v>8.296015910172315</v>
      </c>
      <c r="P16" s="3">
        <f>Ireland!AU56</f>
        <v>20.18280856693405</v>
      </c>
      <c r="Q16">
        <f>Israel!I56</f>
        <v>8.0158642499332054E-3</v>
      </c>
      <c r="R16" s="3">
        <f>Italy!AU56</f>
        <v>14.274414717085932</v>
      </c>
      <c r="S16" s="3">
        <f>Japan!AT56</f>
        <v>66.223336842842414</v>
      </c>
      <c r="T16" s="3">
        <f>Korea!AT56</f>
        <v>13.922439320889048</v>
      </c>
      <c r="U16" s="3">
        <f>Netherlands!AT56</f>
        <v>43.826851330723876</v>
      </c>
      <c r="V16" s="3">
        <f>'New Zealand'!BB56</f>
        <v>15.735864193531619</v>
      </c>
      <c r="W16" s="3">
        <f>Norway!AT56</f>
        <v>24.822007276329934</v>
      </c>
      <c r="X16" s="3">
        <f>Spain!AU56</f>
        <v>13.304183475870381</v>
      </c>
      <c r="Y16" s="3">
        <f>Sweden!AW56</f>
        <v>24.654680238432608</v>
      </c>
      <c r="Z16" s="3">
        <f>Swiss!AT56</f>
        <v>49.785134198755109</v>
      </c>
      <c r="AA16" s="69">
        <f>Turkey!AR56</f>
        <v>3.3582690683506424E-4</v>
      </c>
      <c r="AB16" s="3">
        <f>USA!AU64</f>
        <v>27.795684523183983</v>
      </c>
      <c r="AE16" s="4"/>
      <c r="AF16" s="4"/>
    </row>
    <row r="17" spans="1:32">
      <c r="A17">
        <v>1978</v>
      </c>
      <c r="B17" s="3">
        <f>Australia!BC57</f>
        <v>22.25484439224897</v>
      </c>
      <c r="C17" s="3">
        <f>Austria!AU57</f>
        <v>42.193120146279909</v>
      </c>
      <c r="D17" s="3">
        <f>Belgium!AU57</f>
        <v>38.242213282431315</v>
      </c>
      <c r="E17" s="3">
        <f>Britain!AX57</f>
        <v>26.148384041759154</v>
      </c>
      <c r="F17" s="3">
        <f>Canada!AW57</f>
        <v>31.453922684981737</v>
      </c>
      <c r="G17" s="3"/>
      <c r="H17" s="3">
        <v>23.889525582941619</v>
      </c>
      <c r="I17" s="3">
        <f>Denmark!AX57</f>
        <v>30.256560319419076</v>
      </c>
      <c r="J17" s="3">
        <f>Finland!AU57</f>
        <v>31.456006283400232</v>
      </c>
      <c r="K17" s="3">
        <f>France!AU57</f>
        <v>30.796010557394908</v>
      </c>
      <c r="L17" s="3">
        <f>Germany!AU57</f>
        <v>47.541158541722588</v>
      </c>
      <c r="M17" s="3">
        <f>Greece!AR57</f>
        <v>3.5255376263643714</v>
      </c>
      <c r="N17" s="3">
        <f>Hungary!AR57</f>
        <v>2.9188519015400778</v>
      </c>
      <c r="O17" s="3">
        <v>8.5048696717722159</v>
      </c>
      <c r="P17" s="3">
        <f>Ireland!AU57</f>
        <v>21.73913278780616</v>
      </c>
      <c r="Q17">
        <f>Israel!I57</f>
        <v>1.2068169416566105E-2</v>
      </c>
      <c r="R17" s="3">
        <f>Italy!AU57</f>
        <v>16.000765287853248</v>
      </c>
      <c r="S17" s="3">
        <f>Japan!AT57</f>
        <v>68.992053101537337</v>
      </c>
      <c r="T17" s="3">
        <f>Korea!AT57</f>
        <v>15.9356630295197</v>
      </c>
      <c r="U17" s="3">
        <f>Netherlands!AT57</f>
        <v>45.629018908007964</v>
      </c>
      <c r="V17" s="3">
        <f>'New Zealand'!BB57</f>
        <v>17.61733853169542</v>
      </c>
      <c r="W17" s="3">
        <f>Norway!AT57</f>
        <v>26.847897349379895</v>
      </c>
      <c r="X17" s="3">
        <f>Spain!AU57</f>
        <v>15.934911473420216</v>
      </c>
      <c r="Y17" s="3">
        <f>Sweden!AW57</f>
        <v>27.118980616619773</v>
      </c>
      <c r="Z17" s="3">
        <f>Swiss!AT57</f>
        <v>50.297318183027144</v>
      </c>
      <c r="AA17" s="69">
        <f>Turkey!AR57</f>
        <v>5.4369388885490801E-4</v>
      </c>
      <c r="AB17" s="3">
        <f>USA!AU65</f>
        <v>29.916471560627922</v>
      </c>
      <c r="AE17" s="4"/>
      <c r="AF17" s="4"/>
    </row>
    <row r="18" spans="1:32">
      <c r="A18">
        <v>1979</v>
      </c>
      <c r="B18" s="3">
        <f>Australia!BC58</f>
        <v>24.075161479741631</v>
      </c>
      <c r="C18" s="3">
        <f>Austria!AU58</f>
        <v>43.757390414170295</v>
      </c>
      <c r="D18" s="3">
        <f>Belgium!AU58</f>
        <v>39.951289917482327</v>
      </c>
      <c r="E18" s="3">
        <f>Britain!AX58</f>
        <v>29.657834494317374</v>
      </c>
      <c r="F18" s="3">
        <f>Canada!AW58</f>
        <v>34.330282318353042</v>
      </c>
      <c r="G18" s="3"/>
      <c r="H18" s="3">
        <v>24.241974421238545</v>
      </c>
      <c r="I18" s="3">
        <f>Denmark!AX58</f>
        <v>33.164534972826615</v>
      </c>
      <c r="J18" s="3">
        <f>Finland!AU58</f>
        <v>33.804812117378901</v>
      </c>
      <c r="K18" s="3">
        <f>France!AU58</f>
        <v>34.074781731813296</v>
      </c>
      <c r="L18" s="3">
        <f>Germany!AU58</f>
        <v>49.463543287570559</v>
      </c>
      <c r="M18" s="3">
        <f>Greece!AR58</f>
        <v>4.1987101267101119</v>
      </c>
      <c r="N18" s="3">
        <f>Hungary!AR58</f>
        <v>3.0556626567834764</v>
      </c>
      <c r="O18" s="3">
        <v>9.0366931677065185</v>
      </c>
      <c r="P18" s="3">
        <f>Ireland!AU58</f>
        <v>24.629448318042535</v>
      </c>
      <c r="Q18">
        <f>Israel!I58</f>
        <v>2.1518888166487355E-2</v>
      </c>
      <c r="R18" s="3">
        <f>Italy!AU58</f>
        <v>18.368651339588443</v>
      </c>
      <c r="S18" s="3">
        <f>Japan!AT58</f>
        <v>71.560016658837611</v>
      </c>
      <c r="T18" s="3">
        <f>Korea!AT58</f>
        <v>18.85563265116744</v>
      </c>
      <c r="U18" s="3">
        <f>Netherlands!AT58</f>
        <v>47.545116473851188</v>
      </c>
      <c r="V18" s="3">
        <f>'New Zealand'!BB58</f>
        <v>20.030843441183563</v>
      </c>
      <c r="W18" s="3">
        <f>Norway!AT58</f>
        <v>28.116505872084616</v>
      </c>
      <c r="X18" s="3">
        <f>Spain!AU58</f>
        <v>18.430355260454213</v>
      </c>
      <c r="Y18" s="3">
        <f>Sweden!AW58</f>
        <v>29.074201084459538</v>
      </c>
      <c r="Z18" s="3">
        <f>Swiss!AT58</f>
        <v>52.13198529189124</v>
      </c>
      <c r="AA18" s="69">
        <f>Turkey!AR58</f>
        <v>8.8917373160509329E-4</v>
      </c>
      <c r="AB18" s="3">
        <f>USA!AU66</f>
        <v>33.282982155201061</v>
      </c>
      <c r="AE18" s="4"/>
      <c r="AF18" s="4"/>
    </row>
    <row r="19" spans="1:32">
      <c r="A19">
        <v>1980</v>
      </c>
      <c r="B19" s="3">
        <f>Australia!BC59</f>
        <v>26.541397533763945</v>
      </c>
      <c r="C19" s="3">
        <f>Austria!AU59</f>
        <v>46.526497228080508</v>
      </c>
      <c r="D19" s="3">
        <f>Belgium!AU59</f>
        <v>42.607527335096982</v>
      </c>
      <c r="E19" s="3">
        <f>Britain!AX59</f>
        <v>34.986140279082285</v>
      </c>
      <c r="F19" s="3">
        <f>Canada!AW59</f>
        <v>37.807672141000126</v>
      </c>
      <c r="G19" s="3"/>
      <c r="H19" s="3">
        <v>24.660557313245533</v>
      </c>
      <c r="I19" s="3">
        <f>Denmark!AX59</f>
        <v>37.245537127744846</v>
      </c>
      <c r="J19" s="3">
        <f>Finland!AU59</f>
        <v>37.724351624102937</v>
      </c>
      <c r="K19" s="3">
        <f>France!AU59</f>
        <v>38.696201264015862</v>
      </c>
      <c r="L19" s="3">
        <f>Germany!AU59</f>
        <v>52.154881882796083</v>
      </c>
      <c r="M19" s="3">
        <f>Greece!AR59</f>
        <v>5.2347792189959597</v>
      </c>
      <c r="N19" s="3">
        <f>Hungary!AR59</f>
        <v>3.3299515367897428</v>
      </c>
      <c r="O19" s="3">
        <v>10.06373692294884</v>
      </c>
      <c r="P19" s="3">
        <f>Ireland!AU59</f>
        <v>29.100791661162241</v>
      </c>
      <c r="Q19">
        <f>Israel!I59</f>
        <v>4.9713500416252394E-2</v>
      </c>
      <c r="R19" s="3">
        <f>Italy!AU59</f>
        <v>22.23785528446663</v>
      </c>
      <c r="S19" s="3">
        <f>Japan!AT59</f>
        <v>77.147636724009459</v>
      </c>
      <c r="T19" s="3">
        <f>Korea!AT59</f>
        <v>24.266746686868871</v>
      </c>
      <c r="U19" s="3">
        <f>Netherlands!AT59</f>
        <v>50.641944813719576</v>
      </c>
      <c r="V19" s="3">
        <f>'New Zealand'!BB59</f>
        <v>23.466245264069816</v>
      </c>
      <c r="W19" s="3">
        <f>Norway!AT59</f>
        <v>31.184466526823002</v>
      </c>
      <c r="X19" s="3">
        <f>Spain!AU59</f>
        <v>21.298470558766365</v>
      </c>
      <c r="Y19" s="3">
        <f>Sweden!AW59</f>
        <v>33.059204122539036</v>
      </c>
      <c r="Z19" s="3">
        <f>Swiss!AT59</f>
        <v>54.228993878937715</v>
      </c>
      <c r="AA19" s="69">
        <f>Turkey!AR59</f>
        <v>1.7273165379101459E-3</v>
      </c>
      <c r="AB19" s="3">
        <f>USA!AU67</f>
        <v>37.776757931838986</v>
      </c>
      <c r="AE19" s="4"/>
      <c r="AF19" s="4"/>
    </row>
    <row r="20" spans="1:32">
      <c r="A20">
        <v>1981</v>
      </c>
      <c r="B20" s="3">
        <f>Australia!BC60</f>
        <v>29.007633587786259</v>
      </c>
      <c r="C20" s="3">
        <f>Austria!AU60</f>
        <v>49.691714840900637</v>
      </c>
      <c r="D20" s="3">
        <f>Belgium!AU60</f>
        <v>45.85741094360295</v>
      </c>
      <c r="E20" s="3">
        <f>Britain!AX60</f>
        <v>39.141311212695825</v>
      </c>
      <c r="F20" s="3">
        <f>Canada!AW60</f>
        <v>42.522897560504312</v>
      </c>
      <c r="G20" s="3"/>
      <c r="H20" s="3">
        <v>25.157683756696589</v>
      </c>
      <c r="I20" s="3">
        <f>Denmark!AX60</f>
        <v>41.628364739161377</v>
      </c>
      <c r="J20" s="3">
        <f>Finland!AU60</f>
        <v>41.989372507844955</v>
      </c>
      <c r="K20" s="3">
        <f>France!AU60</f>
        <v>43.848368285111988</v>
      </c>
      <c r="L20" s="3">
        <f>Germany!AU60</f>
        <v>55.463713804254816</v>
      </c>
      <c r="M20" s="3">
        <f>Greece!AR60</f>
        <v>6.5176178787485632</v>
      </c>
      <c r="N20" s="3">
        <f>Hungary!AR60</f>
        <v>3.4851742307208133</v>
      </c>
      <c r="O20" s="3">
        <v>11.38360657121537</v>
      </c>
      <c r="P20" s="3">
        <f>Ireland!AU60</f>
        <v>35.029644360328298</v>
      </c>
      <c r="Q20" s="2">
        <f>Israel!I60</f>
        <v>0.10777892091576859</v>
      </c>
      <c r="R20" s="3">
        <f>Italy!AU60</f>
        <v>26.233842214098289</v>
      </c>
      <c r="S20" s="3">
        <f>Japan!AT60</f>
        <v>80.936846279542394</v>
      </c>
      <c r="T20" s="3">
        <f>Korea!AT60</f>
        <v>29.448097505835705</v>
      </c>
      <c r="U20" s="3">
        <f>Netherlands!AT60</f>
        <v>54.054670025354774</v>
      </c>
      <c r="V20" s="3">
        <f>'New Zealand'!BB60</f>
        <v>27.073042360525243</v>
      </c>
      <c r="W20" s="3">
        <f>Norway!AT60</f>
        <v>35.443366541751054</v>
      </c>
      <c r="X20" s="3">
        <f>Spain!AU60</f>
        <v>24.397259585008239</v>
      </c>
      <c r="Y20" s="3">
        <f>Sweden!AW60</f>
        <v>37.060670354008685</v>
      </c>
      <c r="Z20" s="3">
        <f>Swiss!AT60</f>
        <v>57.748623691561797</v>
      </c>
      <c r="AA20" s="69">
        <f>Turkey!AR60</f>
        <v>2.3770430262803175E-3</v>
      </c>
      <c r="AB20" s="3">
        <f>USA!AU68</f>
        <v>41.697348022681282</v>
      </c>
      <c r="AE20" s="4"/>
      <c r="AF20" s="4"/>
    </row>
    <row r="21" spans="1:32">
      <c r="A21">
        <v>1982</v>
      </c>
      <c r="B21" s="3">
        <f>Australia!BC61</f>
        <v>32.061068702290072</v>
      </c>
      <c r="C21" s="3">
        <f>Austria!AU61</f>
        <v>52.392969379497849</v>
      </c>
      <c r="D21" s="3">
        <f>Belgium!AU61</f>
        <v>49.859180379727825</v>
      </c>
      <c r="E21" s="3">
        <f>Britain!AX61</f>
        <v>42.507021680170958</v>
      </c>
      <c r="F21" s="3">
        <f>Canada!AW61</f>
        <v>47.102175641925747</v>
      </c>
      <c r="G21" s="3"/>
      <c r="H21" s="3">
        <v>25.748091786975536</v>
      </c>
      <c r="I21" s="3">
        <f>Denmark!AX61</f>
        <v>45.841496603355374</v>
      </c>
      <c r="J21" s="3">
        <f>Finland!AU61</f>
        <v>46.014024470161139</v>
      </c>
      <c r="K21" s="3">
        <f>France!AU61</f>
        <v>49.100736310470467</v>
      </c>
      <c r="L21" s="3">
        <f>Germany!AU61</f>
        <v>58.370592558044159</v>
      </c>
      <c r="M21" s="3">
        <f>Greece!AR61</f>
        <v>7.8857369135327655</v>
      </c>
      <c r="N21" s="3">
        <f>Hungary!AR61</f>
        <v>3.7234140495983654</v>
      </c>
      <c r="O21" s="3">
        <v>12.281462432812015</v>
      </c>
      <c r="P21" s="3">
        <f>Ireland!AU61</f>
        <v>41.032607958033473</v>
      </c>
      <c r="Q21" s="2">
        <f>Israel!I61</f>
        <v>0.23750640074802087</v>
      </c>
      <c r="R21" s="3">
        <f>Italy!AU61</f>
        <v>30.557286969734765</v>
      </c>
      <c r="S21" s="3">
        <f>Japan!AT61</f>
        <v>83.153492016496415</v>
      </c>
      <c r="T21" s="3">
        <f>Korea!AT61</f>
        <v>31.56566484741019</v>
      </c>
      <c r="U21" s="3">
        <f>Netherlands!AT61</f>
        <v>57.249892381943319</v>
      </c>
      <c r="V21" s="3">
        <f>'New Zealand'!BB61</f>
        <v>31.449045001249225</v>
      </c>
      <c r="W21" s="3">
        <f>Norway!AT61</f>
        <v>39.45631057798461</v>
      </c>
      <c r="X21" s="3">
        <f>Spain!AU61</f>
        <v>27.914122114461218</v>
      </c>
      <c r="Y21" s="3">
        <f>Sweden!AW61</f>
        <v>40.243879892954652</v>
      </c>
      <c r="Z21" s="3">
        <f>Swiss!AT61</f>
        <v>61.014366687429543</v>
      </c>
      <c r="AA21" s="69">
        <f>Turkey!AR61</f>
        <v>3.0696541757670478E-3</v>
      </c>
      <c r="AB21" s="3">
        <f>USA!AU69</f>
        <v>44.265219895045824</v>
      </c>
      <c r="AE21" s="4"/>
      <c r="AF21" s="4"/>
    </row>
    <row r="22" spans="1:32">
      <c r="A22">
        <v>1983</v>
      </c>
      <c r="B22" s="3">
        <f>Australia!BC62</f>
        <v>35.760422783323541</v>
      </c>
      <c r="C22" s="3">
        <f>Austria!AU62</f>
        <v>54.142458123338152</v>
      </c>
      <c r="D22" s="3">
        <f>Belgium!AU62</f>
        <v>53.679196329619096</v>
      </c>
      <c r="E22" s="3">
        <f>Britain!AX62</f>
        <v>44.466298680615516</v>
      </c>
      <c r="F22" s="3">
        <f>Canada!AW62</f>
        <v>49.864053160604627</v>
      </c>
      <c r="G22" s="3"/>
      <c r="H22" s="3">
        <v>26.449284907560287</v>
      </c>
      <c r="I22" s="3">
        <f>Denmark!AX62</f>
        <v>49.008332165742388</v>
      </c>
      <c r="J22" s="3">
        <f>Finland!AU62</f>
        <v>49.863691658146024</v>
      </c>
      <c r="K22" s="3">
        <f>France!AU62</f>
        <v>53.74544403011285</v>
      </c>
      <c r="L22" s="3">
        <f>Germany!AU62</f>
        <v>60.292977241527808</v>
      </c>
      <c r="M22" s="3">
        <f>Greece!AR62</f>
        <v>9.4770376168517281</v>
      </c>
      <c r="N22" s="3">
        <f>Hungary!AR62</f>
        <v>3.9944745711219531</v>
      </c>
      <c r="O22" s="3">
        <v>13.739132501260979</v>
      </c>
      <c r="P22" s="3">
        <f>Ireland!AU62</f>
        <v>45.331028043806818</v>
      </c>
      <c r="Q22" s="2">
        <f>Israel!I62</f>
        <v>0.58415047516179919</v>
      </c>
      <c r="R22" s="3">
        <f>Italy!AU62</f>
        <v>35.032887507315237</v>
      </c>
      <c r="S22" s="3">
        <f>Japan!AT62</f>
        <v>84.726055933045743</v>
      </c>
      <c r="T22" s="3">
        <f>Korea!AT62</f>
        <v>32.645402504433889</v>
      </c>
      <c r="U22" s="3">
        <f>Netherlands!AT62</f>
        <v>58.819020904803502</v>
      </c>
      <c r="V22" s="3">
        <f>'New Zealand'!BB62</f>
        <v>33.75774266708423</v>
      </c>
      <c r="W22" s="3">
        <f>Norway!AT62</f>
        <v>42.776699183024562</v>
      </c>
      <c r="X22" s="3">
        <f>Spain!AU62</f>
        <v>31.31240967197342</v>
      </c>
      <c r="Y22" s="3">
        <f>Sweden!AW62</f>
        <v>43.8147278070713</v>
      </c>
      <c r="Z22" s="3">
        <f>Swiss!AT62</f>
        <v>62.814217287468693</v>
      </c>
      <c r="AA22" s="69">
        <f>Turkey!AR62</f>
        <v>4.0332269096065992E-3</v>
      </c>
      <c r="AB22" s="3">
        <f>USA!AU70</f>
        <v>45.663792968387206</v>
      </c>
      <c r="AE22" s="4"/>
      <c r="AF22" s="4"/>
    </row>
    <row r="23" spans="1:32">
      <c r="A23">
        <v>1984</v>
      </c>
      <c r="B23" s="3">
        <f>Australia!BC63</f>
        <v>38.167938931297705</v>
      </c>
      <c r="C23" s="3">
        <f>Austria!AU63</f>
        <v>57.208647856108648</v>
      </c>
      <c r="D23" s="3">
        <f>Belgium!AU63</f>
        <v>57.083410719443769</v>
      </c>
      <c r="E23" s="3">
        <f>Britain!AX63</f>
        <v>46.672143695220647</v>
      </c>
      <c r="F23" s="3">
        <f>Canada!AW63</f>
        <v>52.01058995097064</v>
      </c>
      <c r="G23" s="3"/>
      <c r="H23" s="3">
        <v>27.282051006813369</v>
      </c>
      <c r="I23" s="3">
        <f>Denmark!AX63</f>
        <v>52.091339504125116</v>
      </c>
      <c r="J23" s="3">
        <f>Finland!AU63</f>
        <v>53.38788685071831</v>
      </c>
      <c r="K23" s="3">
        <f>France!AU63</f>
        <v>57.869763526458968</v>
      </c>
      <c r="L23" s="3">
        <f>Germany!AU63</f>
        <v>61.743503879215176</v>
      </c>
      <c r="M23" s="3">
        <f>Greece!AR63</f>
        <v>11.226198338830104</v>
      </c>
      <c r="N23" s="3">
        <f>Hungary!AR63</f>
        <v>4.3327210455954148</v>
      </c>
      <c r="O23" s="3">
        <v>14.882445361068102</v>
      </c>
      <c r="P23" s="3">
        <f>Ireland!AU63</f>
        <v>49.234190030217867</v>
      </c>
      <c r="Q23" s="2">
        <f>Israel!I63</f>
        <v>2.7642916044769654</v>
      </c>
      <c r="R23" s="3">
        <f>Italy!AU63</f>
        <v>38.814509046003629</v>
      </c>
      <c r="S23" s="3">
        <f>Japan!AT63</f>
        <v>86.633207256197338</v>
      </c>
      <c r="T23" s="3">
        <f>Korea!AT63</f>
        <v>33.387744919861639</v>
      </c>
      <c r="U23" s="3">
        <f>Netherlands!AT63</f>
        <v>60.761012050224444</v>
      </c>
      <c r="V23" s="3">
        <f>'New Zealand'!BB63</f>
        <v>35.841017361426665</v>
      </c>
      <c r="W23" s="3">
        <f>Norway!AT63</f>
        <v>45.47572838380286</v>
      </c>
      <c r="X23" s="3">
        <f>Spain!AU63</f>
        <v>34.844534026478136</v>
      </c>
      <c r="Y23" s="3">
        <f>Sweden!AW63</f>
        <v>47.339290981660682</v>
      </c>
      <c r="Z23" s="3">
        <f>Swiss!AT63</f>
        <v>64.65557021287222</v>
      </c>
      <c r="AA23" s="69">
        <f>Turkey!AR63</f>
        <v>5.9849993853522262E-3</v>
      </c>
      <c r="AB23" s="3">
        <f>USA!AU71</f>
        <v>47.65847915495609</v>
      </c>
      <c r="AE23" s="4"/>
      <c r="AF23" s="4"/>
    </row>
    <row r="24" spans="1:32">
      <c r="A24">
        <v>1985</v>
      </c>
      <c r="B24" s="3">
        <f>Australia!BC64</f>
        <v>39.812096300645919</v>
      </c>
      <c r="C24" s="3">
        <f>Austria!AU64</f>
        <v>59.033323972430495</v>
      </c>
      <c r="D24" s="3">
        <f>Belgium!AU64</f>
        <v>59.86264786216455</v>
      </c>
      <c r="E24" s="3">
        <f>Britain!AX64</f>
        <v>49.505793427203656</v>
      </c>
      <c r="F24" s="3">
        <f>Canada!AW64</f>
        <v>54.071265648110987</v>
      </c>
      <c r="G24" s="3"/>
      <c r="H24" s="3">
        <v>28.271078646801779</v>
      </c>
      <c r="I24" s="3">
        <f>Denmark!AX64</f>
        <v>54.528560967520789</v>
      </c>
      <c r="J24" s="3">
        <f>Finland!AU64</f>
        <v>56.161720179148212</v>
      </c>
      <c r="K24" s="3">
        <f>France!AU64</f>
        <v>61.244206728752687</v>
      </c>
      <c r="L24" s="3">
        <f>Germany!AU64</f>
        <v>63.019268531723796</v>
      </c>
      <c r="M24" s="3">
        <f>Greece!AR64</f>
        <v>13.394503746760286</v>
      </c>
      <c r="N24" s="3">
        <f>Hungary!AR64</f>
        <v>4.6335132718322036</v>
      </c>
      <c r="O24" s="3">
        <v>15.709247881193585</v>
      </c>
      <c r="P24" s="3">
        <f>Ireland!AU64</f>
        <v>51.926877795520319</v>
      </c>
      <c r="Q24" s="3">
        <f>Israel!I64</f>
        <v>11.183886593490142</v>
      </c>
      <c r="R24" s="3">
        <f>Italy!AU64</f>
        <v>42.38777003176309</v>
      </c>
      <c r="S24" s="3">
        <f>Japan!AT64</f>
        <v>88.406524033826258</v>
      </c>
      <c r="T24" s="3">
        <f>Korea!AT64</f>
        <v>34.208786293960451</v>
      </c>
      <c r="U24" s="3">
        <f>Netherlands!AT64</f>
        <v>62.133352369459239</v>
      </c>
      <c r="V24" s="3">
        <f>'New Zealand'!BB64</f>
        <v>41.366863558752399</v>
      </c>
      <c r="W24" s="3">
        <f>Norway!AT64</f>
        <v>48.045307585449898</v>
      </c>
      <c r="X24" s="3">
        <f>Spain!AU64</f>
        <v>37.915889449756399</v>
      </c>
      <c r="Y24" s="3">
        <f>Sweden!AW64</f>
        <v>50.82941571375185</v>
      </c>
      <c r="Z24" s="3">
        <f>Swiss!AT64</f>
        <v>66.876750258188039</v>
      </c>
      <c r="AA24" s="69">
        <f>Turkey!AR64</f>
        <v>8.6759580509960157E-3</v>
      </c>
      <c r="AB24" s="3">
        <f>USA!AU72</f>
        <v>49.339823833290041</v>
      </c>
      <c r="AE24" s="4"/>
      <c r="AF24" s="4"/>
    </row>
    <row r="25" spans="1:32">
      <c r="A25">
        <v>1986</v>
      </c>
      <c r="B25" s="3">
        <f>Australia!BC65</f>
        <v>43.159130945390487</v>
      </c>
      <c r="C25" s="3">
        <f>Austria!AU65</f>
        <v>60.040105434785353</v>
      </c>
      <c r="D25" s="3">
        <f>Belgium!AU65</f>
        <v>60.637492615924529</v>
      </c>
      <c r="E25" s="3">
        <f>Britain!AX65</f>
        <v>51.202661428583504</v>
      </c>
      <c r="F25" s="3">
        <f>Canada!AW65</f>
        <v>56.339439529540762</v>
      </c>
      <c r="G25" s="3"/>
      <c r="H25" s="3">
        <v>29.445688992201088</v>
      </c>
      <c r="I25" s="3">
        <f>Denmark!AX65</f>
        <v>56.534223408315214</v>
      </c>
      <c r="J25" s="3">
        <f>Finland!AU65</f>
        <v>57.809268046745267</v>
      </c>
      <c r="K25" s="3">
        <f>France!AU65</f>
        <v>62.798907452497886</v>
      </c>
      <c r="L25" s="3">
        <f>Germany!AU65</f>
        <v>62.937712838565425</v>
      </c>
      <c r="M25" s="3">
        <f>Greece!AR65</f>
        <v>16.477307719893652</v>
      </c>
      <c r="N25" s="3">
        <f>Hungary!AR65</f>
        <v>4.8787033645783691</v>
      </c>
      <c r="O25" s="3">
        <v>17.080792686687463</v>
      </c>
      <c r="P25" s="3">
        <f>Ireland!AU65</f>
        <v>53.878458625428806</v>
      </c>
      <c r="Q25" s="3">
        <f>Israel!I65</f>
        <v>16.567064006528614</v>
      </c>
      <c r="R25" s="3">
        <f>Italy!AU65</f>
        <v>44.856240470181625</v>
      </c>
      <c r="S25" s="3">
        <f>Japan!AT65</f>
        <v>88.950229549432265</v>
      </c>
      <c r="T25" s="3">
        <f>Korea!AT65</f>
        <v>35.149521075287105</v>
      </c>
      <c r="U25" s="3">
        <f>Netherlands!AT65</f>
        <v>62.185138791351989</v>
      </c>
      <c r="V25" s="3">
        <f>'New Zealand'!BB65</f>
        <v>46.832832708224586</v>
      </c>
      <c r="W25" s="3">
        <f>Norway!AT65</f>
        <v>51.501618308357315</v>
      </c>
      <c r="X25" s="3">
        <f>Spain!AU65</f>
        <v>41.250568798169908</v>
      </c>
      <c r="Y25" s="3">
        <f>Sweden!AW65</f>
        <v>52.982504016912237</v>
      </c>
      <c r="Z25" s="3">
        <f>Swiss!AT65</f>
        <v>67.378531798638491</v>
      </c>
      <c r="AA25" s="69">
        <f>Turkey!AR65</f>
        <v>1.1678714073212177E-2</v>
      </c>
      <c r="AB25" s="3">
        <f>USA!AU73</f>
        <v>50.298954547521411</v>
      </c>
      <c r="AE25" s="4"/>
      <c r="AF25" s="4"/>
    </row>
    <row r="26" spans="1:32">
      <c r="A26">
        <v>1987</v>
      </c>
      <c r="B26" s="3">
        <f>Australia!BC66</f>
        <v>47.210804462712858</v>
      </c>
      <c r="C26" s="3">
        <f>Austria!AU66</f>
        <v>60.881840694933601</v>
      </c>
      <c r="D26" s="3">
        <f>Belgium!AU66</f>
        <v>61.579423298721778</v>
      </c>
      <c r="E26" s="3">
        <f>Britain!AX66</f>
        <v>53.32701786507306</v>
      </c>
      <c r="F26" s="3">
        <f>Canada!AW66</f>
        <v>58.793646925436647</v>
      </c>
      <c r="G26" s="3"/>
      <c r="H26" s="3">
        <v>30.840704928405287</v>
      </c>
      <c r="I26" s="3">
        <f>Denmark!AX66</f>
        <v>58.806893535907143</v>
      </c>
      <c r="J26" s="3">
        <f>Finland!AU66</f>
        <v>60.186978850010277</v>
      </c>
      <c r="K26" s="3">
        <f>France!AU66</f>
        <v>64.864299463724947</v>
      </c>
      <c r="L26" s="3">
        <f>Germany!AU66</f>
        <v>63.094998840339748</v>
      </c>
      <c r="M26" s="3">
        <f>Greece!AR66</f>
        <v>19.179070446224578</v>
      </c>
      <c r="N26" s="3">
        <f>Hungary!AR66</f>
        <v>5.3018975599115628</v>
      </c>
      <c r="O26" s="3">
        <v>18.583678517510805</v>
      </c>
      <c r="P26" s="3">
        <f>Ireland!AU66</f>
        <v>55.583003877977298</v>
      </c>
      <c r="Q26" s="3">
        <f>Israel!I66</f>
        <v>19.856058745667866</v>
      </c>
      <c r="R26" s="3">
        <f>Italy!AU66</f>
        <v>46.985693597024081</v>
      </c>
      <c r="S26" s="3">
        <f>Japan!AT66</f>
        <v>89.05897067135507</v>
      </c>
      <c r="T26" s="3">
        <f>Korea!AT66</f>
        <v>36.221461959711704</v>
      </c>
      <c r="U26" s="3">
        <f>Netherlands!AT66</f>
        <v>61.755311443102975</v>
      </c>
      <c r="V26" s="3">
        <f>'New Zealand'!BB66</f>
        <v>54.20632970502232</v>
      </c>
      <c r="W26" s="3">
        <f>Norway!AT66</f>
        <v>55.99352765527027</v>
      </c>
      <c r="X26" s="3">
        <f>Spain!AU66</f>
        <v>43.415408548834378</v>
      </c>
      <c r="Y26" s="3">
        <f>Sweden!AW66</f>
        <v>55.201713815238463</v>
      </c>
      <c r="Z26" s="3">
        <f>Swiss!AT66</f>
        <v>68.348980075637044</v>
      </c>
      <c r="AA26" s="69">
        <f>Turkey!AR66</f>
        <v>1.6216577695428391E-2</v>
      </c>
      <c r="AB26" s="3">
        <f>USA!AU74</f>
        <v>52.098757600919789</v>
      </c>
      <c r="AE26" s="4"/>
      <c r="AF26" s="4"/>
    </row>
    <row r="27" spans="1:32">
      <c r="A27">
        <v>1988</v>
      </c>
      <c r="B27" s="3">
        <f>Australia!BC67</f>
        <v>50.675278919553726</v>
      </c>
      <c r="C27" s="3">
        <f>Austria!AU67</f>
        <v>62.048166293494582</v>
      </c>
      <c r="D27" s="3">
        <f>Belgium!AU67</f>
        <v>62.294320992389025</v>
      </c>
      <c r="E27" s="3">
        <f>Britain!AX67</f>
        <v>55.456067590395563</v>
      </c>
      <c r="F27" s="3">
        <f>Canada!AW67</f>
        <v>61.161992600727046</v>
      </c>
      <c r="G27" s="3"/>
      <c r="H27" s="3">
        <v>32.4974832531434</v>
      </c>
      <c r="I27" s="3">
        <f>Denmark!AX67</f>
        <v>61.473865547066808</v>
      </c>
      <c r="J27" s="3">
        <f>Finland!AU67</f>
        <v>63.248047667176188</v>
      </c>
      <c r="K27" s="3">
        <f>France!AU67</f>
        <v>66.616165490572143</v>
      </c>
      <c r="L27" s="3">
        <f>Germany!AU67</f>
        <v>63.898905470514272</v>
      </c>
      <c r="M27" s="3">
        <f>Greece!AR67</f>
        <v>21.773780036195678</v>
      </c>
      <c r="N27" s="3">
        <f>Hungary!AR67</f>
        <v>6.1355440736930378</v>
      </c>
      <c r="O27" s="3">
        <v>20.327715083258649</v>
      </c>
      <c r="P27" s="3">
        <f>Ireland!AU67</f>
        <v>56.768774442097467</v>
      </c>
      <c r="Q27" s="3">
        <f>Israel!I67</f>
        <v>23.084322784807632</v>
      </c>
      <c r="R27" s="3">
        <f>Italy!AU67</f>
        <v>49.362346973538614</v>
      </c>
      <c r="S27" s="3">
        <f>Japan!AT67</f>
        <v>89.636135053525948</v>
      </c>
      <c r="T27" s="3">
        <f>Korea!AT67</f>
        <v>38.809884215029278</v>
      </c>
      <c r="U27" s="3">
        <f>Netherlands!AT67</f>
        <v>62.211031984908331</v>
      </c>
      <c r="V27" s="3">
        <f>'New Zealand'!BB67</f>
        <v>57.662122533984842</v>
      </c>
      <c r="W27" s="3">
        <f>Norway!AT67</f>
        <v>59.734628257919326</v>
      </c>
      <c r="X27" s="3">
        <f>Spain!AU67</f>
        <v>45.515527779482319</v>
      </c>
      <c r="Y27" s="3">
        <f>Sweden!AW67</f>
        <v>58.417157891245154</v>
      </c>
      <c r="Z27" s="3">
        <f>Swiss!AT67</f>
        <v>69.628815411043149</v>
      </c>
      <c r="AA27" s="69">
        <f>Turkey!AR67</f>
        <v>2.7375146427972962E-2</v>
      </c>
      <c r="AB27" s="3">
        <f>USA!AU75</f>
        <v>54.234829589984898</v>
      </c>
      <c r="AE27" s="4"/>
      <c r="AF27" s="4"/>
    </row>
    <row r="28" spans="1:32">
      <c r="A28">
        <v>1989</v>
      </c>
      <c r="B28" s="3">
        <f>Australia!BC68</f>
        <v>54.374633000587188</v>
      </c>
      <c r="C28" s="3">
        <f>Austria!AU68</f>
        <v>63.641778511048557</v>
      </c>
      <c r="D28" s="3">
        <f>Belgium!AU68</f>
        <v>64.229838561612681</v>
      </c>
      <c r="E28" s="3">
        <f>Britain!AX68</f>
        <v>58.360631813706746</v>
      </c>
      <c r="F28" s="3">
        <f>Canada!AW68</f>
        <v>64.210075119615254</v>
      </c>
      <c r="G28" s="3"/>
      <c r="H28" s="3">
        <v>34.465153753221514</v>
      </c>
      <c r="I28" s="3">
        <f>Denmark!AX68</f>
        <v>64.407845325975359</v>
      </c>
      <c r="J28" s="3">
        <f>Finland!AU68</f>
        <v>67.417935159110684</v>
      </c>
      <c r="K28" s="3">
        <f>France!AU68</f>
        <v>68.946600140252144</v>
      </c>
      <c r="L28" s="3">
        <f>Germany!AU68</f>
        <v>65.675654793432372</v>
      </c>
      <c r="M28" s="3">
        <f>Greece!AR68</f>
        <v>24.7471116333064</v>
      </c>
      <c r="N28" s="3">
        <f>Hungary!AR68</f>
        <v>7.1877377302067664</v>
      </c>
      <c r="O28" s="3">
        <v>20.990919006839498</v>
      </c>
      <c r="P28" s="3">
        <f>Ireland!AU68</f>
        <v>59.090909108279888</v>
      </c>
      <c r="Q28" s="3">
        <f>Israel!I68</f>
        <v>27.758770123935346</v>
      </c>
      <c r="R28" s="3">
        <f>Italy!AU68</f>
        <v>52.452349433456561</v>
      </c>
      <c r="S28" s="3">
        <f>Japan!AT68</f>
        <v>91.68548690561606</v>
      </c>
      <c r="T28" s="3">
        <f>Korea!AT68</f>
        <v>41.02210971110069</v>
      </c>
      <c r="U28" s="3">
        <f>Netherlands!AT68</f>
        <v>62.884255510746534</v>
      </c>
      <c r="V28" s="3">
        <f>'New Zealand'!BB68</f>
        <v>60.958084268436387</v>
      </c>
      <c r="W28" s="3">
        <f>Norway!AT68</f>
        <v>62.446602482641325</v>
      </c>
      <c r="X28" s="3">
        <f>Spain!AU68</f>
        <v>48.606685718688084</v>
      </c>
      <c r="Y28" s="3">
        <f>Sweden!AW68</f>
        <v>62.181136605533865</v>
      </c>
      <c r="Z28" s="3">
        <f>Swiss!AT68</f>
        <v>71.825788357334233</v>
      </c>
      <c r="AA28" s="69">
        <f>Turkey!AR68</f>
        <v>4.4696099639185367E-2</v>
      </c>
      <c r="AB28" s="3">
        <f>USA!AU76</f>
        <v>56.833271365591884</v>
      </c>
      <c r="AE28" s="4"/>
      <c r="AF28" s="4"/>
    </row>
    <row r="29" spans="1:32">
      <c r="A29">
        <v>1990</v>
      </c>
      <c r="B29" s="3">
        <f>Australia!BC69</f>
        <v>58.719906048150314</v>
      </c>
      <c r="C29" s="3">
        <f>Austria!AU69</f>
        <v>65.717691864602472</v>
      </c>
      <c r="D29" s="3">
        <f>Belgium!AU69</f>
        <v>66.444682507716635</v>
      </c>
      <c r="E29" s="3">
        <f>Britain!AX69</f>
        <v>62.429933666873673</v>
      </c>
      <c r="F29" s="3">
        <f>Canada!AW69</f>
        <v>67.279622992391182</v>
      </c>
      <c r="G29" s="3"/>
      <c r="H29" s="3">
        <v>36.802103443585288</v>
      </c>
      <c r="I29" s="3">
        <f>Denmark!AX69</f>
        <v>66.109242968106329</v>
      </c>
      <c r="J29" s="3">
        <f>Finland!AU69</f>
        <v>71.563842206660638</v>
      </c>
      <c r="K29" s="3">
        <f>France!AU69</f>
        <v>71.17452471946622</v>
      </c>
      <c r="L29" s="3">
        <f>Germany!AU69</f>
        <v>67.446579122240834</v>
      </c>
      <c r="M29" s="3">
        <f>Greece!AR69</f>
        <v>29.803810214186903</v>
      </c>
      <c r="N29" s="3">
        <f>Hungary!AR69</f>
        <v>9.2268694545417329</v>
      </c>
      <c r="O29" s="3">
        <v>22.874063374184864</v>
      </c>
      <c r="P29" s="3">
        <f>Ireland!AU69</f>
        <v>61.067193927042666</v>
      </c>
      <c r="Q29" s="3">
        <f>Israel!I69</f>
        <v>32.525878974728947</v>
      </c>
      <c r="R29" s="3">
        <f>Italy!AU69</f>
        <v>55.838992023165076</v>
      </c>
      <c r="S29" s="3">
        <f>Japan!AT69</f>
        <v>94.496026657188978</v>
      </c>
      <c r="T29" s="3">
        <f>Korea!AT69</f>
        <v>44.538962251225762</v>
      </c>
      <c r="U29" s="3">
        <f>Netherlands!AT69</f>
        <v>64.427491107967654</v>
      </c>
      <c r="V29" s="3">
        <f>'New Zealand'!BB69</f>
        <v>64.675575853115575</v>
      </c>
      <c r="W29" s="3">
        <f>Norway!AT69</f>
        <v>65.022654099517425</v>
      </c>
      <c r="X29" s="3">
        <f>Spain!AU69</f>
        <v>51.873940126730865</v>
      </c>
      <c r="Y29" s="3">
        <f>Sweden!AW69</f>
        <v>68.627175222314833</v>
      </c>
      <c r="Z29" s="3">
        <f>Swiss!AT69</f>
        <v>75.707240313264776</v>
      </c>
      <c r="AA29" s="69">
        <f>Turkey!AR69</f>
        <v>7.1649586399890108E-2</v>
      </c>
      <c r="AB29" s="3">
        <f>USA!AU77</f>
        <v>59.913189117267208</v>
      </c>
      <c r="AE29" s="4"/>
      <c r="AF29" s="4"/>
    </row>
    <row r="30" spans="1:32">
      <c r="A30">
        <v>1991</v>
      </c>
      <c r="B30" s="3">
        <f>Australia!BC70</f>
        <v>61.832061068702281</v>
      </c>
      <c r="C30" s="3">
        <f>Austria!AU70</f>
        <v>67.910971199491598</v>
      </c>
      <c r="D30" s="3">
        <f>Belgium!AU70</f>
        <v>68.581085693302327</v>
      </c>
      <c r="E30" s="3">
        <f>Britain!AX70</f>
        <v>67.132561440932093</v>
      </c>
      <c r="F30" s="3">
        <f>Canada!AW70</f>
        <v>71.064683081655843</v>
      </c>
      <c r="G30" s="3"/>
      <c r="H30" s="3">
        <v>39.576722560120146</v>
      </c>
      <c r="I30" s="3">
        <f>Denmark!AX70</f>
        <v>67.692660484334212</v>
      </c>
      <c r="J30" s="3">
        <f>Finland!AU70</f>
        <v>74.648397668028451</v>
      </c>
      <c r="K30" s="3">
        <f>France!AU70</f>
        <v>73.465372883170602</v>
      </c>
      <c r="L30" s="3">
        <f>Germany!AU70</f>
        <v>70.147872620144625</v>
      </c>
      <c r="M30" s="3">
        <f>Greece!AR70</f>
        <v>35.602394823743786</v>
      </c>
      <c r="N30" s="3">
        <f>Hungary!AR70</f>
        <v>12.439438417624585</v>
      </c>
      <c r="O30" s="3">
        <v>26.046752254966862</v>
      </c>
      <c r="P30" s="3">
        <f>Ireland!AU70</f>
        <v>62.99407152390021</v>
      </c>
      <c r="Q30" s="3">
        <f>Israel!I70</f>
        <v>38.707731640510772</v>
      </c>
      <c r="R30" s="3">
        <f>Italy!AU70</f>
        <v>59.328929024612897</v>
      </c>
      <c r="S30" s="3">
        <f>Japan!AT70</f>
        <v>97.582601403747134</v>
      </c>
      <c r="T30" s="3">
        <f>Korea!AT70</f>
        <v>48.696250366457051</v>
      </c>
      <c r="U30" s="3">
        <f>Netherlands!AT70</f>
        <v>66.462242064964229</v>
      </c>
      <c r="V30" s="3">
        <f>'New Zealand'!BB70</f>
        <v>66.358692392361306</v>
      </c>
      <c r="W30" s="3">
        <f>Norway!AT70</f>
        <v>67.249191032067074</v>
      </c>
      <c r="X30" s="3">
        <f>Spain!AU70</f>
        <v>54.952250744082946</v>
      </c>
      <c r="Y30" s="3">
        <f>Sweden!AW70</f>
        <v>75.108756628970653</v>
      </c>
      <c r="Z30" s="3">
        <f>Swiss!AT70</f>
        <v>80.143358297416341</v>
      </c>
      <c r="AA30" s="69">
        <f>Turkey!AR70</f>
        <v>0.1189229445875348</v>
      </c>
      <c r="AB30" s="3">
        <f>USA!AU78</f>
        <v>62.439027372673394</v>
      </c>
      <c r="AE30" s="4"/>
      <c r="AF30" s="4"/>
    </row>
    <row r="31" spans="1:32">
      <c r="A31">
        <v>1992</v>
      </c>
      <c r="B31" s="3">
        <f>Australia!BC71</f>
        <v>63.006459189665286</v>
      </c>
      <c r="C31" s="3">
        <f>Austria!AU71</f>
        <v>70.641567447637229</v>
      </c>
      <c r="D31" s="3">
        <f>Belgium!AU71</f>
        <v>70.246204278258006</v>
      </c>
      <c r="E31" s="3">
        <f>Britain!AX71</f>
        <v>69.993448441692522</v>
      </c>
      <c r="F31" s="3">
        <f>Canada!AW71</f>
        <v>72.123641375601011</v>
      </c>
      <c r="G31" s="3"/>
      <c r="H31" s="3">
        <v>42.864601033566288</v>
      </c>
      <c r="I31" s="3">
        <f>Denmark!AX71</f>
        <v>69.111527079003253</v>
      </c>
      <c r="J31" s="3">
        <f>Finland!AU71</f>
        <v>76.827625510282672</v>
      </c>
      <c r="K31" s="3">
        <f>France!AU71</f>
        <v>75.233384669747153</v>
      </c>
      <c r="L31" s="3">
        <f>Germany!AU71</f>
        <v>73.752308818134566</v>
      </c>
      <c r="M31" s="3">
        <f>Greece!AR71</f>
        <v>41.255011971585965</v>
      </c>
      <c r="N31" s="3">
        <f>Hungary!AR71</f>
        <v>15.382077139270288</v>
      </c>
      <c r="O31" s="3">
        <v>29.117096331277658</v>
      </c>
      <c r="P31" s="3">
        <f>Ireland!AU71</f>
        <v>64.920949302250435</v>
      </c>
      <c r="Q31" s="3">
        <f>Israel!I71</f>
        <v>43.33253938380556</v>
      </c>
      <c r="R31" s="3">
        <f>Italy!AU71</f>
        <v>62.455912438312659</v>
      </c>
      <c r="S31" s="3">
        <f>Japan!AT71</f>
        <v>99.255541908996747</v>
      </c>
      <c r="T31" s="3">
        <f>Korea!AT71</f>
        <v>51.721415806335024</v>
      </c>
      <c r="U31" s="3">
        <f>Netherlands!AT71</f>
        <v>68.578121375518435</v>
      </c>
      <c r="V31" s="3">
        <f>'New Zealand'!BB71</f>
        <v>67.03193915113647</v>
      </c>
      <c r="W31" s="3">
        <f>Norway!AT71</f>
        <v>68.828479104167059</v>
      </c>
      <c r="X31" s="3">
        <f>Spain!AU71</f>
        <v>58.20791387461388</v>
      </c>
      <c r="Y31" s="3">
        <f>Sweden!AW71</f>
        <v>76.892114160479238</v>
      </c>
      <c r="Z31" s="3">
        <f>Swiss!AT71</f>
        <v>83.378772119191282</v>
      </c>
      <c r="AA31" s="69">
        <f>Turkey!AR71</f>
        <v>0.20225950615964028</v>
      </c>
      <c r="AB31" s="3">
        <f>USA!AU79</f>
        <v>64.338182611609682</v>
      </c>
      <c r="AE31" s="4"/>
      <c r="AF31" s="4"/>
    </row>
    <row r="32" spans="1:32">
      <c r="A32">
        <v>1993</v>
      </c>
      <c r="B32" s="3">
        <f>Australia!BC72</f>
        <v>63.652378156194942</v>
      </c>
      <c r="C32" s="3">
        <f>Austria!AU72</f>
        <v>73.207118004381073</v>
      </c>
      <c r="D32" s="3">
        <f>Belgium!AU72</f>
        <v>72.181083992911454</v>
      </c>
      <c r="E32" s="3">
        <f>Britain!AX72</f>
        <v>71.747834226883541</v>
      </c>
      <c r="F32" s="3">
        <f>Canada!AW72</f>
        <v>73.468804264932643</v>
      </c>
      <c r="G32" s="3">
        <v>51.05</v>
      </c>
      <c r="H32" s="3">
        <v>46.686507548303268</v>
      </c>
      <c r="I32" s="3">
        <f>Denmark!AX72</f>
        <v>69.980854715749743</v>
      </c>
      <c r="J32" s="3">
        <f>Finland!AU72</f>
        <v>78.510652961628708</v>
      </c>
      <c r="K32" s="3">
        <f>France!AU72</f>
        <v>76.795013815677109</v>
      </c>
      <c r="L32" s="3">
        <f>Germany!AU72</f>
        <v>76.987059269589849</v>
      </c>
      <c r="M32" s="3">
        <f>Greece!AR72</f>
        <v>47.200383135343543</v>
      </c>
      <c r="N32" s="3">
        <f>Hungary!AR72</f>
        <v>18.8375438648211</v>
      </c>
      <c r="O32" s="3">
        <v>30.969537257707668</v>
      </c>
      <c r="P32" s="3">
        <f>Ireland!AU72</f>
        <v>65.859684156038213</v>
      </c>
      <c r="Q32" s="3">
        <f>Israel!I72</f>
        <v>48.074827300432709</v>
      </c>
      <c r="R32" s="3">
        <f>Italy!AU72</f>
        <v>65.345580124988047</v>
      </c>
      <c r="S32" s="3">
        <f>Japan!AT72</f>
        <v>100.51861135967174</v>
      </c>
      <c r="T32" s="3">
        <f>Korea!AT72</f>
        <v>54.204702695876485</v>
      </c>
      <c r="U32" s="3">
        <f>Netherlands!AT72</f>
        <v>70.350304844042725</v>
      </c>
      <c r="V32" s="3">
        <f>'New Zealand'!BB72</f>
        <v>67.895451294475322</v>
      </c>
      <c r="W32" s="3">
        <f>Norway!AT72</f>
        <v>70.401294510726586</v>
      </c>
      <c r="X32" s="3">
        <f>Spain!AU72</f>
        <v>60.867475369242982</v>
      </c>
      <c r="Y32" s="3">
        <f>Sweden!AW72</f>
        <v>80.527706341344185</v>
      </c>
      <c r="Z32" s="3">
        <f>Swiss!AT72</f>
        <v>86.124127417407124</v>
      </c>
      <c r="AA32" s="69">
        <f>Turkey!AR72</f>
        <v>0.33594060077153365</v>
      </c>
      <c r="AB32" s="3">
        <f>USA!AU80</f>
        <v>66.248801564261839</v>
      </c>
      <c r="AE32" s="4"/>
      <c r="AF32" s="4"/>
    </row>
    <row r="33" spans="1:42">
      <c r="A33">
        <v>1994</v>
      </c>
      <c r="B33" s="3">
        <f>Australia!BC73</f>
        <v>64.826776277157961</v>
      </c>
      <c r="C33" s="3">
        <f>Austria!AU73</f>
        <v>75.369222152020726</v>
      </c>
      <c r="D33" s="3">
        <f>Belgium!AU73</f>
        <v>73.897221746330729</v>
      </c>
      <c r="E33" s="3">
        <f>Britain!AX73</f>
        <v>73.167357952279019</v>
      </c>
      <c r="F33" s="3">
        <f>Canada!AW73</f>
        <v>73.590441347868989</v>
      </c>
      <c r="G33" s="3">
        <v>63.43</v>
      </c>
      <c r="H33" s="3">
        <v>51.292229809294199</v>
      </c>
      <c r="I33" s="3">
        <f>Denmark!AX73</f>
        <v>71.374883139007139</v>
      </c>
      <c r="J33" s="3">
        <f>Finland!AU73</f>
        <v>79.365286955294764</v>
      </c>
      <c r="K33" s="3">
        <f>France!AU73</f>
        <v>78.074586926926543</v>
      </c>
      <c r="L33" s="3">
        <f>Germany!AU73</f>
        <v>79.112752042564864</v>
      </c>
      <c r="M33" s="3">
        <f>Greece!AR73</f>
        <v>52.332990557787312</v>
      </c>
      <c r="N33" s="3">
        <f>Hungary!AR73</f>
        <v>22.391826711270635</v>
      </c>
      <c r="O33" s="3">
        <v>34.131991656977959</v>
      </c>
      <c r="P33" s="3">
        <f>Ireland!AU73</f>
        <v>67.41600842495798</v>
      </c>
      <c r="Q33" s="3">
        <f>Israel!I73</f>
        <v>54.012068247049889</v>
      </c>
      <c r="R33" s="3">
        <f>Italy!AU73</f>
        <v>67.993279132180163</v>
      </c>
      <c r="S33" s="3">
        <f>Japan!AT73</f>
        <v>101.21288154713685</v>
      </c>
      <c r="T33" s="3">
        <f>Korea!AT73</f>
        <v>57.60107017219417</v>
      </c>
      <c r="U33" s="3">
        <f>Netherlands!AT73</f>
        <v>72.321187628830899</v>
      </c>
      <c r="V33" s="3">
        <f>'New Zealand'!BB73</f>
        <v>69.080482206460786</v>
      </c>
      <c r="W33" s="3">
        <f>Norway!AT73</f>
        <v>71.385113176789062</v>
      </c>
      <c r="X33" s="3">
        <f>Spain!AU73</f>
        <v>63.739454239837137</v>
      </c>
      <c r="Y33" s="3">
        <f>Sweden!AW73</f>
        <v>82.265605372425142</v>
      </c>
      <c r="Z33" s="3">
        <f>Swiss!AT73</f>
        <v>86.858011432424917</v>
      </c>
      <c r="AA33" s="69">
        <f>Turkey!AR73</f>
        <v>0.68940050387330287</v>
      </c>
      <c r="AB33" s="3">
        <f>USA!AU81</f>
        <v>67.968358621648804</v>
      </c>
      <c r="AE33" s="4"/>
      <c r="AF33" s="4"/>
    </row>
    <row r="34" spans="1:42">
      <c r="A34">
        <v>1995</v>
      </c>
      <c r="B34" s="3">
        <f>Australia!BC74</f>
        <v>66.881972988843216</v>
      </c>
      <c r="C34" s="3">
        <f>Austria!AU74</f>
        <v>77.060028148859189</v>
      </c>
      <c r="D34" s="3">
        <f>Belgium!AU74</f>
        <v>74.982004141650378</v>
      </c>
      <c r="E34" s="3">
        <f>Britain!AX74</f>
        <v>75.111013695949495</v>
      </c>
      <c r="F34" s="3">
        <f>Canada!AW74</f>
        <v>75.171723315375459</v>
      </c>
      <c r="G34" s="3">
        <v>74.08</v>
      </c>
      <c r="H34" s="3">
        <v>56.147086296240751</v>
      </c>
      <c r="I34" s="3">
        <f>Denmark!AX74</f>
        <v>72.862053772835651</v>
      </c>
      <c r="J34" s="3">
        <f>Finland!AU74</f>
        <v>79.993253835918921</v>
      </c>
      <c r="K34" s="3">
        <f>France!AU74</f>
        <v>79.471110186271957</v>
      </c>
      <c r="L34" s="3">
        <f>Germany!AU74</f>
        <v>80.499074068324973</v>
      </c>
      <c r="M34" s="3">
        <f>Greece!AR74</f>
        <v>57.008688925791496</v>
      </c>
      <c r="N34" s="3">
        <f>Hungary!AR74</f>
        <v>28.729936264298662</v>
      </c>
      <c r="O34" s="3">
        <v>37.621949425892538</v>
      </c>
      <c r="P34" s="3">
        <f>Ireland!AU74</f>
        <v>69.120554107814527</v>
      </c>
      <c r="Q34" s="3">
        <f>Israel!I74</f>
        <v>59.436511192004687</v>
      </c>
      <c r="R34" s="3">
        <f>Italy!AU74</f>
        <v>71.553014906320527</v>
      </c>
      <c r="S34" s="3">
        <f>Japan!AT74</f>
        <v>101.08741107548218</v>
      </c>
      <c r="T34" s="3">
        <f>Korea!AT74</f>
        <v>60.182060652501953</v>
      </c>
      <c r="U34" s="3">
        <f>Netherlands!AT74</f>
        <v>73.712083173546105</v>
      </c>
      <c r="V34" s="3">
        <f>'New Zealand'!BB74</f>
        <v>71.674413555828892</v>
      </c>
      <c r="W34" s="3">
        <f>Norway!AT74</f>
        <v>73.132686421660978</v>
      </c>
      <c r="X34" s="3">
        <f>Spain!AU74</f>
        <v>66.718511401676807</v>
      </c>
      <c r="Y34" s="3">
        <f>Sweden!AW74</f>
        <v>84.285348560070176</v>
      </c>
      <c r="Z34" s="3">
        <f>Swiss!AT74</f>
        <v>88.421288002246499</v>
      </c>
      <c r="AA34" s="2">
        <f>Turkey!AR74</f>
        <v>1.3037481120314813</v>
      </c>
      <c r="AB34" s="3">
        <f>USA!AU82</f>
        <v>69.875156336395719</v>
      </c>
      <c r="AE34" s="4"/>
      <c r="AF34" s="4"/>
    </row>
    <row r="35" spans="1:42">
      <c r="A35">
        <v>1996</v>
      </c>
      <c r="B35" s="3">
        <f>Australia!BC75</f>
        <v>69.700528479154428</v>
      </c>
      <c r="C35" s="3">
        <f>Austria!AU75</f>
        <v>78.494095237102144</v>
      </c>
      <c r="D35" s="3">
        <f>Belgium!AU75</f>
        <v>76.536856473413053</v>
      </c>
      <c r="E35" s="3">
        <f>Britain!AX75</f>
        <v>76.974593807869837</v>
      </c>
      <c r="F35" s="3">
        <f>Canada!AW75</f>
        <v>76.352318533277654</v>
      </c>
      <c r="G35" s="3">
        <v>80.239999999999995</v>
      </c>
      <c r="H35" s="3">
        <v>61.098538456019966</v>
      </c>
      <c r="I35" s="3">
        <f>Denmark!AX75</f>
        <v>74.411319622207458</v>
      </c>
      <c r="J35" s="3">
        <f>Finland!AU75</f>
        <v>80.496569869182693</v>
      </c>
      <c r="K35" s="3">
        <f>France!AU75</f>
        <v>81.060257419956145</v>
      </c>
      <c r="L35" s="3">
        <f>Germany!AU75</f>
        <v>81.608131546514286</v>
      </c>
      <c r="M35" s="3">
        <f>Greece!AR75</f>
        <v>61.680293874073058</v>
      </c>
      <c r="N35" s="3">
        <f>Hungary!AR75</f>
        <v>35.472573625147795</v>
      </c>
      <c r="O35" s="3">
        <v>40.999327910776017</v>
      </c>
      <c r="P35" s="3">
        <f>Ireland!AU75</f>
        <v>70.306324816795041</v>
      </c>
      <c r="Q35" s="3">
        <f>Israel!I75</f>
        <v>66.138943452782158</v>
      </c>
      <c r="R35" s="3">
        <f>Italy!AU75</f>
        <v>74.420129903013802</v>
      </c>
      <c r="S35" s="3">
        <f>Japan!AT75</f>
        <v>101.22124625881261</v>
      </c>
      <c r="T35" s="3">
        <f>Korea!AT75</f>
        <v>63.145826131555104</v>
      </c>
      <c r="U35" s="3">
        <f>Netherlands!AT75</f>
        <v>75.171003043408575</v>
      </c>
      <c r="V35" s="3">
        <f>'New Zealand'!BB75</f>
        <v>73.31268566089237</v>
      </c>
      <c r="W35" s="3">
        <f>Norway!AT75</f>
        <v>74.045307752863152</v>
      </c>
      <c r="X35" s="3">
        <f>Spain!AU75</f>
        <v>69.092918474399582</v>
      </c>
      <c r="Y35" s="3">
        <f>Sweden!AW75</f>
        <v>84.734700724555452</v>
      </c>
      <c r="Z35" s="3">
        <f>Swiss!AT75</f>
        <v>89.138969908449994</v>
      </c>
      <c r="AA35" s="2">
        <f>Turkey!AR75</f>
        <v>2.3521198691255929</v>
      </c>
      <c r="AB35" s="3">
        <f>USA!AU83</f>
        <v>71.92716109154415</v>
      </c>
      <c r="AE35" s="4"/>
      <c r="AF35" s="4"/>
    </row>
    <row r="36" spans="1:42">
      <c r="A36">
        <v>1997</v>
      </c>
      <c r="B36" s="3">
        <f>Australia!BC76</f>
        <v>70.640046975924832</v>
      </c>
      <c r="C36" s="3">
        <f>Austria!AU76</f>
        <v>79.519214776902501</v>
      </c>
      <c r="D36" s="3">
        <f>Belgium!AU76</f>
        <v>77.782907876911366</v>
      </c>
      <c r="E36" s="3">
        <f>Britain!AX76</f>
        <v>78.343160519493111</v>
      </c>
      <c r="F36" s="3">
        <f>Canada!AW76</f>
        <v>77.59015453771012</v>
      </c>
      <c r="G36" s="3">
        <v>82.47</v>
      </c>
      <c r="H36" s="3">
        <v>66.260283670983384</v>
      </c>
      <c r="I36" s="3">
        <f>Denmark!AX76</f>
        <v>76.035098883267793</v>
      </c>
      <c r="J36" s="3">
        <f>Finland!AU76</f>
        <v>81.456537347917532</v>
      </c>
      <c r="K36" s="3">
        <f>France!AU76</f>
        <v>82.023376489696503</v>
      </c>
      <c r="L36" s="3">
        <f>Germany!AU76</f>
        <v>83.179296179520136</v>
      </c>
      <c r="M36" s="3">
        <f>Greece!AR76</f>
        <v>65.094916793350549</v>
      </c>
      <c r="N36" s="3">
        <f>Hungary!AR76</f>
        <v>41.96585660529</v>
      </c>
      <c r="O36" s="3">
        <v>43.936623744799455</v>
      </c>
      <c r="P36" s="3">
        <f>Ireland!AU76</f>
        <v>71.302701833719169</v>
      </c>
      <c r="Q36" s="3">
        <f>Israel!I76</f>
        <v>72.092209769399204</v>
      </c>
      <c r="R36" s="3">
        <f>Italy!AU76</f>
        <v>75.940612042270061</v>
      </c>
      <c r="S36" s="3">
        <f>Japan!AT76</f>
        <v>103.01129237606412</v>
      </c>
      <c r="T36" s="3">
        <f>Korea!AT76</f>
        <v>65.949147826628078</v>
      </c>
      <c r="U36" s="3">
        <f>Netherlands!AT76</f>
        <v>76.80685261204836</v>
      </c>
      <c r="V36" s="3">
        <f>'New Zealand'!BB76</f>
        <v>74.183017941842508</v>
      </c>
      <c r="W36" s="3">
        <f>Norway!AT76</f>
        <v>75.95469263074699</v>
      </c>
      <c r="X36" s="3">
        <f>Spain!AU76</f>
        <v>70.454793790006406</v>
      </c>
      <c r="Y36" s="3">
        <f>Sweden!AW76</f>
        <v>85.292602721800094</v>
      </c>
      <c r="Z36" s="3">
        <f>Swiss!AT76</f>
        <v>89.602665125019669</v>
      </c>
      <c r="AA36" s="2">
        <f>Turkey!AR76</f>
        <v>4.3671659074383253</v>
      </c>
      <c r="AB36" s="3">
        <f>USA!AU84</f>
        <v>73.608505769878093</v>
      </c>
      <c r="AE36" s="4" t="s">
        <v>2055</v>
      </c>
      <c r="AF36" s="135" t="s">
        <v>1859</v>
      </c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</row>
    <row r="37" spans="1:42">
      <c r="A37">
        <v>1998</v>
      </c>
      <c r="B37" s="3">
        <f>Australia!BC77</f>
        <v>70.640046975924832</v>
      </c>
      <c r="C37" s="3">
        <f>Austria!AU77</f>
        <v>80.252753212359337</v>
      </c>
      <c r="D37" s="3">
        <f>Belgium!AU77</f>
        <v>78.52027693162178</v>
      </c>
      <c r="E37" s="3">
        <f>Britain!AX77</f>
        <v>79.58797379934586</v>
      </c>
      <c r="F37" s="3">
        <f>Canada!AW77</f>
        <v>78.362907862566843</v>
      </c>
      <c r="G37" s="3">
        <v>81.84</v>
      </c>
      <c r="H37" s="3">
        <v>73.337927606144731</v>
      </c>
      <c r="I37" s="3">
        <f>Denmark!AX77</f>
        <v>77.43844144615781</v>
      </c>
      <c r="J37" s="3">
        <f>Finland!AU77</f>
        <v>82.596497965705808</v>
      </c>
      <c r="K37" s="3">
        <f>France!AU77</f>
        <v>82.546212766935298</v>
      </c>
      <c r="L37" s="3">
        <f>Germany!AU77</f>
        <v>84.011089141315338</v>
      </c>
      <c r="M37" s="3">
        <f>Greece!AR77</f>
        <v>68.197487642233597</v>
      </c>
      <c r="N37" s="3">
        <f>Hungary!AR77</f>
        <v>47.905615820903868</v>
      </c>
      <c r="O37" s="3">
        <v>49.74980852930549</v>
      </c>
      <c r="P37" s="3">
        <f>Ireland!AU77</f>
        <v>73.040185394219705</v>
      </c>
      <c r="Q37" s="3">
        <f>Israel!I77</f>
        <v>76.010308881866536</v>
      </c>
      <c r="R37" s="3">
        <f>Italy!AU77</f>
        <v>77.425317835435038</v>
      </c>
      <c r="S37" s="3">
        <f>Japan!AT77</f>
        <v>103.69719780486959</v>
      </c>
      <c r="T37" s="3">
        <f>Korea!AT77</f>
        <v>70.903782658953261</v>
      </c>
      <c r="U37" s="3">
        <f>Netherlands!AT77</f>
        <v>78.331823484056585</v>
      </c>
      <c r="V37" s="3">
        <f>'New Zealand'!BB77</f>
        <v>75.121611158049873</v>
      </c>
      <c r="W37" s="3">
        <f>Norway!AT77</f>
        <v>77.676375118187437</v>
      </c>
      <c r="X37" s="3">
        <f>Spain!AU77</f>
        <v>71.747167208934627</v>
      </c>
      <c r="Y37" s="3">
        <f>Sweden!AW77</f>
        <v>85.064758289249085</v>
      </c>
      <c r="Z37" s="3">
        <f>Swiss!AT77</f>
        <v>89.618750272893323</v>
      </c>
      <c r="AA37" s="2">
        <f>Turkey!AR77</f>
        <v>8.0635932148006937</v>
      </c>
      <c r="AB37" s="3">
        <f>USA!AU85</f>
        <v>74.74723466565878</v>
      </c>
      <c r="AE37" s="4" t="s">
        <v>226</v>
      </c>
      <c r="AF37" t="s">
        <v>1857</v>
      </c>
    </row>
    <row r="38" spans="1:42">
      <c r="A38">
        <v>1999</v>
      </c>
      <c r="B38" s="3">
        <f>Australia!BC78</f>
        <v>71.520845566647083</v>
      </c>
      <c r="C38" s="3">
        <f>Austria!AU78</f>
        <v>80.709380544015971</v>
      </c>
      <c r="D38" s="3">
        <f>Belgium!AU78</f>
        <v>79.400575608329873</v>
      </c>
      <c r="E38" s="3">
        <f>Britain!AX78</f>
        <v>80.6507971726205</v>
      </c>
      <c r="F38" s="3">
        <f>Canada!AW78</f>
        <v>79.722381284217036</v>
      </c>
      <c r="G38" s="3">
        <v>80.69</v>
      </c>
      <c r="H38" s="3">
        <v>74.881284425342699</v>
      </c>
      <c r="I38" s="3">
        <f>Denmark!AX78</f>
        <v>79.372694964677876</v>
      </c>
      <c r="J38" s="3">
        <f>Finland!AU78</f>
        <v>83.556465025767494</v>
      </c>
      <c r="K38" s="3">
        <f>France!AU78</f>
        <v>82.993375341946887</v>
      </c>
      <c r="L38" s="3">
        <f>Germany!AU78</f>
        <v>84.473196337691604</v>
      </c>
      <c r="M38" s="3">
        <f>Greece!AR78</f>
        <v>69.995608516454027</v>
      </c>
      <c r="N38" s="3">
        <f>Hungary!AR78</f>
        <v>52.695096652301331</v>
      </c>
      <c r="O38" s="3">
        <v>52.073035547406739</v>
      </c>
      <c r="P38" s="3">
        <f>Ireland!AU78</f>
        <v>74.234190834503508</v>
      </c>
      <c r="Q38" s="3">
        <f>Israel!I78</f>
        <v>79.962844735166925</v>
      </c>
      <c r="R38" s="3">
        <f>Italy!AU78</f>
        <v>78.713255478994014</v>
      </c>
      <c r="S38" s="3">
        <f>Japan!AT78</f>
        <v>103.35424504003504</v>
      </c>
      <c r="T38" s="3">
        <f>Korea!AT78</f>
        <v>71.480503604245129</v>
      </c>
      <c r="U38" s="3">
        <f>Netherlands!AT78</f>
        <v>80.049660739336048</v>
      </c>
      <c r="V38" s="3">
        <f>'New Zealand'!BB78</f>
        <v>75.035772472479181</v>
      </c>
      <c r="W38" s="3">
        <f>Norway!AT78</f>
        <v>79.488672919856171</v>
      </c>
      <c r="X38" s="3">
        <f>Spain!AU78</f>
        <v>73.404774299187892</v>
      </c>
      <c r="Y38" s="3">
        <f>Sweden!AW78</f>
        <v>85.457907016390493</v>
      </c>
      <c r="Z38" s="3">
        <f>Swiss!AT78</f>
        <v>90.341479160950328</v>
      </c>
      <c r="AA38" s="3">
        <f>Turkey!AR78</f>
        <v>13.29424293069289</v>
      </c>
      <c r="AB38" s="3">
        <f>USA!AU86</f>
        <v>76.386545727034331</v>
      </c>
      <c r="AE38" s="4"/>
      <c r="AF38" s="4"/>
    </row>
    <row r="39" spans="1:42">
      <c r="A39">
        <v>2000</v>
      </c>
      <c r="B39" s="3">
        <f>Australia!BC79</f>
        <v>73.223722842043443</v>
      </c>
      <c r="C39" s="3">
        <f>Austria!AU79</f>
        <v>82.601908981390821</v>
      </c>
      <c r="D39" s="3">
        <f>Belgium!AU79</f>
        <v>81.421377425976317</v>
      </c>
      <c r="E39" s="3">
        <f>Britain!AX79</f>
        <v>81.284123203673161</v>
      </c>
      <c r="F39" s="3">
        <f>Canada!AW79</f>
        <v>81.890383609812545</v>
      </c>
      <c r="G39" s="3">
        <v>80.97</v>
      </c>
      <c r="H39" s="3">
        <v>77.825097338437757</v>
      </c>
      <c r="I39" s="3">
        <f>Denmark!AX79</f>
        <v>81.677104161867518</v>
      </c>
      <c r="J39" s="3">
        <f>Finland!AU79</f>
        <v>86.098332906057777</v>
      </c>
      <c r="K39" s="3">
        <f>France!AU79</f>
        <v>84.3967775502379</v>
      </c>
      <c r="L39" s="3">
        <f>Germany!AU79</f>
        <v>85.674675503841854</v>
      </c>
      <c r="M39" s="3">
        <f>Greece!AR79</f>
        <v>72.201294033034571</v>
      </c>
      <c r="N39" s="3">
        <f>Hungary!AR79</f>
        <v>57.861117363314072</v>
      </c>
      <c r="O39" s="3">
        <v>54.160869519688795</v>
      </c>
      <c r="P39" s="3">
        <f>Ireland!AU79</f>
        <v>78.35968546764974</v>
      </c>
      <c r="Q39" s="3">
        <f>Israel!I79</f>
        <v>80.862299774326118</v>
      </c>
      <c r="R39" s="3">
        <f>Italy!AU79</f>
        <v>80.71075153056124</v>
      </c>
      <c r="S39" s="3">
        <f>Japan!AT79</f>
        <v>102.61815135256464</v>
      </c>
      <c r="T39" s="3">
        <f>Korea!AT79</f>
        <v>73.100775768008745</v>
      </c>
      <c r="U39" s="3">
        <f>Netherlands!AT79</f>
        <v>81.904144012799591</v>
      </c>
      <c r="V39" s="3">
        <f>'New Zealand'!BB79</f>
        <v>76.998132755984372</v>
      </c>
      <c r="W39" s="3">
        <f>Norway!AT79</f>
        <v>81.941747418460523</v>
      </c>
      <c r="X39" s="3">
        <f>Spain!AU79</f>
        <v>75.925139703562152</v>
      </c>
      <c r="Y39" s="3">
        <f>Sweden!AW79</f>
        <v>86.226296488938132</v>
      </c>
      <c r="Z39" s="3">
        <f>Swiss!AT79</f>
        <v>91.749477312702695</v>
      </c>
      <c r="AA39" s="3">
        <f>Turkey!AR79</f>
        <v>20.594826954206027</v>
      </c>
      <c r="AB39" s="3">
        <f>USA!AU87</f>
        <v>78.958238837304165</v>
      </c>
      <c r="AE39" s="4"/>
      <c r="AF39" s="4"/>
    </row>
    <row r="40" spans="1:42">
      <c r="A40">
        <v>2001</v>
      </c>
      <c r="B40" s="3">
        <f>Australia!BC80</f>
        <v>77.627715795654723</v>
      </c>
      <c r="C40" s="3">
        <f>Austria!AU80</f>
        <v>84.790859569397682</v>
      </c>
      <c r="D40" s="3">
        <f>Belgium!AU80</f>
        <v>83.433383526190937</v>
      </c>
      <c r="E40" s="3">
        <f>Britain!AX80</f>
        <v>82.288709618141212</v>
      </c>
      <c r="F40" s="3">
        <f>Canada!AW80</f>
        <v>83.958214064420645</v>
      </c>
      <c r="G40" s="3">
        <v>81.55</v>
      </c>
      <c r="H40" s="3">
        <v>81.48747191080443</v>
      </c>
      <c r="I40" s="3">
        <f>Denmark!AX80</f>
        <v>83.596516109671413</v>
      </c>
      <c r="J40" s="3">
        <f>Finland!AU80</f>
        <v>88.318327622024057</v>
      </c>
      <c r="K40" s="3">
        <f>France!AU80</f>
        <v>85.77266276799287</v>
      </c>
      <c r="L40" s="3">
        <f>Germany!AU80</f>
        <v>87.338261801944199</v>
      </c>
      <c r="M40" s="3">
        <f>Greece!AR80</f>
        <v>74.63734114526919</v>
      </c>
      <c r="N40" s="3">
        <f>Hungary!AR80</f>
        <v>63.136204918593258</v>
      </c>
      <c r="O40" s="3">
        <v>56.156593169662983</v>
      </c>
      <c r="P40" s="3">
        <f>Ireland!AU80</f>
        <v>82.180502163858634</v>
      </c>
      <c r="Q40" s="3">
        <f>Israel!I80</f>
        <v>81.751784967652057</v>
      </c>
      <c r="R40" s="3">
        <f>Italy!AU80</f>
        <v>82.958679940534921</v>
      </c>
      <c r="S40" s="3">
        <f>Japan!AT80</f>
        <v>101.84023413784254</v>
      </c>
      <c r="T40" s="3">
        <f>Korea!AT80</f>
        <v>76.072352274296364</v>
      </c>
      <c r="U40" s="3">
        <f>Netherlands!AT80</f>
        <v>85.313270503577627</v>
      </c>
      <c r="V40" s="3">
        <f>'New Zealand'!BB80</f>
        <v>79.019965895498885</v>
      </c>
      <c r="W40" s="3">
        <f>Norway!AT80</f>
        <v>84.414239677880715</v>
      </c>
      <c r="X40" s="3">
        <f>Spain!AU80</f>
        <v>78.65072542393672</v>
      </c>
      <c r="Y40" s="3">
        <f>Sweden!AW80</f>
        <v>88.300864967417468</v>
      </c>
      <c r="Z40" s="3">
        <f>Swiss!AT80</f>
        <v>92.656897167475492</v>
      </c>
      <c r="AA40" s="3">
        <f>Turkey!AR80</f>
        <v>31.798449887982624</v>
      </c>
      <c r="AB40" s="3">
        <f>USA!AU88</f>
        <v>81.182199298191293</v>
      </c>
      <c r="AE40" s="4"/>
      <c r="AF40" s="4"/>
    </row>
    <row r="41" spans="1:42">
      <c r="A41">
        <v>2002</v>
      </c>
      <c r="B41" s="3">
        <f>Australia!BC81</f>
        <v>79.859072225484425</v>
      </c>
      <c r="C41" s="3">
        <f>Austria!AU81</f>
        <v>86.325878526789623</v>
      </c>
      <c r="D41" s="3">
        <f>Belgium!AU81</f>
        <v>84.804039665766737</v>
      </c>
      <c r="E41" s="3">
        <f>Britain!AX81</f>
        <v>83.32241380526753</v>
      </c>
      <c r="F41" s="3">
        <f>Canada!AW81</f>
        <v>85.854321333358683</v>
      </c>
      <c r="G41" s="3">
        <v>80.959999999999994</v>
      </c>
      <c r="H41" s="3">
        <v>82.941914333478991</v>
      </c>
      <c r="I41" s="3">
        <f>Denmark!AX81</f>
        <v>85.624830919517777</v>
      </c>
      <c r="J41" s="3">
        <f>Finland!AU81</f>
        <v>89.706003732470094</v>
      </c>
      <c r="K41" s="3">
        <f>France!AU81</f>
        <v>87.416844944678914</v>
      </c>
      <c r="L41" s="3">
        <f>Germany!AU81</f>
        <v>88.632161556270262</v>
      </c>
      <c r="M41" s="3">
        <f>Greece!AR81</f>
        <v>77.346201188979379</v>
      </c>
      <c r="N41" s="3">
        <f>Hungary!AR81</f>
        <v>66.460608957755227</v>
      </c>
      <c r="O41" s="3">
        <v>58.623102911661611</v>
      </c>
      <c r="P41" s="3">
        <f>Ireland!AU81</f>
        <v>85.993084121036048</v>
      </c>
      <c r="Q41" s="3">
        <f>Israel!I81</f>
        <v>86.401367390946632</v>
      </c>
      <c r="R41" s="3">
        <f>Italy!AU81</f>
        <v>85.003876868844912</v>
      </c>
      <c r="S41" s="3">
        <f>Japan!AT81</f>
        <v>100.92848174117982</v>
      </c>
      <c r="T41" s="3">
        <f>Korea!AT81</f>
        <v>78.173988696831429</v>
      </c>
      <c r="U41" s="3">
        <f>Netherlands!AT81</f>
        <v>88.117249821360843</v>
      </c>
      <c r="V41" s="3">
        <f>'New Zealand'!BB81</f>
        <v>81.135402290690351</v>
      </c>
      <c r="W41" s="3">
        <f>Norway!AT81</f>
        <v>85.501618329721751</v>
      </c>
      <c r="X41" s="3">
        <f>Spain!AU81</f>
        <v>81.062427223930086</v>
      </c>
      <c r="Y41" s="3">
        <f>Sweden!AW81</f>
        <v>90.206823243583472</v>
      </c>
      <c r="Z41" s="3">
        <f>Swiss!AT81</f>
        <v>93.252398783353584</v>
      </c>
      <c r="AA41" s="3">
        <f>Turkey!AR81</f>
        <v>46.096343053755</v>
      </c>
      <c r="AB41" s="3">
        <f>USA!AU89</f>
        <v>82.477598948089508</v>
      </c>
      <c r="AE41" s="4"/>
      <c r="AF41" s="4"/>
    </row>
    <row r="42" spans="1:42">
      <c r="A42">
        <v>2003</v>
      </c>
      <c r="B42" s="3">
        <f>Australia!BC82</f>
        <v>82.325308279506743</v>
      </c>
      <c r="C42" s="3">
        <f>Austria!AU82</f>
        <v>87.496072426194658</v>
      </c>
      <c r="D42" s="3">
        <f>Belgium!AU82</f>
        <v>86.152707141944902</v>
      </c>
      <c r="E42" s="3">
        <f>Britain!AX82</f>
        <v>84.458033313950565</v>
      </c>
      <c r="F42" s="3">
        <f>Canada!AW82</f>
        <v>88.222666875561814</v>
      </c>
      <c r="G42" s="3">
        <v>81.87</v>
      </c>
      <c r="H42" s="3">
        <v>83.031408448969131</v>
      </c>
      <c r="I42" s="3">
        <f>Denmark!AX82</f>
        <v>87.414920759687405</v>
      </c>
      <c r="J42" s="3">
        <f>Finland!AU82</f>
        <v>90.49311874603022</v>
      </c>
      <c r="K42" s="3">
        <f>France!AU82</f>
        <v>89.26053089302745</v>
      </c>
      <c r="L42" s="3">
        <f>Germany!AU82</f>
        <v>89.556376079863128</v>
      </c>
      <c r="M42" s="3">
        <f>Greece!AR82</f>
        <v>80.0770256147201</v>
      </c>
      <c r="N42" s="3">
        <f>Hungary!AR82</f>
        <v>69.558349239579712</v>
      </c>
      <c r="O42" s="3">
        <v>60.854219607795535</v>
      </c>
      <c r="P42" s="3">
        <f>Ireland!AU82</f>
        <v>88.990449601919622</v>
      </c>
      <c r="Q42" s="3">
        <f>Israel!I82</f>
        <v>87.020577316774805</v>
      </c>
      <c r="R42" s="3">
        <f>Italy!AU82</f>
        <v>87.27565563045215</v>
      </c>
      <c r="S42" s="3">
        <f>Japan!AT82</f>
        <v>100.67754073381468</v>
      </c>
      <c r="T42" s="3">
        <f>Korea!AT82</f>
        <v>80.921619908911723</v>
      </c>
      <c r="U42" s="3">
        <f>Netherlands!AT82</f>
        <v>89.978761089564514</v>
      </c>
      <c r="V42" s="3">
        <f>'New Zealand'!BB82</f>
        <v>82.558173232763338</v>
      </c>
      <c r="W42" s="3">
        <f>Norway!AT82</f>
        <v>87.618122824807131</v>
      </c>
      <c r="X42" s="3">
        <f>Spain!AU82</f>
        <v>83.526022200293539</v>
      </c>
      <c r="Y42" s="3">
        <f>Sweden!AW82</f>
        <v>91.943895445714688</v>
      </c>
      <c r="Z42" s="3">
        <f>Swiss!AT82</f>
        <v>93.847641340609172</v>
      </c>
      <c r="AA42" s="3">
        <f>Turkey!AR82</f>
        <v>56.05427790413659</v>
      </c>
      <c r="AB42" s="3">
        <f>USA!AU90</f>
        <v>84.372932949120482</v>
      </c>
      <c r="AE42" s="4"/>
      <c r="AF42" s="4"/>
    </row>
    <row r="43" spans="1:42">
      <c r="A43">
        <v>2004</v>
      </c>
      <c r="B43" s="3">
        <f>Australia!BC83</f>
        <v>84.263065179095705</v>
      </c>
      <c r="C43" s="3">
        <f>Austria!AU83</f>
        <v>89.299547595768459</v>
      </c>
      <c r="D43" s="3">
        <f>Belgium!AU83</f>
        <v>87.945554454366558</v>
      </c>
      <c r="E43" s="3">
        <f>Britain!AX83</f>
        <v>85.593652651568618</v>
      </c>
      <c r="F43" s="3">
        <f>Canada!AW83</f>
        <v>89.861190296148209</v>
      </c>
      <c r="G43" s="3">
        <v>85</v>
      </c>
      <c r="H43" s="3">
        <v>85.378763010161762</v>
      </c>
      <c r="I43" s="3">
        <f>Denmark!AX83</f>
        <v>88.429078075119037</v>
      </c>
      <c r="J43" s="3">
        <f>Finland!AU83</f>
        <v>90.662452546593826</v>
      </c>
      <c r="K43" s="3">
        <f>France!AU83</f>
        <v>91.166131651929973</v>
      </c>
      <c r="L43" s="3">
        <f>Germany!AU83</f>
        <v>91.035119319364938</v>
      </c>
      <c r="M43" s="3">
        <f>Greece!AR83</f>
        <v>82.398336870211907</v>
      </c>
      <c r="N43" s="3">
        <f>Hungary!AR83</f>
        <v>74.24960567976882</v>
      </c>
      <c r="O43" s="3">
        <v>63.146743185564112</v>
      </c>
      <c r="P43" s="3">
        <f>Ireland!AU83</f>
        <v>90.95026491579479</v>
      </c>
      <c r="Q43" s="3">
        <f>Israel!I83</f>
        <v>86.660571272611151</v>
      </c>
      <c r="R43" s="3">
        <f>Italy!AU83</f>
        <v>89.201598942485376</v>
      </c>
      <c r="S43" s="3">
        <f>Japan!AT83</f>
        <v>100.66917603296615</v>
      </c>
      <c r="T43" s="3">
        <f>Korea!AT83</f>
        <v>83.82428974407118</v>
      </c>
      <c r="U43" s="3">
        <f>Netherlands!AT83</f>
        <v>91.093013077517142</v>
      </c>
      <c r="V43" s="3">
        <f>'New Zealand'!BB83</f>
        <v>84.448960969644972</v>
      </c>
      <c r="W43" s="3">
        <f>Norway!AT83</f>
        <v>88.02588985803898</v>
      </c>
      <c r="X43" s="3">
        <f>Spain!AU83</f>
        <v>86.064518338677743</v>
      </c>
      <c r="Y43" s="3">
        <f>Sweden!AW83</f>
        <v>92.287452821549351</v>
      </c>
      <c r="Z43" s="3">
        <f>Swiss!AT83</f>
        <v>94.601111675496654</v>
      </c>
      <c r="AA43" s="3">
        <f>Turkey!AR83</f>
        <v>60.873971580542367</v>
      </c>
      <c r="AB43" s="3">
        <f>USA!AU91</f>
        <v>86.623642075344748</v>
      </c>
      <c r="AE43" s="4"/>
      <c r="AF43" s="4"/>
    </row>
    <row r="44" spans="1:42">
      <c r="A44">
        <v>2005</v>
      </c>
      <c r="B44" s="3">
        <f>Australia!BC84</f>
        <v>86.318261890780974</v>
      </c>
      <c r="C44" s="3">
        <f>Austria!AU84</f>
        <v>91.35266742837085</v>
      </c>
      <c r="D44" s="3">
        <f>Belgium!AU84</f>
        <v>90.406871736136651</v>
      </c>
      <c r="E44" s="3">
        <f>Britain!AX84</f>
        <v>87.348038359998966</v>
      </c>
      <c r="F44" s="3">
        <f>Canada!AW84</f>
        <v>91.850314471172396</v>
      </c>
      <c r="G44" s="3">
        <v>86.51</v>
      </c>
      <c r="H44" s="3">
        <v>86.955091345592933</v>
      </c>
      <c r="I44" s="3">
        <f>Denmark!AX84</f>
        <v>90.028587660795694</v>
      </c>
      <c r="J44" s="3">
        <f>Finland!AU84</f>
        <v>91.228069477245697</v>
      </c>
      <c r="K44" s="3">
        <f>France!AU84</f>
        <v>92.748399181283759</v>
      </c>
      <c r="L44" s="3">
        <f>Germany!AU84</f>
        <v>92.421441261461538</v>
      </c>
      <c r="M44" s="3">
        <f>Greece!AR84</f>
        <v>85.31941806304684</v>
      </c>
      <c r="N44" s="3">
        <f>Hungary!AR84</f>
        <v>76.894018008486754</v>
      </c>
      <c r="O44" s="3">
        <v>65.828177013190597</v>
      </c>
      <c r="P44" s="3">
        <f>Ireland!AU84</f>
        <v>93.140646521338709</v>
      </c>
      <c r="Q44" s="3">
        <f>Israel!I84</f>
        <v>87.812589569268198</v>
      </c>
      <c r="R44" s="3">
        <f>Italy!AU84</f>
        <v>90.972512934194611</v>
      </c>
      <c r="S44" s="3">
        <f>Japan!AT84</f>
        <v>100.39314085027623</v>
      </c>
      <c r="T44" s="3">
        <f>Korea!AT84</f>
        <v>86.132644711529196</v>
      </c>
      <c r="U44" s="3">
        <f>Netherlands!AT84</f>
        <v>92.617983901775361</v>
      </c>
      <c r="V44" s="3">
        <f>'New Zealand'!BB84</f>
        <v>87.0136936485749</v>
      </c>
      <c r="W44" s="3">
        <f>Norway!AT84</f>
        <v>89.36569583695335</v>
      </c>
      <c r="X44" s="3">
        <f>Spain!AU84</f>
        <v>88.964165361511206</v>
      </c>
      <c r="Y44" s="3">
        <f>Sweden!AW84</f>
        <v>92.705672702087853</v>
      </c>
      <c r="Z44" s="3">
        <f>Swiss!AT84</f>
        <v>95.709809270011078</v>
      </c>
      <c r="AA44" s="3">
        <f>Turkey!AR84</f>
        <v>65.852951114469462</v>
      </c>
      <c r="AB44" s="3">
        <f>USA!AU92</f>
        <v>89.539246597092017</v>
      </c>
      <c r="AE44" s="4"/>
      <c r="AF44" s="4"/>
    </row>
    <row r="45" spans="1:42">
      <c r="A45">
        <v>2006</v>
      </c>
      <c r="B45" s="3">
        <f>Australia!BC85</f>
        <v>89.078097475044032</v>
      </c>
      <c r="C45" s="3">
        <f>Austria!AU85</f>
        <v>92.669559065104522</v>
      </c>
      <c r="D45" s="3">
        <f>Belgium!AU85</f>
        <v>92.026005468876519</v>
      </c>
      <c r="E45" s="3">
        <f>Britain!AX85</f>
        <v>89.386329292580285</v>
      </c>
      <c r="F45" s="3">
        <f>Canada!AW85</f>
        <v>93.689180729463885</v>
      </c>
      <c r="G45" s="3">
        <v>87.94</v>
      </c>
      <c r="H45" s="3">
        <v>89.153458132333881</v>
      </c>
      <c r="I45" s="3">
        <f>Denmark!AX85</f>
        <v>91.730193688453724</v>
      </c>
      <c r="J45" s="3">
        <f>Finland!AU85</f>
        <v>92.657309536482785</v>
      </c>
      <c r="K45" s="3">
        <f>France!AU85</f>
        <v>94.310028092882817</v>
      </c>
      <c r="L45" s="3">
        <f>Germany!AU85</f>
        <v>93.900184321644929</v>
      </c>
      <c r="M45" s="3">
        <f>Greece!AR85</f>
        <v>88.046180591856057</v>
      </c>
      <c r="N45" s="3">
        <f>Hungary!AR85</f>
        <v>79.916203590718993</v>
      </c>
      <c r="O45" s="3">
        <v>69.873662369148491</v>
      </c>
      <c r="P45" s="3">
        <f>Ireland!AU85</f>
        <v>96.81324182368887</v>
      </c>
      <c r="Q45" s="3">
        <f>Israel!I85</f>
        <v>89.663018849252808</v>
      </c>
      <c r="R45" s="3">
        <f>Italy!AU85</f>
        <v>92.874605352803314</v>
      </c>
      <c r="S45" s="3">
        <f>Japan!AT85</f>
        <v>100.63571718235968</v>
      </c>
      <c r="T45" s="3">
        <f>Korea!AT85</f>
        <v>88.027562895182839</v>
      </c>
      <c r="U45" s="3">
        <f>Netherlands!AT85</f>
        <v>93.699440569343949</v>
      </c>
      <c r="V45" s="3">
        <f>'New Zealand'!BB85</f>
        <v>89.942055975171797</v>
      </c>
      <c r="W45" s="3">
        <f>Norway!AT85</f>
        <v>91.44983791241485</v>
      </c>
      <c r="X45" s="3">
        <f>Spain!AU85</f>
        <v>92.091738849386246</v>
      </c>
      <c r="Y45" s="3">
        <f>Sweden!AW85</f>
        <v>93.966669168032567</v>
      </c>
      <c r="Z45" s="3">
        <f>Swiss!AT85</f>
        <v>96.723859484717309</v>
      </c>
      <c r="AA45" s="3">
        <f>Turkey!AR85</f>
        <v>72.173018197066796</v>
      </c>
      <c r="AB45" s="3">
        <f>USA!AU93</f>
        <v>92.424281215596821</v>
      </c>
      <c r="AE45" s="4"/>
      <c r="AF45" s="4"/>
    </row>
    <row r="46" spans="1:42">
      <c r="A46">
        <v>2007</v>
      </c>
      <c r="B46" s="3">
        <f>Australia!BC86</f>
        <v>91.661773341162643</v>
      </c>
      <c r="C46" s="3">
        <f>Austria!AU86</f>
        <v>94.679150348384397</v>
      </c>
      <c r="D46" s="3">
        <f>Belgium!AU86</f>
        <v>93.703776667322288</v>
      </c>
      <c r="E46" s="3">
        <f>Britain!AX86</f>
        <v>91.461018174539618</v>
      </c>
      <c r="F46" s="3">
        <f>Canada!AW86</f>
        <v>95.692615179913815</v>
      </c>
      <c r="G46" s="3">
        <v>92.17</v>
      </c>
      <c r="H46" s="3">
        <v>91.76320799084624</v>
      </c>
      <c r="I46" s="3">
        <f>Denmark!AX86</f>
        <v>93.302477644633868</v>
      </c>
      <c r="J46" s="3">
        <f>Finland!AU86</f>
        <v>94.983625103530017</v>
      </c>
      <c r="K46" s="3">
        <f>France!AU86</f>
        <v>95.713431100325693</v>
      </c>
      <c r="L46" s="3">
        <f>Germany!AU86</f>
        <v>96.025877914281466</v>
      </c>
      <c r="M46" s="3">
        <f>Greece!AR86</f>
        <v>90.595118400452094</v>
      </c>
      <c r="N46" s="3">
        <f>Hungary!AR86</f>
        <v>86.276530448185156</v>
      </c>
      <c r="O46" s="3">
        <v>74.324612388374277</v>
      </c>
      <c r="P46" s="3">
        <f>Ireland!AU86</f>
        <v>101.57279378087343</v>
      </c>
      <c r="Q46" s="3">
        <f>Israel!I86</f>
        <v>90.103862092582446</v>
      </c>
      <c r="R46" s="3">
        <f>Italy!AU86</f>
        <v>94.573967299293585</v>
      </c>
      <c r="S46" s="3">
        <f>Japan!AT86</f>
        <v>100.69427009187862</v>
      </c>
      <c r="T46" s="3">
        <f>Korea!AT86</f>
        <v>90.267011383780783</v>
      </c>
      <c r="U46" s="3">
        <f>Netherlands!AT86</f>
        <v>95.211918199126188</v>
      </c>
      <c r="V46" s="3">
        <f>'New Zealand'!BB86</f>
        <v>92.079207842281917</v>
      </c>
      <c r="W46" s="3">
        <f>Norway!AT86</f>
        <v>92.116504578751062</v>
      </c>
      <c r="X46" s="3">
        <f>Spain!AU86</f>
        <v>94.657708466377073</v>
      </c>
      <c r="Y46" s="3">
        <f>Sweden!AW86</f>
        <v>96.045370693700349</v>
      </c>
      <c r="Z46" s="3">
        <f>Swiss!AT86</f>
        <v>97.432216186034339</v>
      </c>
      <c r="AA46" s="3">
        <f>Turkey!AR86</f>
        <v>78.492618303564896</v>
      </c>
      <c r="AB46" s="3">
        <f>USA!AU94</f>
        <v>95.074004003892881</v>
      </c>
      <c r="AE46" s="4"/>
      <c r="AF46" s="4"/>
    </row>
    <row r="47" spans="1:42">
      <c r="A47">
        <v>2008</v>
      </c>
      <c r="B47" s="3">
        <f>Australia!BC87</f>
        <v>94.773928361714624</v>
      </c>
      <c r="C47" s="3">
        <f>Austria!AU87</f>
        <v>97.723985430804774</v>
      </c>
      <c r="D47" s="3">
        <f>Belgium!AU87</f>
        <v>97.910298498338719</v>
      </c>
      <c r="E47" s="3">
        <f>Britain!AX87</f>
        <v>94.765961151666431</v>
      </c>
      <c r="F47" s="3">
        <f>Canada!AW87</f>
        <v>97.960789486664908</v>
      </c>
      <c r="G47" s="3">
        <v>97.63</v>
      </c>
      <c r="H47" s="3">
        <v>97.591122763462337</v>
      </c>
      <c r="I47" s="3">
        <f>Denmark!AX87</f>
        <v>96.474272046543788</v>
      </c>
      <c r="J47" s="3">
        <f>Finland!AU87</f>
        <v>98.845613708099492</v>
      </c>
      <c r="K47" s="3">
        <f>France!AU87</f>
        <v>98.40672569507241</v>
      </c>
      <c r="L47" s="3">
        <f>Germany!AU87</f>
        <v>98.521257271477268</v>
      </c>
      <c r="M47" s="3">
        <f>Greece!AR87</f>
        <v>94.357348853581342</v>
      </c>
      <c r="N47" s="3">
        <f>Hungary!AR87</f>
        <v>91.489800153700401</v>
      </c>
      <c r="O47" s="3">
        <v>80.532067587765781</v>
      </c>
      <c r="P47" s="3">
        <f>Ireland!AU87</f>
        <v>105.69005307114877</v>
      </c>
      <c r="Q47" s="3">
        <f>Israel!I87</f>
        <v>94.243304642547926</v>
      </c>
      <c r="R47" s="3">
        <f>Italy!AU87</f>
        <v>97.740146731688228</v>
      </c>
      <c r="S47" s="3">
        <f>Japan!AT87</f>
        <v>102.08281084733649</v>
      </c>
      <c r="T47" s="3">
        <f>Korea!AT87</f>
        <v>94.48751049327764</v>
      </c>
      <c r="U47" s="3">
        <f>Netherlands!AT87</f>
        <v>97.579410151106558</v>
      </c>
      <c r="V47" s="3">
        <f>'New Zealand'!BB87</f>
        <v>95.724572116401475</v>
      </c>
      <c r="W47" s="3">
        <f>Norway!AT87</f>
        <v>95.585760448759203</v>
      </c>
      <c r="X47" s="3">
        <f>Spain!AU87</f>
        <v>98.515489054386777</v>
      </c>
      <c r="Y47" s="3">
        <f>Sweden!AW87</f>
        <v>99.346497146674466</v>
      </c>
      <c r="Z47" s="3">
        <f>Swiss!AT87</f>
        <v>99.79597338978212</v>
      </c>
      <c r="AA47" s="3">
        <f>Turkey!AR87</f>
        <v>86.690489399593005</v>
      </c>
      <c r="AB47" s="3">
        <f>USA!AU95</f>
        <v>98.70291900542334</v>
      </c>
      <c r="AE47" s="4"/>
      <c r="AF47" s="4"/>
    </row>
    <row r="48" spans="1:42">
      <c r="A48">
        <v>2009</v>
      </c>
      <c r="B48" s="3">
        <f>Australia!BC88</f>
        <v>97.70992366412213</v>
      </c>
      <c r="C48" s="3">
        <f>Austria!AU88</f>
        <v>98.218771155095567</v>
      </c>
      <c r="D48" s="3">
        <f>Belgium!AU88</f>
        <v>97.858257539584869</v>
      </c>
      <c r="E48" s="3">
        <f>Britain!AX88</f>
        <v>96.818810779581781</v>
      </c>
      <c r="F48" s="3">
        <f>Canada!AW88</f>
        <v>98.254149528195356</v>
      </c>
      <c r="G48" s="3">
        <v>96.92</v>
      </c>
      <c r="H48" s="3">
        <v>98.610775961083462</v>
      </c>
      <c r="I48" s="3">
        <f>Denmark!AX88</f>
        <v>97.753879778172987</v>
      </c>
      <c r="J48" s="3">
        <f>Finland!AU88</f>
        <v>98.845613708099492</v>
      </c>
      <c r="K48" s="3">
        <f>France!AU88</f>
        <v>98.493406442625087</v>
      </c>
      <c r="L48" s="3">
        <f>Germany!AU88</f>
        <v>98.890943018593617</v>
      </c>
      <c r="M48" s="3">
        <f>Greece!AR88</f>
        <v>95.499142599147817</v>
      </c>
      <c r="N48" s="3">
        <f>Hungary!AR88</f>
        <v>95.343087045549808</v>
      </c>
      <c r="O48" s="3">
        <v>89.291855556309812</v>
      </c>
      <c r="P48" s="3">
        <f>Ireland!AU88</f>
        <v>100.95520422139421</v>
      </c>
      <c r="Q48" s="3">
        <f>Israel!I88</f>
        <v>97.376894681688526</v>
      </c>
      <c r="R48" s="3">
        <f>Italy!AU88</f>
        <v>98.497406307198688</v>
      </c>
      <c r="S48" s="3">
        <f>Japan!AT88</f>
        <v>100.70263491143076</v>
      </c>
      <c r="T48" s="3">
        <f>Korea!AT88</f>
        <v>97.157622658681021</v>
      </c>
      <c r="U48" s="3">
        <f>Netherlands!AT88</f>
        <v>98.740512431465078</v>
      </c>
      <c r="V48" s="3">
        <f>'New Zealand'!BB88</f>
        <v>97.749774769856458</v>
      </c>
      <c r="W48" s="3">
        <f>Norway!AT88</f>
        <v>97.656957631470334</v>
      </c>
      <c r="X48" s="3">
        <f>Spain!AU88</f>
        <v>98.231771144963389</v>
      </c>
      <c r="Y48" s="3">
        <f>Sweden!AW88</f>
        <v>98.855267860804034</v>
      </c>
      <c r="Z48" s="3">
        <f>Swiss!AT88</f>
        <v>99.316477089901994</v>
      </c>
      <c r="AA48" s="3">
        <f>Turkey!AR88</f>
        <v>92.109491953148989</v>
      </c>
      <c r="AB48" s="3">
        <f>USA!AU96</f>
        <v>98.380597588110902</v>
      </c>
      <c r="AE48" s="4"/>
      <c r="AF48" s="4"/>
    </row>
    <row r="49" spans="1:39">
      <c r="A49">
        <v>2010</v>
      </c>
      <c r="B49" s="9">
        <v>100</v>
      </c>
      <c r="C49" s="9">
        <v>100</v>
      </c>
      <c r="D49" s="9">
        <v>99.99999925494194</v>
      </c>
      <c r="E49" s="9">
        <v>100</v>
      </c>
      <c r="F49" s="9">
        <v>100</v>
      </c>
      <c r="G49" s="3">
        <v>100</v>
      </c>
      <c r="H49" s="9">
        <v>100</v>
      </c>
      <c r="I49" s="9">
        <v>100</v>
      </c>
      <c r="J49" s="9">
        <v>100</v>
      </c>
      <c r="K49" s="9">
        <v>100</v>
      </c>
      <c r="L49" s="9">
        <v>100</v>
      </c>
      <c r="M49" s="9">
        <v>100</v>
      </c>
      <c r="N49" s="9">
        <v>100</v>
      </c>
      <c r="O49" s="9">
        <v>100</v>
      </c>
      <c r="P49" s="9">
        <v>100</v>
      </c>
      <c r="Q49" s="9">
        <v>100</v>
      </c>
      <c r="R49" s="9">
        <v>100</v>
      </c>
      <c r="S49" s="9">
        <v>100</v>
      </c>
      <c r="T49" s="9">
        <v>100</v>
      </c>
      <c r="U49" s="9">
        <v>100</v>
      </c>
      <c r="V49" s="9">
        <f>'New Zealand'!BB89</f>
        <v>100</v>
      </c>
      <c r="W49" s="9">
        <v>100</v>
      </c>
      <c r="X49" s="9">
        <v>100</v>
      </c>
      <c r="Y49" s="9">
        <v>100</v>
      </c>
      <c r="Z49" s="9">
        <v>100</v>
      </c>
      <c r="AA49" s="9">
        <v>100</v>
      </c>
      <c r="AB49" s="9">
        <v>99.999998509883881</v>
      </c>
      <c r="AE49" s="4"/>
      <c r="AF49" s="4"/>
    </row>
    <row r="50" spans="1:39">
      <c r="A50">
        <v>2011</v>
      </c>
      <c r="B50" s="3">
        <v>103.21282196044922</v>
      </c>
      <c r="C50" s="3">
        <v>103.26694488525391</v>
      </c>
      <c r="D50" s="3">
        <v>103.51917627340862</v>
      </c>
      <c r="E50" s="3">
        <v>104.48423767089844</v>
      </c>
      <c r="F50" s="3">
        <v>102.91212463378906</v>
      </c>
      <c r="G50" s="3">
        <v>105.55</v>
      </c>
      <c r="H50" s="3">
        <v>101.93638610839844</v>
      </c>
      <c r="I50" s="3">
        <v>102.75868225097656</v>
      </c>
      <c r="J50" s="3">
        <v>103.41680908203125</v>
      </c>
      <c r="K50" s="3">
        <v>102.11748504638672</v>
      </c>
      <c r="L50" s="3">
        <v>102.07516479492188</v>
      </c>
      <c r="M50" s="3">
        <v>103.32987213134766</v>
      </c>
      <c r="N50" s="3">
        <v>103.92073822021484</v>
      </c>
      <c r="O50" s="3">
        <v>108.857845297</v>
      </c>
      <c r="P50" s="3">
        <v>102.57887268066406</v>
      </c>
      <c r="Q50" s="3">
        <v>103.45919799804688</v>
      </c>
      <c r="R50" s="3">
        <v>102.74143981933594</v>
      </c>
      <c r="S50" s="3">
        <v>99.732368469238281</v>
      </c>
      <c r="T50" s="3">
        <v>104.02584838867188</v>
      </c>
      <c r="U50" s="3">
        <v>102.341064453125</v>
      </c>
      <c r="V50" s="3">
        <v>103.99966430664063</v>
      </c>
      <c r="W50" s="3">
        <v>101.30096435546875</v>
      </c>
      <c r="X50" s="3">
        <v>103.19624328613281</v>
      </c>
      <c r="Y50" s="3">
        <v>102.96112060546875</v>
      </c>
      <c r="Z50" s="3">
        <v>100.23133087158203</v>
      </c>
      <c r="AA50" s="3">
        <v>106.47187805175781</v>
      </c>
      <c r="AB50" s="3">
        <v>103.13271097869961</v>
      </c>
      <c r="AF50" s="4"/>
    </row>
    <row r="51" spans="1:39">
      <c r="A51">
        <v>2012</v>
      </c>
      <c r="B51" s="3">
        <v>105.1121826171875</v>
      </c>
      <c r="C51" s="3">
        <v>105.83381652832031</v>
      </c>
      <c r="D51" s="3">
        <v>106.43959352364726</v>
      </c>
      <c r="E51" s="3">
        <v>107.43247985839844</v>
      </c>
      <c r="F51" s="3">
        <v>104.47194671630859</v>
      </c>
      <c r="G51" s="3">
        <v>108.32</v>
      </c>
      <c r="H51" s="3">
        <v>105.29932403564453</v>
      </c>
      <c r="I51" s="3">
        <v>105.22274780273438</v>
      </c>
      <c r="J51" s="3">
        <v>106.32109832763672</v>
      </c>
      <c r="K51" s="3">
        <v>104.11458587646484</v>
      </c>
      <c r="L51" s="3">
        <v>104.12535095214844</v>
      </c>
      <c r="M51" s="3">
        <v>104.88138580322266</v>
      </c>
      <c r="N51" s="3">
        <v>109.81058502197266</v>
      </c>
      <c r="O51" s="3">
        <v>118.99517292705816</v>
      </c>
      <c r="P51" s="3">
        <v>104.31531524658203</v>
      </c>
      <c r="Q51" s="3">
        <v>105.22587585449219</v>
      </c>
      <c r="R51" s="3">
        <v>105.86618041992188</v>
      </c>
      <c r="S51" s="3">
        <v>99.680564880371094</v>
      </c>
      <c r="T51" s="3">
        <v>106.30112457275391</v>
      </c>
      <c r="U51" s="3">
        <v>104.85411071777344</v>
      </c>
      <c r="V51" s="3">
        <v>105.11068725585938</v>
      </c>
      <c r="W51" s="3">
        <v>102.01941680908203</v>
      </c>
      <c r="X51" s="3">
        <v>105.72032928466797</v>
      </c>
      <c r="Y51" s="3">
        <v>103.87586975097656</v>
      </c>
      <c r="Z51" s="3">
        <v>99.537200927734375</v>
      </c>
      <c r="AA51" s="3">
        <v>115.93890380859375</v>
      </c>
      <c r="AB51" s="3">
        <v>105.21072267093371</v>
      </c>
      <c r="AF51" s="4"/>
    </row>
    <row r="52" spans="1:39">
      <c r="A52">
        <v>2013</v>
      </c>
      <c r="B52" s="3">
        <v>107.69465637207031</v>
      </c>
      <c r="C52" s="3">
        <v>107.95066070556641</v>
      </c>
      <c r="D52" s="3">
        <v>107.69401601706502</v>
      </c>
      <c r="E52" s="3">
        <v>110.17689514160156</v>
      </c>
      <c r="F52" s="3">
        <v>105.45220184326172</v>
      </c>
      <c r="G52" s="3">
        <v>111.16</v>
      </c>
      <c r="H52" s="3">
        <v>106.78204345703125</v>
      </c>
      <c r="I52" s="3">
        <v>106.05303192138672</v>
      </c>
      <c r="J52" s="3">
        <v>107.89282989501953</v>
      </c>
      <c r="K52" s="3">
        <v>105.01372528076172</v>
      </c>
      <c r="L52" s="3">
        <v>105.69213104248047</v>
      </c>
      <c r="M52" s="3">
        <v>103.91514587402344</v>
      </c>
      <c r="N52" s="3">
        <v>111.70053863525391</v>
      </c>
      <c r="O52" s="3">
        <v>131.97474194605937</v>
      </c>
      <c r="P52" s="3">
        <v>104.83968353271484</v>
      </c>
      <c r="Q52" s="3">
        <v>106.83148956298828</v>
      </c>
      <c r="R52" s="3">
        <v>107.15773773193359</v>
      </c>
      <c r="S52" s="3">
        <v>100.02590179443359</v>
      </c>
      <c r="T52" s="3">
        <v>107.68450164794922</v>
      </c>
      <c r="U52" s="3">
        <v>107.48267364501953</v>
      </c>
      <c r="V52" s="3">
        <v>106.31058502197266</v>
      </c>
      <c r="W52" s="3">
        <v>104.19417572021484</v>
      </c>
      <c r="X52" s="3">
        <v>107.20954132080078</v>
      </c>
      <c r="Y52" s="3">
        <v>103.82978057861328</v>
      </c>
      <c r="Z52" s="3">
        <v>99.320884704589844</v>
      </c>
      <c r="AA52" s="3">
        <v>124.62630462646484</v>
      </c>
      <c r="AB52" s="3">
        <v>106.69767516878358</v>
      </c>
      <c r="AF52" s="4"/>
    </row>
    <row r="53" spans="1:39">
      <c r="A53">
        <v>2014</v>
      </c>
      <c r="B53" s="3">
        <v>110.31600189208984</v>
      </c>
      <c r="C53" s="3">
        <v>109.68414306640625</v>
      </c>
      <c r="D53" s="3">
        <v>108.09323022286429</v>
      </c>
      <c r="E53" s="3">
        <v>111.78569030761719</v>
      </c>
      <c r="F53" s="3">
        <v>107.46279144287109</v>
      </c>
      <c r="G53" s="3">
        <v>113.29</v>
      </c>
      <c r="H53" s="3">
        <v>107.17025756835938</v>
      </c>
      <c r="I53" s="3">
        <v>106.65119171142578</v>
      </c>
      <c r="J53" s="3">
        <v>109.01621246337891</v>
      </c>
      <c r="K53" s="3">
        <v>105.546875</v>
      </c>
      <c r="L53" s="3">
        <v>106.65055847167969</v>
      </c>
      <c r="M53" s="3">
        <v>102.55152893066406</v>
      </c>
      <c r="N53" s="3">
        <v>111.45221710205078</v>
      </c>
      <c r="O53" s="3">
        <v>140.75040261104445</v>
      </c>
      <c r="P53" s="3">
        <v>105.04598999023438</v>
      </c>
      <c r="Q53" s="3">
        <v>107.33995819091797</v>
      </c>
      <c r="R53" s="3">
        <v>107.41604614257813</v>
      </c>
      <c r="S53" s="3">
        <v>102.78856658935547</v>
      </c>
      <c r="T53" s="3">
        <v>109.05716705322266</v>
      </c>
      <c r="U53" s="3">
        <v>108.53173828125</v>
      </c>
      <c r="V53" s="3">
        <v>107.5882568359375</v>
      </c>
      <c r="W53" s="3">
        <v>106.30420684814453</v>
      </c>
      <c r="X53" s="3">
        <v>107.05191040039063</v>
      </c>
      <c r="Y53" s="3">
        <v>103.64338684082031</v>
      </c>
      <c r="Z53" s="3">
        <v>99.3077392578125</v>
      </c>
      <c r="AA53" s="3">
        <v>135.66143798828125</v>
      </c>
      <c r="AB53" s="3">
        <v>108.45811062912946</v>
      </c>
      <c r="AF53" s="4"/>
    </row>
    <row r="54" spans="1:39">
      <c r="A54">
        <v>2015</v>
      </c>
      <c r="B54" s="3">
        <v>111.99044799804688</v>
      </c>
      <c r="C54" s="3">
        <v>110.66753387451172</v>
      </c>
      <c r="D54" s="3">
        <v>108.69010630369141</v>
      </c>
      <c r="E54" s="3">
        <v>111.84160614013672</v>
      </c>
      <c r="F54" s="3">
        <v>108.67200469970703</v>
      </c>
      <c r="G54" s="3">
        <v>114.92</v>
      </c>
      <c r="H54" s="3">
        <v>107.52104187011719</v>
      </c>
      <c r="I54" s="3">
        <v>107.13329315185547</v>
      </c>
      <c r="J54" s="3">
        <v>108.79036712646484</v>
      </c>
      <c r="K54" s="3">
        <v>105.58678436279297</v>
      </c>
      <c r="L54" s="3">
        <v>106.90055847167969</v>
      </c>
      <c r="M54" s="3">
        <v>100.77133178710938</v>
      </c>
      <c r="N54" s="3">
        <v>111.37387847900391</v>
      </c>
      <c r="O54" s="3">
        <v>147.65698748526896</v>
      </c>
      <c r="P54" s="3">
        <v>104.73652648925781</v>
      </c>
      <c r="Q54" s="3">
        <v>106.66036987304688</v>
      </c>
      <c r="R54" s="3">
        <v>107.45771026611328</v>
      </c>
      <c r="S54" s="3">
        <v>103.60009765625</v>
      </c>
      <c r="T54" s="3">
        <v>109.82733917236328</v>
      </c>
      <c r="U54" s="3">
        <v>109.18320465087891</v>
      </c>
      <c r="V54" s="3">
        <v>107.95767211914063</v>
      </c>
      <c r="W54" s="3">
        <v>108.61489105224609</v>
      </c>
      <c r="X54" s="3">
        <v>106.51537322998047</v>
      </c>
      <c r="Y54" s="3">
        <v>103.59481811523438</v>
      </c>
      <c r="Z54" s="3">
        <v>98.171791076660156</v>
      </c>
      <c r="AA54" s="3">
        <v>146.06782531738281</v>
      </c>
      <c r="AB54" s="3">
        <v>108.69337137051741</v>
      </c>
      <c r="AF54" s="4"/>
    </row>
    <row r="55" spans="1:39">
      <c r="A55">
        <v>2016</v>
      </c>
      <c r="B55" s="3">
        <v>113.47606658935547</v>
      </c>
      <c r="C55" s="3">
        <v>111.65423583984375</v>
      </c>
      <c r="D55" s="3">
        <v>110.64230965151904</v>
      </c>
      <c r="E55" s="3">
        <v>112.55919647216797</v>
      </c>
      <c r="F55" s="3">
        <v>110.22467803955078</v>
      </c>
      <c r="G55" s="3">
        <v>117.22</v>
      </c>
      <c r="H55" s="3">
        <v>108.23197174072266</v>
      </c>
      <c r="I55" s="3">
        <v>107.401123046875</v>
      </c>
      <c r="J55" s="3">
        <v>109.17871856689453</v>
      </c>
      <c r="K55" s="3">
        <v>105.78035736083984</v>
      </c>
      <c r="L55" s="3">
        <v>107.41728210449219</v>
      </c>
      <c r="M55" s="3">
        <v>99.939308166503906</v>
      </c>
      <c r="N55" s="3">
        <v>111.82054138183594</v>
      </c>
      <c r="O55" s="3">
        <v>154.95337961064408</v>
      </c>
      <c r="P55" s="3">
        <v>104.73652648925781</v>
      </c>
      <c r="Q55" s="3">
        <v>106.07913970947266</v>
      </c>
      <c r="R55" s="3">
        <v>107.32518005371094</v>
      </c>
      <c r="S55" s="3">
        <v>103.47923278808594</v>
      </c>
      <c r="T55" s="3">
        <v>110.89450836181641</v>
      </c>
      <c r="U55" s="3">
        <v>109.52896881103516</v>
      </c>
      <c r="V55" s="3">
        <v>108.69094848632813</v>
      </c>
      <c r="W55" s="3">
        <v>112.47071838378906</v>
      </c>
      <c r="X55" s="3">
        <v>103.19615173339844</v>
      </c>
      <c r="Y55" s="3">
        <v>104.61454010009766</v>
      </c>
      <c r="Z55" s="3">
        <v>97.745109558105469</v>
      </c>
      <c r="AA55" s="3">
        <v>157.42478942871094</v>
      </c>
      <c r="AB55" s="3">
        <v>110.08253978538585</v>
      </c>
      <c r="AF55" s="4"/>
    </row>
    <row r="56" spans="1:39">
      <c r="A56">
        <v>2017</v>
      </c>
      <c r="B56" s="3">
        <v>115.69</v>
      </c>
      <c r="C56" s="3">
        <f>C55*(1+C64/100)</f>
        <v>113.97664394531249</v>
      </c>
      <c r="D56" s="3">
        <f>D55*(1+D64/100)</f>
        <v>112.39045814401305</v>
      </c>
      <c r="E56" s="3">
        <f>E55*(1+E64/100)</f>
        <v>115.44071190185548</v>
      </c>
      <c r="F56" s="3">
        <f>F55*(1+F64/100)</f>
        <v>112.53939627838133</v>
      </c>
      <c r="G56" s="3">
        <v>119.09</v>
      </c>
      <c r="H56" s="3">
        <f t="shared" ref="H56:N56" si="0">H55*(1+H64/100)</f>
        <v>110.88365504837036</v>
      </c>
      <c r="I56" s="3">
        <f t="shared" si="0"/>
        <v>108.63623596191407</v>
      </c>
      <c r="J56" s="3">
        <f t="shared" si="0"/>
        <v>109.99755895614625</v>
      </c>
      <c r="K56" s="3">
        <f t="shared" si="0"/>
        <v>106.86989504165649</v>
      </c>
      <c r="L56" s="3">
        <f t="shared" si="0"/>
        <v>109.28634281311037</v>
      </c>
      <c r="M56" s="3">
        <f t="shared" si="0"/>
        <v>101.05862841796876</v>
      </c>
      <c r="N56" s="3">
        <f t="shared" si="0"/>
        <v>114.44832410430909</v>
      </c>
      <c r="O56" s="7">
        <f>O55*(100+O64)/100</f>
        <v>158.81171876294911</v>
      </c>
      <c r="P56" s="3">
        <f t="shared" ref="P56:AB56" si="1">P55*(1+P64/100)</f>
        <v>105.0926306793213</v>
      </c>
      <c r="Q56" s="3">
        <f t="shared" si="1"/>
        <v>106.33372964477539</v>
      </c>
      <c r="R56" s="3">
        <f t="shared" si="1"/>
        <v>108.64527976837158</v>
      </c>
      <c r="S56" s="3">
        <f t="shared" si="1"/>
        <v>103.96558518218994</v>
      </c>
      <c r="T56" s="3">
        <f t="shared" si="1"/>
        <v>113.05695127487184</v>
      </c>
      <c r="U56" s="3">
        <f t="shared" si="1"/>
        <v>111.05142147750854</v>
      </c>
      <c r="V56" s="3">
        <f t="shared" si="1"/>
        <v>110.43000366210937</v>
      </c>
      <c r="W56" s="3">
        <f t="shared" si="1"/>
        <v>114.58516788940429</v>
      </c>
      <c r="X56" s="3">
        <f t="shared" si="1"/>
        <v>105.21879630737305</v>
      </c>
      <c r="Y56" s="3">
        <f t="shared" si="1"/>
        <v>106.48714036788941</v>
      </c>
      <c r="Z56" s="3">
        <f t="shared" si="1"/>
        <v>98.263158638763443</v>
      </c>
      <c r="AA56" s="3">
        <f t="shared" si="1"/>
        <v>174.94616849212645</v>
      </c>
      <c r="AB56" s="3">
        <f t="shared" si="1"/>
        <v>112.42729788281457</v>
      </c>
      <c r="AF56" s="4"/>
    </row>
    <row r="57" spans="1:39">
      <c r="A57" s="127">
        <v>2018</v>
      </c>
      <c r="B57" s="6">
        <f>B56*B56/B55</f>
        <v>117.94712755099577</v>
      </c>
      <c r="C57" s="106">
        <f>C56*(100+C63)/100</f>
        <v>116.15359784466794</v>
      </c>
      <c r="D57" s="106">
        <f>D56*(100+D63)/100</f>
        <v>114.41348639060529</v>
      </c>
      <c r="E57" s="106">
        <f>E56*(100+E63)/100</f>
        <v>118.17665677392947</v>
      </c>
      <c r="F57" s="106">
        <f>F56*(100+F63)/100</f>
        <v>115.11654845315627</v>
      </c>
      <c r="G57" s="106">
        <f>G56*(100+G63)/100</f>
        <v>121.4718</v>
      </c>
      <c r="H57" s="106">
        <f>H56*1.02</f>
        <v>113.10132814933776</v>
      </c>
      <c r="I57" s="106">
        <f>I56*(100+I63)/100</f>
        <v>109.55964396759033</v>
      </c>
      <c r="J57" s="106">
        <f>J56*(100+J63)/100</f>
        <v>111.02053625443841</v>
      </c>
      <c r="K57" s="106">
        <f>K56*(100+K63)/100</f>
        <v>108.78286616290215</v>
      </c>
      <c r="L57" s="106">
        <f>L56*(100+L63)/100</f>
        <v>111.25349698374636</v>
      </c>
      <c r="M57" s="106">
        <f>M56*1.01</f>
        <v>102.06921470214846</v>
      </c>
      <c r="N57" s="106">
        <f>N56*1.032</f>
        <v>118.11067047564698</v>
      </c>
      <c r="O57" s="106">
        <f>O56*(100+O63)/100</f>
        <v>166.00588962291073</v>
      </c>
      <c r="P57" s="106">
        <f>P56*(100+P63)/100</f>
        <v>105.46045488669891</v>
      </c>
      <c r="R57" s="106">
        <f>R56*(100+R63)/100</f>
        <v>109.74259709403213</v>
      </c>
      <c r="S57" s="106">
        <f>S56*(100+S63)/100</f>
        <v>104.96365479993896</v>
      </c>
      <c r="T57" s="106">
        <f>T56*(100+T63)/100</f>
        <v>114.65105428784753</v>
      </c>
      <c r="U57" s="106">
        <f>U56*(100+U63)/100</f>
        <v>112.79492879470541</v>
      </c>
      <c r="V57" s="6">
        <f>V56*V56/V55</f>
        <v>112.19688372070313</v>
      </c>
      <c r="W57" s="106">
        <f>W56*(100+W63)/100</f>
        <v>117.40396301948364</v>
      </c>
      <c r="X57" s="106">
        <f t="shared" ref="X57" si="2">X56*(100+X63)/100</f>
        <v>106.8917751686603</v>
      </c>
      <c r="Y57" s="106">
        <f t="shared" ref="Y57" si="3">Y56*(100+Y63)/100</f>
        <v>108.43585503662177</v>
      </c>
      <c r="Z57" s="106">
        <f t="shared" ref="Z57" si="4">Z56*(100+Z63)/100</f>
        <v>99.186832329967814</v>
      </c>
      <c r="AB57" s="106">
        <f t="shared" ref="AB57" si="5">AB56*(100+AB63)/100</f>
        <v>115.43203269585229</v>
      </c>
      <c r="AF57" s="4"/>
    </row>
    <row r="58" spans="1:39" s="12" customFormat="1">
      <c r="B58" s="7"/>
      <c r="C58" s="7"/>
      <c r="D58" s="7"/>
      <c r="E58" s="7"/>
      <c r="F58" s="7"/>
      <c r="G58" s="7"/>
      <c r="H58" s="7"/>
      <c r="I58" s="7"/>
      <c r="K58" s="7"/>
      <c r="L58" s="7"/>
      <c r="M58" s="7"/>
      <c r="N58" s="7"/>
      <c r="O58" s="7"/>
      <c r="P58" s="7"/>
      <c r="Q58" s="7"/>
      <c r="T58" s="7"/>
      <c r="U58" s="7"/>
      <c r="W58" s="7"/>
      <c r="X58" s="7"/>
      <c r="Y58" s="7"/>
      <c r="Z58" s="7"/>
      <c r="AB58" s="7"/>
      <c r="AC58" s="7"/>
      <c r="AD58" s="7"/>
      <c r="AE58" s="7"/>
      <c r="AG58" s="7"/>
      <c r="AK58" s="21"/>
    </row>
    <row r="59" spans="1:39" s="12" customFormat="1">
      <c r="B59" s="7"/>
      <c r="C59" s="7"/>
      <c r="D59" s="7"/>
      <c r="E59" s="7"/>
      <c r="F59" s="7"/>
      <c r="G59" s="7"/>
      <c r="H59" s="7"/>
      <c r="I59" s="7"/>
      <c r="K59" s="7"/>
      <c r="L59" s="7"/>
      <c r="M59" s="7"/>
      <c r="N59" s="7"/>
      <c r="O59" s="7"/>
      <c r="P59" s="7"/>
      <c r="Q59" s="7"/>
      <c r="T59" s="7"/>
      <c r="U59" s="7"/>
      <c r="W59" s="7"/>
      <c r="X59" s="7"/>
      <c r="Y59" s="7"/>
      <c r="Z59" s="7"/>
      <c r="AB59" s="7"/>
      <c r="AC59" s="7"/>
      <c r="AD59" s="7"/>
      <c r="AE59" s="7"/>
      <c r="AG59" s="7"/>
      <c r="AK59" s="21"/>
    </row>
    <row r="60" spans="1:39" s="12" customFormat="1">
      <c r="B60" s="7"/>
      <c r="C60" s="7"/>
      <c r="D60" s="7"/>
      <c r="E60" s="7"/>
      <c r="F60" s="7"/>
      <c r="G60" s="7"/>
      <c r="I60" s="7"/>
      <c r="J60" s="7"/>
      <c r="K60" s="7"/>
      <c r="L60" s="7"/>
      <c r="O60" s="7"/>
      <c r="P60" s="7"/>
      <c r="R60" s="7"/>
      <c r="S60" s="7"/>
      <c r="T60" s="7"/>
      <c r="U60" s="7"/>
      <c r="V60" s="7"/>
      <c r="W60" s="7"/>
      <c r="X60" s="7"/>
      <c r="Y60" s="7"/>
      <c r="Z60" s="7"/>
      <c r="AB60" s="7"/>
      <c r="AF60" s="21"/>
    </row>
    <row r="61" spans="1:39" s="12" customFormat="1">
      <c r="B61" s="7"/>
      <c r="C61" s="7"/>
      <c r="D61" s="7"/>
      <c r="E61" s="7"/>
      <c r="F61" s="7"/>
      <c r="G61" s="7"/>
      <c r="I61" s="7"/>
      <c r="J61" s="7"/>
      <c r="K61" s="7"/>
      <c r="L61" s="7"/>
      <c r="O61" s="7"/>
      <c r="P61" s="7"/>
      <c r="R61" s="7"/>
      <c r="S61" s="7"/>
      <c r="T61" s="7"/>
      <c r="U61" s="7"/>
      <c r="V61" s="7"/>
      <c r="W61" s="7"/>
      <c r="X61" s="7"/>
      <c r="Y61" s="7"/>
      <c r="Z61" s="7"/>
      <c r="AB61" s="7"/>
      <c r="AF61" s="21"/>
    </row>
    <row r="63" spans="1:39">
      <c r="A63" s="134" t="s">
        <v>2054</v>
      </c>
      <c r="B63" s="6">
        <v>1.9510135283911989</v>
      </c>
      <c r="C63" s="106">
        <v>1.91</v>
      </c>
      <c r="D63" s="106">
        <v>1.8</v>
      </c>
      <c r="E63" s="106">
        <v>2.37</v>
      </c>
      <c r="F63" s="106">
        <v>2.29</v>
      </c>
      <c r="G63" s="106">
        <v>2</v>
      </c>
      <c r="H63" s="106"/>
      <c r="I63" s="106">
        <v>0.85</v>
      </c>
      <c r="J63" s="106">
        <v>0.93</v>
      </c>
      <c r="K63" s="106">
        <v>1.79</v>
      </c>
      <c r="L63" s="106">
        <v>1.8</v>
      </c>
      <c r="M63" s="106"/>
      <c r="N63" s="106"/>
      <c r="O63" s="106">
        <v>4.53</v>
      </c>
      <c r="P63" s="106">
        <v>0.35</v>
      </c>
      <c r="Q63" s="106"/>
      <c r="R63" s="106">
        <v>1.01</v>
      </c>
      <c r="S63" s="106">
        <v>0.96</v>
      </c>
      <c r="T63" s="106">
        <v>1.41</v>
      </c>
      <c r="U63" s="106">
        <v>1.57</v>
      </c>
      <c r="V63" s="106">
        <v>1.6000000000000014</v>
      </c>
      <c r="W63" s="106">
        <v>2.46</v>
      </c>
      <c r="X63" s="106">
        <v>1.59</v>
      </c>
      <c r="Y63" s="106">
        <v>1.83</v>
      </c>
      <c r="Z63" s="106">
        <v>0.94</v>
      </c>
      <c r="AB63" s="11">
        <f>AM68</f>
        <v>2.6726025348128735</v>
      </c>
      <c r="AC63" s="106"/>
      <c r="AD63" s="106"/>
      <c r="AE63" s="106"/>
      <c r="AG63" s="106"/>
      <c r="AH63" s="3"/>
      <c r="AI63" s="3"/>
      <c r="AJ63" s="3"/>
      <c r="AM63" s="53"/>
    </row>
    <row r="64" spans="1:39">
      <c r="A64" s="111">
        <v>20.170000000000002</v>
      </c>
      <c r="C64" s="3">
        <v>2.08</v>
      </c>
      <c r="D64" s="3">
        <v>1.58</v>
      </c>
      <c r="E64" s="3">
        <v>2.56</v>
      </c>
      <c r="F64" s="3">
        <v>2.1</v>
      </c>
      <c r="G64" s="3">
        <v>2.1</v>
      </c>
      <c r="H64" s="3">
        <v>2.4500000000000002</v>
      </c>
      <c r="I64" s="3">
        <v>1.1499999999999999</v>
      </c>
      <c r="J64" s="3">
        <v>0.75</v>
      </c>
      <c r="K64" s="3">
        <v>1.03</v>
      </c>
      <c r="L64" s="3">
        <v>1.74</v>
      </c>
      <c r="M64" s="3">
        <v>1.1200000000000001</v>
      </c>
      <c r="N64" s="3">
        <v>2.35</v>
      </c>
      <c r="O64" s="3">
        <v>2.4900000000000002</v>
      </c>
      <c r="P64" s="3">
        <v>0.34</v>
      </c>
      <c r="Q64" s="3">
        <v>0.24</v>
      </c>
      <c r="R64" s="3">
        <v>1.23</v>
      </c>
      <c r="S64" s="3">
        <v>0.47</v>
      </c>
      <c r="T64" s="3">
        <v>1.95</v>
      </c>
      <c r="U64" s="3">
        <v>1.39</v>
      </c>
      <c r="V64" s="3">
        <v>1.6</v>
      </c>
      <c r="W64" s="3">
        <v>1.88</v>
      </c>
      <c r="X64" s="3">
        <v>1.96</v>
      </c>
      <c r="Y64" s="3">
        <v>1.79</v>
      </c>
      <c r="Z64" s="3">
        <v>0.53</v>
      </c>
      <c r="AA64" s="3">
        <v>11.13</v>
      </c>
      <c r="AB64" s="3">
        <v>2.13</v>
      </c>
      <c r="AF64" s="4"/>
    </row>
    <row r="65" spans="2:39">
      <c r="Z65"/>
      <c r="AA65" s="53"/>
      <c r="AF65" s="4"/>
    </row>
    <row r="66" spans="2:39">
      <c r="M66" s="124">
        <v>2017</v>
      </c>
      <c r="Z66" s="126">
        <v>2018</v>
      </c>
      <c r="AE66" s="4"/>
    </row>
    <row r="67" spans="2:39">
      <c r="M67" t="s">
        <v>1968</v>
      </c>
      <c r="N67" t="s">
        <v>1969</v>
      </c>
      <c r="O67" t="s">
        <v>1970</v>
      </c>
      <c r="P67" t="s">
        <v>1971</v>
      </c>
      <c r="Q67" t="s">
        <v>1972</v>
      </c>
      <c r="R67" t="s">
        <v>1973</v>
      </c>
      <c r="S67" t="s">
        <v>1974</v>
      </c>
      <c r="T67" t="s">
        <v>1975</v>
      </c>
      <c r="U67" t="s">
        <v>1976</v>
      </c>
      <c r="V67" t="s">
        <v>1977</v>
      </c>
      <c r="W67" t="s">
        <v>1978</v>
      </c>
      <c r="X67" t="s">
        <v>1979</v>
      </c>
      <c r="Y67" t="s">
        <v>1980</v>
      </c>
      <c r="Z67" t="s">
        <v>1968</v>
      </c>
      <c r="AA67" t="s">
        <v>1969</v>
      </c>
      <c r="AB67" t="s">
        <v>1970</v>
      </c>
      <c r="AC67" t="s">
        <v>1971</v>
      </c>
      <c r="AD67" t="s">
        <v>1972</v>
      </c>
      <c r="AE67" t="s">
        <v>1973</v>
      </c>
      <c r="AF67" t="s">
        <v>1974</v>
      </c>
      <c r="AG67" t="s">
        <v>1975</v>
      </c>
      <c r="AH67" t="s">
        <v>1976</v>
      </c>
      <c r="AI67" t="s">
        <v>1977</v>
      </c>
      <c r="AJ67" t="s">
        <v>1978</v>
      </c>
      <c r="AK67" t="s">
        <v>1979</v>
      </c>
      <c r="AL67" t="s">
        <v>1980</v>
      </c>
    </row>
    <row r="68" spans="2:39">
      <c r="L68" t="s">
        <v>1983</v>
      </c>
      <c r="M68" s="125">
        <v>242.839</v>
      </c>
      <c r="N68" s="125">
        <v>243.60300000000001</v>
      </c>
      <c r="O68" s="125">
        <v>243.80099999999999</v>
      </c>
      <c r="P68" s="125">
        <v>244.524</v>
      </c>
      <c r="Q68" s="125">
        <v>244.733</v>
      </c>
      <c r="R68" s="125">
        <v>244.95500000000001</v>
      </c>
      <c r="S68" s="125">
        <v>244.786</v>
      </c>
      <c r="T68" s="125">
        <v>245.51900000000001</v>
      </c>
      <c r="U68" s="125">
        <v>246.81899999999999</v>
      </c>
      <c r="V68" s="125">
        <v>246.66300000000001</v>
      </c>
      <c r="W68" s="125">
        <v>246.66900000000001</v>
      </c>
      <c r="X68" s="125">
        <v>246.524</v>
      </c>
      <c r="Y68" s="125">
        <v>245.12</v>
      </c>
      <c r="Z68">
        <v>247.86699999999999</v>
      </c>
      <c r="AA68">
        <v>248.99100000000001</v>
      </c>
      <c r="AB68">
        <v>249.554</v>
      </c>
      <c r="AC68">
        <v>250.54599999999999</v>
      </c>
      <c r="AD68">
        <v>251.58799999999999</v>
      </c>
      <c r="AE68">
        <v>251.989</v>
      </c>
      <c r="AF68">
        <v>252.006</v>
      </c>
      <c r="AG68" s="6">
        <f>AF68+(AK68-AF68)/5</f>
        <v>252.50479999999999</v>
      </c>
      <c r="AH68" s="6">
        <f>AG68+(AK68-AF68)/5</f>
        <v>253.00359999999998</v>
      </c>
      <c r="AI68" s="6">
        <f>AH68+(AK68-AF68)/5</f>
        <v>253.50239999999997</v>
      </c>
      <c r="AJ68" s="6">
        <f>AI68+(AK68-AF68)/5</f>
        <v>254.00119999999995</v>
      </c>
      <c r="AK68">
        <v>254.5</v>
      </c>
      <c r="AL68">
        <f>AVERAGE(Z68:AK68)</f>
        <v>251.67108333333331</v>
      </c>
      <c r="AM68" s="10">
        <f>(AL68/Y68-1)*100</f>
        <v>2.6726025348128735</v>
      </c>
    </row>
    <row r="73" spans="2:39">
      <c r="B73" s="4" t="s">
        <v>1860</v>
      </c>
      <c r="C73" s="4" t="s">
        <v>1859</v>
      </c>
      <c r="D73"/>
    </row>
    <row r="74" spans="2:39">
      <c r="B74" s="4" t="s">
        <v>226</v>
      </c>
      <c r="C74" t="s">
        <v>1857</v>
      </c>
      <c r="D74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117"/>
  <sheetViews>
    <sheetView zoomScale="75" zoomScaleNormal="75" workbookViewId="0">
      <pane xSplit="1" ySplit="3" topLeftCell="B37" activePane="bottomRight" state="frozen"/>
      <selection activeCell="BN97" sqref="BN97"/>
      <selection pane="topRight" activeCell="BN97" sqref="BN97"/>
      <selection pane="bottomLeft" activeCell="BN97" sqref="BN97"/>
      <selection pane="bottomRight" activeCell="B3" sqref="B3:AB3"/>
    </sheetView>
  </sheetViews>
  <sheetFormatPr defaultRowHeight="15"/>
  <cols>
    <col min="1" max="1" width="6.7109375" style="9" customWidth="1"/>
    <col min="2" max="6" width="9.140625" style="1"/>
    <col min="7" max="7" width="10.42578125" style="1" customWidth="1"/>
    <col min="8" max="13" width="9.140625" style="1"/>
    <col min="14" max="15" width="9.140625" style="2"/>
    <col min="16" max="16" width="9.140625" style="1"/>
    <col min="17" max="17" width="11" style="2" bestFit="1" customWidth="1"/>
    <col min="18" max="18" width="9.140625" style="1"/>
    <col min="19" max="19" width="9.140625" style="2"/>
    <col min="20" max="20" width="9.85546875" style="2" customWidth="1"/>
    <col min="21" max="25" width="9.140625" style="1"/>
    <col min="26" max="26" width="11.140625" style="1" customWidth="1"/>
    <col min="27" max="27" width="10.5703125" style="2" customWidth="1"/>
    <col min="28" max="28" width="9.140625" style="1"/>
    <col min="29" max="30" width="9.140625" style="2"/>
    <col min="31" max="31" width="16.140625" style="2" customWidth="1"/>
    <col min="32" max="16384" width="9.140625" style="2"/>
  </cols>
  <sheetData>
    <row r="1" spans="1:35">
      <c r="A1" s="9" t="s">
        <v>325</v>
      </c>
      <c r="G1" s="1" t="s">
        <v>1952</v>
      </c>
    </row>
    <row r="2" spans="1:35">
      <c r="B2" s="1" t="s">
        <v>253</v>
      </c>
      <c r="C2" s="95" t="s">
        <v>249</v>
      </c>
      <c r="D2" s="95" t="s">
        <v>249</v>
      </c>
      <c r="E2" s="1" t="s">
        <v>117</v>
      </c>
      <c r="F2" s="1" t="s">
        <v>251</v>
      </c>
      <c r="G2" s="1" t="s">
        <v>1951</v>
      </c>
      <c r="H2" s="1" t="s">
        <v>254</v>
      </c>
      <c r="I2" s="1" t="s">
        <v>255</v>
      </c>
      <c r="J2" s="95" t="s">
        <v>249</v>
      </c>
      <c r="K2" s="95" t="s">
        <v>249</v>
      </c>
      <c r="L2" s="95" t="s">
        <v>249</v>
      </c>
      <c r="M2" s="95" t="s">
        <v>249</v>
      </c>
      <c r="N2" s="1" t="s">
        <v>172</v>
      </c>
      <c r="O2" s="1" t="s">
        <v>1935</v>
      </c>
      <c r="P2" s="95" t="s">
        <v>249</v>
      </c>
      <c r="Q2" s="2" t="s">
        <v>256</v>
      </c>
      <c r="R2" s="95" t="s">
        <v>249</v>
      </c>
      <c r="S2" s="2" t="s">
        <v>257</v>
      </c>
      <c r="T2" s="2" t="s">
        <v>258</v>
      </c>
      <c r="U2" s="95" t="s">
        <v>249</v>
      </c>
      <c r="V2" s="1" t="s">
        <v>197</v>
      </c>
      <c r="W2" s="1" t="s">
        <v>255</v>
      </c>
      <c r="X2" s="95" t="s">
        <v>249</v>
      </c>
      <c r="Y2" s="1" t="s">
        <v>259</v>
      </c>
      <c r="Z2" s="22" t="s">
        <v>204</v>
      </c>
      <c r="AA2" s="22" t="s">
        <v>260</v>
      </c>
      <c r="AB2" s="95" t="s">
        <v>250</v>
      </c>
    </row>
    <row r="3" spans="1:35">
      <c r="B3" s="22" t="s">
        <v>0</v>
      </c>
      <c r="C3" s="22" t="s">
        <v>219</v>
      </c>
      <c r="D3" s="22" t="s">
        <v>146</v>
      </c>
      <c r="E3" s="22" t="s">
        <v>150</v>
      </c>
      <c r="F3" s="22" t="s">
        <v>29</v>
      </c>
      <c r="G3" s="22" t="s">
        <v>328</v>
      </c>
      <c r="H3" s="22" t="s">
        <v>124</v>
      </c>
      <c r="I3" s="22" t="s">
        <v>125</v>
      </c>
      <c r="J3" s="22" t="s">
        <v>220</v>
      </c>
      <c r="K3" s="22" t="s">
        <v>168</v>
      </c>
      <c r="L3" s="22" t="s">
        <v>170</v>
      </c>
      <c r="M3" s="22" t="s">
        <v>221</v>
      </c>
      <c r="N3" s="32" t="s">
        <v>171</v>
      </c>
      <c r="O3" s="32" t="s">
        <v>329</v>
      </c>
      <c r="P3" s="22" t="s">
        <v>173</v>
      </c>
      <c r="Q3" s="32" t="s">
        <v>222</v>
      </c>
      <c r="R3" s="22" t="s">
        <v>210</v>
      </c>
      <c r="S3" s="32" t="s">
        <v>184</v>
      </c>
      <c r="T3" s="32" t="s">
        <v>186</v>
      </c>
      <c r="U3" s="22" t="s">
        <v>223</v>
      </c>
      <c r="V3" s="22" t="s">
        <v>224</v>
      </c>
      <c r="W3" s="22" t="s">
        <v>196</v>
      </c>
      <c r="X3" s="22" t="s">
        <v>211</v>
      </c>
      <c r="Y3" s="22" t="s">
        <v>200</v>
      </c>
      <c r="Z3" s="22" t="s">
        <v>225</v>
      </c>
      <c r="AA3" s="32" t="s">
        <v>212</v>
      </c>
      <c r="AB3" s="22" t="s">
        <v>49</v>
      </c>
      <c r="AC3" s="32" t="s">
        <v>287</v>
      </c>
      <c r="AD3" s="32"/>
      <c r="AE3" s="32"/>
    </row>
    <row r="4" spans="1:35" s="32" customFormat="1">
      <c r="A4" s="44">
        <v>1965</v>
      </c>
      <c r="B4" s="22">
        <f>Australia!G44</f>
        <v>0.89770000000000005</v>
      </c>
      <c r="C4" s="22">
        <f>Austria!G44</f>
        <v>1.8894936883643529</v>
      </c>
      <c r="D4" s="22">
        <f>Belgium!G44</f>
        <v>1.239467623866197</v>
      </c>
      <c r="E4" s="22">
        <f>Britain!G44</f>
        <v>0.35583242125418862</v>
      </c>
      <c r="F4" s="22">
        <f>Canada!G44</f>
        <v>1.0779833324166701</v>
      </c>
      <c r="G4" s="22"/>
      <c r="H4" s="22"/>
      <c r="I4" s="22">
        <f>Denmark!G44</f>
        <v>6.9070999999999989</v>
      </c>
      <c r="J4" s="22">
        <f>Finland!G44</f>
        <v>0.53820136467683533</v>
      </c>
      <c r="K4" s="22">
        <f>France!G44</f>
        <v>0.751798929398515</v>
      </c>
      <c r="L4" s="22">
        <f>Germany!G44</f>
        <v>2.0549728921117625</v>
      </c>
      <c r="M4" s="22">
        <f>Greece!G44</f>
        <v>8.8041085840058667E-2</v>
      </c>
      <c r="N4" s="21">
        <f>Hungary!G44</f>
        <v>60</v>
      </c>
      <c r="O4" s="21"/>
      <c r="P4" s="22">
        <f>Ireland!G44</f>
        <v>0.45347425733019792</v>
      </c>
      <c r="Q4" s="44">
        <f>Israel!K44</f>
        <v>56792.018901152478</v>
      </c>
      <c r="R4" s="22">
        <f>Italy!G44</f>
        <v>0.32478451657961088</v>
      </c>
      <c r="S4" s="21">
        <f>Japan!G44</f>
        <v>363.22057590159346</v>
      </c>
      <c r="T4" s="21">
        <f>Korea!G44</f>
        <v>275</v>
      </c>
      <c r="U4" s="22">
        <f>Netherlands!G44</f>
        <v>1.6426843822463031</v>
      </c>
      <c r="V4" s="22">
        <f>'New Zealand'!G44</f>
        <v>0.71919</v>
      </c>
      <c r="W4" s="22">
        <f>Norway!G44</f>
        <v>7.1428599999999989</v>
      </c>
      <c r="X4" s="22">
        <f>Spain!G44</f>
        <v>0.35904763621340935</v>
      </c>
      <c r="Y4" s="22">
        <f>Sweden!G44</f>
        <v>5.1832162088974849</v>
      </c>
      <c r="Z4" s="22">
        <f>Swiss!G44</f>
        <v>4.311080128205127</v>
      </c>
      <c r="AA4" s="70"/>
      <c r="AB4" s="22">
        <f>AB5</f>
        <v>1.1420329259075668</v>
      </c>
      <c r="AC4" s="32">
        <v>1</v>
      </c>
      <c r="AD4" s="2"/>
    </row>
    <row r="5" spans="1:35" s="32" customFormat="1">
      <c r="A5" s="44">
        <v>1966</v>
      </c>
      <c r="B5" s="22">
        <f>Australia!G45</f>
        <v>0.89859999999999995</v>
      </c>
      <c r="C5" s="22">
        <f>Austria!G45</f>
        <v>1.8894936883643529</v>
      </c>
      <c r="D5" s="22">
        <f>Belgium!G45</f>
        <v>1.239467623866197</v>
      </c>
      <c r="E5" s="22">
        <f>Britain!G45</f>
        <v>0.35742808233604595</v>
      </c>
      <c r="F5" s="22">
        <f>Canada!G45</f>
        <v>1.077316666</v>
      </c>
      <c r="G5" s="22"/>
      <c r="H5" s="22"/>
      <c r="I5" s="22">
        <f>Denmark!G45</f>
        <v>6.9070999999999989</v>
      </c>
      <c r="J5" s="22">
        <f>Finland!G45</f>
        <v>0.53820136467683533</v>
      </c>
      <c r="K5" s="22">
        <f>France!G45</f>
        <v>0.75946721713207788</v>
      </c>
      <c r="L5" s="22">
        <f>Germany!G45</f>
        <v>2.0400966530026157</v>
      </c>
      <c r="M5" s="22">
        <f>Greece!G45</f>
        <v>8.8041085840058667E-2</v>
      </c>
      <c r="N5" s="21">
        <f>Hungary!G45</f>
        <v>60</v>
      </c>
      <c r="O5" s="21"/>
      <c r="P5" s="22">
        <f>Ireland!G45</f>
        <v>0.45347425733019792</v>
      </c>
      <c r="Q5" s="44">
        <f>Israel!K45</f>
        <v>52243.081823287015</v>
      </c>
      <c r="R5" s="22">
        <f>Italy!G45</f>
        <v>0.3246805356234464</v>
      </c>
      <c r="S5" s="21">
        <f>Japan!G45</f>
        <v>364.83086385239028</v>
      </c>
      <c r="T5" s="21">
        <f>Korea!G45</f>
        <v>271.33999999999992</v>
      </c>
      <c r="U5" s="22">
        <f>Netherlands!G45</f>
        <v>1.6426843822463031</v>
      </c>
      <c r="V5" s="22">
        <f>'New Zealand'!G45</f>
        <v>0.71919</v>
      </c>
      <c r="W5" s="22">
        <f>Norway!G45</f>
        <v>7.1428599999999989</v>
      </c>
      <c r="X5" s="22">
        <f>Spain!G45</f>
        <v>0.35904763621340935</v>
      </c>
      <c r="Y5" s="22">
        <f>Sweden!G45</f>
        <v>5.1832162088974849</v>
      </c>
      <c r="Z5" s="22">
        <f>Swiss!G45</f>
        <v>4.3200657051282043</v>
      </c>
      <c r="AA5" s="70"/>
      <c r="AB5" s="22">
        <f>AB6</f>
        <v>1.1420329259075668</v>
      </c>
      <c r="AC5" s="32">
        <v>1</v>
      </c>
      <c r="AD5" s="2"/>
    </row>
    <row r="6" spans="1:35" s="32" customFormat="1">
      <c r="A6" s="44">
        <v>1967</v>
      </c>
      <c r="B6" s="22">
        <f>Australia!G46</f>
        <v>0.89890000000000003</v>
      </c>
      <c r="C6" s="22">
        <f>Austria!G46</f>
        <v>1.8894936883643529</v>
      </c>
      <c r="D6" s="22">
        <f>Belgium!G46</f>
        <v>1.239467623866197</v>
      </c>
      <c r="E6" s="22">
        <f>Britain!G46</f>
        <v>0.41447296601244621</v>
      </c>
      <c r="F6" s="22">
        <f>Canada!G46</f>
        <v>1.07870833258333</v>
      </c>
      <c r="G6" s="22"/>
      <c r="H6" s="22"/>
      <c r="I6" s="22">
        <f>Denmark!G46</f>
        <v>6.9564999999999992</v>
      </c>
      <c r="J6" s="22">
        <f>Finland!G46</f>
        <v>0.58024666441294837</v>
      </c>
      <c r="K6" s="22">
        <f>France!G46</f>
        <v>0.75287248968121367</v>
      </c>
      <c r="L6" s="22">
        <f>Germany!G46</f>
        <v>2.0513820757750718</v>
      </c>
      <c r="M6" s="22">
        <f>Greece!G46</f>
        <v>8.8041085840058667E-2</v>
      </c>
      <c r="N6" s="21">
        <f>Hungary!G46</f>
        <v>60</v>
      </c>
      <c r="O6" s="21"/>
      <c r="P6" s="22">
        <f>Ireland!G46</f>
        <v>0.45977215819920653</v>
      </c>
      <c r="Q6" s="44">
        <f>Israel!K46</f>
        <v>47945.473491946883</v>
      </c>
      <c r="R6" s="22">
        <f>Italy!G46</f>
        <v>0.32436859275495306</v>
      </c>
      <c r="S6" s="21">
        <f>Japan!G46</f>
        <v>364.22700587084148</v>
      </c>
      <c r="T6" s="21">
        <f>Korea!G46</f>
        <v>270.52</v>
      </c>
      <c r="U6" s="22">
        <f>Netherlands!G46</f>
        <v>1.6426843822463031</v>
      </c>
      <c r="V6" s="22">
        <f>'New Zealand'!G46</f>
        <v>0.73365999999999987</v>
      </c>
      <c r="W6" s="22">
        <f>Norway!G46</f>
        <v>7.1428599999999989</v>
      </c>
      <c r="X6" s="22">
        <f>Spain!G46</f>
        <v>0.36902118166494541</v>
      </c>
      <c r="Y6" s="22">
        <f>Sweden!G46</f>
        <v>5.1682068955512568</v>
      </c>
      <c r="Z6" s="22">
        <f>Swiss!G46</f>
        <v>4.3180689102564092</v>
      </c>
      <c r="AA6" s="70"/>
      <c r="AB6" s="22">
        <f>AB7</f>
        <v>1.1420329259075668</v>
      </c>
      <c r="AC6" s="32">
        <v>1</v>
      </c>
      <c r="AD6" s="2"/>
    </row>
    <row r="7" spans="1:35" s="32" customFormat="1">
      <c r="A7" s="44">
        <v>1968</v>
      </c>
      <c r="B7" s="22">
        <f>Australia!G47</f>
        <v>0.89890000000000003</v>
      </c>
      <c r="C7" s="22">
        <f>Austria!G47</f>
        <v>1.8894936883643529</v>
      </c>
      <c r="D7" s="22">
        <f>Belgium!G47</f>
        <v>1.239467623866197</v>
      </c>
      <c r="E7" s="22">
        <f>Britain!G47</f>
        <v>0.41826266108185739</v>
      </c>
      <c r="F7" s="22">
        <f>Canada!G47</f>
        <v>1.0774749994999999</v>
      </c>
      <c r="G7" s="22"/>
      <c r="H7" s="22"/>
      <c r="I7" s="22">
        <f>Denmark!G47</f>
        <v>7.5</v>
      </c>
      <c r="J7" s="22">
        <f>Finland!G47</f>
        <v>0.70638424550055234</v>
      </c>
      <c r="K7" s="22">
        <f>France!G47</f>
        <v>0.75885375411339284</v>
      </c>
      <c r="L7" s="22">
        <f>Germany!G47</f>
        <v>2.0518950495374559</v>
      </c>
      <c r="M7" s="22">
        <f>Greece!G47</f>
        <v>8.8041085840058667E-2</v>
      </c>
      <c r="N7" s="21">
        <f>Hungary!G47</f>
        <v>60</v>
      </c>
      <c r="O7" s="21"/>
      <c r="P7" s="22">
        <f>Ireland!G47</f>
        <v>0.52906176513908698</v>
      </c>
      <c r="Q7" s="44">
        <f>Israel!K47</f>
        <v>44643.184091815332</v>
      </c>
      <c r="R7" s="22">
        <f>Italy!G47</f>
        <v>0.3241606308426242</v>
      </c>
      <c r="S7" s="21">
        <f>Japan!G47</f>
        <v>360</v>
      </c>
      <c r="T7" s="21">
        <f>Korea!G47</f>
        <v>276.64999999999998</v>
      </c>
      <c r="U7" s="22">
        <f>Netherlands!G47</f>
        <v>1.6426843822463031</v>
      </c>
      <c r="V7" s="22">
        <f>'New Zealand'!G47</f>
        <v>0.89285999999999988</v>
      </c>
      <c r="W7" s="22">
        <f>Norway!G47</f>
        <v>7.1428599999999989</v>
      </c>
      <c r="X7" s="22">
        <f>Spain!G47</f>
        <v>0.4188889089226257</v>
      </c>
      <c r="Y7" s="22">
        <f>Sweden!G47</f>
        <v>5.1832162088974849</v>
      </c>
      <c r="Z7" s="22">
        <f>Swiss!G47</f>
        <v>4.2951057692307675</v>
      </c>
      <c r="AA7" s="70"/>
      <c r="AB7" s="22">
        <f>AB8</f>
        <v>1.1420329259075668</v>
      </c>
      <c r="AC7" s="32">
        <v>1</v>
      </c>
      <c r="AD7" s="2"/>
    </row>
    <row r="8" spans="1:35" s="32" customFormat="1">
      <c r="A8" s="44">
        <v>1969</v>
      </c>
      <c r="B8" s="22">
        <f>Australia!G48</f>
        <v>0.90010000000000001</v>
      </c>
      <c r="C8" s="22">
        <f>Austria!G48</f>
        <v>1.8894936883643529</v>
      </c>
      <c r="D8" s="22">
        <f>Belgium!G48</f>
        <v>1.239467623866197</v>
      </c>
      <c r="E8" s="22">
        <f>Britain!G48</f>
        <v>0.4153705253709909</v>
      </c>
      <c r="F8" s="22">
        <f>Canada!G48</f>
        <v>1.07677499941667</v>
      </c>
      <c r="G8" s="22"/>
      <c r="H8" s="22"/>
      <c r="I8" s="22">
        <f>Denmark!G48</f>
        <v>7.5</v>
      </c>
      <c r="J8" s="22">
        <f>Finland!G48</f>
        <v>0.70638424550055234</v>
      </c>
      <c r="K8" s="22">
        <f>France!G48</f>
        <v>0.85240686446286118</v>
      </c>
      <c r="L8" s="22">
        <f>Germany!G48</f>
        <v>1.8928731831983032</v>
      </c>
      <c r="M8" s="22">
        <f>Greece!G48</f>
        <v>8.8041085840058667E-2</v>
      </c>
      <c r="N8" s="21">
        <f>Hungary!G48</f>
        <v>60</v>
      </c>
      <c r="O8" s="21"/>
      <c r="P8" s="22">
        <f>Ireland!G48</f>
        <v>0.52906176513908698</v>
      </c>
      <c r="Q8" s="44">
        <f>Israel!K48</f>
        <v>42042.976159382197</v>
      </c>
      <c r="R8" s="22">
        <f>Italy!G48</f>
        <v>0.32520044040426854</v>
      </c>
      <c r="S8" s="21">
        <f>Japan!G48</f>
        <v>360.10064299692482</v>
      </c>
      <c r="T8" s="21">
        <f>Korea!G48</f>
        <v>288.16000000000003</v>
      </c>
      <c r="U8" s="22">
        <f>Netherlands!G48</f>
        <v>1.6426843822463031</v>
      </c>
      <c r="V8" s="22">
        <f>'New Zealand'!G48</f>
        <v>0.89285999999999988</v>
      </c>
      <c r="W8" s="22">
        <f>Norway!G48</f>
        <v>7.1428599999999989</v>
      </c>
      <c r="X8" s="22">
        <f>Spain!G48</f>
        <v>0.4188889089226257</v>
      </c>
      <c r="Y8" s="22">
        <f>Sweden!G48</f>
        <v>5.1732099999999992</v>
      </c>
      <c r="Z8" s="22">
        <f>Swiss!G48</f>
        <v>4.311080128205127</v>
      </c>
      <c r="AA8" s="67"/>
      <c r="AB8" s="22">
        <f>AB9</f>
        <v>1.1420329259075668</v>
      </c>
      <c r="AC8" s="32">
        <v>1</v>
      </c>
      <c r="AD8" s="2"/>
    </row>
    <row r="9" spans="1:35" s="32" customFormat="1">
      <c r="A9" s="44">
        <v>1970</v>
      </c>
      <c r="B9" s="22">
        <f>Australia!G49</f>
        <v>0.89285699989285705</v>
      </c>
      <c r="C9" s="22">
        <f>Austria!G49</f>
        <v>1.8894936883643529</v>
      </c>
      <c r="D9" s="22">
        <f>Belgium!G49</f>
        <v>1.239467623866197</v>
      </c>
      <c r="E9" s="22">
        <f>Britain!G49</f>
        <v>0.41666700000000001</v>
      </c>
      <c r="F9" s="22">
        <f>Canada!G49</f>
        <v>1.04491499916667</v>
      </c>
      <c r="G9" s="22"/>
      <c r="H9" s="22">
        <f>'Czech Rep'!G49</f>
        <v>21.159629009785977</v>
      </c>
      <c r="I9" s="22">
        <f>Denmark!G49</f>
        <v>7.5</v>
      </c>
      <c r="J9" s="22">
        <f>Finland!G49</f>
        <v>0.70638424550055234</v>
      </c>
      <c r="K9" s="22">
        <f>France!G49</f>
        <v>0.84673233154002459</v>
      </c>
      <c r="L9" s="22">
        <f>Germany!G49</f>
        <v>1.8713282851781601</v>
      </c>
      <c r="M9" s="22">
        <f>Greece!G49</f>
        <v>8.8041085840058667E-2</v>
      </c>
      <c r="N9" s="21">
        <f>Hungary!G49</f>
        <v>60</v>
      </c>
      <c r="O9" s="21"/>
      <c r="P9" s="22">
        <f>Ireland!G49</f>
        <v>0.52906176513908698</v>
      </c>
      <c r="Q9" s="44">
        <f>Israel!K49</f>
        <v>39735.329570393107</v>
      </c>
      <c r="R9" s="22">
        <f>Italy!G49</f>
        <v>0.3239006784522131</v>
      </c>
      <c r="S9" s="21">
        <f>Japan!G49</f>
        <v>360</v>
      </c>
      <c r="T9" s="21">
        <f>Korea!G49</f>
        <v>310.56</v>
      </c>
      <c r="U9" s="22">
        <f>Netherlands!G49</f>
        <v>1.6426843822463031</v>
      </c>
      <c r="V9" s="22">
        <f>'New Zealand'!G49</f>
        <v>0.89285999999999988</v>
      </c>
      <c r="W9" s="22">
        <f>Norway!G49</f>
        <v>7.1428599999999989</v>
      </c>
      <c r="X9" s="22">
        <f>Spain!G49</f>
        <v>0.4188889089226257</v>
      </c>
      <c r="Y9" s="22">
        <f>Sweden!G49</f>
        <v>5.1732099999999992</v>
      </c>
      <c r="Z9" s="22">
        <f>Swiss!G49</f>
        <v>4.3090833333333327</v>
      </c>
      <c r="AA9" s="70">
        <f>Turkey!G49</f>
        <v>1.1000000000000001E-5</v>
      </c>
      <c r="AB9" s="22">
        <v>1.1420329259075668</v>
      </c>
      <c r="AC9" s="32">
        <v>1.0351966873706004</v>
      </c>
      <c r="AD9" s="2"/>
    </row>
    <row r="10" spans="1:35">
      <c r="A10" s="9">
        <v>1971</v>
      </c>
      <c r="B10" s="1">
        <f>Australia!G50</f>
        <v>0.88267025929554799</v>
      </c>
      <c r="C10" s="1">
        <f>Austria!G50</f>
        <v>1.8139357426800291</v>
      </c>
      <c r="D10" s="1">
        <f>Belgium!G50</f>
        <v>1.211448218761078</v>
      </c>
      <c r="E10" s="1">
        <f>Britain!G50</f>
        <v>0.41092000000000001</v>
      </c>
      <c r="F10" s="1">
        <f>Canada!G50</f>
        <v>1.0097916659166699</v>
      </c>
      <c r="H10" s="1">
        <f>'Czech Rep'!G50</f>
        <v>21.251948621856169</v>
      </c>
      <c r="I10" s="1">
        <f>Denmark!G50</f>
        <v>7.4169</v>
      </c>
      <c r="J10" s="1">
        <f>Finland!G50</f>
        <v>0.70375210445142966</v>
      </c>
      <c r="K10" s="1">
        <f>France!G50</f>
        <v>0.84496392294007072</v>
      </c>
      <c r="L10" s="1">
        <f>Germany!G50</f>
        <v>1.7848125859609481</v>
      </c>
      <c r="M10" s="1">
        <f>Greece!G50</f>
        <v>8.8041085840058667E-2</v>
      </c>
      <c r="N10" s="4">
        <f>Hungary!G50</f>
        <v>59.426583333333333</v>
      </c>
      <c r="O10" s="4"/>
      <c r="P10" s="1">
        <f>Ireland!G50</f>
        <v>0.52176077118811925</v>
      </c>
      <c r="Q10" s="9">
        <f>Israel!K50</f>
        <v>39138.454012247574</v>
      </c>
      <c r="R10" s="1">
        <f>Italy!G50</f>
        <v>0.31935542735947636</v>
      </c>
      <c r="S10" s="4">
        <f>Japan!G50</f>
        <v>349.32999999999993</v>
      </c>
      <c r="T10" s="4">
        <f>Korea!G50</f>
        <v>347.14999999999992</v>
      </c>
      <c r="U10" s="1">
        <f>Netherlands!G50</f>
        <v>1.5893334422405849</v>
      </c>
      <c r="V10" s="1">
        <f>'New Zealand'!G50</f>
        <v>0.88061999999999996</v>
      </c>
      <c r="W10" s="1">
        <f>Norway!G50</f>
        <v>7.04176</v>
      </c>
      <c r="X10" s="1">
        <f>Spain!G50</f>
        <v>0.41610872709643038</v>
      </c>
      <c r="Y10" s="1">
        <f>Sweden!G50</f>
        <v>5.1168099999999992</v>
      </c>
      <c r="Z10" s="1">
        <f>Swiss!G50</f>
        <v>4.076833333333334</v>
      </c>
      <c r="AA10" s="53">
        <f>Turkey!G50</f>
        <v>1.5000000000000004E-5</v>
      </c>
      <c r="AB10" s="1">
        <v>1.1052456935784492</v>
      </c>
      <c r="AC10" s="2">
        <v>0.98039215686274506</v>
      </c>
    </row>
    <row r="11" spans="1:35">
      <c r="A11" s="9">
        <v>1972</v>
      </c>
      <c r="B11" s="1">
        <f>Australia!G51</f>
        <v>0.838697807262207</v>
      </c>
      <c r="C11" s="1">
        <f>Austria!G51</f>
        <v>1.6798543636403269</v>
      </c>
      <c r="D11" s="1">
        <f>Belgium!G51</f>
        <v>1.0910934335484219</v>
      </c>
      <c r="E11" s="1">
        <f>Britain!G51</f>
        <v>0.40039000000000002</v>
      </c>
      <c r="F11" s="1">
        <f>Canada!G51</f>
        <v>0.98993333250000004</v>
      </c>
      <c r="H11" s="1">
        <f>'Czech Rep'!G51</f>
        <v>21.344311663202756</v>
      </c>
      <c r="I11" s="1">
        <f>Denmark!G51</f>
        <v>6.9493</v>
      </c>
      <c r="J11" s="1">
        <f>Finland!G51</f>
        <v>0.69736264512515689</v>
      </c>
      <c r="K11" s="1">
        <f>France!G51</f>
        <v>0.76899857765066904</v>
      </c>
      <c r="L11" s="1">
        <f>Germany!G51</f>
        <v>1.6303257440575101</v>
      </c>
      <c r="M11" s="1">
        <f>Greece!G51</f>
        <v>8.8041085840058667E-2</v>
      </c>
      <c r="N11" s="4">
        <f>Hungary!G51</f>
        <v>55.26</v>
      </c>
      <c r="O11" s="4"/>
      <c r="P11" s="1">
        <f>Ireland!G51</f>
        <v>0.50839042922225997</v>
      </c>
      <c r="Q11" s="9">
        <f>Israel!K51</f>
        <v>38206.913335982012</v>
      </c>
      <c r="R11" s="1">
        <f>Italy!G51</f>
        <v>0.30120670154472257</v>
      </c>
      <c r="S11" s="4">
        <f>Japan!G51</f>
        <v>303.17</v>
      </c>
      <c r="T11" s="4">
        <f>Korea!G51</f>
        <v>392.88999999999987</v>
      </c>
      <c r="U11" s="1">
        <f>Netherlands!G51</f>
        <v>1.4564076035413009</v>
      </c>
      <c r="V11" s="1">
        <f>'New Zealand'!G51</f>
        <v>0.8368199999999999</v>
      </c>
      <c r="W11" s="1">
        <f>Norway!G51</f>
        <v>6.5882500000000004</v>
      </c>
      <c r="X11" s="1">
        <f>Spain!G51</f>
        <v>0.38627899382560232</v>
      </c>
      <c r="Y11" s="1">
        <f>Sweden!G51</f>
        <v>4.7624199999999988</v>
      </c>
      <c r="Z11" s="1">
        <f>Swiss!G51</f>
        <v>3.8042500000000001</v>
      </c>
      <c r="AA11" s="53">
        <f>Turkey!G51</f>
        <v>1.3999999999999996E-5</v>
      </c>
      <c r="AB11" s="1">
        <v>1.0157632053710632</v>
      </c>
      <c r="AC11" s="2">
        <v>0.93896713615023475</v>
      </c>
      <c r="AI11" s="1"/>
    </row>
    <row r="12" spans="1:35">
      <c r="A12" s="9">
        <v>1973</v>
      </c>
      <c r="B12" s="1">
        <f>Australia!G52</f>
        <v>0.70349710157742595</v>
      </c>
      <c r="C12" s="1">
        <f>Austria!G52</f>
        <v>1.4229340930066929</v>
      </c>
      <c r="D12" s="1">
        <f>Belgium!G52</f>
        <v>0.96620219683241637</v>
      </c>
      <c r="E12" s="1">
        <f>Britain!G52</f>
        <v>0.40817100000000001</v>
      </c>
      <c r="F12" s="1">
        <f>Canada!G52</f>
        <v>1.00008333233333</v>
      </c>
      <c r="H12" s="1">
        <f>'Czech Rep'!G52</f>
        <v>21.436431845189095</v>
      </c>
      <c r="I12" s="1">
        <f>Denmark!G52</f>
        <v>6.0495000000000001</v>
      </c>
      <c r="J12" s="1">
        <f>Finland!G52</f>
        <v>0.6426746589569321</v>
      </c>
      <c r="K12" s="1">
        <f>France!G52</f>
        <v>0.67958722904092794</v>
      </c>
      <c r="L12" s="1">
        <f>Germany!G52</f>
        <v>1.3664786816850141</v>
      </c>
      <c r="M12" s="1">
        <f>Greece!G52</f>
        <v>8.6940572267057939E-2</v>
      </c>
      <c r="N12" s="4">
        <f>Hungary!G52</f>
        <v>48.257249999999999</v>
      </c>
      <c r="O12" s="4">
        <v>7.6540999999999997</v>
      </c>
      <c r="P12" s="1">
        <f>Ireland!G52</f>
        <v>0.51826899147243899</v>
      </c>
      <c r="Q12" s="9">
        <f>Israel!K52</f>
        <v>29984.28489887276</v>
      </c>
      <c r="R12" s="1">
        <f>Italy!G52</f>
        <v>0.30109222026542443</v>
      </c>
      <c r="S12" s="4">
        <f>Japan!G52</f>
        <v>271.7</v>
      </c>
      <c r="T12" s="4">
        <f>Korea!G52</f>
        <v>398.31999999999988</v>
      </c>
      <c r="U12" s="1">
        <f>Netherlands!G52</f>
        <v>1.2685652830907881</v>
      </c>
      <c r="V12" s="1">
        <f>'New Zealand'!G52</f>
        <v>0.73680999999999985</v>
      </c>
      <c r="W12" s="1">
        <f>Norway!G52</f>
        <v>5.7658300000000002</v>
      </c>
      <c r="X12" s="1">
        <f>Spain!G52</f>
        <v>0.3501501528574118</v>
      </c>
      <c r="Y12" s="1">
        <f>Sweden!G52</f>
        <v>4.3672500000000003</v>
      </c>
      <c r="Z12" s="1">
        <f>Swiss!G52</f>
        <v>3.13625</v>
      </c>
      <c r="AA12" s="53">
        <f>Turkey!G52</f>
        <v>1.3999999999999996E-5</v>
      </c>
      <c r="AB12" s="1">
        <v>0.87695233156407593</v>
      </c>
      <c r="AC12" s="2">
        <v>0.83612040133779264</v>
      </c>
    </row>
    <row r="13" spans="1:35">
      <c r="A13" s="9">
        <v>1974</v>
      </c>
      <c r="B13" s="1">
        <f>Australia!G53</f>
        <v>0.69666586863809599</v>
      </c>
      <c r="C13" s="1">
        <f>Austria!G53</f>
        <v>1.3584369526827169</v>
      </c>
      <c r="D13" s="1">
        <f>Belgium!G53</f>
        <v>0.96558246302048356</v>
      </c>
      <c r="E13" s="1">
        <f>Britain!G53</f>
        <v>0.42775600000000003</v>
      </c>
      <c r="F13" s="1">
        <f>Canada!G53</f>
        <v>0.97803333233333301</v>
      </c>
      <c r="H13" s="1">
        <f>'Czech Rep'!G53</f>
        <v>21.524124866369945</v>
      </c>
      <c r="I13" s="1">
        <f>Denmark!G53</f>
        <v>6.0949</v>
      </c>
      <c r="J13" s="1">
        <f>Finland!G53</f>
        <v>0.63469918748412724</v>
      </c>
      <c r="K13" s="1">
        <f>France!G53</f>
        <v>0.73390481388261719</v>
      </c>
      <c r="L13" s="1">
        <f>Germany!G53</f>
        <v>1.323095565565515</v>
      </c>
      <c r="M13" s="1">
        <f>Greece!G53</f>
        <v>8.8041085840058667E-2</v>
      </c>
      <c r="N13" s="4">
        <f>Hungary!G53</f>
        <v>46.713166666666666</v>
      </c>
      <c r="O13" s="4">
        <v>8.0289000000000001</v>
      </c>
      <c r="P13" s="1">
        <f>Ireland!G53</f>
        <v>0.54313046304808232</v>
      </c>
      <c r="Q13" s="9">
        <f>Israel!K53</f>
        <v>20049.648737458625</v>
      </c>
      <c r="R13" s="1">
        <f>Italy!G53</f>
        <v>0.33587430127685369</v>
      </c>
      <c r="S13" s="4">
        <f>Japan!G53</f>
        <v>292.07999999999993</v>
      </c>
      <c r="T13" s="4">
        <f>Korea!G53</f>
        <v>404.47</v>
      </c>
      <c r="U13" s="1">
        <f>Netherlands!G53</f>
        <v>1.219933657332408</v>
      </c>
      <c r="V13" s="1">
        <f>'New Zealand'!G53</f>
        <v>0.71540000000000004</v>
      </c>
      <c r="W13" s="1">
        <f>Norway!G53</f>
        <v>5.5397100000000004</v>
      </c>
      <c r="X13" s="1">
        <f>Spain!G53</f>
        <v>0.34670284759535064</v>
      </c>
      <c r="Y13" s="1">
        <f>Sweden!G53</f>
        <v>4.4394299999999998</v>
      </c>
      <c r="Z13" s="1">
        <f>Swiss!G53</f>
        <v>2.9087499999999999</v>
      </c>
      <c r="AA13" s="53">
        <f>Turkey!G53</f>
        <v>1.3999999999999996E-5</v>
      </c>
      <c r="AB13" s="1">
        <v>0.87429663545462155</v>
      </c>
      <c r="AC13" s="2">
        <v>0.83125519534497083</v>
      </c>
    </row>
    <row r="14" spans="1:35">
      <c r="A14" s="9">
        <v>1975</v>
      </c>
      <c r="B14" s="1">
        <f>Australia!G54</f>
        <v>0.76387124900000003</v>
      </c>
      <c r="C14" s="1">
        <f>Austria!G54</f>
        <v>1.2657282181347791</v>
      </c>
      <c r="D14" s="1">
        <f>Belgium!G54</f>
        <v>0.91172511582824944</v>
      </c>
      <c r="E14" s="1">
        <f>Britain!G54</f>
        <v>0.45204100000000003</v>
      </c>
      <c r="F14" s="1">
        <f>Canada!G54</f>
        <v>1.01715833283333</v>
      </c>
      <c r="H14" s="1">
        <f>'Czech Rep'!G54</f>
        <v>21.695525640921474</v>
      </c>
      <c r="I14" s="1">
        <f>Denmark!G54</f>
        <v>5.7462</v>
      </c>
      <c r="J14" s="1">
        <f>Finland!G54</f>
        <v>0.61870787943616679</v>
      </c>
      <c r="K14" s="1">
        <f>France!G54</f>
        <v>0.65342697768298841</v>
      </c>
      <c r="L14" s="1">
        <f>Germany!G54</f>
        <v>1.2579263023882441</v>
      </c>
      <c r="M14" s="1">
        <f>Greece!G54</f>
        <v>9.4060895084372695E-2</v>
      </c>
      <c r="N14" s="4">
        <f>Hungary!G54</f>
        <v>43.556333333333335</v>
      </c>
      <c r="O14" s="4">
        <v>8.4085999999999999</v>
      </c>
      <c r="P14" s="1">
        <f>Ireland!G54</f>
        <v>0.57397240097312718</v>
      </c>
      <c r="Q14" s="9">
        <f>Israel!K54</f>
        <v>18390.699594365691</v>
      </c>
      <c r="R14" s="1">
        <f>Italy!G54</f>
        <v>0.33716845618982205</v>
      </c>
      <c r="S14" s="4">
        <f>Japan!G54</f>
        <v>296.79000000000002</v>
      </c>
      <c r="T14" s="4">
        <f>Korea!G54</f>
        <v>484</v>
      </c>
      <c r="U14" s="1">
        <f>Netherlands!G54</f>
        <v>1.1476056286898</v>
      </c>
      <c r="V14" s="1">
        <f>'New Zealand'!G54</f>
        <v>0.83230999999999988</v>
      </c>
      <c r="W14" s="1">
        <f>Norway!G54</f>
        <v>5.226939999999999</v>
      </c>
      <c r="X14" s="1">
        <f>Spain!G54</f>
        <v>0.34502251792017757</v>
      </c>
      <c r="Y14" s="1">
        <f>Sweden!G54</f>
        <v>4.15219</v>
      </c>
      <c r="Z14" s="1">
        <f>Swiss!G54</f>
        <v>2.5879916666666669</v>
      </c>
      <c r="AA14" s="53">
        <f>Turkey!G54</f>
        <v>1.4333333333333336E-5</v>
      </c>
      <c r="AB14" s="1">
        <v>0.82496059669009281</v>
      </c>
      <c r="AC14" s="2">
        <v>0.82508250825082508</v>
      </c>
    </row>
    <row r="15" spans="1:35">
      <c r="A15" s="9">
        <v>1976</v>
      </c>
      <c r="B15" s="1">
        <f>Australia!G55</f>
        <v>0.81828408233333305</v>
      </c>
      <c r="C15" s="1">
        <f>Austria!G55</f>
        <v>1.3037288431211529</v>
      </c>
      <c r="D15" s="1">
        <f>Belgium!G55</f>
        <v>0.95699791025758607</v>
      </c>
      <c r="E15" s="1">
        <f>Britain!G55</f>
        <v>0.55650999999999995</v>
      </c>
      <c r="F15" s="1">
        <f>Canada!G55</f>
        <v>0.98602499908333296</v>
      </c>
      <c r="H15" s="1">
        <f>'Czech Rep'!G55</f>
        <v>21.972448718692203</v>
      </c>
      <c r="I15" s="1">
        <f>Denmark!G55</f>
        <v>6.044999999999999</v>
      </c>
      <c r="J15" s="1">
        <f>Finland!G55</f>
        <v>0.64994878677639245</v>
      </c>
      <c r="K15" s="1">
        <f>France!G55</f>
        <v>0.72855385337758405</v>
      </c>
      <c r="L15" s="1">
        <f>Germany!G55</f>
        <v>1.2874329568520779</v>
      </c>
      <c r="M15" s="1">
        <f>Greece!G55</f>
        <v>0.10716825629738323</v>
      </c>
      <c r="N15" s="4">
        <f>Hungary!G55</f>
        <v>41.575249999999997</v>
      </c>
      <c r="O15" s="4">
        <v>8.9715000000000007</v>
      </c>
      <c r="P15" s="1">
        <f>Ireland!G55</f>
        <v>0.70662193802662376</v>
      </c>
      <c r="Q15" s="9">
        <f>Israel!K55</f>
        <v>14915.424247335572</v>
      </c>
      <c r="R15" s="1">
        <f>Italy!G55</f>
        <v>0.42986515310364765</v>
      </c>
      <c r="S15" s="4">
        <f>Japan!G55</f>
        <v>296.55</v>
      </c>
      <c r="T15" s="4">
        <f>Korea!G55</f>
        <v>484</v>
      </c>
      <c r="U15" s="1">
        <f>Netherlands!G55</f>
        <v>1.199767664529362</v>
      </c>
      <c r="V15" s="1">
        <f>'New Zealand'!G55</f>
        <v>1.0048900000000001</v>
      </c>
      <c r="W15" s="1">
        <f>Norway!G55</f>
        <v>5.4565200000000003</v>
      </c>
      <c r="X15" s="1">
        <f>Spain!G55</f>
        <v>0.40209462735246154</v>
      </c>
      <c r="Y15" s="1">
        <f>Sweden!G55</f>
        <v>4.3558899999999987</v>
      </c>
      <c r="Z15" s="1">
        <f>Swiss!G55</f>
        <v>2.4902500000000001</v>
      </c>
      <c r="AA15" s="53">
        <f>Turkey!G55</f>
        <v>1.591666666666667E-5</v>
      </c>
      <c r="AB15" s="1">
        <v>0.87979089826140855</v>
      </c>
      <c r="AC15" s="2">
        <v>0.86655112651646449</v>
      </c>
    </row>
    <row r="16" spans="1:35">
      <c r="A16" s="9">
        <v>1977</v>
      </c>
      <c r="B16" s="1">
        <f>Australia!G56</f>
        <v>0.90182499900000002</v>
      </c>
      <c r="C16" s="1">
        <f>Austria!G56</f>
        <v>1.2010566630088011</v>
      </c>
      <c r="D16" s="1">
        <f>Belgium!G56</f>
        <v>0.88851980297422639</v>
      </c>
      <c r="E16" s="1">
        <f>Britain!G56</f>
        <v>0.573272</v>
      </c>
      <c r="F16" s="1">
        <f>Canada!G56</f>
        <v>1.06344999941667</v>
      </c>
      <c r="H16" s="1">
        <f>'Czech Rep'!G56</f>
        <v>22.249371807368863</v>
      </c>
      <c r="I16" s="1">
        <f>Denmark!G56</f>
        <v>6.0031999999999988</v>
      </c>
      <c r="J16" s="1">
        <f>Finland!G56</f>
        <v>0.67769979464254182</v>
      </c>
      <c r="K16" s="1">
        <f>France!G56</f>
        <v>0.74907349109773946</v>
      </c>
      <c r="L16" s="1">
        <f>Germany!G56</f>
        <v>1.187311780676235</v>
      </c>
      <c r="M16" s="1">
        <f>Greece!G56</f>
        <v>0.10810980679872829</v>
      </c>
      <c r="N16" s="4">
        <f>Hungary!G56</f>
        <v>40.835833333333348</v>
      </c>
      <c r="O16" s="4">
        <v>8.7683</v>
      </c>
      <c r="P16" s="1">
        <f>Ireland!G56</f>
        <v>0.72790274822109668</v>
      </c>
      <c r="Q16" s="9">
        <f>Israel!K56</f>
        <v>12107.637999990597</v>
      </c>
      <c r="R16" s="1">
        <f>Italy!G56</f>
        <v>0.45571554242607348</v>
      </c>
      <c r="S16" s="4">
        <f>Japan!G56</f>
        <v>268.51</v>
      </c>
      <c r="T16" s="4">
        <f>Korea!G56</f>
        <v>484</v>
      </c>
      <c r="U16" s="1">
        <f>Netherlands!G56</f>
        <v>1.1136900953392239</v>
      </c>
      <c r="V16" s="1">
        <f>'New Zealand'!G56</f>
        <v>1.0303100000000001</v>
      </c>
      <c r="W16" s="1">
        <f>Norway!G56</f>
        <v>5.3234999999999992</v>
      </c>
      <c r="X16" s="1">
        <f>Spain!G56</f>
        <v>0.45653981304516811</v>
      </c>
      <c r="Y16" s="1">
        <f>Sweden!G56</f>
        <v>4.4816399999999987</v>
      </c>
      <c r="Z16" s="1">
        <f>Swiss!G56</f>
        <v>2.3617500000000002</v>
      </c>
      <c r="AA16" s="53">
        <f>Turkey!G56</f>
        <v>1.8E-5</v>
      </c>
      <c r="AB16" s="1">
        <v>0.84901901853400441</v>
      </c>
      <c r="AC16" s="2">
        <v>0.85543199315654406</v>
      </c>
      <c r="AG16" s="2" t="s">
        <v>252</v>
      </c>
    </row>
    <row r="17" spans="1:33">
      <c r="A17" s="9">
        <v>1978</v>
      </c>
      <c r="B17" s="1">
        <f>Australia!G57</f>
        <v>0.87365924900000003</v>
      </c>
      <c r="C17" s="1">
        <f>Austria!G57</f>
        <v>1.0553330959354079</v>
      </c>
      <c r="D17" s="1">
        <f>Belgium!G57</f>
        <v>0.78066876715113309</v>
      </c>
      <c r="E17" s="1">
        <f>Britain!G57</f>
        <v>0.521505</v>
      </c>
      <c r="F17" s="1">
        <f>Canada!G57</f>
        <v>1.1406749993333301</v>
      </c>
      <c r="H17" s="1">
        <f>'Czech Rep'!G57</f>
        <v>22.526294947728697</v>
      </c>
      <c r="I17" s="1">
        <f>Denmark!G57</f>
        <v>5.5145999999999988</v>
      </c>
      <c r="J17" s="1">
        <f>Finland!G57</f>
        <v>0.69248519525777308</v>
      </c>
      <c r="K17" s="1">
        <f>France!G57</f>
        <v>0.68801765969415662</v>
      </c>
      <c r="L17" s="1">
        <f>Germany!G57</f>
        <v>1.0269962113271609</v>
      </c>
      <c r="M17" s="1">
        <f>Greece!G57</f>
        <v>0.10783687943262411</v>
      </c>
      <c r="N17" s="4">
        <f>Hungary!G57</f>
        <v>37.559583333333329</v>
      </c>
      <c r="O17" s="4">
        <v>8.1979000000000006</v>
      </c>
      <c r="P17" s="1">
        <f>Ireland!G57</f>
        <v>0.66216840790081799</v>
      </c>
      <c r="Q17" s="9">
        <f>Israel!K57</f>
        <v>10535.552494497828</v>
      </c>
      <c r="R17" s="1">
        <f>Italy!G57</f>
        <v>0.43829803350428054</v>
      </c>
      <c r="S17" s="4">
        <f>Japan!G57</f>
        <v>210.44</v>
      </c>
      <c r="T17" s="4">
        <f>Korea!G57</f>
        <v>484</v>
      </c>
      <c r="U17" s="1">
        <f>Netherlands!G57</f>
        <v>0.98178979992830273</v>
      </c>
      <c r="V17" s="1">
        <f>'New Zealand'!G57</f>
        <v>0.96441999999999994</v>
      </c>
      <c r="W17" s="1">
        <f>Norway!G57</f>
        <v>5.2422499999999994</v>
      </c>
      <c r="X17" s="1">
        <f>Spain!G57</f>
        <v>0.46078295850211753</v>
      </c>
      <c r="Y17" s="1">
        <f>Sweden!G57</f>
        <v>4.5184799999999994</v>
      </c>
      <c r="Z17" s="1">
        <f>Swiss!G57</f>
        <v>1.7617583333333331</v>
      </c>
      <c r="AA17" s="53">
        <f>Turkey!G57</f>
        <v>2.3500000000000005E-5</v>
      </c>
      <c r="AB17" s="1">
        <v>0.76152982982202966</v>
      </c>
      <c r="AC17" s="2">
        <v>0.79491255961844198</v>
      </c>
    </row>
    <row r="18" spans="1:33">
      <c r="A18" s="9">
        <v>1979</v>
      </c>
      <c r="B18" s="1">
        <f>Australia!G58</f>
        <v>0.89464091566666704</v>
      </c>
      <c r="C18" s="1">
        <f>Austria!G58</f>
        <v>0.97145411073886467</v>
      </c>
      <c r="D18" s="1">
        <f>Belgium!G58</f>
        <v>0.72679158847691738</v>
      </c>
      <c r="E18" s="1">
        <f>Britain!G58</f>
        <v>0.47218100000000002</v>
      </c>
      <c r="F18" s="1">
        <f>Canada!G58</f>
        <v>1.1714249994999999</v>
      </c>
      <c r="H18" s="1">
        <f>'Czech Rep'!G58</f>
        <v>22.803217986264894</v>
      </c>
      <c r="I18" s="1">
        <f>Denmark!G58</f>
        <v>5.2609999999999992</v>
      </c>
      <c r="J18" s="1">
        <f>Finland!G58</f>
        <v>0.65514747558331776</v>
      </c>
      <c r="K18" s="1">
        <f>France!G58</f>
        <v>0.64857909893483867</v>
      </c>
      <c r="L18" s="1">
        <f>Germany!G58</f>
        <v>0.93713666320692501</v>
      </c>
      <c r="M18" s="1">
        <f>Greece!G58</f>
        <v>0.10869674737099538</v>
      </c>
      <c r="N18" s="4">
        <f>Hungary!G58</f>
        <v>35.446499999999993</v>
      </c>
      <c r="O18" s="4">
        <v>8.1563999999999997</v>
      </c>
      <c r="P18" s="1">
        <f>Ireland!G58</f>
        <v>0.62038132773971388</v>
      </c>
      <c r="Q18" s="9">
        <f>Israel!K58</f>
        <v>6025.5734006879475</v>
      </c>
      <c r="R18" s="1">
        <f>Italy!G58</f>
        <v>0.42910423993898922</v>
      </c>
      <c r="S18" s="4">
        <f>Japan!G58</f>
        <v>219.14</v>
      </c>
      <c r="T18" s="4">
        <f>Korea!G58</f>
        <v>484</v>
      </c>
      <c r="U18" s="1">
        <f>Netherlands!G58</f>
        <v>0.91027857567465775</v>
      </c>
      <c r="V18" s="1">
        <f>'New Zealand'!G58</f>
        <v>0.97850000000000004</v>
      </c>
      <c r="W18" s="1">
        <f>Norway!G58</f>
        <v>5.0640700000000001</v>
      </c>
      <c r="X18" s="1">
        <f>Spain!G58</f>
        <v>0.40342937506761389</v>
      </c>
      <c r="Y18" s="1">
        <f>Sweden!G58</f>
        <v>4.2870799999999987</v>
      </c>
      <c r="Z18" s="1">
        <f>Swiss!G58</f>
        <v>1.6561083333333333</v>
      </c>
      <c r="AA18" s="53">
        <f>Turkey!G58</f>
        <v>3.0333333333333326E-5</v>
      </c>
      <c r="AB18" s="1">
        <v>0.70575102376029564</v>
      </c>
      <c r="AC18" s="2">
        <v>0.77279752704791338</v>
      </c>
    </row>
    <row r="19" spans="1:33">
      <c r="A19" s="9">
        <v>1980</v>
      </c>
      <c r="B19" s="1">
        <f>Australia!G59</f>
        <v>0.87824433233333299</v>
      </c>
      <c r="C19" s="1">
        <f>Austria!G59</f>
        <v>0.94024112846376895</v>
      </c>
      <c r="D19" s="1">
        <f>Belgium!G59</f>
        <v>0.72488280833616336</v>
      </c>
      <c r="E19" s="1">
        <f>Britain!G59</f>
        <v>0.43029499999999993</v>
      </c>
      <c r="F19" s="1">
        <f>Canada!G59</f>
        <v>1.1692166660000001</v>
      </c>
      <c r="H19" s="1">
        <f>'Czech Rep'!G59</f>
        <v>23.080137354171811</v>
      </c>
      <c r="I19" s="1">
        <f>Denmark!G59</f>
        <v>5.6359000000000004</v>
      </c>
      <c r="J19" s="1">
        <f>Finland!G59</f>
        <v>0.62735442073555303</v>
      </c>
      <c r="K19" s="1">
        <f>France!G59</f>
        <v>0.64418856723840134</v>
      </c>
      <c r="L19" s="1">
        <f>Germany!G59</f>
        <v>0.92935991369393045</v>
      </c>
      <c r="M19" s="1">
        <f>Greece!G59</f>
        <v>0.12506700904866716</v>
      </c>
      <c r="N19" s="4">
        <f>Hungary!G59</f>
        <v>32.411833333333327</v>
      </c>
      <c r="O19" s="4">
        <v>7.8868</v>
      </c>
      <c r="P19" s="1">
        <f>Ireland!G59</f>
        <v>0.61791803586756111</v>
      </c>
      <c r="Q19" s="9">
        <f>Israel!K59</f>
        <v>2915.6501629146937</v>
      </c>
      <c r="R19" s="1">
        <f>Italy!G59</f>
        <v>0.44231822008294297</v>
      </c>
      <c r="S19" s="4">
        <f>Japan!G59</f>
        <v>226.74</v>
      </c>
      <c r="T19" s="4">
        <f>Korea!G59</f>
        <v>607.42999999999995</v>
      </c>
      <c r="U19" s="1">
        <f>Netherlands!G59</f>
        <v>0.90216952321312693</v>
      </c>
      <c r="V19" s="1">
        <f>'New Zealand'!G59</f>
        <v>1.02668</v>
      </c>
      <c r="W19" s="1">
        <f>Norway!G59</f>
        <v>4.9392299999999993</v>
      </c>
      <c r="X19" s="1">
        <f>Spain!G59</f>
        <v>0.43093719824183924</v>
      </c>
      <c r="Y19" s="1">
        <f>Sweden!G59</f>
        <v>4.2295800000000003</v>
      </c>
      <c r="Z19" s="1">
        <f>Swiss!G59</f>
        <v>1.6946999999999999</v>
      </c>
      <c r="AA19" s="53">
        <f>Turkey!G59</f>
        <v>7.4333333333333329E-5</v>
      </c>
      <c r="AB19" s="1">
        <v>0.7047207747220372</v>
      </c>
      <c r="AC19" s="2">
        <v>0.76982294072363355</v>
      </c>
    </row>
    <row r="20" spans="1:33">
      <c r="A20" s="9">
        <v>1981</v>
      </c>
      <c r="B20" s="1">
        <f>Australia!G60</f>
        <v>0.87021458233333404</v>
      </c>
      <c r="C20" s="1">
        <f>Austria!G60</f>
        <v>1.1574456952246679</v>
      </c>
      <c r="D20" s="1">
        <f>Belgium!G60</f>
        <v>0.92041130493630374</v>
      </c>
      <c r="E20" s="1">
        <f>Britain!G60</f>
        <v>0.497641</v>
      </c>
      <c r="F20" s="1">
        <f>Canada!G60</f>
        <v>1.1989083325833301</v>
      </c>
      <c r="G20" s="3">
        <v>1.7050000000000001</v>
      </c>
      <c r="H20" s="1">
        <f>'Czech Rep'!G60</f>
        <v>23.357027913873086</v>
      </c>
      <c r="I20" s="1">
        <f>Denmark!G60</f>
        <v>7.1233999999999993</v>
      </c>
      <c r="J20" s="1">
        <f>Finland!G60</f>
        <v>0.72577294966303529</v>
      </c>
      <c r="K20" s="1">
        <f>France!G60</f>
        <v>0.82849942907843022</v>
      </c>
      <c r="L20" s="1">
        <f>Germany!G60</f>
        <v>1.1555196515034529</v>
      </c>
      <c r="M20" s="1">
        <f>Greece!G60</f>
        <v>0.16260723893372461</v>
      </c>
      <c r="N20" s="4">
        <f>Hungary!G60</f>
        <v>34.470916666666675</v>
      </c>
      <c r="O20" s="4">
        <v>8.6806999999999999</v>
      </c>
      <c r="P20" s="1">
        <f>Ireland!G60</f>
        <v>0.78888826812805046</v>
      </c>
      <c r="Q20" s="9">
        <f>Israel!K60</f>
        <v>1675.6525182299304</v>
      </c>
      <c r="R20" s="1">
        <f>Italy!G60</f>
        <v>0.58709012689346018</v>
      </c>
      <c r="S20" s="4">
        <f>Japan!G60</f>
        <v>220.54</v>
      </c>
      <c r="T20" s="4">
        <f>Korea!G60</f>
        <v>681.03</v>
      </c>
      <c r="U20" s="1">
        <f>Netherlands!G60</f>
        <v>1.132272395188114</v>
      </c>
      <c r="V20" s="1">
        <f>'New Zealand'!G60</f>
        <v>1.15279</v>
      </c>
      <c r="W20" s="1">
        <f>Norway!G60</f>
        <v>5.7395099999999992</v>
      </c>
      <c r="X20" s="1">
        <f>Spain!G60</f>
        <v>0.55486539332235485</v>
      </c>
      <c r="Y20" s="1">
        <f>Sweden!G60</f>
        <v>5.0634399999999991</v>
      </c>
      <c r="Z20" s="1">
        <f>Swiss!G60</f>
        <v>1.966175</v>
      </c>
      <c r="AA20" s="53">
        <f>Turkey!G60</f>
        <v>1.0933333333333331E-4</v>
      </c>
      <c r="AB20" s="1">
        <v>0.88988322124898589</v>
      </c>
      <c r="AC20" s="2">
        <v>0.85034013605442182</v>
      </c>
      <c r="AD20" s="2">
        <f>G20/100</f>
        <v>1.7049999999999999E-2</v>
      </c>
    </row>
    <row r="21" spans="1:33">
      <c r="A21" s="9">
        <v>1982</v>
      </c>
      <c r="B21" s="1">
        <f>Australia!G61</f>
        <v>0.98586283233333405</v>
      </c>
      <c r="C21" s="1">
        <f>Austria!G61</f>
        <v>1.2397476799197691</v>
      </c>
      <c r="D21" s="1">
        <f>Belgium!G61</f>
        <v>1.132640388300417</v>
      </c>
      <c r="E21" s="1">
        <f>Britain!G61</f>
        <v>0.57244700000000004</v>
      </c>
      <c r="F21" s="1">
        <f>Canada!G61</f>
        <v>1.23373333266667</v>
      </c>
      <c r="G21" s="3">
        <v>1.8925000000000001</v>
      </c>
      <c r="H21" s="1">
        <f>'Czech Rep'!G61</f>
        <v>23.633835735458849</v>
      </c>
      <c r="I21" s="1">
        <f>Denmark!G61</f>
        <v>8.332399999999998</v>
      </c>
      <c r="J21" s="1">
        <f>Finland!G61</f>
        <v>0.81073644447359705</v>
      </c>
      <c r="K21" s="1">
        <f>France!G61</f>
        <v>1.0019101861859849</v>
      </c>
      <c r="L21" s="1">
        <f>Germany!G61</f>
        <v>1.240695765991932</v>
      </c>
      <c r="M21" s="1">
        <f>Greece!G61</f>
        <v>0.1960474443629249</v>
      </c>
      <c r="N21" s="4">
        <f>Hungary!G61</f>
        <v>37.051083333333331</v>
      </c>
      <c r="O21" s="4">
        <v>9.4847000000000001</v>
      </c>
      <c r="P21" s="1">
        <f>Ireland!G61</f>
        <v>0.89460666053806392</v>
      </c>
      <c r="Q21" s="9">
        <f>Israel!K61</f>
        <v>829.9900111356269</v>
      </c>
      <c r="R21" s="1">
        <f>Italy!G61</f>
        <v>0.69851312058752135</v>
      </c>
      <c r="S21" s="4">
        <f>Japan!G61</f>
        <v>249.08</v>
      </c>
      <c r="T21" s="4">
        <f>Korea!G61</f>
        <v>731.07999999999993</v>
      </c>
      <c r="U21" s="1">
        <f>Netherlands!G61</f>
        <v>1.21168847080605</v>
      </c>
      <c r="V21" s="1">
        <f>'New Zealand'!G61</f>
        <v>1.3326100000000001</v>
      </c>
      <c r="W21" s="1">
        <f>Norway!G61</f>
        <v>6.4540300000000004</v>
      </c>
      <c r="X21" s="1">
        <f>Spain!G61</f>
        <v>0.66026688944181999</v>
      </c>
      <c r="Y21" s="1">
        <f>Sweden!G61</f>
        <v>6.28261</v>
      </c>
      <c r="Z21" s="1">
        <f>Swiss!G61</f>
        <v>2.0405916666666668</v>
      </c>
      <c r="AA21" s="53">
        <f>Turkey!G61</f>
        <v>1.6000000000000001E-4</v>
      </c>
      <c r="AB21" s="1">
        <v>1.0046228769505012</v>
      </c>
      <c r="AC21" s="2">
        <v>0.90744101633393826</v>
      </c>
      <c r="AD21" s="2">
        <f t="shared" ref="AD21:AD58" si="0">G21/100</f>
        <v>1.8925000000000001E-2</v>
      </c>
      <c r="AG21" s="1"/>
    </row>
    <row r="22" spans="1:33">
      <c r="A22" s="9">
        <v>1983</v>
      </c>
      <c r="B22" s="1">
        <f>Australia!G62</f>
        <v>1.1100149991666699</v>
      </c>
      <c r="C22" s="1">
        <f>Austria!G62</f>
        <v>1.305443922007514</v>
      </c>
      <c r="D22" s="1">
        <f>Belgium!G62</f>
        <v>1.267521734064784</v>
      </c>
      <c r="E22" s="1">
        <f>Britain!G62</f>
        <v>0.65972500000000001</v>
      </c>
      <c r="F22" s="1">
        <f>Canada!G62</f>
        <v>1.23241666566667</v>
      </c>
      <c r="G22" s="3">
        <v>1.9757</v>
      </c>
      <c r="H22" s="1">
        <f>'Czech Rep'!G62</f>
        <v>23.911246306627035</v>
      </c>
      <c r="I22" s="1">
        <f>Denmark!G62</f>
        <v>9.1449999999999978</v>
      </c>
      <c r="J22" s="1">
        <f>Finland!G62</f>
        <v>0.93682020542473321</v>
      </c>
      <c r="K22" s="1">
        <f>France!G62</f>
        <v>1.1618596950714759</v>
      </c>
      <c r="L22" s="1">
        <f>Germany!G62</f>
        <v>1.305461108583057</v>
      </c>
      <c r="M22" s="1">
        <f>Greece!G62</f>
        <v>0.25844240645634631</v>
      </c>
      <c r="N22" s="4">
        <f>Hungary!G62</f>
        <v>43.155833333333334</v>
      </c>
      <c r="O22" s="4">
        <v>10.104100000000001</v>
      </c>
      <c r="P22" s="1">
        <f>Ireland!G62</f>
        <v>1.021732836950394</v>
      </c>
      <c r="Q22" s="9">
        <f>Israel!K62</f>
        <v>333.12616593058476</v>
      </c>
      <c r="R22" s="1">
        <f>Italy!G62</f>
        <v>0.78441970042056808</v>
      </c>
      <c r="S22" s="4">
        <f>Japan!G62</f>
        <v>237.51</v>
      </c>
      <c r="T22" s="4">
        <f>Korea!G62</f>
        <v>775.75</v>
      </c>
      <c r="U22" s="1">
        <f>Netherlands!G62</f>
        <v>1.295147728149348</v>
      </c>
      <c r="V22" s="1">
        <f>'New Zealand'!G62</f>
        <v>1.4967699999999999</v>
      </c>
      <c r="W22" s="1">
        <f>Norway!G62</f>
        <v>7.2963699999999987</v>
      </c>
      <c r="X22" s="1">
        <f>Spain!G62</f>
        <v>0.86203116047423867</v>
      </c>
      <c r="Y22" s="1">
        <f>Sweden!G62</f>
        <v>7.6671099999999992</v>
      </c>
      <c r="Z22" s="1">
        <f>Swiss!G62</f>
        <v>2.1215583333333332</v>
      </c>
      <c r="AA22" s="53">
        <f>Turkey!G62</f>
        <v>2.2241666666666669E-4</v>
      </c>
      <c r="AB22" s="1">
        <v>1.1131213854018172</v>
      </c>
      <c r="AC22" s="2">
        <v>0.93720712277413309</v>
      </c>
      <c r="AD22" s="2">
        <f t="shared" si="0"/>
        <v>1.9757E-2</v>
      </c>
    </row>
    <row r="23" spans="1:33">
      <c r="A23" s="9">
        <v>1984</v>
      </c>
      <c r="B23" s="1">
        <f>Australia!G63</f>
        <v>1.1395191659166699</v>
      </c>
      <c r="C23" s="1">
        <f>Austria!G63</f>
        <v>1.454118006148122</v>
      </c>
      <c r="D23" s="1">
        <f>Belgium!G63</f>
        <v>1.432425464614439</v>
      </c>
      <c r="E23" s="1">
        <f>Britain!G63</f>
        <v>0.751807</v>
      </c>
      <c r="F23" s="1">
        <f>Canada!G63</f>
        <v>1.2950666663333299</v>
      </c>
      <c r="G23" s="3">
        <v>2.327</v>
      </c>
      <c r="H23" s="1">
        <f>'Czech Rep'!G63</f>
        <v>24.197485272861186</v>
      </c>
      <c r="I23" s="1">
        <f>Denmark!G63</f>
        <v>10.3566</v>
      </c>
      <c r="J23" s="1">
        <f>Finland!G63</f>
        <v>1.010809438033681</v>
      </c>
      <c r="K23" s="1">
        <f>France!G63</f>
        <v>1.332267206539453</v>
      </c>
      <c r="L23" s="1">
        <f>Germany!G63</f>
        <v>1.4551060163715659</v>
      </c>
      <c r="M23" s="1">
        <f>Greece!G63</f>
        <v>0.33078967962827094</v>
      </c>
      <c r="N23" s="4">
        <f>Hungary!G63</f>
        <v>48.544249999999998</v>
      </c>
      <c r="O23" s="4">
        <v>11.346500000000001</v>
      </c>
      <c r="P23" s="1">
        <f>Ireland!G63</f>
        <v>1.1713968642548409</v>
      </c>
      <c r="Q23" s="2">
        <f>Israel!K63</f>
        <v>84.137994882864149</v>
      </c>
      <c r="R23" s="1">
        <f>Italy!G63</f>
        <v>0.9073945438050135</v>
      </c>
      <c r="S23" s="4">
        <f>Japan!G63</f>
        <v>237.52</v>
      </c>
      <c r="T23" s="4">
        <f>Korea!G63</f>
        <v>805.9799999999999</v>
      </c>
      <c r="U23" s="1">
        <f>Netherlands!G63</f>
        <v>1.4560355037641071</v>
      </c>
      <c r="V23" s="1">
        <f>'New Zealand'!G63</f>
        <v>1.7639899999999999</v>
      </c>
      <c r="W23" s="1">
        <f>Norway!G63</f>
        <v>8.1614599999999999</v>
      </c>
      <c r="X23" s="1">
        <f>Spain!G63</f>
        <v>0.96619306912841241</v>
      </c>
      <c r="Y23" s="1">
        <f>Sweden!G63</f>
        <v>8.2717999999999989</v>
      </c>
      <c r="Z23" s="1">
        <f>Swiss!G63</f>
        <v>2.3847833333333335</v>
      </c>
      <c r="AA23" s="53">
        <f>Turkey!G63</f>
        <v>3.6000000000000002E-4</v>
      </c>
      <c r="AB23" s="1">
        <v>1.2582705386073154</v>
      </c>
      <c r="AC23" s="2">
        <v>0.97751710654936474</v>
      </c>
      <c r="AD23" s="2">
        <f t="shared" si="0"/>
        <v>2.3269999999999999E-2</v>
      </c>
    </row>
    <row r="24" spans="1:33">
      <c r="A24" s="9">
        <v>1985</v>
      </c>
      <c r="B24" s="1">
        <f>Australia!G64</f>
        <v>1.4318949995000001</v>
      </c>
      <c r="C24" s="1">
        <f>Austria!G64</f>
        <v>1.503564602515933</v>
      </c>
      <c r="D24" s="1">
        <f>Belgium!G64</f>
        <v>1.471942171398541</v>
      </c>
      <c r="E24" s="1">
        <f>Britain!G64</f>
        <v>0.77924599999999999</v>
      </c>
      <c r="F24" s="1">
        <f>Canada!G64</f>
        <v>1.36548333291667</v>
      </c>
      <c r="G24" s="3">
        <v>2.9366000000000003</v>
      </c>
      <c r="H24" s="1">
        <f>'Czech Rep'!G64</f>
        <v>24.639756229408377</v>
      </c>
      <c r="I24" s="1">
        <f>Denmark!G64</f>
        <v>10.596399999999999</v>
      </c>
      <c r="J24" s="1">
        <f>Finland!G64</f>
        <v>1.0424119494157991</v>
      </c>
      <c r="K24" s="1">
        <f>France!G64</f>
        <v>1.36978490968158</v>
      </c>
      <c r="L24" s="1">
        <f>Germany!G64</f>
        <v>1.5052279594852309</v>
      </c>
      <c r="M24" s="1">
        <f>Greece!G64</f>
        <v>0.40533846906334065</v>
      </c>
      <c r="N24" s="4">
        <f>Hungary!G64</f>
        <v>49.771916666666669</v>
      </c>
      <c r="O24" s="4">
        <v>12.331799999999999</v>
      </c>
      <c r="P24" s="1">
        <f>Ireland!G64</f>
        <v>1.2006770243434179</v>
      </c>
      <c r="Q24" s="2">
        <f>Israel!K64</f>
        <v>22.819291249609531</v>
      </c>
      <c r="R24" s="1">
        <f>Italy!G64</f>
        <v>0.98614303101667999</v>
      </c>
      <c r="S24" s="4">
        <f>Japan!G64</f>
        <v>238.54</v>
      </c>
      <c r="T24" s="4">
        <f>Korea!G64</f>
        <v>870.01999999999987</v>
      </c>
      <c r="U24" s="1">
        <f>Netherlands!G64</f>
        <v>1.5071856097217871</v>
      </c>
      <c r="V24" s="1">
        <f>'New Zealand'!G64</f>
        <v>2.0233699999999999</v>
      </c>
      <c r="W24" s="1">
        <f>Norway!G64</f>
        <v>8.5972299999999997</v>
      </c>
      <c r="X24" s="1">
        <f>Spain!G64</f>
        <v>1.021985523621779</v>
      </c>
      <c r="Y24" s="1">
        <f>Sweden!G64</f>
        <v>8.6039299999999983</v>
      </c>
      <c r="Z24" s="1">
        <f>Swiss!G64</f>
        <v>2.4080499999999998</v>
      </c>
      <c r="AA24" s="53">
        <f>Turkey!G64</f>
        <v>5.1433333333333344E-4</v>
      </c>
      <c r="AB24" s="1">
        <v>1.3109600729951782</v>
      </c>
      <c r="AC24" s="2">
        <v>0.9765625</v>
      </c>
      <c r="AD24" s="2">
        <f t="shared" si="0"/>
        <v>2.9366000000000003E-2</v>
      </c>
    </row>
    <row r="25" spans="1:33">
      <c r="A25" s="9">
        <v>1986</v>
      </c>
      <c r="B25" s="1">
        <f>Australia!G65</f>
        <v>1.4959741664166699</v>
      </c>
      <c r="C25" s="1">
        <f>Austria!G65</f>
        <v>1.109503426524131</v>
      </c>
      <c r="D25" s="1">
        <f>Belgium!G65</f>
        <v>1.1073874749317669</v>
      </c>
      <c r="E25" s="1">
        <f>Britain!G65</f>
        <v>0.68219699999999994</v>
      </c>
      <c r="F25" s="1">
        <f>Canada!G65</f>
        <v>1.3894999997499999</v>
      </c>
      <c r="G25" s="2">
        <v>3.4527999999999999</v>
      </c>
      <c r="H25" s="2">
        <f>'Czech Rep'!G65</f>
        <v>25.110533430112863</v>
      </c>
      <c r="I25" s="1">
        <f>Denmark!G65</f>
        <v>8.0909999999999993</v>
      </c>
      <c r="J25" s="1">
        <f>Finland!G65</f>
        <v>0.85263205695515931</v>
      </c>
      <c r="K25" s="1">
        <f>France!G65</f>
        <v>1.0558771382880281</v>
      </c>
      <c r="L25" s="1">
        <f>Germany!G65</f>
        <v>1.110260094179965</v>
      </c>
      <c r="M25" s="1">
        <f>Greece!G65</f>
        <v>0.41080313034971866</v>
      </c>
      <c r="N25" s="4">
        <f>Hungary!G65</f>
        <v>45.645833333333336</v>
      </c>
      <c r="O25" s="4">
        <v>12.5967</v>
      </c>
      <c r="P25" s="1">
        <f>Ireland!G65</f>
        <v>0.94358045822307746</v>
      </c>
      <c r="Q25" s="2">
        <f>Israel!K65</f>
        <v>13.465221267386188</v>
      </c>
      <c r="R25" s="1">
        <f>Italy!G65</f>
        <v>0.76993910973159707</v>
      </c>
      <c r="S25" s="4">
        <f>Japan!G65</f>
        <v>168.52</v>
      </c>
      <c r="T25" s="4">
        <f>Korea!G65</f>
        <v>881.44999999999993</v>
      </c>
      <c r="U25" s="1">
        <f>Netherlands!G65</f>
        <v>1.1117706050251619</v>
      </c>
      <c r="V25" s="1">
        <f>'New Zealand'!G65</f>
        <v>1.91316</v>
      </c>
      <c r="W25" s="1">
        <f>Norway!G65</f>
        <v>7.3947399999999988</v>
      </c>
      <c r="X25" s="1">
        <f>Spain!G65</f>
        <v>0.84170793616450101</v>
      </c>
      <c r="Y25" s="1">
        <f>Sweden!G65</f>
        <v>7.1235799999999987</v>
      </c>
      <c r="Z25" s="1">
        <f>Swiss!G65</f>
        <v>1.7562166666666663</v>
      </c>
      <c r="AA25" s="53">
        <f>Turkey!G65</f>
        <v>6.6649999999999999E-4</v>
      </c>
      <c r="AB25" s="1">
        <v>0.99838336511850756</v>
      </c>
      <c r="AC25" s="2">
        <v>0.84817642069550458</v>
      </c>
      <c r="AD25" s="2">
        <f t="shared" si="0"/>
        <v>3.4527999999999996E-2</v>
      </c>
    </row>
    <row r="26" spans="1:33">
      <c r="A26" s="9">
        <v>1987</v>
      </c>
      <c r="B26" s="1">
        <f>Australia!G66</f>
        <v>1.42818</v>
      </c>
      <c r="C26" s="1">
        <f>Austria!G66</f>
        <v>0.91876630596716635</v>
      </c>
      <c r="D26" s="1">
        <f>Belgium!G66</f>
        <v>0.92548816432365966</v>
      </c>
      <c r="E26" s="1">
        <f>Britain!G66</f>
        <v>0.611927</v>
      </c>
      <c r="F26" s="1">
        <f>Canada!G66</f>
        <v>1.32599166666667</v>
      </c>
      <c r="G26" s="2">
        <v>3.7220999999999997</v>
      </c>
      <c r="H26" s="2">
        <f>'Czech Rep'!G66</f>
        <v>25.581375245814105</v>
      </c>
      <c r="I26" s="1">
        <f>Denmark!G66</f>
        <v>6.8403</v>
      </c>
      <c r="J26" s="1">
        <f>Finland!G66</f>
        <v>0.73928180391642395</v>
      </c>
      <c r="K26" s="1">
        <f>France!G66</f>
        <v>0.91632530790890243</v>
      </c>
      <c r="L26" s="1">
        <f>Germany!G66</f>
        <v>0.91899091434327118</v>
      </c>
      <c r="M26" s="1">
        <f>Greece!G66</f>
        <v>0.39748936170212773</v>
      </c>
      <c r="N26" s="4">
        <f>Hungary!G66</f>
        <v>47.160000000000004</v>
      </c>
      <c r="O26" s="4">
        <v>12.946899999999999</v>
      </c>
      <c r="P26" s="1">
        <f>Ireland!G66</f>
        <v>0.85443214773656484</v>
      </c>
      <c r="Q26" s="2">
        <f>Israel!K66</f>
        <v>10.77453850619036</v>
      </c>
      <c r="R26" s="1">
        <f>Italy!G66</f>
        <v>0.6677438236058677</v>
      </c>
      <c r="S26" s="4">
        <f>Japan!G66</f>
        <v>144.63999999999999</v>
      </c>
      <c r="T26" s="4">
        <f>Korea!G66</f>
        <v>822.56999999999994</v>
      </c>
      <c r="U26" s="1">
        <f>Netherlands!G66</f>
        <v>0.91922258373379417</v>
      </c>
      <c r="V26" s="1">
        <f>'New Zealand'!G66</f>
        <v>1.6945600000000001</v>
      </c>
      <c r="W26" s="1">
        <f>Norway!G66</f>
        <v>6.7374499999999999</v>
      </c>
      <c r="X26" s="1">
        <f>Spain!G66</f>
        <v>0.74211972962468797</v>
      </c>
      <c r="Y26" s="1">
        <f>Sweden!G66</f>
        <v>6.3404400000000001</v>
      </c>
      <c r="Z26" s="1">
        <f>Swiss!G66</f>
        <v>1.4735749999999996</v>
      </c>
      <c r="AA26" s="53">
        <f>Turkey!G66</f>
        <v>8.4633333333333338E-4</v>
      </c>
      <c r="AB26" s="1">
        <v>0.84839506174693158</v>
      </c>
      <c r="AC26" s="2">
        <v>0.76863950807071491</v>
      </c>
      <c r="AD26" s="2">
        <f t="shared" si="0"/>
        <v>3.7220999999999997E-2</v>
      </c>
    </row>
    <row r="27" spans="1:33">
      <c r="A27" s="9">
        <v>1988</v>
      </c>
      <c r="B27" s="1">
        <f>Australia!G67</f>
        <v>1.2799083333333301</v>
      </c>
      <c r="C27" s="1">
        <f>Austria!G67</f>
        <v>0.89734235445448129</v>
      </c>
      <c r="D27" s="1">
        <f>Belgium!G67</f>
        <v>0.91146234869198994</v>
      </c>
      <c r="E27" s="1">
        <f>Britain!G67</f>
        <v>0.56216999999999984</v>
      </c>
      <c r="F27" s="1">
        <f>Canada!G67</f>
        <v>1.23070833333333</v>
      </c>
      <c r="G27" s="2">
        <v>3.7220999999999997</v>
      </c>
      <c r="H27" s="2">
        <f>'Czech Rep'!G67</f>
        <v>26.052319531220892</v>
      </c>
      <c r="I27" s="1">
        <f>Denmark!G67</f>
        <v>6.7314999999999987</v>
      </c>
      <c r="J27" s="1">
        <f>Finland!G67</f>
        <v>0.70350150444100223</v>
      </c>
      <c r="K27" s="1">
        <f>France!G67</f>
        <v>0.90812355078152973</v>
      </c>
      <c r="L27" s="1">
        <f>Germany!G67</f>
        <v>0.89794614051323474</v>
      </c>
      <c r="M27" s="1">
        <f>Greece!G67</f>
        <v>0.41657202249938857</v>
      </c>
      <c r="N27" s="4">
        <f>Hungary!G67</f>
        <v>50.921916666666654</v>
      </c>
      <c r="O27" s="4">
        <v>13.8995</v>
      </c>
      <c r="P27" s="1">
        <f>Ireland!G67</f>
        <v>0.8335449563464048</v>
      </c>
      <c r="Q27" s="1">
        <f>Israel!K67</f>
        <v>8.6582189587804912</v>
      </c>
      <c r="R27" s="1">
        <f>Italy!G67</f>
        <v>0.67168176442335004</v>
      </c>
      <c r="S27" s="4">
        <f>Japan!G67</f>
        <v>128.15</v>
      </c>
      <c r="T27" s="4">
        <f>Korea!G67</f>
        <v>731.46999999999991</v>
      </c>
      <c r="U27" s="1">
        <f>Netherlands!G67</f>
        <v>0.89693289951944677</v>
      </c>
      <c r="V27" s="1">
        <f>'New Zealand'!G67</f>
        <v>1.5264</v>
      </c>
      <c r="W27" s="1">
        <f>Norway!G67</f>
        <v>6.5169799999999993</v>
      </c>
      <c r="X27" s="1">
        <f>Spain!G67</f>
        <v>0.70100198734669183</v>
      </c>
      <c r="Y27" s="1">
        <f>Sweden!G67</f>
        <v>6.1271499999999994</v>
      </c>
      <c r="Z27" s="1">
        <f>Swiss!G67</f>
        <v>1.4811083333333335</v>
      </c>
      <c r="AA27" s="69">
        <f>Turkey!G67</f>
        <v>1.3846666666666666E-3</v>
      </c>
      <c r="AB27" s="1">
        <v>0.83342620909790333</v>
      </c>
      <c r="AC27" s="2">
        <v>0.74460163812360391</v>
      </c>
      <c r="AD27" s="2">
        <f t="shared" si="0"/>
        <v>3.7220999999999997E-2</v>
      </c>
    </row>
    <row r="28" spans="1:33">
      <c r="A28" s="9">
        <v>1989</v>
      </c>
      <c r="B28" s="1">
        <f>Australia!G68</f>
        <v>1.2645966666666699</v>
      </c>
      <c r="C28" s="1">
        <f>Austria!G68</f>
        <v>0.9615124670247015</v>
      </c>
      <c r="D28" s="1">
        <f>Belgium!G68</f>
        <v>0.97679964501647265</v>
      </c>
      <c r="E28" s="1">
        <f>Britain!G68</f>
        <v>0.61117299999999986</v>
      </c>
      <c r="F28" s="1">
        <f>Canada!G68</f>
        <v>1.1839916666666701</v>
      </c>
      <c r="G28" s="2">
        <v>3.7650999999999999</v>
      </c>
      <c r="H28" s="2">
        <f>'Czech Rep'!G68</f>
        <v>26.519977790469799</v>
      </c>
      <c r="I28" s="1">
        <f>Denmark!G68</f>
        <v>7.3102</v>
      </c>
      <c r="J28" s="1">
        <f>Finland!G68</f>
        <v>0.72173139379016538</v>
      </c>
      <c r="K28" s="1">
        <f>France!G68</f>
        <v>0.97263997487640197</v>
      </c>
      <c r="L28" s="1">
        <f>Germany!G68</f>
        <v>0.96124918832413853</v>
      </c>
      <c r="M28" s="1">
        <f>Greece!G68</f>
        <v>0.47681095622401565</v>
      </c>
      <c r="N28" s="4">
        <f>Hungary!G68</f>
        <v>59.82191666666666</v>
      </c>
      <c r="O28" s="4">
        <v>16.213100000000001</v>
      </c>
      <c r="P28" s="1">
        <f>Ireland!G68</f>
        <v>0.89585100385492467</v>
      </c>
      <c r="Q28" s="1">
        <f>Israel!K68</f>
        <v>7.8800714094533921</v>
      </c>
      <c r="R28" s="1">
        <f>Italy!G68</f>
        <v>0.70792154503245941</v>
      </c>
      <c r="S28" s="4">
        <f>Japan!G68</f>
        <v>137.96</v>
      </c>
      <c r="T28" s="4">
        <f>Korea!G68</f>
        <v>671.45999999999992</v>
      </c>
      <c r="U28" s="1">
        <f>Netherlands!G68</f>
        <v>0.96234985547100116</v>
      </c>
      <c r="V28" s="1">
        <f>'New Zealand'!G68</f>
        <v>1.67215</v>
      </c>
      <c r="W28" s="1">
        <f>Norway!G68</f>
        <v>6.9044999999999987</v>
      </c>
      <c r="X28" s="1">
        <f>Spain!G68</f>
        <v>0.71090215923615363</v>
      </c>
      <c r="Y28" s="1">
        <f>Sweden!G68</f>
        <v>6.4468799999999993</v>
      </c>
      <c r="Z28" s="1">
        <f>Swiss!G68</f>
        <v>1.6322583333333334</v>
      </c>
      <c r="AA28" s="69">
        <f>Turkey!G68</f>
        <v>2.0985833333333334E-3</v>
      </c>
      <c r="AB28" s="1">
        <v>0.88711181722680532</v>
      </c>
      <c r="AC28" s="2">
        <v>0.77881619937694702</v>
      </c>
      <c r="AD28" s="2">
        <f t="shared" si="0"/>
        <v>3.7650999999999997E-2</v>
      </c>
    </row>
    <row r="29" spans="1:33">
      <c r="A29" s="9">
        <v>1990</v>
      </c>
      <c r="B29" s="1">
        <f>Australia!G69</f>
        <v>1.2810566666666701</v>
      </c>
      <c r="C29" s="1">
        <f>Austria!G69</f>
        <v>0.82627558992173133</v>
      </c>
      <c r="D29" s="1">
        <f>Belgium!G69</f>
        <v>0.82840810215196381</v>
      </c>
      <c r="E29" s="1">
        <f>Britain!G69</f>
        <v>0.56317700000000004</v>
      </c>
      <c r="F29" s="1">
        <f>Canada!G69</f>
        <v>1.1667749999999999</v>
      </c>
      <c r="G29" s="2">
        <v>4.7831999999999999</v>
      </c>
      <c r="H29" s="2">
        <f>'Czech Rep'!G69</f>
        <v>27.049300441845016</v>
      </c>
      <c r="I29" s="1">
        <f>Denmark!G69</f>
        <v>6.1885599999999998</v>
      </c>
      <c r="J29" s="1">
        <f>Finland!G69</f>
        <v>0.64306653682558745</v>
      </c>
      <c r="K29" s="1">
        <f>France!G69</f>
        <v>0.83012606009235357</v>
      </c>
      <c r="L29" s="1">
        <f>Germany!G69</f>
        <v>0.82610963120516601</v>
      </c>
      <c r="M29" s="1">
        <f>Greece!G69</f>
        <v>0.46524578136463685</v>
      </c>
      <c r="N29" s="4">
        <f>Hungary!G69</f>
        <v>63.725500000000011</v>
      </c>
      <c r="O29" s="4">
        <v>17.4922</v>
      </c>
      <c r="P29" s="1">
        <f>Ireland!G69</f>
        <v>0.76766840536134207</v>
      </c>
      <c r="Q29" s="1">
        <f>Israel!K69</f>
        <v>6.7154610780867321</v>
      </c>
      <c r="R29" s="1">
        <f>Italy!G69</f>
        <v>0.61870512204737282</v>
      </c>
      <c r="S29" s="4">
        <f>Japan!G69</f>
        <v>144.792</v>
      </c>
      <c r="T29" s="4">
        <f>Korea!G69</f>
        <v>707.76400000000001</v>
      </c>
      <c r="U29" s="1">
        <f>Netherlands!G69</f>
        <v>0.82630654668717751</v>
      </c>
      <c r="V29" s="1">
        <f>'New Zealand'!G69</f>
        <v>1.6761999999999999</v>
      </c>
      <c r="W29" s="1">
        <f>Norway!G69</f>
        <v>6.259739999999999</v>
      </c>
      <c r="X29" s="1">
        <f>Spain!G69</f>
        <v>0.6125755772721263</v>
      </c>
      <c r="Y29" s="1">
        <f>Sweden!G69</f>
        <v>5.9187900000000004</v>
      </c>
      <c r="Z29" s="1">
        <f>Swiss!G69</f>
        <v>1.3689416666666669</v>
      </c>
      <c r="AA29" s="69">
        <f>Turkey!G69</f>
        <v>2.5854999999999997E-3</v>
      </c>
      <c r="AB29" s="1">
        <v>0.76461844694189895</v>
      </c>
      <c r="AC29" s="2">
        <v>0.73583517292126566</v>
      </c>
      <c r="AD29" s="2">
        <f t="shared" si="0"/>
        <v>4.7832E-2</v>
      </c>
    </row>
    <row r="30" spans="1:33">
      <c r="A30" s="9">
        <v>1991</v>
      </c>
      <c r="B30" s="1">
        <f>Australia!G70</f>
        <v>1.2837558333333301</v>
      </c>
      <c r="C30" s="1">
        <f>Austria!G70</f>
        <v>0.84852074446051318</v>
      </c>
      <c r="D30" s="1">
        <f>Belgium!G70</f>
        <v>0.84651424520140106</v>
      </c>
      <c r="E30" s="1">
        <f>Britain!G70</f>
        <v>0.56701500000000005</v>
      </c>
      <c r="F30" s="1">
        <f>Canada!G70</f>
        <v>1.14571666666667</v>
      </c>
      <c r="G30" s="2">
        <v>5.3233000000000006</v>
      </c>
      <c r="H30" s="2">
        <f>'Czech Rep'!G70</f>
        <v>27.693179819023054</v>
      </c>
      <c r="I30" s="1">
        <f>Denmark!G70</f>
        <v>6.3964600000000003</v>
      </c>
      <c r="J30" s="1">
        <f>Finland!G70</f>
        <v>0.68014861085182132</v>
      </c>
      <c r="K30" s="1">
        <f>France!G70</f>
        <v>0.86013564913553786</v>
      </c>
      <c r="L30" s="1">
        <f>Germany!G70</f>
        <v>0.84850932852037242</v>
      </c>
      <c r="M30" s="1">
        <f>Greece!G70</f>
        <v>0.53522377109317687</v>
      </c>
      <c r="N30" s="4">
        <f>Hungary!G70</f>
        <v>75.428999999999988</v>
      </c>
      <c r="O30" s="4">
        <v>22.711600000000001</v>
      </c>
      <c r="P30" s="1">
        <f>Ireland!G70</f>
        <v>0.7888844589138152</v>
      </c>
      <c r="Q30" s="1">
        <f>Israel!K70</f>
        <v>5.8183668564134381</v>
      </c>
      <c r="R30" s="1">
        <f>Italy!G70</f>
        <v>0.64032736481310293</v>
      </c>
      <c r="S30" s="4">
        <f>Japan!G70</f>
        <v>134.70699999999999</v>
      </c>
      <c r="T30" s="4">
        <f>Korea!G70</f>
        <v>733.35299999999995</v>
      </c>
      <c r="U30" s="1">
        <f>Netherlands!G70</f>
        <v>0.84841925661724982</v>
      </c>
      <c r="V30" s="1">
        <f>'New Zealand'!G70</f>
        <v>1.7335100000000001</v>
      </c>
      <c r="W30" s="1">
        <f>Norway!G70</f>
        <v>6.4829399999999993</v>
      </c>
      <c r="X30" s="1">
        <f>Spain!G70</f>
        <v>0.62422719860244635</v>
      </c>
      <c r="Y30" s="1">
        <f>Sweden!G70</f>
        <v>6.0474699999999988</v>
      </c>
      <c r="Z30" s="1">
        <f>Swiss!G70</f>
        <v>1.4449333333333332</v>
      </c>
      <c r="AA30" s="69">
        <f>Turkey!G70</f>
        <v>4.0896666666666677E-3</v>
      </c>
      <c r="AB30" s="1">
        <v>0.78842406060990922</v>
      </c>
      <c r="AC30" s="2">
        <v>0.73099415204678353</v>
      </c>
      <c r="AD30" s="2">
        <f t="shared" si="0"/>
        <v>5.3233000000000003E-2</v>
      </c>
    </row>
    <row r="31" spans="1:33">
      <c r="A31" s="9">
        <v>1992</v>
      </c>
      <c r="B31" s="1">
        <f>Australia!G71</f>
        <v>1.36164833333333</v>
      </c>
      <c r="C31" s="1">
        <f>Austria!G71</f>
        <v>0.79862357652086069</v>
      </c>
      <c r="D31" s="1">
        <f>Belgium!G71</f>
        <v>0.79696528746972595</v>
      </c>
      <c r="E31" s="1">
        <f>Britain!G71</f>
        <v>0.569774</v>
      </c>
      <c r="F31" s="1">
        <f>Canada!G71</f>
        <v>1.208725</v>
      </c>
      <c r="G31" s="2">
        <v>5.5146000000000006</v>
      </c>
      <c r="H31" s="2">
        <f>'Czech Rep'!G71</f>
        <v>28.3318337056659</v>
      </c>
      <c r="I31" s="1">
        <f>Denmark!G71</f>
        <v>6.03613</v>
      </c>
      <c r="J31" s="1">
        <f>Finland!G71</f>
        <v>0.75338772530875087</v>
      </c>
      <c r="K31" s="1">
        <f>France!G71</f>
        <v>0.80703765643174785</v>
      </c>
      <c r="L31" s="1">
        <f>Germany!G71</f>
        <v>0.79845896627007462</v>
      </c>
      <c r="M31" s="1">
        <f>Greece!G71</f>
        <v>0.56018341892883339</v>
      </c>
      <c r="N31" s="4">
        <f>Hungary!G71</f>
        <v>79.564583333333346</v>
      </c>
      <c r="O31" s="4">
        <v>28.155799999999999</v>
      </c>
      <c r="P31" s="1">
        <f>Ireland!G71</f>
        <v>0.74625173319247706</v>
      </c>
      <c r="Q31" s="1">
        <f>Israel!K71</f>
        <v>5.3134051249104051</v>
      </c>
      <c r="R31" s="1">
        <f>Italy!G71</f>
        <v>0.63697840005095707</v>
      </c>
      <c r="S31" s="4">
        <f>Japan!G71</f>
        <v>126.651</v>
      </c>
      <c r="T31" s="4">
        <f>Korea!G71</f>
        <v>780.65099999999995</v>
      </c>
      <c r="U31" s="1">
        <f>Netherlands!G71</f>
        <v>0.79795889658802654</v>
      </c>
      <c r="V31" s="1">
        <f>'New Zealand'!G71</f>
        <v>1.8617900000000001</v>
      </c>
      <c r="W31" s="1">
        <f>Norway!G71</f>
        <v>6.2144999999999992</v>
      </c>
      <c r="X31" s="1">
        <f>Spain!G71</f>
        <v>0.61600084542369349</v>
      </c>
      <c r="Y31" s="1">
        <f>Sweden!G71</f>
        <v>5.8238300000000001</v>
      </c>
      <c r="Z31" s="1">
        <f>Swiss!G71</f>
        <v>1.412425</v>
      </c>
      <c r="AA31" s="69">
        <f>Turkey!G71</f>
        <v>6.7150000000000013E-3</v>
      </c>
      <c r="AB31" s="1">
        <v>0.75280258209904138</v>
      </c>
      <c r="AC31" s="2">
        <v>0.71022727272727282</v>
      </c>
      <c r="AD31" s="2">
        <f t="shared" si="0"/>
        <v>5.5146000000000008E-2</v>
      </c>
    </row>
    <row r="32" spans="1:33">
      <c r="A32" s="9">
        <v>1993</v>
      </c>
      <c r="B32" s="1">
        <f>Australia!G72</f>
        <v>1.4705600000000001</v>
      </c>
      <c r="C32" s="1">
        <f>Austria!G72</f>
        <v>0.8453449416073775</v>
      </c>
      <c r="D32" s="1">
        <f>Belgium!G72</f>
        <v>0.85762483298173764</v>
      </c>
      <c r="E32" s="1">
        <f>Britain!G72</f>
        <v>0.66675699999999993</v>
      </c>
      <c r="F32" s="1">
        <f>Canada!G72</f>
        <v>1.29007416666667</v>
      </c>
      <c r="G32" s="2">
        <v>5.7620000000000005</v>
      </c>
      <c r="H32" s="2">
        <f>'Czech Rep'!G72</f>
        <v>29.152833333333337</v>
      </c>
      <c r="I32" s="1">
        <f>Denmark!G72</f>
        <v>6.4839399999999996</v>
      </c>
      <c r="J32" s="1">
        <f>Finland!G72</f>
        <v>0.96073821044682473</v>
      </c>
      <c r="K32" s="1">
        <f>France!G72</f>
        <v>0.86335384788941971</v>
      </c>
      <c r="L32" s="1">
        <f>Germany!G72</f>
        <v>0.84532909301933179</v>
      </c>
      <c r="M32" s="1">
        <f>Greece!G72</f>
        <v>0.67337979946197113</v>
      </c>
      <c r="N32" s="4">
        <f>Hungary!G72</f>
        <v>93.435749999999999</v>
      </c>
      <c r="O32" s="4">
        <v>31.2911</v>
      </c>
      <c r="P32" s="1">
        <f>Ireland!G72</f>
        <v>0.85992884387808477</v>
      </c>
      <c r="Q32" s="1">
        <f>Israel!K72</f>
        <v>5.2678051433734421</v>
      </c>
      <c r="R32" s="1">
        <f>Italy!G72</f>
        <v>0.81104451686317847</v>
      </c>
      <c r="S32" s="4">
        <f>Japan!G72</f>
        <v>111.19799999999999</v>
      </c>
      <c r="T32" s="4">
        <f>Korea!G72</f>
        <v>802.67100000000005</v>
      </c>
      <c r="U32" s="1">
        <f>Netherlands!G72</f>
        <v>0.84281053314637588</v>
      </c>
      <c r="V32" s="1">
        <f>'New Zealand'!G72</f>
        <v>1.8505100000000001</v>
      </c>
      <c r="W32" s="1">
        <f>Norway!G72</f>
        <v>7.0941299999999989</v>
      </c>
      <c r="X32" s="1">
        <f>Spain!G72</f>
        <v>0.76432862941192958</v>
      </c>
      <c r="Y32" s="1">
        <f>Sweden!G72</f>
        <v>7.7834300000000001</v>
      </c>
      <c r="Z32" s="1">
        <f>Swiss!G72</f>
        <v>1.4770749999999999</v>
      </c>
      <c r="AA32" s="1">
        <f>Turkey!G72</f>
        <v>1.072241666666667E-2</v>
      </c>
      <c r="AB32" s="1">
        <v>0.83663056126943935</v>
      </c>
      <c r="AC32" s="2">
        <v>0.71633237822349571</v>
      </c>
      <c r="AD32" s="2">
        <f t="shared" si="0"/>
        <v>5.7620000000000005E-2</v>
      </c>
    </row>
    <row r="33" spans="1:32">
      <c r="A33" s="9">
        <v>1994</v>
      </c>
      <c r="B33" s="1">
        <f>Australia!G73</f>
        <v>1.3677508333333299</v>
      </c>
      <c r="C33" s="1">
        <f>Austria!G73</f>
        <v>0.83005457729845999</v>
      </c>
      <c r="D33" s="1">
        <f>Belgium!G73</f>
        <v>0.82936497115758823</v>
      </c>
      <c r="E33" s="1">
        <f>Britain!G73</f>
        <v>0.65342699999999998</v>
      </c>
      <c r="F33" s="1">
        <f>Canada!G73</f>
        <v>1.36563833333333</v>
      </c>
      <c r="G33" s="2">
        <v>8.6187000000000005</v>
      </c>
      <c r="H33" s="2">
        <f>'Czech Rep'!G73</f>
        <v>28.785083333333336</v>
      </c>
      <c r="I33" s="1">
        <f>Denmark!G73</f>
        <v>6.3605499999999999</v>
      </c>
      <c r="J33" s="1">
        <f>Finland!G73</f>
        <v>0.87853131575096732</v>
      </c>
      <c r="K33" s="1">
        <f>France!G73</f>
        <v>0.8464030416627919</v>
      </c>
      <c r="L33" s="1">
        <f>Germany!G73</f>
        <v>0.82971935188641144</v>
      </c>
      <c r="M33" s="1">
        <f>Greece!G73</f>
        <v>0.71170212765957441</v>
      </c>
      <c r="N33" s="4">
        <f>Hungary!G73</f>
        <v>105.95966666666668</v>
      </c>
      <c r="O33" s="4">
        <v>31.393899999999999</v>
      </c>
      <c r="P33" s="1">
        <f>Ireland!G73</f>
        <v>0.84898243190394684</v>
      </c>
      <c r="Q33" s="1">
        <f>Israel!K73</f>
        <v>4.6802544866069411</v>
      </c>
      <c r="R33" s="1">
        <f>Italy!G73</f>
        <v>0.83204692527385127</v>
      </c>
      <c r="S33" s="4">
        <f>Japan!G73</f>
        <v>102.208</v>
      </c>
      <c r="T33" s="4">
        <f>Korea!G73</f>
        <v>803.44600000000003</v>
      </c>
      <c r="U33" s="1">
        <f>Netherlands!G73</f>
        <v>0.8258754554818919</v>
      </c>
      <c r="V33" s="1">
        <f>'New Zealand'!G73</f>
        <v>1.68652</v>
      </c>
      <c r="W33" s="1">
        <f>Norway!G73</f>
        <v>7.0575799999999989</v>
      </c>
      <c r="X33" s="1">
        <f>Spain!G73</f>
        <v>0.80457891088593181</v>
      </c>
      <c r="Y33" s="1">
        <f>Sweden!G73</f>
        <v>7.7159700000000004</v>
      </c>
      <c r="Z33" s="1">
        <f>Swiss!G73</f>
        <v>1.3524083333333332</v>
      </c>
      <c r="AA33" s="1">
        <f>Turkey!G73</f>
        <v>2.8294583333333331E-2</v>
      </c>
      <c r="AB33" s="1">
        <v>0.83056182462041939</v>
      </c>
      <c r="AC33" s="2">
        <v>0.6958942240779401</v>
      </c>
      <c r="AD33" s="2">
        <f t="shared" si="0"/>
        <v>8.6187E-2</v>
      </c>
    </row>
    <row r="34" spans="1:32">
      <c r="A34" s="9">
        <v>1995</v>
      </c>
      <c r="B34" s="1">
        <f>Australia!G74</f>
        <v>1.3490325000000001</v>
      </c>
      <c r="C34" s="1">
        <f>Austria!G74</f>
        <v>0.7326511776632777</v>
      </c>
      <c r="D34" s="1">
        <f>Belgium!G74</f>
        <v>0.7307901110315097</v>
      </c>
      <c r="E34" s="1">
        <f>Britain!G74</f>
        <v>0.6336679999999999</v>
      </c>
      <c r="F34" s="1">
        <f>Canada!G74</f>
        <v>1.37244083333333</v>
      </c>
      <c r="G34" s="2">
        <v>8.3510000000000009</v>
      </c>
      <c r="H34" s="2">
        <f>'Czech Rep'!G74</f>
        <v>26.540666666666667</v>
      </c>
      <c r="I34" s="1">
        <f>Denmark!G74</f>
        <v>5.6023699999999996</v>
      </c>
      <c r="J34" s="1">
        <f>Finland!G74</f>
        <v>0.7344211728416864</v>
      </c>
      <c r="K34" s="1">
        <f>France!G74</f>
        <v>0.76094622056018923</v>
      </c>
      <c r="L34" s="1">
        <f>Germany!G74</f>
        <v>0.73274773369873658</v>
      </c>
      <c r="M34" s="1">
        <f>Greece!G74</f>
        <v>0.680232330643189</v>
      </c>
      <c r="N34" s="4">
        <f>Hungary!G74</f>
        <v>128.22041666666669</v>
      </c>
      <c r="O34" s="4">
        <v>32.418100000000003</v>
      </c>
      <c r="P34" s="1">
        <f>Ireland!G74</f>
        <v>0.79197754087286865</v>
      </c>
      <c r="Q34" s="1">
        <f>Israel!K74</f>
        <v>4.0811488237252034</v>
      </c>
      <c r="R34" s="1">
        <f>Italy!G74</f>
        <v>0.84111844766828303</v>
      </c>
      <c r="S34" s="4">
        <f>Japan!G74</f>
        <v>94.059600000000003</v>
      </c>
      <c r="T34" s="4">
        <f>Korea!G74</f>
        <v>771.27300000000002</v>
      </c>
      <c r="U34" s="1">
        <f>Netherlands!G74</f>
        <v>0.72862581737161425</v>
      </c>
      <c r="V34" s="1">
        <f>'New Zealand'!G74</f>
        <v>1.5238799999999999</v>
      </c>
      <c r="W34" s="1">
        <f>Norway!G74</f>
        <v>6.3351600000000001</v>
      </c>
      <c r="X34" s="1">
        <f>Spain!G74</f>
        <v>0.74898128448306955</v>
      </c>
      <c r="Y34" s="1">
        <f>Sweden!G74</f>
        <v>7.1332700000000004</v>
      </c>
      <c r="Z34" s="1">
        <f>Swiss!G74</f>
        <v>1.1735666666666666</v>
      </c>
      <c r="AA34" s="1">
        <f>Turkey!G74</f>
        <v>4.4918416666666662E-2</v>
      </c>
      <c r="AB34" s="1">
        <v>0.75678683525084622</v>
      </c>
      <c r="AC34" s="2">
        <v>0.65703022339027595</v>
      </c>
      <c r="AD34" s="2">
        <f t="shared" si="0"/>
        <v>8.3510000000000015E-2</v>
      </c>
    </row>
    <row r="35" spans="1:32">
      <c r="A35" s="9">
        <v>1996</v>
      </c>
      <c r="B35" s="1">
        <f>Australia!G75</f>
        <v>1.27786333333333</v>
      </c>
      <c r="C35" s="1">
        <f>Austria!G75</f>
        <v>0.76935822620146366</v>
      </c>
      <c r="D35" s="1">
        <f>Belgium!G75</f>
        <v>0.76751553672666506</v>
      </c>
      <c r="E35" s="1">
        <f>Britain!G75</f>
        <v>0.64095799999999992</v>
      </c>
      <c r="F35" s="1">
        <f>Canada!G75</f>
        <v>1.36346833333333</v>
      </c>
      <c r="G35" s="2">
        <v>8.3141999999999996</v>
      </c>
      <c r="H35" s="2">
        <f>'Czech Rep'!G75</f>
        <v>27.144916666666663</v>
      </c>
      <c r="I35" s="1">
        <f>Denmark!G75</f>
        <v>5.7986700000000004</v>
      </c>
      <c r="J35" s="1">
        <f>Finland!G75</f>
        <v>0.77257964959727388</v>
      </c>
      <c r="K35" s="1">
        <f>France!G75</f>
        <v>0.77985599665831762</v>
      </c>
      <c r="L35" s="1">
        <f>Germany!G75</f>
        <v>0.76937668406763371</v>
      </c>
      <c r="M35" s="1">
        <f>Greece!G75</f>
        <v>0.70673514306676444</v>
      </c>
      <c r="N35" s="4">
        <f>Hungary!G75</f>
        <v>154.66166666666666</v>
      </c>
      <c r="O35" s="4">
        <v>35.506</v>
      </c>
      <c r="P35" s="1">
        <f>Ireland!G75</f>
        <v>0.79362185168443455</v>
      </c>
      <c r="Q35" s="1">
        <f>Israel!K75</f>
        <v>3.7012151616416151</v>
      </c>
      <c r="R35" s="1">
        <f>Italy!G75</f>
        <v>0.79667707327318327</v>
      </c>
      <c r="S35" s="4">
        <f>Japan!G75</f>
        <v>108.779</v>
      </c>
      <c r="T35" s="4">
        <f>Korea!G75</f>
        <v>804.45299999999997</v>
      </c>
      <c r="U35" s="1">
        <f>Netherlands!G75</f>
        <v>0.76502806630636511</v>
      </c>
      <c r="V35" s="1">
        <f>'New Zealand'!G75</f>
        <v>1.45485</v>
      </c>
      <c r="W35" s="1">
        <f>Norway!G75</f>
        <v>6.4498099999999994</v>
      </c>
      <c r="X35" s="1">
        <f>Spain!G75</f>
        <v>0.7610380881404285</v>
      </c>
      <c r="Y35" s="1">
        <f>Sweden!G75</f>
        <v>6.7059600000000001</v>
      </c>
      <c r="Z35" s="1">
        <f>Swiss!G75</f>
        <v>1.2537416666666665</v>
      </c>
      <c r="AA35" s="1">
        <f>Turkey!G75</f>
        <v>7.9264416666666671E-2</v>
      </c>
      <c r="AB35" s="1">
        <v>0.77438545647820156</v>
      </c>
      <c r="AC35" s="2">
        <v>0.68917987594762231</v>
      </c>
      <c r="AD35" s="2">
        <f t="shared" si="0"/>
        <v>8.3141999999999994E-2</v>
      </c>
    </row>
    <row r="36" spans="1:32">
      <c r="A36" s="9">
        <v>1997</v>
      </c>
      <c r="B36" s="1">
        <f>Australia!G76</f>
        <v>1.34738</v>
      </c>
      <c r="C36" s="1">
        <f>Austria!G76</f>
        <v>0.88691380275139342</v>
      </c>
      <c r="D36" s="1">
        <f>Belgium!G76</f>
        <v>0.8868118165885388</v>
      </c>
      <c r="E36" s="1">
        <f>Britain!G76</f>
        <v>0.61083600000000005</v>
      </c>
      <c r="F36" s="1">
        <f>Canada!G76</f>
        <v>1.3846166666666699</v>
      </c>
      <c r="G36" s="2">
        <v>8.2897999999999996</v>
      </c>
      <c r="H36" s="2">
        <f>'Czech Rep'!G76</f>
        <v>31.69841666666666</v>
      </c>
      <c r="I36" s="1">
        <f>Denmark!G76</f>
        <v>6.6044600000000004</v>
      </c>
      <c r="J36" s="1">
        <f>Finland!G76</f>
        <v>0.87313584707008207</v>
      </c>
      <c r="K36" s="1">
        <f>France!G76</f>
        <v>0.88979765441942082</v>
      </c>
      <c r="L36" s="1">
        <f>Germany!G76</f>
        <v>0.88661079950711452</v>
      </c>
      <c r="M36" s="1">
        <f>Greece!G76</f>
        <v>0.80150403521643421</v>
      </c>
      <c r="N36" s="4">
        <f>Hungary!G76</f>
        <v>190.13583333333335</v>
      </c>
      <c r="O36" s="4">
        <v>36.3645</v>
      </c>
      <c r="P36" s="1">
        <f>Ireland!G76</f>
        <v>0.83757383526926055</v>
      </c>
      <c r="Q36" s="1">
        <f>Israel!K76</f>
        <v>3.5246985543550018</v>
      </c>
      <c r="R36" s="1">
        <f>Italy!G76</f>
        <v>0.8792742833730145</v>
      </c>
      <c r="S36" s="4">
        <f>Japan!G76</f>
        <v>120.991</v>
      </c>
      <c r="T36" s="4">
        <f>Korea!G76</f>
        <v>951.28899999999999</v>
      </c>
      <c r="U36" s="1">
        <f>Netherlands!G76</f>
        <v>0.88544772225020529</v>
      </c>
      <c r="V36" s="1">
        <f>'New Zealand'!G76</f>
        <v>1.5124200000000001</v>
      </c>
      <c r="W36" s="1">
        <f>Norway!G76</f>
        <v>7.0734000000000004</v>
      </c>
      <c r="X36" s="1">
        <f>Spain!G76</f>
        <v>0.87977403948248833</v>
      </c>
      <c r="Y36" s="1">
        <f>Sweden!G76</f>
        <v>7.6348900000000004</v>
      </c>
      <c r="Z36" s="1">
        <f>Swiss!G76</f>
        <v>1.4581666666666664</v>
      </c>
      <c r="AA36" s="1">
        <f>Turkey!G76</f>
        <v>0.15186666666666665</v>
      </c>
      <c r="AB36" s="1">
        <v>0.88321347021155827</v>
      </c>
      <c r="AC36" s="2">
        <v>0.72833211944646759</v>
      </c>
      <c r="AD36" s="2">
        <f t="shared" si="0"/>
        <v>8.2897999999999999E-2</v>
      </c>
    </row>
    <row r="37" spans="1:32">
      <c r="A37" s="9">
        <v>1998</v>
      </c>
      <c r="B37" s="1">
        <f>Australia!G77</f>
        <v>1.5918283333333301</v>
      </c>
      <c r="C37" s="1">
        <f>Austria!G77</f>
        <v>0.89962428144735196</v>
      </c>
      <c r="D37" s="1">
        <f>Belgium!G77</f>
        <v>0.89981878983339081</v>
      </c>
      <c r="E37" s="1">
        <f>Britain!G77</f>
        <v>0.60382399999999992</v>
      </c>
      <c r="F37" s="1">
        <f>Canada!G77</f>
        <v>1.48346308333333</v>
      </c>
      <c r="G37" s="2">
        <v>8.2790999999999997</v>
      </c>
      <c r="H37" s="2">
        <f>'Czech Rep'!G77</f>
        <v>32.281166666666671</v>
      </c>
      <c r="I37" s="1">
        <f>Denmark!G77</f>
        <v>6.7008299999999998</v>
      </c>
      <c r="J37" s="1">
        <f>Finland!G77</f>
        <v>0.89880805216516735</v>
      </c>
      <c r="K37" s="1">
        <f>France!G77</f>
        <v>0.89937602617244727</v>
      </c>
      <c r="L37" s="1">
        <f>Germany!G77</f>
        <v>0.89970498458454984</v>
      </c>
      <c r="M37" s="1">
        <f>Greece!G77</f>
        <v>0.86696258253851788</v>
      </c>
      <c r="N37" s="4">
        <f>Hungary!G77</f>
        <v>215.21000000000004</v>
      </c>
      <c r="O37" s="4">
        <v>41.356099999999998</v>
      </c>
      <c r="P37" s="1">
        <f>Ireland!G77</f>
        <v>0.89170023007653976</v>
      </c>
      <c r="Q37" s="1">
        <f>Israel!K77</f>
        <v>3.5996734709013514</v>
      </c>
      <c r="R37" s="1">
        <f>Italy!G77</f>
        <v>0.89678737985921397</v>
      </c>
      <c r="S37" s="4">
        <f>Japan!G77</f>
        <v>130.905</v>
      </c>
      <c r="T37" s="4">
        <f>Korea!G77</f>
        <v>1401.44</v>
      </c>
      <c r="U37" s="1">
        <f>Netherlands!G77</f>
        <v>0.90017742806449119</v>
      </c>
      <c r="V37" s="1">
        <f>'New Zealand'!G77</f>
        <v>1.86825</v>
      </c>
      <c r="W37" s="1">
        <f>Norway!G77</f>
        <v>7.5450999999999988</v>
      </c>
      <c r="X37" s="1">
        <f>Spain!G77</f>
        <v>0.89770323224309756</v>
      </c>
      <c r="Y37" s="1">
        <f>Sweden!G77</f>
        <v>7.9498699999999989</v>
      </c>
      <c r="Z37" s="1">
        <f>Swiss!G77</f>
        <v>1.4421499999999998</v>
      </c>
      <c r="AA37" s="1">
        <f>Turkey!G77</f>
        <v>0.26070833333333332</v>
      </c>
      <c r="AB37" s="1">
        <v>0.89877913815329968</v>
      </c>
      <c r="AC37" s="2">
        <v>0.73637702503681879</v>
      </c>
      <c r="AD37" s="2">
        <f t="shared" si="0"/>
        <v>8.2791000000000003E-2</v>
      </c>
    </row>
    <row r="38" spans="1:32">
      <c r="A38" s="9">
        <v>1999</v>
      </c>
      <c r="B38" s="1">
        <f>Australia!G78</f>
        <v>1.5499499999999999</v>
      </c>
      <c r="C38" s="1">
        <f>Austria!G78</f>
        <v>0.93862699999999999</v>
      </c>
      <c r="D38" s="1">
        <f>Belgium!G78</f>
        <v>0.93862699999999999</v>
      </c>
      <c r="E38" s="1">
        <f>Britain!G78</f>
        <v>0.61805699999999997</v>
      </c>
      <c r="F38" s="1">
        <f>Canada!G78</f>
        <v>1.48573166666667</v>
      </c>
      <c r="G38" s="2">
        <v>8.2782999999999998</v>
      </c>
      <c r="H38" s="2">
        <f>'Czech Rep'!G78</f>
        <v>34.569249999999997</v>
      </c>
      <c r="I38" s="1">
        <f>Denmark!G78</f>
        <v>6.9762399999999998</v>
      </c>
      <c r="J38" s="1">
        <f>Finland!G78</f>
        <v>0.93862699999999999</v>
      </c>
      <c r="K38" s="1">
        <f>France!G78</f>
        <v>0.93862699999999999</v>
      </c>
      <c r="L38" s="1">
        <f>Germany!G78</f>
        <v>0.93862699999999999</v>
      </c>
      <c r="M38" s="1">
        <f>Greece!G78</f>
        <v>0.89766691122523845</v>
      </c>
      <c r="N38" s="4">
        <f>Hungary!G78</f>
        <v>240.07833333333335</v>
      </c>
      <c r="O38" s="4">
        <v>43.127400000000002</v>
      </c>
      <c r="P38" s="1">
        <f>Ireland!G78</f>
        <v>0.93862699999999999</v>
      </c>
      <c r="Q38" s="1">
        <f>Israel!K78</f>
        <v>3.7032166469641781</v>
      </c>
      <c r="R38" s="1">
        <f>Italy!G78</f>
        <v>0.93869424202203211</v>
      </c>
      <c r="S38" s="4">
        <f>Japan!G78</f>
        <v>113.907</v>
      </c>
      <c r="T38" s="4">
        <f>Korea!G78</f>
        <v>1188.82</v>
      </c>
      <c r="U38" s="1">
        <f>Netherlands!G78</f>
        <v>0.93862699999999999</v>
      </c>
      <c r="V38" s="1">
        <f>'New Zealand'!G78</f>
        <v>1.88961</v>
      </c>
      <c r="W38" s="1">
        <f>Norway!G78</f>
        <v>7.7991700000000002</v>
      </c>
      <c r="X38" s="1">
        <f>Spain!G78</f>
        <v>0.9386947619791729</v>
      </c>
      <c r="Y38" s="1">
        <f>Sweden!G78</f>
        <v>8.2624300000000002</v>
      </c>
      <c r="Z38" s="1">
        <f>Swiss!G78</f>
        <v>1.5191833333333336</v>
      </c>
      <c r="AA38" s="1">
        <f>Turkey!G78</f>
        <v>0.41878333333333329</v>
      </c>
      <c r="AB38" s="1">
        <v>0.93832800289735907</v>
      </c>
      <c r="AC38" s="2">
        <v>0.73260073260073255</v>
      </c>
      <c r="AD38" s="2">
        <f t="shared" si="0"/>
        <v>8.2782999999999995E-2</v>
      </c>
    </row>
    <row r="39" spans="1:32">
      <c r="A39" s="9">
        <v>2000</v>
      </c>
      <c r="B39" s="1">
        <f>Australia!G79</f>
        <v>1.7248266666666701</v>
      </c>
      <c r="C39" s="1">
        <f>Austria!G79</f>
        <v>1.0853999999999999</v>
      </c>
      <c r="D39" s="1">
        <f>Belgium!G79</f>
        <v>1.0853999999999999</v>
      </c>
      <c r="E39" s="1">
        <f>Britain!G79</f>
        <v>0.66093100000000005</v>
      </c>
      <c r="F39" s="1">
        <f>Canada!G79</f>
        <v>1.4851099999999999</v>
      </c>
      <c r="G39" s="2">
        <v>8.2783999999999995</v>
      </c>
      <c r="H39" s="2">
        <f>'Czech Rep'!G79</f>
        <v>38.598416666666665</v>
      </c>
      <c r="I39" s="1">
        <f>Denmark!G79</f>
        <v>8.0831400000000002</v>
      </c>
      <c r="J39" s="1">
        <f>Finland!G79</f>
        <v>1.0853999999999999</v>
      </c>
      <c r="K39" s="1">
        <f>France!G79</f>
        <v>1.0853999999999999</v>
      </c>
      <c r="L39" s="1">
        <f>Germany!G79</f>
        <v>1.0853999999999999</v>
      </c>
      <c r="M39" s="1">
        <f>Greece!G79</f>
        <v>1.0736952800195647</v>
      </c>
      <c r="N39" s="4">
        <f>Hungary!G79</f>
        <v>284.77</v>
      </c>
      <c r="O39" s="4">
        <v>44.997500000000002</v>
      </c>
      <c r="P39" s="1">
        <f>Ireland!G79</f>
        <v>1.0853999999999999</v>
      </c>
      <c r="Q39" s="1">
        <f>Israel!K79</f>
        <v>3.8116279783769222</v>
      </c>
      <c r="R39" s="1">
        <f>Italy!G79</f>
        <v>1.0852141832836675</v>
      </c>
      <c r="S39" s="4">
        <f>Japan!G79</f>
        <v>107.765</v>
      </c>
      <c r="T39" s="4">
        <f>Korea!G79</f>
        <v>1130.96</v>
      </c>
      <c r="U39" s="1">
        <f>Netherlands!G79</f>
        <v>1.0853999999999999</v>
      </c>
      <c r="V39" s="1">
        <f>'New Zealand'!G79</f>
        <v>2.2011500000000002</v>
      </c>
      <c r="W39" s="1">
        <f>Norway!G79</f>
        <v>8.8018400000000003</v>
      </c>
      <c r="X39" s="1">
        <f>Spain!G79</f>
        <v>1.0852140003766344</v>
      </c>
      <c r="Y39" s="1">
        <f>Sweden!G79</f>
        <v>9.1622400000000006</v>
      </c>
      <c r="Z39" s="1">
        <f>Swiss!G79</f>
        <v>1.6923750000000002</v>
      </c>
      <c r="AA39" s="1">
        <f>Turkey!G79</f>
        <v>0.62520833333333337</v>
      </c>
      <c r="AB39" s="1">
        <v>1.0855339999999998</v>
      </c>
      <c r="AC39" s="2">
        <v>0.75930144267274113</v>
      </c>
      <c r="AD39" s="2">
        <f t="shared" si="0"/>
        <v>8.2783999999999996E-2</v>
      </c>
    </row>
    <row r="40" spans="1:32">
      <c r="A40" s="9">
        <v>2001</v>
      </c>
      <c r="B40" s="1">
        <f>Australia!G80</f>
        <v>1.9334425</v>
      </c>
      <c r="C40" s="1">
        <f>Austria!G80</f>
        <v>1.11751</v>
      </c>
      <c r="D40" s="1">
        <f>Belgium!G80</f>
        <v>1.11751</v>
      </c>
      <c r="E40" s="1">
        <f>Britain!G80</f>
        <v>0.69465500000000002</v>
      </c>
      <c r="F40" s="1">
        <f>Canada!G80</f>
        <v>1.54876083333333</v>
      </c>
      <c r="G40" s="2">
        <v>8.277000000000001</v>
      </c>
      <c r="H40" s="2">
        <f>'Czech Rep'!G80</f>
        <v>38.035325000000007</v>
      </c>
      <c r="I40" s="1">
        <f>Denmark!G80</f>
        <v>8.3228200000000001</v>
      </c>
      <c r="J40" s="1">
        <f>Finland!G80</f>
        <v>1.11751</v>
      </c>
      <c r="K40" s="1">
        <f>France!G80</f>
        <v>1.11751</v>
      </c>
      <c r="L40" s="1">
        <f>Germany!G80</f>
        <v>1.11751</v>
      </c>
      <c r="M40" s="1">
        <f>Greece!G80</f>
        <v>1.117635118610907</v>
      </c>
      <c r="N40" s="4">
        <f>Hungary!G80</f>
        <v>285.96333333333337</v>
      </c>
      <c r="O40" s="4">
        <v>47.22</v>
      </c>
      <c r="P40" s="1">
        <f>Ireland!G80</f>
        <v>1.11751</v>
      </c>
      <c r="Q40" s="1">
        <f>Israel!K80</f>
        <v>4.0663270894446377</v>
      </c>
      <c r="R40" s="1">
        <f>Italy!G80</f>
        <v>1.1177030665489143</v>
      </c>
      <c r="S40" s="4">
        <f>Japan!G80</f>
        <v>121.529</v>
      </c>
      <c r="T40" s="4">
        <f>Korea!G80</f>
        <v>1290.99</v>
      </c>
      <c r="U40" s="1">
        <f>Netherlands!G80</f>
        <v>1.11751</v>
      </c>
      <c r="V40" s="1">
        <f>'New Zealand'!G80</f>
        <v>2.3787500000000001</v>
      </c>
      <c r="W40" s="1">
        <f>Norway!G80</f>
        <v>8.9916499999999999</v>
      </c>
      <c r="X40" s="1">
        <f>Spain!G80</f>
        <v>1.1177032122093602</v>
      </c>
      <c r="Y40" s="1">
        <f>Sweden!G80</f>
        <v>10.3291</v>
      </c>
      <c r="Z40" s="1">
        <f>Swiss!G80</f>
        <v>1.6906666666666663</v>
      </c>
      <c r="AA40" s="1">
        <f>Turkey!G80</f>
        <v>1.225583333333333</v>
      </c>
      <c r="AB40" s="1">
        <v>1.1176505417647256</v>
      </c>
      <c r="AC40" s="2">
        <v>0.78678206136900086</v>
      </c>
      <c r="AD40" s="2">
        <f t="shared" si="0"/>
        <v>8.277000000000001E-2</v>
      </c>
    </row>
    <row r="41" spans="1:32">
      <c r="A41" s="9">
        <v>2002</v>
      </c>
      <c r="B41" s="1">
        <f>Australia!G81</f>
        <v>1.8405625000000001</v>
      </c>
      <c r="C41" s="1">
        <f>Austria!G81</f>
        <v>1.0625500000000001</v>
      </c>
      <c r="D41" s="1">
        <f>Belgium!G81</f>
        <v>1.0625500000000001</v>
      </c>
      <c r="E41" s="1">
        <f>Britain!G81</f>
        <v>0.66722300000000001</v>
      </c>
      <c r="F41" s="1">
        <f>Canada!G81</f>
        <v>1.56931833333333</v>
      </c>
      <c r="G41" s="2">
        <v>8.277000000000001</v>
      </c>
      <c r="H41" s="2">
        <f>'Czech Rep'!G81</f>
        <v>32.738516666666662</v>
      </c>
      <c r="I41" s="1">
        <f>Denmark!G81</f>
        <v>7.8947099999999999</v>
      </c>
      <c r="J41" s="1">
        <f>Finland!G81</f>
        <v>1.0625500000000001</v>
      </c>
      <c r="K41" s="1">
        <f>France!G81</f>
        <v>1.0625500000000001</v>
      </c>
      <c r="L41" s="1">
        <f>Germany!G81</f>
        <v>1.0625500000000001</v>
      </c>
      <c r="M41" s="1">
        <f>Greece!G81</f>
        <v>1.061305942773294</v>
      </c>
      <c r="N41" s="4">
        <f>Hungary!G81</f>
        <v>253.73249999999999</v>
      </c>
      <c r="O41" s="4">
        <v>48.625700000000002</v>
      </c>
      <c r="P41" s="1">
        <f>Ireland!G81</f>
        <v>1.0625500000000001</v>
      </c>
      <c r="Q41" s="1">
        <f>Israel!K81</f>
        <v>4.232950178025785</v>
      </c>
      <c r="R41" s="1">
        <f>Italy!G81</f>
        <v>1.0613209504184162</v>
      </c>
      <c r="S41" s="4">
        <f>Japan!G81</f>
        <v>125.38800000000001</v>
      </c>
      <c r="T41" s="4">
        <f>Korea!G81</f>
        <v>1251.0899999999999</v>
      </c>
      <c r="U41" s="1">
        <f>Netherlands!G81</f>
        <v>1.0625500000000001</v>
      </c>
      <c r="V41" s="1">
        <f>'New Zealand'!G81</f>
        <v>2.1621899999999998</v>
      </c>
      <c r="W41" s="1">
        <f>Norway!G81</f>
        <v>7.9837800000000003</v>
      </c>
      <c r="X41" s="1">
        <f>Spain!G81</f>
        <v>1.0613217658536978</v>
      </c>
      <c r="Y41" s="1">
        <f>Sweden!G81</f>
        <v>9.7371200000000009</v>
      </c>
      <c r="Z41" s="1">
        <f>Swiss!G81</f>
        <v>1.5344333333333331</v>
      </c>
      <c r="AA41" s="1">
        <f>Turkey!G81</f>
        <v>1.5072416666666666</v>
      </c>
      <c r="AB41" s="1">
        <v>1.0623620257443049</v>
      </c>
      <c r="AC41" s="2">
        <v>0.76982294072363355</v>
      </c>
      <c r="AD41" s="2">
        <f t="shared" si="0"/>
        <v>8.277000000000001E-2</v>
      </c>
    </row>
    <row r="42" spans="1:32">
      <c r="A42" s="9">
        <v>2003</v>
      </c>
      <c r="B42" s="1">
        <f>Australia!G82</f>
        <v>1.54191416666667</v>
      </c>
      <c r="C42" s="1">
        <f>Austria!G82</f>
        <v>0.88603399999999999</v>
      </c>
      <c r="D42" s="1">
        <f>Belgium!G82</f>
        <v>0.88603399999999999</v>
      </c>
      <c r="E42" s="1">
        <f>Britain!G82</f>
        <v>0.61247200000000002</v>
      </c>
      <c r="F42" s="1">
        <f>Canada!G82</f>
        <v>1.4010516666666699</v>
      </c>
      <c r="G42" s="2">
        <v>8.277000000000001</v>
      </c>
      <c r="H42" s="2">
        <f>'Czech Rep'!G82</f>
        <v>28.209</v>
      </c>
      <c r="I42" s="1">
        <f>Denmark!G82</f>
        <v>6.5876700000000001</v>
      </c>
      <c r="J42" s="1">
        <f>Finland!G82</f>
        <v>0.88603399999999999</v>
      </c>
      <c r="K42" s="1">
        <f>France!G82</f>
        <v>0.88603399999999999</v>
      </c>
      <c r="L42" s="1">
        <f>Germany!G82</f>
        <v>0.88603399999999999</v>
      </c>
      <c r="M42" s="1">
        <f>Greece!G82</f>
        <v>0.88534115920763023</v>
      </c>
      <c r="N42" s="4">
        <f>Hungary!G82</f>
        <v>222.94749999999999</v>
      </c>
      <c r="O42" s="4">
        <v>46.590800000000002</v>
      </c>
      <c r="P42" s="1">
        <f>Ireland!G82</f>
        <v>0.88603399999999999</v>
      </c>
      <c r="Q42" s="1">
        <f>Israel!K82</f>
        <v>4.1955940067072293</v>
      </c>
      <c r="R42" s="1">
        <f>Italy!G82</f>
        <v>0.88533869243442298</v>
      </c>
      <c r="S42" s="4">
        <f>Japan!G82</f>
        <v>115.93300000000001</v>
      </c>
      <c r="T42" s="4">
        <f>Korea!G82</f>
        <v>1191.6099999999999</v>
      </c>
      <c r="U42" s="1">
        <f>Netherlands!G82</f>
        <v>0.88603399999999999</v>
      </c>
      <c r="V42" s="1">
        <f>'New Zealand'!G82</f>
        <v>1.7221</v>
      </c>
      <c r="W42" s="1">
        <f>Norway!G82</f>
        <v>7.0802199999999997</v>
      </c>
      <c r="X42" s="1">
        <f>Spain!G82</f>
        <v>0.88533790903882137</v>
      </c>
      <c r="Y42" s="1">
        <f>Sweden!G82</f>
        <v>8.0862999999999996</v>
      </c>
      <c r="Z42" s="1">
        <f>Swiss!G82</f>
        <v>1.3354333333333335</v>
      </c>
      <c r="AA42" s="1">
        <f>Turkey!G82</f>
        <v>1.5008833333333333</v>
      </c>
      <c r="AB42" s="1">
        <v>0.88603416666666679</v>
      </c>
      <c r="AC42" s="2">
        <v>0.71225071225071235</v>
      </c>
      <c r="AD42" s="2">
        <f t="shared" si="0"/>
        <v>8.277000000000001E-2</v>
      </c>
    </row>
    <row r="43" spans="1:32">
      <c r="A43" s="9">
        <v>2004</v>
      </c>
      <c r="B43" s="1">
        <f>Australia!G83</f>
        <v>1.3597524999999999</v>
      </c>
      <c r="C43" s="1">
        <f>Austria!G83</f>
        <v>0.805365</v>
      </c>
      <c r="D43" s="1">
        <f>Belgium!G83</f>
        <v>0.805365</v>
      </c>
      <c r="E43" s="1">
        <f>Britain!G83</f>
        <v>0.54618</v>
      </c>
      <c r="F43" s="1">
        <f>Canada!G83</f>
        <v>1.3010191666666699</v>
      </c>
      <c r="G43" s="2">
        <v>8.2767999999999997</v>
      </c>
      <c r="H43" s="2">
        <f>'Czech Rep'!G83</f>
        <v>25.699750000000005</v>
      </c>
      <c r="I43" s="1">
        <f>Denmark!G83</f>
        <v>5.9910600000000001</v>
      </c>
      <c r="J43" s="1">
        <f>Finland!G83</f>
        <v>0.805365</v>
      </c>
      <c r="K43" s="1">
        <f>France!G83</f>
        <v>0.805365</v>
      </c>
      <c r="L43" s="1">
        <f>Germany!G83</f>
        <v>0.805365</v>
      </c>
      <c r="M43" s="1">
        <f>Greece!G83</f>
        <v>0.80483981413548544</v>
      </c>
      <c r="N43" s="4">
        <f>Hungary!G83</f>
        <v>200.91666666666666</v>
      </c>
      <c r="O43" s="4">
        <v>45.261000000000003</v>
      </c>
      <c r="P43" s="1">
        <f>Ireland!G83</f>
        <v>0.805365</v>
      </c>
      <c r="Q43" s="1">
        <f>Israel!K83</f>
        <v>4.3903670450799819</v>
      </c>
      <c r="R43" s="1">
        <f>Italy!G83</f>
        <v>0.80484165431473931</v>
      </c>
      <c r="S43" s="4">
        <f>Japan!G83</f>
        <v>108.193</v>
      </c>
      <c r="T43" s="4">
        <f>Korea!G83</f>
        <v>1145.32</v>
      </c>
      <c r="U43" s="1">
        <f>Netherlands!G83</f>
        <v>0.805365</v>
      </c>
      <c r="V43" s="1">
        <f>'New Zealand'!G83</f>
        <v>1.50868</v>
      </c>
      <c r="W43" s="1">
        <f>Norway!G83</f>
        <v>6.7408299999999999</v>
      </c>
      <c r="X43" s="1">
        <f>Spain!G83</f>
        <v>0.80484285536844047</v>
      </c>
      <c r="Y43" s="1">
        <f>Sweden!G83</f>
        <v>7.3488899999999999</v>
      </c>
      <c r="Z43" s="1">
        <f>Swiss!G83</f>
        <v>1.2373416666666668</v>
      </c>
      <c r="AA43" s="1">
        <f>Turkey!G83</f>
        <v>1.4255416666666665</v>
      </c>
      <c r="AB43" s="1">
        <v>0.805365</v>
      </c>
      <c r="AC43" s="2">
        <v>0.67521944632005393</v>
      </c>
      <c r="AD43" s="2">
        <f t="shared" si="0"/>
        <v>8.2767999999999994E-2</v>
      </c>
    </row>
    <row r="44" spans="1:32">
      <c r="A44" s="9">
        <v>2005</v>
      </c>
      <c r="B44" s="1">
        <f>Australia!G84</f>
        <v>1.3094733333333299</v>
      </c>
      <c r="C44" s="1">
        <f>Austria!G84</f>
        <v>0.80411999999999995</v>
      </c>
      <c r="D44" s="1">
        <f>Belgium!G84</f>
        <v>0.80411999999999995</v>
      </c>
      <c r="E44" s="1">
        <f>Britain!G84</f>
        <v>0.54999799999999999</v>
      </c>
      <c r="F44" s="1">
        <f>Canada!G84</f>
        <v>1.21176333333333</v>
      </c>
      <c r="G44" s="2">
        <v>8.1916999999999991</v>
      </c>
      <c r="H44" s="2">
        <f>'Czech Rep'!G84</f>
        <v>23.957416666666674</v>
      </c>
      <c r="I44" s="1">
        <f>Denmark!G84</f>
        <v>5.9969099999999997</v>
      </c>
      <c r="J44" s="1">
        <f>Finland!G84</f>
        <v>0.80411999999999995</v>
      </c>
      <c r="K44" s="1">
        <f>France!G84</f>
        <v>0.80411999999999995</v>
      </c>
      <c r="L44" s="1">
        <f>Germany!G84</f>
        <v>0.80411999999999995</v>
      </c>
      <c r="M44" s="1">
        <f>Greece!G84</f>
        <v>0.80475666422108105</v>
      </c>
      <c r="N44" s="4">
        <f>Hungary!G84</f>
        <v>199.42416666666665</v>
      </c>
      <c r="O44" s="4">
        <v>44.0002</v>
      </c>
      <c r="P44" s="1">
        <f>Ireland!G84</f>
        <v>0.80411999999999995</v>
      </c>
      <c r="Q44" s="1">
        <f>Israel!K84</f>
        <v>4.5769174092684617</v>
      </c>
      <c r="R44" s="1">
        <f>Italy!G84</f>
        <v>0.8047548265436465</v>
      </c>
      <c r="S44" s="4">
        <f>Japan!G84</f>
        <v>110.218</v>
      </c>
      <c r="T44" s="4">
        <f>Korea!G84</f>
        <v>1024.1199999999999</v>
      </c>
      <c r="U44" s="1">
        <f>Netherlands!G84</f>
        <v>0.80411999999999995</v>
      </c>
      <c r="V44" s="1">
        <f>'New Zealand'!G84</f>
        <v>1.4202699999999999</v>
      </c>
      <c r="W44" s="1">
        <f>Norway!G84</f>
        <v>6.4424999999999999</v>
      </c>
      <c r="X44" s="1">
        <f>Spain!G84</f>
        <v>0.80474016543859861</v>
      </c>
      <c r="Y44" s="1">
        <f>Sweden!G84</f>
        <v>7.47309</v>
      </c>
      <c r="Z44" s="1">
        <f>Swiss!G84</f>
        <v>1.2456500000000001</v>
      </c>
      <c r="AA44" s="1">
        <f>Turkey!G84</f>
        <v>1.3435808333333334</v>
      </c>
      <c r="AB44" s="1">
        <v>0.8041058333333333</v>
      </c>
      <c r="AC44" s="2">
        <v>0.67888662593346905</v>
      </c>
      <c r="AD44" s="2">
        <f t="shared" si="0"/>
        <v>8.191699999999999E-2</v>
      </c>
    </row>
    <row r="45" spans="1:32">
      <c r="A45" s="9">
        <v>2006</v>
      </c>
      <c r="B45" s="1">
        <f>Australia!G85</f>
        <v>1.3279734405000001</v>
      </c>
      <c r="C45" s="1">
        <f>Austria!G85</f>
        <v>0.79714099999999999</v>
      </c>
      <c r="D45" s="1">
        <f>Belgium!G85</f>
        <v>0.79714099999999999</v>
      </c>
      <c r="E45" s="1">
        <f>Britain!G85</f>
        <v>0.54348700000000005</v>
      </c>
      <c r="F45" s="1">
        <f>Canada!G85</f>
        <v>1.1343633333333301</v>
      </c>
      <c r="G45" s="2">
        <v>7.9717999999999991</v>
      </c>
      <c r="H45" s="2">
        <f>'Czech Rep'!G85</f>
        <v>22.595583333333334</v>
      </c>
      <c r="I45" s="1">
        <f>Denmark!G85</f>
        <v>5.9467800000000004</v>
      </c>
      <c r="J45" s="1">
        <f>Finland!G85</f>
        <v>0.79714099999999999</v>
      </c>
      <c r="K45" s="1">
        <f>France!G85</f>
        <v>0.79714099999999999</v>
      </c>
      <c r="L45" s="1">
        <f>Germany!G85</f>
        <v>0.79714099999999999</v>
      </c>
      <c r="M45" s="1">
        <f>Greece!G85</f>
        <v>0.79690162631450223</v>
      </c>
      <c r="N45" s="4">
        <f>Hungary!G85</f>
        <v>210.39000000000001</v>
      </c>
      <c r="O45" s="4">
        <v>45.186100000000003</v>
      </c>
      <c r="P45" s="1">
        <f>Ireland!G85</f>
        <v>0.79714099999999999</v>
      </c>
      <c r="Q45" s="1">
        <f>Israel!K85</f>
        <v>4.6436445371652502</v>
      </c>
      <c r="R45" s="1">
        <f>Italy!G85</f>
        <v>0.79690142516281304</v>
      </c>
      <c r="S45" s="4">
        <f>Japan!G85</f>
        <v>116.29900000000001</v>
      </c>
      <c r="T45" s="4">
        <f>Korea!G85</f>
        <v>954.79100000000005</v>
      </c>
      <c r="U45" s="1">
        <f>Netherlands!G85</f>
        <v>0.79714099999999999</v>
      </c>
      <c r="V45" s="1">
        <f>'New Zealand'!G85</f>
        <v>1.54206</v>
      </c>
      <c r="W45" s="1">
        <f>Norway!G85</f>
        <v>6.4133300000000002</v>
      </c>
      <c r="X45" s="1">
        <f>Spain!G85</f>
        <v>0.79690291751309206</v>
      </c>
      <c r="Y45" s="1">
        <f>Sweden!G85</f>
        <v>7.3782500000000004</v>
      </c>
      <c r="Z45" s="1">
        <f>Swiss!G85</f>
        <v>1.2538583333333333</v>
      </c>
      <c r="AA45" s="1">
        <f>Turkey!G85</f>
        <v>1.4284533333333334</v>
      </c>
      <c r="AB45" s="1">
        <v>0.7971408333333333</v>
      </c>
      <c r="AC45" s="2">
        <v>0.67888662593346905</v>
      </c>
      <c r="AD45" s="2">
        <f t="shared" si="0"/>
        <v>7.9717999999999997E-2</v>
      </c>
    </row>
    <row r="46" spans="1:32">
      <c r="A46" s="9">
        <v>2007</v>
      </c>
      <c r="B46" s="1">
        <f>Australia!G86</f>
        <v>1.1950725</v>
      </c>
      <c r="C46" s="1">
        <f>Austria!G86</f>
        <v>0.73063800000000001</v>
      </c>
      <c r="D46" s="1">
        <f>Belgium!G86</f>
        <v>0.73063800000000001</v>
      </c>
      <c r="E46" s="1">
        <f>Britain!G86</f>
        <v>0.49977199999999999</v>
      </c>
      <c r="F46" s="1">
        <f>Canada!G86</f>
        <v>1.0740991666666699</v>
      </c>
      <c r="G46" s="2">
        <v>7.6040000000000001</v>
      </c>
      <c r="H46" s="2">
        <f>'Czech Rep'!G86</f>
        <v>20.29366666666666</v>
      </c>
      <c r="I46" s="1">
        <f>Denmark!G86</f>
        <v>5.4436999999999998</v>
      </c>
      <c r="J46" s="1">
        <f>Finland!G86</f>
        <v>0.73063800000000001</v>
      </c>
      <c r="K46" s="1">
        <f>France!G86</f>
        <v>0.73063800000000001</v>
      </c>
      <c r="L46" s="1">
        <f>Germany!G86</f>
        <v>0.73063800000000001</v>
      </c>
      <c r="M46" s="1">
        <f>Greece!G86</f>
        <v>0.73063749999999994</v>
      </c>
      <c r="N46" s="4">
        <f>Hungary!G86</f>
        <v>183.62583333333336</v>
      </c>
      <c r="O46" s="4">
        <v>41.177399999999999</v>
      </c>
      <c r="P46" s="1">
        <f>Ireland!G86</f>
        <v>0.73063800000000001</v>
      </c>
      <c r="Q46" s="1">
        <f>Israel!K86</f>
        <v>4.4847434425495853</v>
      </c>
      <c r="R46" s="1">
        <f>Italy!G86</f>
        <v>0.73063749999999994</v>
      </c>
      <c r="S46" s="4">
        <f>Japan!G86</f>
        <v>117.754</v>
      </c>
      <c r="T46" s="4">
        <f>Korea!G86</f>
        <v>929.25699999999995</v>
      </c>
      <c r="U46" s="1">
        <f>Netherlands!G86</f>
        <v>0.73063800000000001</v>
      </c>
      <c r="V46" s="1">
        <f>'New Zealand'!G86</f>
        <v>1.3606799999999999</v>
      </c>
      <c r="W46" s="1">
        <f>Norway!G86</f>
        <v>5.8616700000000002</v>
      </c>
      <c r="X46" s="1">
        <f>Spain!G86</f>
        <v>0.73063749999999994</v>
      </c>
      <c r="Y46" s="1">
        <f>Sweden!G86</f>
        <v>6.7587700000000002</v>
      </c>
      <c r="Z46" s="1">
        <f>Swiss!G86</f>
        <v>1.2003583333333332</v>
      </c>
      <c r="AA46" s="1">
        <f>Turkey!G86</f>
        <v>1.3032766666666669</v>
      </c>
      <c r="AB46" s="1">
        <v>0.73063749999999994</v>
      </c>
      <c r="AC46" s="2">
        <v>0.65189048239895697</v>
      </c>
      <c r="AD46" s="2">
        <f t="shared" si="0"/>
        <v>7.6039999999999996E-2</v>
      </c>
    </row>
    <row r="47" spans="1:32">
      <c r="A47" s="9">
        <v>2008</v>
      </c>
      <c r="B47" s="1">
        <f>Australia!G87</f>
        <v>1.19217833333333</v>
      </c>
      <c r="C47" s="1">
        <f>Austria!G87</f>
        <v>0.68267500000000003</v>
      </c>
      <c r="D47" s="1">
        <f>Belgium!G87</f>
        <v>0.68267500000000003</v>
      </c>
      <c r="E47" s="1">
        <f>Britain!G87</f>
        <v>0.54396599999999995</v>
      </c>
      <c r="F47" s="1">
        <f>Canada!G87</f>
        <v>1.06704</v>
      </c>
      <c r="G47" s="2">
        <v>6.9451000000000001</v>
      </c>
      <c r="H47" s="2">
        <f>'Czech Rep'!G87</f>
        <v>17.071666666666665</v>
      </c>
      <c r="I47" s="1">
        <f>Denmark!G87</f>
        <v>5.0981300000000003</v>
      </c>
      <c r="J47" s="1">
        <f>Finland!G87</f>
        <v>0.68267500000000003</v>
      </c>
      <c r="K47" s="1">
        <f>France!G87</f>
        <v>0.68267500000000003</v>
      </c>
      <c r="L47" s="1">
        <f>Germany!G87</f>
        <v>0.68267500000000003</v>
      </c>
      <c r="M47" s="1">
        <f>Greece!G87</f>
        <v>0.68267416666666658</v>
      </c>
      <c r="N47" s="4">
        <f>Hungary!G87</f>
        <v>172.11333333333334</v>
      </c>
      <c r="O47" s="4">
        <v>43.385899999999999</v>
      </c>
      <c r="P47" s="1">
        <f>Ireland!G87</f>
        <v>0.68267500000000003</v>
      </c>
      <c r="Q47" s="1">
        <f>Israel!K87</f>
        <v>3.8585877214890152</v>
      </c>
      <c r="R47" s="1">
        <f>Italy!G87</f>
        <v>0.68267416666666658</v>
      </c>
      <c r="S47" s="4">
        <f>Japan!G87</f>
        <v>103.35899999999999</v>
      </c>
      <c r="T47" s="4">
        <f>Korea!G87</f>
        <v>1102.05</v>
      </c>
      <c r="U47" s="1">
        <f>Netherlands!G87</f>
        <v>0.68267500000000003</v>
      </c>
      <c r="V47" s="1">
        <f>'New Zealand'!G87</f>
        <v>1.4227300000000001</v>
      </c>
      <c r="W47" s="1">
        <f>Norway!G87</f>
        <v>5.64</v>
      </c>
      <c r="X47" s="1">
        <f>Spain!G87</f>
        <v>0.68267416666666658</v>
      </c>
      <c r="Y47" s="1">
        <f>Sweden!G87</f>
        <v>6.5911</v>
      </c>
      <c r="Z47" s="1">
        <f>Swiss!G87</f>
        <v>1.0830916666666666</v>
      </c>
      <c r="AA47" s="1">
        <f>Turkey!G87</f>
        <v>1.3015216666666669</v>
      </c>
      <c r="AB47" s="1">
        <v>0.68267416666666658</v>
      </c>
      <c r="AC47" s="2">
        <v>0.63291139240506322</v>
      </c>
      <c r="AD47" s="2">
        <f t="shared" si="0"/>
        <v>6.9450999999999999E-2</v>
      </c>
      <c r="AF47" s="2" t="s">
        <v>324</v>
      </c>
    </row>
    <row r="48" spans="1:32">
      <c r="A48" s="9">
        <v>2009</v>
      </c>
      <c r="B48" s="1">
        <f>Australia!G88</f>
        <v>1.28218881008452</v>
      </c>
      <c r="C48" s="22">
        <v>0.71984416666666673</v>
      </c>
      <c r="D48" s="22">
        <v>0.71984416666666673</v>
      </c>
      <c r="E48" s="22">
        <f>Britain!G88</f>
        <v>0.64191900000000002</v>
      </c>
      <c r="F48" s="22">
        <f>Canada!G88</f>
        <v>1.14310055659983</v>
      </c>
      <c r="G48" s="32">
        <v>6.8310000000000004</v>
      </c>
      <c r="H48" s="32">
        <f>'Czech Rep'!G88</f>
        <v>19.062999999999999</v>
      </c>
      <c r="I48" s="22">
        <f>Denmark!G88</f>
        <v>5.3608700000000002</v>
      </c>
      <c r="J48" s="22">
        <v>0.71984416666666673</v>
      </c>
      <c r="K48" s="22">
        <v>0.71984416666666673</v>
      </c>
      <c r="L48" s="22">
        <v>0.71984416666666673</v>
      </c>
      <c r="M48" s="22">
        <v>0.71984416666666673</v>
      </c>
      <c r="N48" s="21">
        <f>Hungary!G88</f>
        <v>202.34166666666661</v>
      </c>
      <c r="O48" s="21">
        <v>48.3324</v>
      </c>
      <c r="P48" s="22">
        <v>0.71984416666666673</v>
      </c>
      <c r="Q48" s="22">
        <f>Israel!K88</f>
        <v>3.9323333333333328</v>
      </c>
      <c r="R48" s="22">
        <v>0.71984416666666673</v>
      </c>
      <c r="S48" s="21">
        <f>Japan!G88</f>
        <v>93.570099999999996</v>
      </c>
      <c r="T48" s="21">
        <f>Korea!G88</f>
        <v>1276.93</v>
      </c>
      <c r="U48" s="22">
        <v>0.71984416666666673</v>
      </c>
      <c r="V48" s="22">
        <f>'New Zealand'!G88</f>
        <v>1.6</v>
      </c>
      <c r="W48" s="22">
        <f>Norway!G88</f>
        <v>6.2883300000000002</v>
      </c>
      <c r="X48" s="22">
        <v>0.71984416666666673</v>
      </c>
      <c r="Y48" s="22">
        <f>Sweden!G88</f>
        <v>7.6538199999999996</v>
      </c>
      <c r="Z48" s="22">
        <f>Swiss!G88</f>
        <v>1.0881416666666668</v>
      </c>
      <c r="AA48" s="22">
        <f>Turkey!G88</f>
        <v>1.5499600000000002</v>
      </c>
      <c r="AB48" s="22">
        <v>0.71984416666666673</v>
      </c>
      <c r="AC48" s="32">
        <v>0.64935064935064934</v>
      </c>
      <c r="AD48" s="2">
        <f t="shared" si="0"/>
        <v>6.831000000000001E-2</v>
      </c>
    </row>
    <row r="49" spans="1:35">
      <c r="A49" s="9">
        <v>2010</v>
      </c>
      <c r="B49" s="1">
        <f>Australia!G89</f>
        <v>1.087025445453969</v>
      </c>
      <c r="C49" s="22">
        <v>0.75867129256384003</v>
      </c>
      <c r="D49" s="22">
        <v>0.75867129256384003</v>
      </c>
      <c r="E49" s="22">
        <v>0.64823856585109563</v>
      </c>
      <c r="F49" s="22">
        <v>1.0343047113494515</v>
      </c>
      <c r="G49" s="32">
        <v>6.7695000000000007</v>
      </c>
      <c r="H49" s="32">
        <v>19.082078234050712</v>
      </c>
      <c r="I49" s="22">
        <f>Denmark!G89</f>
        <v>5.6240800000000002</v>
      </c>
      <c r="J49" s="22">
        <v>0.75867129256384003</v>
      </c>
      <c r="K49" s="22">
        <v>0.75867129256384003</v>
      </c>
      <c r="L49" s="22">
        <v>0.75867129256384003</v>
      </c>
      <c r="M49" s="22">
        <v>0.75867129256384003</v>
      </c>
      <c r="N49" s="21">
        <v>207.99112426035501</v>
      </c>
      <c r="O49" s="21">
        <v>45.650700000000001</v>
      </c>
      <c r="P49" s="22">
        <v>0.75867129256384003</v>
      </c>
      <c r="Q49" s="22">
        <f>Israel!K89</f>
        <v>3.7389749999999999</v>
      </c>
      <c r="R49" s="22">
        <v>0.75867129256384003</v>
      </c>
      <c r="S49" s="21">
        <v>87.092478689771994</v>
      </c>
      <c r="T49" s="21">
        <v>1157.7636263168861</v>
      </c>
      <c r="U49" s="22">
        <v>0.75867129256384003</v>
      </c>
      <c r="V49" s="22">
        <v>1.388946762928809</v>
      </c>
      <c r="W49" s="22">
        <v>6.0463641162424917</v>
      </c>
      <c r="X49" s="22">
        <v>0.75867129256384003</v>
      </c>
      <c r="Y49" s="22">
        <v>7.1962893061642301</v>
      </c>
      <c r="Z49" s="22">
        <v>1.0380911833177828</v>
      </c>
      <c r="AA49" s="22">
        <v>1.5066656415199426</v>
      </c>
      <c r="AB49" s="22">
        <v>0.75867129256384003</v>
      </c>
      <c r="AC49" s="32">
        <v>0.65574129834697015</v>
      </c>
      <c r="AD49" s="2">
        <f t="shared" si="0"/>
        <v>6.7695000000000005E-2</v>
      </c>
      <c r="AE49" s="1">
        <f>I49*100/AF49</f>
        <v>0.65574129834697015</v>
      </c>
      <c r="AF49" s="2">
        <v>857.66750000000002</v>
      </c>
    </row>
    <row r="50" spans="1:35">
      <c r="A50" s="9">
        <v>2011</v>
      </c>
      <c r="B50" s="1">
        <f>Australia!G90</f>
        <v>0.96091479088091858</v>
      </c>
      <c r="C50" s="22">
        <v>0.71544109992713056</v>
      </c>
      <c r="D50" s="22">
        <v>0.71544109992713056</v>
      </c>
      <c r="E50" s="22">
        <v>0.62300910466764359</v>
      </c>
      <c r="F50" s="22">
        <v>0.98780438977906948</v>
      </c>
      <c r="G50" s="32">
        <v>6.4588000000000001</v>
      </c>
      <c r="H50" s="32">
        <v>17.694325925192629</v>
      </c>
      <c r="I50" s="22">
        <v>5.362177</v>
      </c>
      <c r="J50" s="22">
        <v>0.71544109992713056</v>
      </c>
      <c r="K50" s="22">
        <v>0.71544109992713056</v>
      </c>
      <c r="L50" s="22">
        <v>0.71544109992713056</v>
      </c>
      <c r="M50" s="22">
        <v>0.71544109992713056</v>
      </c>
      <c r="N50" s="21">
        <v>200.6802769461078</v>
      </c>
      <c r="O50" s="21">
        <v>46.578200000000002</v>
      </c>
      <c r="P50" s="22">
        <v>0.71544109992713056</v>
      </c>
      <c r="Q50" s="32">
        <v>149.72130000000001</v>
      </c>
      <c r="R50" s="22">
        <v>0.71544109992713056</v>
      </c>
      <c r="S50" s="21">
        <v>79.602181276575308</v>
      </c>
      <c r="T50" s="21">
        <v>1104.4858705487623</v>
      </c>
      <c r="U50" s="22">
        <v>0.71544109992713056</v>
      </c>
      <c r="V50" s="22">
        <v>1.2549066711509356</v>
      </c>
      <c r="W50" s="22">
        <v>5.6082971190704045</v>
      </c>
      <c r="X50" s="22">
        <v>0.71544109992713056</v>
      </c>
      <c r="Y50" s="22">
        <v>6.4979938318357267</v>
      </c>
      <c r="Z50" s="22">
        <v>0.88139108431226521</v>
      </c>
      <c r="AA50" s="22">
        <v>1.6768357571389036</v>
      </c>
      <c r="AB50" s="22">
        <v>0.71544109992713056</v>
      </c>
      <c r="AC50" s="32">
        <v>0.6338694763739513</v>
      </c>
      <c r="AD50" s="2">
        <f t="shared" si="0"/>
        <v>6.4588000000000007E-2</v>
      </c>
      <c r="AE50" s="1">
        <f t="shared" ref="AE50:AE56" si="1">I50*100/AF50</f>
        <v>0.6338694763739513</v>
      </c>
      <c r="AF50" s="2">
        <v>845.9434</v>
      </c>
    </row>
    <row r="51" spans="1:35">
      <c r="A51" s="9">
        <v>2012</v>
      </c>
      <c r="B51" s="1">
        <f>Australia!G91</f>
        <v>0.96223237911955739</v>
      </c>
      <c r="C51" s="22">
        <v>0.773899446716382</v>
      </c>
      <c r="D51" s="22">
        <v>0.773899446716382</v>
      </c>
      <c r="E51" s="22">
        <v>0.62810520407345038</v>
      </c>
      <c r="F51" s="22">
        <v>0.99862080025659505</v>
      </c>
      <c r="G51" s="32">
        <v>6.3125</v>
      </c>
      <c r="H51" s="32">
        <v>19.579963455699321</v>
      </c>
      <c r="I51" s="22">
        <v>5.7972159999999997</v>
      </c>
      <c r="J51" s="22">
        <v>0.773899446716382</v>
      </c>
      <c r="K51" s="22">
        <v>0.773899446716382</v>
      </c>
      <c r="L51" s="22">
        <v>0.773899446716382</v>
      </c>
      <c r="M51" s="22">
        <v>0.773899446716382</v>
      </c>
      <c r="N51" s="21">
        <v>224.95987582460225</v>
      </c>
      <c r="O51" s="21">
        <v>53.374299999999998</v>
      </c>
      <c r="P51" s="22">
        <v>0.773899446716382</v>
      </c>
      <c r="Q51" s="32">
        <v>150.23070000000001</v>
      </c>
      <c r="R51" s="22">
        <v>0.773899446716382</v>
      </c>
      <c r="S51" s="21">
        <v>79.938256755673166</v>
      </c>
      <c r="T51" s="21">
        <v>1120.3335738914282</v>
      </c>
      <c r="U51" s="22">
        <v>0.773899446716382</v>
      </c>
      <c r="V51" s="22">
        <v>1.2279127575976263</v>
      </c>
      <c r="W51" s="22">
        <v>5.8192827200745221</v>
      </c>
      <c r="X51" s="22">
        <v>0.773899446716382</v>
      </c>
      <c r="Y51" s="22">
        <v>6.7706372944621123</v>
      </c>
      <c r="Z51" s="22">
        <v>0.93197818939940669</v>
      </c>
      <c r="AA51" s="22">
        <v>1.8005576955211047</v>
      </c>
      <c r="AB51" s="22">
        <v>0.773899446716382</v>
      </c>
      <c r="AC51" s="32">
        <v>0.65320346219865244</v>
      </c>
      <c r="AD51" s="2">
        <f t="shared" si="0"/>
        <v>6.3125000000000001E-2</v>
      </c>
      <c r="AE51" s="1">
        <f t="shared" si="1"/>
        <v>0.65320346219865244</v>
      </c>
      <c r="AF51" s="2">
        <v>887.50540000000001</v>
      </c>
    </row>
    <row r="52" spans="1:35">
      <c r="A52" s="9">
        <v>2013</v>
      </c>
      <c r="B52" s="1">
        <f>Australia!G92</f>
        <v>1.0416214574020224</v>
      </c>
      <c r="C52" s="22">
        <v>0.75166876437654617</v>
      </c>
      <c r="D52" s="22">
        <v>0.75166876437654617</v>
      </c>
      <c r="E52" s="22">
        <v>0.63984202074562735</v>
      </c>
      <c r="F52" s="22">
        <v>1.0338440171867538</v>
      </c>
      <c r="G52" s="32">
        <v>6.1932000000000009</v>
      </c>
      <c r="H52" s="32">
        <v>19.550178718724222</v>
      </c>
      <c r="I52" s="22">
        <v>5.617216</v>
      </c>
      <c r="J52" s="22">
        <v>0.75166876437654617</v>
      </c>
      <c r="K52" s="22">
        <v>0.75166876437654617</v>
      </c>
      <c r="L52" s="22">
        <v>0.75166876437654617</v>
      </c>
      <c r="M52" s="22">
        <v>0.75166876437654617</v>
      </c>
      <c r="N52" s="21">
        <v>223.6152866242038</v>
      </c>
      <c r="O52" s="21">
        <v>58.514899999999997</v>
      </c>
      <c r="P52" s="22">
        <v>0.75166876437654617</v>
      </c>
      <c r="Q52" s="32">
        <v>155.51669999999999</v>
      </c>
      <c r="R52" s="22">
        <v>0.75166876437654617</v>
      </c>
      <c r="S52" s="21">
        <v>97.685864328805181</v>
      </c>
      <c r="T52" s="21">
        <v>1094.9411917885509</v>
      </c>
      <c r="U52" s="22">
        <v>0.75166876437654617</v>
      </c>
      <c r="V52" s="22">
        <v>1.2223514604400847</v>
      </c>
      <c r="W52" s="22">
        <v>5.8701489792164798</v>
      </c>
      <c r="X52" s="22">
        <v>0.75166876437654617</v>
      </c>
      <c r="Y52" s="22">
        <v>6.5136657645058875</v>
      </c>
      <c r="Z52" s="22">
        <v>0.92443904344429506</v>
      </c>
      <c r="AA52" s="22">
        <v>1.9002175508128807</v>
      </c>
      <c r="AB52" s="22">
        <v>0.75166876437654617</v>
      </c>
      <c r="AC52" s="32">
        <v>0.65821384014514117</v>
      </c>
      <c r="AD52" s="2">
        <f t="shared" si="0"/>
        <v>6.1932000000000008E-2</v>
      </c>
      <c r="AE52" s="1">
        <f t="shared" si="1"/>
        <v>0.65821384014514117</v>
      </c>
      <c r="AF52" s="2">
        <v>853.40290000000005</v>
      </c>
    </row>
    <row r="53" spans="1:35">
      <c r="A53" s="9">
        <v>2014</v>
      </c>
      <c r="B53" s="1">
        <f>Australia!G93</f>
        <v>1.1123470522803114</v>
      </c>
      <c r="C53" s="22">
        <v>0.757387838338895</v>
      </c>
      <c r="D53" s="22">
        <v>0.757387838338895</v>
      </c>
      <c r="E53" s="22">
        <v>0.60778642936596206</v>
      </c>
      <c r="F53" s="22">
        <v>1.106664812754913</v>
      </c>
      <c r="G53" s="32">
        <v>6.1427999999999994</v>
      </c>
      <c r="H53" s="32">
        <v>20.754245739486297</v>
      </c>
      <c r="I53" s="22">
        <v>5.619046</v>
      </c>
      <c r="J53" s="22">
        <v>0.757387838338895</v>
      </c>
      <c r="K53" s="22">
        <v>0.757387838338895</v>
      </c>
      <c r="L53" s="22">
        <v>0.757387838338895</v>
      </c>
      <c r="M53" s="22">
        <v>0.757387838338895</v>
      </c>
      <c r="N53" s="21">
        <v>232.6727122153209</v>
      </c>
      <c r="O53" s="21">
        <v>60.9953</v>
      </c>
      <c r="P53" s="22">
        <v>0.757387838338895</v>
      </c>
      <c r="Q53" s="32">
        <v>157.14080000000001</v>
      </c>
      <c r="R53" s="22">
        <v>0.757387838338895</v>
      </c>
      <c r="S53" s="21">
        <v>106.1123470522803</v>
      </c>
      <c r="T53" s="21">
        <v>1052.146829810901</v>
      </c>
      <c r="U53" s="22">
        <v>0.757387838338895</v>
      </c>
      <c r="V53" s="22">
        <v>1.2099462365591398</v>
      </c>
      <c r="W53" s="22">
        <v>6.291782231543305</v>
      </c>
      <c r="X53" s="22">
        <v>0.757387838338895</v>
      </c>
      <c r="Y53" s="22">
        <v>6.8536067435327919</v>
      </c>
      <c r="Z53" s="22">
        <v>0.91877085650723023</v>
      </c>
      <c r="AA53" s="22">
        <v>2.1899235501180105</v>
      </c>
      <c r="AB53" s="22">
        <v>0.757387838338895</v>
      </c>
      <c r="AC53" s="32">
        <v>0.65857721529016477</v>
      </c>
      <c r="AD53" s="2">
        <f t="shared" si="0"/>
        <v>6.1427999999999996E-2</v>
      </c>
      <c r="AE53" s="1">
        <f t="shared" si="1"/>
        <v>0.65857721529016477</v>
      </c>
      <c r="AF53" s="2">
        <v>853.20989999999995</v>
      </c>
    </row>
    <row r="54" spans="1:35">
      <c r="A54" s="9">
        <v>2015</v>
      </c>
      <c r="B54" s="1">
        <f>Australia!G94</f>
        <v>1.3396146375226059</v>
      </c>
      <c r="C54" s="22">
        <v>0.90592556207997499</v>
      </c>
      <c r="D54" s="22">
        <v>0.90592556207997499</v>
      </c>
      <c r="E54" s="22">
        <v>0.65543995177387293</v>
      </c>
      <c r="F54" s="22">
        <v>1.2875929357654781</v>
      </c>
      <c r="G54" s="32">
        <v>6.2284000000000006</v>
      </c>
      <c r="H54" s="32">
        <v>24.599269357634448</v>
      </c>
      <c r="I54" s="22">
        <v>6.7268670000000004</v>
      </c>
      <c r="J54" s="22">
        <v>0.90592556207997499</v>
      </c>
      <c r="K54" s="22">
        <v>0.90592556207997499</v>
      </c>
      <c r="L54" s="22">
        <v>0.90592556207997499</v>
      </c>
      <c r="M54" s="22">
        <v>0.90592556207997499</v>
      </c>
      <c r="N54" s="21">
        <v>279.47100124636478</v>
      </c>
      <c r="O54" s="21">
        <v>64.107299999999995</v>
      </c>
      <c r="P54" s="22">
        <v>0.90592556207997499</v>
      </c>
      <c r="Q54" s="32">
        <v>173.09389999999999</v>
      </c>
      <c r="R54" s="22">
        <v>0.90592556207997499</v>
      </c>
      <c r="S54" s="21">
        <v>120.93817678447832</v>
      </c>
      <c r="T54" s="21">
        <v>1132.7189711759586</v>
      </c>
      <c r="U54" s="22">
        <v>0.90592556207997499</v>
      </c>
      <c r="V54" s="22">
        <v>1.4413918596083857</v>
      </c>
      <c r="W54" s="22">
        <v>8.062665178833619</v>
      </c>
      <c r="X54" s="22">
        <v>0.90592556207997499</v>
      </c>
      <c r="Y54" s="22">
        <v>8.4360853883660756</v>
      </c>
      <c r="Z54" s="22">
        <v>0.96298198218312514</v>
      </c>
      <c r="AA54" s="22">
        <v>2.7165485783976209</v>
      </c>
      <c r="AB54" s="22">
        <v>0.90592556207997499</v>
      </c>
      <c r="AC54" s="32">
        <v>0.71499160955052965</v>
      </c>
      <c r="AD54" s="2">
        <f t="shared" si="0"/>
        <v>6.2284000000000006E-2</v>
      </c>
      <c r="AE54" s="1">
        <f t="shared" si="1"/>
        <v>0.71499160955052965</v>
      </c>
      <c r="AF54" s="2">
        <v>940.83159999999998</v>
      </c>
    </row>
    <row r="55" spans="1:35">
      <c r="A55" s="9">
        <v>2016</v>
      </c>
      <c r="B55" s="1">
        <f>Australia!G95</f>
        <v>1.3451557578271249</v>
      </c>
      <c r="C55" s="22">
        <v>0.90674707708863456</v>
      </c>
      <c r="D55" s="22">
        <v>0.90674707708863456</v>
      </c>
      <c r="E55" s="22">
        <v>0.74648297817484766</v>
      </c>
      <c r="F55" s="22">
        <v>1.3227140759340423</v>
      </c>
      <c r="G55" s="32">
        <v>6.6423000000000005</v>
      </c>
      <c r="H55" s="32">
        <v>24.441409554096197</v>
      </c>
      <c r="I55" s="22">
        <v>6.732704</v>
      </c>
      <c r="J55" s="22">
        <v>0.90674707708863456</v>
      </c>
      <c r="K55" s="22">
        <v>0.90674707708863456</v>
      </c>
      <c r="L55" s="22">
        <v>0.90674707708863456</v>
      </c>
      <c r="M55" s="22">
        <v>0.90674707708863456</v>
      </c>
      <c r="N55" s="21">
        <v>281.70309623430961</v>
      </c>
      <c r="O55" s="21">
        <v>67.157200000000003</v>
      </c>
      <c r="P55" s="22">
        <v>0.90674707708863456</v>
      </c>
      <c r="Q55" s="32">
        <v>175.33850000000001</v>
      </c>
      <c r="R55" s="22">
        <v>0.90674707708863456</v>
      </c>
      <c r="S55" s="21">
        <v>108.94752771581341</v>
      </c>
      <c r="T55" s="21">
        <v>1159.6699884540794</v>
      </c>
      <c r="U55" s="22">
        <v>0.90674707708863456</v>
      </c>
      <c r="V55" s="22">
        <v>1.4356959499602058</v>
      </c>
      <c r="W55" s="22">
        <v>8.3973114450670945</v>
      </c>
      <c r="X55" s="22">
        <v>0.90674707708863456</v>
      </c>
      <c r="Y55" s="22">
        <v>8.5625130357369965</v>
      </c>
      <c r="Z55" s="22">
        <v>0.98837561232611049</v>
      </c>
      <c r="AA55" s="22">
        <v>3.0191416525336705</v>
      </c>
      <c r="AB55" s="22">
        <v>0.90674707708863456</v>
      </c>
      <c r="AC55" s="32">
        <v>0.71980407809977054</v>
      </c>
      <c r="AD55" s="2">
        <f t="shared" si="0"/>
        <v>6.642300000000001E-2</v>
      </c>
      <c r="AE55" s="1">
        <f t="shared" si="1"/>
        <v>0.71980407809977054</v>
      </c>
      <c r="AF55" s="2">
        <v>935.35230000000001</v>
      </c>
    </row>
    <row r="56" spans="1:35">
      <c r="A56" s="9">
        <v>2017</v>
      </c>
      <c r="B56" s="1">
        <f>Australia!G96</f>
        <v>1.3001365143340053</v>
      </c>
      <c r="C56" s="22">
        <f>AB56</f>
        <v>0.88700000000000001</v>
      </c>
      <c r="D56" s="22">
        <f>AB56</f>
        <v>0.88700000000000001</v>
      </c>
      <c r="E56" s="22">
        <v>0.77600000000000002</v>
      </c>
      <c r="F56" s="22">
        <v>1.298</v>
      </c>
      <c r="G56" s="32">
        <v>6.758</v>
      </c>
      <c r="H56" s="32">
        <v>23.37</v>
      </c>
      <c r="I56" s="22">
        <v>6.5970000000000004</v>
      </c>
      <c r="J56" s="22">
        <f>$AB56</f>
        <v>0.88700000000000001</v>
      </c>
      <c r="K56" s="22">
        <f t="shared" ref="K56:M71" si="2">$AB56</f>
        <v>0.88700000000000001</v>
      </c>
      <c r="L56" s="22">
        <f t="shared" si="2"/>
        <v>0.88700000000000001</v>
      </c>
      <c r="M56" s="22">
        <f t="shared" si="2"/>
        <v>0.88700000000000001</v>
      </c>
      <c r="N56" s="21">
        <v>274.31299999999999</v>
      </c>
      <c r="O56" s="21">
        <v>65.11</v>
      </c>
      <c r="P56" s="22">
        <f>AB56</f>
        <v>0.88700000000000001</v>
      </c>
      <c r="Q56" s="32">
        <v>183.17910000000001</v>
      </c>
      <c r="R56" s="22">
        <f>AB56</f>
        <v>0.88700000000000001</v>
      </c>
      <c r="S56" s="21">
        <v>112.137</v>
      </c>
      <c r="T56" s="21">
        <v>1130.242</v>
      </c>
      <c r="U56" s="22">
        <f>AB56</f>
        <v>0.88700000000000001</v>
      </c>
      <c r="V56" s="22">
        <v>1.407</v>
      </c>
      <c r="W56" s="22">
        <v>8.27</v>
      </c>
      <c r="X56" s="22">
        <f>AB56</f>
        <v>0.88700000000000001</v>
      </c>
      <c r="Y56" s="22">
        <v>8.5470000000000006</v>
      </c>
      <c r="Z56" s="22">
        <v>0.98499999999999999</v>
      </c>
      <c r="AA56" s="22">
        <v>3.649</v>
      </c>
      <c r="AB56" s="22">
        <v>0.88700000000000001</v>
      </c>
      <c r="AC56" s="32">
        <v>0.72099999999999997</v>
      </c>
      <c r="AD56" s="2">
        <f t="shared" si="0"/>
        <v>6.7580000000000001E-2</v>
      </c>
      <c r="AE56" s="1">
        <f t="shared" si="1"/>
        <v>0.72170191686961005</v>
      </c>
      <c r="AF56" s="2">
        <v>914.08929999999998</v>
      </c>
    </row>
    <row r="57" spans="1:35" s="32" customFormat="1">
      <c r="A57" s="9">
        <v>2018</v>
      </c>
      <c r="B57" s="22">
        <f>H85</f>
        <v>1.3473457289140394</v>
      </c>
      <c r="C57" s="22">
        <f t="shared" ref="C57:C79" si="3">AB57</f>
        <v>0.84599999999999997</v>
      </c>
      <c r="D57" s="22">
        <f t="shared" ref="D57:D79" si="4">AB57</f>
        <v>0.84599999999999997</v>
      </c>
      <c r="E57" s="22">
        <v>0.751</v>
      </c>
      <c r="F57" s="22">
        <v>1.3009999999999999</v>
      </c>
      <c r="G57" s="32">
        <v>6.6130000000000004</v>
      </c>
      <c r="H57" s="32">
        <v>21.686</v>
      </c>
      <c r="I57" s="22">
        <v>6.3079999999999998</v>
      </c>
      <c r="J57" s="22">
        <f t="shared" ref="J57:M79" si="5">$AB57</f>
        <v>0.84599999999999997</v>
      </c>
      <c r="K57" s="22">
        <f t="shared" si="2"/>
        <v>0.84599999999999997</v>
      </c>
      <c r="L57" s="22">
        <f t="shared" si="2"/>
        <v>0.84599999999999997</v>
      </c>
      <c r="M57" s="22">
        <f t="shared" si="2"/>
        <v>0.84599999999999997</v>
      </c>
      <c r="N57" s="21">
        <v>275.16399999999999</v>
      </c>
      <c r="O57" s="21">
        <v>68.816999999999993</v>
      </c>
      <c r="P57" s="22">
        <f t="shared" ref="P57:P79" si="6">AB57</f>
        <v>0.84599999999999997</v>
      </c>
      <c r="R57" s="22">
        <f t="shared" ref="R57:R79" si="7">AB57</f>
        <v>0.84599999999999997</v>
      </c>
      <c r="S57" s="21">
        <v>109.911</v>
      </c>
      <c r="T57" s="21">
        <v>1103.0450000000001</v>
      </c>
      <c r="U57" s="22">
        <f t="shared" ref="U57:U79" si="8">AB57</f>
        <v>0.84599999999999997</v>
      </c>
      <c r="V57" s="22">
        <v>1.462</v>
      </c>
      <c r="W57" s="22">
        <v>8.1579999999999995</v>
      </c>
      <c r="X57" s="22">
        <f t="shared" ref="X57:X79" si="9">AB57</f>
        <v>0.84599999999999997</v>
      </c>
      <c r="Y57" s="22">
        <v>8.7739999999999991</v>
      </c>
      <c r="Z57" s="22">
        <v>0.97299999999999998</v>
      </c>
      <c r="AA57" s="32">
        <v>5.2430000000000003</v>
      </c>
      <c r="AB57" s="22">
        <v>0.84599999999999997</v>
      </c>
      <c r="AC57" s="32">
        <v>0.70599999999999996</v>
      </c>
      <c r="AD57" s="32">
        <f t="shared" si="0"/>
        <v>6.6130000000000008E-2</v>
      </c>
    </row>
    <row r="58" spans="1:35" s="32" customFormat="1">
      <c r="A58" s="9">
        <v>2019</v>
      </c>
      <c r="B58" s="22">
        <v>1.3979999999999999</v>
      </c>
      <c r="C58" s="22">
        <f t="shared" si="3"/>
        <v>0.86199999999999999</v>
      </c>
      <c r="D58" s="22">
        <f t="shared" si="4"/>
        <v>0.86199999999999999</v>
      </c>
      <c r="E58" s="22">
        <v>0.77300000000000002</v>
      </c>
      <c r="F58" s="22">
        <v>1.3169999999999999</v>
      </c>
      <c r="G58" s="32">
        <v>6.8470000000000004</v>
      </c>
      <c r="H58" s="32">
        <v>22.157</v>
      </c>
      <c r="I58" s="22">
        <v>6.4349999999999996</v>
      </c>
      <c r="J58" s="22">
        <f t="shared" si="5"/>
        <v>0.86199999999999999</v>
      </c>
      <c r="K58" s="22">
        <f t="shared" si="2"/>
        <v>0.86199999999999999</v>
      </c>
      <c r="L58" s="22">
        <f t="shared" si="2"/>
        <v>0.86199999999999999</v>
      </c>
      <c r="M58" s="22">
        <f t="shared" si="2"/>
        <v>0.86199999999999999</v>
      </c>
      <c r="N58" s="21">
        <v>287.25</v>
      </c>
      <c r="O58" s="21">
        <v>72.037999999999997</v>
      </c>
      <c r="P58" s="22">
        <f t="shared" si="6"/>
        <v>0.86199999999999999</v>
      </c>
      <c r="R58" s="22">
        <f t="shared" si="7"/>
        <v>0.86199999999999999</v>
      </c>
      <c r="S58" s="21">
        <v>111.28</v>
      </c>
      <c r="T58" s="21">
        <v>1124.3</v>
      </c>
      <c r="U58" s="22">
        <f t="shared" si="8"/>
        <v>0.86199999999999999</v>
      </c>
      <c r="V58" s="22">
        <v>1.526</v>
      </c>
      <c r="W58" s="22">
        <v>8.3989999999999991</v>
      </c>
      <c r="X58" s="22">
        <f t="shared" si="9"/>
        <v>0.86199999999999999</v>
      </c>
      <c r="Y58" s="22">
        <v>9.0790000000000006</v>
      </c>
      <c r="Z58" s="22">
        <v>0.97199999999999998</v>
      </c>
      <c r="AA58" s="32">
        <v>6.5330000000000004</v>
      </c>
      <c r="AB58" s="22">
        <v>0.86199999999999999</v>
      </c>
      <c r="AC58" s="32">
        <v>0.71499999999999997</v>
      </c>
      <c r="AD58" s="32">
        <f t="shared" si="0"/>
        <v>6.8470000000000003E-2</v>
      </c>
      <c r="AF58" s="39" t="s">
        <v>1956</v>
      </c>
      <c r="AG58" s="39"/>
      <c r="AH58" s="39"/>
      <c r="AI58" s="39"/>
    </row>
    <row r="59" spans="1:35" s="32" customFormat="1">
      <c r="A59" s="9">
        <v>2020</v>
      </c>
      <c r="B59" s="22">
        <f>B58</f>
        <v>1.3979999999999999</v>
      </c>
      <c r="C59" s="22">
        <f t="shared" si="3"/>
        <v>0.86199999999999999</v>
      </c>
      <c r="D59" s="22">
        <f t="shared" si="4"/>
        <v>0.86199999999999999</v>
      </c>
      <c r="E59" s="22">
        <v>0.77300000000000002</v>
      </c>
      <c r="F59" s="22">
        <v>1.3169999999999999</v>
      </c>
      <c r="G59" s="32">
        <v>6.8470000000000004</v>
      </c>
      <c r="H59" s="32">
        <v>22.157</v>
      </c>
      <c r="I59" s="22">
        <v>6.4349999999999996</v>
      </c>
      <c r="J59" s="22">
        <f t="shared" si="5"/>
        <v>0.86199999999999999</v>
      </c>
      <c r="K59" s="22">
        <f t="shared" si="2"/>
        <v>0.86199999999999999</v>
      </c>
      <c r="L59" s="22">
        <f t="shared" si="2"/>
        <v>0.86199999999999999</v>
      </c>
      <c r="M59" s="22">
        <f t="shared" si="2"/>
        <v>0.86199999999999999</v>
      </c>
      <c r="N59" s="21">
        <v>287.25</v>
      </c>
      <c r="O59" s="21">
        <v>72.037999999999997</v>
      </c>
      <c r="P59" s="22">
        <f t="shared" si="6"/>
        <v>0.86199999999999999</v>
      </c>
      <c r="R59" s="22">
        <f t="shared" si="7"/>
        <v>0.86199999999999999</v>
      </c>
      <c r="S59" s="21">
        <v>111.28</v>
      </c>
      <c r="T59" s="21">
        <v>1124.3</v>
      </c>
      <c r="U59" s="22">
        <f t="shared" si="8"/>
        <v>0.86199999999999999</v>
      </c>
      <c r="V59" s="22">
        <v>1.526</v>
      </c>
      <c r="W59" s="22">
        <v>8.3989999999999991</v>
      </c>
      <c r="X59" s="22">
        <f t="shared" si="9"/>
        <v>0.86199999999999999</v>
      </c>
      <c r="Y59" s="22">
        <v>9.0790000000000006</v>
      </c>
      <c r="Z59" s="22">
        <v>0.97199999999999998</v>
      </c>
      <c r="AA59" s="32">
        <v>6.5330000000000004</v>
      </c>
      <c r="AB59" s="22">
        <f>AB58</f>
        <v>0.86199999999999999</v>
      </c>
      <c r="AC59" s="32">
        <v>0.71499999999999997</v>
      </c>
    </row>
    <row r="60" spans="1:35" s="32" customFormat="1">
      <c r="A60" s="9">
        <v>2021</v>
      </c>
      <c r="B60" s="22">
        <f t="shared" ref="B60:B79" si="10">B59</f>
        <v>1.3979999999999999</v>
      </c>
      <c r="C60" s="22">
        <f t="shared" si="3"/>
        <v>0.86199999999999999</v>
      </c>
      <c r="D60" s="22">
        <f t="shared" si="4"/>
        <v>0.86199999999999999</v>
      </c>
      <c r="E60" s="22">
        <v>0.77300000000000002</v>
      </c>
      <c r="F60" s="22">
        <v>1.3169999999999999</v>
      </c>
      <c r="G60" s="32">
        <v>6.8470000000000004</v>
      </c>
      <c r="H60" s="32">
        <v>22.157</v>
      </c>
      <c r="I60" s="22">
        <v>6.4349999999999996</v>
      </c>
      <c r="J60" s="22">
        <f t="shared" si="5"/>
        <v>0.86199999999999999</v>
      </c>
      <c r="K60" s="22">
        <f t="shared" si="2"/>
        <v>0.86199999999999999</v>
      </c>
      <c r="L60" s="22">
        <f t="shared" si="2"/>
        <v>0.86199999999999999</v>
      </c>
      <c r="M60" s="22">
        <f t="shared" si="2"/>
        <v>0.86199999999999999</v>
      </c>
      <c r="N60" s="21">
        <v>287.25</v>
      </c>
      <c r="O60" s="21">
        <v>72.037999999999997</v>
      </c>
      <c r="P60" s="22">
        <f t="shared" si="6"/>
        <v>0.86199999999999999</v>
      </c>
      <c r="Q60" s="22"/>
      <c r="R60" s="22">
        <f t="shared" si="7"/>
        <v>0.86199999999999999</v>
      </c>
      <c r="S60" s="21">
        <v>111.28</v>
      </c>
      <c r="T60" s="21">
        <v>1124.3</v>
      </c>
      <c r="U60" s="22">
        <f t="shared" si="8"/>
        <v>0.86199999999999999</v>
      </c>
      <c r="V60" s="22">
        <v>1.526</v>
      </c>
      <c r="W60" s="22">
        <v>8.3989999999999991</v>
      </c>
      <c r="X60" s="22">
        <f t="shared" si="9"/>
        <v>0.86199999999999999</v>
      </c>
      <c r="Y60" s="22">
        <v>9.0790000000000006</v>
      </c>
      <c r="Z60" s="22">
        <v>0.97199999999999998</v>
      </c>
      <c r="AA60" s="32">
        <v>6.5330000000000004</v>
      </c>
      <c r="AB60" s="22">
        <f t="shared" ref="AB60:AB79" si="11">AB59</f>
        <v>0.86199999999999999</v>
      </c>
      <c r="AC60" s="32">
        <v>0.71499999999999997</v>
      </c>
      <c r="AF60" s="32" t="s">
        <v>2049</v>
      </c>
    </row>
    <row r="61" spans="1:35" s="32" customFormat="1">
      <c r="A61" s="9">
        <v>2022</v>
      </c>
      <c r="B61" s="22">
        <f t="shared" si="10"/>
        <v>1.3979999999999999</v>
      </c>
      <c r="C61" s="22">
        <f t="shared" si="3"/>
        <v>0.86199999999999999</v>
      </c>
      <c r="D61" s="22">
        <f t="shared" si="4"/>
        <v>0.86199999999999999</v>
      </c>
      <c r="E61" s="22">
        <v>0.77300000000000002</v>
      </c>
      <c r="F61" s="22">
        <v>1.3169999999999999</v>
      </c>
      <c r="G61" s="32">
        <v>6.8470000000000004</v>
      </c>
      <c r="H61" s="32">
        <v>22.157</v>
      </c>
      <c r="I61" s="22">
        <v>6.4349999999999996</v>
      </c>
      <c r="J61" s="22">
        <f t="shared" si="5"/>
        <v>0.86199999999999999</v>
      </c>
      <c r="K61" s="22">
        <f t="shared" si="2"/>
        <v>0.86199999999999999</v>
      </c>
      <c r="L61" s="22">
        <f t="shared" si="2"/>
        <v>0.86199999999999999</v>
      </c>
      <c r="M61" s="22">
        <f t="shared" si="2"/>
        <v>0.86199999999999999</v>
      </c>
      <c r="N61" s="21">
        <v>287.25</v>
      </c>
      <c r="O61" s="21">
        <v>72.037999999999997</v>
      </c>
      <c r="P61" s="22">
        <f t="shared" si="6"/>
        <v>0.86199999999999999</v>
      </c>
      <c r="Q61" s="22"/>
      <c r="R61" s="22">
        <f t="shared" si="7"/>
        <v>0.86199999999999999</v>
      </c>
      <c r="S61" s="21">
        <v>111.28</v>
      </c>
      <c r="T61" s="21">
        <v>1124.3</v>
      </c>
      <c r="U61" s="22">
        <f t="shared" si="8"/>
        <v>0.86199999999999999</v>
      </c>
      <c r="V61" s="22">
        <v>1.526</v>
      </c>
      <c r="W61" s="22">
        <v>8.3989999999999991</v>
      </c>
      <c r="X61" s="22">
        <f t="shared" si="9"/>
        <v>0.86199999999999999</v>
      </c>
      <c r="Y61" s="22">
        <v>9.0790000000000006</v>
      </c>
      <c r="Z61" s="22">
        <v>0.97199999999999998</v>
      </c>
      <c r="AA61" s="32">
        <v>6.5330000000000004</v>
      </c>
      <c r="AB61" s="22">
        <f t="shared" si="11"/>
        <v>0.86199999999999999</v>
      </c>
      <c r="AC61" s="32">
        <v>0.71499999999999997</v>
      </c>
    </row>
    <row r="62" spans="1:35" s="32" customFormat="1">
      <c r="A62" s="9">
        <v>2023</v>
      </c>
      <c r="B62" s="22">
        <f t="shared" si="10"/>
        <v>1.3979999999999999</v>
      </c>
      <c r="C62" s="22">
        <f t="shared" si="3"/>
        <v>0.86199999999999999</v>
      </c>
      <c r="D62" s="22">
        <f t="shared" si="4"/>
        <v>0.86199999999999999</v>
      </c>
      <c r="E62" s="22">
        <v>0.77300000000000002</v>
      </c>
      <c r="F62" s="22">
        <v>1.3169999999999999</v>
      </c>
      <c r="G62" s="32">
        <v>6.8470000000000004</v>
      </c>
      <c r="H62" s="32">
        <v>22.157</v>
      </c>
      <c r="I62" s="22">
        <v>6.4349999999999996</v>
      </c>
      <c r="J62" s="22">
        <f t="shared" si="5"/>
        <v>0.86199999999999999</v>
      </c>
      <c r="K62" s="22">
        <f t="shared" si="2"/>
        <v>0.86199999999999999</v>
      </c>
      <c r="L62" s="22">
        <f t="shared" si="2"/>
        <v>0.86199999999999999</v>
      </c>
      <c r="M62" s="22">
        <f t="shared" si="2"/>
        <v>0.86199999999999999</v>
      </c>
      <c r="N62" s="21">
        <v>287.25</v>
      </c>
      <c r="O62" s="21">
        <v>72.037999999999997</v>
      </c>
      <c r="P62" s="22">
        <f t="shared" si="6"/>
        <v>0.86199999999999999</v>
      </c>
      <c r="Q62" s="22"/>
      <c r="R62" s="22">
        <f t="shared" si="7"/>
        <v>0.86199999999999999</v>
      </c>
      <c r="S62" s="21">
        <v>111.28</v>
      </c>
      <c r="T62" s="21">
        <v>1124.3</v>
      </c>
      <c r="U62" s="22">
        <f t="shared" si="8"/>
        <v>0.86199999999999999</v>
      </c>
      <c r="V62" s="22">
        <v>1.526</v>
      </c>
      <c r="W62" s="22">
        <v>8.3989999999999991</v>
      </c>
      <c r="X62" s="22">
        <f t="shared" si="9"/>
        <v>0.86199999999999999</v>
      </c>
      <c r="Y62" s="22">
        <v>9.0790000000000006</v>
      </c>
      <c r="Z62" s="22">
        <v>0.97199999999999998</v>
      </c>
      <c r="AA62" s="32">
        <v>6.5330000000000004</v>
      </c>
      <c r="AB62" s="22">
        <f t="shared" si="11"/>
        <v>0.86199999999999999</v>
      </c>
      <c r="AC62" s="32">
        <v>0.71499999999999997</v>
      </c>
    </row>
    <row r="63" spans="1:35" s="32" customFormat="1">
      <c r="A63" s="9">
        <v>2024</v>
      </c>
      <c r="B63" s="22">
        <f t="shared" si="10"/>
        <v>1.3979999999999999</v>
      </c>
      <c r="C63" s="22">
        <f t="shared" si="3"/>
        <v>0.86199999999999999</v>
      </c>
      <c r="D63" s="22">
        <f t="shared" si="4"/>
        <v>0.86199999999999999</v>
      </c>
      <c r="E63" s="22">
        <v>0.77300000000000002</v>
      </c>
      <c r="F63" s="22">
        <v>1.3169999999999999</v>
      </c>
      <c r="G63" s="32">
        <v>6.8470000000000004</v>
      </c>
      <c r="H63" s="32">
        <v>22.157</v>
      </c>
      <c r="I63" s="22">
        <v>6.4349999999999996</v>
      </c>
      <c r="J63" s="22">
        <f t="shared" si="5"/>
        <v>0.86199999999999999</v>
      </c>
      <c r="K63" s="22">
        <f t="shared" si="2"/>
        <v>0.86199999999999999</v>
      </c>
      <c r="L63" s="22">
        <f t="shared" si="2"/>
        <v>0.86199999999999999</v>
      </c>
      <c r="M63" s="22">
        <f t="shared" si="2"/>
        <v>0.86199999999999999</v>
      </c>
      <c r="N63" s="21">
        <v>287.25</v>
      </c>
      <c r="O63" s="21">
        <v>72.037999999999997</v>
      </c>
      <c r="P63" s="22">
        <f t="shared" si="6"/>
        <v>0.86199999999999999</v>
      </c>
      <c r="Q63" s="22"/>
      <c r="R63" s="22">
        <f t="shared" si="7"/>
        <v>0.86199999999999999</v>
      </c>
      <c r="S63" s="21">
        <v>111.28</v>
      </c>
      <c r="T63" s="21">
        <v>1124.3</v>
      </c>
      <c r="U63" s="22">
        <f t="shared" si="8"/>
        <v>0.86199999999999999</v>
      </c>
      <c r="V63" s="22">
        <v>1.526</v>
      </c>
      <c r="W63" s="22">
        <v>8.3989999999999991</v>
      </c>
      <c r="X63" s="22">
        <f t="shared" si="9"/>
        <v>0.86199999999999999</v>
      </c>
      <c r="Y63" s="22">
        <v>9.0790000000000006</v>
      </c>
      <c r="Z63" s="22">
        <v>0.97199999999999998</v>
      </c>
      <c r="AA63" s="32">
        <v>6.5330000000000004</v>
      </c>
      <c r="AB63" s="22">
        <f t="shared" si="11"/>
        <v>0.86199999999999999</v>
      </c>
      <c r="AC63" s="32">
        <v>0.71499999999999997</v>
      </c>
    </row>
    <row r="64" spans="1:35" s="32" customFormat="1">
      <c r="A64" s="9">
        <v>2025</v>
      </c>
      <c r="B64" s="22">
        <f t="shared" si="10"/>
        <v>1.3979999999999999</v>
      </c>
      <c r="C64" s="22">
        <f t="shared" si="3"/>
        <v>0.86199999999999999</v>
      </c>
      <c r="D64" s="22">
        <f t="shared" si="4"/>
        <v>0.86199999999999999</v>
      </c>
      <c r="E64" s="22">
        <v>0.77300000000000002</v>
      </c>
      <c r="F64" s="22">
        <v>1.3169999999999999</v>
      </c>
      <c r="G64" s="32">
        <v>6.8470000000000004</v>
      </c>
      <c r="H64" s="32">
        <v>22.157</v>
      </c>
      <c r="I64" s="22">
        <v>6.4349999999999996</v>
      </c>
      <c r="J64" s="22">
        <f t="shared" si="5"/>
        <v>0.86199999999999999</v>
      </c>
      <c r="K64" s="22">
        <f t="shared" si="2"/>
        <v>0.86199999999999999</v>
      </c>
      <c r="L64" s="22">
        <f t="shared" si="2"/>
        <v>0.86199999999999999</v>
      </c>
      <c r="M64" s="22">
        <f t="shared" si="2"/>
        <v>0.86199999999999999</v>
      </c>
      <c r="N64" s="21">
        <v>287.25</v>
      </c>
      <c r="O64" s="21">
        <v>72.037999999999997</v>
      </c>
      <c r="P64" s="22">
        <f t="shared" si="6"/>
        <v>0.86199999999999999</v>
      </c>
      <c r="Q64" s="22"/>
      <c r="R64" s="22">
        <f t="shared" si="7"/>
        <v>0.86199999999999999</v>
      </c>
      <c r="S64" s="21">
        <v>111.28</v>
      </c>
      <c r="T64" s="21">
        <v>1124.3</v>
      </c>
      <c r="U64" s="22">
        <f t="shared" si="8"/>
        <v>0.86199999999999999</v>
      </c>
      <c r="V64" s="22">
        <v>1.526</v>
      </c>
      <c r="W64" s="22">
        <v>8.3989999999999991</v>
      </c>
      <c r="X64" s="22">
        <f t="shared" si="9"/>
        <v>0.86199999999999999</v>
      </c>
      <c r="Y64" s="22">
        <v>9.0790000000000006</v>
      </c>
      <c r="Z64" s="22">
        <v>0.97199999999999998</v>
      </c>
      <c r="AA64" s="32">
        <v>6.5330000000000004</v>
      </c>
      <c r="AB64" s="22">
        <f t="shared" si="11"/>
        <v>0.86199999999999999</v>
      </c>
      <c r="AC64" s="32">
        <v>0.71499999999999997</v>
      </c>
    </row>
    <row r="65" spans="1:29" s="32" customFormat="1">
      <c r="A65" s="9">
        <v>2026</v>
      </c>
      <c r="B65" s="22">
        <f t="shared" si="10"/>
        <v>1.3979999999999999</v>
      </c>
      <c r="C65" s="22">
        <f t="shared" si="3"/>
        <v>0.86199999999999999</v>
      </c>
      <c r="D65" s="22">
        <f t="shared" si="4"/>
        <v>0.86199999999999999</v>
      </c>
      <c r="E65" s="22">
        <v>0.77300000000000002</v>
      </c>
      <c r="F65" s="22">
        <v>1.3169999999999999</v>
      </c>
      <c r="G65" s="32">
        <v>6.8470000000000004</v>
      </c>
      <c r="H65" s="32">
        <v>22.157</v>
      </c>
      <c r="I65" s="22">
        <v>6.4349999999999996</v>
      </c>
      <c r="J65" s="22">
        <f t="shared" si="5"/>
        <v>0.86199999999999999</v>
      </c>
      <c r="K65" s="22">
        <f t="shared" si="2"/>
        <v>0.86199999999999999</v>
      </c>
      <c r="L65" s="22">
        <f t="shared" si="2"/>
        <v>0.86199999999999999</v>
      </c>
      <c r="M65" s="22">
        <f t="shared" si="2"/>
        <v>0.86199999999999999</v>
      </c>
      <c r="N65" s="21">
        <v>287.25</v>
      </c>
      <c r="O65" s="21">
        <v>72.037999999999997</v>
      </c>
      <c r="P65" s="22">
        <f t="shared" si="6"/>
        <v>0.86199999999999999</v>
      </c>
      <c r="Q65" s="22"/>
      <c r="R65" s="22">
        <f t="shared" si="7"/>
        <v>0.86199999999999999</v>
      </c>
      <c r="S65" s="21">
        <v>111.28</v>
      </c>
      <c r="T65" s="21">
        <v>1124.3</v>
      </c>
      <c r="U65" s="22">
        <f t="shared" si="8"/>
        <v>0.86199999999999999</v>
      </c>
      <c r="V65" s="22">
        <v>1.526</v>
      </c>
      <c r="W65" s="22">
        <v>8.3989999999999991</v>
      </c>
      <c r="X65" s="22">
        <f t="shared" si="9"/>
        <v>0.86199999999999999</v>
      </c>
      <c r="Y65" s="22">
        <v>9.0790000000000006</v>
      </c>
      <c r="Z65" s="22">
        <v>0.97199999999999998</v>
      </c>
      <c r="AA65" s="32">
        <v>6.5330000000000004</v>
      </c>
      <c r="AB65" s="22">
        <f t="shared" si="11"/>
        <v>0.86199999999999999</v>
      </c>
      <c r="AC65" s="32">
        <v>0.71499999999999997</v>
      </c>
    </row>
    <row r="66" spans="1:29">
      <c r="A66" s="9">
        <v>2027</v>
      </c>
      <c r="B66" s="22">
        <f t="shared" si="10"/>
        <v>1.3979999999999999</v>
      </c>
      <c r="C66" s="22">
        <f t="shared" si="3"/>
        <v>0.86199999999999999</v>
      </c>
      <c r="D66" s="22">
        <f t="shared" si="4"/>
        <v>0.86199999999999999</v>
      </c>
      <c r="E66" s="22">
        <v>0.77300000000000002</v>
      </c>
      <c r="F66" s="22">
        <v>1.3169999999999999</v>
      </c>
      <c r="G66" s="32">
        <v>6.8470000000000004</v>
      </c>
      <c r="H66" s="32">
        <v>22.157</v>
      </c>
      <c r="I66" s="22">
        <v>6.4349999999999996</v>
      </c>
      <c r="J66" s="22">
        <f t="shared" si="5"/>
        <v>0.86199999999999999</v>
      </c>
      <c r="K66" s="22">
        <f t="shared" si="2"/>
        <v>0.86199999999999999</v>
      </c>
      <c r="L66" s="22">
        <f t="shared" si="2"/>
        <v>0.86199999999999999</v>
      </c>
      <c r="M66" s="22">
        <f t="shared" si="2"/>
        <v>0.86199999999999999</v>
      </c>
      <c r="N66" s="21">
        <v>287.25</v>
      </c>
      <c r="O66" s="21">
        <v>72.037999999999997</v>
      </c>
      <c r="P66" s="22">
        <f t="shared" si="6"/>
        <v>0.86199999999999999</v>
      </c>
      <c r="R66" s="22">
        <f t="shared" si="7"/>
        <v>0.86199999999999999</v>
      </c>
      <c r="S66" s="21">
        <v>111.28</v>
      </c>
      <c r="T66" s="21">
        <v>1124.3</v>
      </c>
      <c r="U66" s="22">
        <f t="shared" si="8"/>
        <v>0.86199999999999999</v>
      </c>
      <c r="V66" s="22">
        <v>1.526</v>
      </c>
      <c r="W66" s="22">
        <v>8.3989999999999991</v>
      </c>
      <c r="X66" s="22">
        <f t="shared" si="9"/>
        <v>0.86199999999999999</v>
      </c>
      <c r="Y66" s="22">
        <v>9.0790000000000006</v>
      </c>
      <c r="Z66" s="22">
        <v>0.97199999999999998</v>
      </c>
      <c r="AA66" s="32">
        <v>6.5330000000000004</v>
      </c>
      <c r="AB66" s="22">
        <f t="shared" si="11"/>
        <v>0.86199999999999999</v>
      </c>
      <c r="AC66" s="32">
        <v>0.71499999999999997</v>
      </c>
    </row>
    <row r="67" spans="1:29">
      <c r="A67" s="9">
        <v>2028</v>
      </c>
      <c r="B67" s="22">
        <f t="shared" si="10"/>
        <v>1.3979999999999999</v>
      </c>
      <c r="C67" s="22">
        <f t="shared" si="3"/>
        <v>0.86199999999999999</v>
      </c>
      <c r="D67" s="22">
        <f t="shared" si="4"/>
        <v>0.86199999999999999</v>
      </c>
      <c r="E67" s="22">
        <v>0.77300000000000002</v>
      </c>
      <c r="F67" s="22">
        <v>1.3169999999999999</v>
      </c>
      <c r="G67" s="32">
        <v>6.8470000000000004</v>
      </c>
      <c r="H67" s="32">
        <v>22.157</v>
      </c>
      <c r="I67" s="22">
        <v>6.4349999999999996</v>
      </c>
      <c r="J67" s="22">
        <f t="shared" si="5"/>
        <v>0.86199999999999999</v>
      </c>
      <c r="K67" s="22">
        <f t="shared" si="2"/>
        <v>0.86199999999999999</v>
      </c>
      <c r="L67" s="22">
        <f t="shared" si="2"/>
        <v>0.86199999999999999</v>
      </c>
      <c r="M67" s="22">
        <f t="shared" si="2"/>
        <v>0.86199999999999999</v>
      </c>
      <c r="N67" s="21">
        <v>287.25</v>
      </c>
      <c r="O67" s="21">
        <v>72.037999999999997</v>
      </c>
      <c r="P67" s="22">
        <f t="shared" si="6"/>
        <v>0.86199999999999999</v>
      </c>
      <c r="R67" s="22">
        <f t="shared" si="7"/>
        <v>0.86199999999999999</v>
      </c>
      <c r="S67" s="21">
        <v>111.28</v>
      </c>
      <c r="T67" s="21">
        <v>1124.3</v>
      </c>
      <c r="U67" s="22">
        <f t="shared" si="8"/>
        <v>0.86199999999999999</v>
      </c>
      <c r="V67" s="22">
        <v>1.526</v>
      </c>
      <c r="W67" s="22">
        <v>8.3989999999999991</v>
      </c>
      <c r="X67" s="22">
        <f t="shared" si="9"/>
        <v>0.86199999999999999</v>
      </c>
      <c r="Y67" s="22">
        <v>9.0790000000000006</v>
      </c>
      <c r="Z67" s="22">
        <v>0.97199999999999998</v>
      </c>
      <c r="AA67" s="32">
        <v>6.5330000000000004</v>
      </c>
      <c r="AB67" s="22">
        <f t="shared" si="11"/>
        <v>0.86199999999999999</v>
      </c>
      <c r="AC67" s="32">
        <v>0.71499999999999997</v>
      </c>
    </row>
    <row r="68" spans="1:29">
      <c r="A68" s="9">
        <v>2029</v>
      </c>
      <c r="B68" s="22">
        <f t="shared" si="10"/>
        <v>1.3979999999999999</v>
      </c>
      <c r="C68" s="22">
        <f t="shared" si="3"/>
        <v>0.86199999999999999</v>
      </c>
      <c r="D68" s="22">
        <f t="shared" si="4"/>
        <v>0.86199999999999999</v>
      </c>
      <c r="E68" s="22">
        <v>0.77300000000000002</v>
      </c>
      <c r="F68" s="22">
        <v>1.3169999999999999</v>
      </c>
      <c r="G68" s="32">
        <v>6.8470000000000004</v>
      </c>
      <c r="H68" s="32">
        <v>22.157</v>
      </c>
      <c r="I68" s="22">
        <v>6.4349999999999996</v>
      </c>
      <c r="J68" s="22">
        <f t="shared" si="5"/>
        <v>0.86199999999999999</v>
      </c>
      <c r="K68" s="22">
        <f t="shared" si="2"/>
        <v>0.86199999999999999</v>
      </c>
      <c r="L68" s="22">
        <f t="shared" si="2"/>
        <v>0.86199999999999999</v>
      </c>
      <c r="M68" s="22">
        <f t="shared" si="2"/>
        <v>0.86199999999999999</v>
      </c>
      <c r="N68" s="21">
        <v>287.25</v>
      </c>
      <c r="O68" s="21">
        <v>72.037999999999997</v>
      </c>
      <c r="P68" s="22">
        <f t="shared" si="6"/>
        <v>0.86199999999999999</v>
      </c>
      <c r="R68" s="22">
        <f t="shared" si="7"/>
        <v>0.86199999999999999</v>
      </c>
      <c r="S68" s="21">
        <v>111.28</v>
      </c>
      <c r="T68" s="21">
        <v>1124.3</v>
      </c>
      <c r="U68" s="22">
        <f t="shared" si="8"/>
        <v>0.86199999999999999</v>
      </c>
      <c r="V68" s="22">
        <v>1.526</v>
      </c>
      <c r="W68" s="22">
        <v>8.3989999999999991</v>
      </c>
      <c r="X68" s="22">
        <f t="shared" si="9"/>
        <v>0.86199999999999999</v>
      </c>
      <c r="Y68" s="22">
        <v>9.0790000000000006</v>
      </c>
      <c r="Z68" s="22">
        <v>0.97199999999999998</v>
      </c>
      <c r="AA68" s="32">
        <v>6.5330000000000004</v>
      </c>
      <c r="AB68" s="22">
        <f t="shared" si="11"/>
        <v>0.86199999999999999</v>
      </c>
      <c r="AC68" s="32">
        <v>0.71499999999999997</v>
      </c>
    </row>
    <row r="69" spans="1:29">
      <c r="A69" s="9">
        <v>2030</v>
      </c>
      <c r="B69" s="22">
        <f t="shared" si="10"/>
        <v>1.3979999999999999</v>
      </c>
      <c r="C69" s="22">
        <f t="shared" si="3"/>
        <v>0.86199999999999999</v>
      </c>
      <c r="D69" s="22">
        <f t="shared" si="4"/>
        <v>0.86199999999999999</v>
      </c>
      <c r="E69" s="22">
        <v>0.77300000000000002</v>
      </c>
      <c r="F69" s="22">
        <v>1.3169999999999999</v>
      </c>
      <c r="G69" s="32">
        <v>6.8470000000000004</v>
      </c>
      <c r="H69" s="32">
        <v>22.157</v>
      </c>
      <c r="I69" s="22">
        <v>6.4349999999999996</v>
      </c>
      <c r="J69" s="22">
        <f t="shared" si="5"/>
        <v>0.86199999999999999</v>
      </c>
      <c r="K69" s="22">
        <f t="shared" si="2"/>
        <v>0.86199999999999999</v>
      </c>
      <c r="L69" s="22">
        <f t="shared" si="2"/>
        <v>0.86199999999999999</v>
      </c>
      <c r="M69" s="22">
        <f t="shared" si="2"/>
        <v>0.86199999999999999</v>
      </c>
      <c r="N69" s="21">
        <v>287.25</v>
      </c>
      <c r="O69" s="21">
        <v>72.037999999999997</v>
      </c>
      <c r="P69" s="22">
        <f t="shared" si="6"/>
        <v>0.86199999999999999</v>
      </c>
      <c r="R69" s="22">
        <f t="shared" si="7"/>
        <v>0.86199999999999999</v>
      </c>
      <c r="S69" s="21">
        <v>111.28</v>
      </c>
      <c r="T69" s="21">
        <v>1124.3</v>
      </c>
      <c r="U69" s="22">
        <f t="shared" si="8"/>
        <v>0.86199999999999999</v>
      </c>
      <c r="V69" s="22">
        <v>1.526</v>
      </c>
      <c r="W69" s="22">
        <v>8.3989999999999991</v>
      </c>
      <c r="X69" s="22">
        <f t="shared" si="9"/>
        <v>0.86199999999999999</v>
      </c>
      <c r="Y69" s="22">
        <v>9.0790000000000006</v>
      </c>
      <c r="Z69" s="22">
        <v>0.97199999999999998</v>
      </c>
      <c r="AA69" s="32">
        <v>6.5330000000000004</v>
      </c>
      <c r="AB69" s="22">
        <f t="shared" si="11"/>
        <v>0.86199999999999999</v>
      </c>
      <c r="AC69" s="32">
        <v>0.71499999999999997</v>
      </c>
    </row>
    <row r="70" spans="1:29" s="32" customFormat="1">
      <c r="A70" s="9">
        <v>2031</v>
      </c>
      <c r="B70" s="22">
        <f t="shared" si="10"/>
        <v>1.3979999999999999</v>
      </c>
      <c r="C70" s="22">
        <f t="shared" si="3"/>
        <v>0.86199999999999999</v>
      </c>
      <c r="D70" s="22">
        <f t="shared" si="4"/>
        <v>0.86199999999999999</v>
      </c>
      <c r="E70" s="22">
        <v>0.77300000000000002</v>
      </c>
      <c r="F70" s="22">
        <v>1.3169999999999999</v>
      </c>
      <c r="G70" s="32">
        <v>6.8470000000000004</v>
      </c>
      <c r="H70" s="32">
        <v>22.157</v>
      </c>
      <c r="I70" s="22">
        <v>6.4349999999999996</v>
      </c>
      <c r="J70" s="22">
        <f t="shared" si="5"/>
        <v>0.86199999999999999</v>
      </c>
      <c r="K70" s="22">
        <f t="shared" si="2"/>
        <v>0.86199999999999999</v>
      </c>
      <c r="L70" s="22">
        <f t="shared" si="2"/>
        <v>0.86199999999999999</v>
      </c>
      <c r="M70" s="22">
        <f t="shared" si="2"/>
        <v>0.86199999999999999</v>
      </c>
      <c r="N70" s="21">
        <v>287.25</v>
      </c>
      <c r="O70" s="21">
        <v>72.037999999999997</v>
      </c>
      <c r="P70" s="22">
        <f t="shared" si="6"/>
        <v>0.86199999999999999</v>
      </c>
      <c r="R70" s="22">
        <f t="shared" si="7"/>
        <v>0.86199999999999999</v>
      </c>
      <c r="S70" s="21">
        <v>111.28</v>
      </c>
      <c r="T70" s="21">
        <v>1124.3</v>
      </c>
      <c r="U70" s="22">
        <f t="shared" si="8"/>
        <v>0.86199999999999999</v>
      </c>
      <c r="V70" s="22">
        <v>1.526</v>
      </c>
      <c r="W70" s="22">
        <v>8.3989999999999991</v>
      </c>
      <c r="X70" s="22">
        <f t="shared" si="9"/>
        <v>0.86199999999999999</v>
      </c>
      <c r="Y70" s="22">
        <v>9.0790000000000006</v>
      </c>
      <c r="Z70" s="22">
        <v>0.97199999999999998</v>
      </c>
      <c r="AA70" s="32">
        <v>6.5330000000000004</v>
      </c>
      <c r="AB70" s="22">
        <f t="shared" si="11"/>
        <v>0.86199999999999999</v>
      </c>
      <c r="AC70" s="32">
        <v>0.71499999999999997</v>
      </c>
    </row>
    <row r="71" spans="1:29" s="32" customFormat="1">
      <c r="A71" s="9">
        <v>2032</v>
      </c>
      <c r="B71" s="22">
        <f t="shared" si="10"/>
        <v>1.3979999999999999</v>
      </c>
      <c r="C71" s="22">
        <f t="shared" si="3"/>
        <v>0.86199999999999999</v>
      </c>
      <c r="D71" s="22">
        <f t="shared" si="4"/>
        <v>0.86199999999999999</v>
      </c>
      <c r="E71" s="22">
        <v>0.77300000000000002</v>
      </c>
      <c r="F71" s="22">
        <v>1.3169999999999999</v>
      </c>
      <c r="G71" s="32">
        <v>6.8470000000000004</v>
      </c>
      <c r="H71" s="32">
        <v>22.157</v>
      </c>
      <c r="I71" s="22">
        <v>6.4349999999999996</v>
      </c>
      <c r="J71" s="22">
        <f t="shared" si="5"/>
        <v>0.86199999999999999</v>
      </c>
      <c r="K71" s="22">
        <f t="shared" si="2"/>
        <v>0.86199999999999999</v>
      </c>
      <c r="L71" s="22">
        <f t="shared" si="2"/>
        <v>0.86199999999999999</v>
      </c>
      <c r="M71" s="22">
        <f t="shared" si="2"/>
        <v>0.86199999999999999</v>
      </c>
      <c r="N71" s="21">
        <v>287.25</v>
      </c>
      <c r="O71" s="21">
        <v>72.037999999999997</v>
      </c>
      <c r="P71" s="22">
        <f t="shared" si="6"/>
        <v>0.86199999999999999</v>
      </c>
      <c r="R71" s="22">
        <f t="shared" si="7"/>
        <v>0.86199999999999999</v>
      </c>
      <c r="S71" s="21">
        <v>111.28</v>
      </c>
      <c r="T71" s="21">
        <v>1124.3</v>
      </c>
      <c r="U71" s="22">
        <f t="shared" si="8"/>
        <v>0.86199999999999999</v>
      </c>
      <c r="V71" s="22">
        <v>1.526</v>
      </c>
      <c r="W71" s="22">
        <v>8.3989999999999991</v>
      </c>
      <c r="X71" s="22">
        <f t="shared" si="9"/>
        <v>0.86199999999999999</v>
      </c>
      <c r="Y71" s="22">
        <v>9.0790000000000006</v>
      </c>
      <c r="Z71" s="22">
        <v>0.97199999999999998</v>
      </c>
      <c r="AA71" s="32">
        <v>6.5330000000000004</v>
      </c>
      <c r="AB71" s="22">
        <f t="shared" si="11"/>
        <v>0.86199999999999999</v>
      </c>
      <c r="AC71" s="32">
        <v>0.71499999999999997</v>
      </c>
    </row>
    <row r="72" spans="1:29" s="32" customFormat="1">
      <c r="A72" s="9">
        <v>2033</v>
      </c>
      <c r="B72" s="22">
        <f t="shared" si="10"/>
        <v>1.3979999999999999</v>
      </c>
      <c r="C72" s="22">
        <f t="shared" si="3"/>
        <v>0.86199999999999999</v>
      </c>
      <c r="D72" s="22">
        <f t="shared" si="4"/>
        <v>0.86199999999999999</v>
      </c>
      <c r="E72" s="22">
        <v>0.77300000000000002</v>
      </c>
      <c r="F72" s="22">
        <v>1.3169999999999999</v>
      </c>
      <c r="G72" s="32">
        <v>6.8470000000000004</v>
      </c>
      <c r="H72" s="32">
        <v>22.157</v>
      </c>
      <c r="I72" s="22">
        <v>6.4349999999999996</v>
      </c>
      <c r="J72" s="22">
        <f t="shared" si="5"/>
        <v>0.86199999999999999</v>
      </c>
      <c r="K72" s="22">
        <f t="shared" si="5"/>
        <v>0.86199999999999999</v>
      </c>
      <c r="L72" s="22">
        <f t="shared" si="5"/>
        <v>0.86199999999999999</v>
      </c>
      <c r="M72" s="22">
        <f t="shared" si="5"/>
        <v>0.86199999999999999</v>
      </c>
      <c r="N72" s="21">
        <v>287.25</v>
      </c>
      <c r="O72" s="21">
        <v>72.037999999999997</v>
      </c>
      <c r="P72" s="22">
        <f t="shared" si="6"/>
        <v>0.86199999999999999</v>
      </c>
      <c r="Q72" s="44"/>
      <c r="R72" s="22">
        <f t="shared" si="7"/>
        <v>0.86199999999999999</v>
      </c>
      <c r="S72" s="21">
        <v>111.28</v>
      </c>
      <c r="T72" s="21">
        <v>1124.3</v>
      </c>
      <c r="U72" s="22">
        <f t="shared" si="8"/>
        <v>0.86199999999999999</v>
      </c>
      <c r="V72" s="22">
        <v>1.526</v>
      </c>
      <c r="W72" s="22">
        <v>8.3989999999999991</v>
      </c>
      <c r="X72" s="22">
        <f t="shared" si="9"/>
        <v>0.86199999999999999</v>
      </c>
      <c r="Y72" s="22">
        <v>9.0790000000000006</v>
      </c>
      <c r="Z72" s="22">
        <v>0.97199999999999998</v>
      </c>
      <c r="AA72" s="32">
        <v>6.5330000000000004</v>
      </c>
      <c r="AB72" s="22">
        <f t="shared" si="11"/>
        <v>0.86199999999999999</v>
      </c>
      <c r="AC72" s="32">
        <v>0.71499999999999997</v>
      </c>
    </row>
    <row r="73" spans="1:29" s="32" customFormat="1">
      <c r="A73" s="9">
        <v>2034</v>
      </c>
      <c r="B73" s="22">
        <f t="shared" si="10"/>
        <v>1.3979999999999999</v>
      </c>
      <c r="C73" s="22">
        <f t="shared" si="3"/>
        <v>0.86199999999999999</v>
      </c>
      <c r="D73" s="22">
        <f t="shared" si="4"/>
        <v>0.86199999999999999</v>
      </c>
      <c r="E73" s="22">
        <v>0.77300000000000002</v>
      </c>
      <c r="F73" s="22">
        <v>1.3169999999999999</v>
      </c>
      <c r="G73" s="32">
        <v>6.8470000000000004</v>
      </c>
      <c r="H73" s="32">
        <v>22.157</v>
      </c>
      <c r="I73" s="22">
        <v>6.4349999999999996</v>
      </c>
      <c r="J73" s="22">
        <f t="shared" si="5"/>
        <v>0.86199999999999999</v>
      </c>
      <c r="K73" s="22">
        <f t="shared" si="5"/>
        <v>0.86199999999999999</v>
      </c>
      <c r="L73" s="22">
        <f t="shared" si="5"/>
        <v>0.86199999999999999</v>
      </c>
      <c r="M73" s="22">
        <f t="shared" si="5"/>
        <v>0.86199999999999999</v>
      </c>
      <c r="N73" s="21">
        <v>287.25</v>
      </c>
      <c r="O73" s="21">
        <v>72.037999999999997</v>
      </c>
      <c r="P73" s="22">
        <f t="shared" si="6"/>
        <v>0.86199999999999999</v>
      </c>
      <c r="Q73" s="44"/>
      <c r="R73" s="22">
        <f t="shared" si="7"/>
        <v>0.86199999999999999</v>
      </c>
      <c r="S73" s="21">
        <v>111.28</v>
      </c>
      <c r="T73" s="21">
        <v>1124.3</v>
      </c>
      <c r="U73" s="22">
        <f t="shared" si="8"/>
        <v>0.86199999999999999</v>
      </c>
      <c r="V73" s="22">
        <v>1.526</v>
      </c>
      <c r="W73" s="22">
        <v>8.3989999999999991</v>
      </c>
      <c r="X73" s="22">
        <f t="shared" si="9"/>
        <v>0.86199999999999999</v>
      </c>
      <c r="Y73" s="22">
        <v>9.0790000000000006</v>
      </c>
      <c r="Z73" s="22">
        <v>0.97199999999999998</v>
      </c>
      <c r="AA73" s="32">
        <v>6.5330000000000004</v>
      </c>
      <c r="AB73" s="22">
        <f t="shared" si="11"/>
        <v>0.86199999999999999</v>
      </c>
      <c r="AC73" s="32">
        <v>0.71499999999999997</v>
      </c>
    </row>
    <row r="74" spans="1:29" s="32" customFormat="1">
      <c r="A74" s="9">
        <v>2035</v>
      </c>
      <c r="B74" s="22">
        <f t="shared" si="10"/>
        <v>1.3979999999999999</v>
      </c>
      <c r="C74" s="22">
        <f t="shared" si="3"/>
        <v>0.86199999999999999</v>
      </c>
      <c r="D74" s="22">
        <f t="shared" si="4"/>
        <v>0.86199999999999999</v>
      </c>
      <c r="E74" s="22">
        <v>0.77300000000000002</v>
      </c>
      <c r="F74" s="22">
        <v>1.3169999999999999</v>
      </c>
      <c r="G74" s="32">
        <v>6.8470000000000004</v>
      </c>
      <c r="H74" s="32">
        <v>22.157</v>
      </c>
      <c r="I74" s="22">
        <v>6.4349999999999996</v>
      </c>
      <c r="J74" s="22">
        <f t="shared" si="5"/>
        <v>0.86199999999999999</v>
      </c>
      <c r="K74" s="22">
        <f t="shared" si="5"/>
        <v>0.86199999999999999</v>
      </c>
      <c r="L74" s="22">
        <f t="shared" si="5"/>
        <v>0.86199999999999999</v>
      </c>
      <c r="M74" s="22">
        <f t="shared" si="5"/>
        <v>0.86199999999999999</v>
      </c>
      <c r="N74" s="21">
        <v>287.25</v>
      </c>
      <c r="O74" s="21">
        <v>72.037999999999997</v>
      </c>
      <c r="P74" s="22">
        <f t="shared" si="6"/>
        <v>0.86199999999999999</v>
      </c>
      <c r="Q74" s="44"/>
      <c r="R74" s="22">
        <f t="shared" si="7"/>
        <v>0.86199999999999999</v>
      </c>
      <c r="S74" s="21">
        <v>111.28</v>
      </c>
      <c r="T74" s="21">
        <v>1124.3</v>
      </c>
      <c r="U74" s="22">
        <f t="shared" si="8"/>
        <v>0.86199999999999999</v>
      </c>
      <c r="V74" s="22">
        <v>1.526</v>
      </c>
      <c r="W74" s="22">
        <v>8.3989999999999991</v>
      </c>
      <c r="X74" s="22">
        <f t="shared" si="9"/>
        <v>0.86199999999999999</v>
      </c>
      <c r="Y74" s="22">
        <v>9.0790000000000006</v>
      </c>
      <c r="Z74" s="22">
        <v>0.97199999999999998</v>
      </c>
      <c r="AA74" s="32">
        <v>6.5330000000000004</v>
      </c>
      <c r="AB74" s="22">
        <f t="shared" si="11"/>
        <v>0.86199999999999999</v>
      </c>
      <c r="AC74" s="32">
        <v>0.71499999999999997</v>
      </c>
    </row>
    <row r="75" spans="1:29" s="32" customFormat="1">
      <c r="A75" s="9">
        <v>2036</v>
      </c>
      <c r="B75" s="22">
        <f t="shared" si="10"/>
        <v>1.3979999999999999</v>
      </c>
      <c r="C75" s="22">
        <f t="shared" si="3"/>
        <v>0.86199999999999999</v>
      </c>
      <c r="D75" s="22">
        <f t="shared" si="4"/>
        <v>0.86199999999999999</v>
      </c>
      <c r="E75" s="22">
        <v>0.77300000000000002</v>
      </c>
      <c r="F75" s="22">
        <v>1.3169999999999999</v>
      </c>
      <c r="G75" s="32">
        <v>6.8470000000000004</v>
      </c>
      <c r="H75" s="32">
        <v>22.157</v>
      </c>
      <c r="I75" s="22">
        <v>6.4349999999999996</v>
      </c>
      <c r="J75" s="22">
        <f t="shared" si="5"/>
        <v>0.86199999999999999</v>
      </c>
      <c r="K75" s="22">
        <f t="shared" si="5"/>
        <v>0.86199999999999999</v>
      </c>
      <c r="L75" s="22">
        <f t="shared" si="5"/>
        <v>0.86199999999999999</v>
      </c>
      <c r="M75" s="22">
        <f t="shared" si="5"/>
        <v>0.86199999999999999</v>
      </c>
      <c r="N75" s="21">
        <v>287.25</v>
      </c>
      <c r="O75" s="21">
        <v>72.037999999999997</v>
      </c>
      <c r="P75" s="22">
        <f t="shared" si="6"/>
        <v>0.86199999999999999</v>
      </c>
      <c r="Q75" s="44"/>
      <c r="R75" s="22">
        <f t="shared" si="7"/>
        <v>0.86199999999999999</v>
      </c>
      <c r="S75" s="21">
        <v>111.28</v>
      </c>
      <c r="T75" s="21">
        <v>1124.3</v>
      </c>
      <c r="U75" s="22">
        <f t="shared" si="8"/>
        <v>0.86199999999999999</v>
      </c>
      <c r="V75" s="22">
        <v>1.526</v>
      </c>
      <c r="W75" s="22">
        <v>8.3989999999999991</v>
      </c>
      <c r="X75" s="22">
        <f t="shared" si="9"/>
        <v>0.86199999999999999</v>
      </c>
      <c r="Y75" s="22">
        <v>9.0790000000000006</v>
      </c>
      <c r="Z75" s="22">
        <v>0.97199999999999998</v>
      </c>
      <c r="AA75" s="32">
        <v>6.5330000000000004</v>
      </c>
      <c r="AB75" s="22">
        <f t="shared" si="11"/>
        <v>0.86199999999999999</v>
      </c>
      <c r="AC75" s="32">
        <v>0.71499999999999997</v>
      </c>
    </row>
    <row r="76" spans="1:29" s="32" customFormat="1">
      <c r="A76" s="9">
        <v>2037</v>
      </c>
      <c r="B76" s="22">
        <f t="shared" si="10"/>
        <v>1.3979999999999999</v>
      </c>
      <c r="C76" s="22">
        <f t="shared" si="3"/>
        <v>0.86199999999999999</v>
      </c>
      <c r="D76" s="22">
        <f t="shared" si="4"/>
        <v>0.86199999999999999</v>
      </c>
      <c r="E76" s="22">
        <v>0.77300000000000002</v>
      </c>
      <c r="F76" s="22">
        <v>1.3169999999999999</v>
      </c>
      <c r="G76" s="32">
        <v>6.8470000000000004</v>
      </c>
      <c r="H76" s="32">
        <v>22.157</v>
      </c>
      <c r="I76" s="22">
        <v>6.4349999999999996</v>
      </c>
      <c r="J76" s="22">
        <f t="shared" si="5"/>
        <v>0.86199999999999999</v>
      </c>
      <c r="K76" s="22">
        <f t="shared" si="5"/>
        <v>0.86199999999999999</v>
      </c>
      <c r="L76" s="22">
        <f t="shared" si="5"/>
        <v>0.86199999999999999</v>
      </c>
      <c r="M76" s="22">
        <f t="shared" si="5"/>
        <v>0.86199999999999999</v>
      </c>
      <c r="N76" s="21">
        <v>287.25</v>
      </c>
      <c r="O76" s="21">
        <v>72.037999999999997</v>
      </c>
      <c r="P76" s="22">
        <f t="shared" si="6"/>
        <v>0.86199999999999999</v>
      </c>
      <c r="Q76" s="44"/>
      <c r="R76" s="22">
        <f t="shared" si="7"/>
        <v>0.86199999999999999</v>
      </c>
      <c r="S76" s="21">
        <v>111.28</v>
      </c>
      <c r="T76" s="21">
        <v>1124.3</v>
      </c>
      <c r="U76" s="22">
        <f t="shared" si="8"/>
        <v>0.86199999999999999</v>
      </c>
      <c r="V76" s="22">
        <v>1.526</v>
      </c>
      <c r="W76" s="22">
        <v>8.3989999999999991</v>
      </c>
      <c r="X76" s="22">
        <f t="shared" si="9"/>
        <v>0.86199999999999999</v>
      </c>
      <c r="Y76" s="22">
        <v>9.0790000000000006</v>
      </c>
      <c r="Z76" s="22">
        <v>0.97199999999999998</v>
      </c>
      <c r="AA76" s="32">
        <v>6.5330000000000004</v>
      </c>
      <c r="AB76" s="22">
        <f t="shared" si="11"/>
        <v>0.86199999999999999</v>
      </c>
      <c r="AC76" s="32">
        <v>0.71499999999999997</v>
      </c>
    </row>
    <row r="77" spans="1:29" s="32" customFormat="1">
      <c r="A77" s="9">
        <v>2038</v>
      </c>
      <c r="B77" s="22">
        <f t="shared" si="10"/>
        <v>1.3979999999999999</v>
      </c>
      <c r="C77" s="22">
        <f t="shared" si="3"/>
        <v>0.86199999999999999</v>
      </c>
      <c r="D77" s="22">
        <f t="shared" si="4"/>
        <v>0.86199999999999999</v>
      </c>
      <c r="E77" s="22">
        <v>0.77300000000000002</v>
      </c>
      <c r="F77" s="22">
        <v>1.3169999999999999</v>
      </c>
      <c r="G77" s="32">
        <v>6.8470000000000004</v>
      </c>
      <c r="H77" s="32">
        <v>22.157</v>
      </c>
      <c r="I77" s="22">
        <v>6.4349999999999996</v>
      </c>
      <c r="J77" s="22">
        <f t="shared" si="5"/>
        <v>0.86199999999999999</v>
      </c>
      <c r="K77" s="22">
        <f t="shared" si="5"/>
        <v>0.86199999999999999</v>
      </c>
      <c r="L77" s="22">
        <f t="shared" si="5"/>
        <v>0.86199999999999999</v>
      </c>
      <c r="M77" s="22">
        <f t="shared" si="5"/>
        <v>0.86199999999999999</v>
      </c>
      <c r="N77" s="21">
        <v>287.25</v>
      </c>
      <c r="O77" s="21">
        <v>72.037999999999997</v>
      </c>
      <c r="P77" s="22">
        <f t="shared" si="6"/>
        <v>0.86199999999999999</v>
      </c>
      <c r="Q77" s="44"/>
      <c r="R77" s="22">
        <f t="shared" si="7"/>
        <v>0.86199999999999999</v>
      </c>
      <c r="S77" s="21">
        <v>111.28</v>
      </c>
      <c r="T77" s="21">
        <v>1124.3</v>
      </c>
      <c r="U77" s="22">
        <f t="shared" si="8"/>
        <v>0.86199999999999999</v>
      </c>
      <c r="V77" s="22">
        <v>1.526</v>
      </c>
      <c r="W77" s="22">
        <v>8.3989999999999991</v>
      </c>
      <c r="X77" s="22">
        <f t="shared" si="9"/>
        <v>0.86199999999999999</v>
      </c>
      <c r="Y77" s="22">
        <v>9.0790000000000006</v>
      </c>
      <c r="Z77" s="22">
        <v>0.97199999999999998</v>
      </c>
      <c r="AA77" s="32">
        <v>6.5330000000000004</v>
      </c>
      <c r="AB77" s="22">
        <f t="shared" si="11"/>
        <v>0.86199999999999999</v>
      </c>
      <c r="AC77" s="32">
        <v>0.71499999999999997</v>
      </c>
    </row>
    <row r="78" spans="1:29">
      <c r="A78" s="9">
        <v>2039</v>
      </c>
      <c r="B78" s="22">
        <f t="shared" si="10"/>
        <v>1.3979999999999999</v>
      </c>
      <c r="C78" s="22">
        <f t="shared" si="3"/>
        <v>0.86199999999999999</v>
      </c>
      <c r="D78" s="22">
        <f t="shared" si="4"/>
        <v>0.86199999999999999</v>
      </c>
      <c r="E78" s="22">
        <v>0.77300000000000002</v>
      </c>
      <c r="F78" s="22">
        <v>1.3169999999999999</v>
      </c>
      <c r="G78" s="32">
        <v>6.8470000000000004</v>
      </c>
      <c r="H78" s="32">
        <v>22.157</v>
      </c>
      <c r="I78" s="22">
        <v>6.4349999999999996</v>
      </c>
      <c r="J78" s="22">
        <f t="shared" si="5"/>
        <v>0.86199999999999999</v>
      </c>
      <c r="K78" s="22">
        <f t="shared" si="5"/>
        <v>0.86199999999999999</v>
      </c>
      <c r="L78" s="22">
        <f t="shared" si="5"/>
        <v>0.86199999999999999</v>
      </c>
      <c r="M78" s="22">
        <f t="shared" si="5"/>
        <v>0.86199999999999999</v>
      </c>
      <c r="N78" s="21">
        <v>287.25</v>
      </c>
      <c r="O78" s="21">
        <v>72.037999999999997</v>
      </c>
      <c r="P78" s="22">
        <f t="shared" si="6"/>
        <v>0.86199999999999999</v>
      </c>
      <c r="Q78" s="9"/>
      <c r="R78" s="22">
        <f t="shared" si="7"/>
        <v>0.86199999999999999</v>
      </c>
      <c r="S78" s="21">
        <v>111.28</v>
      </c>
      <c r="T78" s="21">
        <v>1124.3</v>
      </c>
      <c r="U78" s="22">
        <f t="shared" si="8"/>
        <v>0.86199999999999999</v>
      </c>
      <c r="V78" s="22">
        <v>1.526</v>
      </c>
      <c r="W78" s="22">
        <v>8.3989999999999991</v>
      </c>
      <c r="X78" s="22">
        <f t="shared" si="9"/>
        <v>0.86199999999999999</v>
      </c>
      <c r="Y78" s="22">
        <v>9.0790000000000006</v>
      </c>
      <c r="Z78" s="22">
        <v>0.97199999999999998</v>
      </c>
      <c r="AA78" s="32">
        <v>6.5330000000000004</v>
      </c>
      <c r="AB78" s="22">
        <f t="shared" si="11"/>
        <v>0.86199999999999999</v>
      </c>
      <c r="AC78" s="32">
        <v>0.71499999999999997</v>
      </c>
    </row>
    <row r="79" spans="1:29">
      <c r="A79" s="9">
        <v>2040</v>
      </c>
      <c r="B79" s="22">
        <f t="shared" si="10"/>
        <v>1.3979999999999999</v>
      </c>
      <c r="C79" s="22">
        <f t="shared" si="3"/>
        <v>0.86199999999999999</v>
      </c>
      <c r="D79" s="22">
        <f t="shared" si="4"/>
        <v>0.86199999999999999</v>
      </c>
      <c r="E79" s="22">
        <v>0.77300000000000002</v>
      </c>
      <c r="F79" s="22">
        <v>1.3169999999999999</v>
      </c>
      <c r="G79" s="32">
        <v>6.8470000000000004</v>
      </c>
      <c r="H79" s="32">
        <v>22.157</v>
      </c>
      <c r="I79" s="22">
        <v>6.4349999999999996</v>
      </c>
      <c r="J79" s="22">
        <f t="shared" si="5"/>
        <v>0.86199999999999999</v>
      </c>
      <c r="K79" s="22">
        <f t="shared" si="5"/>
        <v>0.86199999999999999</v>
      </c>
      <c r="L79" s="22">
        <f t="shared" si="5"/>
        <v>0.86199999999999999</v>
      </c>
      <c r="M79" s="22">
        <f t="shared" si="5"/>
        <v>0.86199999999999999</v>
      </c>
      <c r="N79" s="21">
        <v>287.25</v>
      </c>
      <c r="O79" s="21">
        <v>72.037999999999997</v>
      </c>
      <c r="P79" s="22">
        <f t="shared" si="6"/>
        <v>0.86199999999999999</v>
      </c>
      <c r="Q79" s="9"/>
      <c r="R79" s="22">
        <f t="shared" si="7"/>
        <v>0.86199999999999999</v>
      </c>
      <c r="S79" s="21">
        <v>111.28</v>
      </c>
      <c r="T79" s="21">
        <v>1124.3</v>
      </c>
      <c r="U79" s="22">
        <f t="shared" si="8"/>
        <v>0.86199999999999999</v>
      </c>
      <c r="V79" s="22">
        <v>1.526</v>
      </c>
      <c r="W79" s="22">
        <v>8.3989999999999991</v>
      </c>
      <c r="X79" s="22">
        <f t="shared" si="9"/>
        <v>0.86199999999999999</v>
      </c>
      <c r="Y79" s="22">
        <v>9.0790000000000006</v>
      </c>
      <c r="Z79" s="22">
        <v>0.97199999999999998</v>
      </c>
      <c r="AA79" s="32">
        <v>6.5330000000000004</v>
      </c>
      <c r="AB79" s="22">
        <f t="shared" si="11"/>
        <v>0.86199999999999999</v>
      </c>
      <c r="AC79" s="32">
        <v>0.71499999999999997</v>
      </c>
    </row>
    <row r="80" spans="1:29">
      <c r="N80" s="4"/>
      <c r="O80" s="4"/>
      <c r="Q80" s="9"/>
      <c r="S80" s="4"/>
      <c r="T80" s="4"/>
      <c r="AA80" s="53"/>
    </row>
    <row r="81" spans="8:27">
      <c r="N81" s="4"/>
      <c r="O81" s="4"/>
      <c r="Q81" s="9"/>
      <c r="S81" s="4"/>
      <c r="T81" s="4"/>
      <c r="AA81" s="53"/>
    </row>
    <row r="82" spans="8:27">
      <c r="N82" s="4"/>
      <c r="O82" s="4"/>
      <c r="Q82" s="9"/>
      <c r="S82" s="4"/>
      <c r="T82" s="4"/>
      <c r="AA82" s="53"/>
    </row>
    <row r="83" spans="8:27">
      <c r="N83" s="4"/>
      <c r="O83" s="4"/>
      <c r="Q83" s="9"/>
      <c r="S83" s="4"/>
      <c r="T83" s="4"/>
      <c r="AA83" s="53"/>
    </row>
    <row r="84" spans="8:27">
      <c r="N84" s="4"/>
      <c r="O84" s="4"/>
      <c r="Q84" s="9"/>
      <c r="S84" s="4"/>
      <c r="T84" s="4"/>
      <c r="AA84" s="53"/>
    </row>
    <row r="85" spans="8:27">
      <c r="H85" s="1">
        <f>1/H86</f>
        <v>1.3473457289140394</v>
      </c>
      <c r="N85" s="4"/>
      <c r="O85" s="4"/>
      <c r="Q85" s="9"/>
      <c r="S85" s="4"/>
      <c r="T85" s="4"/>
      <c r="AA85" s="53"/>
    </row>
    <row r="86" spans="8:27">
      <c r="H86" s="1">
        <v>0.74219999999999997</v>
      </c>
      <c r="N86" s="4"/>
      <c r="O86" s="4"/>
      <c r="Q86" s="9"/>
      <c r="S86" s="4"/>
      <c r="T86" s="4"/>
      <c r="AA86" s="53"/>
    </row>
    <row r="87" spans="8:27">
      <c r="N87" s="4"/>
      <c r="O87" s="4"/>
      <c r="Q87" s="9"/>
      <c r="S87" s="4"/>
      <c r="T87" s="4"/>
      <c r="AA87" s="53"/>
    </row>
    <row r="88" spans="8:27">
      <c r="N88" s="4"/>
      <c r="O88" s="4"/>
      <c r="Q88" s="9"/>
      <c r="S88" s="4"/>
      <c r="T88" s="4"/>
      <c r="AA88" s="53"/>
    </row>
    <row r="89" spans="8:27">
      <c r="N89" s="4"/>
      <c r="O89" s="4"/>
      <c r="Q89" s="9"/>
      <c r="S89" s="4"/>
      <c r="T89" s="4"/>
      <c r="AA89" s="53"/>
    </row>
    <row r="90" spans="8:27">
      <c r="N90" s="4"/>
      <c r="O90" s="4"/>
      <c r="Q90" s="9"/>
      <c r="S90" s="4"/>
      <c r="T90" s="4"/>
      <c r="AA90" s="53"/>
    </row>
    <row r="91" spans="8:27">
      <c r="N91" s="4"/>
      <c r="O91" s="4"/>
      <c r="S91" s="4"/>
      <c r="T91" s="4"/>
      <c r="AA91" s="53"/>
    </row>
    <row r="92" spans="8:27">
      <c r="N92" s="4"/>
      <c r="O92" s="4"/>
      <c r="S92" s="4"/>
      <c r="T92" s="4"/>
      <c r="AA92" s="53"/>
    </row>
    <row r="93" spans="8:27">
      <c r="N93" s="4"/>
      <c r="O93" s="4"/>
      <c r="S93" s="4"/>
      <c r="T93" s="4"/>
      <c r="AA93" s="53"/>
    </row>
    <row r="94" spans="8:27">
      <c r="N94" s="4"/>
      <c r="O94" s="4"/>
      <c r="S94" s="4"/>
      <c r="T94" s="4"/>
      <c r="AA94" s="53"/>
    </row>
    <row r="95" spans="8:27">
      <c r="N95" s="4"/>
      <c r="O95" s="4"/>
      <c r="Q95" s="1"/>
      <c r="S95" s="4"/>
      <c r="T95" s="4"/>
      <c r="AA95" s="69"/>
    </row>
    <row r="96" spans="8:27">
      <c r="N96" s="4"/>
      <c r="O96" s="4"/>
      <c r="Q96" s="1"/>
      <c r="S96" s="4"/>
      <c r="T96" s="4"/>
      <c r="AA96" s="69"/>
    </row>
    <row r="97" spans="14:27">
      <c r="N97" s="4"/>
      <c r="O97" s="4"/>
      <c r="Q97" s="1"/>
      <c r="S97" s="4"/>
      <c r="T97" s="4"/>
      <c r="AA97" s="69"/>
    </row>
    <row r="98" spans="14:27">
      <c r="N98" s="4"/>
      <c r="O98" s="4"/>
      <c r="Q98" s="1"/>
      <c r="S98" s="4"/>
      <c r="T98" s="4"/>
      <c r="AA98" s="69"/>
    </row>
    <row r="99" spans="14:27">
      <c r="N99" s="4"/>
      <c r="O99" s="4"/>
      <c r="Q99" s="1"/>
      <c r="S99" s="4"/>
      <c r="T99" s="4"/>
      <c r="AA99" s="69"/>
    </row>
    <row r="100" spans="14:27">
      <c r="N100" s="4"/>
      <c r="O100" s="4"/>
      <c r="Q100" s="1"/>
      <c r="S100" s="4"/>
      <c r="T100" s="4"/>
      <c r="AA100" s="1"/>
    </row>
    <row r="101" spans="14:27">
      <c r="N101" s="4"/>
      <c r="O101" s="4"/>
      <c r="Q101" s="1"/>
      <c r="S101" s="4"/>
      <c r="T101" s="4"/>
      <c r="AA101" s="1"/>
    </row>
    <row r="102" spans="14:27">
      <c r="N102" s="4"/>
      <c r="O102" s="4"/>
      <c r="Q102" s="1"/>
      <c r="S102" s="4"/>
      <c r="T102" s="4"/>
      <c r="AA102" s="1"/>
    </row>
    <row r="103" spans="14:27">
      <c r="N103" s="4"/>
      <c r="O103" s="4"/>
      <c r="Q103" s="1"/>
      <c r="S103" s="4"/>
      <c r="T103" s="4"/>
      <c r="AA103" s="1"/>
    </row>
    <row r="104" spans="14:27">
      <c r="N104" s="4"/>
      <c r="O104" s="4"/>
      <c r="Q104" s="1"/>
      <c r="S104" s="4"/>
      <c r="T104" s="4"/>
      <c r="AA104" s="1"/>
    </row>
    <row r="105" spans="14:27">
      <c r="N105" s="4"/>
      <c r="O105" s="4"/>
      <c r="Q105" s="1"/>
      <c r="S105" s="4"/>
      <c r="T105" s="4"/>
      <c r="AA105" s="1"/>
    </row>
    <row r="106" spans="14:27">
      <c r="N106" s="4"/>
      <c r="O106" s="4"/>
      <c r="Q106" s="1"/>
      <c r="S106" s="4"/>
      <c r="T106" s="4"/>
      <c r="AA106" s="1"/>
    </row>
    <row r="107" spans="14:27">
      <c r="N107" s="4"/>
      <c r="O107" s="4"/>
      <c r="Q107" s="1"/>
      <c r="S107" s="4"/>
      <c r="T107" s="4"/>
      <c r="AA107" s="1"/>
    </row>
    <row r="108" spans="14:27">
      <c r="N108" s="4"/>
      <c r="O108" s="4"/>
      <c r="Q108" s="1"/>
      <c r="S108" s="4"/>
      <c r="T108" s="4"/>
      <c r="AA108" s="1"/>
    </row>
    <row r="109" spans="14:27">
      <c r="N109" s="4"/>
      <c r="O109" s="4"/>
      <c r="Q109" s="1"/>
      <c r="S109" s="4"/>
      <c r="T109" s="4"/>
      <c r="AA109" s="1"/>
    </row>
    <row r="110" spans="14:27">
      <c r="N110" s="4"/>
      <c r="O110" s="4"/>
      <c r="Q110" s="1"/>
      <c r="S110" s="4"/>
      <c r="T110" s="4"/>
      <c r="AA110" s="1"/>
    </row>
    <row r="111" spans="14:27">
      <c r="N111" s="4"/>
      <c r="O111" s="4"/>
      <c r="Q111" s="1"/>
      <c r="S111" s="4"/>
      <c r="T111" s="4"/>
      <c r="AA111" s="1"/>
    </row>
    <row r="112" spans="14:27">
      <c r="N112" s="4"/>
      <c r="O112" s="4"/>
      <c r="Q112" s="1"/>
      <c r="S112" s="4"/>
      <c r="T112" s="4"/>
      <c r="AA112" s="1"/>
    </row>
    <row r="113" spans="14:27">
      <c r="N113" s="4"/>
      <c r="O113" s="4"/>
      <c r="Q113" s="1"/>
      <c r="S113" s="4"/>
      <c r="T113" s="4"/>
      <c r="AA113" s="1"/>
    </row>
    <row r="114" spans="14:27">
      <c r="N114" s="4"/>
      <c r="O114" s="4"/>
      <c r="Q114" s="1"/>
      <c r="S114" s="4"/>
      <c r="T114" s="4"/>
      <c r="AA114" s="1"/>
    </row>
    <row r="115" spans="14:27">
      <c r="N115" s="4"/>
      <c r="O115" s="4"/>
      <c r="Q115" s="1"/>
      <c r="S115" s="4"/>
      <c r="T115" s="4"/>
      <c r="AA115" s="1"/>
    </row>
    <row r="116" spans="14:27">
      <c r="N116" s="4"/>
      <c r="O116" s="4"/>
      <c r="Q116" s="1"/>
      <c r="S116" s="4"/>
      <c r="T116" s="4"/>
      <c r="AA116" s="1"/>
    </row>
    <row r="117" spans="14:27">
      <c r="N117" s="4"/>
      <c r="O117" s="4"/>
      <c r="Q117" s="1"/>
      <c r="S117" s="4"/>
      <c r="T117" s="4"/>
      <c r="AA117" s="1"/>
    </row>
  </sheetData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showGridLines="0" workbookViewId="0">
      <selection activeCell="A3" sqref="A3:G21"/>
    </sheetView>
  </sheetViews>
  <sheetFormatPr defaultRowHeight="15"/>
  <cols>
    <col min="1" max="1" width="18" customWidth="1"/>
    <col min="2" max="7" width="13.85546875" customWidth="1"/>
  </cols>
  <sheetData>
    <row r="1" spans="1:7">
      <c r="A1" t="s">
        <v>77</v>
      </c>
    </row>
    <row r="2" spans="1:7" ht="15.75" thickBot="1"/>
    <row r="3" spans="1:7">
      <c r="A3" s="16" t="s">
        <v>78</v>
      </c>
      <c r="B3" s="16"/>
    </row>
    <row r="4" spans="1:7">
      <c r="A4" s="13" t="s">
        <v>79</v>
      </c>
      <c r="B4" s="13">
        <v>0.98728425750269277</v>
      </c>
    </row>
    <row r="5" spans="1:7">
      <c r="A5" s="13" t="s">
        <v>80</v>
      </c>
      <c r="B5" s="13">
        <v>0.97473020511264341</v>
      </c>
    </row>
    <row r="6" spans="1:7">
      <c r="A6" s="13" t="s">
        <v>81</v>
      </c>
      <c r="B6" s="13">
        <v>0.97266736471367554</v>
      </c>
    </row>
    <row r="7" spans="1:7">
      <c r="A7" s="13" t="s">
        <v>82</v>
      </c>
      <c r="B7" s="13">
        <v>2.5196217123210112E-2</v>
      </c>
    </row>
    <row r="8" spans="1:7" ht="15.75" thickBot="1">
      <c r="A8" s="14" t="s">
        <v>83</v>
      </c>
      <c r="B8" s="14">
        <v>54</v>
      </c>
    </row>
    <row r="10" spans="1:7" ht="15.75" thickBot="1">
      <c r="A10" t="s">
        <v>84</v>
      </c>
    </row>
    <row r="11" spans="1:7">
      <c r="A11" s="15"/>
      <c r="B11" s="15" t="s">
        <v>89</v>
      </c>
      <c r="C11" s="15" t="s">
        <v>90</v>
      </c>
      <c r="D11" s="15" t="s">
        <v>91</v>
      </c>
      <c r="E11" s="15" t="s">
        <v>92</v>
      </c>
      <c r="F11" s="15" t="s">
        <v>93</v>
      </c>
    </row>
    <row r="12" spans="1:7">
      <c r="A12" s="13" t="s">
        <v>85</v>
      </c>
      <c r="B12" s="13">
        <v>4</v>
      </c>
      <c r="C12" s="13">
        <v>1.1999122076253945</v>
      </c>
      <c r="D12" s="13">
        <v>0.29997805190634863</v>
      </c>
      <c r="E12" s="13">
        <v>472.51847772631203</v>
      </c>
      <c r="F12" s="13">
        <v>1.8180590018357674E-38</v>
      </c>
    </row>
    <row r="13" spans="1:7">
      <c r="A13" s="13" t="s">
        <v>86</v>
      </c>
      <c r="B13" s="13">
        <v>49</v>
      </c>
      <c r="C13" s="13">
        <v>3.1107618508677375E-2</v>
      </c>
      <c r="D13" s="13">
        <v>6.3484935731994646E-4</v>
      </c>
      <c r="E13" s="13"/>
      <c r="F13" s="13"/>
    </row>
    <row r="14" spans="1:7" ht="15.75" thickBot="1">
      <c r="A14" s="14" t="s">
        <v>87</v>
      </c>
      <c r="B14" s="14">
        <v>53</v>
      </c>
      <c r="C14" s="14">
        <v>1.2310198261340719</v>
      </c>
      <c r="D14" s="14"/>
      <c r="E14" s="14"/>
      <c r="F14" s="14"/>
    </row>
    <row r="15" spans="1:7" ht="15.75" thickBot="1"/>
    <row r="16" spans="1:7">
      <c r="A16" s="15"/>
      <c r="B16" s="15" t="s">
        <v>94</v>
      </c>
      <c r="C16" s="15" t="s">
        <v>82</v>
      </c>
      <c r="D16" s="15" t="s">
        <v>95</v>
      </c>
      <c r="E16" s="15" t="s">
        <v>96</v>
      </c>
      <c r="F16" s="15" t="s">
        <v>97</v>
      </c>
      <c r="G16" s="15" t="s">
        <v>98</v>
      </c>
    </row>
    <row r="17" spans="1:7">
      <c r="A17" s="13" t="s">
        <v>88</v>
      </c>
      <c r="B17" s="13">
        <v>0.2089769667352048</v>
      </c>
      <c r="C17" s="13">
        <v>1.1836215308985343E-2</v>
      </c>
      <c r="D17" s="13">
        <v>17.655725354756097</v>
      </c>
      <c r="E17" s="13">
        <v>6.9822691687594407E-23</v>
      </c>
      <c r="F17" s="13">
        <v>0.18519120154893787</v>
      </c>
      <c r="G17" s="13">
        <v>0.23276273192147173</v>
      </c>
    </row>
    <row r="18" spans="1:7">
      <c r="A18" s="13" t="s">
        <v>229</v>
      </c>
      <c r="B18" s="13">
        <v>6.6556041071023113E-3</v>
      </c>
      <c r="C18" s="13">
        <v>2.0773083347082081E-4</v>
      </c>
      <c r="D18" s="13">
        <v>32.039558094957528</v>
      </c>
      <c r="E18" s="13">
        <v>1.5825802839593902E-34</v>
      </c>
      <c r="F18" s="13">
        <v>6.2381533681711322E-3</v>
      </c>
      <c r="G18" s="13">
        <v>7.0730548460334903E-3</v>
      </c>
    </row>
    <row r="19" spans="1:7">
      <c r="A19" s="13" t="s">
        <v>149</v>
      </c>
      <c r="B19" s="13">
        <v>0.11882047650719679</v>
      </c>
      <c r="C19" s="13">
        <v>1.9312907426634805E-2</v>
      </c>
      <c r="D19" s="13">
        <v>6.1523867889165755</v>
      </c>
      <c r="E19" s="13">
        <v>1.3622759400737737E-7</v>
      </c>
      <c r="F19" s="13">
        <v>8.000973598566212E-2</v>
      </c>
      <c r="G19" s="13">
        <v>0.15763121702873145</v>
      </c>
    </row>
    <row r="20" spans="1:7">
      <c r="A20" s="13" t="s">
        <v>1998</v>
      </c>
      <c r="B20" s="13">
        <v>-7.1800580393124216E-2</v>
      </c>
      <c r="C20" s="13">
        <v>8.1221133729718047E-3</v>
      </c>
      <c r="D20" s="13">
        <v>-8.840135208166032</v>
      </c>
      <c r="E20" s="13">
        <v>1.0217686773127016E-11</v>
      </c>
      <c r="F20" s="13">
        <v>-8.812257830060459E-2</v>
      </c>
      <c r="G20" s="13">
        <v>-5.5478582485643843E-2</v>
      </c>
    </row>
    <row r="21" spans="1:7" ht="15.75" thickBot="1">
      <c r="A21" s="14" t="s">
        <v>1984</v>
      </c>
      <c r="B21" s="14">
        <v>-6.1912675483256956E-2</v>
      </c>
      <c r="C21" s="14">
        <v>1.2712082748707599E-2</v>
      </c>
      <c r="D21" s="14">
        <v>-4.8703801499051318</v>
      </c>
      <c r="E21" s="14">
        <v>1.2048889212424868E-5</v>
      </c>
      <c r="F21" s="14">
        <v>-8.7458562187397532E-2</v>
      </c>
      <c r="G21" s="14">
        <v>-3.636678877911638E-2</v>
      </c>
    </row>
    <row r="43" spans="9:9">
      <c r="I43" t="s">
        <v>1865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S154"/>
  <sheetViews>
    <sheetView zoomScale="75" zoomScaleNormal="75" workbookViewId="0">
      <pane xSplit="1" ySplit="4" topLeftCell="AL54" activePane="bottomRight" state="frozen"/>
      <selection activeCell="BN97" sqref="BN97"/>
      <selection pane="topRight" activeCell="BN97" sqref="BN97"/>
      <selection pane="bottomLeft" activeCell="BN97" sqref="BN97"/>
      <selection pane="bottomRight" activeCell="AN42" sqref="AN42:BE97"/>
    </sheetView>
  </sheetViews>
  <sheetFormatPr defaultRowHeight="15"/>
  <cols>
    <col min="1" max="1" width="6.7109375" customWidth="1"/>
    <col min="2" max="7" width="10.85546875" customWidth="1"/>
    <col min="8" max="8" width="9.28515625" bestFit="1" customWidth="1"/>
    <col min="9" max="9" width="9.5703125" customWidth="1"/>
    <col min="10" max="10" width="9.5703125" style="12" customWidth="1"/>
    <col min="11" max="12" width="9.5703125" customWidth="1"/>
    <col min="13" max="13" width="9.85546875" customWidth="1"/>
    <col min="14" max="14" width="8.28515625" customWidth="1"/>
    <col min="15" max="15" width="9" style="23" customWidth="1"/>
    <col min="16" max="17" width="11.5703125" style="12" customWidth="1"/>
    <col min="18" max="18" width="10.140625" style="23" customWidth="1"/>
    <col min="19" max="22" width="9.28515625" bestFit="1" customWidth="1"/>
    <col min="23" max="23" width="9.28515625" style="23" customWidth="1"/>
    <col min="24" max="27" width="9.28515625" bestFit="1" customWidth="1"/>
    <col min="40" max="40" width="6.28515625" customWidth="1"/>
    <col min="41" max="41" width="7.5703125" customWidth="1"/>
    <col min="42" max="42" width="7.42578125" customWidth="1"/>
    <col min="43" max="44" width="7.5703125" customWidth="1"/>
    <col min="45" max="45" width="7.42578125" customWidth="1"/>
    <col min="46" max="46" width="2.85546875" customWidth="1"/>
    <col min="47" max="47" width="7.5703125" customWidth="1"/>
    <col min="48" max="48" width="2.85546875" customWidth="1"/>
    <col min="49" max="49" width="11.7109375" customWidth="1"/>
    <col min="50" max="50" width="9.42578125" customWidth="1"/>
    <col min="51" max="51" width="7.5703125" customWidth="1"/>
    <col min="52" max="52" width="7.42578125" customWidth="1"/>
    <col min="53" max="53" width="9.42578125" customWidth="1"/>
    <col min="54" max="54" width="9.7109375" style="3" customWidth="1"/>
    <col min="55" max="55" width="5.42578125" style="3" customWidth="1"/>
    <col min="56" max="57" width="5.7109375" customWidth="1"/>
    <col min="59" max="59" width="14.5703125" customWidth="1"/>
    <col min="61" max="61" width="10.42578125" customWidth="1"/>
  </cols>
  <sheetData>
    <row r="1" spans="1:60">
      <c r="A1" t="s">
        <v>146</v>
      </c>
      <c r="B1" s="23"/>
      <c r="C1" s="23"/>
      <c r="G1" s="8" t="s">
        <v>49</v>
      </c>
      <c r="H1" s="12" t="s">
        <v>1870</v>
      </c>
      <c r="I1" s="26" t="s">
        <v>1870</v>
      </c>
      <c r="J1" s="26" t="s">
        <v>1870</v>
      </c>
      <c r="K1" s="12" t="s">
        <v>1870</v>
      </c>
      <c r="L1" s="12" t="s">
        <v>1870</v>
      </c>
      <c r="O1"/>
      <c r="P1" s="23"/>
      <c r="R1" s="12"/>
      <c r="S1" s="23"/>
      <c r="W1"/>
      <c r="X1" s="23"/>
      <c r="Y1" t="s">
        <v>61</v>
      </c>
      <c r="Z1" t="s">
        <v>61</v>
      </c>
      <c r="AA1" t="s">
        <v>61</v>
      </c>
      <c r="AB1" t="s">
        <v>61</v>
      </c>
      <c r="AC1" t="s">
        <v>61</v>
      </c>
      <c r="AN1" t="s">
        <v>146</v>
      </c>
      <c r="AO1" t="s">
        <v>1846</v>
      </c>
      <c r="AW1" t="s">
        <v>2037</v>
      </c>
      <c r="BB1"/>
      <c r="BD1" s="3"/>
    </row>
    <row r="2" spans="1:60">
      <c r="D2" t="s">
        <v>45</v>
      </c>
      <c r="F2" t="s">
        <v>46</v>
      </c>
      <c r="H2" s="12" t="s">
        <v>1871</v>
      </c>
      <c r="I2" s="26" t="s">
        <v>1871</v>
      </c>
      <c r="J2" s="26" t="s">
        <v>1871</v>
      </c>
      <c r="K2" s="12" t="s">
        <v>1871</v>
      </c>
      <c r="L2" s="12" t="s">
        <v>1871</v>
      </c>
      <c r="O2" t="s">
        <v>146</v>
      </c>
      <c r="P2" s="23"/>
      <c r="Q2" s="112"/>
      <c r="R2" s="112" t="s">
        <v>142</v>
      </c>
      <c r="S2" s="23"/>
      <c r="T2" t="s">
        <v>116</v>
      </c>
      <c r="W2"/>
      <c r="X2" s="23"/>
      <c r="Y2" t="s">
        <v>108</v>
      </c>
      <c r="Z2" t="s">
        <v>116</v>
      </c>
      <c r="AA2" t="s">
        <v>116</v>
      </c>
      <c r="AB2" t="s">
        <v>116</v>
      </c>
      <c r="AC2" t="s">
        <v>113</v>
      </c>
      <c r="BB2"/>
      <c r="BD2" s="3"/>
    </row>
    <row r="3" spans="1:60">
      <c r="B3" t="s">
        <v>182</v>
      </c>
      <c r="C3" t="s">
        <v>218</v>
      </c>
      <c r="D3" t="s">
        <v>146</v>
      </c>
      <c r="F3" t="s">
        <v>146</v>
      </c>
      <c r="H3" t="s">
        <v>146</v>
      </c>
      <c r="I3" t="s">
        <v>146</v>
      </c>
      <c r="J3" t="s">
        <v>146</v>
      </c>
      <c r="K3" s="12"/>
      <c r="L3" t="s">
        <v>146</v>
      </c>
      <c r="M3" t="s">
        <v>25</v>
      </c>
      <c r="N3" t="s">
        <v>105</v>
      </c>
      <c r="O3" t="s">
        <v>5</v>
      </c>
      <c r="P3" s="23"/>
      <c r="Q3" s="112" t="s">
        <v>115</v>
      </c>
      <c r="R3" s="112" t="s">
        <v>115</v>
      </c>
      <c r="S3" s="23"/>
      <c r="T3" s="3" t="s">
        <v>128</v>
      </c>
      <c r="U3" s="3"/>
      <c r="V3" s="3"/>
      <c r="W3" s="3"/>
      <c r="X3" s="23"/>
      <c r="Y3" t="s">
        <v>116</v>
      </c>
      <c r="Z3" s="26" t="s">
        <v>61</v>
      </c>
      <c r="AA3" s="26" t="s">
        <v>61</v>
      </c>
      <c r="AB3" s="26" t="s">
        <v>61</v>
      </c>
      <c r="AC3" t="s">
        <v>61</v>
      </c>
      <c r="AN3" s="46" t="s">
        <v>2103</v>
      </c>
      <c r="AO3" s="46" t="s">
        <v>2100</v>
      </c>
      <c r="AP3" s="46" t="s">
        <v>2100</v>
      </c>
      <c r="AQ3" s="46" t="s">
        <v>2100</v>
      </c>
      <c r="AR3" s="46" t="s">
        <v>2100</v>
      </c>
      <c r="AS3" s="46" t="s">
        <v>2100</v>
      </c>
      <c r="AT3" s="46"/>
      <c r="AU3" s="46"/>
      <c r="AV3" s="46"/>
      <c r="AW3" s="46" t="s">
        <v>227</v>
      </c>
      <c r="AX3" s="46" t="s">
        <v>227</v>
      </c>
      <c r="AY3" s="46" t="s">
        <v>227</v>
      </c>
      <c r="AZ3" s="46" t="s">
        <v>227</v>
      </c>
      <c r="BA3" s="46" t="s">
        <v>227</v>
      </c>
      <c r="BB3" s="46" t="s">
        <v>2102</v>
      </c>
      <c r="BC3" s="46" t="s">
        <v>2098</v>
      </c>
      <c r="BD3" s="46" t="s">
        <v>2098</v>
      </c>
      <c r="BE3" s="46" t="s">
        <v>2098</v>
      </c>
      <c r="BG3" s="46" t="s">
        <v>2440</v>
      </c>
      <c r="BH3" s="46" t="s">
        <v>2440</v>
      </c>
    </row>
    <row r="4" spans="1:60">
      <c r="A4" t="s">
        <v>2103</v>
      </c>
      <c r="B4" t="s">
        <v>227</v>
      </c>
      <c r="C4" t="s">
        <v>42</v>
      </c>
      <c r="D4" t="s">
        <v>6</v>
      </c>
      <c r="E4" t="s">
        <v>42</v>
      </c>
      <c r="F4" t="s">
        <v>6</v>
      </c>
      <c r="G4" t="s">
        <v>11</v>
      </c>
      <c r="H4" t="s">
        <v>6</v>
      </c>
      <c r="I4" s="29" t="s">
        <v>110</v>
      </c>
      <c r="J4" s="26" t="s">
        <v>135</v>
      </c>
      <c r="K4" s="12" t="s">
        <v>1872</v>
      </c>
      <c r="L4" s="29" t="s">
        <v>8</v>
      </c>
      <c r="M4" t="s">
        <v>9</v>
      </c>
      <c r="N4" s="29" t="s">
        <v>145</v>
      </c>
      <c r="O4" t="s">
        <v>10</v>
      </c>
      <c r="P4" s="23"/>
      <c r="Q4" s="112" t="s">
        <v>101</v>
      </c>
      <c r="R4" s="112" t="s">
        <v>103</v>
      </c>
      <c r="S4" s="23"/>
      <c r="T4" s="13" t="s">
        <v>229</v>
      </c>
      <c r="U4" s="3" t="s">
        <v>147</v>
      </c>
      <c r="V4" s="3" t="s">
        <v>149</v>
      </c>
      <c r="W4" s="3" t="s">
        <v>148</v>
      </c>
      <c r="X4" s="23"/>
      <c r="Y4" t="s">
        <v>109</v>
      </c>
      <c r="Z4" s="26" t="s">
        <v>111</v>
      </c>
      <c r="AA4" s="26" t="s">
        <v>112</v>
      </c>
      <c r="AB4" s="26" t="s">
        <v>87</v>
      </c>
      <c r="AC4" t="s">
        <v>87</v>
      </c>
      <c r="AN4" s="46"/>
      <c r="AO4" s="46" t="s">
        <v>131</v>
      </c>
      <c r="AP4" s="46" t="s">
        <v>111</v>
      </c>
      <c r="AQ4" s="46" t="s">
        <v>112</v>
      </c>
      <c r="AR4" s="46" t="s">
        <v>67</v>
      </c>
      <c r="AS4" s="46" t="s">
        <v>133</v>
      </c>
      <c r="AT4" s="46"/>
      <c r="AU4" s="46" t="s">
        <v>237</v>
      </c>
      <c r="AV4" s="46"/>
      <c r="AW4" s="46" t="s">
        <v>131</v>
      </c>
      <c r="AX4" s="46" t="s">
        <v>2097</v>
      </c>
      <c r="AY4" s="46" t="s">
        <v>67</v>
      </c>
      <c r="AZ4" s="46" t="s">
        <v>133</v>
      </c>
      <c r="BA4" s="46" t="s">
        <v>2097</v>
      </c>
      <c r="BB4" s="46" t="s">
        <v>229</v>
      </c>
      <c r="BC4" s="46">
        <v>8992</v>
      </c>
      <c r="BD4" s="46">
        <v>6599</v>
      </c>
      <c r="BE4" s="46">
        <v>9599</v>
      </c>
      <c r="BG4" s="46" t="s">
        <v>131</v>
      </c>
      <c r="BH4" s="46" t="s">
        <v>2097</v>
      </c>
    </row>
    <row r="5" spans="1:60">
      <c r="A5">
        <v>1926</v>
      </c>
      <c r="K5" s="12"/>
      <c r="O5"/>
      <c r="P5" s="23"/>
      <c r="R5" s="12"/>
      <c r="S5" s="23"/>
      <c r="W5"/>
      <c r="X5" s="23"/>
      <c r="AN5">
        <v>1926</v>
      </c>
      <c r="BB5"/>
      <c r="BD5" s="3"/>
    </row>
    <row r="6" spans="1:60">
      <c r="A6">
        <v>1927</v>
      </c>
      <c r="K6" s="12"/>
      <c r="O6"/>
      <c r="P6" s="23"/>
      <c r="R6" s="12"/>
      <c r="S6" s="23"/>
      <c r="W6"/>
      <c r="X6" s="23"/>
      <c r="AN6">
        <v>1927</v>
      </c>
      <c r="BB6"/>
      <c r="BD6" s="3"/>
    </row>
    <row r="7" spans="1:60">
      <c r="A7">
        <v>1928</v>
      </c>
      <c r="K7" s="12"/>
      <c r="O7"/>
      <c r="P7" s="23"/>
      <c r="R7" s="12"/>
      <c r="S7" s="23"/>
      <c r="W7"/>
      <c r="X7" s="23"/>
      <c r="AN7">
        <v>1928</v>
      </c>
      <c r="BB7"/>
      <c r="BD7" s="3"/>
    </row>
    <row r="8" spans="1:60">
      <c r="A8">
        <v>1929</v>
      </c>
      <c r="K8" s="12"/>
      <c r="O8"/>
      <c r="P8" s="23"/>
      <c r="R8" s="12"/>
      <c r="S8" s="23"/>
      <c r="W8"/>
      <c r="X8" s="23"/>
      <c r="AN8">
        <v>1929</v>
      </c>
      <c r="BB8"/>
      <c r="BD8" s="3"/>
    </row>
    <row r="9" spans="1:60">
      <c r="A9">
        <v>1930</v>
      </c>
      <c r="K9" s="12"/>
      <c r="O9"/>
      <c r="P9" s="23"/>
      <c r="R9" s="12"/>
      <c r="S9" s="23"/>
      <c r="W9"/>
      <c r="X9" s="23"/>
      <c r="AN9">
        <v>1930</v>
      </c>
      <c r="BB9"/>
      <c r="BD9" s="3"/>
    </row>
    <row r="10" spans="1:60">
      <c r="A10">
        <v>1931</v>
      </c>
      <c r="K10" s="12"/>
      <c r="O10"/>
      <c r="P10" s="23"/>
      <c r="R10" s="12"/>
      <c r="S10" s="23"/>
      <c r="W10"/>
      <c r="X10" s="23"/>
      <c r="AN10">
        <v>1931</v>
      </c>
      <c r="BB10"/>
      <c r="BD10" s="3"/>
    </row>
    <row r="11" spans="1:60">
      <c r="A11">
        <v>1932</v>
      </c>
      <c r="K11" s="12"/>
      <c r="O11"/>
      <c r="P11" s="23"/>
      <c r="R11" s="12"/>
      <c r="S11" s="23"/>
      <c r="W11"/>
      <c r="X11" s="23"/>
      <c r="AN11">
        <v>1932</v>
      </c>
      <c r="BB11"/>
      <c r="BD11" s="3"/>
    </row>
    <row r="12" spans="1:60">
      <c r="A12">
        <v>1933</v>
      </c>
      <c r="K12" s="12"/>
      <c r="O12"/>
      <c r="P12" s="23"/>
      <c r="R12" s="12"/>
      <c r="S12" s="23"/>
      <c r="W12"/>
      <c r="X12" s="23"/>
      <c r="AN12">
        <v>1933</v>
      </c>
      <c r="BB12"/>
      <c r="BD12" s="3"/>
    </row>
    <row r="13" spans="1:60">
      <c r="A13">
        <v>1934</v>
      </c>
      <c r="K13" s="12"/>
      <c r="O13"/>
      <c r="P13" s="23"/>
      <c r="R13" s="12"/>
      <c r="S13" s="23"/>
      <c r="W13"/>
      <c r="X13" s="23"/>
      <c r="AN13">
        <v>1934</v>
      </c>
      <c r="BB13"/>
      <c r="BD13" s="3"/>
    </row>
    <row r="14" spans="1:60">
      <c r="A14">
        <v>1935</v>
      </c>
      <c r="K14" s="12"/>
      <c r="O14"/>
      <c r="P14" s="23"/>
      <c r="R14" s="12"/>
      <c r="S14" s="23"/>
      <c r="W14"/>
      <c r="X14" s="23"/>
      <c r="AN14">
        <v>1935</v>
      </c>
      <c r="BB14"/>
      <c r="BD14" s="3"/>
    </row>
    <row r="15" spans="1:60">
      <c r="A15">
        <v>1936</v>
      </c>
      <c r="K15" s="12"/>
      <c r="O15"/>
      <c r="P15" s="23"/>
      <c r="R15" s="12"/>
      <c r="S15" s="23"/>
      <c r="W15"/>
      <c r="X15" s="23"/>
      <c r="AN15">
        <v>1936</v>
      </c>
      <c r="BB15"/>
      <c r="BD15" s="3"/>
    </row>
    <row r="16" spans="1:60">
      <c r="A16">
        <v>1937</v>
      </c>
      <c r="K16" s="12"/>
      <c r="O16"/>
      <c r="P16" s="23"/>
      <c r="R16" s="12"/>
      <c r="S16" s="23"/>
      <c r="W16"/>
      <c r="X16" s="23"/>
      <c r="AN16">
        <v>1937</v>
      </c>
      <c r="BB16"/>
      <c r="BD16" s="3"/>
    </row>
    <row r="17" spans="1:56">
      <c r="A17">
        <v>1938</v>
      </c>
      <c r="K17" s="12"/>
      <c r="O17"/>
      <c r="P17" s="23"/>
      <c r="R17" s="12"/>
      <c r="S17" s="23"/>
      <c r="W17"/>
      <c r="X17" s="23"/>
      <c r="AN17">
        <v>1938</v>
      </c>
      <c r="BB17"/>
      <c r="BD17" s="3"/>
    </row>
    <row r="18" spans="1:56">
      <c r="A18">
        <v>1939</v>
      </c>
      <c r="K18" s="12"/>
      <c r="O18"/>
      <c r="P18" s="23"/>
      <c r="R18" s="12"/>
      <c r="S18" s="23"/>
      <c r="W18"/>
      <c r="X18" s="23"/>
      <c r="AN18">
        <v>1939</v>
      </c>
      <c r="BB18"/>
      <c r="BD18" s="3"/>
    </row>
    <row r="19" spans="1:56">
      <c r="A19">
        <v>1940</v>
      </c>
      <c r="K19" s="12"/>
      <c r="O19"/>
      <c r="P19" s="23"/>
      <c r="R19" s="12"/>
      <c r="S19" s="23"/>
      <c r="W19"/>
      <c r="X19" s="23"/>
      <c r="AN19">
        <v>1940</v>
      </c>
      <c r="BB19"/>
      <c r="BD19" s="3"/>
    </row>
    <row r="20" spans="1:56">
      <c r="A20">
        <v>1941</v>
      </c>
      <c r="K20" s="12"/>
      <c r="O20"/>
      <c r="P20" s="23"/>
      <c r="R20" s="12"/>
      <c r="S20" s="23"/>
      <c r="W20"/>
      <c r="X20" s="23"/>
      <c r="AN20">
        <v>1941</v>
      </c>
      <c r="BB20"/>
      <c r="BD20" s="3"/>
    </row>
    <row r="21" spans="1:56">
      <c r="A21">
        <v>1942</v>
      </c>
      <c r="K21" s="12"/>
      <c r="O21"/>
      <c r="P21" s="23"/>
      <c r="R21" s="12"/>
      <c r="S21" s="23"/>
      <c r="W21"/>
      <c r="X21" s="23"/>
      <c r="AN21">
        <v>1942</v>
      </c>
      <c r="BB21"/>
      <c r="BD21" s="3"/>
    </row>
    <row r="22" spans="1:56">
      <c r="A22">
        <v>1943</v>
      </c>
      <c r="K22" s="12"/>
      <c r="O22"/>
      <c r="P22" s="23"/>
      <c r="R22" s="12"/>
      <c r="S22" s="23"/>
      <c r="W22"/>
      <c r="X22" s="23"/>
      <c r="AN22">
        <v>1943</v>
      </c>
      <c r="BB22"/>
      <c r="BD22" s="3"/>
    </row>
    <row r="23" spans="1:56">
      <c r="A23">
        <v>1944</v>
      </c>
      <c r="K23" s="12"/>
      <c r="O23"/>
      <c r="P23" s="23"/>
      <c r="R23" s="12"/>
      <c r="S23" s="23"/>
      <c r="W23"/>
      <c r="X23" s="23"/>
      <c r="AN23">
        <v>1944</v>
      </c>
      <c r="BB23"/>
      <c r="BD23" s="3"/>
    </row>
    <row r="24" spans="1:56">
      <c r="A24">
        <v>1945</v>
      </c>
      <c r="K24" s="12"/>
      <c r="O24"/>
      <c r="P24" s="23"/>
      <c r="R24" s="12"/>
      <c r="S24" s="23"/>
      <c r="W24"/>
      <c r="X24" s="23"/>
      <c r="AN24">
        <v>1945</v>
      </c>
      <c r="BB24"/>
      <c r="BD24" s="3"/>
    </row>
    <row r="25" spans="1:56">
      <c r="A25">
        <v>1946</v>
      </c>
      <c r="K25" s="12"/>
      <c r="O25"/>
      <c r="P25" s="23"/>
      <c r="R25" s="12"/>
      <c r="S25" s="23"/>
      <c r="W25"/>
      <c r="X25" s="23"/>
      <c r="AN25">
        <v>1946</v>
      </c>
      <c r="BB25"/>
      <c r="BD25" s="3"/>
    </row>
    <row r="26" spans="1:56">
      <c r="A26">
        <v>1947</v>
      </c>
      <c r="K26" s="12"/>
      <c r="O26"/>
      <c r="P26" s="23"/>
      <c r="R26" s="12"/>
      <c r="S26" s="23"/>
      <c r="W26"/>
      <c r="X26" s="23"/>
      <c r="AN26">
        <v>1947</v>
      </c>
      <c r="BB26"/>
      <c r="BD26" s="3"/>
    </row>
    <row r="27" spans="1:56">
      <c r="A27">
        <v>1948</v>
      </c>
      <c r="K27" s="12"/>
      <c r="O27"/>
      <c r="P27" s="23"/>
      <c r="R27" s="12"/>
      <c r="S27" s="23"/>
      <c r="W27"/>
      <c r="X27" s="23"/>
      <c r="AN27">
        <v>1948</v>
      </c>
      <c r="BB27"/>
      <c r="BD27" s="3"/>
    </row>
    <row r="28" spans="1:56">
      <c r="A28">
        <v>1949</v>
      </c>
      <c r="K28" s="12"/>
      <c r="O28"/>
      <c r="P28" s="23"/>
      <c r="R28" s="12"/>
      <c r="S28" s="23"/>
      <c r="W28"/>
      <c r="X28" s="23"/>
      <c r="AN28">
        <v>1949</v>
      </c>
      <c r="BB28"/>
      <c r="BD28" s="3"/>
    </row>
    <row r="29" spans="1:56">
      <c r="A29">
        <v>1950</v>
      </c>
      <c r="K29" s="12"/>
      <c r="O29"/>
      <c r="P29" s="23"/>
      <c r="R29" s="12"/>
      <c r="S29" s="23"/>
      <c r="W29"/>
      <c r="X29" s="23"/>
      <c r="AN29">
        <v>1950</v>
      </c>
      <c r="BB29"/>
      <c r="BD29" s="3"/>
    </row>
    <row r="30" spans="1:56">
      <c r="A30">
        <v>1951</v>
      </c>
      <c r="K30" s="12"/>
      <c r="O30"/>
      <c r="P30" s="23"/>
      <c r="R30" s="12"/>
      <c r="S30" s="23"/>
      <c r="W30"/>
      <c r="X30" s="23"/>
      <c r="AN30">
        <v>1951</v>
      </c>
      <c r="BB30"/>
      <c r="BD30" s="3"/>
    </row>
    <row r="31" spans="1:56">
      <c r="A31">
        <v>1952</v>
      </c>
      <c r="K31" s="12"/>
      <c r="O31"/>
      <c r="P31" s="23"/>
      <c r="R31" s="12"/>
      <c r="S31" s="23"/>
      <c r="W31"/>
      <c r="X31" s="23"/>
      <c r="AN31">
        <v>1952</v>
      </c>
      <c r="BB31"/>
      <c r="BD31" s="3"/>
    </row>
    <row r="32" spans="1:56">
      <c r="A32">
        <v>1953</v>
      </c>
      <c r="K32" s="12"/>
      <c r="O32"/>
      <c r="P32" s="23"/>
      <c r="R32" s="12"/>
      <c r="S32" s="23"/>
      <c r="W32"/>
      <c r="X32" s="23"/>
      <c r="AN32">
        <v>1953</v>
      </c>
      <c r="BB32"/>
      <c r="BD32" s="3"/>
    </row>
    <row r="33" spans="1:60">
      <c r="A33">
        <v>1954</v>
      </c>
      <c r="K33" s="12"/>
      <c r="O33"/>
      <c r="P33" s="23"/>
      <c r="R33" s="12"/>
      <c r="S33" s="23"/>
      <c r="W33"/>
      <c r="X33" s="23"/>
      <c r="AN33">
        <v>1954</v>
      </c>
      <c r="BB33"/>
      <c r="BD33" s="3"/>
    </row>
    <row r="34" spans="1:60">
      <c r="A34">
        <v>1955</v>
      </c>
      <c r="K34" s="12"/>
      <c r="O34"/>
      <c r="P34" s="23"/>
      <c r="R34" s="12"/>
      <c r="S34" s="23"/>
      <c r="W34"/>
      <c r="X34" s="23"/>
      <c r="AN34">
        <v>1955</v>
      </c>
      <c r="BB34"/>
      <c r="BD34" s="3"/>
    </row>
    <row r="35" spans="1:60">
      <c r="A35">
        <v>1956</v>
      </c>
      <c r="K35" s="12"/>
      <c r="O35"/>
      <c r="P35" s="23"/>
      <c r="R35" s="12"/>
      <c r="S35" s="23"/>
      <c r="W35"/>
      <c r="X35" s="23"/>
      <c r="AN35">
        <v>1956</v>
      </c>
      <c r="BB35"/>
      <c r="BD35" s="3"/>
    </row>
    <row r="36" spans="1:60">
      <c r="A36">
        <v>1957</v>
      </c>
      <c r="K36" s="12"/>
      <c r="O36"/>
      <c r="P36" s="23"/>
      <c r="R36" s="12"/>
      <c r="S36" s="23"/>
      <c r="W36"/>
      <c r="X36" s="23"/>
      <c r="AN36">
        <v>1957</v>
      </c>
      <c r="BB36"/>
      <c r="BD36" s="3"/>
    </row>
    <row r="37" spans="1:60">
      <c r="A37">
        <v>1958</v>
      </c>
      <c r="K37" s="12"/>
      <c r="O37"/>
      <c r="P37" s="23"/>
      <c r="R37" s="12"/>
      <c r="S37" s="23"/>
      <c r="W37"/>
      <c r="X37" s="23"/>
      <c r="AN37">
        <v>1958</v>
      </c>
      <c r="BB37"/>
      <c r="BD37" s="3"/>
    </row>
    <row r="38" spans="1:60">
      <c r="A38">
        <v>1959</v>
      </c>
      <c r="K38" s="12"/>
      <c r="O38"/>
      <c r="P38" s="23"/>
      <c r="R38" s="12"/>
      <c r="S38" s="23"/>
      <c r="W38"/>
      <c r="X38" s="23"/>
      <c r="AN38">
        <v>1959</v>
      </c>
      <c r="BB38"/>
      <c r="BD38" s="3"/>
    </row>
    <row r="39" spans="1:60">
      <c r="A39">
        <v>1960</v>
      </c>
      <c r="K39" s="12"/>
      <c r="O39"/>
      <c r="P39" s="23"/>
      <c r="R39" s="12"/>
      <c r="S39" s="23"/>
      <c r="W39"/>
      <c r="X39" s="23"/>
      <c r="AN39">
        <v>1960</v>
      </c>
      <c r="BB39"/>
      <c r="BD39" s="3"/>
    </row>
    <row r="40" spans="1:60">
      <c r="A40">
        <v>1961</v>
      </c>
      <c r="K40" s="12"/>
      <c r="O40"/>
      <c r="P40" s="23"/>
      <c r="R40" s="12"/>
      <c r="S40" s="23"/>
      <c r="W40"/>
      <c r="X40" s="23"/>
      <c r="AN40">
        <v>1961</v>
      </c>
      <c r="BB40"/>
      <c r="BD40" s="3"/>
    </row>
    <row r="41" spans="1:60">
      <c r="A41">
        <v>1962</v>
      </c>
      <c r="K41" s="12"/>
      <c r="O41"/>
      <c r="P41" s="23"/>
      <c r="R41" s="12"/>
      <c r="S41" s="23"/>
      <c r="W41"/>
      <c r="X41" s="23"/>
      <c r="AN41">
        <v>1962</v>
      </c>
      <c r="BB41"/>
      <c r="BD41" s="3"/>
    </row>
    <row r="42" spans="1:60">
      <c r="A42">
        <v>1963</v>
      </c>
      <c r="K42" s="12"/>
      <c r="O42"/>
      <c r="P42" s="23"/>
      <c r="R42" s="12"/>
      <c r="S42" s="23"/>
      <c r="W42"/>
      <c r="X42" s="23"/>
      <c r="AN42" s="46" t="s">
        <v>2103</v>
      </c>
      <c r="AO42" s="46" t="s">
        <v>2100</v>
      </c>
      <c r="AP42" s="46" t="s">
        <v>2100</v>
      </c>
      <c r="AQ42" s="46" t="s">
        <v>2100</v>
      </c>
      <c r="AR42" s="46" t="s">
        <v>2100</v>
      </c>
      <c r="AS42" s="46" t="s">
        <v>2100</v>
      </c>
      <c r="AU42" s="46"/>
      <c r="AW42" s="46" t="s">
        <v>227</v>
      </c>
      <c r="AX42" s="46" t="s">
        <v>227</v>
      </c>
      <c r="AY42" s="46" t="s">
        <v>227</v>
      </c>
      <c r="AZ42" s="46" t="s">
        <v>227</v>
      </c>
      <c r="BA42" s="46" t="s">
        <v>227</v>
      </c>
      <c r="BB42" s="46" t="s">
        <v>2102</v>
      </c>
      <c r="BC42" s="46" t="s">
        <v>2098</v>
      </c>
      <c r="BD42" s="46" t="s">
        <v>2098</v>
      </c>
      <c r="BE42" s="46" t="s">
        <v>2098</v>
      </c>
      <c r="BG42" s="46" t="s">
        <v>2440</v>
      </c>
      <c r="BH42" s="46" t="s">
        <v>2440</v>
      </c>
    </row>
    <row r="43" spans="1:60">
      <c r="A43">
        <v>1964</v>
      </c>
      <c r="K43" s="12"/>
      <c r="O43"/>
      <c r="P43" s="23"/>
      <c r="R43" s="12"/>
      <c r="S43" s="23"/>
      <c r="W43"/>
      <c r="X43" s="23"/>
      <c r="AN43" s="46"/>
      <c r="AO43" s="46" t="s">
        <v>131</v>
      </c>
      <c r="AP43" s="46" t="s">
        <v>111</v>
      </c>
      <c r="AQ43" s="46" t="s">
        <v>112</v>
      </c>
      <c r="AR43" s="46" t="s">
        <v>67</v>
      </c>
      <c r="AS43" s="46" t="s">
        <v>133</v>
      </c>
      <c r="AU43" s="139" t="s">
        <v>237</v>
      </c>
      <c r="AW43" s="46" t="s">
        <v>131</v>
      </c>
      <c r="AX43" s="46" t="s">
        <v>2097</v>
      </c>
      <c r="AY43" s="46" t="s">
        <v>67</v>
      </c>
      <c r="AZ43" s="46" t="s">
        <v>133</v>
      </c>
      <c r="BA43" s="46" t="s">
        <v>2097</v>
      </c>
      <c r="BB43" s="46" t="s">
        <v>1943</v>
      </c>
      <c r="BC43" s="46">
        <v>8992</v>
      </c>
      <c r="BD43" s="46">
        <v>6599</v>
      </c>
      <c r="BE43" s="46">
        <v>9599</v>
      </c>
      <c r="BG43" s="46" t="s">
        <v>131</v>
      </c>
      <c r="BH43" s="46" t="s">
        <v>2097</v>
      </c>
    </row>
    <row r="44" spans="1:60">
      <c r="A44">
        <v>1965</v>
      </c>
      <c r="B44" s="3">
        <f>I44/G44*100/C44</f>
        <v>94.224975837185241</v>
      </c>
      <c r="C44" s="3">
        <f t="shared" ref="C44:C87" si="0">E44/E$89*100</f>
        <v>14.459024846529534</v>
      </c>
      <c r="D44" s="1">
        <v>72.4893</v>
      </c>
      <c r="E44" s="3">
        <v>20.692699999999999</v>
      </c>
      <c r="F44" s="3">
        <f>D44*E44/100</f>
        <v>14.999993381099998</v>
      </c>
      <c r="G44" s="3">
        <v>1.239467623866197</v>
      </c>
      <c r="H44" s="3">
        <f>F44*G44</f>
        <v>18.592006154080696</v>
      </c>
      <c r="I44" s="4">
        <f t="shared" ref="I44:I72" si="1">H44*L$72/H$72</f>
        <v>16.886522609048441</v>
      </c>
      <c r="J44" s="21">
        <f t="shared" ref="J44:J89" si="2">R44+AB44</f>
        <v>11.770731917453197</v>
      </c>
      <c r="K44" s="21"/>
      <c r="O44"/>
      <c r="P44" s="23"/>
      <c r="Q44" s="21">
        <f t="shared" ref="Q44:Q78" si="3">I44-AB44</f>
        <v>5.1672759183688228</v>
      </c>
      <c r="R44" s="21">
        <f t="shared" ref="R44:R88" si="4">BA44*AU44/100</f>
        <v>5.1485226773578308E-2</v>
      </c>
      <c r="S44" s="27"/>
      <c r="T44">
        <f>USA!Z52*G44</f>
        <v>4.09024315875845</v>
      </c>
      <c r="U44">
        <v>0</v>
      </c>
      <c r="V44">
        <v>0</v>
      </c>
      <c r="W44">
        <v>0</v>
      </c>
      <c r="X44" s="23"/>
      <c r="Y44" s="3">
        <f>'[1]Real petrol price'!HA19/100</f>
        <v>0.69400000000000006</v>
      </c>
      <c r="Z44" s="6">
        <f>AB44-AA44</f>
        <v>11.719246690679618</v>
      </c>
      <c r="AA44" s="4">
        <v>0</v>
      </c>
      <c r="AB44" s="3">
        <f t="shared" ref="AB44:AB67" si="5">Y44*I44</f>
        <v>11.719246690679618</v>
      </c>
      <c r="AD44" s="4"/>
      <c r="AN44">
        <v>1965</v>
      </c>
      <c r="AO44" s="3">
        <f t="shared" ref="AO44:AO96" si="6">I44/100</f>
        <v>0.1688652260904844</v>
      </c>
      <c r="AP44" s="3">
        <f t="shared" ref="AP44:AP96" si="7">Z44/100</f>
        <v>0.11719246690679619</v>
      </c>
      <c r="AQ44" s="3">
        <f t="shared" ref="AQ44:AQ96" si="8">AA44/100</f>
        <v>0</v>
      </c>
      <c r="AR44" s="3">
        <f t="shared" ref="AR44:AR96" si="9">AB44/100</f>
        <v>0.11719246690679619</v>
      </c>
      <c r="AS44" s="3">
        <f t="shared" ref="AS44:AS96" si="10">AO44-AR44</f>
        <v>5.1672759183688216E-2</v>
      </c>
      <c r="AT44" s="3"/>
      <c r="AU44" s="3">
        <v>17.68685431514076</v>
      </c>
      <c r="AV44" s="3"/>
      <c r="AW44" s="3">
        <f t="shared" ref="AW44:AW75" si="11">AO44/$AU44*100</f>
        <v>0.95474991245858809</v>
      </c>
      <c r="AX44" s="3">
        <f>BA44+AY44</f>
        <v>0.95368961984369727</v>
      </c>
      <c r="AY44" s="3">
        <f t="shared" ref="AY44:AY75" si="12">AR44/$AU44*100</f>
        <v>0.6625964392462601</v>
      </c>
      <c r="AZ44" s="3">
        <f t="shared" ref="AZ44:AZ51" si="13">AW44-AY44</f>
        <v>0.29215347321232799</v>
      </c>
      <c r="BA44" s="3">
        <f t="shared" ref="BA44:BA75" si="14">AX$99+AX$100*BB44+AX$101*BC44+AX$102*BD44+AX$103*BE44</f>
        <v>0.29109318059743722</v>
      </c>
      <c r="BB44" s="3">
        <f>T44/AU44*100</f>
        <v>23.12589387507429</v>
      </c>
      <c r="BC44" s="9">
        <v>0</v>
      </c>
      <c r="BD44" s="27">
        <v>1</v>
      </c>
      <c r="BE44">
        <v>0</v>
      </c>
      <c r="BG44" s="3">
        <f t="shared" ref="BG44:BG96" si="15">AW44*$AU$97/$AU$89</f>
        <v>1.0923626611551225</v>
      </c>
      <c r="BH44" s="3">
        <f t="shared" ref="BH44:BH96" si="16">AX44*$AU$97/$AU$89</f>
        <v>1.0911495434084839</v>
      </c>
    </row>
    <row r="45" spans="1:60">
      <c r="A45">
        <v>1966</v>
      </c>
      <c r="B45" s="3">
        <f t="shared" ref="B45:B96" si="17">I45/G45*100/C45</f>
        <v>103.68707974919997</v>
      </c>
      <c r="C45" s="3">
        <f t="shared" si="0"/>
        <v>14.891495218110531</v>
      </c>
      <c r="D45" s="1">
        <v>79.768699999999995</v>
      </c>
      <c r="E45" s="3">
        <v>21.311620000000001</v>
      </c>
      <c r="F45" s="3">
        <f t="shared" ref="F45:F78" si="18">D45*E45/100</f>
        <v>17.000002222940001</v>
      </c>
      <c r="G45" s="3">
        <v>1.239467623866197</v>
      </c>
      <c r="H45" s="3">
        <f t="shared" ref="H45:H78" si="19">F45*G45</f>
        <v>21.070952360987512</v>
      </c>
      <c r="I45" s="4">
        <f t="shared" si="1"/>
        <v>19.138069904301407</v>
      </c>
      <c r="J45" s="21">
        <f t="shared" si="2"/>
        <v>13.946736766167398</v>
      </c>
      <c r="K45" s="21"/>
      <c r="O45"/>
      <c r="P45" s="23"/>
      <c r="Q45" s="21">
        <f t="shared" si="3"/>
        <v>5.2438311537785864</v>
      </c>
      <c r="R45" s="21">
        <f t="shared" si="4"/>
        <v>5.2498015644577102E-2</v>
      </c>
      <c r="S45" s="27"/>
      <c r="T45">
        <f>USA!Z53*G45</f>
        <v>4.09024315875845</v>
      </c>
      <c r="U45">
        <v>0</v>
      </c>
      <c r="V45">
        <v>0</v>
      </c>
      <c r="W45">
        <v>0</v>
      </c>
      <c r="X45" s="23"/>
      <c r="Y45" s="3">
        <f>'[1]Real petrol price'!HA20/100</f>
        <v>0.72599999999999998</v>
      </c>
      <c r="Z45" s="6">
        <f t="shared" ref="Z45:Z67" si="20">AB45-AA45</f>
        <v>13.89423875052282</v>
      </c>
      <c r="AA45" s="4">
        <v>0</v>
      </c>
      <c r="AB45" s="3">
        <f t="shared" si="5"/>
        <v>13.89423875052282</v>
      </c>
      <c r="AD45" s="4"/>
      <c r="AN45">
        <v>1966</v>
      </c>
      <c r="AO45" s="3">
        <f t="shared" si="6"/>
        <v>0.19138069904301408</v>
      </c>
      <c r="AP45" s="3">
        <f t="shared" si="7"/>
        <v>0.13894238750522819</v>
      </c>
      <c r="AQ45" s="3">
        <f t="shared" si="8"/>
        <v>0</v>
      </c>
      <c r="AR45" s="3">
        <f t="shared" si="9"/>
        <v>0.13894238750522819</v>
      </c>
      <c r="AS45" s="3">
        <f t="shared" si="10"/>
        <v>5.2438311537785887E-2</v>
      </c>
      <c r="AT45" s="3"/>
      <c r="AU45" s="3">
        <v>18.425165695113382</v>
      </c>
      <c r="AV45" s="3"/>
      <c r="AW45" s="3">
        <f t="shared" si="11"/>
        <v>1.0386918750682985</v>
      </c>
      <c r="AX45" s="3">
        <f t="shared" ref="AX45:AX96" si="21">BA45+AY45</f>
        <v>1.0390159107257202</v>
      </c>
      <c r="AY45" s="3">
        <f t="shared" si="12"/>
        <v>0.75409030129958454</v>
      </c>
      <c r="AZ45" s="3">
        <f t="shared" si="13"/>
        <v>0.28460157376871398</v>
      </c>
      <c r="BA45" s="3">
        <f t="shared" si="14"/>
        <v>0.28492560942613576</v>
      </c>
      <c r="BB45" s="3">
        <f t="shared" ref="BB45:BB95" si="22">T45/AU45*100</f>
        <v>22.199220492455279</v>
      </c>
      <c r="BC45" s="9">
        <v>0</v>
      </c>
      <c r="BD45" s="27">
        <v>1</v>
      </c>
      <c r="BE45">
        <v>0</v>
      </c>
      <c r="BG45" s="3">
        <f t="shared" si="15"/>
        <v>1.1884035871215906</v>
      </c>
      <c r="BH45" s="3">
        <f t="shared" si="16"/>
        <v>1.1887743276143956</v>
      </c>
    </row>
    <row r="46" spans="1:60">
      <c r="A46">
        <v>1967</v>
      </c>
      <c r="B46" s="3">
        <f t="shared" si="17"/>
        <v>100.88682004954705</v>
      </c>
      <c r="C46" s="3">
        <f t="shared" si="0"/>
        <v>15.30482682623647</v>
      </c>
      <c r="D46" s="1">
        <v>77.614400000000003</v>
      </c>
      <c r="E46" s="3">
        <v>21.90315</v>
      </c>
      <c r="F46" s="3">
        <f t="shared" si="18"/>
        <v>16.9999984536</v>
      </c>
      <c r="G46" s="3">
        <v>1.239467623866197</v>
      </c>
      <c r="H46" s="3">
        <f t="shared" si="19"/>
        <v>21.070947689012616</v>
      </c>
      <c r="I46" s="4">
        <f t="shared" si="1"/>
        <v>19.138065660896523</v>
      </c>
      <c r="J46" s="21">
        <f t="shared" si="2"/>
        <v>14.02397603052907</v>
      </c>
      <c r="K46" s="21"/>
      <c r="O46"/>
      <c r="P46" s="23"/>
      <c r="Q46" s="21">
        <f t="shared" si="3"/>
        <v>5.1672777284420608</v>
      </c>
      <c r="R46" s="21">
        <f t="shared" si="4"/>
        <v>5.3188098074608829E-2</v>
      </c>
      <c r="S46" s="27"/>
      <c r="T46">
        <f>USA!Z54*G46</f>
        <v>4.09024315875845</v>
      </c>
      <c r="U46">
        <v>0</v>
      </c>
      <c r="V46">
        <v>0</v>
      </c>
      <c r="W46">
        <v>0</v>
      </c>
      <c r="X46" s="23"/>
      <c r="Y46" s="3">
        <f>'[1]Real petrol price'!HA21/100</f>
        <v>0.73</v>
      </c>
      <c r="Z46" s="6">
        <f t="shared" si="20"/>
        <v>13.970787932454462</v>
      </c>
      <c r="AA46" s="4">
        <v>0</v>
      </c>
      <c r="AB46" s="3">
        <f t="shared" si="5"/>
        <v>13.970787932454462</v>
      </c>
      <c r="AD46" s="4"/>
      <c r="AN46">
        <v>1967</v>
      </c>
      <c r="AO46" s="3">
        <f t="shared" si="6"/>
        <v>0.19138065660896522</v>
      </c>
      <c r="AP46" s="3">
        <f t="shared" si="7"/>
        <v>0.13970787932454462</v>
      </c>
      <c r="AQ46" s="3">
        <f t="shared" si="8"/>
        <v>0</v>
      </c>
      <c r="AR46" s="3">
        <f t="shared" si="9"/>
        <v>0.13970787932454462</v>
      </c>
      <c r="AS46" s="3">
        <f t="shared" si="10"/>
        <v>5.1672777284420601E-2</v>
      </c>
      <c r="AT46" s="3"/>
      <c r="AU46" s="3">
        <v>18.928227809835406</v>
      </c>
      <c r="AV46" s="3"/>
      <c r="AW46" s="3">
        <f t="shared" si="11"/>
        <v>1.0110859745122087</v>
      </c>
      <c r="AX46" s="3">
        <f t="shared" si="21"/>
        <v>1.0190915881671798</v>
      </c>
      <c r="AY46" s="3">
        <f t="shared" si="12"/>
        <v>0.73809276139391244</v>
      </c>
      <c r="AZ46" s="3">
        <f t="shared" si="13"/>
        <v>0.27299321311829627</v>
      </c>
      <c r="BA46" s="3">
        <f t="shared" si="14"/>
        <v>0.28099882677326748</v>
      </c>
      <c r="BB46" s="3">
        <f t="shared" si="22"/>
        <v>21.609224063930039</v>
      </c>
      <c r="BC46" s="9">
        <v>0</v>
      </c>
      <c r="BD46" s="27">
        <v>1</v>
      </c>
      <c r="BE46">
        <v>0</v>
      </c>
      <c r="BG46" s="3">
        <f t="shared" si="15"/>
        <v>1.1568187138458448</v>
      </c>
      <c r="BH46" s="3">
        <f t="shared" si="16"/>
        <v>1.1659782155354597</v>
      </c>
    </row>
    <row r="47" spans="1:60">
      <c r="A47">
        <v>1968</v>
      </c>
      <c r="B47" s="3">
        <f t="shared" si="17"/>
        <v>96.803871647476939</v>
      </c>
      <c r="C47" s="3">
        <f t="shared" si="0"/>
        <v>15.950346083448959</v>
      </c>
      <c r="D47" s="1">
        <v>74.473299999999995</v>
      </c>
      <c r="E47" s="3">
        <v>22.826969999999999</v>
      </c>
      <c r="F47" s="3">
        <f t="shared" si="18"/>
        <v>16.999997849010001</v>
      </c>
      <c r="G47" s="3">
        <v>1.239467623866197</v>
      </c>
      <c r="H47" s="3">
        <f t="shared" si="19"/>
        <v>21.070946939642887</v>
      </c>
      <c r="I47" s="4">
        <f t="shared" si="1"/>
        <v>19.138064980268041</v>
      </c>
      <c r="J47" s="21">
        <f t="shared" si="2"/>
        <v>14.043815033032672</v>
      </c>
      <c r="K47" s="21"/>
      <c r="O47"/>
      <c r="P47" s="23"/>
      <c r="Q47" s="21">
        <f t="shared" si="3"/>
        <v>5.1481394796921034</v>
      </c>
      <c r="R47" s="21">
        <f t="shared" si="4"/>
        <v>5.3889532456735417E-2</v>
      </c>
      <c r="S47" s="27"/>
      <c r="T47">
        <f>USA!Z55*G47</f>
        <v>4.09024315875845</v>
      </c>
      <c r="U47">
        <v>0</v>
      </c>
      <c r="V47">
        <v>0</v>
      </c>
      <c r="W47">
        <v>0</v>
      </c>
      <c r="X47" s="23"/>
      <c r="Y47" s="3">
        <f>'[1]Real petrol price'!HA22/100</f>
        <v>0.73099999999999998</v>
      </c>
      <c r="Z47" s="6">
        <f t="shared" si="20"/>
        <v>13.989925500575938</v>
      </c>
      <c r="AA47" s="4">
        <v>0</v>
      </c>
      <c r="AB47" s="3">
        <f t="shared" si="5"/>
        <v>13.989925500575938</v>
      </c>
      <c r="AD47" s="4"/>
      <c r="AN47">
        <v>1968</v>
      </c>
      <c r="AO47" s="3">
        <f t="shared" si="6"/>
        <v>0.19138064980268041</v>
      </c>
      <c r="AP47" s="3">
        <f t="shared" si="7"/>
        <v>0.13989925500575937</v>
      </c>
      <c r="AQ47" s="3">
        <f t="shared" si="8"/>
        <v>0</v>
      </c>
      <c r="AR47" s="3">
        <f t="shared" si="9"/>
        <v>0.13989925500575937</v>
      </c>
      <c r="AS47" s="3">
        <f t="shared" si="10"/>
        <v>5.1481394796921043E-2</v>
      </c>
      <c r="AT47" s="3"/>
      <c r="AU47" s="3">
        <v>19.439565366415597</v>
      </c>
      <c r="AV47" s="3"/>
      <c r="AW47" s="3">
        <f t="shared" si="11"/>
        <v>0.98449037411770335</v>
      </c>
      <c r="AX47" s="3">
        <f t="shared" si="21"/>
        <v>0.9968781904830567</v>
      </c>
      <c r="AY47" s="3">
        <f t="shared" si="12"/>
        <v>0.71966246348004115</v>
      </c>
      <c r="AZ47" s="3">
        <f t="shared" si="13"/>
        <v>0.2648279106376622</v>
      </c>
      <c r="BA47" s="3">
        <f t="shared" si="14"/>
        <v>0.27721572700301556</v>
      </c>
      <c r="BB47" s="3">
        <f t="shared" si="22"/>
        <v>21.040815891001774</v>
      </c>
      <c r="BC47" s="9">
        <v>0</v>
      </c>
      <c r="BD47" s="27">
        <v>1</v>
      </c>
      <c r="BE47">
        <v>0</v>
      </c>
      <c r="BG47" s="3">
        <f t="shared" si="15"/>
        <v>1.1263897602079775</v>
      </c>
      <c r="BH47" s="3">
        <f t="shared" si="16"/>
        <v>1.1405630927992443</v>
      </c>
    </row>
    <row r="48" spans="1:60">
      <c r="A48">
        <v>1969</v>
      </c>
      <c r="B48" s="3">
        <f t="shared" si="17"/>
        <v>91.831438163258326</v>
      </c>
      <c r="C48" s="3">
        <f t="shared" si="0"/>
        <v>16.814008114047141</v>
      </c>
      <c r="D48" s="1">
        <v>70.647900000000007</v>
      </c>
      <c r="E48" s="3">
        <v>24.06298</v>
      </c>
      <c r="F48" s="3">
        <f t="shared" si="18"/>
        <v>16.999990047420003</v>
      </c>
      <c r="G48" s="3">
        <v>1.239467623866197</v>
      </c>
      <c r="H48" s="3">
        <f t="shared" si="19"/>
        <v>21.070937269824668</v>
      </c>
      <c r="I48" s="4">
        <f t="shared" si="1"/>
        <v>19.138056197482442</v>
      </c>
      <c r="J48" s="21">
        <f t="shared" si="2"/>
        <v>13.929981333656302</v>
      </c>
      <c r="K48" s="21"/>
      <c r="O48"/>
      <c r="P48" s="23"/>
      <c r="Q48" s="21">
        <f t="shared" si="3"/>
        <v>5.2629654543076718</v>
      </c>
      <c r="R48" s="21">
        <f t="shared" si="4"/>
        <v>5.4890590481532164E-2</v>
      </c>
      <c r="S48" s="27"/>
      <c r="T48">
        <f>USA!Z56*G48</f>
        <v>4.09024315875845</v>
      </c>
      <c r="U48">
        <v>0</v>
      </c>
      <c r="V48">
        <v>0</v>
      </c>
      <c r="W48">
        <v>0</v>
      </c>
      <c r="X48" s="23"/>
      <c r="Y48" s="3">
        <f>'[1]Real petrol price'!HA23/100</f>
        <v>0.72499999999999998</v>
      </c>
      <c r="Z48" s="6">
        <f t="shared" si="20"/>
        <v>13.87509074317477</v>
      </c>
      <c r="AA48" s="4">
        <v>0</v>
      </c>
      <c r="AB48" s="3">
        <f t="shared" si="5"/>
        <v>13.87509074317477</v>
      </c>
      <c r="AD48" s="4"/>
      <c r="AN48">
        <v>1969</v>
      </c>
      <c r="AO48" s="3">
        <f t="shared" si="6"/>
        <v>0.19138056197482442</v>
      </c>
      <c r="AP48" s="3">
        <f t="shared" si="7"/>
        <v>0.1387509074317477</v>
      </c>
      <c r="AQ48" s="3">
        <f t="shared" si="8"/>
        <v>0</v>
      </c>
      <c r="AR48" s="3">
        <f t="shared" si="9"/>
        <v>0.1387509074317477</v>
      </c>
      <c r="AS48" s="3">
        <f t="shared" si="10"/>
        <v>5.262965454307672E-2</v>
      </c>
      <c r="AT48" s="3"/>
      <c r="AU48" s="3">
        <v>20.169325095105609</v>
      </c>
      <c r="AV48" s="3"/>
      <c r="AW48" s="3">
        <f t="shared" si="11"/>
        <v>0.9488694394700683</v>
      </c>
      <c r="AX48" s="3">
        <f t="shared" si="21"/>
        <v>0.96007921435244203</v>
      </c>
      <c r="AY48" s="3">
        <f t="shared" si="12"/>
        <v>0.68793034361579952</v>
      </c>
      <c r="AZ48" s="3">
        <f t="shared" si="13"/>
        <v>0.26093909585426878</v>
      </c>
      <c r="BA48" s="3">
        <f t="shared" si="14"/>
        <v>0.27214887073664251</v>
      </c>
      <c r="BB48" s="3">
        <f t="shared" si="22"/>
        <v>20.279524175804024</v>
      </c>
      <c r="BC48" s="9">
        <v>0</v>
      </c>
      <c r="BD48" s="27">
        <v>1</v>
      </c>
      <c r="BE48">
        <v>0</v>
      </c>
      <c r="BG48" s="3">
        <f t="shared" si="15"/>
        <v>1.0856346069926992</v>
      </c>
      <c r="BH48" s="3">
        <f t="shared" si="16"/>
        <v>1.0984601012521613</v>
      </c>
    </row>
    <row r="49" spans="1:60">
      <c r="A49">
        <v>1970</v>
      </c>
      <c r="B49" s="3">
        <f t="shared" si="17"/>
        <v>89.779890150464297</v>
      </c>
      <c r="C49" s="3">
        <f t="shared" si="0"/>
        <v>17.805240938511318</v>
      </c>
      <c r="D49" s="1">
        <v>69.069599999999994</v>
      </c>
      <c r="E49" s="3">
        <v>25.481560000000002</v>
      </c>
      <c r="F49" s="3">
        <f t="shared" si="18"/>
        <v>17.600011565759999</v>
      </c>
      <c r="G49" s="3">
        <v>1.239467623866197</v>
      </c>
      <c r="H49" s="3">
        <f t="shared" si="19"/>
        <v>21.814644515430132</v>
      </c>
      <c r="I49" s="4">
        <f t="shared" si="1"/>
        <v>19.813541624571403</v>
      </c>
      <c r="J49" s="21">
        <f t="shared" si="2"/>
        <v>14.38157503327994</v>
      </c>
      <c r="K49" s="21"/>
      <c r="O49"/>
      <c r="P49" s="23"/>
      <c r="Q49" s="21">
        <f t="shared" si="3"/>
        <v>5.4883510300062799</v>
      </c>
      <c r="R49" s="21">
        <f t="shared" si="4"/>
        <v>5.6384438714816805E-2</v>
      </c>
      <c r="S49" s="27"/>
      <c r="T49">
        <f>USA!Z57*G49</f>
        <v>4.1522165399517599</v>
      </c>
      <c r="U49">
        <v>0</v>
      </c>
      <c r="V49">
        <v>0</v>
      </c>
      <c r="W49">
        <v>0</v>
      </c>
      <c r="X49" s="23"/>
      <c r="Y49" s="3">
        <f>'[1]Real petrol price'!HA24/100</f>
        <v>0.72299999999999998</v>
      </c>
      <c r="Z49" s="6">
        <f t="shared" si="20"/>
        <v>14.325190594565123</v>
      </c>
      <c r="AA49" s="4">
        <v>0</v>
      </c>
      <c r="AB49" s="3">
        <f t="shared" si="5"/>
        <v>14.325190594565123</v>
      </c>
      <c r="AD49" s="4"/>
      <c r="AN49">
        <v>1970</v>
      </c>
      <c r="AO49" s="3">
        <f t="shared" si="6"/>
        <v>0.19813541624571404</v>
      </c>
      <c r="AP49" s="3">
        <f t="shared" si="7"/>
        <v>0.14325190594565124</v>
      </c>
      <c r="AQ49" s="3">
        <f t="shared" si="8"/>
        <v>0</v>
      </c>
      <c r="AR49" s="3">
        <f t="shared" si="9"/>
        <v>0.14325190594565124</v>
      </c>
      <c r="AS49" s="3">
        <f t="shared" si="10"/>
        <v>5.4883510300062804E-2</v>
      </c>
      <c r="AT49" s="3"/>
      <c r="AU49" s="3">
        <v>20.957637115650286</v>
      </c>
      <c r="AV49" s="3"/>
      <c r="AW49" s="3">
        <f t="shared" si="11"/>
        <v>0.94540913726268694</v>
      </c>
      <c r="AX49" s="3">
        <f t="shared" si="21"/>
        <v>0.95257086263502477</v>
      </c>
      <c r="AY49" s="3">
        <f t="shared" si="12"/>
        <v>0.68353080624092266</v>
      </c>
      <c r="AZ49" s="3">
        <f t="shared" si="13"/>
        <v>0.26187833102176428</v>
      </c>
      <c r="BA49" s="3">
        <f t="shared" si="14"/>
        <v>0.26904005639410211</v>
      </c>
      <c r="BB49" s="3">
        <f t="shared" si="22"/>
        <v>19.812426930758615</v>
      </c>
      <c r="BC49" s="9">
        <v>0</v>
      </c>
      <c r="BD49" s="27">
        <v>1</v>
      </c>
      <c r="BE49">
        <v>0</v>
      </c>
      <c r="BG49" s="3">
        <f t="shared" si="15"/>
        <v>1.0816755545975831</v>
      </c>
      <c r="BH49" s="3">
        <f t="shared" si="16"/>
        <v>1.0898695342817954</v>
      </c>
    </row>
    <row r="50" spans="1:60">
      <c r="A50">
        <v>1971</v>
      </c>
      <c r="B50" s="3">
        <f t="shared" si="17"/>
        <v>100.79349105802541</v>
      </c>
      <c r="C50" s="3">
        <f t="shared" si="0"/>
        <v>18.563021376325832</v>
      </c>
      <c r="D50" s="1">
        <v>77.542599999999993</v>
      </c>
      <c r="E50" s="3">
        <v>26.566040000000001</v>
      </c>
      <c r="F50" s="3">
        <f t="shared" si="18"/>
        <v>20.59999813304</v>
      </c>
      <c r="G50" s="3">
        <v>1.211448218761078</v>
      </c>
      <c r="H50" s="3">
        <f t="shared" si="19"/>
        <v>24.955831044752841</v>
      </c>
      <c r="I50" s="4">
        <f t="shared" si="1"/>
        <v>22.666580554692665</v>
      </c>
      <c r="J50" s="21">
        <f t="shared" si="2"/>
        <v>16.831971280547023</v>
      </c>
      <c r="K50" s="21"/>
      <c r="O50"/>
      <c r="P50" s="23"/>
      <c r="Q50" s="21">
        <f t="shared" si="3"/>
        <v>5.8933109442200937</v>
      </c>
      <c r="R50" s="21">
        <f t="shared" si="4"/>
        <v>5.8701670074451318E-2</v>
      </c>
      <c r="S50" s="27"/>
      <c r="T50">
        <f>USA!Z58*G50</f>
        <v>4.3127556587894373</v>
      </c>
      <c r="U50">
        <v>0</v>
      </c>
      <c r="V50">
        <v>0</v>
      </c>
      <c r="W50">
        <v>0</v>
      </c>
      <c r="X50" s="23"/>
      <c r="Y50" s="3">
        <f>'[1]Real petrol price'!HA25/100</f>
        <v>0.74</v>
      </c>
      <c r="Z50" s="6">
        <f t="shared" si="20"/>
        <v>16.773269610472571</v>
      </c>
      <c r="AA50" s="4">
        <v>0</v>
      </c>
      <c r="AB50" s="3">
        <f t="shared" si="5"/>
        <v>16.773269610472571</v>
      </c>
      <c r="AD50" s="4"/>
      <c r="AN50">
        <v>1971</v>
      </c>
      <c r="AO50" s="3">
        <f t="shared" si="6"/>
        <v>0.22666580554692664</v>
      </c>
      <c r="AP50" s="3">
        <f t="shared" si="7"/>
        <v>0.16773269610472571</v>
      </c>
      <c r="AQ50" s="3">
        <f t="shared" si="8"/>
        <v>0</v>
      </c>
      <c r="AR50" s="3">
        <f t="shared" si="9"/>
        <v>0.16773269610472571</v>
      </c>
      <c r="AS50" s="3">
        <f t="shared" si="10"/>
        <v>5.8933109442200926E-2</v>
      </c>
      <c r="AT50" s="3"/>
      <c r="AU50" s="3">
        <v>21.867958909544065</v>
      </c>
      <c r="AV50" s="3"/>
      <c r="AW50" s="3">
        <f t="shared" si="11"/>
        <v>1.0365201731195886</v>
      </c>
      <c r="AX50" s="3">
        <f t="shared" si="21"/>
        <v>1.0354618239215361</v>
      </c>
      <c r="AY50" s="3">
        <f t="shared" si="12"/>
        <v>0.76702492810849554</v>
      </c>
      <c r="AZ50" s="3">
        <f t="shared" si="13"/>
        <v>0.26949524501109301</v>
      </c>
      <c r="BA50" s="3">
        <f t="shared" si="14"/>
        <v>0.26843689581304053</v>
      </c>
      <c r="BB50" s="3">
        <f t="shared" si="22"/>
        <v>19.721802462813187</v>
      </c>
      <c r="BC50" s="9">
        <v>0</v>
      </c>
      <c r="BD50" s="27">
        <v>1</v>
      </c>
      <c r="BE50">
        <v>0</v>
      </c>
      <c r="BG50" s="3">
        <f t="shared" si="15"/>
        <v>1.1859188672080587</v>
      </c>
      <c r="BH50" s="3">
        <f t="shared" si="16"/>
        <v>1.18470797299238</v>
      </c>
    </row>
    <row r="51" spans="1:60">
      <c r="A51">
        <v>1972</v>
      </c>
      <c r="B51" s="3">
        <f t="shared" si="17"/>
        <v>92.074119538148125</v>
      </c>
      <c r="C51" s="3">
        <f t="shared" si="0"/>
        <v>19.17664269444656</v>
      </c>
      <c r="D51" s="1">
        <v>70.834599999999995</v>
      </c>
      <c r="E51" s="3">
        <v>27.444210000000002</v>
      </c>
      <c r="F51" s="3">
        <f t="shared" si="18"/>
        <v>19.439996376659998</v>
      </c>
      <c r="G51" s="3">
        <v>1.0910934335484219</v>
      </c>
      <c r="H51" s="3">
        <f t="shared" si="19"/>
        <v>21.21085239477884</v>
      </c>
      <c r="I51" s="4">
        <f t="shared" si="1"/>
        <v>19.265136615878699</v>
      </c>
      <c r="J51" s="21">
        <f t="shared" si="2"/>
        <v>14.544867127844853</v>
      </c>
      <c r="K51" s="21"/>
      <c r="O51"/>
      <c r="P51" s="23"/>
      <c r="Q51" s="21">
        <f t="shared" si="3"/>
        <v>4.777753880737917</v>
      </c>
      <c r="R51" s="21">
        <f t="shared" si="4"/>
        <v>5.7484392704070013E-2</v>
      </c>
      <c r="S51" s="27"/>
      <c r="T51">
        <f>USA!Z59*G51</f>
        <v>3.884292623432382</v>
      </c>
      <c r="U51">
        <v>0</v>
      </c>
      <c r="V51">
        <v>0</v>
      </c>
      <c r="W51">
        <v>0</v>
      </c>
      <c r="X51" s="23"/>
      <c r="Y51" s="3">
        <f>'[1]Real petrol price'!HA26/100</f>
        <v>0.752</v>
      </c>
      <c r="Z51" s="6">
        <f t="shared" si="20"/>
        <v>14.487382735140782</v>
      </c>
      <c r="AA51" s="4">
        <v>0</v>
      </c>
      <c r="AB51" s="3">
        <f t="shared" si="5"/>
        <v>14.487382735140782</v>
      </c>
      <c r="AD51" s="4"/>
      <c r="AN51">
        <v>1972</v>
      </c>
      <c r="AO51" s="3">
        <f t="shared" si="6"/>
        <v>0.192651366158787</v>
      </c>
      <c r="AP51" s="3">
        <f t="shared" si="7"/>
        <v>0.14487382735140783</v>
      </c>
      <c r="AQ51" s="3">
        <f t="shared" si="8"/>
        <v>0</v>
      </c>
      <c r="AR51" s="3">
        <f t="shared" si="9"/>
        <v>0.14487382735140783</v>
      </c>
      <c r="AS51" s="3">
        <f t="shared" si="10"/>
        <v>4.7777538807379172E-2</v>
      </c>
      <c r="AT51" s="3"/>
      <c r="AU51" s="3">
        <v>23.059419780518514</v>
      </c>
      <c r="AV51" s="3"/>
      <c r="AW51" s="3">
        <f t="shared" si="11"/>
        <v>0.83545626035892839</v>
      </c>
      <c r="AX51" s="3">
        <f t="shared" si="21"/>
        <v>0.87755122193680635</v>
      </c>
      <c r="AY51" s="3">
        <f t="shared" si="12"/>
        <v>0.62826310778991423</v>
      </c>
      <c r="AZ51" s="3">
        <f t="shared" si="13"/>
        <v>0.20719315256901416</v>
      </c>
      <c r="BA51" s="3">
        <f t="shared" si="14"/>
        <v>0.24928811414689211</v>
      </c>
      <c r="BB51" s="3">
        <f t="shared" si="22"/>
        <v>16.844711013561504</v>
      </c>
      <c r="BC51" s="9">
        <v>0</v>
      </c>
      <c r="BD51" s="27">
        <v>1</v>
      </c>
      <c r="BE51">
        <v>0</v>
      </c>
      <c r="BG51" s="3">
        <f t="shared" si="15"/>
        <v>0.95587463474522238</v>
      </c>
      <c r="BH51" s="3">
        <f t="shared" si="16"/>
        <v>1.0040369478812583</v>
      </c>
    </row>
    <row r="52" spans="1:60">
      <c r="A52">
        <v>1973</v>
      </c>
      <c r="B52" s="3">
        <f t="shared" si="17"/>
        <v>117.71684488972517</v>
      </c>
      <c r="C52" s="3">
        <f t="shared" si="0"/>
        <v>20.369443941469338</v>
      </c>
      <c r="D52" s="1">
        <v>90.562100000000001</v>
      </c>
      <c r="E52" s="3">
        <v>29.151260000000001</v>
      </c>
      <c r="F52" s="3">
        <f t="shared" si="18"/>
        <v>26.399993232460002</v>
      </c>
      <c r="G52" s="3">
        <v>0.96620219683241637</v>
      </c>
      <c r="H52" s="3">
        <f t="shared" si="19"/>
        <v>25.507731457563779</v>
      </c>
      <c r="I52" s="4">
        <f t="shared" si="1"/>
        <v>23.167853990256233</v>
      </c>
      <c r="J52" s="21">
        <f t="shared" si="2"/>
        <v>16.762741556284368</v>
      </c>
      <c r="K52" s="21"/>
      <c r="O52"/>
      <c r="P52" s="23"/>
      <c r="Q52" s="21">
        <f t="shared" si="3"/>
        <v>6.463831263281488</v>
      </c>
      <c r="R52" s="21">
        <f t="shared" si="4"/>
        <v>5.8718829309623619E-2</v>
      </c>
      <c r="S52" s="27"/>
      <c r="T52">
        <f>USA!Z60*G52</f>
        <v>3.7392025017414516</v>
      </c>
      <c r="U52">
        <v>0</v>
      </c>
      <c r="V52">
        <v>0</v>
      </c>
      <c r="W52">
        <v>0</v>
      </c>
      <c r="X52" s="23"/>
      <c r="Y52" s="3">
        <f>'[1]Real petrol price'!HA27/100</f>
        <v>0.72099999999999997</v>
      </c>
      <c r="Z52" s="6">
        <f t="shared" si="20"/>
        <v>16.704022726974745</v>
      </c>
      <c r="AA52" s="4">
        <v>0</v>
      </c>
      <c r="AB52" s="3">
        <f t="shared" si="5"/>
        <v>16.704022726974745</v>
      </c>
      <c r="AD52" s="4"/>
      <c r="AN52">
        <v>1973</v>
      </c>
      <c r="AO52" s="3">
        <f t="shared" si="6"/>
        <v>0.23167853990256235</v>
      </c>
      <c r="AP52" s="3">
        <f t="shared" si="7"/>
        <v>0.16704022726974746</v>
      </c>
      <c r="AQ52" s="3">
        <f t="shared" si="8"/>
        <v>0</v>
      </c>
      <c r="AR52" s="3">
        <f t="shared" si="9"/>
        <v>0.16704022726974746</v>
      </c>
      <c r="AS52" s="3">
        <f t="shared" si="10"/>
        <v>6.4638312632814887E-2</v>
      </c>
      <c r="AT52" s="3"/>
      <c r="AU52" s="3">
        <v>24.663266531440566</v>
      </c>
      <c r="AV52" s="3"/>
      <c r="AW52" s="3">
        <f t="shared" si="11"/>
        <v>0.93936680936898642</v>
      </c>
      <c r="AX52" s="3">
        <f t="shared" si="21"/>
        <v>0.9153655955977078</v>
      </c>
      <c r="AY52" s="3">
        <f t="shared" si="12"/>
        <v>0.67728346955503926</v>
      </c>
      <c r="AZ52" s="3">
        <f>AW52-AY52</f>
        <v>0.26208333981394716</v>
      </c>
      <c r="BA52" s="3">
        <f t="shared" si="14"/>
        <v>0.23808212604266854</v>
      </c>
      <c r="BB52" s="3">
        <f t="shared" si="22"/>
        <v>15.161018906294272</v>
      </c>
      <c r="BC52" s="9">
        <v>0</v>
      </c>
      <c r="BD52" s="27">
        <v>1</v>
      </c>
      <c r="BE52">
        <v>0</v>
      </c>
      <c r="BG52" s="3">
        <f t="shared" si="15"/>
        <v>1.0747623165952485</v>
      </c>
      <c r="BH52" s="3">
        <f t="shared" si="16"/>
        <v>1.0473016911434663</v>
      </c>
    </row>
    <row r="53" spans="1:60">
      <c r="A53">
        <v>1974</v>
      </c>
      <c r="B53" s="3">
        <f t="shared" si="17"/>
        <v>122.48234278271477</v>
      </c>
      <c r="C53" s="3">
        <f t="shared" si="0"/>
        <v>22.617266903639468</v>
      </c>
      <c r="D53" s="1">
        <v>94.228300000000004</v>
      </c>
      <c r="E53" s="3">
        <v>32.368180000000002</v>
      </c>
      <c r="F53" s="3">
        <f t="shared" si="18"/>
        <v>30.499985754940003</v>
      </c>
      <c r="G53" s="3">
        <v>0.96558246302048356</v>
      </c>
      <c r="H53" s="3">
        <f t="shared" si="19"/>
        <v>29.450251367344631</v>
      </c>
      <c r="I53" s="4">
        <f t="shared" si="1"/>
        <v>26.748718316644467</v>
      </c>
      <c r="J53" s="21">
        <f t="shared" si="2"/>
        <v>16.246516373971488</v>
      </c>
      <c r="K53" s="21"/>
      <c r="O53"/>
      <c r="P53" s="23"/>
      <c r="Q53" s="21">
        <f t="shared" si="3"/>
        <v>10.619241171707856</v>
      </c>
      <c r="R53" s="21">
        <f t="shared" si="4"/>
        <v>0.11703922903487635</v>
      </c>
      <c r="S53" s="27"/>
      <c r="T53">
        <f>USA!Z61*G53</f>
        <v>11.857352645891538</v>
      </c>
      <c r="U53">
        <v>0</v>
      </c>
      <c r="V53">
        <v>0</v>
      </c>
      <c r="W53">
        <v>0</v>
      </c>
      <c r="X53" s="23"/>
      <c r="Y53" s="3">
        <f>'[1]Real petrol price'!HA28/100</f>
        <v>0.60299999999999998</v>
      </c>
      <c r="Z53" s="6">
        <f t="shared" si="20"/>
        <v>16.129477144936612</v>
      </c>
      <c r="AA53" s="4">
        <v>0</v>
      </c>
      <c r="AB53" s="3">
        <f t="shared" si="5"/>
        <v>16.129477144936612</v>
      </c>
      <c r="AD53" s="4"/>
      <c r="AN53">
        <v>1974</v>
      </c>
      <c r="AO53" s="3">
        <f t="shared" si="6"/>
        <v>0.26748718316644465</v>
      </c>
      <c r="AP53" s="3">
        <f t="shared" si="7"/>
        <v>0.1612947714493661</v>
      </c>
      <c r="AQ53" s="3">
        <f t="shared" si="8"/>
        <v>0</v>
      </c>
      <c r="AR53" s="3">
        <f t="shared" si="9"/>
        <v>0.1612947714493661</v>
      </c>
      <c r="AS53" s="3">
        <f t="shared" si="10"/>
        <v>0.10619241171707855</v>
      </c>
      <c r="AT53" s="3"/>
      <c r="AU53" s="3">
        <v>27.790048332703414</v>
      </c>
      <c r="AV53" s="3"/>
      <c r="AW53" s="3">
        <f t="shared" si="11"/>
        <v>0.96252867200545644</v>
      </c>
      <c r="AX53" s="3">
        <f t="shared" si="21"/>
        <v>1.001559972663661</v>
      </c>
      <c r="AY53" s="3">
        <f t="shared" si="12"/>
        <v>0.58040478921929017</v>
      </c>
      <c r="AZ53" s="3">
        <f t="shared" ref="AZ53:AZ96" si="23">AW53-AY53</f>
        <v>0.38212388278616627</v>
      </c>
      <c r="BA53" s="3">
        <f t="shared" si="14"/>
        <v>0.42115518344437075</v>
      </c>
      <c r="BB53" s="3">
        <f t="shared" si="22"/>
        <v>42.667621531041995</v>
      </c>
      <c r="BC53" s="9">
        <v>0</v>
      </c>
      <c r="BD53" s="27">
        <v>1</v>
      </c>
      <c r="BE53">
        <v>0</v>
      </c>
      <c r="BG53" s="3">
        <f t="shared" si="15"/>
        <v>1.1012626111506367</v>
      </c>
      <c r="BH53" s="3">
        <f t="shared" si="16"/>
        <v>1.1459196830172877</v>
      </c>
    </row>
    <row r="54" spans="1:60">
      <c r="A54">
        <v>1975</v>
      </c>
      <c r="B54" s="3">
        <f t="shared" si="17"/>
        <v>133.4656572626651</v>
      </c>
      <c r="C54" s="3">
        <f t="shared" si="0"/>
        <v>24.682660206706046</v>
      </c>
      <c r="D54" s="1">
        <v>102.678</v>
      </c>
      <c r="E54" s="3">
        <v>35.324019999999997</v>
      </c>
      <c r="F54" s="3">
        <f t="shared" si="18"/>
        <v>36.269997255599996</v>
      </c>
      <c r="G54" s="3">
        <v>0.91172511582824944</v>
      </c>
      <c r="H54" s="3">
        <f t="shared" si="19"/>
        <v>33.068267448952199</v>
      </c>
      <c r="I54" s="4">
        <f t="shared" si="1"/>
        <v>30.034846228588886</v>
      </c>
      <c r="J54" s="21">
        <f t="shared" si="2"/>
        <v>17.780360972696549</v>
      </c>
      <c r="K54" s="21"/>
      <c r="O54"/>
      <c r="P54" s="23"/>
      <c r="Q54" s="21">
        <f t="shared" si="3"/>
        <v>12.374356646178622</v>
      </c>
      <c r="R54" s="21">
        <f t="shared" si="4"/>
        <v>0.11987139028628657</v>
      </c>
      <c r="S54" s="27"/>
      <c r="T54">
        <f>USA!Z62*G54</f>
        <v>11.55155721754392</v>
      </c>
      <c r="U54">
        <v>0</v>
      </c>
      <c r="V54">
        <v>0</v>
      </c>
      <c r="W54">
        <v>0</v>
      </c>
      <c r="X54" s="23"/>
      <c r="Y54" s="3">
        <f>'[1]Real petrol price'!HA29/100</f>
        <v>0.58799999999999997</v>
      </c>
      <c r="Z54" s="6">
        <f t="shared" si="20"/>
        <v>17.660489582410264</v>
      </c>
      <c r="AA54" s="4">
        <v>0</v>
      </c>
      <c r="AB54" s="3">
        <f t="shared" si="5"/>
        <v>17.660489582410264</v>
      </c>
      <c r="AD54" s="4"/>
      <c r="AN54">
        <v>1975</v>
      </c>
      <c r="AO54" s="3">
        <f t="shared" si="6"/>
        <v>0.30034846228588885</v>
      </c>
      <c r="AP54" s="3">
        <f t="shared" si="7"/>
        <v>0.17660489582410263</v>
      </c>
      <c r="AQ54" s="3">
        <f t="shared" si="8"/>
        <v>0</v>
      </c>
      <c r="AR54" s="3">
        <f t="shared" si="9"/>
        <v>0.17660489582410263</v>
      </c>
      <c r="AS54" s="3">
        <f t="shared" si="10"/>
        <v>0.12374356646178622</v>
      </c>
      <c r="AT54" s="3"/>
      <c r="AU54" s="3">
        <v>31.338337283919653</v>
      </c>
      <c r="AV54" s="3"/>
      <c r="AW54" s="3">
        <f t="shared" si="11"/>
        <v>0.95840586424476271</v>
      </c>
      <c r="AX54" s="3">
        <f t="shared" si="21"/>
        <v>0.94604982843974084</v>
      </c>
      <c r="AY54" s="3">
        <f t="shared" si="12"/>
        <v>0.56354264817592048</v>
      </c>
      <c r="AZ54" s="3">
        <f t="shared" si="23"/>
        <v>0.39486321606884223</v>
      </c>
      <c r="BA54" s="3">
        <f t="shared" si="14"/>
        <v>0.38250718026382036</v>
      </c>
      <c r="BB54" s="3">
        <f t="shared" si="22"/>
        <v>36.860785283178579</v>
      </c>
      <c r="BC54" s="9">
        <v>0</v>
      </c>
      <c r="BD54" s="27">
        <v>1</v>
      </c>
      <c r="BE54">
        <v>0</v>
      </c>
      <c r="BG54" s="3">
        <f t="shared" si="15"/>
        <v>1.0965455630544445</v>
      </c>
      <c r="BH54" s="3">
        <f t="shared" si="16"/>
        <v>1.0824085917102475</v>
      </c>
    </row>
    <row r="55" spans="1:60">
      <c r="A55">
        <v>1976</v>
      </c>
      <c r="B55" s="3">
        <f t="shared" si="17"/>
        <v>141.29333396104033</v>
      </c>
      <c r="C55" s="3">
        <f t="shared" si="0"/>
        <v>26.098712089869402</v>
      </c>
      <c r="D55" s="1">
        <v>108.7</v>
      </c>
      <c r="E55" s="3">
        <v>37.350569999999998</v>
      </c>
      <c r="F55" s="3">
        <f t="shared" si="18"/>
        <v>40.600069589999997</v>
      </c>
      <c r="G55" s="3">
        <v>0.95699791025758607</v>
      </c>
      <c r="H55" s="3">
        <f t="shared" si="19"/>
        <v>38.854181753942569</v>
      </c>
      <c r="I55" s="4">
        <f t="shared" si="1"/>
        <v>35.290006533265959</v>
      </c>
      <c r="J55" s="21">
        <f t="shared" si="2"/>
        <v>20.670511483395092</v>
      </c>
      <c r="K55" s="21"/>
      <c r="O55"/>
      <c r="P55" s="23"/>
      <c r="Q55" s="21">
        <f t="shared" si="3"/>
        <v>14.75122273090517</v>
      </c>
      <c r="R55" s="21">
        <f t="shared" si="4"/>
        <v>0.13172768103430169</v>
      </c>
      <c r="S55" s="27"/>
      <c r="T55">
        <f>USA!Z63*G55</f>
        <v>12.747212164631046</v>
      </c>
      <c r="U55">
        <v>0</v>
      </c>
      <c r="V55">
        <v>0</v>
      </c>
      <c r="W55">
        <v>0</v>
      </c>
      <c r="X55" s="23"/>
      <c r="Y55" s="3">
        <f>'[1]Real petrol price'!HA30/100</f>
        <v>0.58200000000000007</v>
      </c>
      <c r="Z55" s="6">
        <f t="shared" si="20"/>
        <v>20.53878380236079</v>
      </c>
      <c r="AA55" s="4">
        <v>0</v>
      </c>
      <c r="AB55" s="3">
        <f t="shared" si="5"/>
        <v>20.53878380236079</v>
      </c>
      <c r="AD55" s="4"/>
      <c r="AN55">
        <v>1976</v>
      </c>
      <c r="AO55" s="3">
        <f t="shared" si="6"/>
        <v>0.35290006533265961</v>
      </c>
      <c r="AP55" s="3">
        <f t="shared" si="7"/>
        <v>0.20538783802360791</v>
      </c>
      <c r="AQ55" s="3">
        <f t="shared" si="8"/>
        <v>0</v>
      </c>
      <c r="AR55" s="3">
        <f t="shared" si="9"/>
        <v>0.20538783802360791</v>
      </c>
      <c r="AS55" s="3">
        <f t="shared" si="10"/>
        <v>0.1475122273090517</v>
      </c>
      <c r="AT55" s="3"/>
      <c r="AU55" s="3">
        <v>34.180287619149425</v>
      </c>
      <c r="AV55" s="3"/>
      <c r="AW55" s="3">
        <f t="shared" si="11"/>
        <v>1.0324666347598204</v>
      </c>
      <c r="AX55" s="3">
        <f t="shared" si="21"/>
        <v>0.98628637305275757</v>
      </c>
      <c r="AY55" s="3">
        <f t="shared" si="12"/>
        <v>0.60089558143021549</v>
      </c>
      <c r="AZ55" s="3">
        <f t="shared" si="23"/>
        <v>0.43157105332960488</v>
      </c>
      <c r="BA55" s="3">
        <f t="shared" si="14"/>
        <v>0.38539079162254203</v>
      </c>
      <c r="BB55" s="3">
        <f t="shared" si="22"/>
        <v>37.29404593274824</v>
      </c>
      <c r="BC55" s="9">
        <v>0</v>
      </c>
      <c r="BD55" s="27">
        <v>1</v>
      </c>
      <c r="BE55">
        <v>0</v>
      </c>
      <c r="BG55" s="3">
        <f t="shared" si="15"/>
        <v>1.1812810726484675</v>
      </c>
      <c r="BH55" s="3">
        <f t="shared" si="16"/>
        <v>1.1284446252051112</v>
      </c>
    </row>
    <row r="56" spans="1:60">
      <c r="A56">
        <v>1977</v>
      </c>
      <c r="B56" s="3">
        <f t="shared" si="17"/>
        <v>150.2687752765967</v>
      </c>
      <c r="C56" s="3">
        <f t="shared" si="0"/>
        <v>27.791594761847083</v>
      </c>
      <c r="D56" s="1">
        <v>115.605</v>
      </c>
      <c r="E56" s="3">
        <v>39.773299999999999</v>
      </c>
      <c r="F56" s="3">
        <f t="shared" si="18"/>
        <v>45.979923464999999</v>
      </c>
      <c r="G56" s="3">
        <v>0.88851980297422639</v>
      </c>
      <c r="H56" s="3">
        <f t="shared" si="19"/>
        <v>40.85407253789181</v>
      </c>
      <c r="I56" s="4">
        <f t="shared" si="1"/>
        <v>37.106443159787517</v>
      </c>
      <c r="J56" s="21">
        <f t="shared" si="2"/>
        <v>23.252448305844961</v>
      </c>
      <c r="K56" s="21"/>
      <c r="O56"/>
      <c r="P56" s="23"/>
      <c r="Q56" s="21">
        <f t="shared" si="3"/>
        <v>13.989129071239894</v>
      </c>
      <c r="R56" s="21">
        <f t="shared" si="4"/>
        <v>0.13513421729733924</v>
      </c>
      <c r="S56" s="27"/>
      <c r="T56">
        <f>USA!Z64*G56</f>
        <v>12.75914437070989</v>
      </c>
      <c r="U56">
        <v>0</v>
      </c>
      <c r="V56">
        <v>0</v>
      </c>
      <c r="W56">
        <v>0</v>
      </c>
      <c r="X56" s="23"/>
      <c r="Y56" s="3">
        <f>'[1]Real petrol price'!HA31/100</f>
        <v>0.623</v>
      </c>
      <c r="Z56" s="6">
        <f t="shared" si="20"/>
        <v>23.117314088547623</v>
      </c>
      <c r="AA56" s="4">
        <v>0</v>
      </c>
      <c r="AB56" s="3">
        <f t="shared" si="5"/>
        <v>23.117314088547623</v>
      </c>
      <c r="AD56" s="4"/>
      <c r="AN56">
        <v>1977</v>
      </c>
      <c r="AO56" s="3">
        <f t="shared" si="6"/>
        <v>0.37106443159787517</v>
      </c>
      <c r="AP56" s="3">
        <f t="shared" si="7"/>
        <v>0.23117314088547622</v>
      </c>
      <c r="AQ56" s="3">
        <f t="shared" si="8"/>
        <v>0</v>
      </c>
      <c r="AR56" s="3">
        <f t="shared" si="9"/>
        <v>0.23117314088547622</v>
      </c>
      <c r="AS56" s="3">
        <f t="shared" si="10"/>
        <v>0.13989129071239895</v>
      </c>
      <c r="AT56" s="3"/>
      <c r="AU56" s="3">
        <v>36.60571980319564</v>
      </c>
      <c r="AV56" s="3"/>
      <c r="AW56" s="3">
        <f t="shared" si="11"/>
        <v>1.0136788283165563</v>
      </c>
      <c r="AX56" s="3">
        <f t="shared" si="21"/>
        <v>1.0006833908804524</v>
      </c>
      <c r="AY56" s="3">
        <f t="shared" si="12"/>
        <v>0.6315219100412145</v>
      </c>
      <c r="AZ56" s="3">
        <f t="shared" si="23"/>
        <v>0.38215691827534182</v>
      </c>
      <c r="BA56" s="3">
        <f t="shared" si="14"/>
        <v>0.36916148083923805</v>
      </c>
      <c r="BB56" s="3">
        <f t="shared" si="22"/>
        <v>34.855603002228172</v>
      </c>
      <c r="BC56" s="9">
        <v>0</v>
      </c>
      <c r="BD56" s="27">
        <v>1</v>
      </c>
      <c r="BE56">
        <v>0</v>
      </c>
      <c r="BG56" s="3">
        <f t="shared" si="15"/>
        <v>1.1597852882804103</v>
      </c>
      <c r="BH56" s="3">
        <f t="shared" si="16"/>
        <v>1.1449167552380539</v>
      </c>
    </row>
    <row r="57" spans="1:60">
      <c r="A57">
        <v>1978</v>
      </c>
      <c r="B57" s="3">
        <f t="shared" si="17"/>
        <v>153.01275161506734</v>
      </c>
      <c r="C57" s="3">
        <f t="shared" si="0"/>
        <v>29.916940817905406</v>
      </c>
      <c r="D57" s="1">
        <v>117.71599999999999</v>
      </c>
      <c r="E57" s="3">
        <v>42.81494</v>
      </c>
      <c r="F57" s="3">
        <f t="shared" si="18"/>
        <v>50.400034770399998</v>
      </c>
      <c r="G57" s="3">
        <v>0.78066876715113309</v>
      </c>
      <c r="H57" s="3">
        <f t="shared" si="19"/>
        <v>39.345733008582407</v>
      </c>
      <c r="I57" s="4">
        <f t="shared" si="1"/>
        <v>35.736466764947835</v>
      </c>
      <c r="J57" s="21">
        <f t="shared" si="2"/>
        <v>21.390165102489156</v>
      </c>
      <c r="K57" s="21"/>
      <c r="O57"/>
      <c r="P57" s="23"/>
      <c r="Q57" s="21">
        <f t="shared" si="3"/>
        <v>14.473269039803874</v>
      </c>
      <c r="R57" s="21">
        <f t="shared" si="4"/>
        <v>0.12696737734519534</v>
      </c>
      <c r="S57" s="27"/>
      <c r="T57">
        <f>USA!Z65*G57</f>
        <v>11.194790120947248</v>
      </c>
      <c r="U57">
        <v>0</v>
      </c>
      <c r="V57">
        <v>0</v>
      </c>
      <c r="W57">
        <v>0</v>
      </c>
      <c r="X57" s="23"/>
      <c r="Y57" s="3">
        <f>'[1]Real petrol price'!HA32/100</f>
        <v>0.59499999999999997</v>
      </c>
      <c r="Z57" s="6">
        <f t="shared" si="20"/>
        <v>19.247660999600903</v>
      </c>
      <c r="AA57" s="4">
        <f>0.06*(I57*(1-0.06))</f>
        <v>2.0155367255430576</v>
      </c>
      <c r="AB57" s="3">
        <f t="shared" si="5"/>
        <v>21.263197725143961</v>
      </c>
      <c r="AD57" s="4"/>
      <c r="AN57">
        <v>1978</v>
      </c>
      <c r="AO57" s="3">
        <f t="shared" si="6"/>
        <v>0.35736466764947833</v>
      </c>
      <c r="AP57" s="3">
        <f t="shared" si="7"/>
        <v>0.19247660999600902</v>
      </c>
      <c r="AQ57" s="3">
        <f t="shared" si="8"/>
        <v>2.0155367255430576E-2</v>
      </c>
      <c r="AR57" s="3">
        <f t="shared" si="9"/>
        <v>0.21263197725143962</v>
      </c>
      <c r="AS57" s="3">
        <f t="shared" si="10"/>
        <v>0.14473269039803871</v>
      </c>
      <c r="AT57" s="3"/>
      <c r="AU57" s="3">
        <v>38.242213282431315</v>
      </c>
      <c r="AV57" s="3"/>
      <c r="AW57" s="3">
        <f t="shared" si="11"/>
        <v>0.93447694831421702</v>
      </c>
      <c r="AX57" s="3">
        <f t="shared" si="21"/>
        <v>0.88802222844316603</v>
      </c>
      <c r="AY57" s="3">
        <f t="shared" si="12"/>
        <v>0.55601378424695924</v>
      </c>
      <c r="AZ57" s="3">
        <f t="shared" si="23"/>
        <v>0.37846316406725777</v>
      </c>
      <c r="BA57" s="3">
        <f t="shared" si="14"/>
        <v>0.33200844419620673</v>
      </c>
      <c r="BB57" s="3">
        <f t="shared" si="22"/>
        <v>29.273384462008107</v>
      </c>
      <c r="BC57" s="9">
        <v>0</v>
      </c>
      <c r="BD57" s="27">
        <v>1</v>
      </c>
      <c r="BE57">
        <v>0</v>
      </c>
      <c r="BG57" s="3">
        <f t="shared" si="15"/>
        <v>1.0691676560828303</v>
      </c>
      <c r="BH57" s="3">
        <f t="shared" si="16"/>
        <v>1.0160171914853715</v>
      </c>
    </row>
    <row r="58" spans="1:60">
      <c r="A58">
        <v>1979</v>
      </c>
      <c r="B58" s="3">
        <f t="shared" si="17"/>
        <v>166.44276749809833</v>
      </c>
      <c r="C58" s="3">
        <f t="shared" si="0"/>
        <v>33.287054161079702</v>
      </c>
      <c r="D58" s="1">
        <v>128.048</v>
      </c>
      <c r="E58" s="3">
        <v>47.637999999999998</v>
      </c>
      <c r="F58" s="3">
        <f t="shared" si="18"/>
        <v>60.999506240000002</v>
      </c>
      <c r="G58" s="3">
        <v>0.72679158847691738</v>
      </c>
      <c r="H58" s="3">
        <f t="shared" si="19"/>
        <v>44.333928036477232</v>
      </c>
      <c r="I58" s="4">
        <f t="shared" si="1"/>
        <v>40.267084247472759</v>
      </c>
      <c r="J58" s="21">
        <f t="shared" si="2"/>
        <v>21.902691220092851</v>
      </c>
      <c r="K58" s="21"/>
      <c r="O58"/>
      <c r="P58" s="23"/>
      <c r="Q58" s="21">
        <f t="shared" si="3"/>
        <v>18.522858753837468</v>
      </c>
      <c r="R58" s="21">
        <f t="shared" si="4"/>
        <v>0.1584657264575603</v>
      </c>
      <c r="S58" s="27"/>
      <c r="T58">
        <f>USA!Z66*G58</f>
        <v>15.575143741060339</v>
      </c>
      <c r="U58">
        <v>0</v>
      </c>
      <c r="V58">
        <v>0</v>
      </c>
      <c r="W58">
        <v>0</v>
      </c>
      <c r="X58" s="23"/>
      <c r="Y58" s="3">
        <f>'[1]Real petrol price'!HA33/100</f>
        <v>0.54</v>
      </c>
      <c r="Z58" s="6">
        <f t="shared" si="20"/>
        <v>19.473161942077827</v>
      </c>
      <c r="AA58" s="4">
        <f>0.06*(I58*(1-0.06))</f>
        <v>2.2710635515574635</v>
      </c>
      <c r="AB58" s="3">
        <f t="shared" si="5"/>
        <v>21.744225493635291</v>
      </c>
      <c r="AD58" s="4"/>
      <c r="AN58">
        <v>1979</v>
      </c>
      <c r="AO58" s="3">
        <f t="shared" si="6"/>
        <v>0.40267084247472762</v>
      </c>
      <c r="AP58" s="3">
        <f t="shared" si="7"/>
        <v>0.19473161942077827</v>
      </c>
      <c r="AQ58" s="3">
        <f t="shared" si="8"/>
        <v>2.2710635515574635E-2</v>
      </c>
      <c r="AR58" s="3">
        <f t="shared" si="9"/>
        <v>0.21744225493635291</v>
      </c>
      <c r="AS58" s="3">
        <f t="shared" si="10"/>
        <v>0.18522858753837471</v>
      </c>
      <c r="AT58" s="3"/>
      <c r="AU58" s="3">
        <v>39.951289917482327</v>
      </c>
      <c r="AV58" s="3"/>
      <c r="AW58" s="3">
        <f t="shared" si="11"/>
        <v>1.0079044839513991</v>
      </c>
      <c r="AX58" s="3">
        <f t="shared" si="21"/>
        <v>0.94091575558720375</v>
      </c>
      <c r="AY58" s="3">
        <f t="shared" si="12"/>
        <v>0.54426842133375553</v>
      </c>
      <c r="AZ58" s="3">
        <f t="shared" si="23"/>
        <v>0.46363606261764356</v>
      </c>
      <c r="BA58" s="3">
        <f t="shared" si="14"/>
        <v>0.39664733425344822</v>
      </c>
      <c r="BB58" s="3">
        <f t="shared" si="22"/>
        <v>38.985333823338692</v>
      </c>
      <c r="BC58" s="9">
        <v>0</v>
      </c>
      <c r="BD58" s="27">
        <v>1</v>
      </c>
      <c r="BE58">
        <v>0</v>
      </c>
      <c r="BG58" s="3">
        <f t="shared" si="15"/>
        <v>1.1531786595760345</v>
      </c>
      <c r="BH58" s="3">
        <f t="shared" si="16"/>
        <v>1.0765345199658263</v>
      </c>
    </row>
    <row r="59" spans="1:60">
      <c r="A59">
        <v>1980</v>
      </c>
      <c r="B59" s="3">
        <f t="shared" si="17"/>
        <v>190.14287198854589</v>
      </c>
      <c r="C59" s="3">
        <f t="shared" si="0"/>
        <v>37.784321185500851</v>
      </c>
      <c r="D59" s="1">
        <v>146.28100000000001</v>
      </c>
      <c r="E59" s="3">
        <v>54.074159999999999</v>
      </c>
      <c r="F59" s="3">
        <f t="shared" si="18"/>
        <v>79.100221989600001</v>
      </c>
      <c r="G59" s="3">
        <v>0.72488280833616336</v>
      </c>
      <c r="H59" s="3">
        <f t="shared" si="19"/>
        <v>57.338391055835196</v>
      </c>
      <c r="I59" s="4">
        <f t="shared" si="1"/>
        <v>52.078620720459746</v>
      </c>
      <c r="J59" s="21">
        <f t="shared" si="2"/>
        <v>28.343923625302256</v>
      </c>
      <c r="K59" s="21"/>
      <c r="O59"/>
      <c r="P59" s="23"/>
      <c r="Q59" s="21">
        <f t="shared" si="3"/>
        <v>23.956165531411482</v>
      </c>
      <c r="R59" s="21">
        <f t="shared" si="4"/>
        <v>0.22146843625399179</v>
      </c>
      <c r="S59" s="27"/>
      <c r="T59">
        <f>USA!Z67*G59</f>
        <v>24.49379009367896</v>
      </c>
      <c r="U59">
        <v>1</v>
      </c>
      <c r="V59">
        <v>0</v>
      </c>
      <c r="W59">
        <v>0</v>
      </c>
      <c r="X59" s="23"/>
      <c r="Y59" s="3">
        <f>'[1]Real petrol price'!HA34/100</f>
        <v>0.54</v>
      </c>
      <c r="Z59" s="6">
        <f t="shared" si="20"/>
        <v>25.185220980414336</v>
      </c>
      <c r="AA59" s="4">
        <f>0.06*(I59*(1-0.06))</f>
        <v>2.9372342086339294</v>
      </c>
      <c r="AB59" s="3">
        <f t="shared" si="5"/>
        <v>28.122455189048264</v>
      </c>
      <c r="AD59" s="4"/>
      <c r="AN59">
        <v>1980</v>
      </c>
      <c r="AO59" s="3">
        <f t="shared" si="6"/>
        <v>0.52078620720459745</v>
      </c>
      <c r="AP59" s="3">
        <f t="shared" si="7"/>
        <v>0.25185220980414336</v>
      </c>
      <c r="AQ59" s="3">
        <f t="shared" si="8"/>
        <v>2.9372342086339293E-2</v>
      </c>
      <c r="AR59" s="3">
        <f t="shared" si="9"/>
        <v>0.28122455189048262</v>
      </c>
      <c r="AS59" s="3">
        <f t="shared" si="10"/>
        <v>0.23956165531411483</v>
      </c>
      <c r="AT59" s="3"/>
      <c r="AU59" s="3">
        <v>42.607527335096982</v>
      </c>
      <c r="AV59" s="3"/>
      <c r="AW59" s="3">
        <f t="shared" si="11"/>
        <v>1.2222868581618245</v>
      </c>
      <c r="AX59" s="3">
        <f t="shared" si="21"/>
        <v>1.1798220164031732</v>
      </c>
      <c r="AY59" s="3">
        <f t="shared" si="12"/>
        <v>0.66003490340738524</v>
      </c>
      <c r="AZ59" s="3">
        <f t="shared" si="23"/>
        <v>0.56225195475443923</v>
      </c>
      <c r="BA59" s="3">
        <f t="shared" si="14"/>
        <v>0.51978711299578795</v>
      </c>
      <c r="BB59" s="3">
        <f t="shared" si="22"/>
        <v>57.487002005635645</v>
      </c>
      <c r="BC59" s="9">
        <v>0</v>
      </c>
      <c r="BD59" s="27">
        <v>1</v>
      </c>
      <c r="BE59">
        <v>0</v>
      </c>
      <c r="BG59" s="3">
        <f t="shared" si="15"/>
        <v>1.398461008117136</v>
      </c>
      <c r="BH59" s="3">
        <f t="shared" si="16"/>
        <v>1.3498755021708095</v>
      </c>
    </row>
    <row r="60" spans="1:60">
      <c r="A60">
        <v>1981</v>
      </c>
      <c r="B60" s="3">
        <f t="shared" si="17"/>
        <v>160.5960571378705</v>
      </c>
      <c r="C60" s="3">
        <f t="shared" si="0"/>
        <v>41.681969842500045</v>
      </c>
      <c r="D60" s="1">
        <v>123.55</v>
      </c>
      <c r="E60" s="3">
        <v>59.652189999999997</v>
      </c>
      <c r="F60" s="3">
        <f t="shared" si="18"/>
        <v>73.700280744999986</v>
      </c>
      <c r="G60" s="3">
        <v>0.92041130493630374</v>
      </c>
      <c r="H60" s="3">
        <f t="shared" si="19"/>
        <v>67.834571574677383</v>
      </c>
      <c r="I60" s="4">
        <f t="shared" si="1"/>
        <v>61.611964684052381</v>
      </c>
      <c r="J60" s="21">
        <f t="shared" si="2"/>
        <v>33.371574348184623</v>
      </c>
      <c r="K60" s="21"/>
      <c r="O60"/>
      <c r="P60" s="23"/>
      <c r="Q60" s="21">
        <f t="shared" si="3"/>
        <v>28.526339648716252</v>
      </c>
      <c r="R60" s="21">
        <f t="shared" si="4"/>
        <v>0.28594931284849745</v>
      </c>
      <c r="S60" s="27"/>
      <c r="T60">
        <f>USA!Z68*G60</f>
        <v>33.512175612730815</v>
      </c>
      <c r="U60">
        <v>1</v>
      </c>
      <c r="V60">
        <v>0</v>
      </c>
      <c r="W60">
        <v>0</v>
      </c>
      <c r="X60" s="23"/>
      <c r="Y60" s="3">
        <f>'[1]Real petrol price'!HA35/100</f>
        <v>0.53700000000000003</v>
      </c>
      <c r="Z60" s="6">
        <f t="shared" si="20"/>
        <v>24.804976981799491</v>
      </c>
      <c r="AA60" s="4">
        <f>0.16*(I60*(1-0.16))</f>
        <v>8.2806480535366394</v>
      </c>
      <c r="AB60" s="3">
        <f t="shared" si="5"/>
        <v>33.085625035336129</v>
      </c>
      <c r="AD60" s="4"/>
      <c r="AN60">
        <v>1981</v>
      </c>
      <c r="AO60" s="3">
        <f t="shared" si="6"/>
        <v>0.61611964684052378</v>
      </c>
      <c r="AP60" s="3">
        <f t="shared" si="7"/>
        <v>0.24804976981799493</v>
      </c>
      <c r="AQ60" s="3">
        <f t="shared" si="8"/>
        <v>8.2806480535366392E-2</v>
      </c>
      <c r="AR60" s="3">
        <f t="shared" si="9"/>
        <v>0.3308562503533613</v>
      </c>
      <c r="AS60" s="3">
        <f t="shared" si="10"/>
        <v>0.28526339648716248</v>
      </c>
      <c r="AT60" s="3"/>
      <c r="AU60" s="3">
        <v>45.85741094360295</v>
      </c>
      <c r="AV60" s="3"/>
      <c r="AW60" s="3">
        <f t="shared" si="11"/>
        <v>1.3435552382105682</v>
      </c>
      <c r="AX60" s="3">
        <f t="shared" si="21"/>
        <v>1.3450509972323292</v>
      </c>
      <c r="AY60" s="3">
        <f t="shared" si="12"/>
        <v>0.72148916291907517</v>
      </c>
      <c r="AZ60" s="3">
        <f t="shared" si="23"/>
        <v>0.62206607529149305</v>
      </c>
      <c r="BA60" s="3">
        <f t="shared" si="14"/>
        <v>0.62356183431325407</v>
      </c>
      <c r="BB60" s="3">
        <f t="shared" si="22"/>
        <v>73.079083452716645</v>
      </c>
      <c r="BC60" s="9">
        <v>0</v>
      </c>
      <c r="BD60" s="27">
        <v>1</v>
      </c>
      <c r="BE60">
        <v>0</v>
      </c>
      <c r="BG60" s="3">
        <f t="shared" si="15"/>
        <v>1.5372083896203128</v>
      </c>
      <c r="BH60" s="3">
        <f t="shared" si="16"/>
        <v>1.5389197396651115</v>
      </c>
    </row>
    <row r="61" spans="1:60">
      <c r="A61">
        <v>1982</v>
      </c>
      <c r="B61" s="3">
        <f t="shared" si="17"/>
        <v>134.03369026120205</v>
      </c>
      <c r="C61" s="3">
        <f t="shared" si="0"/>
        <v>44.24984128314113</v>
      </c>
      <c r="D61" s="1">
        <v>103.11499999999999</v>
      </c>
      <c r="E61" s="3">
        <v>63.32714</v>
      </c>
      <c r="F61" s="3">
        <f t="shared" si="18"/>
        <v>65.299780410999986</v>
      </c>
      <c r="G61" s="3">
        <v>1.132640388300417</v>
      </c>
      <c r="H61" s="3">
        <f t="shared" si="19"/>
        <v>73.961168640646989</v>
      </c>
      <c r="I61" s="4">
        <f t="shared" si="1"/>
        <v>67.176556208690954</v>
      </c>
      <c r="J61" s="21">
        <f t="shared" si="2"/>
        <v>36.661187010678539</v>
      </c>
      <c r="K61" s="21"/>
      <c r="O61"/>
      <c r="P61" s="23"/>
      <c r="Q61" s="21">
        <f t="shared" si="3"/>
        <v>30.834039299789147</v>
      </c>
      <c r="R61" s="21">
        <f t="shared" si="4"/>
        <v>0.31867010177673177</v>
      </c>
      <c r="S61" s="27"/>
      <c r="T61">
        <f>USA!Z69*G61</f>
        <v>37.603660891573846</v>
      </c>
      <c r="U61">
        <v>1</v>
      </c>
      <c r="V61">
        <v>0</v>
      </c>
      <c r="W61">
        <v>0</v>
      </c>
      <c r="X61" s="23"/>
      <c r="Y61" s="3">
        <f>'[1]Real petrol price'!HA36/100</f>
        <v>0.54100000000000004</v>
      </c>
      <c r="Z61" s="6">
        <f t="shared" si="20"/>
        <v>26.863904827855514</v>
      </c>
      <c r="AA61" s="4">
        <f t="shared" ref="AA61:AA70" si="24">0.17*(I61*(1-0.17))</f>
        <v>9.4786120810462933</v>
      </c>
      <c r="AB61" s="3">
        <f t="shared" si="5"/>
        <v>36.342516908901807</v>
      </c>
      <c r="AD61" s="4"/>
      <c r="AN61">
        <v>1982</v>
      </c>
      <c r="AO61" s="3">
        <f t="shared" si="6"/>
        <v>0.67176556208690952</v>
      </c>
      <c r="AP61" s="3">
        <f t="shared" si="7"/>
        <v>0.26863904827855511</v>
      </c>
      <c r="AQ61" s="3">
        <f t="shared" si="8"/>
        <v>9.4786120810462934E-2</v>
      </c>
      <c r="AR61" s="3">
        <f t="shared" si="9"/>
        <v>0.36342516908901806</v>
      </c>
      <c r="AS61" s="3">
        <f t="shared" si="10"/>
        <v>0.30834039299789145</v>
      </c>
      <c r="AT61" s="3"/>
      <c r="AU61" s="3">
        <v>49.859180379727825</v>
      </c>
      <c r="AV61" s="3"/>
      <c r="AW61" s="3">
        <f t="shared" si="11"/>
        <v>1.3473257221052148</v>
      </c>
      <c r="AX61" s="3">
        <f t="shared" si="21"/>
        <v>1.3680434890243043</v>
      </c>
      <c r="AY61" s="3">
        <f t="shared" si="12"/>
        <v>0.72890321565892124</v>
      </c>
      <c r="AZ61" s="3">
        <f t="shared" si="23"/>
        <v>0.6184225064462936</v>
      </c>
      <c r="BA61" s="3">
        <f t="shared" si="14"/>
        <v>0.63914027336538293</v>
      </c>
      <c r="BB61" s="3">
        <f t="shared" si="22"/>
        <v>75.419733347367796</v>
      </c>
      <c r="BC61" s="9">
        <v>0</v>
      </c>
      <c r="BD61" s="27">
        <v>1</v>
      </c>
      <c r="BE61">
        <v>0</v>
      </c>
      <c r="BG61" s="3">
        <f t="shared" si="15"/>
        <v>1.5415223316979743</v>
      </c>
      <c r="BH61" s="3">
        <f t="shared" si="16"/>
        <v>1.565226251132384</v>
      </c>
    </row>
    <row r="62" spans="1:60">
      <c r="A62">
        <v>1983</v>
      </c>
      <c r="B62" s="3">
        <f t="shared" si="17"/>
        <v>122.50418020691477</v>
      </c>
      <c r="C62" s="3">
        <f t="shared" si="0"/>
        <v>45.671336429076113</v>
      </c>
      <c r="D62" s="1">
        <v>94.245099999999994</v>
      </c>
      <c r="E62" s="3">
        <v>65.36148</v>
      </c>
      <c r="F62" s="3">
        <f t="shared" si="18"/>
        <v>61.599992187479991</v>
      </c>
      <c r="G62" s="3">
        <v>1.267521734064784</v>
      </c>
      <c r="H62" s="3">
        <f t="shared" si="19"/>
        <v>78.079328915851789</v>
      </c>
      <c r="I62" s="4">
        <f t="shared" si="1"/>
        <v>70.916949043041839</v>
      </c>
      <c r="J62" s="21">
        <f t="shared" si="2"/>
        <v>39.180349014099818</v>
      </c>
      <c r="K62" s="21"/>
      <c r="O62"/>
      <c r="P62" s="23"/>
      <c r="Q62" s="21">
        <f t="shared" si="3"/>
        <v>32.054460967454915</v>
      </c>
      <c r="R62" s="21">
        <f t="shared" si="4"/>
        <v>0.3178609385128956</v>
      </c>
      <c r="S62" s="27"/>
      <c r="T62">
        <f>USA!Z70*G62</f>
        <v>36.694754201175492</v>
      </c>
      <c r="U62">
        <v>1</v>
      </c>
      <c r="V62">
        <v>0</v>
      </c>
      <c r="W62">
        <v>0</v>
      </c>
      <c r="X62" s="23"/>
      <c r="Y62" s="3">
        <f>'[1]Real petrol price'!HA37/100</f>
        <v>0.54799999999999993</v>
      </c>
      <c r="Z62" s="6">
        <f t="shared" si="20"/>
        <v>28.856106565613722</v>
      </c>
      <c r="AA62" s="4">
        <f t="shared" si="24"/>
        <v>10.006381509973203</v>
      </c>
      <c r="AB62" s="3">
        <f t="shared" si="5"/>
        <v>38.862488075586924</v>
      </c>
      <c r="AD62" s="4"/>
      <c r="AN62">
        <v>1983</v>
      </c>
      <c r="AO62" s="3">
        <f t="shared" si="6"/>
        <v>0.70916949043041844</v>
      </c>
      <c r="AP62" s="3">
        <f t="shared" si="7"/>
        <v>0.28856106565613721</v>
      </c>
      <c r="AQ62" s="3">
        <f t="shared" si="8"/>
        <v>0.10006381509973203</v>
      </c>
      <c r="AR62" s="3">
        <f t="shared" si="9"/>
        <v>0.38862488075586926</v>
      </c>
      <c r="AS62" s="3">
        <f t="shared" si="10"/>
        <v>0.32054460967454917</v>
      </c>
      <c r="AT62" s="3"/>
      <c r="AU62" s="3">
        <v>53.679196329619096</v>
      </c>
      <c r="AV62" s="3"/>
      <c r="AW62" s="3">
        <f t="shared" si="11"/>
        <v>1.3211253873395141</v>
      </c>
      <c r="AX62" s="3">
        <f t="shared" si="21"/>
        <v>1.3161259250801045</v>
      </c>
      <c r="AY62" s="3">
        <f t="shared" si="12"/>
        <v>0.72397671226205351</v>
      </c>
      <c r="AZ62" s="3">
        <f t="shared" si="23"/>
        <v>0.59714867507746061</v>
      </c>
      <c r="BA62" s="3">
        <f t="shared" si="14"/>
        <v>0.592149212818051</v>
      </c>
      <c r="BB62" s="3">
        <f t="shared" si="22"/>
        <v>68.359358392495281</v>
      </c>
      <c r="BC62" s="9">
        <v>0</v>
      </c>
      <c r="BD62" s="27">
        <v>1</v>
      </c>
      <c r="BE62">
        <v>0</v>
      </c>
      <c r="BG62" s="3">
        <f t="shared" si="15"/>
        <v>1.5115456152465265</v>
      </c>
      <c r="BH62" s="3">
        <f t="shared" si="16"/>
        <v>1.5058255561747531</v>
      </c>
    </row>
    <row r="63" spans="1:60">
      <c r="A63">
        <v>1984</v>
      </c>
      <c r="B63" s="3">
        <f t="shared" si="17"/>
        <v>105.04268985028523</v>
      </c>
      <c r="C63" s="3">
        <f t="shared" si="0"/>
        <v>47.643090239969929</v>
      </c>
      <c r="D63" s="1">
        <v>80.811599999999999</v>
      </c>
      <c r="E63" s="3">
        <v>68.183310000000006</v>
      </c>
      <c r="F63" s="3">
        <f t="shared" si="18"/>
        <v>55.100023743960001</v>
      </c>
      <c r="G63" s="3">
        <v>1.432425464614439</v>
      </c>
      <c r="H63" s="3">
        <f t="shared" si="19"/>
        <v>78.926677111708528</v>
      </c>
      <c r="I63" s="4">
        <f t="shared" si="1"/>
        <v>71.686568219610947</v>
      </c>
      <c r="J63" s="21">
        <f t="shared" si="2"/>
        <v>39.849503941121547</v>
      </c>
      <c r="K63" s="21"/>
      <c r="O63"/>
      <c r="P63" s="23"/>
      <c r="Q63" s="21">
        <f t="shared" si="3"/>
        <v>32.187269130605316</v>
      </c>
      <c r="R63" s="21">
        <f t="shared" si="4"/>
        <v>0.35020485211591412</v>
      </c>
      <c r="S63" s="27"/>
      <c r="T63">
        <f>USA!Z71*G63</f>
        <v>40.852774250803797</v>
      </c>
      <c r="U63">
        <v>1</v>
      </c>
      <c r="V63">
        <v>0</v>
      </c>
      <c r="W63">
        <v>0</v>
      </c>
      <c r="X63" s="23"/>
      <c r="Y63" s="3">
        <f>'[1]Real petrol price'!HA38/100</f>
        <v>0.55100000000000005</v>
      </c>
      <c r="Z63" s="6">
        <f t="shared" si="20"/>
        <v>29.384324313218528</v>
      </c>
      <c r="AA63" s="4">
        <f t="shared" si="24"/>
        <v>10.114974775787106</v>
      </c>
      <c r="AB63" s="3">
        <f t="shared" si="5"/>
        <v>39.499299089005632</v>
      </c>
      <c r="AD63" s="4"/>
      <c r="AN63">
        <v>1984</v>
      </c>
      <c r="AO63" s="3">
        <f t="shared" si="6"/>
        <v>0.71686568219610947</v>
      </c>
      <c r="AP63" s="3">
        <f t="shared" si="7"/>
        <v>0.29384324313218529</v>
      </c>
      <c r="AQ63" s="3">
        <f t="shared" si="8"/>
        <v>0.10114974775787106</v>
      </c>
      <c r="AR63" s="3">
        <f t="shared" si="9"/>
        <v>0.39499299089005629</v>
      </c>
      <c r="AS63" s="3">
        <f t="shared" si="10"/>
        <v>0.32187269130605317</v>
      </c>
      <c r="AT63" s="3"/>
      <c r="AU63" s="3">
        <v>57.083410719443769</v>
      </c>
      <c r="AV63" s="3"/>
      <c r="AW63" s="3">
        <f t="shared" si="11"/>
        <v>1.255821390420055</v>
      </c>
      <c r="AX63" s="3">
        <f t="shared" si="21"/>
        <v>1.3054543055748784</v>
      </c>
      <c r="AY63" s="3">
        <f t="shared" si="12"/>
        <v>0.6919575861214502</v>
      </c>
      <c r="AZ63" s="3">
        <f t="shared" si="23"/>
        <v>0.56386380429860483</v>
      </c>
      <c r="BA63" s="3">
        <f t="shared" si="14"/>
        <v>0.61349671945342832</v>
      </c>
      <c r="BB63" s="3">
        <f t="shared" si="22"/>
        <v>71.566806776120885</v>
      </c>
      <c r="BC63" s="9">
        <v>0</v>
      </c>
      <c r="BD63" s="27">
        <v>1</v>
      </c>
      <c r="BE63">
        <v>0</v>
      </c>
      <c r="BG63" s="3">
        <f t="shared" si="15"/>
        <v>1.4368290356185596</v>
      </c>
      <c r="BH63" s="3">
        <f t="shared" si="16"/>
        <v>1.4936157842444842</v>
      </c>
    </row>
    <row r="64" spans="1:60">
      <c r="A64">
        <v>1985</v>
      </c>
      <c r="B64" s="3">
        <f t="shared" si="17"/>
        <v>104.74411506821669</v>
      </c>
      <c r="C64" s="3">
        <f t="shared" si="0"/>
        <v>49.339718212134507</v>
      </c>
      <c r="D64" s="1">
        <v>80.581900000000005</v>
      </c>
      <c r="E64" s="3">
        <v>70.611400000000003</v>
      </c>
      <c r="F64" s="3">
        <f t="shared" si="18"/>
        <v>56.90000773660001</v>
      </c>
      <c r="G64" s="3">
        <v>1.471942171398541</v>
      </c>
      <c r="H64" s="3">
        <f t="shared" si="19"/>
        <v>83.753520940404798</v>
      </c>
      <c r="I64" s="4">
        <f t="shared" si="1"/>
        <v>76.070635585344661</v>
      </c>
      <c r="J64" s="21">
        <f t="shared" si="2"/>
        <v>43.931868646026416</v>
      </c>
      <c r="K64" s="21"/>
      <c r="O64"/>
      <c r="P64" s="23"/>
      <c r="Q64" s="21">
        <f t="shared" si="3"/>
        <v>32.482161394942175</v>
      </c>
      <c r="R64" s="21">
        <f t="shared" si="4"/>
        <v>0.34339445562393267</v>
      </c>
      <c r="S64" s="27"/>
      <c r="T64">
        <f>USA!Z72*G64</f>
        <v>39.256697711199088</v>
      </c>
      <c r="U64">
        <v>1</v>
      </c>
      <c r="V64">
        <v>0</v>
      </c>
      <c r="W64">
        <v>0</v>
      </c>
      <c r="X64" s="23"/>
      <c r="Y64" s="3">
        <f>'[1]Real petrol price'!HA39/100</f>
        <v>0.57299999999999995</v>
      </c>
      <c r="Z64" s="6">
        <f t="shared" si="20"/>
        <v>32.854907509310351</v>
      </c>
      <c r="AA64" s="4">
        <f t="shared" si="24"/>
        <v>10.733566681092132</v>
      </c>
      <c r="AB64" s="3">
        <f t="shared" si="5"/>
        <v>43.588474190402486</v>
      </c>
      <c r="AD64" s="4"/>
      <c r="AN64">
        <v>1985</v>
      </c>
      <c r="AO64" s="3">
        <f t="shared" si="6"/>
        <v>0.76070635585344659</v>
      </c>
      <c r="AP64" s="3">
        <f t="shared" si="7"/>
        <v>0.32854907509310349</v>
      </c>
      <c r="AQ64" s="3">
        <f t="shared" si="8"/>
        <v>0.10733566681092131</v>
      </c>
      <c r="AR64" s="3">
        <f t="shared" si="9"/>
        <v>0.43588474190402487</v>
      </c>
      <c r="AS64" s="3">
        <f t="shared" si="10"/>
        <v>0.32482161394942172</v>
      </c>
      <c r="AT64" s="3"/>
      <c r="AU64" s="3">
        <v>59.86264786216455</v>
      </c>
      <c r="AV64" s="3"/>
      <c r="AW64" s="3">
        <f t="shared" si="11"/>
        <v>1.2707529369649579</v>
      </c>
      <c r="AX64" s="3">
        <f t="shared" si="21"/>
        <v>1.301778697331047</v>
      </c>
      <c r="AY64" s="3">
        <f t="shared" si="12"/>
        <v>0.72814143288092081</v>
      </c>
      <c r="AZ64" s="3">
        <f t="shared" si="23"/>
        <v>0.54261150408403713</v>
      </c>
      <c r="BA64" s="3">
        <f t="shared" si="14"/>
        <v>0.57363726445012619</v>
      </c>
      <c r="BB64" s="3">
        <f t="shared" si="22"/>
        <v>65.577950714089283</v>
      </c>
      <c r="BC64" s="9">
        <v>0</v>
      </c>
      <c r="BD64" s="27">
        <v>1</v>
      </c>
      <c r="BE64">
        <v>0</v>
      </c>
      <c r="BG64" s="3">
        <f t="shared" si="15"/>
        <v>1.4539127385926189</v>
      </c>
      <c r="BH64" s="3">
        <f t="shared" si="16"/>
        <v>1.4894103927066562</v>
      </c>
    </row>
    <row r="65" spans="1:60">
      <c r="A65">
        <v>1986</v>
      </c>
      <c r="B65" s="3">
        <f t="shared" si="17"/>
        <v>103.37485657700637</v>
      </c>
      <c r="C65" s="3">
        <f t="shared" si="0"/>
        <v>50.256813657899102</v>
      </c>
      <c r="D65" s="1">
        <v>79.528499999999994</v>
      </c>
      <c r="E65" s="3">
        <v>71.923879999999997</v>
      </c>
      <c r="F65" s="3">
        <f t="shared" si="18"/>
        <v>57.199982905799999</v>
      </c>
      <c r="G65" s="3">
        <v>1.1073874749317669</v>
      </c>
      <c r="H65" s="3">
        <f t="shared" si="19"/>
        <v>63.342544636194091</v>
      </c>
      <c r="I65" s="4">
        <f>H65*L$72/H$72</f>
        <v>57.532000756087371</v>
      </c>
      <c r="J65" s="21">
        <f t="shared" si="2"/>
        <v>38.913140336011729</v>
      </c>
      <c r="K65" s="21"/>
      <c r="O65"/>
      <c r="P65" s="23"/>
      <c r="Q65" s="21">
        <f t="shared" si="3"/>
        <v>18.812964247240572</v>
      </c>
      <c r="R65" s="21">
        <f t="shared" si="4"/>
        <v>0.1941038271649296</v>
      </c>
      <c r="S65" s="27"/>
      <c r="T65">
        <f>USA!Z73*G65</f>
        <v>16.666181497723095</v>
      </c>
      <c r="U65">
        <v>0</v>
      </c>
      <c r="V65">
        <v>0</v>
      </c>
      <c r="W65">
        <v>0</v>
      </c>
      <c r="X65" s="23"/>
      <c r="Y65" s="3">
        <f>'[1]Real petrol price'!HA40/100</f>
        <v>0.67299999999999993</v>
      </c>
      <c r="Z65" s="6">
        <f t="shared" si="20"/>
        <v>30.60127120216287</v>
      </c>
      <c r="AA65" s="4">
        <f t="shared" si="24"/>
        <v>8.1177653066839284</v>
      </c>
      <c r="AB65" s="3">
        <f t="shared" si="5"/>
        <v>38.719036508846798</v>
      </c>
      <c r="AD65" s="4"/>
      <c r="AN65">
        <v>1986</v>
      </c>
      <c r="AO65" s="3">
        <f t="shared" si="6"/>
        <v>0.57532000756087376</v>
      </c>
      <c r="AP65" s="3">
        <f t="shared" si="7"/>
        <v>0.30601271202162872</v>
      </c>
      <c r="AQ65" s="3">
        <f t="shared" si="8"/>
        <v>8.1177653066839286E-2</v>
      </c>
      <c r="AR65" s="3">
        <f t="shared" si="9"/>
        <v>0.38719036508846799</v>
      </c>
      <c r="AS65" s="3">
        <f t="shared" si="10"/>
        <v>0.18812964247240577</v>
      </c>
      <c r="AT65" s="3"/>
      <c r="AU65" s="3">
        <v>60.637492615924529</v>
      </c>
      <c r="AV65" s="3"/>
      <c r="AW65" s="3">
        <f t="shared" si="11"/>
        <v>0.94878594536375016</v>
      </c>
      <c r="AX65" s="3">
        <f t="shared" si="21"/>
        <v>0.95863824042872603</v>
      </c>
      <c r="AY65" s="3">
        <f t="shared" si="12"/>
        <v>0.63853294122980375</v>
      </c>
      <c r="AZ65" s="3">
        <f t="shared" si="23"/>
        <v>0.31025300413394641</v>
      </c>
      <c r="BA65" s="3">
        <f t="shared" si="14"/>
        <v>0.32010529919892228</v>
      </c>
      <c r="BB65" s="3">
        <f t="shared" si="22"/>
        <v>27.484945004711896</v>
      </c>
      <c r="BC65" s="9">
        <v>0</v>
      </c>
      <c r="BD65" s="27">
        <v>1</v>
      </c>
      <c r="BE65">
        <v>0</v>
      </c>
      <c r="BG65" s="3">
        <f t="shared" si="15"/>
        <v>1.0855390784747301</v>
      </c>
      <c r="BH65" s="3">
        <f t="shared" si="16"/>
        <v>1.0968114327480585</v>
      </c>
    </row>
    <row r="66" spans="1:60">
      <c r="A66">
        <v>1987</v>
      </c>
      <c r="B66" s="3">
        <f t="shared" si="17"/>
        <v>116.0227547135391</v>
      </c>
      <c r="C66" s="3">
        <f t="shared" si="0"/>
        <v>52.136856526716379</v>
      </c>
      <c r="D66" s="1">
        <v>89.258799999999994</v>
      </c>
      <c r="E66" s="3">
        <v>74.614459999999994</v>
      </c>
      <c r="F66" s="3">
        <f t="shared" si="18"/>
        <v>66.599971622479984</v>
      </c>
      <c r="G66" s="3">
        <v>0.92548816432365966</v>
      </c>
      <c r="H66" s="3">
        <f t="shared" si="19"/>
        <v>61.637485480896828</v>
      </c>
      <c r="I66" s="4">
        <f t="shared" si="1"/>
        <v>55.983350237306603</v>
      </c>
      <c r="J66" s="21">
        <f t="shared" si="2"/>
        <v>37.879533047607723</v>
      </c>
      <c r="K66" s="21"/>
      <c r="O66"/>
      <c r="P66" s="23"/>
      <c r="Q66" s="21">
        <f t="shared" si="3"/>
        <v>18.306555527599265</v>
      </c>
      <c r="R66" s="21">
        <f t="shared" si="4"/>
        <v>0.20273833790038462</v>
      </c>
      <c r="S66" s="27"/>
      <c r="T66">
        <f>USA!Z74*G66</f>
        <v>17.769372755014263</v>
      </c>
      <c r="U66">
        <v>0</v>
      </c>
      <c r="V66">
        <v>0</v>
      </c>
      <c r="W66">
        <v>0</v>
      </c>
      <c r="X66" s="23"/>
      <c r="Y66" s="3">
        <f>'[1]Real petrol price'!HA41/100</f>
        <v>0.67299999999999993</v>
      </c>
      <c r="Z66" s="6">
        <f t="shared" si="20"/>
        <v>29.777543991223375</v>
      </c>
      <c r="AA66" s="4">
        <f t="shared" si="24"/>
        <v>7.8992507184839615</v>
      </c>
      <c r="AB66" s="3">
        <f t="shared" si="5"/>
        <v>37.676794709707337</v>
      </c>
      <c r="AD66" s="4"/>
      <c r="AN66">
        <v>1987</v>
      </c>
      <c r="AO66" s="3">
        <f t="shared" si="6"/>
        <v>0.55983350237306606</v>
      </c>
      <c r="AP66" s="3">
        <f t="shared" si="7"/>
        <v>0.29777543991223376</v>
      </c>
      <c r="AQ66" s="3">
        <f t="shared" si="8"/>
        <v>7.8992507184839619E-2</v>
      </c>
      <c r="AR66" s="3">
        <f t="shared" si="9"/>
        <v>0.3767679470970734</v>
      </c>
      <c r="AS66" s="3">
        <f t="shared" si="10"/>
        <v>0.18306555527599266</v>
      </c>
      <c r="AT66" s="3"/>
      <c r="AU66" s="3">
        <v>61.579423298721778</v>
      </c>
      <c r="AV66" s="3"/>
      <c r="AW66" s="3">
        <f t="shared" si="11"/>
        <v>0.90912430221587792</v>
      </c>
      <c r="AX66" s="3">
        <f t="shared" si="21"/>
        <v>0.94107130913888726</v>
      </c>
      <c r="AY66" s="3">
        <f t="shared" si="12"/>
        <v>0.61184065539128563</v>
      </c>
      <c r="AZ66" s="3">
        <f t="shared" si="23"/>
        <v>0.2972836468245923</v>
      </c>
      <c r="BA66" s="3">
        <f t="shared" si="14"/>
        <v>0.32923065374760163</v>
      </c>
      <c r="BB66" s="3">
        <f t="shared" si="22"/>
        <v>28.856023332363861</v>
      </c>
      <c r="BC66" s="9">
        <v>0</v>
      </c>
      <c r="BD66" s="27">
        <v>1</v>
      </c>
      <c r="BE66">
        <v>0</v>
      </c>
      <c r="BG66" s="3">
        <f t="shared" si="15"/>
        <v>1.0401608097894488</v>
      </c>
      <c r="BH66" s="3">
        <f t="shared" si="16"/>
        <v>1.0767124942075119</v>
      </c>
    </row>
    <row r="67" spans="1:60">
      <c r="A67">
        <v>1988</v>
      </c>
      <c r="B67" s="3">
        <f t="shared" si="17"/>
        <v>112.72309391997794</v>
      </c>
      <c r="C67" s="3">
        <f t="shared" si="0"/>
        <v>54.227069431021505</v>
      </c>
      <c r="D67" s="1">
        <v>86.720299999999995</v>
      </c>
      <c r="E67" s="3">
        <v>77.605819999999994</v>
      </c>
      <c r="F67" s="3">
        <f t="shared" si="18"/>
        <v>67.29999992146</v>
      </c>
      <c r="G67" s="3">
        <v>0.91146234869198994</v>
      </c>
      <c r="H67" s="3">
        <f t="shared" si="19"/>
        <v>61.341415995384672</v>
      </c>
      <c r="I67" s="4">
        <f>H67*L$72/H$72</f>
        <v>55.714439823900086</v>
      </c>
      <c r="J67" s="21">
        <f t="shared" si="2"/>
        <v>36.39671831481499</v>
      </c>
      <c r="K67" s="21"/>
      <c r="O67"/>
      <c r="P67" s="23"/>
      <c r="Q67" s="21">
        <f t="shared" si="3"/>
        <v>19.500053938365028</v>
      </c>
      <c r="R67" s="21">
        <f t="shared" si="4"/>
        <v>0.18233242927992913</v>
      </c>
      <c r="S67" s="27"/>
      <c r="T67">
        <f>USA!Z75*G67</f>
        <v>14.55605370861108</v>
      </c>
      <c r="U67">
        <v>0</v>
      </c>
      <c r="V67">
        <v>0</v>
      </c>
      <c r="W67">
        <v>0</v>
      </c>
      <c r="X67" s="23"/>
      <c r="Y67" s="3">
        <f>'[1]Real petrol price'!HA42/100</f>
        <v>0.65</v>
      </c>
      <c r="Z67" s="6">
        <f t="shared" si="20"/>
        <v>28.353078426382758</v>
      </c>
      <c r="AA67" s="4">
        <f t="shared" si="24"/>
        <v>7.861307459152302</v>
      </c>
      <c r="AB67" s="3">
        <f t="shared" si="5"/>
        <v>36.214385885535059</v>
      </c>
      <c r="AD67" s="4"/>
      <c r="AN67">
        <v>1988</v>
      </c>
      <c r="AO67" s="3">
        <f t="shared" si="6"/>
        <v>0.55714439823900086</v>
      </c>
      <c r="AP67" s="3">
        <f t="shared" si="7"/>
        <v>0.28353078426382761</v>
      </c>
      <c r="AQ67" s="3">
        <f t="shared" si="8"/>
        <v>7.8613074591523016E-2</v>
      </c>
      <c r="AR67" s="3">
        <f t="shared" si="9"/>
        <v>0.36214385885535061</v>
      </c>
      <c r="AS67" s="3">
        <f t="shared" si="10"/>
        <v>0.19500053938365025</v>
      </c>
      <c r="AT67" s="3"/>
      <c r="AU67" s="3">
        <v>62.294320992389025</v>
      </c>
      <c r="AV67" s="3"/>
      <c r="AW67" s="3">
        <f t="shared" si="11"/>
        <v>0.89437430148258856</v>
      </c>
      <c r="AX67" s="3">
        <f t="shared" si="21"/>
        <v>0.87403840263673882</v>
      </c>
      <c r="AY67" s="3">
        <f t="shared" si="12"/>
        <v>0.58134329596368262</v>
      </c>
      <c r="AZ67" s="3">
        <f t="shared" si="23"/>
        <v>0.31303100551890595</v>
      </c>
      <c r="BA67" s="3">
        <f t="shared" si="14"/>
        <v>0.2926951066730562</v>
      </c>
      <c r="BB67" s="3">
        <f t="shared" si="22"/>
        <v>23.366582180724794</v>
      </c>
      <c r="BC67" s="9">
        <v>0</v>
      </c>
      <c r="BD67" s="27">
        <v>1</v>
      </c>
      <c r="BE67">
        <v>0</v>
      </c>
      <c r="BG67" s="3">
        <f t="shared" si="15"/>
        <v>1.0232848197078526</v>
      </c>
      <c r="BH67" s="3">
        <f t="shared" si="16"/>
        <v>1.0000178088494491</v>
      </c>
    </row>
    <row r="68" spans="1:60">
      <c r="A68">
        <v>1989</v>
      </c>
      <c r="B68" s="3">
        <f t="shared" si="17"/>
        <v>119.30837716297169</v>
      </c>
      <c r="C68" s="3">
        <f t="shared" si="0"/>
        <v>56.844608024141067</v>
      </c>
      <c r="D68" s="1">
        <v>91.786500000000004</v>
      </c>
      <c r="E68" s="3">
        <v>81.351849999999999</v>
      </c>
      <c r="F68" s="3">
        <f t="shared" si="18"/>
        <v>74.670015800249999</v>
      </c>
      <c r="G68" s="3">
        <v>0.97679964501647265</v>
      </c>
      <c r="H68" s="3">
        <f t="shared" si="19"/>
        <v>72.937644927058599</v>
      </c>
      <c r="I68" s="4">
        <f t="shared" si="1"/>
        <v>66.24692246249009</v>
      </c>
      <c r="J68" s="21">
        <f t="shared" si="2"/>
        <v>40.409023256654002</v>
      </c>
      <c r="K68" s="21"/>
      <c r="O68"/>
      <c r="P68" s="23"/>
      <c r="Q68" s="21">
        <f t="shared" si="3"/>
        <v>26.099481703032737</v>
      </c>
      <c r="R68" s="21">
        <f t="shared" si="4"/>
        <v>0.26158249719664606</v>
      </c>
      <c r="S68" s="27"/>
      <c r="T68">
        <f>USA!Z76*G68</f>
        <v>19.184345028123523</v>
      </c>
      <c r="U68">
        <v>0</v>
      </c>
      <c r="V68">
        <v>1</v>
      </c>
      <c r="W68">
        <v>0</v>
      </c>
      <c r="X68" s="23"/>
      <c r="Y68" s="3">
        <f>'[1]Real petrol price'!HA43/100</f>
        <v>0.64400000000000002</v>
      </c>
      <c r="Z68" s="6">
        <v>30.8</v>
      </c>
      <c r="AA68" s="4">
        <f t="shared" si="24"/>
        <v>9.3474407594573528</v>
      </c>
      <c r="AB68" s="3">
        <f t="shared" ref="AB68:AB77" si="25">Z68+AA68</f>
        <v>40.147440759457353</v>
      </c>
      <c r="AD68" s="4"/>
      <c r="AN68">
        <v>1989</v>
      </c>
      <c r="AO68" s="3">
        <f t="shared" si="6"/>
        <v>0.66246922462490088</v>
      </c>
      <c r="AP68" s="3">
        <f t="shared" si="7"/>
        <v>0.308</v>
      </c>
      <c r="AQ68" s="3">
        <f t="shared" si="8"/>
        <v>9.3474407594573525E-2</v>
      </c>
      <c r="AR68" s="3">
        <f t="shared" si="9"/>
        <v>0.40147440759457353</v>
      </c>
      <c r="AS68" s="3">
        <f t="shared" si="10"/>
        <v>0.26099481703032734</v>
      </c>
      <c r="AT68" s="3"/>
      <c r="AU68" s="3">
        <v>64.229838561612681</v>
      </c>
      <c r="AV68" s="3"/>
      <c r="AW68" s="3">
        <f t="shared" si="11"/>
        <v>1.0314041564800527</v>
      </c>
      <c r="AX68" s="3">
        <f t="shared" si="21"/>
        <v>1.0323191208945359</v>
      </c>
      <c r="AY68" s="3">
        <f t="shared" si="12"/>
        <v>0.62505903266354612</v>
      </c>
      <c r="AZ68" s="3">
        <f t="shared" si="23"/>
        <v>0.40634512381650656</v>
      </c>
      <c r="BA68" s="3">
        <f t="shared" si="14"/>
        <v>0.40726008823098969</v>
      </c>
      <c r="BB68" s="3">
        <f t="shared" si="22"/>
        <v>29.868275333933585</v>
      </c>
      <c r="BC68" s="27">
        <v>0.6</v>
      </c>
      <c r="BD68" s="27">
        <v>1</v>
      </c>
      <c r="BE68">
        <v>0</v>
      </c>
      <c r="BG68" s="3">
        <f t="shared" si="15"/>
        <v>1.1800654542064424</v>
      </c>
      <c r="BH68" s="3">
        <f t="shared" si="16"/>
        <v>1.181112296892286</v>
      </c>
    </row>
    <row r="69" spans="1:60">
      <c r="A69">
        <v>1990</v>
      </c>
      <c r="B69" s="3">
        <f t="shared" si="17"/>
        <v>134.86169259545397</v>
      </c>
      <c r="C69" s="3">
        <f t="shared" si="0"/>
        <v>59.913057002261802</v>
      </c>
      <c r="D69" s="1">
        <v>103.752</v>
      </c>
      <c r="E69" s="3">
        <v>85.743189999999998</v>
      </c>
      <c r="F69" s="3">
        <f t="shared" si="18"/>
        <v>88.960274488799982</v>
      </c>
      <c r="G69" s="3">
        <v>0.82840810215196381</v>
      </c>
      <c r="H69" s="3">
        <f t="shared" si="19"/>
        <v>73.69541215618456</v>
      </c>
      <c r="I69" s="4">
        <f t="shared" si="1"/>
        <v>66.93517812145366</v>
      </c>
      <c r="J69" s="21">
        <f t="shared" si="2"/>
        <v>40.418317518022761</v>
      </c>
      <c r="K69" s="21"/>
      <c r="L69" s="4"/>
      <c r="O69"/>
      <c r="P69" s="23"/>
      <c r="Q69" s="21">
        <f t="shared" si="3"/>
        <v>26.790624488516549</v>
      </c>
      <c r="R69" s="21">
        <f t="shared" si="4"/>
        <v>0.27376388508564947</v>
      </c>
      <c r="S69" s="27"/>
      <c r="T69">
        <f>USA!Z77*G69</f>
        <v>20.320850745787673</v>
      </c>
      <c r="U69">
        <v>0</v>
      </c>
      <c r="V69">
        <v>1</v>
      </c>
      <c r="W69">
        <v>0</v>
      </c>
      <c r="X69" s="23"/>
      <c r="Y69" s="3">
        <f>'[1]Real petrol price'!HA44/100</f>
        <v>0.63200000000000001</v>
      </c>
      <c r="Z69" s="3">
        <v>30.7</v>
      </c>
      <c r="AA69" s="4">
        <f t="shared" si="24"/>
        <v>9.4445536329371116</v>
      </c>
      <c r="AB69" s="3">
        <f t="shared" si="25"/>
        <v>40.144553632937111</v>
      </c>
      <c r="AD69" s="4"/>
      <c r="AN69">
        <v>1990</v>
      </c>
      <c r="AO69" s="3">
        <f t="shared" si="6"/>
        <v>0.66935178121453665</v>
      </c>
      <c r="AP69" s="3">
        <f t="shared" si="7"/>
        <v>0.307</v>
      </c>
      <c r="AQ69" s="3">
        <f t="shared" si="8"/>
        <v>9.444553632937111E-2</v>
      </c>
      <c r="AR69" s="3">
        <f t="shared" si="9"/>
        <v>0.40144553632937113</v>
      </c>
      <c r="AS69" s="3">
        <f t="shared" si="10"/>
        <v>0.26790624488516551</v>
      </c>
      <c r="AT69" s="3"/>
      <c r="AU69" s="3">
        <v>66.444682507716635</v>
      </c>
      <c r="AV69" s="3"/>
      <c r="AW69" s="3">
        <f t="shared" si="11"/>
        <v>1.0073820145604588</v>
      </c>
      <c r="AX69" s="3">
        <f t="shared" si="21"/>
        <v>1.0161978294299236</v>
      </c>
      <c r="AY69" s="3">
        <f t="shared" si="12"/>
        <v>0.60418008059975115</v>
      </c>
      <c r="AZ69" s="3">
        <f t="shared" si="23"/>
        <v>0.40320193396070769</v>
      </c>
      <c r="BA69" s="3">
        <f t="shared" si="14"/>
        <v>0.41201774883017245</v>
      </c>
      <c r="BB69" s="3">
        <f t="shared" si="22"/>
        <v>30.583110609984004</v>
      </c>
      <c r="BC69" s="27">
        <v>0.6</v>
      </c>
      <c r="BD69" s="27">
        <v>1</v>
      </c>
      <c r="BE69">
        <v>0</v>
      </c>
      <c r="BG69" s="3">
        <f t="shared" si="15"/>
        <v>1.1525808841305361</v>
      </c>
      <c r="BH69" s="3">
        <f t="shared" si="16"/>
        <v>1.1626673652764321</v>
      </c>
    </row>
    <row r="70" spans="1:60">
      <c r="A70">
        <v>1991</v>
      </c>
      <c r="B70" s="3">
        <f t="shared" si="17"/>
        <v>134.93838354948988</v>
      </c>
      <c r="C70" s="3">
        <f t="shared" si="0"/>
        <v>62.450351141377027</v>
      </c>
      <c r="D70" s="1">
        <v>103.81100000000001</v>
      </c>
      <c r="E70" s="3">
        <v>89.374380000000002</v>
      </c>
      <c r="F70" s="3">
        <f t="shared" si="18"/>
        <v>92.780437621800004</v>
      </c>
      <c r="G70" s="3">
        <v>0.84651424520140106</v>
      </c>
      <c r="H70" s="3">
        <f t="shared" si="19"/>
        <v>78.539962122873703</v>
      </c>
      <c r="I70" s="4">
        <f t="shared" si="1"/>
        <v>71.335327404171352</v>
      </c>
      <c r="J70" s="21">
        <f t="shared" si="2"/>
        <v>41.062337856431178</v>
      </c>
      <c r="K70" s="21"/>
      <c r="L70" s="4">
        <f t="shared" ref="L70:L77" si="26">L$79*M70/M$79</f>
        <v>70.173596673596663</v>
      </c>
      <c r="M70">
        <v>64.599999999999994</v>
      </c>
      <c r="N70">
        <v>0</v>
      </c>
      <c r="O70"/>
      <c r="P70" s="23"/>
      <c r="Q70" s="21">
        <f t="shared" si="3"/>
        <v>30.569912707442775</v>
      </c>
      <c r="R70" s="21">
        <f t="shared" si="4"/>
        <v>0.29692315970259758</v>
      </c>
      <c r="S70" s="27"/>
      <c r="T70">
        <f>USA!Z78*G70</f>
        <v>18.233916841638177</v>
      </c>
      <c r="U70">
        <v>0</v>
      </c>
      <c r="V70">
        <v>1</v>
      </c>
      <c r="W70">
        <v>0</v>
      </c>
      <c r="X70" s="23"/>
      <c r="Y70" s="3">
        <f>'[1]Real petrol price'!HA45/100</f>
        <v>0.66299999999999992</v>
      </c>
      <c r="Z70" s="3">
        <v>30.7</v>
      </c>
      <c r="AA70" s="27">
        <f t="shared" si="24"/>
        <v>10.065414696728578</v>
      </c>
      <c r="AB70" s="3">
        <f t="shared" si="25"/>
        <v>40.765414696728577</v>
      </c>
      <c r="AD70" s="4"/>
      <c r="AN70">
        <v>1991</v>
      </c>
      <c r="AO70" s="3">
        <f t="shared" si="6"/>
        <v>0.71335327404171356</v>
      </c>
      <c r="AP70" s="3">
        <f t="shared" si="7"/>
        <v>0.307</v>
      </c>
      <c r="AQ70" s="3">
        <f t="shared" si="8"/>
        <v>0.10065414696728578</v>
      </c>
      <c r="AR70" s="3">
        <f t="shared" si="9"/>
        <v>0.40765414696728575</v>
      </c>
      <c r="AS70" s="3">
        <f t="shared" si="10"/>
        <v>0.30569912707442781</v>
      </c>
      <c r="AT70" s="3"/>
      <c r="AU70" s="3">
        <v>68.581085693302327</v>
      </c>
      <c r="AV70" s="3"/>
      <c r="AW70" s="3">
        <f t="shared" si="11"/>
        <v>1.0401603690438224</v>
      </c>
      <c r="AX70" s="3">
        <f t="shared" si="21"/>
        <v>1.0273638854607587</v>
      </c>
      <c r="AY70" s="3">
        <f t="shared" si="12"/>
        <v>0.59441191816404493</v>
      </c>
      <c r="AZ70" s="3">
        <f t="shared" si="23"/>
        <v>0.44574845087977744</v>
      </c>
      <c r="BA70" s="3">
        <f t="shared" si="14"/>
        <v>0.43295196729671381</v>
      </c>
      <c r="BB70" s="3">
        <f t="shared" si="22"/>
        <v>26.587384345562953</v>
      </c>
      <c r="BC70" s="27">
        <v>1</v>
      </c>
      <c r="BD70" s="27">
        <v>1</v>
      </c>
      <c r="BE70">
        <v>0</v>
      </c>
      <c r="BG70" s="3">
        <f t="shared" si="15"/>
        <v>1.1900837422764234</v>
      </c>
      <c r="BH70" s="3">
        <f t="shared" si="16"/>
        <v>1.1754428392736389</v>
      </c>
    </row>
    <row r="71" spans="1:60">
      <c r="A71">
        <v>1992</v>
      </c>
      <c r="B71" s="3">
        <f t="shared" si="17"/>
        <v>136.36301550920746</v>
      </c>
      <c r="C71" s="3">
        <f t="shared" si="0"/>
        <v>64.341860498266513</v>
      </c>
      <c r="D71" s="1">
        <v>104.907</v>
      </c>
      <c r="E71" s="3">
        <v>92.081370000000007</v>
      </c>
      <c r="F71" s="3">
        <f t="shared" si="18"/>
        <v>96.599802825899999</v>
      </c>
      <c r="G71" s="3">
        <v>0.79696528746972595</v>
      </c>
      <c r="H71" s="3">
        <f t="shared" si="19"/>
        <v>76.986689628662234</v>
      </c>
      <c r="I71" s="4">
        <f t="shared" si="1"/>
        <v>69.924539839121081</v>
      </c>
      <c r="J71" s="21">
        <f t="shared" si="2"/>
        <v>46.423661477508773</v>
      </c>
      <c r="K71" s="21"/>
      <c r="L71" s="4">
        <f t="shared" si="26"/>
        <v>68.10966735966737</v>
      </c>
      <c r="M71">
        <v>62.7</v>
      </c>
      <c r="O71"/>
      <c r="P71" s="23"/>
      <c r="Q71" s="21">
        <f t="shared" si="3"/>
        <v>23.748135197875044</v>
      </c>
      <c r="R71" s="21">
        <f t="shared" si="4"/>
        <v>0.24725683626273334</v>
      </c>
      <c r="S71" s="27"/>
      <c r="T71">
        <f>USA!Z79*G71</f>
        <v>16.40154561612696</v>
      </c>
      <c r="U71">
        <v>0</v>
      </c>
      <c r="V71">
        <v>1</v>
      </c>
      <c r="W71">
        <v>0</v>
      </c>
      <c r="X71" s="23"/>
      <c r="Y71" s="3">
        <f>'[1]Real petrol price'!HA46/100</f>
        <v>0.69400000000000006</v>
      </c>
      <c r="Z71" s="3">
        <v>35.200000000000003</v>
      </c>
      <c r="AA71" s="4">
        <f>0.195*(I71*(1-0.195))</f>
        <v>10.976404641246031</v>
      </c>
      <c r="AB71" s="3">
        <f t="shared" si="25"/>
        <v>46.176404641246037</v>
      </c>
      <c r="AD71" s="4"/>
      <c r="AN71">
        <v>1992</v>
      </c>
      <c r="AO71" s="3">
        <f t="shared" si="6"/>
        <v>0.6992453983912108</v>
      </c>
      <c r="AP71" s="3">
        <f t="shared" si="7"/>
        <v>0.35200000000000004</v>
      </c>
      <c r="AQ71" s="3">
        <f t="shared" si="8"/>
        <v>0.10976404641246031</v>
      </c>
      <c r="AR71" s="3">
        <f t="shared" si="9"/>
        <v>0.46176404641246038</v>
      </c>
      <c r="AS71" s="3">
        <f t="shared" si="10"/>
        <v>0.23748135197875042</v>
      </c>
      <c r="AT71" s="3"/>
      <c r="AU71" s="3">
        <v>70.246204278258006</v>
      </c>
      <c r="AV71" s="3"/>
      <c r="AW71" s="3">
        <f t="shared" si="11"/>
        <v>0.99542089935759726</v>
      </c>
      <c r="AX71" s="3">
        <f t="shared" si="21"/>
        <v>1.0093369313829867</v>
      </c>
      <c r="AY71" s="3">
        <f t="shared" si="12"/>
        <v>0.65735088629604654</v>
      </c>
      <c r="AZ71" s="3">
        <f t="shared" si="23"/>
        <v>0.33807001306155071</v>
      </c>
      <c r="BA71" s="3">
        <f t="shared" si="14"/>
        <v>0.3519860450869402</v>
      </c>
      <c r="BB71" s="3">
        <f t="shared" si="22"/>
        <v>23.348657460775321</v>
      </c>
      <c r="BC71" s="27">
        <v>0.5</v>
      </c>
      <c r="BD71" s="27">
        <v>1</v>
      </c>
      <c r="BE71">
        <v>0</v>
      </c>
      <c r="BG71" s="3">
        <f t="shared" si="15"/>
        <v>1.1388957552157453</v>
      </c>
      <c r="BH71" s="3">
        <f t="shared" si="16"/>
        <v>1.1548175726232266</v>
      </c>
    </row>
    <row r="72" spans="1:60">
      <c r="A72">
        <v>1993</v>
      </c>
      <c r="B72" s="3">
        <f t="shared" si="17"/>
        <v>126.00921677569072</v>
      </c>
      <c r="C72" s="3">
        <f t="shared" si="0"/>
        <v>66.241014180537462</v>
      </c>
      <c r="D72" s="1">
        <v>96.941599999999994</v>
      </c>
      <c r="E72" s="3">
        <v>94.799300000000002</v>
      </c>
      <c r="F72" s="3">
        <f t="shared" si="18"/>
        <v>91.899958208800001</v>
      </c>
      <c r="G72" s="3">
        <v>0.85762483298173764</v>
      </c>
      <c r="H72" s="3">
        <f t="shared" si="19"/>
        <v>78.815686309850776</v>
      </c>
      <c r="I72" s="4">
        <f t="shared" si="1"/>
        <v>71.585758835758838</v>
      </c>
      <c r="J72" s="21">
        <f t="shared" si="2"/>
        <v>50.441388545265816</v>
      </c>
      <c r="K72" s="21"/>
      <c r="L72" s="4">
        <f t="shared" si="26"/>
        <v>71.585758835758838</v>
      </c>
      <c r="M72">
        <v>65.900000000000006</v>
      </c>
      <c r="N72" s="4"/>
      <c r="O72" s="3"/>
      <c r="P72" s="23"/>
      <c r="Q72" s="21">
        <f t="shared" si="3"/>
        <v>21.348584342515593</v>
      </c>
      <c r="R72" s="21">
        <f t="shared" si="4"/>
        <v>0.20421405202257012</v>
      </c>
      <c r="S72" s="27"/>
      <c r="T72">
        <f>USA!Z80*G72</f>
        <v>15.806025671853424</v>
      </c>
      <c r="U72">
        <v>0</v>
      </c>
      <c r="V72">
        <v>0</v>
      </c>
      <c r="W72">
        <v>0</v>
      </c>
      <c r="X72" s="23"/>
      <c r="Y72" s="3">
        <f>'[1]Real petrol price'!HA47/100</f>
        <v>0.70250000000000001</v>
      </c>
      <c r="Z72" s="3">
        <v>39</v>
      </c>
      <c r="AA72" s="4">
        <f>0.195*(I72*(1-0.195))</f>
        <v>11.237174493243243</v>
      </c>
      <c r="AB72" s="3">
        <f t="shared" si="25"/>
        <v>50.237174493243245</v>
      </c>
      <c r="AD72" s="4"/>
      <c r="AN72">
        <v>1993</v>
      </c>
      <c r="AO72" s="3">
        <f t="shared" si="6"/>
        <v>0.71585758835758839</v>
      </c>
      <c r="AP72" s="3">
        <f t="shared" si="7"/>
        <v>0.39</v>
      </c>
      <c r="AQ72" s="3">
        <f t="shared" si="8"/>
        <v>0.11237174493243243</v>
      </c>
      <c r="AR72" s="3">
        <f t="shared" si="9"/>
        <v>0.50237174493243242</v>
      </c>
      <c r="AS72" s="3">
        <f t="shared" si="10"/>
        <v>0.21348584342515597</v>
      </c>
      <c r="AT72" s="3"/>
      <c r="AU72" s="3">
        <v>72.181083992911454</v>
      </c>
      <c r="AV72" s="3"/>
      <c r="AW72" s="3">
        <f t="shared" si="11"/>
        <v>0.99175233836594801</v>
      </c>
      <c r="AX72" s="3">
        <f t="shared" si="21"/>
        <v>0.97890715665117034</v>
      </c>
      <c r="AY72" s="3">
        <f t="shared" si="12"/>
        <v>0.69598808599461859</v>
      </c>
      <c r="AZ72" s="3">
        <f t="shared" si="23"/>
        <v>0.29576425237132942</v>
      </c>
      <c r="BA72" s="3">
        <f t="shared" si="14"/>
        <v>0.28291907065655175</v>
      </c>
      <c r="BB72" s="3">
        <f t="shared" si="22"/>
        <v>21.897739404143135</v>
      </c>
      <c r="BC72" s="9">
        <v>0</v>
      </c>
      <c r="BD72" s="27">
        <v>1</v>
      </c>
      <c r="BE72">
        <v>0</v>
      </c>
      <c r="BG72" s="3">
        <f t="shared" si="15"/>
        <v>1.1346984266848337</v>
      </c>
      <c r="BH72" s="3">
        <f t="shared" si="16"/>
        <v>1.1200018064517478</v>
      </c>
    </row>
    <row r="73" spans="1:60">
      <c r="A73">
        <v>1994</v>
      </c>
      <c r="B73" s="3">
        <f t="shared" si="17"/>
        <v>127.05425898319183</v>
      </c>
      <c r="C73" s="3">
        <f t="shared" si="0"/>
        <v>67.968212466727536</v>
      </c>
      <c r="D73" s="1">
        <v>106.517</v>
      </c>
      <c r="E73" s="3">
        <v>97.271140000000003</v>
      </c>
      <c r="F73" s="3">
        <f t="shared" si="18"/>
        <v>103.6103001938</v>
      </c>
      <c r="G73" s="3">
        <v>0.82936497115758823</v>
      </c>
      <c r="H73" s="3">
        <f t="shared" si="19"/>
        <v>85.93075363186</v>
      </c>
      <c r="I73" s="4">
        <f>H73*L$76/H$76</f>
        <v>71.621063342038823</v>
      </c>
      <c r="J73" s="21">
        <f t="shared" si="2"/>
        <v>53.368755044990742</v>
      </c>
      <c r="K73" s="21"/>
      <c r="L73" s="4">
        <f t="shared" si="26"/>
        <v>71.803014553014549</v>
      </c>
      <c r="M73">
        <v>66.099999999999994</v>
      </c>
      <c r="N73" s="4"/>
      <c r="O73" s="3"/>
      <c r="P73" s="23"/>
      <c r="Q73" s="21">
        <f t="shared" si="3"/>
        <v>18.448620543870049</v>
      </c>
      <c r="R73" s="21">
        <f t="shared" si="4"/>
        <v>0.19631224682197029</v>
      </c>
      <c r="S73" s="27"/>
      <c r="T73">
        <f>USA!Z81*G73</f>
        <v>14.265077503910517</v>
      </c>
      <c r="U73">
        <v>0</v>
      </c>
      <c r="V73">
        <v>0</v>
      </c>
      <c r="W73">
        <v>0</v>
      </c>
      <c r="X73" s="23"/>
      <c r="Y73" s="3">
        <f>'[1]Real petrol price'!HA48/100</f>
        <v>0.71099999999999997</v>
      </c>
      <c r="Z73" s="3">
        <v>41.5</v>
      </c>
      <c r="AA73" s="27">
        <f>0.205*(I73*(1-0.205))</f>
        <v>11.672442798168778</v>
      </c>
      <c r="AB73" s="3">
        <f t="shared" si="25"/>
        <v>53.172442798168774</v>
      </c>
      <c r="AD73" s="4"/>
      <c r="AN73">
        <v>1994</v>
      </c>
      <c r="AO73" s="3">
        <f t="shared" si="6"/>
        <v>0.71621063342038827</v>
      </c>
      <c r="AP73" s="3">
        <f t="shared" si="7"/>
        <v>0.41499999999999998</v>
      </c>
      <c r="AQ73" s="3">
        <f t="shared" si="8"/>
        <v>0.11672442798168778</v>
      </c>
      <c r="AR73" s="3">
        <f t="shared" si="9"/>
        <v>0.53172442798168773</v>
      </c>
      <c r="AS73" s="3">
        <f t="shared" si="10"/>
        <v>0.18448620543870053</v>
      </c>
      <c r="AT73" s="3"/>
      <c r="AU73" s="3">
        <v>73.897221746330729</v>
      </c>
      <c r="AV73" s="3"/>
      <c r="AW73" s="3">
        <f t="shared" si="11"/>
        <v>0.96919832233875669</v>
      </c>
      <c r="AX73" s="3">
        <f t="shared" si="21"/>
        <v>0.98520168634053917</v>
      </c>
      <c r="AY73" s="3">
        <f t="shared" si="12"/>
        <v>0.71954589823005055</v>
      </c>
      <c r="AZ73" s="3">
        <f t="shared" si="23"/>
        <v>0.24965242410870614</v>
      </c>
      <c r="BA73" s="3">
        <f t="shared" si="14"/>
        <v>0.26565578811048862</v>
      </c>
      <c r="BB73" s="3">
        <f t="shared" si="22"/>
        <v>19.303942918014819</v>
      </c>
      <c r="BC73" s="9">
        <v>0</v>
      </c>
      <c r="BD73" s="27">
        <v>1</v>
      </c>
      <c r="BE73">
        <v>0</v>
      </c>
      <c r="BG73" s="3">
        <f t="shared" si="15"/>
        <v>1.1088935906270281</v>
      </c>
      <c r="BH73" s="3">
        <f t="shared" si="16"/>
        <v>1.1272035973212464</v>
      </c>
    </row>
    <row r="74" spans="1:60">
      <c r="A74">
        <v>1995</v>
      </c>
      <c r="B74" s="3">
        <f t="shared" si="17"/>
        <v>134.76337279421134</v>
      </c>
      <c r="C74" s="3">
        <f t="shared" si="0"/>
        <v>69.875003486879606</v>
      </c>
      <c r="D74" s="1">
        <v>112.98</v>
      </c>
      <c r="E74" s="3">
        <v>100</v>
      </c>
      <c r="F74" s="3">
        <f t="shared" si="18"/>
        <v>112.98</v>
      </c>
      <c r="G74" s="3">
        <v>0.7307901110315097</v>
      </c>
      <c r="H74" s="3">
        <f t="shared" si="19"/>
        <v>82.564666744339974</v>
      </c>
      <c r="I74" s="4">
        <f>H74*L$76/H$76</f>
        <v>68.815516875884086</v>
      </c>
      <c r="J74" s="21">
        <f t="shared" si="2"/>
        <v>52.861283850955623</v>
      </c>
      <c r="K74" s="21"/>
      <c r="L74" s="4">
        <f t="shared" si="26"/>
        <v>70.499480249480243</v>
      </c>
      <c r="M74">
        <v>64.900000000000006</v>
      </c>
      <c r="N74" s="4">
        <f t="shared" ref="N74:N87" si="27">G74*O74</f>
        <v>86.233233101718142</v>
      </c>
      <c r="O74" s="6">
        <v>118</v>
      </c>
      <c r="P74" s="23"/>
      <c r="Q74" s="21">
        <f t="shared" si="3"/>
        <v>16.10030801303688</v>
      </c>
      <c r="R74" s="21">
        <f t="shared" si="4"/>
        <v>0.1460749881084189</v>
      </c>
      <c r="S74" s="27"/>
      <c r="T74">
        <f>USA!Z82*G74</f>
        <v>13.468461746310723</v>
      </c>
      <c r="U74">
        <v>0</v>
      </c>
      <c r="V74">
        <v>0</v>
      </c>
      <c r="W74">
        <v>0</v>
      </c>
      <c r="X74" s="23"/>
      <c r="Y74" s="3">
        <f>'[1]Real petrol price'!HA49/100</f>
        <v>0.71400000000000008</v>
      </c>
      <c r="Z74" s="3">
        <v>41.5</v>
      </c>
      <c r="AA74" s="4">
        <f>0.205*(I74*(1-0.205))</f>
        <v>11.215208862847209</v>
      </c>
      <c r="AB74" s="3">
        <f t="shared" si="25"/>
        <v>52.715208862847206</v>
      </c>
      <c r="AD74" s="4"/>
      <c r="AN74">
        <v>1995</v>
      </c>
      <c r="AO74" s="3">
        <f t="shared" si="6"/>
        <v>0.68815516875884086</v>
      </c>
      <c r="AP74" s="3">
        <f t="shared" si="7"/>
        <v>0.41499999999999998</v>
      </c>
      <c r="AQ74" s="3">
        <f t="shared" si="8"/>
        <v>0.11215208862847209</v>
      </c>
      <c r="AR74" s="3">
        <f t="shared" si="9"/>
        <v>0.52715208862847207</v>
      </c>
      <c r="AS74" s="3">
        <f t="shared" si="10"/>
        <v>0.16100308013036879</v>
      </c>
      <c r="AT74" s="3"/>
      <c r="AU74" s="3">
        <v>74.982004141650378</v>
      </c>
      <c r="AV74" s="3"/>
      <c r="AW74" s="3">
        <f t="shared" si="11"/>
        <v>0.91776043683605701</v>
      </c>
      <c r="AX74" s="3">
        <f t="shared" si="21"/>
        <v>0.89785153710359744</v>
      </c>
      <c r="AY74" s="3">
        <f t="shared" si="12"/>
        <v>0.70303814183549418</v>
      </c>
      <c r="AZ74" s="3">
        <f t="shared" si="23"/>
        <v>0.21472229500056284</v>
      </c>
      <c r="BA74" s="3">
        <f t="shared" si="14"/>
        <v>0.19481339526810326</v>
      </c>
      <c r="BB74" s="3">
        <f t="shared" si="22"/>
        <v>17.962258945315888</v>
      </c>
      <c r="BC74" s="9">
        <v>0</v>
      </c>
      <c r="BD74" s="27">
        <v>1</v>
      </c>
      <c r="BE74" s="27">
        <v>1</v>
      </c>
      <c r="BG74" s="3">
        <f t="shared" si="15"/>
        <v>1.0500417124977817</v>
      </c>
      <c r="BH74" s="3">
        <f t="shared" si="16"/>
        <v>1.0272632462118647</v>
      </c>
    </row>
    <row r="75" spans="1:60">
      <c r="A75">
        <v>1996</v>
      </c>
      <c r="B75" s="3">
        <f t="shared" si="17"/>
        <v>136.26750284460525</v>
      </c>
      <c r="C75" s="3">
        <f t="shared" si="0"/>
        <v>71.923179589087013</v>
      </c>
      <c r="D75" s="1">
        <v>114.241</v>
      </c>
      <c r="E75" s="3">
        <v>102.9312</v>
      </c>
      <c r="F75" s="3">
        <f t="shared" si="18"/>
        <v>117.58963219200001</v>
      </c>
      <c r="G75" s="3">
        <v>0.76751553672666506</v>
      </c>
      <c r="H75" s="3">
        <f t="shared" si="19"/>
        <v>90.251869665334027</v>
      </c>
      <c r="I75" s="4">
        <f>H75*L$76/H$76</f>
        <v>75.222601930512212</v>
      </c>
      <c r="J75" s="21">
        <f t="shared" si="2"/>
        <v>59.250029282462641</v>
      </c>
      <c r="K75" s="21"/>
      <c r="L75" s="4">
        <f t="shared" si="26"/>
        <v>78.863825363825356</v>
      </c>
      <c r="M75">
        <v>72.599999999999994</v>
      </c>
      <c r="N75" s="4">
        <f t="shared" si="27"/>
        <v>89.031802260293148</v>
      </c>
      <c r="O75" s="3">
        <f>O74+(O$77-O$74)/3</f>
        <v>116</v>
      </c>
      <c r="P75" s="23"/>
      <c r="Q75" s="21">
        <f t="shared" si="3"/>
        <v>16.143172270240235</v>
      </c>
      <c r="R75" s="21">
        <f t="shared" si="4"/>
        <v>0.17059962219066499</v>
      </c>
      <c r="S75" s="27"/>
      <c r="T75">
        <f>USA!Z83*G75</f>
        <v>16.977443672393832</v>
      </c>
      <c r="U75">
        <v>0</v>
      </c>
      <c r="V75">
        <v>0</v>
      </c>
      <c r="W75">
        <v>0</v>
      </c>
      <c r="X75" s="23"/>
      <c r="Y75" s="3">
        <f>'[1]Real petrol price'!HA50/100</f>
        <v>0.72199999999999998</v>
      </c>
      <c r="Z75" s="3">
        <v>46.6</v>
      </c>
      <c r="AA75" s="27">
        <f t="shared" ref="AA75:AA97" si="28">0.21*(I75*(1-0.21))</f>
        <v>12.479429660271977</v>
      </c>
      <c r="AB75" s="3">
        <f t="shared" si="25"/>
        <v>59.079429660271977</v>
      </c>
      <c r="AD75" s="4"/>
      <c r="AN75">
        <v>1996</v>
      </c>
      <c r="AO75" s="3">
        <f t="shared" si="6"/>
        <v>0.75222601930512212</v>
      </c>
      <c r="AP75" s="3">
        <f t="shared" si="7"/>
        <v>0.46600000000000003</v>
      </c>
      <c r="AQ75" s="3">
        <f t="shared" si="8"/>
        <v>0.12479429660271978</v>
      </c>
      <c r="AR75" s="3">
        <f t="shared" si="9"/>
        <v>0.59079429660271976</v>
      </c>
      <c r="AS75" s="3">
        <f t="shared" si="10"/>
        <v>0.16143172270240236</v>
      </c>
      <c r="AT75" s="3"/>
      <c r="AU75" s="3">
        <v>76.536856473413053</v>
      </c>
      <c r="AV75" s="3"/>
      <c r="AW75" s="3">
        <f t="shared" si="11"/>
        <v>0.98282847501899462</v>
      </c>
      <c r="AX75" s="3">
        <f t="shared" si="21"/>
        <v>0.99480688635007308</v>
      </c>
      <c r="AY75" s="3">
        <f t="shared" si="12"/>
        <v>0.77190823326791136</v>
      </c>
      <c r="AZ75" s="3">
        <f t="shared" si="23"/>
        <v>0.21092024175108326</v>
      </c>
      <c r="BA75" s="3">
        <f t="shared" si="14"/>
        <v>0.22289865308216172</v>
      </c>
      <c r="BB75" s="3">
        <f t="shared" si="22"/>
        <v>22.182049870693817</v>
      </c>
      <c r="BC75" s="9">
        <v>0</v>
      </c>
      <c r="BD75" s="27">
        <v>1</v>
      </c>
      <c r="BE75" s="27">
        <v>1</v>
      </c>
      <c r="BG75" s="3">
        <f t="shared" si="15"/>
        <v>1.1244883235088508</v>
      </c>
      <c r="BH75" s="3">
        <f t="shared" si="16"/>
        <v>1.1381932415269451</v>
      </c>
    </row>
    <row r="76" spans="1:60">
      <c r="A76">
        <v>1997</v>
      </c>
      <c r="B76" s="3">
        <f t="shared" si="17"/>
        <v>127.81049883406389</v>
      </c>
      <c r="C76" s="3">
        <f t="shared" si="0"/>
        <v>73.604511922988308</v>
      </c>
      <c r="D76" s="1">
        <v>107.151</v>
      </c>
      <c r="E76" s="3">
        <v>105.3374</v>
      </c>
      <c r="F76" s="3">
        <f t="shared" si="18"/>
        <v>112.87007747399998</v>
      </c>
      <c r="G76" s="3">
        <v>0.8868118165885388</v>
      </c>
      <c r="H76" s="3">
        <f t="shared" si="19"/>
        <v>100.09451844320704</v>
      </c>
      <c r="I76" s="4">
        <f>H76*L$76/H$76</f>
        <v>83.42619542619542</v>
      </c>
      <c r="J76" s="21">
        <f t="shared" si="2"/>
        <v>64.720593875167069</v>
      </c>
      <c r="K76" s="21"/>
      <c r="L76" s="4">
        <f t="shared" si="26"/>
        <v>83.42619542619542</v>
      </c>
      <c r="M76">
        <v>76.8</v>
      </c>
      <c r="N76" s="4">
        <f t="shared" si="27"/>
        <v>101.09654709109343</v>
      </c>
      <c r="O76" s="3">
        <f>O75+(O$77-O$74)/3</f>
        <v>114</v>
      </c>
      <c r="P76" s="23"/>
      <c r="Q76" s="21">
        <f t="shared" si="3"/>
        <v>18.885789604989597</v>
      </c>
      <c r="R76" s="21">
        <f t="shared" si="4"/>
        <v>0.18018805396124979</v>
      </c>
      <c r="S76" s="27"/>
      <c r="T76">
        <f>USA!Z84*G76</f>
        <v>18.277191539889785</v>
      </c>
      <c r="U76">
        <v>0</v>
      </c>
      <c r="V76">
        <v>0</v>
      </c>
      <c r="W76">
        <v>0</v>
      </c>
      <c r="X76" s="23"/>
      <c r="Y76" s="3">
        <f>'[1]Real petrol price'!HA51/100</f>
        <v>0.72199999999999998</v>
      </c>
      <c r="Z76" s="3">
        <v>50.7</v>
      </c>
      <c r="AA76" s="4">
        <f t="shared" si="28"/>
        <v>13.84040582120582</v>
      </c>
      <c r="AB76" s="3">
        <f t="shared" si="25"/>
        <v>64.540405821205823</v>
      </c>
      <c r="AD76" s="4"/>
      <c r="AN76">
        <v>1997</v>
      </c>
      <c r="AO76" s="3">
        <f t="shared" si="6"/>
        <v>0.83426195426195415</v>
      </c>
      <c r="AP76" s="3">
        <f t="shared" si="7"/>
        <v>0.50700000000000001</v>
      </c>
      <c r="AQ76" s="3">
        <f t="shared" si="8"/>
        <v>0.1384040582120582</v>
      </c>
      <c r="AR76" s="3">
        <f t="shared" si="9"/>
        <v>0.64540405821205826</v>
      </c>
      <c r="AS76" s="3">
        <f t="shared" si="10"/>
        <v>0.18885789604989589</v>
      </c>
      <c r="AT76" s="3"/>
      <c r="AU76" s="3">
        <v>77.782907876911366</v>
      </c>
      <c r="AV76" s="3"/>
      <c r="AW76" s="3">
        <f t="shared" ref="AW76:AW96" si="29">AO76/$AU76*100</f>
        <v>1.0725517688052284</v>
      </c>
      <c r="AX76" s="3">
        <f t="shared" si="21"/>
        <v>1.0614055641629876</v>
      </c>
      <c r="AY76" s="3">
        <f t="shared" ref="AY76:AY96" si="30">AR76/$AU76*100</f>
        <v>0.82975048867212164</v>
      </c>
      <c r="AZ76" s="3">
        <f t="shared" si="23"/>
        <v>0.24280128013310676</v>
      </c>
      <c r="BA76" s="3">
        <f t="shared" ref="BA76:BA97" si="31">AX$99+AX$100*BB76+AX$101*BC76+AX$102*BD76+AX$103*BE76</f>
        <v>0.231655075490866</v>
      </c>
      <c r="BB76" s="3">
        <f t="shared" si="22"/>
        <v>23.497696394705091</v>
      </c>
      <c r="BC76" s="9">
        <v>0</v>
      </c>
      <c r="BD76" s="27">
        <v>1</v>
      </c>
      <c r="BE76" s="27">
        <v>1</v>
      </c>
      <c r="BG76" s="3">
        <f t="shared" si="15"/>
        <v>1.2271438720341663</v>
      </c>
      <c r="BH76" s="3">
        <f t="shared" si="16"/>
        <v>1.214391110702747</v>
      </c>
    </row>
    <row r="77" spans="1:60">
      <c r="A77">
        <v>1998</v>
      </c>
      <c r="B77" s="3">
        <f t="shared" si="17"/>
        <v>113.956814925979</v>
      </c>
      <c r="C77" s="3">
        <f t="shared" si="0"/>
        <v>74.747038105002289</v>
      </c>
      <c r="D77" s="1">
        <v>111.48699999999999</v>
      </c>
      <c r="E77" s="3">
        <v>106.9725</v>
      </c>
      <c r="F77" s="3">
        <f t="shared" si="18"/>
        <v>119.260431075</v>
      </c>
      <c r="G77" s="3">
        <v>0.89981878983339081</v>
      </c>
      <c r="H77" s="3">
        <f t="shared" si="19"/>
        <v>107.31277676491501</v>
      </c>
      <c r="I77" s="4">
        <f>H77*L$78/H$78</f>
        <v>76.645974125276183</v>
      </c>
      <c r="J77" s="21">
        <f t="shared" si="2"/>
        <v>63.561023420250336</v>
      </c>
      <c r="K77" s="21"/>
      <c r="L77" s="4">
        <f t="shared" si="26"/>
        <v>76.148128898128888</v>
      </c>
      <c r="M77">
        <v>70.099999999999994</v>
      </c>
      <c r="N77" s="4">
        <f t="shared" si="27"/>
        <v>100.77970446133978</v>
      </c>
      <c r="O77" s="6">
        <v>112</v>
      </c>
      <c r="P77" s="23"/>
      <c r="Q77" s="21">
        <f t="shared" si="3"/>
        <v>13.230407017892858</v>
      </c>
      <c r="R77" s="21">
        <f t="shared" si="4"/>
        <v>0.14545631286701513</v>
      </c>
      <c r="S77" s="27"/>
      <c r="T77">
        <f>USA!Z85*G77</f>
        <v>12.975386949397496</v>
      </c>
      <c r="U77">
        <v>0</v>
      </c>
      <c r="V77">
        <v>0</v>
      </c>
      <c r="W77">
        <v>0</v>
      </c>
      <c r="X77" s="23"/>
      <c r="Y77" s="3">
        <f>'[1]Real petrol price'!HA52/100</f>
        <v>0.747</v>
      </c>
      <c r="Z77" s="3">
        <v>50.7</v>
      </c>
      <c r="AA77" s="4">
        <f t="shared" si="28"/>
        <v>12.71556710738332</v>
      </c>
      <c r="AB77" s="3">
        <f t="shared" si="25"/>
        <v>63.415567107383325</v>
      </c>
      <c r="AD77" s="4"/>
      <c r="AN77">
        <v>1998</v>
      </c>
      <c r="AO77" s="3">
        <f t="shared" si="6"/>
        <v>0.76645974125276184</v>
      </c>
      <c r="AP77" s="3">
        <f t="shared" si="7"/>
        <v>0.50700000000000001</v>
      </c>
      <c r="AQ77" s="3">
        <f t="shared" si="8"/>
        <v>0.12715567107383319</v>
      </c>
      <c r="AR77" s="3">
        <f t="shared" si="9"/>
        <v>0.63415567107383319</v>
      </c>
      <c r="AS77" s="3">
        <f t="shared" si="10"/>
        <v>0.13230407017892865</v>
      </c>
      <c r="AT77" s="3"/>
      <c r="AU77" s="3">
        <v>78.52027693162178</v>
      </c>
      <c r="AV77" s="3"/>
      <c r="AW77" s="3">
        <f t="shared" si="29"/>
        <v>0.97612969694467822</v>
      </c>
      <c r="AX77" s="3">
        <f t="shared" si="21"/>
        <v>0.992879819590756</v>
      </c>
      <c r="AY77" s="3">
        <f t="shared" si="30"/>
        <v>0.80763300367124058</v>
      </c>
      <c r="AZ77" s="3">
        <f t="shared" si="23"/>
        <v>0.16849669327343764</v>
      </c>
      <c r="BA77" s="3">
        <f t="shared" si="31"/>
        <v>0.18524681591951542</v>
      </c>
      <c r="BB77" s="3">
        <f t="shared" si="22"/>
        <v>16.524886890932542</v>
      </c>
      <c r="BC77" s="9">
        <v>0</v>
      </c>
      <c r="BD77" s="27">
        <v>1</v>
      </c>
      <c r="BE77" s="27">
        <v>1</v>
      </c>
      <c r="BG77" s="3">
        <f t="shared" si="15"/>
        <v>1.1168240179684559</v>
      </c>
      <c r="BH77" s="3">
        <f t="shared" si="16"/>
        <v>1.1359884172625359</v>
      </c>
    </row>
    <row r="78" spans="1:60">
      <c r="A78">
        <v>1999</v>
      </c>
      <c r="B78" s="3">
        <f t="shared" si="17"/>
        <v>113.45902622533275</v>
      </c>
      <c r="C78" s="3">
        <f t="shared" si="0"/>
        <v>75.889564287016256</v>
      </c>
      <c r="D78" s="19">
        <v>111</v>
      </c>
      <c r="E78" s="3">
        <v>108.60760000000001</v>
      </c>
      <c r="F78" s="3">
        <f t="shared" si="18"/>
        <v>120.55443600000001</v>
      </c>
      <c r="G78" s="3">
        <v>0.93862699999999999</v>
      </c>
      <c r="H78" s="3">
        <f t="shared" si="19"/>
        <v>113.15564859937201</v>
      </c>
      <c r="I78" s="4">
        <f>H78*L$78/H$78</f>
        <v>80.819126819126822</v>
      </c>
      <c r="J78" s="21">
        <f t="shared" si="2"/>
        <v>64.276852786379052</v>
      </c>
      <c r="K78" s="21"/>
      <c r="L78" s="4">
        <f>L$79*M78/M$79</f>
        <v>80.819126819126822</v>
      </c>
      <c r="M78">
        <v>74.400000000000006</v>
      </c>
      <c r="N78" s="4">
        <f t="shared" si="27"/>
        <v>97.617208000000005</v>
      </c>
      <c r="O78" s="3">
        <f>(O77+O79)/2</f>
        <v>104</v>
      </c>
      <c r="P78" s="23"/>
      <c r="Q78" s="21">
        <f t="shared" si="3"/>
        <v>16.711233679833683</v>
      </c>
      <c r="R78" s="21">
        <f t="shared" si="4"/>
        <v>0.1689596470859199</v>
      </c>
      <c r="S78" s="27"/>
      <c r="T78">
        <f>USA!Z86*G78</f>
        <v>16.40719996</v>
      </c>
      <c r="U78">
        <v>0</v>
      </c>
      <c r="V78">
        <v>0</v>
      </c>
      <c r="W78">
        <v>0</v>
      </c>
      <c r="X78" s="23"/>
      <c r="Y78" s="3">
        <f>'[1]Real petrol price'!HA53/100</f>
        <v>0.63</v>
      </c>
      <c r="Z78" s="3">
        <v>50.7</v>
      </c>
      <c r="AA78" s="4">
        <f t="shared" si="28"/>
        <v>13.407893139293138</v>
      </c>
      <c r="AB78" s="3">
        <f>Z78+AA78</f>
        <v>64.107893139293139</v>
      </c>
      <c r="AD78" s="4"/>
      <c r="AN78">
        <v>1999</v>
      </c>
      <c r="AO78" s="3">
        <f t="shared" si="6"/>
        <v>0.80819126819126819</v>
      </c>
      <c r="AP78" s="3">
        <f t="shared" si="7"/>
        <v>0.50700000000000001</v>
      </c>
      <c r="AQ78" s="3">
        <f t="shared" si="8"/>
        <v>0.13407893139293139</v>
      </c>
      <c r="AR78" s="3">
        <f t="shared" si="9"/>
        <v>0.64107893139293137</v>
      </c>
      <c r="AS78" s="3">
        <f t="shared" si="10"/>
        <v>0.16711233679833681</v>
      </c>
      <c r="AT78" s="3"/>
      <c r="AU78" s="3">
        <v>79.400575608329873</v>
      </c>
      <c r="AV78" s="3"/>
      <c r="AW78" s="3">
        <f t="shared" si="29"/>
        <v>1.0178657547496184</v>
      </c>
      <c r="AX78" s="3">
        <f t="shared" si="21"/>
        <v>1.0201923251471623</v>
      </c>
      <c r="AY78" s="3">
        <f t="shared" si="30"/>
        <v>0.8073983424947313</v>
      </c>
      <c r="AZ78" s="3">
        <f t="shared" si="23"/>
        <v>0.21046741225488708</v>
      </c>
      <c r="BA78" s="3">
        <f t="shared" si="31"/>
        <v>0.2127939826524311</v>
      </c>
      <c r="BB78" s="3">
        <f t="shared" si="22"/>
        <v>20.663829996565831</v>
      </c>
      <c r="BC78" s="9">
        <v>0</v>
      </c>
      <c r="BD78" s="27">
        <v>1</v>
      </c>
      <c r="BE78" s="27">
        <v>1</v>
      </c>
      <c r="BG78" s="3">
        <f t="shared" si="15"/>
        <v>1.1645756967850864</v>
      </c>
      <c r="BH78" s="3">
        <f t="shared" si="16"/>
        <v>1.1672376070902482</v>
      </c>
    </row>
    <row r="79" spans="1:60">
      <c r="A79">
        <v>2000</v>
      </c>
      <c r="B79" s="3">
        <f t="shared" si="17"/>
        <v>121.93517906104013</v>
      </c>
      <c r="C79" s="3">
        <f t="shared" si="0"/>
        <v>78.958238837304293</v>
      </c>
      <c r="D79" s="2">
        <f>F79/E79*100</f>
        <v>85.202210620634673</v>
      </c>
      <c r="E79" s="2">
        <v>112.9992628224058</v>
      </c>
      <c r="F79" s="2">
        <f>I79/G79</f>
        <v>96.277869909710716</v>
      </c>
      <c r="G79" s="2">
        <v>1.0853999999999999</v>
      </c>
      <c r="H79" s="5">
        <f t="shared" ref="H79:H89" si="32">(R79+Z79)+0.2*(R79+Z79)</f>
        <v>61.283440947935354</v>
      </c>
      <c r="I79">
        <f t="shared" ref="I79:I89" si="33">L79</f>
        <v>104.5</v>
      </c>
      <c r="J79" s="21">
        <f t="shared" si="2"/>
        <v>68.406084123279456</v>
      </c>
      <c r="K79" s="21"/>
      <c r="L79">
        <v>104.5</v>
      </c>
      <c r="M79">
        <v>96.2</v>
      </c>
      <c r="N79" s="4">
        <f t="shared" si="27"/>
        <v>104.19839999999999</v>
      </c>
      <c r="O79" s="6">
        <v>96</v>
      </c>
      <c r="P79" s="23"/>
      <c r="Q79" s="21">
        <f t="shared" ref="Q79:Q89" si="34">L79-AB79</f>
        <v>36.463449999999995</v>
      </c>
      <c r="R79" s="21">
        <f t="shared" si="4"/>
        <v>0.36953412327945628</v>
      </c>
      <c r="S79" s="27"/>
      <c r="T79">
        <f>USA!Z87*G79</f>
        <v>29.957039999999999</v>
      </c>
      <c r="U79">
        <v>0</v>
      </c>
      <c r="V79">
        <v>0</v>
      </c>
      <c r="W79">
        <v>0</v>
      </c>
      <c r="X79" s="23"/>
      <c r="Z79" s="3">
        <v>50.7</v>
      </c>
      <c r="AA79" s="4">
        <f t="shared" si="28"/>
        <v>17.336549999999999</v>
      </c>
      <c r="AB79" s="3">
        <f t="shared" ref="AB79:AB97" si="35">Z79+AA79</f>
        <v>68.036550000000005</v>
      </c>
      <c r="AC79">
        <v>56.9</v>
      </c>
      <c r="AN79">
        <v>2000</v>
      </c>
      <c r="AO79" s="3">
        <f t="shared" si="6"/>
        <v>1.0449999999999999</v>
      </c>
      <c r="AP79" s="3">
        <f t="shared" si="7"/>
        <v>0.50700000000000001</v>
      </c>
      <c r="AQ79" s="3">
        <f t="shared" si="8"/>
        <v>0.17336549999999998</v>
      </c>
      <c r="AR79" s="3">
        <f t="shared" si="9"/>
        <v>0.68036550000000007</v>
      </c>
      <c r="AS79" s="3">
        <f t="shared" si="10"/>
        <v>0.36463449999999986</v>
      </c>
      <c r="AT79" s="3"/>
      <c r="AU79" s="3">
        <v>81.421377425976317</v>
      </c>
      <c r="AV79" s="3"/>
      <c r="AW79" s="3">
        <f t="shared" si="29"/>
        <v>1.2834467225146793</v>
      </c>
      <c r="AX79" s="3">
        <f t="shared" si="21"/>
        <v>1.2894643353755164</v>
      </c>
      <c r="AY79" s="3">
        <f t="shared" si="30"/>
        <v>0.83561040295412548</v>
      </c>
      <c r="AZ79" s="3">
        <f t="shared" si="23"/>
        <v>0.44783631956055381</v>
      </c>
      <c r="BA79" s="3">
        <f t="shared" si="31"/>
        <v>0.45385393242139105</v>
      </c>
      <c r="BB79" s="3">
        <f t="shared" si="22"/>
        <v>36.792597898795357</v>
      </c>
      <c r="BC79" s="9">
        <v>0</v>
      </c>
      <c r="BD79">
        <v>0</v>
      </c>
      <c r="BE79">
        <v>0</v>
      </c>
      <c r="BG79" s="3">
        <f t="shared" si="15"/>
        <v>1.4684361411950022</v>
      </c>
      <c r="BH79" s="3">
        <f t="shared" si="16"/>
        <v>1.4753211018665755</v>
      </c>
    </row>
    <row r="80" spans="1:60">
      <c r="A80">
        <v>2001</v>
      </c>
      <c r="B80" s="3">
        <f t="shared" si="17"/>
        <v>111.10876016913164</v>
      </c>
      <c r="C80" s="3">
        <f t="shared" si="0"/>
        <v>81.182199298191421</v>
      </c>
      <c r="D80" s="2">
        <f t="shared" ref="D80:D89" si="36">F80/E80*100</f>
        <v>77.637250042409406</v>
      </c>
      <c r="E80" s="2">
        <v>116.1820325539375</v>
      </c>
      <c r="F80" s="2">
        <f t="shared" ref="F80:F90" si="37">I80/G80</f>
        <v>90.200535118253967</v>
      </c>
      <c r="G80" s="2">
        <v>1.11751</v>
      </c>
      <c r="H80" s="5">
        <f t="shared" si="32"/>
        <v>61.255579528784182</v>
      </c>
      <c r="I80">
        <f t="shared" si="33"/>
        <v>100.8</v>
      </c>
      <c r="J80" s="21">
        <f t="shared" si="2"/>
        <v>67.769036273986814</v>
      </c>
      <c r="K80" s="21"/>
      <c r="L80">
        <v>100.8</v>
      </c>
      <c r="M80">
        <v>92.1</v>
      </c>
      <c r="N80" s="4">
        <f t="shared" si="27"/>
        <v>111.751</v>
      </c>
      <c r="O80" s="3">
        <f>(O79+O81)/2</f>
        <v>100</v>
      </c>
      <c r="P80" s="23"/>
      <c r="Q80" s="21">
        <f t="shared" si="34"/>
        <v>33.377279999999999</v>
      </c>
      <c r="R80" s="21">
        <f t="shared" si="4"/>
        <v>0.34631627398681303</v>
      </c>
      <c r="S80" s="27"/>
      <c r="T80">
        <f>USA!Z88*G80</f>
        <v>25.836831200000002</v>
      </c>
      <c r="U80">
        <v>0</v>
      </c>
      <c r="V80">
        <v>0</v>
      </c>
      <c r="W80">
        <v>0</v>
      </c>
      <c r="X80" s="23"/>
      <c r="Z80" s="3">
        <v>50.7</v>
      </c>
      <c r="AA80" s="4">
        <f t="shared" si="28"/>
        <v>16.722719999999999</v>
      </c>
      <c r="AB80" s="3">
        <f t="shared" si="35"/>
        <v>67.422719999999998</v>
      </c>
      <c r="AC80">
        <v>56.4</v>
      </c>
      <c r="AN80">
        <v>2001</v>
      </c>
      <c r="AO80" s="3">
        <f t="shared" si="6"/>
        <v>1.008</v>
      </c>
      <c r="AP80" s="3">
        <f t="shared" si="7"/>
        <v>0.50700000000000001</v>
      </c>
      <c r="AQ80" s="3">
        <f t="shared" si="8"/>
        <v>0.16722719999999999</v>
      </c>
      <c r="AR80" s="3">
        <f t="shared" si="9"/>
        <v>0.67422720000000003</v>
      </c>
      <c r="AS80" s="3">
        <f t="shared" si="10"/>
        <v>0.33377279999999998</v>
      </c>
      <c r="AT80" s="3"/>
      <c r="AU80" s="3">
        <v>83.433383526190937</v>
      </c>
      <c r="AV80" s="3"/>
      <c r="AW80" s="3">
        <f t="shared" si="29"/>
        <v>1.2081494929227872</v>
      </c>
      <c r="AX80" s="3">
        <f t="shared" si="21"/>
        <v>1.2231836117091546</v>
      </c>
      <c r="AY80" s="3">
        <f t="shared" si="30"/>
        <v>0.80810243035193507</v>
      </c>
      <c r="AZ80" s="3">
        <f t="shared" si="23"/>
        <v>0.4000470625708521</v>
      </c>
      <c r="BA80" s="3">
        <f t="shared" si="31"/>
        <v>0.41508118135721939</v>
      </c>
      <c r="BB80" s="3">
        <f t="shared" si="22"/>
        <v>30.967018366082982</v>
      </c>
      <c r="BC80" s="9">
        <v>0</v>
      </c>
      <c r="BD80">
        <v>0</v>
      </c>
      <c r="BE80">
        <v>0</v>
      </c>
      <c r="BG80" s="3">
        <f t="shared" si="15"/>
        <v>1.38228595566338</v>
      </c>
      <c r="BH80" s="3">
        <f t="shared" si="16"/>
        <v>1.3994870151149679</v>
      </c>
    </row>
    <row r="81" spans="1:60">
      <c r="A81">
        <v>2002</v>
      </c>
      <c r="B81" s="3">
        <f t="shared" si="17"/>
        <v>111.71135168138773</v>
      </c>
      <c r="C81" s="3">
        <f t="shared" si="0"/>
        <v>82.47759894808965</v>
      </c>
      <c r="D81" s="2">
        <f t="shared" si="36"/>
        <v>78.058310882610002</v>
      </c>
      <c r="E81" s="2">
        <v>118.03591389240708</v>
      </c>
      <c r="F81" s="2">
        <f t="shared" si="37"/>
        <v>92.136840619264973</v>
      </c>
      <c r="G81" s="2">
        <v>1.0625500000000001</v>
      </c>
      <c r="H81" s="5">
        <f t="shared" si="32"/>
        <v>61.259391227508388</v>
      </c>
      <c r="I81">
        <f t="shared" si="33"/>
        <v>97.9</v>
      </c>
      <c r="J81" s="21">
        <f t="shared" si="2"/>
        <v>67.291102689590318</v>
      </c>
      <c r="K81" s="21"/>
      <c r="L81">
        <v>97.9</v>
      </c>
      <c r="M81">
        <v>88.1</v>
      </c>
      <c r="N81" s="4">
        <f t="shared" si="27"/>
        <v>110.50520000000002</v>
      </c>
      <c r="O81" s="6">
        <v>104</v>
      </c>
      <c r="P81" s="23"/>
      <c r="Q81" s="21">
        <f t="shared" si="34"/>
        <v>30.958390000000009</v>
      </c>
      <c r="R81" s="21">
        <f t="shared" si="4"/>
        <v>0.34949268959031726</v>
      </c>
      <c r="S81" s="27"/>
      <c r="T81">
        <f>USA!Z89*G81</f>
        <v>25.883718000000002</v>
      </c>
      <c r="U81">
        <v>0</v>
      </c>
      <c r="V81">
        <v>0</v>
      </c>
      <c r="W81">
        <v>0</v>
      </c>
      <c r="X81" s="23"/>
      <c r="Z81" s="3">
        <v>50.7</v>
      </c>
      <c r="AA81" s="4">
        <f t="shared" si="28"/>
        <v>16.241610000000001</v>
      </c>
      <c r="AB81" s="3">
        <f t="shared" si="35"/>
        <v>66.941609999999997</v>
      </c>
      <c r="AC81">
        <v>55.7</v>
      </c>
      <c r="AN81">
        <v>2002</v>
      </c>
      <c r="AO81" s="3">
        <f t="shared" si="6"/>
        <v>0.97900000000000009</v>
      </c>
      <c r="AP81" s="3">
        <f t="shared" si="7"/>
        <v>0.50700000000000001</v>
      </c>
      <c r="AQ81" s="3">
        <f t="shared" si="8"/>
        <v>0.16241610000000001</v>
      </c>
      <c r="AR81" s="3">
        <f t="shared" si="9"/>
        <v>0.66941609999999996</v>
      </c>
      <c r="AS81" s="3">
        <f t="shared" si="10"/>
        <v>0.30958390000000013</v>
      </c>
      <c r="AT81" s="3"/>
      <c r="AU81" s="3">
        <v>84.804039665766737</v>
      </c>
      <c r="AV81" s="3"/>
      <c r="AW81" s="3">
        <f t="shared" si="29"/>
        <v>1.1544261380218162</v>
      </c>
      <c r="AX81" s="3">
        <f t="shared" si="21"/>
        <v>1.2014861480727612</v>
      </c>
      <c r="AY81" s="3">
        <f t="shared" si="30"/>
        <v>0.78936817472178322</v>
      </c>
      <c r="AZ81" s="3">
        <f t="shared" si="23"/>
        <v>0.36505796330003293</v>
      </c>
      <c r="BA81" s="3">
        <f t="shared" si="31"/>
        <v>0.41211797335097788</v>
      </c>
      <c r="BB81" s="3">
        <f t="shared" si="22"/>
        <v>30.521798374244913</v>
      </c>
      <c r="BC81" s="9">
        <v>0</v>
      </c>
      <c r="BD81">
        <v>0</v>
      </c>
      <c r="BE81">
        <v>0</v>
      </c>
      <c r="BG81" s="3">
        <f t="shared" si="15"/>
        <v>1.3208191923151806</v>
      </c>
      <c r="BH81" s="3">
        <f t="shared" si="16"/>
        <v>1.3746621905102365</v>
      </c>
    </row>
    <row r="82" spans="1:60">
      <c r="A82">
        <v>2003</v>
      </c>
      <c r="B82" s="3">
        <f t="shared" si="17"/>
        <v>136.17401555614722</v>
      </c>
      <c r="C82" s="3">
        <f t="shared" si="0"/>
        <v>84.37293294912061</v>
      </c>
      <c r="D82" s="2">
        <f t="shared" si="36"/>
        <v>95.15159811808185</v>
      </c>
      <c r="E82" s="2">
        <v>120.74837744367809</v>
      </c>
      <c r="F82" s="2">
        <f t="shared" si="37"/>
        <v>114.89401083931317</v>
      </c>
      <c r="G82" s="2">
        <v>0.88603399999999999</v>
      </c>
      <c r="H82" s="5">
        <f t="shared" si="32"/>
        <v>64.734897103347066</v>
      </c>
      <c r="I82">
        <f t="shared" si="33"/>
        <v>101.8</v>
      </c>
      <c r="J82" s="21">
        <f t="shared" si="2"/>
        <v>70.834367586122539</v>
      </c>
      <c r="K82" s="21"/>
      <c r="L82">
        <v>101.8</v>
      </c>
      <c r="M82">
        <v>89.8</v>
      </c>
      <c r="N82" s="4">
        <f t="shared" si="27"/>
        <v>112.526318</v>
      </c>
      <c r="O82" s="3">
        <f>(O81+O83)/2</f>
        <v>127</v>
      </c>
      <c r="P82" s="23"/>
      <c r="Q82" s="21">
        <f t="shared" si="34"/>
        <v>31.31138</v>
      </c>
      <c r="R82" s="21">
        <f t="shared" si="4"/>
        <v>0.34574758612254791</v>
      </c>
      <c r="S82" s="27"/>
      <c r="T82">
        <f>USA!Z90*G82</f>
        <v>24.897555400000002</v>
      </c>
      <c r="U82">
        <v>0</v>
      </c>
      <c r="V82">
        <v>0</v>
      </c>
      <c r="W82">
        <v>0</v>
      </c>
      <c r="X82" s="23"/>
      <c r="Z82" s="3">
        <v>53.6</v>
      </c>
      <c r="AA82" s="4">
        <f t="shared" si="28"/>
        <v>16.88862</v>
      </c>
      <c r="AB82" s="3">
        <f t="shared" si="35"/>
        <v>70.488619999999997</v>
      </c>
      <c r="AC82">
        <v>55.9</v>
      </c>
      <c r="AN82">
        <v>2003</v>
      </c>
      <c r="AO82" s="3">
        <f t="shared" si="6"/>
        <v>1.018</v>
      </c>
      <c r="AP82" s="3">
        <f t="shared" si="7"/>
        <v>0.53600000000000003</v>
      </c>
      <c r="AQ82" s="3">
        <f t="shared" si="8"/>
        <v>0.16888619999999999</v>
      </c>
      <c r="AR82" s="3">
        <f t="shared" si="9"/>
        <v>0.70488620000000002</v>
      </c>
      <c r="AS82" s="3">
        <f t="shared" si="10"/>
        <v>0.3131138</v>
      </c>
      <c r="AT82" s="3"/>
      <c r="AU82" s="3">
        <v>86.152707141944902</v>
      </c>
      <c r="AV82" s="3"/>
      <c r="AW82" s="3">
        <f t="shared" si="29"/>
        <v>1.1816227647063333</v>
      </c>
      <c r="AX82" s="3">
        <f t="shared" si="21"/>
        <v>1.2195017672416577</v>
      </c>
      <c r="AY82" s="3">
        <f t="shared" si="30"/>
        <v>0.81818229906418605</v>
      </c>
      <c r="AZ82" s="3">
        <f t="shared" si="23"/>
        <v>0.36344046564214727</v>
      </c>
      <c r="BA82" s="3">
        <f t="shared" si="31"/>
        <v>0.40131946817747166</v>
      </c>
      <c r="BB82" s="3">
        <f t="shared" si="22"/>
        <v>28.89933030076336</v>
      </c>
      <c r="BC82" s="9">
        <v>0</v>
      </c>
      <c r="BD82">
        <v>0</v>
      </c>
      <c r="BE82">
        <v>0</v>
      </c>
      <c r="BG82" s="3">
        <f t="shared" si="15"/>
        <v>1.3519358010855747</v>
      </c>
      <c r="BH82" s="3">
        <f t="shared" si="16"/>
        <v>1.3952744884962249</v>
      </c>
    </row>
    <row r="83" spans="1:60">
      <c r="A83">
        <v>2004</v>
      </c>
      <c r="B83" s="3">
        <f t="shared" si="17"/>
        <v>163.5522235687848</v>
      </c>
      <c r="C83" s="3">
        <f t="shared" si="0"/>
        <v>86.62364207534489</v>
      </c>
      <c r="D83" s="2">
        <f t="shared" si="36"/>
        <v>114.28212192155749</v>
      </c>
      <c r="E83" s="2">
        <v>123.96942791081244</v>
      </c>
      <c r="F83" s="2">
        <f t="shared" si="37"/>
        <v>141.67489275049201</v>
      </c>
      <c r="G83" s="2">
        <v>0.805365</v>
      </c>
      <c r="H83" s="5">
        <f t="shared" si="32"/>
        <v>68.132424987922889</v>
      </c>
      <c r="I83">
        <f t="shared" si="33"/>
        <v>114.1</v>
      </c>
      <c r="J83" s="21">
        <f t="shared" si="2"/>
        <v>75.706210823269075</v>
      </c>
      <c r="K83" s="21"/>
      <c r="L83">
        <v>114.1</v>
      </c>
      <c r="M83">
        <v>100</v>
      </c>
      <c r="N83" s="4">
        <f t="shared" si="27"/>
        <v>120.80475</v>
      </c>
      <c r="O83" s="6">
        <v>150</v>
      </c>
      <c r="P83" s="23"/>
      <c r="Q83" s="21">
        <f t="shared" si="34"/>
        <v>38.770809999999997</v>
      </c>
      <c r="R83" s="21">
        <f t="shared" si="4"/>
        <v>0.3770208232690711</v>
      </c>
      <c r="S83" s="27"/>
      <c r="T83">
        <f>USA!Z91*G83</f>
        <v>29.033408249999997</v>
      </c>
      <c r="U83">
        <v>0</v>
      </c>
      <c r="V83">
        <v>0</v>
      </c>
      <c r="W83">
        <v>0</v>
      </c>
      <c r="X83" s="23"/>
      <c r="Z83" s="113">
        <v>56.4</v>
      </c>
      <c r="AA83" s="4">
        <f t="shared" si="28"/>
        <v>18.929189999999998</v>
      </c>
      <c r="AB83" s="3">
        <f t="shared" si="35"/>
        <v>75.329189999999997</v>
      </c>
      <c r="AC83">
        <v>58</v>
      </c>
      <c r="AN83">
        <v>2004</v>
      </c>
      <c r="AO83" s="3">
        <f t="shared" si="6"/>
        <v>1.141</v>
      </c>
      <c r="AP83" s="3">
        <f t="shared" si="7"/>
        <v>0.56399999999999995</v>
      </c>
      <c r="AQ83" s="3">
        <f t="shared" si="8"/>
        <v>0.18929189999999999</v>
      </c>
      <c r="AR83" s="3">
        <f t="shared" si="9"/>
        <v>0.75329190000000001</v>
      </c>
      <c r="AS83" s="3">
        <f t="shared" si="10"/>
        <v>0.3877081</v>
      </c>
      <c r="AT83" s="3"/>
      <c r="AU83" s="3">
        <v>87.945554454366558</v>
      </c>
      <c r="AV83" s="3"/>
      <c r="AW83" s="3">
        <f t="shared" si="29"/>
        <v>1.2973936057132318</v>
      </c>
      <c r="AX83" s="3">
        <f t="shared" si="21"/>
        <v>1.2852414545360231</v>
      </c>
      <c r="AY83" s="3">
        <f t="shared" si="30"/>
        <v>0.85654346564029027</v>
      </c>
      <c r="AZ83" s="3">
        <f t="shared" si="23"/>
        <v>0.44085014007294154</v>
      </c>
      <c r="BA83" s="3">
        <f t="shared" si="31"/>
        <v>0.42869798889573296</v>
      </c>
      <c r="BB83" s="3">
        <f t="shared" si="22"/>
        <v>33.012934457153186</v>
      </c>
      <c r="BC83" s="9">
        <v>0</v>
      </c>
      <c r="BD83">
        <v>0</v>
      </c>
      <c r="BE83">
        <v>0</v>
      </c>
      <c r="BG83" s="3">
        <f t="shared" si="15"/>
        <v>1.4843932565052915</v>
      </c>
      <c r="BH83" s="3">
        <f t="shared" si="16"/>
        <v>1.47048955667199</v>
      </c>
    </row>
    <row r="84" spans="1:60">
      <c r="A84">
        <v>2005</v>
      </c>
      <c r="B84" s="3">
        <f t="shared" si="17"/>
        <v>177.77703957429065</v>
      </c>
      <c r="C84" s="3">
        <f t="shared" si="0"/>
        <v>89.539246597092159</v>
      </c>
      <c r="D84" s="2">
        <f t="shared" si="36"/>
        <v>124.22171260140691</v>
      </c>
      <c r="E84" s="2">
        <v>128.14202809149756</v>
      </c>
      <c r="F84" s="2">
        <f t="shared" si="37"/>
        <v>159.18022185743422</v>
      </c>
      <c r="G84" s="2">
        <v>0.80411999999999995</v>
      </c>
      <c r="H84" s="5">
        <f t="shared" si="32"/>
        <v>71.35193997096512</v>
      </c>
      <c r="I84">
        <f t="shared" si="33"/>
        <v>128</v>
      </c>
      <c r="J84" s="21">
        <f t="shared" si="2"/>
        <v>80.695149975804256</v>
      </c>
      <c r="K84" s="3">
        <f>'EU petrol prices nominal'!Y3*100</f>
        <v>122.19444897959187</v>
      </c>
      <c r="L84">
        <v>128</v>
      </c>
      <c r="M84">
        <v>119.5</v>
      </c>
      <c r="N84" s="4">
        <f t="shared" si="27"/>
        <v>125.84477999999999</v>
      </c>
      <c r="O84" s="3">
        <f>(O83+O85)/2</f>
        <v>156.5</v>
      </c>
      <c r="P84" s="24">
        <v>1.2219444897959186</v>
      </c>
      <c r="Q84" s="21">
        <f t="shared" si="34"/>
        <v>47.764800000000008</v>
      </c>
      <c r="R84" s="21">
        <f t="shared" si="4"/>
        <v>0.45994997580426711</v>
      </c>
      <c r="S84" s="27"/>
      <c r="T84">
        <f>USA!Z92*G84</f>
        <v>40.720636800000001</v>
      </c>
      <c r="U84">
        <v>0</v>
      </c>
      <c r="V84">
        <v>0</v>
      </c>
      <c r="W84">
        <v>0</v>
      </c>
      <c r="X84" s="23"/>
      <c r="Z84" s="113">
        <v>59</v>
      </c>
      <c r="AA84" s="4">
        <f t="shared" si="28"/>
        <v>21.235199999999999</v>
      </c>
      <c r="AB84" s="3">
        <f t="shared" si="35"/>
        <v>80.235199999999992</v>
      </c>
      <c r="AC84">
        <v>59.4</v>
      </c>
      <c r="AN84">
        <v>2005</v>
      </c>
      <c r="AO84" s="3">
        <f t="shared" si="6"/>
        <v>1.28</v>
      </c>
      <c r="AP84" s="3">
        <f t="shared" si="7"/>
        <v>0.59</v>
      </c>
      <c r="AQ84" s="3">
        <f t="shared" si="8"/>
        <v>0.21235199999999999</v>
      </c>
      <c r="AR84" s="3">
        <f t="shared" si="9"/>
        <v>0.80235199999999995</v>
      </c>
      <c r="AS84" s="3">
        <f t="shared" si="10"/>
        <v>0.47764800000000007</v>
      </c>
      <c r="AT84" s="3"/>
      <c r="AU84" s="3">
        <v>90.406871736136651</v>
      </c>
      <c r="AV84" s="3"/>
      <c r="AW84" s="3">
        <f t="shared" si="29"/>
        <v>1.4158215801735008</v>
      </c>
      <c r="AX84" s="3">
        <f t="shared" si="21"/>
        <v>1.3962456078432264</v>
      </c>
      <c r="AY84" s="3">
        <f t="shared" si="30"/>
        <v>0.88749005976200679</v>
      </c>
      <c r="AZ84" s="3">
        <f t="shared" si="23"/>
        <v>0.528331520411494</v>
      </c>
      <c r="BA84" s="3">
        <f t="shared" si="31"/>
        <v>0.50875554808121948</v>
      </c>
      <c r="BB84" s="3">
        <f t="shared" si="22"/>
        <v>45.041528390505633</v>
      </c>
      <c r="BC84" s="9">
        <v>0</v>
      </c>
      <c r="BD84">
        <v>0</v>
      </c>
      <c r="BE84">
        <v>0</v>
      </c>
      <c r="BG84" s="3">
        <f t="shared" si="15"/>
        <v>1.619890830947061</v>
      </c>
      <c r="BH84" s="3">
        <f t="shared" si="16"/>
        <v>1.5974932785091338</v>
      </c>
    </row>
    <row r="85" spans="1:60">
      <c r="A85">
        <v>2006</v>
      </c>
      <c r="B85" s="3">
        <f t="shared" si="17"/>
        <v>183.64392559544009</v>
      </c>
      <c r="C85" s="3">
        <f t="shared" si="0"/>
        <v>92.424281215596963</v>
      </c>
      <c r="D85" s="2">
        <f t="shared" si="36"/>
        <v>128.32119941325638</v>
      </c>
      <c r="E85" s="2">
        <v>132.27087886006535</v>
      </c>
      <c r="F85" s="2">
        <f t="shared" si="37"/>
        <v>169.73157822769122</v>
      </c>
      <c r="G85" s="2">
        <v>0.79714099999999999</v>
      </c>
      <c r="H85" s="5">
        <f t="shared" si="32"/>
        <v>71.683644409146524</v>
      </c>
      <c r="I85">
        <f t="shared" si="33"/>
        <v>135.30000000000001</v>
      </c>
      <c r="J85" s="21">
        <f t="shared" si="2"/>
        <v>82.18264034095543</v>
      </c>
      <c r="K85" s="3">
        <f>'EU petrol prices nominal'!Y4*100</f>
        <v>129.28206122448987</v>
      </c>
      <c r="L85">
        <v>135.30000000000001</v>
      </c>
      <c r="M85">
        <v>129.30000000000001</v>
      </c>
      <c r="N85" s="4">
        <f t="shared" si="27"/>
        <v>129.93398300000001</v>
      </c>
      <c r="O85" s="6">
        <v>163</v>
      </c>
      <c r="P85" s="24">
        <v>1.2928206122448986</v>
      </c>
      <c r="Q85" s="21">
        <f t="shared" si="34"/>
        <v>53.633730000000014</v>
      </c>
      <c r="R85" s="21">
        <f t="shared" si="4"/>
        <v>0.51637034095543333</v>
      </c>
      <c r="S85" s="27"/>
      <c r="T85">
        <f>USA!Z93*G85</f>
        <v>48.689372280000001</v>
      </c>
      <c r="U85">
        <v>0</v>
      </c>
      <c r="V85">
        <v>0</v>
      </c>
      <c r="W85">
        <v>0</v>
      </c>
      <c r="X85" s="23"/>
      <c r="Z85" s="113">
        <v>59.22</v>
      </c>
      <c r="AA85" s="4">
        <f t="shared" si="28"/>
        <v>22.446270000000002</v>
      </c>
      <c r="AB85" s="3">
        <f t="shared" si="35"/>
        <v>81.666269999999997</v>
      </c>
      <c r="AC85">
        <v>60.5</v>
      </c>
      <c r="AN85">
        <v>2006</v>
      </c>
      <c r="AO85" s="3">
        <f t="shared" si="6"/>
        <v>1.3530000000000002</v>
      </c>
      <c r="AP85" s="3">
        <f t="shared" si="7"/>
        <v>0.59219999999999995</v>
      </c>
      <c r="AQ85" s="3">
        <f t="shared" si="8"/>
        <v>0.22446270000000001</v>
      </c>
      <c r="AR85" s="3">
        <f t="shared" si="9"/>
        <v>0.81666269999999996</v>
      </c>
      <c r="AS85" s="3">
        <f t="shared" si="10"/>
        <v>0.53633730000000024</v>
      </c>
      <c r="AT85" s="3"/>
      <c r="AU85" s="3">
        <v>92.026005468876519</v>
      </c>
      <c r="AV85" s="3"/>
      <c r="AW85" s="3">
        <f t="shared" si="29"/>
        <v>1.4702365848722936</v>
      </c>
      <c r="AX85" s="3">
        <f t="shared" si="21"/>
        <v>1.4485395015936762</v>
      </c>
      <c r="AY85" s="3">
        <f t="shared" si="30"/>
        <v>0.88742600076909539</v>
      </c>
      <c r="AZ85" s="3">
        <f t="shared" si="23"/>
        <v>0.58281058410319819</v>
      </c>
      <c r="BA85" s="3">
        <f t="shared" si="31"/>
        <v>0.56111350082458089</v>
      </c>
      <c r="BB85" s="3">
        <f t="shared" si="22"/>
        <v>52.908275255375393</v>
      </c>
      <c r="BC85" s="9">
        <v>0</v>
      </c>
      <c r="BD85">
        <v>0</v>
      </c>
      <c r="BE85">
        <v>0</v>
      </c>
      <c r="BG85" s="3">
        <f t="shared" si="15"/>
        <v>1.6821489349425616</v>
      </c>
      <c r="BH85" s="3">
        <f t="shared" si="16"/>
        <v>1.6573245455184225</v>
      </c>
    </row>
    <row r="86" spans="1:60">
      <c r="A86">
        <v>2007</v>
      </c>
      <c r="B86" s="3">
        <f t="shared" si="17"/>
        <v>199.23794326304281</v>
      </c>
      <c r="C86" s="3">
        <f t="shared" si="0"/>
        <v>95.074004003893037</v>
      </c>
      <c r="D86" s="2">
        <f t="shared" si="36"/>
        <v>139.21751980223834</v>
      </c>
      <c r="E86" s="2">
        <v>136.06296852886032</v>
      </c>
      <c r="F86" s="2">
        <f t="shared" si="37"/>
        <v>189.42349015517945</v>
      </c>
      <c r="G86" s="2">
        <v>0.73063800000000001</v>
      </c>
      <c r="H86" s="5">
        <f t="shared" si="32"/>
        <v>75.278092930867601</v>
      </c>
      <c r="I86">
        <f t="shared" si="33"/>
        <v>138.4</v>
      </c>
      <c r="J86" s="21">
        <f t="shared" si="2"/>
        <v>85.692304109056337</v>
      </c>
      <c r="K86" s="3">
        <f>'EU petrol prices nominal'!Y5*100</f>
        <v>131.98008163265308</v>
      </c>
      <c r="L86">
        <v>138.4</v>
      </c>
      <c r="M86">
        <v>128.9</v>
      </c>
      <c r="N86" s="4">
        <f t="shared" si="27"/>
        <v>119.093994</v>
      </c>
      <c r="O86" s="3">
        <f>(O85+O87)/2</f>
        <v>163</v>
      </c>
      <c r="P86" s="24">
        <v>1.3198008163265307</v>
      </c>
      <c r="Q86" s="21">
        <f t="shared" si="34"/>
        <v>53.239440000000002</v>
      </c>
      <c r="R86" s="21">
        <f t="shared" si="4"/>
        <v>0.53174410905633529</v>
      </c>
      <c r="S86" s="27"/>
      <c r="T86">
        <f>USA!Z94*G86</f>
        <v>50.472473039999997</v>
      </c>
      <c r="U86">
        <v>0</v>
      </c>
      <c r="V86">
        <v>0</v>
      </c>
      <c r="W86">
        <v>0</v>
      </c>
      <c r="X86" s="23"/>
      <c r="Z86" s="113">
        <v>62.2</v>
      </c>
      <c r="AA86" s="4">
        <f t="shared" si="28"/>
        <v>22.960560000000001</v>
      </c>
      <c r="AB86" s="3">
        <f t="shared" si="35"/>
        <v>85.160560000000004</v>
      </c>
      <c r="AC86">
        <v>63.2</v>
      </c>
      <c r="AN86">
        <v>2007</v>
      </c>
      <c r="AO86" s="3">
        <f t="shared" si="6"/>
        <v>1.3840000000000001</v>
      </c>
      <c r="AP86" s="3">
        <f t="shared" si="7"/>
        <v>0.622</v>
      </c>
      <c r="AQ86" s="3">
        <f t="shared" si="8"/>
        <v>0.22960560000000002</v>
      </c>
      <c r="AR86" s="3">
        <f t="shared" si="9"/>
        <v>0.85160560000000007</v>
      </c>
      <c r="AS86" s="3">
        <f t="shared" si="10"/>
        <v>0.53239440000000005</v>
      </c>
      <c r="AT86" s="3"/>
      <c r="AU86" s="3">
        <v>93.703776667322288</v>
      </c>
      <c r="AV86" s="3"/>
      <c r="AW86" s="3">
        <f t="shared" si="29"/>
        <v>1.4769948973493703</v>
      </c>
      <c r="AX86" s="3">
        <f t="shared" si="21"/>
        <v>1.4763009115071846</v>
      </c>
      <c r="AY86" s="3">
        <f t="shared" si="30"/>
        <v>0.90882740300155274</v>
      </c>
      <c r="AZ86" s="3">
        <f t="shared" si="23"/>
        <v>0.56816749434781755</v>
      </c>
      <c r="BA86" s="3">
        <f t="shared" si="31"/>
        <v>0.56747350850563172</v>
      </c>
      <c r="BB86" s="3">
        <f t="shared" si="22"/>
        <v>53.863862092979517</v>
      </c>
      <c r="BC86" s="9">
        <v>0</v>
      </c>
      <c r="BD86">
        <v>0</v>
      </c>
      <c r="BE86">
        <v>0</v>
      </c>
      <c r="BG86" s="3">
        <f t="shared" si="15"/>
        <v>1.6898813558687562</v>
      </c>
      <c r="BH86" s="3">
        <f t="shared" si="16"/>
        <v>1.6890873424716544</v>
      </c>
    </row>
    <row r="87" spans="1:60">
      <c r="A87">
        <v>2008</v>
      </c>
      <c r="B87" s="3">
        <f t="shared" si="17"/>
        <v>216.08139723727726</v>
      </c>
      <c r="C87" s="3">
        <f t="shared" si="0"/>
        <v>98.70291900542351</v>
      </c>
      <c r="D87" s="2">
        <f t="shared" si="36"/>
        <v>150.98688385404563</v>
      </c>
      <c r="E87" s="2">
        <v>141.25640655453694</v>
      </c>
      <c r="F87" s="2">
        <f t="shared" si="37"/>
        <v>213.2786465008972</v>
      </c>
      <c r="G87" s="2">
        <v>0.68267500000000003</v>
      </c>
      <c r="H87" s="5">
        <f t="shared" si="32"/>
        <v>73.240505237570574</v>
      </c>
      <c r="I87">
        <f t="shared" si="33"/>
        <v>145.6</v>
      </c>
      <c r="J87" s="21">
        <f t="shared" si="2"/>
        <v>85.188794364642135</v>
      </c>
      <c r="K87" s="3">
        <f>'EU petrol prices nominal'!Y6*100</f>
        <v>141.77234693877554</v>
      </c>
      <c r="L87">
        <v>145.6</v>
      </c>
      <c r="M87">
        <v>149.30000000000001</v>
      </c>
      <c r="N87" s="4">
        <f t="shared" si="27"/>
        <v>111.276025</v>
      </c>
      <c r="O87" s="6">
        <v>163</v>
      </c>
      <c r="P87" s="24">
        <v>1.4177234693877554</v>
      </c>
      <c r="Q87" s="21">
        <f t="shared" si="34"/>
        <v>61.044960000000003</v>
      </c>
      <c r="R87" s="21">
        <f t="shared" si="4"/>
        <v>0.63375436464214085</v>
      </c>
      <c r="S87" s="27"/>
      <c r="T87">
        <f>USA!Z95*G87</f>
        <v>64.478653750000007</v>
      </c>
      <c r="U87">
        <v>0</v>
      </c>
      <c r="V87">
        <v>0</v>
      </c>
      <c r="W87">
        <v>1</v>
      </c>
      <c r="X87" s="23"/>
      <c r="Z87" s="113">
        <v>60.4</v>
      </c>
      <c r="AA87" s="4">
        <f t="shared" si="28"/>
        <v>24.15504</v>
      </c>
      <c r="AB87" s="3">
        <f t="shared" si="35"/>
        <v>84.555039999999991</v>
      </c>
      <c r="AC87">
        <v>68.599999999999994</v>
      </c>
      <c r="AN87">
        <v>2008</v>
      </c>
      <c r="AO87" s="3">
        <f t="shared" si="6"/>
        <v>1.456</v>
      </c>
      <c r="AP87" s="3">
        <f t="shared" si="7"/>
        <v>0.60399999999999998</v>
      </c>
      <c r="AQ87" s="3">
        <f t="shared" si="8"/>
        <v>0.2415504</v>
      </c>
      <c r="AR87" s="3">
        <f t="shared" si="9"/>
        <v>0.84555039999999992</v>
      </c>
      <c r="AS87" s="3">
        <f t="shared" si="10"/>
        <v>0.61044960000000004</v>
      </c>
      <c r="AT87" s="3"/>
      <c r="AU87" s="3">
        <v>97.910298498338719</v>
      </c>
      <c r="AV87" s="3"/>
      <c r="AW87" s="3">
        <f t="shared" si="29"/>
        <v>1.4870754377535724</v>
      </c>
      <c r="AX87" s="3">
        <f t="shared" si="21"/>
        <v>1.5108775964637067</v>
      </c>
      <c r="AY87" s="3">
        <f t="shared" si="30"/>
        <v>0.86359699946614576</v>
      </c>
      <c r="AZ87" s="3">
        <f t="shared" si="23"/>
        <v>0.62347843828742666</v>
      </c>
      <c r="BA87" s="3">
        <f t="shared" si="31"/>
        <v>0.64728059699756102</v>
      </c>
      <c r="BB87" s="3">
        <f t="shared" si="22"/>
        <v>65.854822974616951</v>
      </c>
      <c r="BC87" s="9">
        <v>0</v>
      </c>
      <c r="BD87">
        <v>0</v>
      </c>
      <c r="BE87">
        <v>0</v>
      </c>
      <c r="BG87" s="3">
        <f t="shared" si="15"/>
        <v>1.7014148535922176</v>
      </c>
      <c r="BH87" s="3">
        <f t="shared" si="16"/>
        <v>1.7286477332087073</v>
      </c>
    </row>
    <row r="88" spans="1:60">
      <c r="A88">
        <v>2009</v>
      </c>
      <c r="B88" s="3">
        <f t="shared" si="17"/>
        <v>185.82662675956544</v>
      </c>
      <c r="C88" s="3">
        <f>E88/E$89*100</f>
        <v>98.380597588111073</v>
      </c>
      <c r="D88" s="2">
        <f t="shared" si="36"/>
        <v>129.84636192779709</v>
      </c>
      <c r="E88" s="2">
        <v>140.7951236905254</v>
      </c>
      <c r="F88" s="2">
        <f t="shared" si="37"/>
        <v>182.8173458838892</v>
      </c>
      <c r="G88" s="2">
        <f>'Exchange Rates'!D48</f>
        <v>0.71984416666666673</v>
      </c>
      <c r="H88" s="5">
        <f t="shared" si="32"/>
        <v>72.116447452193086</v>
      </c>
      <c r="I88">
        <f t="shared" si="33"/>
        <v>131.6</v>
      </c>
      <c r="J88" s="21">
        <f t="shared" si="2"/>
        <v>81.929479543494239</v>
      </c>
      <c r="K88" s="3">
        <f>'EU petrol prices nominal'!Y7*100</f>
        <v>124.04210000000005</v>
      </c>
      <c r="L88">
        <v>131.6</v>
      </c>
      <c r="M88">
        <v>118.2</v>
      </c>
      <c r="N88" s="4"/>
      <c r="O88" s="3">
        <v>150</v>
      </c>
      <c r="P88" s="24">
        <v>1.2404210000000004</v>
      </c>
      <c r="Q88" s="21">
        <f t="shared" si="34"/>
        <v>50.167559999999995</v>
      </c>
      <c r="R88" s="21">
        <f t="shared" si="4"/>
        <v>0.49703954349423651</v>
      </c>
      <c r="S88" s="27"/>
      <c r="T88">
        <f>USA!Z96*G88</f>
        <v>43.953684816666673</v>
      </c>
      <c r="U88">
        <v>0</v>
      </c>
      <c r="V88">
        <v>0</v>
      </c>
      <c r="W88">
        <v>0</v>
      </c>
      <c r="X88" s="23"/>
      <c r="Z88" s="113">
        <v>59.6</v>
      </c>
      <c r="AA88" s="4">
        <f t="shared" si="28"/>
        <v>21.832439999999998</v>
      </c>
      <c r="AB88" s="3">
        <f t="shared" si="35"/>
        <v>81.43244</v>
      </c>
      <c r="AC88">
        <v>65.8</v>
      </c>
      <c r="AN88">
        <v>2009</v>
      </c>
      <c r="AO88" s="3">
        <f t="shared" si="6"/>
        <v>1.3159999999999998</v>
      </c>
      <c r="AP88" s="3">
        <f t="shared" si="7"/>
        <v>0.59599999999999997</v>
      </c>
      <c r="AQ88" s="3">
        <f t="shared" si="8"/>
        <v>0.21832439999999997</v>
      </c>
      <c r="AR88" s="3">
        <f t="shared" si="9"/>
        <v>0.81432439999999995</v>
      </c>
      <c r="AS88" s="3">
        <f t="shared" si="10"/>
        <v>0.50167559999999989</v>
      </c>
      <c r="AT88" s="3"/>
      <c r="AU88" s="3">
        <v>97.858257539584869</v>
      </c>
      <c r="AV88" s="3"/>
      <c r="AW88" s="3">
        <f t="shared" si="29"/>
        <v>1.3448021997199997</v>
      </c>
      <c r="AX88" s="3">
        <f t="shared" si="21"/>
        <v>1.3400646776934217</v>
      </c>
      <c r="AY88" s="3">
        <f t="shared" si="30"/>
        <v>0.83214684225354796</v>
      </c>
      <c r="AZ88" s="3">
        <f t="shared" si="23"/>
        <v>0.51265535746645174</v>
      </c>
      <c r="BA88" s="3">
        <f t="shared" si="31"/>
        <v>0.50791783543987379</v>
      </c>
      <c r="BB88" s="3">
        <f t="shared" si="22"/>
        <v>44.915662634690655</v>
      </c>
      <c r="BC88" s="9">
        <v>0</v>
      </c>
      <c r="BD88">
        <v>0</v>
      </c>
      <c r="BE88">
        <v>0</v>
      </c>
      <c r="BG88" s="3">
        <f t="shared" si="15"/>
        <v>1.5386350817572023</v>
      </c>
      <c r="BH88" s="3">
        <f t="shared" si="16"/>
        <v>1.5332147176380715</v>
      </c>
    </row>
    <row r="89" spans="1:60">
      <c r="A89">
        <v>2010</v>
      </c>
      <c r="B89" s="3">
        <f t="shared" si="17"/>
        <v>191.91447415595636</v>
      </c>
      <c r="C89" s="3">
        <f>CPIs!AB49</f>
        <v>99.999998509883881</v>
      </c>
      <c r="D89" s="2">
        <f t="shared" si="36"/>
        <v>134.1002435100518</v>
      </c>
      <c r="E89" s="2">
        <v>143.11269411067286</v>
      </c>
      <c r="F89" s="2">
        <f t="shared" si="37"/>
        <v>191.91447129620786</v>
      </c>
      <c r="G89" s="2">
        <f>'Exchange Rates'!D49</f>
        <v>0.75867129256384003</v>
      </c>
      <c r="H89" s="5">
        <f t="shared" si="32"/>
        <v>74.400065061813763</v>
      </c>
      <c r="I89">
        <f t="shared" si="33"/>
        <v>145.6</v>
      </c>
      <c r="J89" s="21">
        <f t="shared" si="2"/>
        <v>86.155094218178121</v>
      </c>
      <c r="K89" s="3">
        <f>'EU petrol prices nominal'!Y8*100</f>
        <v>140.07326530612247</v>
      </c>
      <c r="L89">
        <v>145.6</v>
      </c>
      <c r="M89">
        <v>139.30000000000001</v>
      </c>
      <c r="O89"/>
      <c r="P89" s="24">
        <v>1.4007326530612245</v>
      </c>
      <c r="Q89" s="21">
        <f t="shared" si="34"/>
        <v>60.044960000000003</v>
      </c>
      <c r="R89" s="21">
        <f>BA89*AU89/100</f>
        <v>0.60005421817812821</v>
      </c>
      <c r="S89" s="27"/>
      <c r="T89">
        <f>USA!Z97*G89</f>
        <v>58.759091609069415</v>
      </c>
      <c r="U89">
        <v>0</v>
      </c>
      <c r="V89">
        <v>0</v>
      </c>
      <c r="W89">
        <v>0</v>
      </c>
      <c r="X89" s="23"/>
      <c r="Z89" s="113">
        <v>61.4</v>
      </c>
      <c r="AA89" s="4">
        <f t="shared" si="28"/>
        <v>24.15504</v>
      </c>
      <c r="AB89" s="3">
        <f t="shared" si="35"/>
        <v>85.555039999999991</v>
      </c>
      <c r="AC89">
        <v>68.3</v>
      </c>
      <c r="AN89">
        <v>2010</v>
      </c>
      <c r="AO89" s="3">
        <f t="shared" si="6"/>
        <v>1.456</v>
      </c>
      <c r="AP89" s="3">
        <f t="shared" si="7"/>
        <v>0.61399999999999999</v>
      </c>
      <c r="AQ89" s="3">
        <f t="shared" si="8"/>
        <v>0.2415504</v>
      </c>
      <c r="AR89" s="3">
        <f t="shared" si="9"/>
        <v>0.85555039999999993</v>
      </c>
      <c r="AS89" s="3">
        <f t="shared" si="10"/>
        <v>0.60044960000000003</v>
      </c>
      <c r="AT89" s="3"/>
      <c r="AU89" s="3">
        <v>100</v>
      </c>
      <c r="AV89" s="3"/>
      <c r="AW89" s="3">
        <f t="shared" si="29"/>
        <v>1.456</v>
      </c>
      <c r="AX89" s="3">
        <f t="shared" si="21"/>
        <v>1.4556046181781279</v>
      </c>
      <c r="AY89" s="3">
        <f t="shared" si="30"/>
        <v>0.85555039999999982</v>
      </c>
      <c r="AZ89" s="3">
        <f t="shared" si="23"/>
        <v>0.60044960000000014</v>
      </c>
      <c r="BA89" s="3">
        <f t="shared" si="31"/>
        <v>0.60005421817812821</v>
      </c>
      <c r="BB89" s="3">
        <f t="shared" si="22"/>
        <v>58.759091609069415</v>
      </c>
      <c r="BC89" s="9">
        <v>0</v>
      </c>
      <c r="BD89">
        <v>0</v>
      </c>
      <c r="BE89">
        <v>0</v>
      </c>
      <c r="BG89" s="3">
        <f t="shared" si="15"/>
        <v>1.6658603618472128</v>
      </c>
      <c r="BH89" s="3">
        <f t="shared" si="16"/>
        <v>1.6654079917202542</v>
      </c>
    </row>
    <row r="90" spans="1:60">
      <c r="A90">
        <v>2011</v>
      </c>
      <c r="B90" s="3">
        <f t="shared" si="17"/>
        <v>217.5864012932208</v>
      </c>
      <c r="C90" s="3">
        <f>CPIs!AB50</f>
        <v>103.13271097869961</v>
      </c>
      <c r="F90" s="2">
        <f t="shared" si="37"/>
        <v>224.40275437469091</v>
      </c>
      <c r="G90" s="2">
        <f>'Exchange Rates'!D50</f>
        <v>0.71544109992713056</v>
      </c>
      <c r="I90" s="3">
        <f>K90*L$89/K$89</f>
        <v>160.54695341650657</v>
      </c>
      <c r="K90" s="3">
        <f>'EU petrol prices nominal'!Y9*100</f>
        <v>154.45285714285723</v>
      </c>
      <c r="O90"/>
      <c r="P90" s="24">
        <v>1.5445285714285724</v>
      </c>
      <c r="Q90" s="21"/>
      <c r="R90" s="21"/>
      <c r="S90" s="23"/>
      <c r="T90">
        <f>USA!Z98*G90</f>
        <v>76.874146187170183</v>
      </c>
      <c r="W90"/>
      <c r="X90" s="23"/>
      <c r="Z90" s="113">
        <v>61.4</v>
      </c>
      <c r="AA90" s="4">
        <f t="shared" si="28"/>
        <v>26.634739571798441</v>
      </c>
      <c r="AB90" s="3">
        <f t="shared" si="35"/>
        <v>88.03473957179844</v>
      </c>
      <c r="AN90">
        <v>2011</v>
      </c>
      <c r="AO90" s="3">
        <f t="shared" si="6"/>
        <v>1.6054695341650658</v>
      </c>
      <c r="AP90" s="3">
        <f t="shared" si="7"/>
        <v>0.61399999999999999</v>
      </c>
      <c r="AQ90" s="3">
        <f t="shared" si="8"/>
        <v>0.26634739571798444</v>
      </c>
      <c r="AR90" s="3">
        <f t="shared" si="9"/>
        <v>0.88034739571798437</v>
      </c>
      <c r="AS90" s="3">
        <f t="shared" si="10"/>
        <v>0.7251221384470814</v>
      </c>
      <c r="AT90" s="3"/>
      <c r="AU90" s="3">
        <f>CPIs!D50</f>
        <v>103.51917627340862</v>
      </c>
      <c r="AV90" s="3"/>
      <c r="AW90" s="3">
        <f t="shared" si="29"/>
        <v>1.5508909479001227</v>
      </c>
      <c r="AX90" s="3">
        <f t="shared" si="21"/>
        <v>1.5536469389293943</v>
      </c>
      <c r="AY90" s="3">
        <f t="shared" si="30"/>
        <v>0.85041962987887754</v>
      </c>
      <c r="AZ90" s="3">
        <f t="shared" si="23"/>
        <v>0.70047131802124518</v>
      </c>
      <c r="BA90" s="3">
        <f t="shared" si="31"/>
        <v>0.70322730905051678</v>
      </c>
      <c r="BB90" s="3">
        <f t="shared" si="22"/>
        <v>74.260778490098119</v>
      </c>
      <c r="BC90" s="9">
        <v>0</v>
      </c>
      <c r="BD90">
        <v>0</v>
      </c>
      <c r="BE90">
        <v>0</v>
      </c>
      <c r="BG90" s="3">
        <f t="shared" si="15"/>
        <v>1.7744284036088362</v>
      </c>
      <c r="BH90" s="3">
        <f t="shared" si="16"/>
        <v>1.7775816290300381</v>
      </c>
    </row>
    <row r="91" spans="1:60">
      <c r="A91">
        <v>2012</v>
      </c>
      <c r="B91" s="3">
        <f t="shared" si="17"/>
        <v>210.13605126655773</v>
      </c>
      <c r="C91" s="3">
        <f>CPIs!AB51</f>
        <v>105.21072267093371</v>
      </c>
      <c r="G91" s="2">
        <f>'Exchange Rates'!D51</f>
        <v>0.773899446716382</v>
      </c>
      <c r="I91" s="3">
        <f t="shared" ref="I91:I95" si="38">K91*L$89/K$89</f>
        <v>171.09806850350907</v>
      </c>
      <c r="K91" s="3">
        <f>'EU petrol prices nominal'!Y10*100</f>
        <v>164.6034693877551</v>
      </c>
      <c r="O91"/>
      <c r="P91" s="24">
        <v>1.646034693877551</v>
      </c>
      <c r="Q91" s="21"/>
      <c r="R91" s="21"/>
      <c r="S91" s="23"/>
      <c r="T91">
        <f>USA!Z99*G91</f>
        <v>84.738784181902005</v>
      </c>
      <c r="W91"/>
      <c r="X91" s="23"/>
      <c r="Z91" s="113">
        <v>61.4</v>
      </c>
      <c r="AA91" s="4">
        <f t="shared" si="28"/>
        <v>28.385169564732156</v>
      </c>
      <c r="AB91" s="3">
        <f t="shared" si="35"/>
        <v>89.785169564732158</v>
      </c>
      <c r="AN91">
        <v>2012</v>
      </c>
      <c r="AO91" s="3">
        <f t="shared" si="6"/>
        <v>1.7109806850350906</v>
      </c>
      <c r="AP91" s="3">
        <f t="shared" si="7"/>
        <v>0.61399999999999999</v>
      </c>
      <c r="AQ91" s="3">
        <f t="shared" si="8"/>
        <v>0.28385169564732154</v>
      </c>
      <c r="AR91" s="3">
        <f t="shared" si="9"/>
        <v>0.89785169564732159</v>
      </c>
      <c r="AS91" s="3">
        <f t="shared" si="10"/>
        <v>0.81312898938776901</v>
      </c>
      <c r="AT91" s="3"/>
      <c r="AU91" s="3">
        <f>CPIs!D51</f>
        <v>106.43959352364726</v>
      </c>
      <c r="AV91" s="3"/>
      <c r="AW91" s="3">
        <f t="shared" si="29"/>
        <v>1.6074663838837087</v>
      </c>
      <c r="AX91" s="3">
        <f t="shared" si="21"/>
        <v>1.5823751988080037</v>
      </c>
      <c r="AY91" s="3">
        <f t="shared" si="30"/>
        <v>0.84353168395729494</v>
      </c>
      <c r="AZ91" s="3">
        <f t="shared" si="23"/>
        <v>0.76393469992641372</v>
      </c>
      <c r="BA91" s="3">
        <f t="shared" si="31"/>
        <v>0.73884351485070887</v>
      </c>
      <c r="BB91" s="3">
        <f t="shared" si="22"/>
        <v>79.612089239213347</v>
      </c>
      <c r="BC91" s="9">
        <v>0</v>
      </c>
      <c r="BD91">
        <v>0</v>
      </c>
      <c r="BE91">
        <v>0</v>
      </c>
      <c r="BG91" s="3">
        <f t="shared" si="15"/>
        <v>1.8391583323583418</v>
      </c>
      <c r="BH91" s="3">
        <f t="shared" si="16"/>
        <v>1.8104506327365086</v>
      </c>
    </row>
    <row r="92" spans="1:60">
      <c r="A92">
        <v>2013</v>
      </c>
      <c r="B92" s="3">
        <f t="shared" si="17"/>
        <v>205.0421950026163</v>
      </c>
      <c r="C92" s="3">
        <f>CPIs!AB52</f>
        <v>106.69767516878358</v>
      </c>
      <c r="G92" s="2">
        <f>'Exchange Rates'!D52</f>
        <v>0.75166876437654617</v>
      </c>
      <c r="I92" s="3">
        <f t="shared" si="38"/>
        <v>164.44652573944541</v>
      </c>
      <c r="K92" s="3">
        <f>'EU petrol prices nominal'!Y11*100</f>
        <v>158.20440816326536</v>
      </c>
      <c r="O92"/>
      <c r="P92" s="24">
        <v>1.5820440816326535</v>
      </c>
      <c r="Q92" s="13"/>
      <c r="R92" s="13"/>
      <c r="S92" s="28"/>
      <c r="T92">
        <f>USA!Z100*G92</f>
        <v>79.628970140184876</v>
      </c>
      <c r="W92"/>
      <c r="X92" s="23"/>
      <c r="Z92" s="113">
        <v>61.4</v>
      </c>
      <c r="AA92" s="4">
        <f t="shared" si="28"/>
        <v>27.281678620173995</v>
      </c>
      <c r="AB92" s="3">
        <f t="shared" si="35"/>
        <v>88.681678620173997</v>
      </c>
      <c r="AN92">
        <v>2013</v>
      </c>
      <c r="AO92" s="3">
        <f t="shared" si="6"/>
        <v>1.644465257394454</v>
      </c>
      <c r="AP92" s="3">
        <f t="shared" si="7"/>
        <v>0.61399999999999999</v>
      </c>
      <c r="AQ92" s="3">
        <f t="shared" si="8"/>
        <v>0.27281678620173994</v>
      </c>
      <c r="AR92" s="3">
        <f t="shared" si="9"/>
        <v>0.88681678620173998</v>
      </c>
      <c r="AS92" s="3">
        <f t="shared" si="10"/>
        <v>0.75764847119271406</v>
      </c>
      <c r="AT92" s="3"/>
      <c r="AU92" s="3">
        <f>CPIs!D52</f>
        <v>107.69401601706502</v>
      </c>
      <c r="AV92" s="3"/>
      <c r="AW92" s="3">
        <f t="shared" si="29"/>
        <v>1.5269792307994852</v>
      </c>
      <c r="AX92" s="3">
        <f t="shared" si="21"/>
        <v>1.5245520927353147</v>
      </c>
      <c r="AY92" s="3">
        <f t="shared" si="30"/>
        <v>0.82345966749091826</v>
      </c>
      <c r="AZ92" s="3">
        <f t="shared" si="23"/>
        <v>0.70351956330856691</v>
      </c>
      <c r="BA92" s="3">
        <f t="shared" si="31"/>
        <v>0.70109242524439641</v>
      </c>
      <c r="BB92" s="3">
        <f t="shared" si="22"/>
        <v>73.940013647152867</v>
      </c>
      <c r="BC92" s="9">
        <v>0</v>
      </c>
      <c r="BD92">
        <v>0</v>
      </c>
      <c r="BE92">
        <v>0</v>
      </c>
      <c r="BG92" s="3">
        <f t="shared" si="15"/>
        <v>1.7470701744181383</v>
      </c>
      <c r="BH92" s="3">
        <f t="shared" si="16"/>
        <v>1.7442932011394072</v>
      </c>
    </row>
    <row r="93" spans="1:60">
      <c r="A93">
        <v>2014</v>
      </c>
      <c r="B93" s="3">
        <f t="shared" si="17"/>
        <v>194.14288897246334</v>
      </c>
      <c r="C93" s="3">
        <f>CPIs!AB53</f>
        <v>108.45811062912946</v>
      </c>
      <c r="G93" s="2">
        <f>'Exchange Rates'!D53</f>
        <v>0.757387838338895</v>
      </c>
      <c r="I93" s="3">
        <f t="shared" si="38"/>
        <v>159.47839261960573</v>
      </c>
      <c r="K93" s="3">
        <f>'EU petrol prices nominal'!Y12*100</f>
        <v>153.42485714285712</v>
      </c>
      <c r="O93"/>
      <c r="P93" s="24">
        <v>1.5342485714285712</v>
      </c>
      <c r="Q93" s="13"/>
      <c r="R93" s="13"/>
      <c r="S93" s="28"/>
      <c r="T93">
        <f>USA!Z101*G93</f>
        <v>72.852422962937197</v>
      </c>
      <c r="W93"/>
      <c r="X93" s="23"/>
      <c r="Z93" s="113">
        <v>61.4</v>
      </c>
      <c r="AA93" s="4">
        <f t="shared" si="28"/>
        <v>26.457465335592591</v>
      </c>
      <c r="AB93" s="3">
        <f t="shared" si="35"/>
        <v>87.857465335592593</v>
      </c>
      <c r="AN93">
        <v>2014</v>
      </c>
      <c r="AO93" s="3">
        <f t="shared" si="6"/>
        <v>1.5947839261960572</v>
      </c>
      <c r="AP93" s="3">
        <f t="shared" si="7"/>
        <v>0.61399999999999999</v>
      </c>
      <c r="AQ93" s="3">
        <f t="shared" si="8"/>
        <v>0.26457465335592589</v>
      </c>
      <c r="AR93" s="3">
        <f t="shared" si="9"/>
        <v>0.87857465335592588</v>
      </c>
      <c r="AS93" s="3">
        <f t="shared" si="10"/>
        <v>0.71620927284013136</v>
      </c>
      <c r="AT93" s="3"/>
      <c r="AU93" s="3">
        <f>CPIs!D53</f>
        <v>108.09323022286429</v>
      </c>
      <c r="AV93" s="3"/>
      <c r="AW93" s="3">
        <f t="shared" si="29"/>
        <v>1.4753781739226095</v>
      </c>
      <c r="AX93" s="3">
        <f t="shared" si="21"/>
        <v>1.4703432299408381</v>
      </c>
      <c r="AY93" s="3">
        <f t="shared" si="30"/>
        <v>0.81279341133991423</v>
      </c>
      <c r="AZ93" s="3">
        <f t="shared" si="23"/>
        <v>0.66258476258269527</v>
      </c>
      <c r="BA93" s="3">
        <f t="shared" si="31"/>
        <v>0.65754981860092376</v>
      </c>
      <c r="BB93" s="3">
        <f t="shared" si="22"/>
        <v>67.397766550903924</v>
      </c>
      <c r="BC93" s="9">
        <v>0</v>
      </c>
      <c r="BD93">
        <v>0</v>
      </c>
      <c r="BE93">
        <v>0</v>
      </c>
      <c r="BG93" s="3">
        <f t="shared" si="15"/>
        <v>1.6880316062309055</v>
      </c>
      <c r="BH93" s="3">
        <f t="shared" si="16"/>
        <v>1.682270951283547</v>
      </c>
    </row>
    <row r="94" spans="1:60">
      <c r="A94">
        <v>2015</v>
      </c>
      <c r="B94" s="3">
        <f t="shared" si="17"/>
        <v>144.18029117759932</v>
      </c>
      <c r="C94" s="3">
        <f>CPIs!AB54</f>
        <v>108.69337137051741</v>
      </c>
      <c r="G94" s="2">
        <f>'Exchange Rates'!D54</f>
        <v>0.90592556207997499</v>
      </c>
      <c r="I94" s="3">
        <f t="shared" si="38"/>
        <v>141.97159842006877</v>
      </c>
      <c r="K94" s="3">
        <f>'EU petrol prices nominal'!Y13*100</f>
        <v>136.58259183673468</v>
      </c>
      <c r="O94"/>
      <c r="P94" s="24">
        <v>1.3658259183673467</v>
      </c>
      <c r="Q94" s="13"/>
      <c r="R94" s="13"/>
      <c r="S94" s="28"/>
      <c r="T94">
        <f>USA!Z102*G94</f>
        <v>44.858421631706442</v>
      </c>
      <c r="W94"/>
      <c r="X94" s="23"/>
      <c r="Z94" s="113">
        <v>61.4</v>
      </c>
      <c r="AA94" s="4">
        <f t="shared" si="28"/>
        <v>23.553088177889407</v>
      </c>
      <c r="AB94" s="3">
        <f t="shared" si="35"/>
        <v>84.953088177889413</v>
      </c>
      <c r="AN94">
        <v>2015</v>
      </c>
      <c r="AO94" s="3">
        <f t="shared" si="6"/>
        <v>1.4197159842006877</v>
      </c>
      <c r="AP94" s="3">
        <f t="shared" si="7"/>
        <v>0.61399999999999999</v>
      </c>
      <c r="AQ94" s="3">
        <f t="shared" si="8"/>
        <v>0.23553088177889406</v>
      </c>
      <c r="AR94" s="3">
        <f t="shared" si="9"/>
        <v>0.84953088177889413</v>
      </c>
      <c r="AS94" s="3">
        <f t="shared" si="10"/>
        <v>0.57018510242179354</v>
      </c>
      <c r="AT94" s="3"/>
      <c r="AU94" s="3">
        <f>CPIs!D54</f>
        <v>108.69010630369141</v>
      </c>
      <c r="AV94" s="3"/>
      <c r="AW94" s="3">
        <f t="shared" si="29"/>
        <v>1.3062053506819236</v>
      </c>
      <c r="AX94" s="3">
        <f t="shared" si="21"/>
        <v>1.2652743760146863</v>
      </c>
      <c r="AY94" s="3">
        <f t="shared" si="30"/>
        <v>0.78160829045949864</v>
      </c>
      <c r="AZ94" s="3">
        <f t="shared" si="23"/>
        <v>0.52459706022242492</v>
      </c>
      <c r="BA94" s="3">
        <f t="shared" si="31"/>
        <v>0.48366608555518764</v>
      </c>
      <c r="BB94" s="3">
        <f t="shared" si="22"/>
        <v>41.271853673937322</v>
      </c>
      <c r="BC94" s="9">
        <v>0</v>
      </c>
      <c r="BD94">
        <v>0</v>
      </c>
      <c r="BE94">
        <v>0</v>
      </c>
      <c r="BG94" s="3">
        <f t="shared" si="15"/>
        <v>1.4944750811358207</v>
      </c>
      <c r="BH94" s="3">
        <f t="shared" si="16"/>
        <v>1.4476445260053792</v>
      </c>
    </row>
    <row r="95" spans="1:60">
      <c r="A95">
        <v>2016</v>
      </c>
      <c r="B95" s="3">
        <f t="shared" si="17"/>
        <v>131.55692682923598</v>
      </c>
      <c r="C95" s="3">
        <f>CPIs!AB55</f>
        <v>110.08253978538585</v>
      </c>
      <c r="G95" s="2">
        <f>'Exchange Rates'!D55</f>
        <v>0.90674707708863456</v>
      </c>
      <c r="I95" s="3">
        <f t="shared" si="38"/>
        <v>131.31620552859354</v>
      </c>
      <c r="K95" s="3">
        <f>'EU petrol prices nominal'!Y14*100</f>
        <v>126.33165999999993</v>
      </c>
      <c r="O95"/>
      <c r="P95" s="24">
        <v>1.2633165999999993</v>
      </c>
      <c r="Q95" s="13"/>
      <c r="R95" s="13"/>
      <c r="S95" s="23"/>
      <c r="T95">
        <f>USA!Z103*G95</f>
        <v>36.890067859371442</v>
      </c>
      <c r="W95"/>
      <c r="X95" s="23"/>
      <c r="Z95" s="113">
        <v>61.45</v>
      </c>
      <c r="AA95" s="4">
        <f t="shared" si="28"/>
        <v>21.78535849719367</v>
      </c>
      <c r="AB95" s="3">
        <f t="shared" si="35"/>
        <v>83.235358497193673</v>
      </c>
      <c r="AN95">
        <v>2016</v>
      </c>
      <c r="AO95" s="3">
        <f t="shared" si="6"/>
        <v>1.3131620552859353</v>
      </c>
      <c r="AP95" s="3">
        <f t="shared" si="7"/>
        <v>0.61450000000000005</v>
      </c>
      <c r="AQ95" s="3">
        <f t="shared" si="8"/>
        <v>0.21785358497193669</v>
      </c>
      <c r="AR95" s="3">
        <f t="shared" si="9"/>
        <v>0.83235358497193668</v>
      </c>
      <c r="AS95" s="3">
        <f t="shared" si="10"/>
        <v>0.48080847031399865</v>
      </c>
      <c r="AT95" s="3"/>
      <c r="AU95" s="3">
        <f>CPIs!D55</f>
        <v>110.64230965151904</v>
      </c>
      <c r="AV95" s="3"/>
      <c r="AW95" s="3">
        <f t="shared" si="29"/>
        <v>1.186853437371195</v>
      </c>
      <c r="AX95" s="3">
        <f t="shared" si="21"/>
        <v>1.1831786763008851</v>
      </c>
      <c r="AY95" s="3">
        <f t="shared" si="30"/>
        <v>0.75229230806328262</v>
      </c>
      <c r="AZ95" s="3">
        <f t="shared" si="23"/>
        <v>0.43456112930791235</v>
      </c>
      <c r="BA95" s="3">
        <f t="shared" si="31"/>
        <v>0.43088636823760251</v>
      </c>
      <c r="BB95" s="3">
        <f t="shared" si="22"/>
        <v>33.341736968037857</v>
      </c>
      <c r="BC95" s="9">
        <v>0</v>
      </c>
      <c r="BD95">
        <v>0</v>
      </c>
      <c r="BE95">
        <v>0</v>
      </c>
      <c r="BG95" s="3">
        <f t="shared" si="15"/>
        <v>1.3579203960431232</v>
      </c>
      <c r="BH95" s="3">
        <f t="shared" si="16"/>
        <v>1.3537159737860569</v>
      </c>
    </row>
    <row r="96" spans="1:60">
      <c r="A96">
        <v>2017</v>
      </c>
      <c r="B96" s="3">
        <f t="shared" si="17"/>
        <v>140.76075408860871</v>
      </c>
      <c r="C96" s="3">
        <f>CPIs!AB56</f>
        <v>112.42729788281457</v>
      </c>
      <c r="G96" s="2">
        <f>'Exchange Rates'!D56</f>
        <v>0.88700000000000001</v>
      </c>
      <c r="I96" s="3">
        <f>K96*L$89/K$89</f>
        <v>140.37086541124975</v>
      </c>
      <c r="K96" s="3">
        <f>'EU petrol prices nominal'!Y15*100</f>
        <v>135.04262</v>
      </c>
      <c r="O96"/>
      <c r="P96" s="24">
        <v>1.3504262</v>
      </c>
      <c r="Q96" s="13"/>
      <c r="R96" s="13"/>
      <c r="S96" s="23"/>
      <c r="T96">
        <f>USA!Z104*G96</f>
        <v>46.576369999999997</v>
      </c>
      <c r="W96"/>
      <c r="X96" s="23"/>
      <c r="Z96" s="113">
        <v>60.5</v>
      </c>
      <c r="AA96" s="4">
        <f t="shared" si="28"/>
        <v>23.287526571726332</v>
      </c>
      <c r="AB96" s="3">
        <f t="shared" si="35"/>
        <v>83.787526571726332</v>
      </c>
      <c r="AN96">
        <v>2017</v>
      </c>
      <c r="AO96" s="3">
        <f t="shared" si="6"/>
        <v>1.4037086541124975</v>
      </c>
      <c r="AP96" s="3">
        <f t="shared" si="7"/>
        <v>0.60499999999999998</v>
      </c>
      <c r="AQ96" s="3">
        <f t="shared" si="8"/>
        <v>0.23287526571726333</v>
      </c>
      <c r="AR96" s="3">
        <f t="shared" si="9"/>
        <v>0.83787526571726334</v>
      </c>
      <c r="AS96" s="3">
        <f t="shared" si="10"/>
        <v>0.56583338839523412</v>
      </c>
      <c r="AT96" s="3"/>
      <c r="AU96" s="3">
        <f>CPIs!D56</f>
        <v>112.39045814401305</v>
      </c>
      <c r="AV96" s="3"/>
      <c r="AW96" s="3">
        <f t="shared" si="29"/>
        <v>1.2489571421746819</v>
      </c>
      <c r="AX96" s="3">
        <f t="shared" si="21"/>
        <v>1.2302995631004072</v>
      </c>
      <c r="AY96" s="3">
        <f t="shared" si="30"/>
        <v>0.74550391514877579</v>
      </c>
      <c r="AZ96" s="3">
        <f t="shared" si="23"/>
        <v>0.50345322702590611</v>
      </c>
      <c r="BA96" s="3">
        <f t="shared" si="31"/>
        <v>0.48479564795163155</v>
      </c>
      <c r="BB96" s="3">
        <f>T96/AU96*100</f>
        <v>41.441569657380278</v>
      </c>
      <c r="BC96" s="9">
        <v>0</v>
      </c>
      <c r="BD96">
        <v>0</v>
      </c>
      <c r="BE96">
        <v>0</v>
      </c>
      <c r="BG96" s="3">
        <f t="shared" si="15"/>
        <v>1.4289754098865222</v>
      </c>
      <c r="BH96" s="3">
        <f t="shared" si="16"/>
        <v>1.4076286231915609</v>
      </c>
    </row>
    <row r="97" spans="1:71">
      <c r="A97">
        <v>2018</v>
      </c>
      <c r="B97" s="3"/>
      <c r="G97" s="2">
        <f>'Exchange Rates'!D57</f>
        <v>0.84599999999999997</v>
      </c>
      <c r="I97" s="3">
        <f>BP117*100</f>
        <v>146.67612892869332</v>
      </c>
      <c r="K97" s="3">
        <f>'EU petrol prices nominal'!Y16*100</f>
        <v>140.2274615384616</v>
      </c>
      <c r="O97"/>
      <c r="P97" s="24">
        <v>1.402274615384616</v>
      </c>
      <c r="Q97" s="25"/>
      <c r="R97" s="116"/>
      <c r="S97" s="23"/>
      <c r="T97">
        <f>USA!Z105*G97</f>
        <v>59.392569350649353</v>
      </c>
      <c r="W97"/>
      <c r="X97" s="23"/>
      <c r="Z97" s="113">
        <v>61.48</v>
      </c>
      <c r="AA97" s="4">
        <f t="shared" si="28"/>
        <v>24.333569789270221</v>
      </c>
      <c r="AB97" s="3">
        <f t="shared" si="35"/>
        <v>85.813569789270218</v>
      </c>
      <c r="AN97">
        <v>2018</v>
      </c>
      <c r="AO97" s="3">
        <f>I97/100</f>
        <v>1.4667612892869331</v>
      </c>
      <c r="AP97" s="3">
        <f>Z97/100</f>
        <v>0.61480000000000001</v>
      </c>
      <c r="AQ97" s="3">
        <f>AA97/100</f>
        <v>0.24333569789270221</v>
      </c>
      <c r="AR97" s="3">
        <f>AB97/100</f>
        <v>0.85813569789270217</v>
      </c>
      <c r="AS97" s="3">
        <f t="shared" ref="AS97" si="39">AO97-AR97</f>
        <v>0.60862559139423089</v>
      </c>
      <c r="AU97" s="3">
        <f>CPIs!D57</f>
        <v>114.41348639060529</v>
      </c>
      <c r="AW97" s="3">
        <f t="shared" ref="AW97" si="40">AO97/$AU97*100</f>
        <v>1.2819828636979387</v>
      </c>
      <c r="AX97" s="3">
        <f t="shared" ref="AX97" si="41">BA97+AY97</f>
        <v>1.3045026481352644</v>
      </c>
      <c r="AY97" s="3">
        <f t="shared" ref="AY97" si="42">AR97/$AU97*100</f>
        <v>0.75003019745683175</v>
      </c>
      <c r="AZ97" s="3">
        <f t="shared" ref="AZ97" si="43">AW97-AY97</f>
        <v>0.53195266624110693</v>
      </c>
      <c r="BA97" s="3">
        <f t="shared" si="31"/>
        <v>0.55447245067843254</v>
      </c>
      <c r="BB97" s="3">
        <f t="shared" ref="BB97" si="44">T97/AU97*100</f>
        <v>51.910461978131096</v>
      </c>
      <c r="BC97" s="9">
        <v>0</v>
      </c>
      <c r="BD97">
        <v>0</v>
      </c>
      <c r="BE97">
        <v>0</v>
      </c>
      <c r="BF97" s="4"/>
      <c r="BG97" s="3">
        <f>AW97*$AU$97/$AU$89</f>
        <v>1.4667612892869328</v>
      </c>
      <c r="BH97" s="3">
        <f>AX97*$AU$97/$AU$89</f>
        <v>1.4925269597893263</v>
      </c>
    </row>
    <row r="98" spans="1:71">
      <c r="K98" s="12"/>
      <c r="O98"/>
      <c r="P98" s="23"/>
      <c r="Q98" s="13"/>
      <c r="R98" s="13"/>
      <c r="S98" s="23"/>
      <c r="W98"/>
      <c r="X98" s="23"/>
      <c r="AN98">
        <v>2019</v>
      </c>
      <c r="AU98" s="3">
        <f>AU97</f>
        <v>114.41348639060529</v>
      </c>
      <c r="BB98"/>
      <c r="BD98" s="3"/>
    </row>
    <row r="99" spans="1:71">
      <c r="K99" s="12"/>
      <c r="O99"/>
      <c r="P99" s="23"/>
      <c r="Q99" s="13"/>
      <c r="R99" s="13"/>
      <c r="S99" s="23"/>
      <c r="W99"/>
      <c r="X99" s="23"/>
      <c r="AN99">
        <v>2020</v>
      </c>
      <c r="AU99" s="3">
        <f t="shared" ref="AU99:AU109" si="45">AU98</f>
        <v>114.41348639060529</v>
      </c>
      <c r="AW99" s="13" t="s">
        <v>88</v>
      </c>
      <c r="AX99" s="13">
        <v>0.2089769667352048</v>
      </c>
      <c r="BB99"/>
      <c r="BD99" s="3"/>
      <c r="BR99" t="s">
        <v>2435</v>
      </c>
    </row>
    <row r="100" spans="1:71">
      <c r="K100" s="12"/>
      <c r="O100"/>
      <c r="P100" s="23"/>
      <c r="Q100" s="116"/>
      <c r="R100" s="116"/>
      <c r="S100" s="23"/>
      <c r="W100"/>
      <c r="X100" s="23"/>
      <c r="AN100">
        <v>2021</v>
      </c>
      <c r="AU100" s="3">
        <f t="shared" si="45"/>
        <v>114.41348639060529</v>
      </c>
      <c r="AW100" s="13" t="s">
        <v>229</v>
      </c>
      <c r="AX100" s="13">
        <v>6.6556041071023113E-3</v>
      </c>
      <c r="BB100"/>
      <c r="BD100" s="3"/>
    </row>
    <row r="101" spans="1:71">
      <c r="K101" s="12"/>
      <c r="O101"/>
      <c r="P101" s="23"/>
      <c r="Q101" s="116"/>
      <c r="R101" s="116"/>
      <c r="S101" s="23"/>
      <c r="W101"/>
      <c r="X101" s="23"/>
      <c r="AN101">
        <v>2022</v>
      </c>
      <c r="AU101" s="3">
        <f t="shared" si="45"/>
        <v>114.41348639060529</v>
      </c>
      <c r="AW101" s="3" t="s">
        <v>149</v>
      </c>
      <c r="AX101" s="13">
        <v>0.11882047650719679</v>
      </c>
      <c r="BB101"/>
      <c r="BD101" s="3"/>
      <c r="BN101" s="3" t="s">
        <v>2430</v>
      </c>
    </row>
    <row r="102" spans="1:71">
      <c r="K102" s="12"/>
      <c r="O102"/>
      <c r="P102" s="23"/>
      <c r="Q102" s="116"/>
      <c r="R102" s="116"/>
      <c r="S102" s="23"/>
      <c r="W102"/>
      <c r="X102" s="23"/>
      <c r="AN102">
        <v>2023</v>
      </c>
      <c r="AU102" s="3">
        <f t="shared" si="45"/>
        <v>114.41348639060529</v>
      </c>
      <c r="AW102" s="3" t="s">
        <v>1998</v>
      </c>
      <c r="AX102" s="13">
        <v>-7.1800580393124216E-2</v>
      </c>
      <c r="BB102"/>
      <c r="BD102" s="3"/>
    </row>
    <row r="103" spans="1:71" ht="15.75" thickBot="1">
      <c r="K103" s="12"/>
      <c r="O103"/>
      <c r="P103" s="23"/>
      <c r="Q103" s="116"/>
      <c r="R103" s="116"/>
      <c r="S103" s="23"/>
      <c r="W103"/>
      <c r="X103" s="23"/>
      <c r="AN103">
        <v>2024</v>
      </c>
      <c r="AU103" s="3">
        <f t="shared" si="45"/>
        <v>114.41348639060529</v>
      </c>
      <c r="AW103" t="s">
        <v>1984</v>
      </c>
      <c r="AX103" s="14">
        <v>-6.1912675483256956E-2</v>
      </c>
      <c r="BB103"/>
      <c r="BD103" s="3"/>
      <c r="BN103" t="s">
        <v>2416</v>
      </c>
      <c r="BO103" t="s">
        <v>1693</v>
      </c>
      <c r="BR103" t="s">
        <v>1888</v>
      </c>
      <c r="BS103" t="s">
        <v>2416</v>
      </c>
    </row>
    <row r="104" spans="1:71">
      <c r="K104" s="12"/>
      <c r="O104"/>
      <c r="P104" s="23"/>
      <c r="Q104" s="116"/>
      <c r="R104" s="116"/>
      <c r="S104" s="23"/>
      <c r="W104"/>
      <c r="X104" s="23"/>
      <c r="AN104">
        <v>2025</v>
      </c>
      <c r="AU104" s="3">
        <f t="shared" si="45"/>
        <v>114.41348639060529</v>
      </c>
      <c r="BB104"/>
      <c r="BD104" s="3"/>
      <c r="BM104" s="78">
        <v>43101</v>
      </c>
      <c r="BN104" s="3">
        <v>1.8</v>
      </c>
      <c r="BO104">
        <v>1.22</v>
      </c>
      <c r="BP104" s="3">
        <f>BN104/BO104</f>
        <v>1.4754098360655739</v>
      </c>
      <c r="BR104">
        <v>1.5249999999999999</v>
      </c>
      <c r="BS104" s="3">
        <f>BR104/0.846</f>
        <v>1.8026004728132388</v>
      </c>
    </row>
    <row r="105" spans="1:71">
      <c r="K105" s="12"/>
      <c r="O105"/>
      <c r="P105" s="23"/>
      <c r="Q105" s="116"/>
      <c r="R105" s="116"/>
      <c r="S105" s="23"/>
      <c r="W105"/>
      <c r="X105" s="23"/>
      <c r="AN105">
        <v>2026</v>
      </c>
      <c r="AU105" s="3">
        <f t="shared" si="45"/>
        <v>114.41348639060529</v>
      </c>
      <c r="BB105"/>
      <c r="BD105" s="3"/>
      <c r="BM105" s="78">
        <v>43132</v>
      </c>
      <c r="BN105">
        <v>1.73</v>
      </c>
      <c r="BO105">
        <v>1.23</v>
      </c>
      <c r="BP105" s="3">
        <f t="shared" ref="BP105:BP115" si="46">BN105/BO105</f>
        <v>1.4065040650406504</v>
      </c>
      <c r="BR105">
        <v>1.46</v>
      </c>
      <c r="BS105" s="3">
        <f t="shared" ref="BS105:BS115" si="47">BR105/0.846</f>
        <v>1.7257683215130024</v>
      </c>
    </row>
    <row r="106" spans="1:71">
      <c r="K106" s="12"/>
      <c r="O106"/>
      <c r="P106" s="23"/>
      <c r="Q106" s="116"/>
      <c r="R106" s="116"/>
      <c r="S106" s="23"/>
      <c r="W106"/>
      <c r="X106" s="23"/>
      <c r="AN106">
        <v>2027</v>
      </c>
      <c r="AU106" s="3">
        <f t="shared" si="45"/>
        <v>114.41348639060529</v>
      </c>
      <c r="BB106"/>
      <c r="BD106" s="3"/>
      <c r="BM106" s="78">
        <v>43160</v>
      </c>
      <c r="BN106">
        <v>1.79</v>
      </c>
      <c r="BO106">
        <v>1.23</v>
      </c>
      <c r="BP106" s="3">
        <f t="shared" si="46"/>
        <v>1.4552845528455285</v>
      </c>
      <c r="BR106">
        <v>1.5249999999999999</v>
      </c>
      <c r="BS106" s="3">
        <f t="shared" si="47"/>
        <v>1.8026004728132388</v>
      </c>
    </row>
    <row r="107" spans="1:71">
      <c r="K107" s="12"/>
      <c r="O107"/>
      <c r="P107" s="23"/>
      <c r="Q107" s="116"/>
      <c r="R107" s="116"/>
      <c r="S107" s="23"/>
      <c r="W107"/>
      <c r="X107" s="23"/>
      <c r="AN107">
        <v>2028</v>
      </c>
      <c r="AU107" s="3">
        <f t="shared" si="45"/>
        <v>114.41348639060529</v>
      </c>
      <c r="BB107"/>
      <c r="BD107" s="3"/>
      <c r="BM107" s="78">
        <v>43191</v>
      </c>
      <c r="BN107">
        <v>1.79</v>
      </c>
      <c r="BO107">
        <v>1.2250000000000001</v>
      </c>
      <c r="BP107" s="3">
        <f t="shared" si="46"/>
        <v>1.4612244897959183</v>
      </c>
      <c r="BR107">
        <v>1.5249999999999999</v>
      </c>
      <c r="BS107" s="3">
        <f t="shared" si="47"/>
        <v>1.8026004728132388</v>
      </c>
    </row>
    <row r="108" spans="1:71">
      <c r="K108" s="12"/>
      <c r="O108"/>
      <c r="P108" s="23"/>
      <c r="Q108" s="116"/>
      <c r="R108" s="116"/>
      <c r="S108" s="23"/>
      <c r="W108"/>
      <c r="X108" s="23"/>
      <c r="AN108">
        <v>2029</v>
      </c>
      <c r="AU108" s="3">
        <f t="shared" si="45"/>
        <v>114.41348639060529</v>
      </c>
      <c r="BB108"/>
      <c r="BD108" s="3"/>
      <c r="BM108" s="78">
        <v>43221</v>
      </c>
      <c r="BN108">
        <v>1.79</v>
      </c>
      <c r="BO108">
        <v>1.1825000000000001</v>
      </c>
      <c r="BP108" s="3">
        <f t="shared" si="46"/>
        <v>1.5137420718816066</v>
      </c>
      <c r="BR108">
        <v>1.5249999999999999</v>
      </c>
      <c r="BS108" s="3">
        <f t="shared" si="47"/>
        <v>1.8026004728132388</v>
      </c>
    </row>
    <row r="109" spans="1:71">
      <c r="K109" s="12"/>
      <c r="O109"/>
      <c r="P109" s="23"/>
      <c r="Q109" s="13" t="str">
        <f>AW99</f>
        <v>Intercept</v>
      </c>
      <c r="R109" s="13">
        <f>AX99</f>
        <v>0.2089769667352048</v>
      </c>
      <c r="S109" s="23"/>
      <c r="W109"/>
      <c r="X109" s="23"/>
      <c r="AN109">
        <v>2030</v>
      </c>
      <c r="AU109" s="3">
        <f t="shared" si="45"/>
        <v>114.41348639060529</v>
      </c>
      <c r="BB109"/>
      <c r="BD109" s="3"/>
      <c r="BM109" s="78">
        <v>43252</v>
      </c>
      <c r="BN109">
        <v>1.76</v>
      </c>
      <c r="BO109">
        <v>1.17</v>
      </c>
      <c r="BP109" s="3">
        <f t="shared" si="46"/>
        <v>1.5042735042735045</v>
      </c>
      <c r="BR109">
        <v>1.5249999999999999</v>
      </c>
      <c r="BS109" s="3">
        <f t="shared" si="47"/>
        <v>1.8026004728132388</v>
      </c>
    </row>
    <row r="110" spans="1:71">
      <c r="K110" s="12"/>
      <c r="O110"/>
      <c r="P110" s="23"/>
      <c r="Q110" s="13" t="str">
        <f>AW100</f>
        <v>landed oil price</v>
      </c>
      <c r="R110" s="13">
        <f>AX100</f>
        <v>6.6556041071023113E-3</v>
      </c>
      <c r="S110" s="23"/>
      <c r="W110"/>
      <c r="X110" s="23"/>
      <c r="BB110"/>
      <c r="BD110" s="3"/>
      <c r="BM110" s="78">
        <v>43282</v>
      </c>
      <c r="BN110">
        <v>1.75</v>
      </c>
      <c r="BO110">
        <v>1.17</v>
      </c>
      <c r="BP110" s="3">
        <f t="shared" si="46"/>
        <v>1.4957264957264957</v>
      </c>
      <c r="BR110">
        <v>1.55</v>
      </c>
      <c r="BS110" s="3">
        <f t="shared" si="47"/>
        <v>1.8321513002364067</v>
      </c>
    </row>
    <row r="111" spans="1:71">
      <c r="K111" s="12"/>
      <c r="O111"/>
      <c r="P111" s="23"/>
      <c r="Q111" s="17"/>
      <c r="R111" s="13"/>
      <c r="S111" s="23"/>
      <c r="W111"/>
      <c r="X111" s="23"/>
      <c r="BB111"/>
      <c r="BD111" s="3"/>
      <c r="BM111" s="78">
        <v>43313</v>
      </c>
      <c r="BN111">
        <v>1.79</v>
      </c>
      <c r="BO111">
        <v>1.1499999999999999</v>
      </c>
      <c r="BP111" s="3">
        <f t="shared" si="46"/>
        <v>1.5565217391304349</v>
      </c>
      <c r="BR111">
        <v>1.5</v>
      </c>
      <c r="BS111" s="3">
        <f t="shared" si="47"/>
        <v>1.773049645390071</v>
      </c>
    </row>
    <row r="112" spans="1:71">
      <c r="K112" s="12"/>
      <c r="O112"/>
      <c r="P112" s="23"/>
      <c r="Q112" s="17"/>
      <c r="R112" s="13"/>
      <c r="S112" s="23"/>
      <c r="W112"/>
      <c r="X112" s="23"/>
      <c r="BB112"/>
      <c r="BD112" s="3"/>
      <c r="BM112" s="78">
        <v>43344</v>
      </c>
      <c r="BN112">
        <v>1.79</v>
      </c>
      <c r="BO112">
        <v>1.165</v>
      </c>
      <c r="BP112" s="3">
        <f t="shared" si="46"/>
        <v>1.5364806866952789</v>
      </c>
      <c r="BR112">
        <v>1.45</v>
      </c>
      <c r="BS112" s="3">
        <f t="shared" si="47"/>
        <v>1.7139479905437351</v>
      </c>
    </row>
    <row r="113" spans="1:71">
      <c r="K113" s="12"/>
      <c r="O113"/>
      <c r="P113" s="23"/>
      <c r="Q113" s="116"/>
      <c r="R113" s="116"/>
      <c r="S113" s="23"/>
      <c r="W113"/>
      <c r="X113" s="23"/>
      <c r="BB113"/>
      <c r="BD113" s="3"/>
      <c r="BM113" s="78">
        <v>43374</v>
      </c>
      <c r="BN113">
        <v>1.68</v>
      </c>
      <c r="BO113">
        <v>1.147</v>
      </c>
      <c r="BP113" s="3">
        <f t="shared" si="46"/>
        <v>1.4646904969485615</v>
      </c>
      <c r="BR113">
        <v>1.39</v>
      </c>
      <c r="BS113" s="3">
        <f t="shared" si="47"/>
        <v>1.6430260047281324</v>
      </c>
    </row>
    <row r="114" spans="1:71">
      <c r="K114" s="12"/>
      <c r="O114"/>
      <c r="P114" s="23"/>
      <c r="Q114" s="116"/>
      <c r="R114" s="116"/>
      <c r="S114" s="23"/>
      <c r="W114"/>
      <c r="X114" s="23"/>
      <c r="BB114"/>
      <c r="BD114" s="3"/>
      <c r="BM114" s="78">
        <v>43405</v>
      </c>
      <c r="BN114">
        <v>1.58</v>
      </c>
      <c r="BO114">
        <v>1.135</v>
      </c>
      <c r="BP114" s="3">
        <f t="shared" si="46"/>
        <v>1.392070484581498</v>
      </c>
      <c r="BR114">
        <v>1.35</v>
      </c>
      <c r="BS114" s="3">
        <f t="shared" si="47"/>
        <v>1.595744680851064</v>
      </c>
    </row>
    <row r="115" spans="1:71">
      <c r="K115" s="12"/>
      <c r="O115"/>
      <c r="P115" s="23"/>
      <c r="R115" s="12"/>
      <c r="S115" s="23"/>
      <c r="W115"/>
      <c r="X115" s="23"/>
      <c r="BB115"/>
      <c r="BD115" s="3"/>
      <c r="BM115" s="78">
        <v>43435</v>
      </c>
      <c r="BN115">
        <v>1.52</v>
      </c>
      <c r="BO115">
        <v>1.135</v>
      </c>
      <c r="BP115" s="3">
        <f t="shared" si="46"/>
        <v>1.3392070484581498</v>
      </c>
      <c r="BR115">
        <v>1.3</v>
      </c>
      <c r="BS115" s="3">
        <f t="shared" si="47"/>
        <v>1.5366430260047281</v>
      </c>
    </row>
    <row r="116" spans="1:71">
      <c r="K116" s="12"/>
      <c r="O116"/>
      <c r="P116" s="23"/>
      <c r="R116" s="12"/>
      <c r="S116" s="23"/>
      <c r="W116"/>
      <c r="X116" s="23"/>
      <c r="BB116"/>
      <c r="BD116" s="3"/>
      <c r="BP116" s="3"/>
    </row>
    <row r="117" spans="1:71">
      <c r="K117" s="12"/>
      <c r="O117"/>
      <c r="P117" s="23"/>
      <c r="R117" s="12"/>
      <c r="S117" s="23"/>
      <c r="W117"/>
      <c r="X117" s="23"/>
      <c r="BB117"/>
      <c r="BD117" s="3"/>
      <c r="BM117">
        <v>2018</v>
      </c>
      <c r="BN117" s="3">
        <f>AVERAGE(BN104:BN115)</f>
        <v>1.7308333333333332</v>
      </c>
      <c r="BO117" s="3">
        <f>AVERAGE(BO104:BO115)</f>
        <v>1.1799583333333332</v>
      </c>
      <c r="BP117" s="2">
        <f>AVERAGE(BP104:BP115)</f>
        <v>1.4667612892869333</v>
      </c>
      <c r="BR117" s="2">
        <f>AVERAGE(BR104:BR115)</f>
        <v>1.4687500000000002</v>
      </c>
      <c r="BS117" s="3">
        <f>AVERAGE(BS104:BS115)</f>
        <v>1.7361111111111109</v>
      </c>
    </row>
    <row r="118" spans="1:71">
      <c r="K118" s="12"/>
      <c r="O118"/>
      <c r="P118" s="23"/>
      <c r="R118" s="12"/>
      <c r="S118" s="23"/>
      <c r="W118"/>
      <c r="X118" s="23"/>
      <c r="BB118"/>
      <c r="BC118"/>
      <c r="BH118" s="3"/>
      <c r="BI118" s="3"/>
      <c r="BP118" s="2">
        <f>1/BO117</f>
        <v>0.84748755252657237</v>
      </c>
    </row>
    <row r="119" spans="1:71">
      <c r="K119" s="12"/>
      <c r="O119" s="12"/>
      <c r="P119"/>
      <c r="Q119" s="23"/>
      <c r="R119" s="12"/>
      <c r="S119" s="12"/>
      <c r="T119" s="23"/>
      <c r="W119"/>
      <c r="AG119" s="23"/>
      <c r="AK119" t="s">
        <v>1960</v>
      </c>
      <c r="AL119" t="s">
        <v>1960</v>
      </c>
      <c r="AM119" t="s">
        <v>1960</v>
      </c>
      <c r="BB119"/>
      <c r="BC119"/>
      <c r="BM119" s="3"/>
      <c r="BN119" s="3"/>
    </row>
    <row r="120" spans="1:71">
      <c r="B120" s="76" t="s">
        <v>2543</v>
      </c>
      <c r="C120" s="76"/>
      <c r="D120" s="76"/>
      <c r="E120" s="76"/>
      <c r="F120" s="26" t="s">
        <v>269</v>
      </c>
      <c r="G120" s="76" t="s">
        <v>2544</v>
      </c>
      <c r="H120" s="76"/>
      <c r="I120" s="76"/>
      <c r="J120" s="76"/>
      <c r="K120" s="26" t="s">
        <v>2545</v>
      </c>
      <c r="L120" s="26"/>
      <c r="M120" s="26"/>
      <c r="N120" s="26"/>
      <c r="O120" s="12"/>
      <c r="P120" s="77" t="s">
        <v>111</v>
      </c>
      <c r="Q120" s="26" t="s">
        <v>2547</v>
      </c>
      <c r="R120" s="26"/>
      <c r="S120" s="26"/>
      <c r="T120" s="79">
        <v>0.21</v>
      </c>
      <c r="U120" s="76" t="s">
        <v>2548</v>
      </c>
      <c r="V120" s="76"/>
      <c r="W120" s="76"/>
      <c r="X120" s="76"/>
      <c r="Y120" s="26" t="s">
        <v>2574</v>
      </c>
      <c r="Z120" s="26"/>
      <c r="AA120" s="26"/>
      <c r="AB120" s="79"/>
      <c r="AC120" s="26" t="s">
        <v>2076</v>
      </c>
      <c r="AD120" s="26"/>
      <c r="AE120" s="26"/>
      <c r="AF120" s="79"/>
      <c r="AG120" s="12"/>
      <c r="AH120" s="12"/>
      <c r="AI120" s="12"/>
      <c r="AJ120" s="7"/>
      <c r="AK120" s="3" t="s">
        <v>1957</v>
      </c>
      <c r="AL120" s="3" t="s">
        <v>1957</v>
      </c>
      <c r="AM120" s="3" t="s">
        <v>1957</v>
      </c>
      <c r="BB120"/>
      <c r="BC120"/>
      <c r="BI120" s="3"/>
      <c r="BJ120" s="3"/>
    </row>
    <row r="121" spans="1:71">
      <c r="A121" s="71"/>
      <c r="B121" s="77" t="s">
        <v>262</v>
      </c>
      <c r="C121" s="77" t="s">
        <v>268</v>
      </c>
      <c r="D121" s="77" t="s">
        <v>267</v>
      </c>
      <c r="E121" s="77" t="s">
        <v>266</v>
      </c>
      <c r="F121" s="75" t="s">
        <v>270</v>
      </c>
      <c r="G121" s="77" t="s">
        <v>262</v>
      </c>
      <c r="H121" s="77" t="s">
        <v>268</v>
      </c>
      <c r="I121" s="77" t="s">
        <v>267</v>
      </c>
      <c r="J121" s="77" t="s">
        <v>266</v>
      </c>
      <c r="K121" s="75" t="s">
        <v>262</v>
      </c>
      <c r="L121" s="75" t="s">
        <v>268</v>
      </c>
      <c r="M121" s="75" t="s">
        <v>267</v>
      </c>
      <c r="N121" s="75" t="s">
        <v>266</v>
      </c>
      <c r="O121" s="71"/>
      <c r="P121" s="77" t="s">
        <v>2546</v>
      </c>
      <c r="Q121" s="75" t="s">
        <v>262</v>
      </c>
      <c r="R121" s="75" t="s">
        <v>268</v>
      </c>
      <c r="S121" s="75" t="s">
        <v>267</v>
      </c>
      <c r="T121" s="75" t="s">
        <v>266</v>
      </c>
      <c r="U121" s="77" t="s">
        <v>262</v>
      </c>
      <c r="V121" s="77" t="s">
        <v>268</v>
      </c>
      <c r="W121" s="77" t="s">
        <v>267</v>
      </c>
      <c r="X121" s="77" t="s">
        <v>266</v>
      </c>
      <c r="Y121" s="75" t="s">
        <v>2030</v>
      </c>
      <c r="Z121" s="75" t="s">
        <v>2031</v>
      </c>
      <c r="AA121" s="75" t="s">
        <v>2032</v>
      </c>
      <c r="AB121" s="75" t="s">
        <v>2033</v>
      </c>
      <c r="AC121" s="75" t="s">
        <v>2030</v>
      </c>
      <c r="AD121" s="75" t="s">
        <v>2031</v>
      </c>
      <c r="AE121" s="75" t="s">
        <v>2032</v>
      </c>
      <c r="AF121" s="75" t="s">
        <v>2033</v>
      </c>
      <c r="AG121" s="83"/>
      <c r="AH121" s="83"/>
      <c r="AI121" s="44"/>
      <c r="AJ121" s="44"/>
      <c r="AK121" s="3" t="s">
        <v>268</v>
      </c>
      <c r="AL121" s="3" t="s">
        <v>267</v>
      </c>
      <c r="AM121" s="3" t="s">
        <v>266</v>
      </c>
      <c r="BB121"/>
      <c r="BC121"/>
      <c r="BI121" s="3"/>
      <c r="BJ121" s="3"/>
    </row>
    <row r="122" spans="1:71">
      <c r="A122">
        <v>2010</v>
      </c>
      <c r="B122" s="3">
        <f>USA!Z97/USA!AU97*100</f>
        <v>77.45</v>
      </c>
      <c r="C122" s="3">
        <f>AK122</f>
        <v>77.45</v>
      </c>
      <c r="D122" s="3">
        <f t="shared" ref="D122:E122" si="48">AL122</f>
        <v>77.45</v>
      </c>
      <c r="E122" s="3">
        <f t="shared" si="48"/>
        <v>77.45</v>
      </c>
      <c r="F122" s="6">
        <f>'Exchange Rates'!D49</f>
        <v>0.75867129256384003</v>
      </c>
      <c r="G122" s="3">
        <f>(B122*USA!$AU97/100)/$AU89*100*$F122</f>
        <v>58.759091609069415</v>
      </c>
      <c r="H122" s="3">
        <f>(C122*USA!$AU97/100)/$AU89*100*$F122</f>
        <v>58.759091609069415</v>
      </c>
      <c r="I122" s="3">
        <f>(D122*USA!$AU97/100)/$AU89*100*$F122</f>
        <v>58.759091609069415</v>
      </c>
      <c r="J122" s="3">
        <f>(E122*USA!$AU97/100)/$AU89*100*$F122</f>
        <v>58.759091609069415</v>
      </c>
      <c r="K122" s="6">
        <f>R$109+R$110*G122</f>
        <v>0.60005421817812821</v>
      </c>
      <c r="L122" s="6">
        <f>R$109+R$110*H122</f>
        <v>0.60005421817812821</v>
      </c>
      <c r="M122" s="6">
        <f>R$109+R$110*I122</f>
        <v>0.60005421817812821</v>
      </c>
      <c r="N122" s="6">
        <f>R$109+R$110*J122</f>
        <v>0.60005421817812821</v>
      </c>
      <c r="O122">
        <v>2010</v>
      </c>
      <c r="P122" s="24">
        <f>Z89/AU89*AU$89/100</f>
        <v>0.61399999999999999</v>
      </c>
      <c r="Q122" s="3">
        <f t="shared" ref="Q122:Q130" si="49">(K122+P122)*$T$120</f>
        <v>0.25495138581740689</v>
      </c>
      <c r="R122" s="3">
        <f t="shared" ref="R122:R142" si="50">(L122+P122)*$T$120</f>
        <v>0.25495138581740689</v>
      </c>
      <c r="S122" s="3">
        <f t="shared" ref="S122:S142" si="51">(M122+P122)*$T$120</f>
        <v>0.25495138581740689</v>
      </c>
      <c r="T122" s="3">
        <f t="shared" ref="T122:T142" si="52">(N122+P122)*$T$120</f>
        <v>0.25495138581740689</v>
      </c>
      <c r="U122" s="3">
        <f t="shared" ref="U122:U129" si="53">AW89</f>
        <v>1.456</v>
      </c>
      <c r="V122" s="3">
        <f t="shared" ref="V122:V142" si="54">L122+P122+R122</f>
        <v>1.469005603995535</v>
      </c>
      <c r="W122" s="3">
        <f t="shared" ref="W122:W142" si="55">M122+P122+S122</f>
        <v>1.469005603995535</v>
      </c>
      <c r="X122" s="3">
        <f t="shared" ref="X122:X142" si="56">N122+P122+T122</f>
        <v>1.469005603995535</v>
      </c>
      <c r="Y122" s="3">
        <f t="shared" ref="Y122:Y130" si="57">AW89*$AU$97/100</f>
        <v>1.6658603618472128</v>
      </c>
      <c r="Z122" s="3">
        <f>V122*$AU$97/100</f>
        <v>1.6807405268046605</v>
      </c>
      <c r="AA122" s="3">
        <f>W122*$AU$97/100</f>
        <v>1.6807405268046605</v>
      </c>
      <c r="AB122" s="3">
        <f>X122*$AU$97/100</f>
        <v>1.6807405268046605</v>
      </c>
      <c r="AC122" s="3">
        <f>U122*$AU$96/100</f>
        <v>1.63640507057683</v>
      </c>
      <c r="AD122" s="3">
        <f>AC122</f>
        <v>1.63640507057683</v>
      </c>
      <c r="AE122" s="3">
        <f t="shared" ref="AE122:AF122" si="58">AD122</f>
        <v>1.63640507057683</v>
      </c>
      <c r="AF122" s="3">
        <f t="shared" si="58"/>
        <v>1.63640507057683</v>
      </c>
      <c r="AG122" s="7"/>
      <c r="AH122" s="7"/>
      <c r="AI122" s="44"/>
      <c r="AJ122" s="44"/>
      <c r="AK122" s="3">
        <f>USA!AJ135</f>
        <v>77.45</v>
      </c>
      <c r="AL122" s="3">
        <f>USA!AK135</f>
        <v>77.45</v>
      </c>
      <c r="AM122" s="3">
        <f>USA!AL135</f>
        <v>77.45</v>
      </c>
      <c r="BB122"/>
      <c r="BC122"/>
      <c r="BI122" s="3"/>
      <c r="BJ122" s="3"/>
    </row>
    <row r="123" spans="1:71">
      <c r="A123">
        <v>2011</v>
      </c>
      <c r="B123" s="3">
        <f>USA!Z98/USA!AU98*100</f>
        <v>104.18614906980585</v>
      </c>
      <c r="C123" s="3">
        <f t="shared" ref="C123:C142" si="59">AK123</f>
        <v>104.18614906980586</v>
      </c>
      <c r="D123" s="3">
        <f t="shared" ref="D123:D142" si="60">AL123</f>
        <v>104.18614906980586</v>
      </c>
      <c r="E123" s="3">
        <f t="shared" ref="E123:E142" si="61">AM123</f>
        <v>104.18614906980586</v>
      </c>
      <c r="F123" s="6">
        <f>'Exchange Rates'!D50</f>
        <v>0.71544109992713056</v>
      </c>
      <c r="G123" s="3">
        <f>(B123*USA!$AU98/100)/$AU90*100*$F123</f>
        <v>74.260778490098119</v>
      </c>
      <c r="H123" s="3">
        <f>(C123*USA!$AU98/100)/$AU90*100*$F123</f>
        <v>74.260778490098119</v>
      </c>
      <c r="I123" s="3">
        <f>(D123*USA!$AU98/100)/$AU90*100*$F123</f>
        <v>74.260778490098119</v>
      </c>
      <c r="J123" s="3">
        <f>(E123*USA!$AU98/100)/$AU90*100*$F123</f>
        <v>74.260778490098119</v>
      </c>
      <c r="K123" s="6">
        <f>R$109+R$110*G123</f>
        <v>0.70322730905051678</v>
      </c>
      <c r="L123" s="6">
        <f t="shared" ref="L123:L142" si="62">R$109+R$110*H123</f>
        <v>0.70322730905051678</v>
      </c>
      <c r="M123" s="6">
        <f t="shared" ref="M123:M142" si="63">R$109+R$110*I123</f>
        <v>0.70322730905051678</v>
      </c>
      <c r="N123" s="6">
        <f t="shared" ref="N123:N142" si="64">R$109+R$110*J123</f>
        <v>0.70322730905051678</v>
      </c>
      <c r="O123">
        <v>2011</v>
      </c>
      <c r="P123" s="24">
        <f t="shared" ref="P123:P130" si="65">Z90/AU90*AU$89/100</f>
        <v>0.59312682162224717</v>
      </c>
      <c r="Q123" s="3">
        <f t="shared" si="49"/>
        <v>0.27223436744128043</v>
      </c>
      <c r="R123" s="3">
        <f t="shared" si="50"/>
        <v>0.27223436744128043</v>
      </c>
      <c r="S123" s="3">
        <f t="shared" si="51"/>
        <v>0.27223436744128043</v>
      </c>
      <c r="T123" s="3">
        <f t="shared" si="52"/>
        <v>0.27223436744128043</v>
      </c>
      <c r="U123" s="3">
        <f t="shared" si="53"/>
        <v>1.5508909479001227</v>
      </c>
      <c r="V123" s="3">
        <f t="shared" si="54"/>
        <v>1.5685884981140443</v>
      </c>
      <c r="W123" s="3">
        <f t="shared" si="55"/>
        <v>1.5685884981140443</v>
      </c>
      <c r="X123" s="3">
        <f t="shared" si="56"/>
        <v>1.5685884981140443</v>
      </c>
      <c r="Y123" s="3">
        <f t="shared" si="57"/>
        <v>1.7744284036088362</v>
      </c>
      <c r="Z123" s="3">
        <f t="shared" ref="Z123:Z141" si="66">V123*$AU$97/100</f>
        <v>1.7946767878143119</v>
      </c>
      <c r="AA123" s="3">
        <f t="shared" ref="AA123:AA142" si="67">W123*$AU$97/100</f>
        <v>1.7946767878143119</v>
      </c>
      <c r="AB123" s="3">
        <f t="shared" ref="AB123:AB142" si="68">X123*$AU$97/100</f>
        <v>1.7946767878143119</v>
      </c>
      <c r="AC123" s="3">
        <f t="shared" ref="AC123:AC130" si="69">U123*$AU$96/100</f>
        <v>1.7430534416589749</v>
      </c>
      <c r="AD123" s="3">
        <f t="shared" ref="AD123:AF123" si="70">AC123</f>
        <v>1.7430534416589749</v>
      </c>
      <c r="AE123" s="3">
        <f t="shared" si="70"/>
        <v>1.7430534416589749</v>
      </c>
      <c r="AF123" s="3">
        <f t="shared" si="70"/>
        <v>1.7430534416589749</v>
      </c>
      <c r="AG123" s="7"/>
      <c r="AH123" s="7"/>
      <c r="AI123" s="44"/>
      <c r="AJ123" s="44"/>
      <c r="AK123" s="3">
        <f>USA!AJ136</f>
        <v>104.18614906980586</v>
      </c>
      <c r="AL123" s="3">
        <f>USA!AK136</f>
        <v>104.18614906980586</v>
      </c>
      <c r="AM123" s="3">
        <f>USA!AL136</f>
        <v>104.18614906980586</v>
      </c>
      <c r="BB123"/>
      <c r="BC123"/>
      <c r="BI123" s="3"/>
      <c r="BJ123" s="3"/>
    </row>
    <row r="124" spans="1:71">
      <c r="A124">
        <v>2012</v>
      </c>
      <c r="B124" s="3">
        <f>USA!Z99/USA!AU99*100</f>
        <v>104.07290773565181</v>
      </c>
      <c r="C124" s="3">
        <f t="shared" si="59"/>
        <v>104.07290773565181</v>
      </c>
      <c r="D124" s="3">
        <f t="shared" si="60"/>
        <v>104.07290773565181</v>
      </c>
      <c r="E124" s="3">
        <f t="shared" si="61"/>
        <v>104.07290773565181</v>
      </c>
      <c r="F124" s="6">
        <f>'Exchange Rates'!D51</f>
        <v>0.773899446716382</v>
      </c>
      <c r="G124" s="3">
        <f>(B124*USA!$AU99/100)/$AU91*100*$F124</f>
        <v>79.612089239213361</v>
      </c>
      <c r="H124" s="3">
        <f>(C124*USA!$AU99/100)/$AU91*100*$F124</f>
        <v>79.612089239213361</v>
      </c>
      <c r="I124" s="3">
        <f>(D124*USA!$AU99/100)/$AU91*100*$F124</f>
        <v>79.612089239213361</v>
      </c>
      <c r="J124" s="3">
        <f>(E124*USA!$AU99/100)/$AU91*100*$F124</f>
        <v>79.612089239213361</v>
      </c>
      <c r="K124" s="6">
        <f>R$109+R$110*G124</f>
        <v>0.73884351485070898</v>
      </c>
      <c r="L124" s="6">
        <f t="shared" si="62"/>
        <v>0.73884351485070898</v>
      </c>
      <c r="M124" s="6">
        <f t="shared" si="63"/>
        <v>0.73884351485070898</v>
      </c>
      <c r="N124" s="6">
        <f t="shared" si="64"/>
        <v>0.73884351485070898</v>
      </c>
      <c r="O124">
        <v>2012</v>
      </c>
      <c r="P124" s="24">
        <f t="shared" si="65"/>
        <v>0.57685301087098761</v>
      </c>
      <c r="Q124" s="3">
        <f t="shared" si="49"/>
        <v>0.2762962704015563</v>
      </c>
      <c r="R124" s="3">
        <f t="shared" si="50"/>
        <v>0.2762962704015563</v>
      </c>
      <c r="S124" s="3">
        <f t="shared" si="51"/>
        <v>0.2762962704015563</v>
      </c>
      <c r="T124" s="3">
        <f t="shared" si="52"/>
        <v>0.2762962704015563</v>
      </c>
      <c r="U124" s="3">
        <f t="shared" si="53"/>
        <v>1.6074663838837087</v>
      </c>
      <c r="V124" s="3">
        <f t="shared" si="54"/>
        <v>1.591992796123253</v>
      </c>
      <c r="W124" s="3">
        <f t="shared" si="55"/>
        <v>1.591992796123253</v>
      </c>
      <c r="X124" s="3">
        <f t="shared" si="56"/>
        <v>1.591992796123253</v>
      </c>
      <c r="Y124" s="3">
        <f t="shared" si="57"/>
        <v>1.8391583323583418</v>
      </c>
      <c r="Z124" s="3">
        <f t="shared" si="66"/>
        <v>1.8214544611318946</v>
      </c>
      <c r="AA124" s="3">
        <f t="shared" si="67"/>
        <v>1.8214544611318946</v>
      </c>
      <c r="AB124" s="3">
        <f t="shared" si="68"/>
        <v>1.8214544611318946</v>
      </c>
      <c r="AC124" s="3">
        <f t="shared" si="69"/>
        <v>1.8066388333579</v>
      </c>
      <c r="AD124" s="3">
        <f t="shared" ref="AD124:AF124" si="71">AC124</f>
        <v>1.8066388333579</v>
      </c>
      <c r="AE124" s="3">
        <f t="shared" si="71"/>
        <v>1.8066388333579</v>
      </c>
      <c r="AF124" s="3">
        <f t="shared" si="71"/>
        <v>1.8066388333579</v>
      </c>
      <c r="AG124" s="7"/>
      <c r="AH124" s="7"/>
      <c r="AI124" s="44"/>
      <c r="AJ124" s="44"/>
      <c r="AK124" s="3">
        <f>USA!AJ137</f>
        <v>104.07290773565181</v>
      </c>
      <c r="AL124" s="3">
        <f>USA!AK137</f>
        <v>104.07290773565181</v>
      </c>
      <c r="AM124" s="3">
        <f>USA!AL137</f>
        <v>104.07290773565181</v>
      </c>
      <c r="BB124"/>
      <c r="BC124"/>
      <c r="BI124" s="3"/>
      <c r="BJ124" s="3"/>
    </row>
    <row r="125" spans="1:71">
      <c r="A125">
        <v>2013</v>
      </c>
      <c r="B125" s="3">
        <f>USA!Z100/USA!AU100*100</f>
        <v>99.286371359470479</v>
      </c>
      <c r="C125" s="3">
        <f t="shared" si="59"/>
        <v>99.286371359470493</v>
      </c>
      <c r="D125" s="3">
        <f t="shared" si="60"/>
        <v>99.286371359470493</v>
      </c>
      <c r="E125" s="3">
        <f t="shared" si="61"/>
        <v>99.286371359470493</v>
      </c>
      <c r="F125" s="6">
        <f>'Exchange Rates'!D52</f>
        <v>0.75166876437654617</v>
      </c>
      <c r="G125" s="3">
        <f>(B125*USA!$AU100/100)/$AU92*100*$F125</f>
        <v>73.940013647152867</v>
      </c>
      <c r="H125" s="3">
        <f>(C125*USA!$AU100/100)/$AU92*100*$F125</f>
        <v>73.940013647152895</v>
      </c>
      <c r="I125" s="3">
        <f>(D125*USA!$AU100/100)/$AU92*100*$F125</f>
        <v>73.940013647152895</v>
      </c>
      <c r="J125" s="3">
        <f>(E125*USA!$AU100/100)/$AU92*100*$F125</f>
        <v>73.940013647152895</v>
      </c>
      <c r="K125" s="6">
        <f t="shared" ref="K125:K130" si="72">R$109+R$110*G125</f>
        <v>0.70109242524439641</v>
      </c>
      <c r="L125" s="6">
        <f t="shared" si="62"/>
        <v>0.70109242524439652</v>
      </c>
      <c r="M125" s="6">
        <f t="shared" si="63"/>
        <v>0.70109242524439652</v>
      </c>
      <c r="N125" s="6">
        <f t="shared" si="64"/>
        <v>0.70109242524439652</v>
      </c>
      <c r="O125">
        <v>2013</v>
      </c>
      <c r="P125" s="24">
        <f t="shared" si="65"/>
        <v>0.57013381310128364</v>
      </c>
      <c r="Q125" s="3">
        <f t="shared" si="49"/>
        <v>0.26695751005259283</v>
      </c>
      <c r="R125" s="3">
        <f t="shared" si="50"/>
        <v>0.26695751005259283</v>
      </c>
      <c r="S125" s="3">
        <f t="shared" si="51"/>
        <v>0.26695751005259283</v>
      </c>
      <c r="T125" s="3">
        <f t="shared" si="52"/>
        <v>0.26695751005259283</v>
      </c>
      <c r="U125" s="3">
        <f t="shared" si="53"/>
        <v>1.5269792307994852</v>
      </c>
      <c r="V125" s="3">
        <f t="shared" si="54"/>
        <v>1.5381837483982728</v>
      </c>
      <c r="W125" s="3">
        <f t="shared" si="55"/>
        <v>1.5381837483982728</v>
      </c>
      <c r="X125" s="3">
        <f t="shared" si="56"/>
        <v>1.5381837483982728</v>
      </c>
      <c r="Y125" s="3">
        <f t="shared" si="57"/>
        <v>1.7470701744181383</v>
      </c>
      <c r="Z125" s="3">
        <f t="shared" si="66"/>
        <v>1.7598896536361601</v>
      </c>
      <c r="AA125" s="3">
        <f t="shared" si="67"/>
        <v>1.7598896536361601</v>
      </c>
      <c r="AB125" s="3">
        <f t="shared" si="68"/>
        <v>1.7598896536361601</v>
      </c>
      <c r="AC125" s="3">
        <f t="shared" si="69"/>
        <v>1.716178953259468</v>
      </c>
      <c r="AD125" s="3">
        <f t="shared" ref="AD125:AF125" si="73">AC125</f>
        <v>1.716178953259468</v>
      </c>
      <c r="AE125" s="3">
        <f t="shared" si="73"/>
        <v>1.716178953259468</v>
      </c>
      <c r="AF125" s="3">
        <f t="shared" si="73"/>
        <v>1.716178953259468</v>
      </c>
      <c r="AG125" s="7"/>
      <c r="AH125" s="7"/>
      <c r="AI125" s="44"/>
      <c r="AJ125" s="44"/>
      <c r="AK125" s="3">
        <f>USA!AJ138</f>
        <v>99.286371359470493</v>
      </c>
      <c r="AL125" s="3">
        <f>USA!AK138</f>
        <v>99.286371359470493</v>
      </c>
      <c r="AM125" s="3">
        <f>USA!AL138</f>
        <v>99.286371359470493</v>
      </c>
      <c r="BB125"/>
      <c r="BC125"/>
      <c r="BI125" s="3"/>
      <c r="BJ125" s="3"/>
    </row>
    <row r="126" spans="1:71">
      <c r="A126">
        <v>2014</v>
      </c>
      <c r="B126" s="3">
        <f>USA!Z101/USA!AU101*100</f>
        <v>88.687750298592292</v>
      </c>
      <c r="C126" s="3">
        <f t="shared" si="59"/>
        <v>88.687750298592292</v>
      </c>
      <c r="D126" s="3">
        <f t="shared" si="60"/>
        <v>88.687750298592292</v>
      </c>
      <c r="E126" s="3">
        <f t="shared" si="61"/>
        <v>88.687750298592292</v>
      </c>
      <c r="F126" s="6">
        <f>'Exchange Rates'!D53</f>
        <v>0.757387838338895</v>
      </c>
      <c r="G126" s="3">
        <f>(B126*USA!$AU101/100)/$AU93*100*$F126</f>
        <v>67.397766550903924</v>
      </c>
      <c r="H126" s="3">
        <f>(C126*USA!$AU101/100)/$AU93*100*$F126</f>
        <v>67.397766550903924</v>
      </c>
      <c r="I126" s="3">
        <f>(D126*USA!$AU101/100)/$AU93*100*$F126</f>
        <v>67.397766550903924</v>
      </c>
      <c r="J126" s="3">
        <f>(E126*USA!$AU101/100)/$AU93*100*$F126</f>
        <v>67.397766550903924</v>
      </c>
      <c r="K126" s="6">
        <f t="shared" si="72"/>
        <v>0.65754981860092376</v>
      </c>
      <c r="L126" s="6">
        <f t="shared" si="62"/>
        <v>0.65754981860092376</v>
      </c>
      <c r="M126" s="6">
        <f t="shared" si="63"/>
        <v>0.65754981860092376</v>
      </c>
      <c r="N126" s="6">
        <f t="shared" si="64"/>
        <v>0.65754981860092376</v>
      </c>
      <c r="O126">
        <v>2014</v>
      </c>
      <c r="P126" s="24">
        <f t="shared" si="65"/>
        <v>0.56802817228615332</v>
      </c>
      <c r="Q126" s="3">
        <f t="shared" si="49"/>
        <v>0.25737137808628618</v>
      </c>
      <c r="R126" s="3">
        <f t="shared" si="50"/>
        <v>0.25737137808628618</v>
      </c>
      <c r="S126" s="3">
        <f t="shared" si="51"/>
        <v>0.25737137808628618</v>
      </c>
      <c r="T126" s="3">
        <f t="shared" si="52"/>
        <v>0.25737137808628618</v>
      </c>
      <c r="U126" s="3">
        <f t="shared" si="53"/>
        <v>1.4753781739226095</v>
      </c>
      <c r="V126" s="3">
        <f t="shared" si="54"/>
        <v>1.4829493689733635</v>
      </c>
      <c r="W126" s="3">
        <f t="shared" si="55"/>
        <v>1.4829493689733635</v>
      </c>
      <c r="X126" s="3">
        <f t="shared" si="56"/>
        <v>1.4829493689733635</v>
      </c>
      <c r="Y126" s="3">
        <f t="shared" si="57"/>
        <v>1.6880316062309055</v>
      </c>
      <c r="Z126" s="3">
        <f t="shared" si="66"/>
        <v>1.6966940744499062</v>
      </c>
      <c r="AA126" s="3">
        <f t="shared" si="67"/>
        <v>1.6966940744499062</v>
      </c>
      <c r="AB126" s="3">
        <f t="shared" si="68"/>
        <v>1.6966940744499062</v>
      </c>
      <c r="AC126" s="3">
        <f t="shared" si="69"/>
        <v>1.6581842890283947</v>
      </c>
      <c r="AD126" s="3">
        <f t="shared" ref="AD126:AF126" si="74">AC126</f>
        <v>1.6581842890283947</v>
      </c>
      <c r="AE126" s="3">
        <f t="shared" si="74"/>
        <v>1.6581842890283947</v>
      </c>
      <c r="AF126" s="3">
        <f t="shared" si="74"/>
        <v>1.6581842890283947</v>
      </c>
      <c r="AG126" s="7"/>
      <c r="AH126" s="7"/>
      <c r="AI126" s="44"/>
      <c r="AJ126" s="44"/>
      <c r="AK126" s="3">
        <f>USA!AJ139</f>
        <v>88.687750298592292</v>
      </c>
      <c r="AL126" s="3">
        <f>USA!AK139</f>
        <v>88.687750298592292</v>
      </c>
      <c r="AM126" s="3">
        <f>USA!AL139</f>
        <v>88.687750298592292</v>
      </c>
      <c r="BB126"/>
      <c r="BC126"/>
      <c r="BI126" s="3"/>
      <c r="BJ126" s="3"/>
    </row>
    <row r="127" spans="1:71">
      <c r="A127">
        <v>2015</v>
      </c>
      <c r="B127" s="3">
        <f>USA!Z102/USA!AU102*100</f>
        <v>45.556296925601828</v>
      </c>
      <c r="C127" s="3">
        <f t="shared" si="59"/>
        <v>45.556296925601814</v>
      </c>
      <c r="D127" s="3">
        <f t="shared" si="60"/>
        <v>45.556296925601814</v>
      </c>
      <c r="E127" s="3">
        <f t="shared" si="61"/>
        <v>45.556296925601814</v>
      </c>
      <c r="F127" s="6">
        <f>'Exchange Rates'!D54</f>
        <v>0.90592556207997499</v>
      </c>
      <c r="G127" s="3">
        <f>(B127*USA!$AU102/100)/$AU94*100*$F127</f>
        <v>41.271853673937329</v>
      </c>
      <c r="H127" s="3">
        <f>(C127*USA!$AU102/100)/$AU94*100*$F127</f>
        <v>41.271853673937315</v>
      </c>
      <c r="I127" s="3">
        <f>(D127*USA!$AU102/100)/$AU94*100*$F127</f>
        <v>41.271853673937315</v>
      </c>
      <c r="J127" s="3">
        <f>(E127*USA!$AU102/100)/$AU94*100*$F127</f>
        <v>41.271853673937315</v>
      </c>
      <c r="K127" s="6">
        <f t="shared" si="72"/>
        <v>0.48366608555518775</v>
      </c>
      <c r="L127" s="6">
        <f t="shared" si="62"/>
        <v>0.48366608555518764</v>
      </c>
      <c r="M127" s="6">
        <f t="shared" si="63"/>
        <v>0.48366608555518764</v>
      </c>
      <c r="N127" s="6">
        <f t="shared" si="64"/>
        <v>0.48366608555518764</v>
      </c>
      <c r="O127">
        <v>2015</v>
      </c>
      <c r="P127" s="24">
        <f t="shared" si="65"/>
        <v>0.56490882278136745</v>
      </c>
      <c r="Q127" s="3">
        <f t="shared" si="49"/>
        <v>0.22020073075067659</v>
      </c>
      <c r="R127" s="3">
        <f t="shared" si="50"/>
        <v>0.22020073075067659</v>
      </c>
      <c r="S127" s="3">
        <f t="shared" si="51"/>
        <v>0.22020073075067659</v>
      </c>
      <c r="T127" s="3">
        <f t="shared" si="52"/>
        <v>0.22020073075067659</v>
      </c>
      <c r="U127" s="3">
        <f t="shared" si="53"/>
        <v>1.3062053506819236</v>
      </c>
      <c r="V127" s="3">
        <f t="shared" si="54"/>
        <v>1.2687756390872318</v>
      </c>
      <c r="W127" s="3">
        <f t="shared" si="55"/>
        <v>1.2687756390872318</v>
      </c>
      <c r="X127" s="3">
        <f t="shared" si="56"/>
        <v>1.2687756390872318</v>
      </c>
      <c r="Y127" s="3">
        <f t="shared" si="57"/>
        <v>1.4944750811358207</v>
      </c>
      <c r="Z127" s="3">
        <f t="shared" si="66"/>
        <v>1.4516504431543851</v>
      </c>
      <c r="AA127" s="3">
        <f t="shared" si="67"/>
        <v>1.4516504431543851</v>
      </c>
      <c r="AB127" s="3">
        <f t="shared" si="68"/>
        <v>1.4516504431543851</v>
      </c>
      <c r="AC127" s="3">
        <f t="shared" si="69"/>
        <v>1.4680501779330262</v>
      </c>
      <c r="AD127" s="3">
        <f t="shared" ref="AD127:AF127" si="75">AC127</f>
        <v>1.4680501779330262</v>
      </c>
      <c r="AE127" s="3">
        <f t="shared" si="75"/>
        <v>1.4680501779330262</v>
      </c>
      <c r="AF127" s="3">
        <f t="shared" si="75"/>
        <v>1.4680501779330262</v>
      </c>
      <c r="AG127" s="7"/>
      <c r="AH127" s="7"/>
      <c r="AI127" s="44"/>
      <c r="AJ127" s="44"/>
      <c r="AK127" s="3">
        <f>USA!AJ140</f>
        <v>45.556296925601814</v>
      </c>
      <c r="AL127" s="3">
        <f>USA!AK140</f>
        <v>45.556296925601814</v>
      </c>
      <c r="AM127" s="3">
        <f>USA!AL140</f>
        <v>45.556296925601814</v>
      </c>
      <c r="BB127"/>
      <c r="BC127"/>
      <c r="BI127" s="3"/>
      <c r="BJ127" s="3"/>
    </row>
    <row r="128" spans="1:71">
      <c r="A128">
        <v>2016</v>
      </c>
      <c r="B128" s="3">
        <f>USA!Z103/USA!AU103*100</f>
        <v>36.957692605914716</v>
      </c>
      <c r="C128" s="3">
        <f t="shared" si="59"/>
        <v>36.957692605914716</v>
      </c>
      <c r="D128" s="3">
        <f t="shared" si="60"/>
        <v>36.957692605914716</v>
      </c>
      <c r="E128" s="3">
        <f t="shared" si="61"/>
        <v>36.957692605914716</v>
      </c>
      <c r="F128" s="6">
        <f>'Exchange Rates'!D55</f>
        <v>0.90674707708863456</v>
      </c>
      <c r="G128" s="3">
        <f>(B128*USA!$AU103/100)/$AU95*100*$F128</f>
        <v>33.341736968037857</v>
      </c>
      <c r="H128" s="3">
        <f>(C128*USA!$AU103/100)/$AU95*100*$F128</f>
        <v>33.341736968037857</v>
      </c>
      <c r="I128" s="3">
        <f>(D128*USA!$AU103/100)/$AU95*100*$F128</f>
        <v>33.341736968037857</v>
      </c>
      <c r="J128" s="3">
        <f>(E128*USA!$AU103/100)/$AU95*100*$F128</f>
        <v>33.341736968037857</v>
      </c>
      <c r="K128" s="6">
        <f t="shared" si="72"/>
        <v>0.43088636823760251</v>
      </c>
      <c r="L128" s="6">
        <f t="shared" si="62"/>
        <v>0.43088636823760251</v>
      </c>
      <c r="M128" s="6">
        <f t="shared" si="63"/>
        <v>0.43088636823760251</v>
      </c>
      <c r="N128" s="6">
        <f t="shared" si="64"/>
        <v>0.43088636823760251</v>
      </c>
      <c r="O128">
        <v>2016</v>
      </c>
      <c r="P128" s="24">
        <f t="shared" si="65"/>
        <v>0.55539332280340137</v>
      </c>
      <c r="Q128" s="3">
        <f t="shared" si="49"/>
        <v>0.20711873511861081</v>
      </c>
      <c r="R128" s="3">
        <f t="shared" si="50"/>
        <v>0.20711873511861081</v>
      </c>
      <c r="S128" s="3">
        <f t="shared" si="51"/>
        <v>0.20711873511861081</v>
      </c>
      <c r="T128" s="3">
        <f t="shared" si="52"/>
        <v>0.20711873511861081</v>
      </c>
      <c r="U128" s="3">
        <f t="shared" si="53"/>
        <v>1.186853437371195</v>
      </c>
      <c r="V128" s="3">
        <f t="shared" si="54"/>
        <v>1.1933984261596147</v>
      </c>
      <c r="W128" s="3">
        <f t="shared" si="55"/>
        <v>1.1933984261596147</v>
      </c>
      <c r="X128" s="3">
        <f t="shared" si="56"/>
        <v>1.1933984261596147</v>
      </c>
      <c r="Y128" s="3">
        <f t="shared" si="57"/>
        <v>1.3579203960431232</v>
      </c>
      <c r="Z128" s="3">
        <f t="shared" si="66"/>
        <v>1.3654087458998285</v>
      </c>
      <c r="AA128" s="3">
        <f t="shared" si="67"/>
        <v>1.3654087458998285</v>
      </c>
      <c r="AB128" s="3">
        <f t="shared" si="68"/>
        <v>1.3654087458998285</v>
      </c>
      <c r="AC128" s="3">
        <f t="shared" si="69"/>
        <v>1.333910015759453</v>
      </c>
      <c r="AD128" s="3">
        <f t="shared" ref="AD128:AF128" si="76">AC128</f>
        <v>1.333910015759453</v>
      </c>
      <c r="AE128" s="3">
        <f t="shared" si="76"/>
        <v>1.333910015759453</v>
      </c>
      <c r="AF128" s="3">
        <f t="shared" si="76"/>
        <v>1.333910015759453</v>
      </c>
      <c r="AG128" s="7"/>
      <c r="AH128" s="7"/>
      <c r="AI128" s="44"/>
      <c r="AJ128" s="44"/>
      <c r="AK128" s="3">
        <f>USA!AJ141</f>
        <v>36.957692605914716</v>
      </c>
      <c r="AL128" s="3">
        <f>USA!AK141</f>
        <v>36.957692605914716</v>
      </c>
      <c r="AM128" s="3">
        <f>USA!AL141</f>
        <v>36.957692605914716</v>
      </c>
      <c r="BB128"/>
      <c r="BC128"/>
      <c r="BI128" s="3"/>
      <c r="BJ128" s="3"/>
    </row>
    <row r="129" spans="1:62">
      <c r="A129">
        <v>2017</v>
      </c>
      <c r="B129" s="3">
        <f>USA!Z104/USA!AU104*100</f>
        <v>46.705738720797434</v>
      </c>
      <c r="C129" s="3">
        <f t="shared" si="59"/>
        <v>46.705738720797434</v>
      </c>
      <c r="D129" s="3">
        <f t="shared" si="60"/>
        <v>46.705738720797434</v>
      </c>
      <c r="E129" s="3">
        <f t="shared" si="61"/>
        <v>46.705738720797434</v>
      </c>
      <c r="F129" s="6">
        <f>'Exchange Rates'!D56</f>
        <v>0.88700000000000001</v>
      </c>
      <c r="G129" s="3">
        <f>(B129*USA!$AU104/100)/$AU96*100*$F129</f>
        <v>41.441569657380285</v>
      </c>
      <c r="H129" s="3">
        <f>(C129*USA!$AU104/100)/$AU96*100*$F129</f>
        <v>41.441569657380285</v>
      </c>
      <c r="I129" s="3">
        <f>(D129*USA!$AU104/100)/$AU96*100*$F129</f>
        <v>41.441569657380285</v>
      </c>
      <c r="J129" s="3">
        <f>(E129*USA!$AU104/100)/$AU96*100*$F129</f>
        <v>41.441569657380285</v>
      </c>
      <c r="K129" s="6">
        <f t="shared" si="72"/>
        <v>0.48479564795163155</v>
      </c>
      <c r="L129" s="6">
        <f t="shared" si="62"/>
        <v>0.48479564795163155</v>
      </c>
      <c r="M129" s="6">
        <f t="shared" si="63"/>
        <v>0.48479564795163155</v>
      </c>
      <c r="N129" s="6">
        <f t="shared" si="64"/>
        <v>0.48479564795163155</v>
      </c>
      <c r="O129">
        <v>2017</v>
      </c>
      <c r="P129" s="24">
        <f t="shared" si="65"/>
        <v>0.53830192526199594</v>
      </c>
      <c r="Q129" s="3">
        <f t="shared" si="49"/>
        <v>0.21485049037486179</v>
      </c>
      <c r="R129" s="3">
        <f t="shared" si="50"/>
        <v>0.21485049037486179</v>
      </c>
      <c r="S129" s="3">
        <f t="shared" si="51"/>
        <v>0.21485049037486179</v>
      </c>
      <c r="T129" s="3">
        <f t="shared" si="52"/>
        <v>0.21485049037486179</v>
      </c>
      <c r="U129" s="3">
        <f t="shared" si="53"/>
        <v>1.2489571421746819</v>
      </c>
      <c r="V129" s="3">
        <f t="shared" si="54"/>
        <v>1.2379480635884894</v>
      </c>
      <c r="W129" s="3">
        <f t="shared" si="55"/>
        <v>1.2379480635884894</v>
      </c>
      <c r="X129" s="3">
        <f t="shared" si="56"/>
        <v>1.2379480635884894</v>
      </c>
      <c r="Y129" s="3">
        <f t="shared" si="57"/>
        <v>1.4289754098865222</v>
      </c>
      <c r="Z129" s="3">
        <f t="shared" si="66"/>
        <v>1.4163795392565779</v>
      </c>
      <c r="AA129" s="3">
        <f t="shared" si="67"/>
        <v>1.4163795392565779</v>
      </c>
      <c r="AB129" s="3">
        <f t="shared" si="68"/>
        <v>1.4163795392565779</v>
      </c>
      <c r="AC129" s="3">
        <f t="shared" si="69"/>
        <v>1.4037086541124975</v>
      </c>
      <c r="AD129" s="3">
        <f t="shared" ref="AD129:AF129" si="77">AC129</f>
        <v>1.4037086541124975</v>
      </c>
      <c r="AE129" s="3">
        <f t="shared" si="77"/>
        <v>1.4037086541124975</v>
      </c>
      <c r="AF129" s="3">
        <f t="shared" si="77"/>
        <v>1.4037086541124975</v>
      </c>
      <c r="AG129" s="7"/>
      <c r="AH129" s="7"/>
      <c r="AI129" s="44"/>
      <c r="AJ129" s="44"/>
      <c r="AK129" s="3">
        <f>USA!AJ142</f>
        <v>46.705738720797434</v>
      </c>
      <c r="AL129" s="3">
        <f>USA!AK142</f>
        <v>46.705738720797434</v>
      </c>
      <c r="AM129" s="3">
        <f>USA!AL142</f>
        <v>46.705738720797434</v>
      </c>
      <c r="BB129"/>
      <c r="BC129"/>
      <c r="BI129" s="3"/>
      <c r="BJ129" s="3"/>
    </row>
    <row r="130" spans="1:62">
      <c r="A130">
        <v>2018</v>
      </c>
      <c r="B130" s="3">
        <f>USA!Z105/USA!AU105*100</f>
        <v>60.818458312139953</v>
      </c>
      <c r="C130" s="3">
        <f t="shared" si="59"/>
        <v>60.818458312139953</v>
      </c>
      <c r="D130" s="3">
        <f t="shared" si="60"/>
        <v>60.818458312139953</v>
      </c>
      <c r="E130" s="3">
        <f t="shared" si="61"/>
        <v>60.818458312139953</v>
      </c>
      <c r="F130" s="6">
        <f>'Exchange Rates'!D57</f>
        <v>0.84599999999999997</v>
      </c>
      <c r="G130" s="3">
        <f>(B130*USA!$AU105/100)/$AU97*100*$F130</f>
        <v>51.910461978131089</v>
      </c>
      <c r="H130" s="3">
        <f>(C130*USA!$AU105/100)/$AU97*100*$F130</f>
        <v>51.910461978131089</v>
      </c>
      <c r="I130" s="3">
        <f>(D130*USA!$AU105/100)/$AU97*100*$F130</f>
        <v>51.910461978131089</v>
      </c>
      <c r="J130" s="3">
        <f>(E130*USA!$AU105/100)/$AU97*100*$F130</f>
        <v>51.910461978131089</v>
      </c>
      <c r="K130" s="6">
        <f t="shared" si="72"/>
        <v>0.55447245067843243</v>
      </c>
      <c r="L130" s="6">
        <f t="shared" si="62"/>
        <v>0.55447245067843243</v>
      </c>
      <c r="M130" s="6">
        <f t="shared" si="63"/>
        <v>0.55447245067843243</v>
      </c>
      <c r="N130" s="6">
        <f t="shared" si="64"/>
        <v>0.55447245067843243</v>
      </c>
      <c r="O130">
        <v>2018</v>
      </c>
      <c r="P130" s="24">
        <f t="shared" si="65"/>
        <v>0.53734924036934373</v>
      </c>
      <c r="Q130" s="3">
        <f t="shared" si="49"/>
        <v>0.22928255512003301</v>
      </c>
      <c r="R130" s="3">
        <f t="shared" si="50"/>
        <v>0.22928255512003301</v>
      </c>
      <c r="S130" s="3">
        <f t="shared" si="51"/>
        <v>0.22928255512003301</v>
      </c>
      <c r="T130" s="3">
        <f t="shared" si="52"/>
        <v>0.22928255512003301</v>
      </c>
      <c r="U130" s="30">
        <f>K130+$P130+Q130</f>
        <v>1.3211042461678093</v>
      </c>
      <c r="V130" s="3">
        <f t="shared" si="54"/>
        <v>1.3211042461678093</v>
      </c>
      <c r="W130" s="3">
        <f t="shared" si="55"/>
        <v>1.3211042461678093</v>
      </c>
      <c r="X130" s="3">
        <f t="shared" si="56"/>
        <v>1.3211042461678093</v>
      </c>
      <c r="Y130" s="3">
        <f t="shared" si="57"/>
        <v>1.4667612892869328</v>
      </c>
      <c r="Z130" s="3">
        <f t="shared" si="66"/>
        <v>1.5115214268949151</v>
      </c>
      <c r="AA130" s="3">
        <f t="shared" si="67"/>
        <v>1.5115214268949151</v>
      </c>
      <c r="AB130" s="3">
        <f t="shared" si="68"/>
        <v>1.5115214268949151</v>
      </c>
      <c r="AC130" s="3">
        <f t="shared" si="69"/>
        <v>1.484795114828011</v>
      </c>
      <c r="AD130" s="3">
        <f t="shared" ref="AD130:AF130" si="78">AC130</f>
        <v>1.484795114828011</v>
      </c>
      <c r="AE130" s="3">
        <f t="shared" si="78"/>
        <v>1.484795114828011</v>
      </c>
      <c r="AF130" s="3">
        <f t="shared" si="78"/>
        <v>1.484795114828011</v>
      </c>
      <c r="AG130" s="7"/>
      <c r="AH130" s="7"/>
      <c r="AI130" s="44"/>
      <c r="AJ130" s="44"/>
      <c r="AK130" s="3">
        <f>USA!AJ143</f>
        <v>60.818458312139953</v>
      </c>
      <c r="AL130" s="3">
        <f>USA!AK143</f>
        <v>60.818458312139953</v>
      </c>
      <c r="AM130" s="3">
        <f>USA!AL143</f>
        <v>60.818458312139953</v>
      </c>
      <c r="BB130"/>
      <c r="BC130"/>
      <c r="BI130" s="3"/>
      <c r="BJ130" s="3"/>
    </row>
    <row r="131" spans="1:62">
      <c r="A131">
        <v>2019</v>
      </c>
      <c r="B131" s="3"/>
      <c r="C131" s="3">
        <f>AK131</f>
        <v>90.611761513694489</v>
      </c>
      <c r="D131" s="3">
        <f t="shared" si="60"/>
        <v>56.019786702864394</v>
      </c>
      <c r="E131" s="3">
        <f t="shared" si="61"/>
        <v>25.889074718198426</v>
      </c>
      <c r="F131" s="6">
        <f>'Exchange Rates'!D58</f>
        <v>0.86199999999999999</v>
      </c>
      <c r="G131" s="3"/>
      <c r="H131" s="3">
        <f>(C131*USA!$AU106/100)/$AU98*100*$F131</f>
        <v>78.802675517266451</v>
      </c>
      <c r="I131" s="3">
        <f>(D131*USA!$AU106/100)/$AU98*100*$F131</f>
        <v>48.718941121403098</v>
      </c>
      <c r="J131" s="3">
        <f>(E131*USA!$AU106/100)/$AU98*100*$F131</f>
        <v>22.515050147790415</v>
      </c>
      <c r="K131" s="6"/>
      <c r="L131" s="6">
        <f t="shared" si="62"/>
        <v>0.73345637755857418</v>
      </c>
      <c r="M131" s="6">
        <f t="shared" si="63"/>
        <v>0.5332309513564909</v>
      </c>
      <c r="N131" s="6">
        <f t="shared" si="64"/>
        <v>0.35882822697045319</v>
      </c>
      <c r="O131">
        <v>2019</v>
      </c>
      <c r="P131" s="7">
        <f t="shared" ref="P131:P142" si="79">P130</f>
        <v>0.53734924036934373</v>
      </c>
      <c r="Q131" s="3"/>
      <c r="R131" s="3">
        <f t="shared" si="50"/>
        <v>0.26686917976486274</v>
      </c>
      <c r="S131" s="3">
        <f t="shared" si="51"/>
        <v>0.22482184026242527</v>
      </c>
      <c r="T131" s="3">
        <f t="shared" si="52"/>
        <v>0.18819726814135734</v>
      </c>
      <c r="U131" s="3"/>
      <c r="V131" s="3">
        <f t="shared" si="54"/>
        <v>1.5376747976927807</v>
      </c>
      <c r="W131" s="1">
        <f t="shared" si="55"/>
        <v>1.29540203198826</v>
      </c>
      <c r="X131" s="3">
        <f t="shared" si="56"/>
        <v>1.0843747354811542</v>
      </c>
      <c r="Y131" s="3"/>
      <c r="Z131" s="3">
        <f t="shared" si="66"/>
        <v>1.759307345389997</v>
      </c>
      <c r="AA131" s="3">
        <f t="shared" si="67"/>
        <v>1.4821146275725121</v>
      </c>
      <c r="AB131" s="3">
        <f t="shared" si="68"/>
        <v>1.2406709404028924</v>
      </c>
      <c r="AC131" s="3"/>
      <c r="AD131" s="3">
        <f>V131*$AU$96/100</f>
        <v>1.7281997498919421</v>
      </c>
      <c r="AE131" s="3">
        <f t="shared" ref="AE131:AF131" si="80">W131*$AU$96/100</f>
        <v>1.4559082785584598</v>
      </c>
      <c r="AF131" s="3">
        <f t="shared" si="80"/>
        <v>1.2187337332051988</v>
      </c>
      <c r="AG131" s="7"/>
      <c r="AH131" s="7"/>
      <c r="AI131" s="44"/>
      <c r="AJ131" s="44"/>
      <c r="AK131" s="3">
        <f>USA!AJ144</f>
        <v>90.611761513694489</v>
      </c>
      <c r="AL131" s="3">
        <f>USA!AK144</f>
        <v>56.019786702864394</v>
      </c>
      <c r="AM131" s="3">
        <f>USA!AL144</f>
        <v>25.889074718198426</v>
      </c>
      <c r="BB131"/>
      <c r="BC131"/>
      <c r="BI131" s="3"/>
      <c r="BJ131" s="3"/>
    </row>
    <row r="132" spans="1:62">
      <c r="A132">
        <v>2020</v>
      </c>
      <c r="B132" s="3"/>
      <c r="C132" s="3">
        <f t="shared" si="59"/>
        <v>105.28223718734027</v>
      </c>
      <c r="D132" s="3">
        <f t="shared" si="60"/>
        <v>56.251630823658907</v>
      </c>
      <c r="E132" s="3">
        <f t="shared" si="61"/>
        <v>26.752043875471706</v>
      </c>
      <c r="F132" s="6">
        <f>'Exchange Rates'!D59</f>
        <v>0.86199999999999999</v>
      </c>
      <c r="G132" s="3"/>
      <c r="H132" s="3">
        <f>(C132*USA!$AU107/100)/$AU99*100*$F132</f>
        <v>91.561203934347702</v>
      </c>
      <c r="I132" s="3">
        <f>(D132*USA!$AU107/100)/$AU99*100*$F132</f>
        <v>48.920569880367182</v>
      </c>
      <c r="J132" s="3">
        <f>(E132*USA!$AU107/100)/$AU99*100*$F132</f>
        <v>23.265551819383425</v>
      </c>
      <c r="K132" s="6"/>
      <c r="L132" s="6">
        <f t="shared" si="62"/>
        <v>0.81837209169188174</v>
      </c>
      <c r="M132" s="6">
        <f t="shared" si="63"/>
        <v>0.53457291255276229</v>
      </c>
      <c r="N132" s="6">
        <f t="shared" si="64"/>
        <v>0.36382326897829476</v>
      </c>
      <c r="O132">
        <v>2020</v>
      </c>
      <c r="P132" s="7">
        <f t="shared" si="79"/>
        <v>0.53734924036934373</v>
      </c>
      <c r="Q132" s="3"/>
      <c r="R132" s="3">
        <f t="shared" si="50"/>
        <v>0.28470147973285737</v>
      </c>
      <c r="S132" s="3">
        <f t="shared" si="51"/>
        <v>0.22510365211364222</v>
      </c>
      <c r="T132" s="3">
        <f t="shared" si="52"/>
        <v>0.18924622696300408</v>
      </c>
      <c r="U132" s="3"/>
      <c r="V132" s="3">
        <f t="shared" si="54"/>
        <v>1.6404228117940829</v>
      </c>
      <c r="W132" s="3">
        <f t="shared" si="55"/>
        <v>1.2970258050357482</v>
      </c>
      <c r="X132" s="3">
        <f t="shared" si="56"/>
        <v>1.0904187363106426</v>
      </c>
      <c r="Y132" s="3"/>
      <c r="Z132" s="3">
        <f t="shared" si="66"/>
        <v>1.8768649305204077</v>
      </c>
      <c r="AA132" s="3">
        <f t="shared" si="67"/>
        <v>1.4839724429272143</v>
      </c>
      <c r="AB132" s="3">
        <f t="shared" si="68"/>
        <v>1.2475860924693871</v>
      </c>
      <c r="AC132" s="3"/>
      <c r="AD132" s="3">
        <f t="shared" ref="AD132:AD142" si="81">V132*$AU$96/100</f>
        <v>1.8436787136742709</v>
      </c>
      <c r="AE132" s="3">
        <f t="shared" ref="AE132:AE142" si="82">W132*$AU$96/100</f>
        <v>1.4577332445257509</v>
      </c>
      <c r="AF132" s="3">
        <f t="shared" ref="AF132:AF142" si="83">X132*$AU$96/100</f>
        <v>1.2255266134276888</v>
      </c>
      <c r="AG132" s="7"/>
      <c r="AH132" s="7"/>
      <c r="AI132" s="44"/>
      <c r="AJ132" s="44"/>
      <c r="AK132" s="3">
        <f>USA!AJ145</f>
        <v>105.28223718734027</v>
      </c>
      <c r="AL132" s="3">
        <f>USA!AK145</f>
        <v>56.251630823658907</v>
      </c>
      <c r="AM132" s="3">
        <f>USA!AL145</f>
        <v>26.752043875471706</v>
      </c>
      <c r="BB132"/>
      <c r="BC132"/>
      <c r="BI132" s="3"/>
      <c r="BJ132" s="3"/>
    </row>
    <row r="133" spans="1:62">
      <c r="A133">
        <v>2021</v>
      </c>
      <c r="B133" s="3"/>
      <c r="C133" s="3">
        <f t="shared" si="59"/>
        <v>120.81568201825931</v>
      </c>
      <c r="D133" s="3">
        <f t="shared" si="60"/>
        <v>63.082289986431647</v>
      </c>
      <c r="E133" s="3">
        <f t="shared" si="61"/>
        <v>28.477982190018274</v>
      </c>
      <c r="F133" s="6">
        <f>'Exchange Rates'!D60</f>
        <v>0.86199999999999999</v>
      </c>
      <c r="G133" s="3"/>
      <c r="H133" s="3">
        <f>(C133*USA!$AU108/100)/$AU100*100*$F133</f>
        <v>105.07023402302192</v>
      </c>
      <c r="I133" s="3">
        <f>(D133*USA!$AU108/100)/$AU100*100*$F133</f>
        <v>54.861015232946173</v>
      </c>
      <c r="J133" s="3">
        <f>(E133*USA!$AU108/100)/$AU100*100*$F133</f>
        <v>24.766555162569464</v>
      </c>
      <c r="K133" s="6"/>
      <c r="L133" s="6">
        <f t="shared" si="62"/>
        <v>0.90828284783303059</v>
      </c>
      <c r="M133" s="6">
        <f t="shared" si="63"/>
        <v>0.57411016503940382</v>
      </c>
      <c r="N133" s="6">
        <f t="shared" si="64"/>
        <v>0.37381335299397811</v>
      </c>
      <c r="O133">
        <v>2021</v>
      </c>
      <c r="P133" s="7">
        <f t="shared" si="79"/>
        <v>0.53734924036934373</v>
      </c>
      <c r="Q133" s="3"/>
      <c r="R133" s="3">
        <f t="shared" si="50"/>
        <v>0.30358273852249862</v>
      </c>
      <c r="S133" s="3">
        <f t="shared" si="51"/>
        <v>0.23340647513583695</v>
      </c>
      <c r="T133" s="3">
        <f t="shared" si="52"/>
        <v>0.19134414460629759</v>
      </c>
      <c r="U133" s="3"/>
      <c r="V133" s="3">
        <f t="shared" si="54"/>
        <v>1.7492148267248728</v>
      </c>
      <c r="W133" s="3">
        <f t="shared" si="55"/>
        <v>1.3448658805445843</v>
      </c>
      <c r="X133" s="3">
        <f t="shared" si="56"/>
        <v>1.1025067379696194</v>
      </c>
      <c r="Y133" s="3"/>
      <c r="Z133" s="3">
        <f t="shared" si="66"/>
        <v>2.001337667717312</v>
      </c>
      <c r="AA133" s="3">
        <f t="shared" si="67"/>
        <v>1.5387079412087721</v>
      </c>
      <c r="AB133" s="3">
        <f t="shared" si="68"/>
        <v>1.2614163966023768</v>
      </c>
      <c r="AC133" s="3"/>
      <c r="AD133" s="3">
        <f t="shared" si="81"/>
        <v>1.9659505576790886</v>
      </c>
      <c r="AE133" s="3">
        <f t="shared" si="82"/>
        <v>1.5115009245665738</v>
      </c>
      <c r="AF133" s="3">
        <f t="shared" si="83"/>
        <v>1.2391123738726688</v>
      </c>
      <c r="AG133" s="7"/>
      <c r="AH133" s="7"/>
      <c r="AI133" s="44"/>
      <c r="AJ133" s="44"/>
      <c r="AK133" s="3">
        <f>USA!AJ146</f>
        <v>120.81568201825931</v>
      </c>
      <c r="AL133" s="3">
        <f>USA!AK146</f>
        <v>63.082289986431647</v>
      </c>
      <c r="AM133" s="3">
        <f>USA!AL146</f>
        <v>28.477982190018274</v>
      </c>
      <c r="BB133"/>
      <c r="BC133"/>
      <c r="BI133" s="3"/>
      <c r="BJ133" s="3"/>
    </row>
    <row r="134" spans="1:62">
      <c r="A134">
        <v>2022</v>
      </c>
      <c r="B134" s="3"/>
      <c r="C134" s="3">
        <f t="shared" si="59"/>
        <v>127.71943527644558</v>
      </c>
      <c r="D134" s="3">
        <f t="shared" si="60"/>
        <v>68.168185410991157</v>
      </c>
      <c r="E134" s="3">
        <f t="shared" si="61"/>
        <v>29.340951347291547</v>
      </c>
      <c r="F134" s="6">
        <f>'Exchange Rates'!D61</f>
        <v>0.86199999999999999</v>
      </c>
      <c r="G134" s="3"/>
      <c r="H134" s="3">
        <f>(C134*USA!$AU109/100)/$AU101*100*$F134</f>
        <v>111.07424739576608</v>
      </c>
      <c r="I134" s="3">
        <f>(D134*USA!$AU109/100)/$AU101*100*$F134</f>
        <v>59.284085264486642</v>
      </c>
      <c r="J134" s="3">
        <f>(E134*USA!$AU109/100)/$AU101*100*$F134</f>
        <v>25.517056834162471</v>
      </c>
      <c r="K134" s="6"/>
      <c r="L134" s="6">
        <f t="shared" si="62"/>
        <v>0.94824318389576379</v>
      </c>
      <c r="M134" s="6">
        <f t="shared" si="63"/>
        <v>0.60354836810732571</v>
      </c>
      <c r="N134" s="6">
        <f t="shared" si="64"/>
        <v>0.37880839500181962</v>
      </c>
      <c r="O134">
        <v>2022</v>
      </c>
      <c r="P134" s="7">
        <f t="shared" si="79"/>
        <v>0.53734924036934373</v>
      </c>
      <c r="Q134" s="3"/>
      <c r="R134" s="3">
        <f t="shared" si="50"/>
        <v>0.31197440909567259</v>
      </c>
      <c r="S134" s="3">
        <f t="shared" si="51"/>
        <v>0.23958849778010055</v>
      </c>
      <c r="T134" s="3">
        <f t="shared" si="52"/>
        <v>0.1923931034279443</v>
      </c>
      <c r="U134" s="3"/>
      <c r="V134" s="3">
        <f t="shared" si="54"/>
        <v>1.7975668333607802</v>
      </c>
      <c r="W134" s="3">
        <f t="shared" si="55"/>
        <v>1.3804861062567699</v>
      </c>
      <c r="X134" s="3">
        <f t="shared" si="56"/>
        <v>1.1085507387991076</v>
      </c>
      <c r="Y134" s="3"/>
      <c r="Z134" s="3">
        <f t="shared" si="66"/>
        <v>2.0566588842492708</v>
      </c>
      <c r="AA134" s="3">
        <f t="shared" si="67"/>
        <v>1.5794622833062864</v>
      </c>
      <c r="AB134" s="3">
        <f t="shared" si="68"/>
        <v>1.2683315486688713</v>
      </c>
      <c r="AC134" s="3"/>
      <c r="AD134" s="3">
        <f t="shared" si="81"/>
        <v>2.0202935994590083</v>
      </c>
      <c r="AE134" s="3">
        <f t="shared" si="82"/>
        <v>1.5515346594364305</v>
      </c>
      <c r="AF134" s="3">
        <f t="shared" si="83"/>
        <v>1.2459052540951585</v>
      </c>
      <c r="AG134" s="7"/>
      <c r="AH134" s="7"/>
      <c r="AI134" s="44"/>
      <c r="AJ134" s="44"/>
      <c r="AK134" s="3">
        <f>USA!AJ147</f>
        <v>127.71943527644558</v>
      </c>
      <c r="AL134" s="3">
        <f>USA!AK147</f>
        <v>68.168185410991157</v>
      </c>
      <c r="AM134" s="3">
        <f>USA!AL147</f>
        <v>29.340951347291547</v>
      </c>
      <c r="BB134"/>
      <c r="BC134"/>
      <c r="BI134" s="3"/>
      <c r="BJ134" s="3"/>
    </row>
    <row r="135" spans="1:62">
      <c r="A135">
        <v>2023</v>
      </c>
      <c r="B135" s="3"/>
      <c r="C135" s="3">
        <f t="shared" si="59"/>
        <v>132.89725022008525</v>
      </c>
      <c r="D135" s="3">
        <f t="shared" si="60"/>
        <v>70.508542947524788</v>
      </c>
      <c r="E135" s="3">
        <f t="shared" si="61"/>
        <v>29.340951347291547</v>
      </c>
      <c r="F135" s="6">
        <f>'Exchange Rates'!D62</f>
        <v>0.86199999999999999</v>
      </c>
      <c r="G135" s="3"/>
      <c r="H135" s="3">
        <f>(C135*USA!$AU110/100)/$AU102*100*$F135</f>
        <v>115.57725742532415</v>
      </c>
      <c r="I135" s="3">
        <f>(D135*USA!$AU110/100)/$AU102*100*$F135</f>
        <v>61.31943291102781</v>
      </c>
      <c r="J135" s="3">
        <f>(E135*USA!$AU110/100)/$AU102*100*$F135</f>
        <v>25.517056834162471</v>
      </c>
      <c r="K135" s="6"/>
      <c r="L135" s="6">
        <f t="shared" si="62"/>
        <v>0.97821343594281329</v>
      </c>
      <c r="M135" s="6">
        <f t="shared" si="63"/>
        <v>0.61709483626302608</v>
      </c>
      <c r="N135" s="6">
        <f t="shared" si="64"/>
        <v>0.37880839500181962</v>
      </c>
      <c r="O135">
        <v>2023</v>
      </c>
      <c r="P135" s="7">
        <f t="shared" si="79"/>
        <v>0.53734924036934373</v>
      </c>
      <c r="Q135" s="3"/>
      <c r="R135" s="3">
        <f t="shared" si="50"/>
        <v>0.31826816202555297</v>
      </c>
      <c r="S135" s="3">
        <f t="shared" si="51"/>
        <v>0.24243325609279764</v>
      </c>
      <c r="T135" s="3">
        <f t="shared" si="52"/>
        <v>0.1923931034279443</v>
      </c>
      <c r="U135" s="3"/>
      <c r="V135" s="3">
        <f t="shared" si="54"/>
        <v>1.83383083833771</v>
      </c>
      <c r="W135" s="3">
        <f t="shared" si="55"/>
        <v>1.3968773327251673</v>
      </c>
      <c r="X135" s="3">
        <f t="shared" si="56"/>
        <v>1.1085507387991076</v>
      </c>
      <c r="Y135" s="3"/>
      <c r="Z135" s="3">
        <f t="shared" si="66"/>
        <v>2.0981497966482383</v>
      </c>
      <c r="AA135" s="3">
        <f t="shared" si="67"/>
        <v>1.5982160569709594</v>
      </c>
      <c r="AB135" s="3">
        <f t="shared" si="68"/>
        <v>1.2683315486688713</v>
      </c>
      <c r="AC135" s="3"/>
      <c r="AD135" s="3">
        <f t="shared" si="81"/>
        <v>2.0610508807939478</v>
      </c>
      <c r="AE135" s="3">
        <f t="shared" si="82"/>
        <v>1.5699568339596852</v>
      </c>
      <c r="AF135" s="3">
        <f t="shared" si="83"/>
        <v>1.2459052540951585</v>
      </c>
      <c r="AG135" s="7"/>
      <c r="AH135" s="7"/>
      <c r="AI135" s="44"/>
      <c r="AJ135" s="44"/>
      <c r="AK135" s="3">
        <f>USA!AJ148</f>
        <v>132.89725022008525</v>
      </c>
      <c r="AL135" s="3">
        <f>USA!AK148</f>
        <v>70.508542947524788</v>
      </c>
      <c r="AM135" s="3">
        <f>USA!AL148</f>
        <v>29.340951347291547</v>
      </c>
      <c r="BB135"/>
      <c r="BC135"/>
      <c r="BI135" s="3"/>
      <c r="BJ135" s="3"/>
    </row>
    <row r="136" spans="1:62">
      <c r="A136">
        <v>2024</v>
      </c>
      <c r="B136" s="3"/>
      <c r="C136" s="3">
        <f t="shared" si="59"/>
        <v>137.21209600645167</v>
      </c>
      <c r="D136" s="3">
        <f t="shared" si="60"/>
        <v>71.127304204880986</v>
      </c>
      <c r="E136" s="3">
        <f t="shared" si="61"/>
        <v>29.340951347291547</v>
      </c>
      <c r="F136" s="6">
        <f>'Exchange Rates'!D63</f>
        <v>0.86199999999999999</v>
      </c>
      <c r="G136" s="3"/>
      <c r="H136" s="3">
        <f>(C136*USA!$AU111/100)/$AU103*100*$F136</f>
        <v>119.32976578328923</v>
      </c>
      <c r="I136" s="3">
        <f>(D136*USA!$AU111/100)/$AU103*100*$F136</f>
        <v>61.857553368808844</v>
      </c>
      <c r="J136" s="3">
        <f>(E136*USA!$AU111/100)/$AU103*100*$F136</f>
        <v>25.517056834162471</v>
      </c>
      <c r="K136" s="6"/>
      <c r="L136" s="6">
        <f t="shared" si="62"/>
        <v>1.0031886459820214</v>
      </c>
      <c r="M136" s="6">
        <f t="shared" si="63"/>
        <v>0.62067635299194934</v>
      </c>
      <c r="N136" s="6">
        <f t="shared" si="64"/>
        <v>0.37880839500181962</v>
      </c>
      <c r="O136">
        <v>2024</v>
      </c>
      <c r="P136" s="7">
        <f t="shared" si="79"/>
        <v>0.53734924036934373</v>
      </c>
      <c r="Q136" s="3"/>
      <c r="R136" s="3">
        <f t="shared" si="50"/>
        <v>0.32351295613378667</v>
      </c>
      <c r="S136" s="3">
        <f t="shared" si="51"/>
        <v>0.24318537460587153</v>
      </c>
      <c r="T136" s="3">
        <f t="shared" si="52"/>
        <v>0.1923931034279443</v>
      </c>
      <c r="U136" s="3"/>
      <c r="V136" s="3">
        <f t="shared" si="54"/>
        <v>1.8640508424851518</v>
      </c>
      <c r="W136" s="3">
        <f t="shared" si="55"/>
        <v>1.4012109679671645</v>
      </c>
      <c r="X136" s="3">
        <f t="shared" si="56"/>
        <v>1.1085507387991076</v>
      </c>
      <c r="Y136" s="3"/>
      <c r="Z136" s="3">
        <f t="shared" si="66"/>
        <v>2.1327255569807124</v>
      </c>
      <c r="AA136" s="3">
        <f t="shared" si="67"/>
        <v>1.6031743201387803</v>
      </c>
      <c r="AB136" s="3">
        <f t="shared" si="68"/>
        <v>1.2683315486688713</v>
      </c>
      <c r="AC136" s="3"/>
      <c r="AD136" s="3">
        <f t="shared" si="81"/>
        <v>2.0950152819063974</v>
      </c>
      <c r="AE136" s="3">
        <f t="shared" si="82"/>
        <v>1.5748274264624562</v>
      </c>
      <c r="AF136" s="3">
        <f t="shared" si="83"/>
        <v>1.2459052540951585</v>
      </c>
      <c r="AG136" s="7"/>
      <c r="AH136" s="7"/>
      <c r="AI136" s="44"/>
      <c r="AJ136" s="44"/>
      <c r="AK136" s="3">
        <f>USA!AJ149</f>
        <v>137.21209600645167</v>
      </c>
      <c r="AL136" s="3">
        <f>USA!AK149</f>
        <v>71.127304204880986</v>
      </c>
      <c r="AM136" s="3">
        <f>USA!AL149</f>
        <v>29.340951347291547</v>
      </c>
      <c r="BB136"/>
      <c r="BC136"/>
      <c r="BI136" s="3"/>
      <c r="BJ136" s="3"/>
    </row>
    <row r="137" spans="1:62">
      <c r="A137">
        <v>2025</v>
      </c>
      <c r="B137" s="3"/>
      <c r="C137" s="3">
        <f t="shared" si="59"/>
        <v>141.52694179281806</v>
      </c>
      <c r="D137" s="3">
        <f t="shared" si="60"/>
        <v>74.364924740814473</v>
      </c>
      <c r="E137" s="3">
        <f t="shared" si="61"/>
        <v>30.203920504564827</v>
      </c>
      <c r="F137" s="6">
        <f>'Exchange Rates'!D64</f>
        <v>0.86199999999999999</v>
      </c>
      <c r="G137" s="3"/>
      <c r="H137" s="3">
        <f>(C137*USA!$AU112/100)/$AU104*100*$F137</f>
        <v>123.08227414125426</v>
      </c>
      <c r="I137" s="3">
        <f>(D137*USA!$AU112/100)/$AU104*100*$F137</f>
        <v>64.673227143152673</v>
      </c>
      <c r="J137" s="3">
        <f>(E137*USA!$AU112/100)/$AU104*100*$F137</f>
        <v>26.267558505755481</v>
      </c>
      <c r="K137" s="6"/>
      <c r="L137" s="6">
        <f t="shared" si="62"/>
        <v>1.0281638560212292</v>
      </c>
      <c r="M137" s="6">
        <f t="shared" si="63"/>
        <v>0.63941636292873238</v>
      </c>
      <c r="N137" s="6">
        <f t="shared" si="64"/>
        <v>0.38380343700966124</v>
      </c>
      <c r="O137">
        <v>2025</v>
      </c>
      <c r="P137" s="7">
        <f t="shared" si="79"/>
        <v>0.53734924036934373</v>
      </c>
      <c r="Q137" s="3"/>
      <c r="R137" s="3">
        <f t="shared" si="50"/>
        <v>0.32875775024202031</v>
      </c>
      <c r="S137" s="3">
        <f t="shared" si="51"/>
        <v>0.24712077669259594</v>
      </c>
      <c r="T137" s="3">
        <f t="shared" si="52"/>
        <v>0.19344206224959104</v>
      </c>
      <c r="U137" s="3"/>
      <c r="V137" s="3">
        <f t="shared" si="54"/>
        <v>1.8942708466325933</v>
      </c>
      <c r="W137" s="3">
        <f t="shared" si="55"/>
        <v>1.423886379990672</v>
      </c>
      <c r="X137" s="3">
        <f t="shared" si="56"/>
        <v>1.114594739628596</v>
      </c>
      <c r="Y137" s="3"/>
      <c r="Z137" s="3">
        <f t="shared" si="66"/>
        <v>2.1673013173131856</v>
      </c>
      <c r="AA137" s="3">
        <f t="shared" si="67"/>
        <v>1.6291180495883097</v>
      </c>
      <c r="AB137" s="3">
        <f t="shared" si="68"/>
        <v>1.2752467007353661</v>
      </c>
      <c r="AC137" s="3"/>
      <c r="AD137" s="3">
        <f t="shared" si="81"/>
        <v>2.1289796830188465</v>
      </c>
      <c r="AE137" s="3">
        <f t="shared" si="82"/>
        <v>1.6003124259217187</v>
      </c>
      <c r="AF137" s="3">
        <f t="shared" si="83"/>
        <v>1.2526981343176484</v>
      </c>
      <c r="AG137" s="7"/>
      <c r="AH137" s="7"/>
      <c r="AI137" s="44"/>
      <c r="AJ137" s="44"/>
      <c r="AK137" s="3">
        <f>USA!AJ150</f>
        <v>141.52694179281806</v>
      </c>
      <c r="AL137" s="3">
        <f>USA!AK150</f>
        <v>74.364924740814473</v>
      </c>
      <c r="AM137" s="3">
        <f>USA!AL150</f>
        <v>30.203920504564827</v>
      </c>
      <c r="BB137"/>
      <c r="BC137"/>
      <c r="BI137" s="3"/>
      <c r="BJ137" s="3"/>
    </row>
    <row r="138" spans="1:62">
      <c r="A138">
        <v>2026</v>
      </c>
      <c r="B138" s="3"/>
      <c r="C138" s="3">
        <f t="shared" si="59"/>
        <v>145.84178757918448</v>
      </c>
      <c r="D138" s="3">
        <f t="shared" si="60"/>
        <v>80.055420065999314</v>
      </c>
      <c r="E138" s="3">
        <f t="shared" si="61"/>
        <v>31.066889661838108</v>
      </c>
      <c r="F138" s="6">
        <f>'Exchange Rates'!D65</f>
        <v>0.86199999999999999</v>
      </c>
      <c r="G138" s="3"/>
      <c r="H138" s="3">
        <f>(C138*USA!$AU113/100)/$AU105*100*$F138</f>
        <v>126.83478249921936</v>
      </c>
      <c r="I138" s="3">
        <f>(D138*USA!$AU113/100)/$AU105*100*$F138</f>
        <v>69.622101871465844</v>
      </c>
      <c r="J138" s="3">
        <f>(E138*USA!$AU113/100)/$AU105*100*$F138</f>
        <v>27.018060177348495</v>
      </c>
      <c r="K138" s="6"/>
      <c r="L138" s="6">
        <f t="shared" si="62"/>
        <v>1.0531390660604374</v>
      </c>
      <c r="M138" s="6">
        <f t="shared" si="63"/>
        <v>0.67235411389602839</v>
      </c>
      <c r="N138" s="6">
        <f t="shared" si="64"/>
        <v>0.38879847901750286</v>
      </c>
      <c r="O138">
        <v>2026</v>
      </c>
      <c r="P138" s="7">
        <f t="shared" si="79"/>
        <v>0.53734924036934373</v>
      </c>
      <c r="Q138" s="3"/>
      <c r="R138" s="3">
        <f t="shared" si="50"/>
        <v>0.33400254435025406</v>
      </c>
      <c r="S138" s="3">
        <f t="shared" si="51"/>
        <v>0.25403770439572815</v>
      </c>
      <c r="T138" s="3">
        <f t="shared" si="52"/>
        <v>0.19449102107123778</v>
      </c>
      <c r="U138" s="3"/>
      <c r="V138" s="3">
        <f t="shared" si="54"/>
        <v>1.9244908507800353</v>
      </c>
      <c r="W138" s="3">
        <f t="shared" si="55"/>
        <v>1.4637410586611002</v>
      </c>
      <c r="X138" s="3">
        <f t="shared" si="56"/>
        <v>1.1206387404580844</v>
      </c>
      <c r="Y138" s="3"/>
      <c r="Z138" s="3">
        <f t="shared" si="66"/>
        <v>2.2018770776456598</v>
      </c>
      <c r="AA138" s="3">
        <f t="shared" si="67"/>
        <v>1.6747171769449196</v>
      </c>
      <c r="AB138" s="3">
        <f t="shared" si="68"/>
        <v>1.282161852801861</v>
      </c>
      <c r="AC138" s="3"/>
      <c r="AD138" s="3">
        <f t="shared" si="81"/>
        <v>2.1629440841312966</v>
      </c>
      <c r="AE138" s="3">
        <f t="shared" si="82"/>
        <v>1.6451052818712373</v>
      </c>
      <c r="AF138" s="3">
        <f t="shared" si="83"/>
        <v>1.2594910145401383</v>
      </c>
      <c r="AG138" s="7"/>
      <c r="AH138" s="7"/>
      <c r="AI138" s="44"/>
      <c r="AJ138" s="44"/>
      <c r="AK138" s="3">
        <f>USA!AJ151</f>
        <v>145.84178757918448</v>
      </c>
      <c r="AL138" s="3">
        <f>USA!AK151</f>
        <v>80.055420065999314</v>
      </c>
      <c r="AM138" s="3">
        <f>USA!AL151</f>
        <v>31.066889661838108</v>
      </c>
      <c r="BB138"/>
      <c r="BC138"/>
      <c r="BI138" s="3"/>
      <c r="BJ138" s="3"/>
    </row>
    <row r="139" spans="1:62">
      <c r="A139">
        <v>2027</v>
      </c>
      <c r="B139" s="3"/>
      <c r="C139" s="3">
        <f t="shared" si="59"/>
        <v>150.15663336555087</v>
      </c>
      <c r="D139" s="3">
        <f t="shared" si="60"/>
        <v>82.98815737026753</v>
      </c>
      <c r="E139" s="3">
        <f t="shared" si="61"/>
        <v>31.929858819111395</v>
      </c>
      <c r="F139" s="6">
        <f>'Exchange Rates'!D66</f>
        <v>0.86199999999999999</v>
      </c>
      <c r="G139" s="3"/>
      <c r="H139" s="3">
        <f>(C139*USA!$AU114/100)/$AU106*100*$F139</f>
        <v>130.58729085718443</v>
      </c>
      <c r="I139" s="3">
        <f>(D139*USA!$AU114/100)/$AU106*100*$F139</f>
        <v>72.172626685297018</v>
      </c>
      <c r="J139" s="3">
        <f>(E139*USA!$AU114/100)/$AU106*100*$F139</f>
        <v>27.76856184894152</v>
      </c>
      <c r="K139" s="6"/>
      <c r="L139" s="6">
        <f t="shared" si="62"/>
        <v>1.0781142760996456</v>
      </c>
      <c r="M139" s="6">
        <f t="shared" si="63"/>
        <v>0.68932939732222953</v>
      </c>
      <c r="N139" s="6">
        <f t="shared" si="64"/>
        <v>0.39379352102534454</v>
      </c>
      <c r="O139">
        <v>2027</v>
      </c>
      <c r="P139" s="7">
        <f t="shared" si="79"/>
        <v>0.53734924036934373</v>
      </c>
      <c r="Q139" s="3"/>
      <c r="R139" s="3">
        <f t="shared" si="50"/>
        <v>0.33924733845848776</v>
      </c>
      <c r="S139" s="3">
        <f t="shared" si="51"/>
        <v>0.25760251391523037</v>
      </c>
      <c r="T139" s="3">
        <f t="shared" si="52"/>
        <v>0.19553997989288455</v>
      </c>
      <c r="U139" s="3"/>
      <c r="V139" s="3">
        <f t="shared" si="54"/>
        <v>1.9547108549274772</v>
      </c>
      <c r="W139" s="3">
        <f t="shared" si="55"/>
        <v>1.4842811516068037</v>
      </c>
      <c r="X139" s="3">
        <f t="shared" si="56"/>
        <v>1.1266827412875728</v>
      </c>
      <c r="Y139" s="3"/>
      <c r="Z139" s="3">
        <f t="shared" si="66"/>
        <v>2.2364528379781334</v>
      </c>
      <c r="AA139" s="3">
        <f t="shared" si="67"/>
        <v>1.6982178133919696</v>
      </c>
      <c r="AB139" s="3">
        <f t="shared" si="68"/>
        <v>1.2890770048683557</v>
      </c>
      <c r="AC139" s="3"/>
      <c r="AD139" s="3">
        <f t="shared" si="81"/>
        <v>2.1969084852437457</v>
      </c>
      <c r="AE139" s="3">
        <f t="shared" si="82"/>
        <v>1.6681903864361198</v>
      </c>
      <c r="AF139" s="3">
        <f t="shared" si="83"/>
        <v>1.2662838947626285</v>
      </c>
      <c r="AG139" s="7"/>
      <c r="AH139" s="7"/>
      <c r="AI139" s="44"/>
      <c r="AJ139" s="44"/>
      <c r="AK139" s="3">
        <f>USA!AJ152</f>
        <v>150.15663336555087</v>
      </c>
      <c r="AL139" s="3">
        <f>USA!AK152</f>
        <v>82.98815737026753</v>
      </c>
      <c r="AM139" s="3">
        <f>USA!AL152</f>
        <v>31.929858819111395</v>
      </c>
      <c r="BB139"/>
      <c r="BC139"/>
      <c r="BI139" s="3"/>
      <c r="BJ139" s="3"/>
    </row>
    <row r="140" spans="1:62">
      <c r="A140">
        <v>2028</v>
      </c>
      <c r="B140" s="3"/>
      <c r="C140" s="3">
        <f t="shared" si="59"/>
        <v>153.60850999464401</v>
      </c>
      <c r="D140" s="3">
        <f t="shared" si="60"/>
        <v>84.844653255379882</v>
      </c>
      <c r="E140" s="3">
        <f t="shared" si="61"/>
        <v>31.929858819111395</v>
      </c>
      <c r="F140" s="6">
        <f>'Exchange Rates'!D67</f>
        <v>0.86199999999999999</v>
      </c>
      <c r="G140" s="3"/>
      <c r="H140" s="3">
        <f>(C140*USA!$AU115/100)/$AU107*100*$F140</f>
        <v>133.58929754355648</v>
      </c>
      <c r="I140" s="3">
        <f>(D140*USA!$AU115/100)/$AU107*100*$F140</f>
        <v>73.787172527798248</v>
      </c>
      <c r="J140" s="3">
        <f>(E140*USA!$AU115/100)/$AU107*100*$F140</f>
        <v>27.76856184894152</v>
      </c>
      <c r="K140" s="6"/>
      <c r="L140" s="6">
        <f t="shared" si="62"/>
        <v>1.0980944441310121</v>
      </c>
      <c r="M140" s="6">
        <f t="shared" si="63"/>
        <v>0.7000751752626857</v>
      </c>
      <c r="N140" s="6">
        <f t="shared" si="64"/>
        <v>0.39379352102534454</v>
      </c>
      <c r="O140">
        <v>2028</v>
      </c>
      <c r="P140" s="7">
        <f t="shared" si="79"/>
        <v>0.53734924036934373</v>
      </c>
      <c r="Q140" s="3"/>
      <c r="R140" s="3">
        <f t="shared" si="50"/>
        <v>0.34344317374507471</v>
      </c>
      <c r="S140" s="3">
        <f t="shared" si="51"/>
        <v>0.2598591272827262</v>
      </c>
      <c r="T140" s="3">
        <f t="shared" si="52"/>
        <v>0.19553997989288455</v>
      </c>
      <c r="U140" s="3"/>
      <c r="V140" s="3">
        <f t="shared" si="54"/>
        <v>1.9788868582454306</v>
      </c>
      <c r="W140" s="3">
        <f t="shared" si="55"/>
        <v>1.4972835429147557</v>
      </c>
      <c r="X140" s="3">
        <f t="shared" si="56"/>
        <v>1.1266827412875728</v>
      </c>
      <c r="Y140" s="3"/>
      <c r="Z140" s="3">
        <f t="shared" si="66"/>
        <v>2.2641134462441124</v>
      </c>
      <c r="AA140" s="3">
        <f t="shared" si="67"/>
        <v>1.7130943026015466</v>
      </c>
      <c r="AB140" s="3">
        <f t="shared" si="68"/>
        <v>1.2890770048683557</v>
      </c>
      <c r="AC140" s="3"/>
      <c r="AD140" s="3">
        <f t="shared" si="81"/>
        <v>2.2240800061337058</v>
      </c>
      <c r="AE140" s="3">
        <f t="shared" si="82"/>
        <v>1.6828038335968043</v>
      </c>
      <c r="AF140" s="3">
        <f t="shared" si="83"/>
        <v>1.2662838947626285</v>
      </c>
      <c r="AG140" s="7"/>
      <c r="AH140" s="7"/>
      <c r="AI140" s="44"/>
      <c r="AJ140" s="44"/>
      <c r="AK140" s="3">
        <f>USA!AJ153</f>
        <v>153.60850999464401</v>
      </c>
      <c r="AL140" s="3">
        <f>USA!AK153</f>
        <v>84.844653255379882</v>
      </c>
      <c r="AM140" s="3">
        <f>USA!AL153</f>
        <v>31.929858819111395</v>
      </c>
      <c r="BB140"/>
      <c r="BC140"/>
      <c r="BI140" s="3"/>
      <c r="BJ140" s="3"/>
    </row>
    <row r="141" spans="1:62">
      <c r="A141">
        <v>2029</v>
      </c>
      <c r="B141" s="3"/>
      <c r="C141" s="3">
        <f t="shared" si="59"/>
        <v>157.9233557810104</v>
      </c>
      <c r="D141" s="3">
        <f t="shared" si="60"/>
        <v>87.361009569245411</v>
      </c>
      <c r="E141" s="3">
        <f t="shared" si="61"/>
        <v>31.929858819111395</v>
      </c>
      <c r="F141" s="6">
        <f>'Exchange Rates'!D68</f>
        <v>0.86199999999999999</v>
      </c>
      <c r="G141" s="3"/>
      <c r="H141" s="3">
        <f>(C141*USA!$AU116/100)/$AU108*100*$F141</f>
        <v>137.34180590152155</v>
      </c>
      <c r="I141" s="3">
        <f>(D141*USA!$AU116/100)/$AU108*100*$F141</f>
        <v>75.975581700898829</v>
      </c>
      <c r="J141" s="3">
        <f>(E141*USA!$AU116/100)/$AU108*100*$F141</f>
        <v>27.76856184894152</v>
      </c>
      <c r="K141" s="6"/>
      <c r="L141" s="6">
        <f t="shared" si="62"/>
        <v>1.1230696541702201</v>
      </c>
      <c r="M141" s="6">
        <f t="shared" si="63"/>
        <v>0.71464036034319423</v>
      </c>
      <c r="N141" s="6">
        <f t="shared" si="64"/>
        <v>0.39379352102534454</v>
      </c>
      <c r="O141">
        <v>2029</v>
      </c>
      <c r="P141" s="7">
        <f t="shared" si="79"/>
        <v>0.53734924036934373</v>
      </c>
      <c r="Q141" s="3"/>
      <c r="R141" s="3">
        <f t="shared" si="50"/>
        <v>0.34868796785330836</v>
      </c>
      <c r="S141" s="3">
        <f t="shared" si="51"/>
        <v>0.26291781614963294</v>
      </c>
      <c r="T141" s="3">
        <f t="shared" si="52"/>
        <v>0.19553997989288455</v>
      </c>
      <c r="U141" s="3"/>
      <c r="V141" s="3">
        <f t="shared" si="54"/>
        <v>2.0091068623928718</v>
      </c>
      <c r="W141" s="3">
        <f t="shared" si="55"/>
        <v>1.514907416862171</v>
      </c>
      <c r="X141" s="3">
        <f t="shared" si="56"/>
        <v>1.1266827412875728</v>
      </c>
      <c r="Y141" s="3"/>
      <c r="Z141" s="3">
        <f t="shared" si="66"/>
        <v>2.2986892065765852</v>
      </c>
      <c r="AA141" s="3">
        <f t="shared" si="67"/>
        <v>1.73325839122187</v>
      </c>
      <c r="AB141" s="3">
        <f t="shared" si="68"/>
        <v>1.2890770048683557</v>
      </c>
      <c r="AC141" s="3"/>
      <c r="AD141" s="3">
        <f t="shared" si="81"/>
        <v>2.2580444072461545</v>
      </c>
      <c r="AE141" s="3">
        <f t="shared" si="82"/>
        <v>1.7026113862690277</v>
      </c>
      <c r="AF141" s="3">
        <f t="shared" si="83"/>
        <v>1.2662838947626285</v>
      </c>
      <c r="AG141" s="7"/>
      <c r="AH141" s="7"/>
      <c r="AI141" s="44"/>
      <c r="AJ141" s="44"/>
      <c r="AK141" s="3">
        <f>USA!AJ154</f>
        <v>157.9233557810104</v>
      </c>
      <c r="AL141" s="3">
        <f>USA!AK154</f>
        <v>87.361009569245411</v>
      </c>
      <c r="AM141" s="3">
        <f>USA!AL154</f>
        <v>31.929858819111395</v>
      </c>
      <c r="BB141"/>
      <c r="BC141"/>
      <c r="BI141" s="3"/>
      <c r="BJ141" s="3"/>
    </row>
    <row r="142" spans="1:62">
      <c r="A142">
        <v>2030</v>
      </c>
      <c r="B142" s="3"/>
      <c r="C142" s="3">
        <f t="shared" si="59"/>
        <v>160.51226325283022</v>
      </c>
      <c r="D142" s="3">
        <f t="shared" si="60"/>
        <v>89.285088706337618</v>
      </c>
      <c r="E142" s="3">
        <f t="shared" si="61"/>
        <v>32.792827976384679</v>
      </c>
      <c r="F142" s="6">
        <f>'Exchange Rates'!D69</f>
        <v>0.86199999999999999</v>
      </c>
      <c r="G142" s="3"/>
      <c r="H142" s="3">
        <f>(C142*USA!$AU117/100)/$AU109*100*$F142</f>
        <v>139.59331091630054</v>
      </c>
      <c r="I142" s="3">
        <f>(D142*USA!$AU117/100)/$AU109*100*$F142</f>
        <v>77.648902927381158</v>
      </c>
      <c r="J142" s="3">
        <f>(E142*USA!$AU117/100)/$AU109*100*$F142</f>
        <v>28.519063520534527</v>
      </c>
      <c r="K142" s="6"/>
      <c r="L142" s="6">
        <f t="shared" si="62"/>
        <v>1.1380547801937446</v>
      </c>
      <c r="M142" s="6">
        <f t="shared" si="63"/>
        <v>0.72577732397067152</v>
      </c>
      <c r="N142" s="6">
        <f t="shared" si="64"/>
        <v>0.39878856303318611</v>
      </c>
      <c r="O142">
        <v>2030</v>
      </c>
      <c r="P142" s="7">
        <f t="shared" si="79"/>
        <v>0.53734924036934373</v>
      </c>
      <c r="Q142" s="3"/>
      <c r="R142" s="3">
        <f t="shared" si="50"/>
        <v>0.35183484431824857</v>
      </c>
      <c r="S142" s="3">
        <f t="shared" si="51"/>
        <v>0.26525657851140322</v>
      </c>
      <c r="T142" s="3">
        <f t="shared" si="52"/>
        <v>0.19658893871453126</v>
      </c>
      <c r="U142" s="3"/>
      <c r="V142" s="3">
        <f t="shared" si="54"/>
        <v>2.0272388648813369</v>
      </c>
      <c r="W142" s="3">
        <f t="shared" si="55"/>
        <v>1.5283831428514185</v>
      </c>
      <c r="X142" s="3">
        <f t="shared" si="56"/>
        <v>1.132726742117061</v>
      </c>
      <c r="Y142" s="3"/>
      <c r="Z142" s="3">
        <f>V142*$AU$97/100</f>
        <v>2.3194346627760694</v>
      </c>
      <c r="AA142" s="3">
        <f t="shared" si="67"/>
        <v>1.7486764391426128</v>
      </c>
      <c r="AB142" s="3">
        <f t="shared" si="68"/>
        <v>1.2959921569348503</v>
      </c>
      <c r="AC142" s="3"/>
      <c r="AD142" s="3">
        <f t="shared" si="81"/>
        <v>2.2784230479136243</v>
      </c>
      <c r="AE142" s="3">
        <f t="shared" si="82"/>
        <v>1.7177568164465749</v>
      </c>
      <c r="AF142" s="3">
        <f t="shared" si="83"/>
        <v>1.2730767749851182</v>
      </c>
      <c r="AG142" s="7"/>
      <c r="AH142" s="7"/>
      <c r="AI142" s="44"/>
      <c r="AJ142" s="44"/>
      <c r="AK142" s="3">
        <f>USA!AJ155</f>
        <v>160.51226325283022</v>
      </c>
      <c r="AL142" s="3">
        <f>USA!AK155</f>
        <v>89.285088706337618</v>
      </c>
      <c r="AM142" s="3">
        <f>USA!AL155</f>
        <v>32.792827976384679</v>
      </c>
      <c r="BB142"/>
      <c r="BC142"/>
      <c r="BI142" s="3"/>
      <c r="BJ142" s="3"/>
    </row>
    <row r="143" spans="1:62">
      <c r="J143"/>
      <c r="O143" s="12"/>
      <c r="P143"/>
      <c r="Q143"/>
      <c r="R143"/>
      <c r="W143"/>
      <c r="AJ143" s="3"/>
      <c r="AK143" s="3">
        <f>USA!AJ156</f>
        <v>162.23820156737682</v>
      </c>
      <c r="AL143" s="3">
        <f>USA!AK156</f>
        <v>90.882363255178021</v>
      </c>
      <c r="AM143" s="3">
        <f>USA!AL156</f>
        <v>33.224312555021314</v>
      </c>
      <c r="BB143"/>
      <c r="BC143"/>
      <c r="BI143" s="3"/>
      <c r="BJ143" s="3"/>
    </row>
    <row r="144" spans="1:62">
      <c r="G144" s="12"/>
      <c r="J144"/>
      <c r="L144" s="23"/>
      <c r="M144" s="12"/>
      <c r="N144" s="12"/>
      <c r="O144" s="12"/>
      <c r="P144" s="23"/>
      <c r="Q144"/>
      <c r="R144"/>
      <c r="U144" s="23"/>
      <c r="W144"/>
      <c r="AK144" s="3">
        <f>USA!AJ157</f>
        <v>164.82710903919664</v>
      </c>
      <c r="AL144" s="3">
        <f>USA!AK157</f>
        <v>91.529643316939641</v>
      </c>
      <c r="AM144" s="3">
        <f>USA!AL157</f>
        <v>33.655797133657956</v>
      </c>
      <c r="BB144"/>
      <c r="BC144"/>
      <c r="BI144" s="3"/>
      <c r="BJ144" s="3"/>
    </row>
    <row r="145" spans="7:62">
      <c r="G145" s="12"/>
      <c r="J145"/>
      <c r="L145" s="23"/>
      <c r="M145" s="12"/>
      <c r="N145" s="12"/>
      <c r="O145" s="12"/>
      <c r="P145" s="23"/>
      <c r="Q145"/>
      <c r="R145"/>
      <c r="U145" s="23"/>
      <c r="W145"/>
      <c r="AK145" s="3">
        <f>USA!AJ158</f>
        <v>166.55304735374321</v>
      </c>
      <c r="AL145" s="3">
        <f>USA!AK158</f>
        <v>91.468448273790386</v>
      </c>
      <c r="AM145" s="3">
        <f>USA!AL158</f>
        <v>34.08728171229459</v>
      </c>
      <c r="BB145"/>
      <c r="BC145"/>
      <c r="BI145" s="3"/>
      <c r="BJ145" s="3"/>
    </row>
    <row r="146" spans="7:62">
      <c r="G146" s="12"/>
      <c r="J146"/>
      <c r="L146" s="23"/>
      <c r="M146" s="12"/>
      <c r="N146" s="12"/>
      <c r="O146" s="12"/>
      <c r="P146" s="23"/>
      <c r="Q146"/>
      <c r="R146">
        <v>1.6877493533800161</v>
      </c>
      <c r="U146" s="23"/>
      <c r="W146"/>
      <c r="AK146" s="3">
        <f>USA!AJ159</f>
        <v>169.14195482556306</v>
      </c>
      <c r="AL146" s="3">
        <f>USA!AK159</f>
        <v>90.153207715955162</v>
      </c>
      <c r="AM146" s="3">
        <f>USA!AL159</f>
        <v>34.518766290931239</v>
      </c>
      <c r="BB146"/>
      <c r="BC146"/>
      <c r="BI146" s="3"/>
      <c r="BJ146" s="3"/>
    </row>
    <row r="147" spans="7:62">
      <c r="G147" s="12"/>
      <c r="J147"/>
      <c r="L147" s="23"/>
      <c r="M147" s="12"/>
      <c r="N147" s="12"/>
      <c r="O147" s="12"/>
      <c r="P147" s="23"/>
      <c r="Q147"/>
      <c r="R147">
        <v>1.29540203198826</v>
      </c>
      <c r="U147" s="23"/>
      <c r="W147"/>
      <c r="AK147" s="3">
        <f>USA!AJ160</f>
        <v>171.73086229738288</v>
      </c>
      <c r="AL147" s="3">
        <f>USA!AK160</f>
        <v>90.054464673113912</v>
      </c>
      <c r="AM147" s="3">
        <f>USA!AL160</f>
        <v>34.950250869567881</v>
      </c>
      <c r="BB147"/>
      <c r="BC147"/>
      <c r="BI147" s="3"/>
      <c r="BJ147" s="3"/>
    </row>
    <row r="148" spans="7:62">
      <c r="G148" s="12"/>
      <c r="J148"/>
      <c r="L148" s="23"/>
      <c r="M148" s="12"/>
      <c r="N148" s="12"/>
      <c r="O148" s="12"/>
      <c r="P148" s="23"/>
      <c r="Q148"/>
      <c r="R148">
        <f>R146/R147-1</f>
        <v>0.3028768766014347</v>
      </c>
      <c r="U148" s="23"/>
      <c r="W148"/>
      <c r="AK148" s="3">
        <f>USA!AJ161</f>
        <v>173.45680061192945</v>
      </c>
      <c r="AL148" s="3">
        <f>USA!AK161</f>
        <v>91.250057240640103</v>
      </c>
      <c r="AM148" s="3">
        <f>USA!AL161</f>
        <v>35.381735448204516</v>
      </c>
      <c r="BB148"/>
      <c r="BC148"/>
      <c r="BI148" s="3"/>
      <c r="BJ148" s="3"/>
    </row>
    <row r="149" spans="7:62">
      <c r="G149" s="12"/>
      <c r="J149"/>
      <c r="L149" s="23"/>
      <c r="M149" s="12"/>
      <c r="N149" s="12"/>
      <c r="O149" s="12"/>
      <c r="P149" s="23"/>
      <c r="Q149"/>
      <c r="R149"/>
      <c r="U149" s="23"/>
      <c r="W149"/>
      <c r="AK149" s="3">
        <f>USA!AJ162</f>
        <v>175.18273892647602</v>
      </c>
      <c r="AL149" s="3">
        <f>USA!AK162</f>
        <v>91.751958188656559</v>
      </c>
      <c r="AM149" s="3">
        <f>USA!AL162</f>
        <v>36.2447046054778</v>
      </c>
      <c r="BB149"/>
      <c r="BC149"/>
      <c r="BI149" s="3"/>
      <c r="BJ149" s="3"/>
    </row>
    <row r="150" spans="7:62">
      <c r="G150" s="12"/>
      <c r="J150"/>
      <c r="L150" s="23"/>
      <c r="M150" s="12"/>
      <c r="N150" s="12"/>
      <c r="O150" s="12"/>
      <c r="P150" s="23"/>
      <c r="Q150"/>
      <c r="R150"/>
      <c r="U150" s="23"/>
      <c r="W150"/>
      <c r="AK150" s="3">
        <f>USA!AJ163</f>
        <v>177.77164639829587</v>
      </c>
      <c r="AL150" s="3">
        <f>USA!AK163</f>
        <v>91.990526082750478</v>
      </c>
      <c r="AM150" s="3">
        <f>USA!AL163</f>
        <v>37.107673762751077</v>
      </c>
      <c r="BB150"/>
      <c r="BC150"/>
      <c r="BI150" s="3"/>
      <c r="BJ150" s="3"/>
    </row>
    <row r="151" spans="7:62">
      <c r="G151" s="12"/>
      <c r="J151"/>
      <c r="L151" s="23"/>
      <c r="M151" s="12"/>
      <c r="N151" s="12"/>
      <c r="O151" s="12"/>
      <c r="P151" s="23"/>
      <c r="Q151"/>
      <c r="R151"/>
      <c r="U151" s="23"/>
      <c r="W151"/>
      <c r="AK151" s="3">
        <f>USA!AJ164</f>
        <v>180.36055387011569</v>
      </c>
      <c r="AL151" s="3">
        <f>USA!AK164</f>
        <v>92.727792343203248</v>
      </c>
      <c r="AM151" s="3">
        <f>USA!AL164</f>
        <v>37.970642920024368</v>
      </c>
      <c r="BB151"/>
      <c r="BC151"/>
      <c r="BI151" s="3"/>
      <c r="BJ151" s="3"/>
    </row>
    <row r="152" spans="7:62">
      <c r="G152" s="12"/>
      <c r="J152"/>
      <c r="L152" s="23"/>
      <c r="M152" s="12"/>
      <c r="N152" s="12"/>
      <c r="O152" s="12"/>
      <c r="P152" s="23"/>
      <c r="Q152"/>
      <c r="R152"/>
      <c r="U152" s="23"/>
      <c r="W152"/>
      <c r="AK152" s="3">
        <f>USA!AJ165</f>
        <v>181.22352302738898</v>
      </c>
      <c r="AL152" s="3">
        <f>USA!AK165</f>
        <v>93.367803080926592</v>
      </c>
      <c r="AM152" s="3">
        <f>USA!AL165</f>
        <v>38.833612077297637</v>
      </c>
      <c r="BB152"/>
      <c r="BC152"/>
      <c r="BI152" s="3"/>
      <c r="BJ152" s="3"/>
    </row>
    <row r="153" spans="7:62">
      <c r="O153" s="12"/>
      <c r="P153" s="23"/>
      <c r="R153" s="12"/>
      <c r="S153" s="23"/>
      <c r="W153"/>
      <c r="X153" s="23"/>
      <c r="Y153" s="23"/>
      <c r="Z153" s="23"/>
      <c r="AA153" s="23"/>
      <c r="AB153" s="23"/>
      <c r="BB153"/>
      <c r="BC153"/>
      <c r="BH153" s="3"/>
      <c r="BI153" s="3"/>
    </row>
    <row r="154" spans="7:62">
      <c r="O154" s="12"/>
      <c r="P154" s="23"/>
      <c r="R154" s="12"/>
      <c r="S154" s="23"/>
      <c r="W154"/>
      <c r="X154" s="23"/>
      <c r="BB154"/>
      <c r="BD154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75</vt:i4>
      </vt:variant>
    </vt:vector>
  </HeadingPairs>
  <TitlesOfParts>
    <vt:vector size="75" baseType="lpstr">
      <vt:lpstr>Oil Price reg</vt:lpstr>
      <vt:lpstr>World Oil Price analysis</vt:lpstr>
      <vt:lpstr>Oil -Petrol Price elasticities</vt:lpstr>
      <vt:lpstr>OzReg</vt:lpstr>
      <vt:lpstr>Australia</vt:lpstr>
      <vt:lpstr>AustriaReg</vt:lpstr>
      <vt:lpstr>Austria</vt:lpstr>
      <vt:lpstr>BelgiumReg</vt:lpstr>
      <vt:lpstr>Belgium</vt:lpstr>
      <vt:lpstr>BritainReg</vt:lpstr>
      <vt:lpstr>Britain</vt:lpstr>
      <vt:lpstr>CanadaReg</vt:lpstr>
      <vt:lpstr>Canada</vt:lpstr>
      <vt:lpstr>Canada Prov's</vt:lpstr>
      <vt:lpstr>ChinaReg</vt:lpstr>
      <vt:lpstr>China</vt:lpstr>
      <vt:lpstr>CzechReg</vt:lpstr>
      <vt:lpstr>Czech Rep</vt:lpstr>
      <vt:lpstr>DenmarkReg</vt:lpstr>
      <vt:lpstr>Denmark</vt:lpstr>
      <vt:lpstr>FinlandReg</vt:lpstr>
      <vt:lpstr>Finland</vt:lpstr>
      <vt:lpstr>FranceReg</vt:lpstr>
      <vt:lpstr>France</vt:lpstr>
      <vt:lpstr>GermanyReg</vt:lpstr>
      <vt:lpstr>Germany</vt:lpstr>
      <vt:lpstr>GreeceReg</vt:lpstr>
      <vt:lpstr>Greece</vt:lpstr>
      <vt:lpstr>HungaryReg</vt:lpstr>
      <vt:lpstr>Hungary</vt:lpstr>
      <vt:lpstr>IndiaReg</vt:lpstr>
      <vt:lpstr>India</vt:lpstr>
      <vt:lpstr> India data</vt:lpstr>
      <vt:lpstr>IrelandReg</vt:lpstr>
      <vt:lpstr>Ireland</vt:lpstr>
      <vt:lpstr>IsraelReg</vt:lpstr>
      <vt:lpstr>Israel</vt:lpstr>
      <vt:lpstr>ItalyReg</vt:lpstr>
      <vt:lpstr>Italy</vt:lpstr>
      <vt:lpstr>JapanReg</vt:lpstr>
      <vt:lpstr>Japan</vt:lpstr>
      <vt:lpstr>KoreaReg</vt:lpstr>
      <vt:lpstr>Korea</vt:lpstr>
      <vt:lpstr>NethReg</vt:lpstr>
      <vt:lpstr>Netherlands</vt:lpstr>
      <vt:lpstr>NZreg</vt:lpstr>
      <vt:lpstr>New Zealand</vt:lpstr>
      <vt:lpstr>NorwayReg</vt:lpstr>
      <vt:lpstr>Norway</vt:lpstr>
      <vt:lpstr>SpainReg</vt:lpstr>
      <vt:lpstr>Spain</vt:lpstr>
      <vt:lpstr>SwedenReg</vt:lpstr>
      <vt:lpstr>Sweden</vt:lpstr>
      <vt:lpstr>SwissReg</vt:lpstr>
      <vt:lpstr>Swiss</vt:lpstr>
      <vt:lpstr>TurkeyReg</vt:lpstr>
      <vt:lpstr>Turkey</vt:lpstr>
      <vt:lpstr>USreg(litre)</vt:lpstr>
      <vt:lpstr>USreg(gallon)</vt:lpstr>
      <vt:lpstr>USA</vt:lpstr>
      <vt:lpstr>24 country oil price scenarios</vt:lpstr>
      <vt:lpstr>WTI reg</vt:lpstr>
      <vt:lpstr>WTI from OPEC </vt:lpstr>
      <vt:lpstr>Tapis reg</vt:lpstr>
      <vt:lpstr>Tapis from OPEC</vt:lpstr>
      <vt:lpstr>Country forecasts</vt:lpstr>
      <vt:lpstr>2017 Country petrol prices</vt:lpstr>
      <vt:lpstr>Country petrol prices nominal</vt:lpstr>
      <vt:lpstr>EU total tax</vt:lpstr>
      <vt:lpstr> EU base prices (less tax)</vt:lpstr>
      <vt:lpstr>EU petrol prices nominal</vt:lpstr>
      <vt:lpstr>Country Petrol Prices 2010 US$</vt:lpstr>
      <vt:lpstr>%Tax</vt:lpstr>
      <vt:lpstr>CPIs</vt:lpstr>
      <vt:lpstr>Exchange Rates</vt:lpstr>
    </vt:vector>
  </TitlesOfParts>
  <Company>Infrastructure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dgargett</dc:creator>
  <cp:lastModifiedBy>GARGETT David</cp:lastModifiedBy>
  <cp:lastPrinted>2019-01-28T22:14:25Z</cp:lastPrinted>
  <dcterms:created xsi:type="dcterms:W3CDTF">2011-06-22T04:28:56Z</dcterms:created>
  <dcterms:modified xsi:type="dcterms:W3CDTF">2019-03-08T05:16:12Z</dcterms:modified>
</cp:coreProperties>
</file>